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81/"/>
    </mc:Choice>
  </mc:AlternateContent>
  <xr:revisionPtr revIDLastSave="0" documentId="13_ncr:1_{B64C3D11-B76C-7F4B-91BA-0F773B56EDD3}" xr6:coauthVersionLast="47" xr6:coauthVersionMax="47" xr10:uidLastSave="{00000000-0000-0000-0000-000000000000}"/>
  <bookViews>
    <workbookView xWindow="74640" yWindow="620" windowWidth="30200" windowHeight="20980" activeTab="5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shifts" sheetId="8" r:id="rId5"/>
    <sheet name="events" sheetId="1" r:id="rId6"/>
    <sheet name="game_rosters" sheetId="11" r:id="rId7"/>
  </sheets>
  <definedNames>
    <definedName name="_xlnm._FilterDatabase" localSheetId="5" hidden="1">events!$A$1:$BU$2429</definedName>
    <definedName name="DEfensive">Lists!$BL:$BL</definedName>
    <definedName name="EventType">Lists!$A$2:$A$16</definedName>
    <definedName name="Faceoff">Lists!$G$2:$G$1048576</definedName>
    <definedName name="Goal">Lists!$J$2:$J$1048576</definedName>
    <definedName name="Goal_PenaltyShot">Lists!$BA$2:$BA$1048576</definedName>
    <definedName name="Goal_Scored">Lists!$AY$2:$AY$1048576</definedName>
    <definedName name="Goal_Shootout">Lists!$AZ$2:$AZ$1048576</definedName>
    <definedName name="LoosePuck">Lists!$P$2:$P$1048576</definedName>
    <definedName name="Offensive">Lists!$BK:$BK</definedName>
    <definedName name="Pass">Lists!$I$2:$I$1048576</definedName>
    <definedName name="Pass_Completed">Lists!$R$2:$R$1048576</definedName>
    <definedName name="Pass_Deflected">Lists!$T$2:$T$1048576</definedName>
    <definedName name="Pass_Intercepted">Lists!$U$2:$U$1048576</definedName>
    <definedName name="Pass_Missed">Lists!$S$2:$S$1048576</definedName>
    <definedName name="Penalty">Lists!$M$2:$M$1048576</definedName>
    <definedName name="Penalty_Major">Lists!$AA$2:$AA$1048576</definedName>
    <definedName name="Penalty_Minor">Lists!$AB$2:$AB$1048576</definedName>
    <definedName name="Penalty_Offsetting">Lists!$AC$2:$AC$1048576</definedName>
    <definedName name="PenaltyShot_Missed">Lists!$AK$2:$AK$1048576</definedName>
    <definedName name="PenaltyShot_OnNet">Lists!$AJ$2:$AJ$1048576</definedName>
    <definedName name="PenaltyShot_Saved">Lists!$AL$2:$AL$1048576</definedName>
    <definedName name="PenaltyShot_Shootout">Lists!$N$2:$N$1048576</definedName>
    <definedName name="Play">Lists!$F:$F</definedName>
    <definedName name="Play_Defensive">Lists!$BE:$BE</definedName>
    <definedName name="Play_Offensive">Lists!$BD:$BD</definedName>
    <definedName name="Possession">Lists!$BF:$BF</definedName>
    <definedName name="Rebound">Lists!$BC$2:$BC$1048576</definedName>
    <definedName name="Save">Lists!$Q$2:$Q$1048576</definedName>
    <definedName name="Save_Freeze">Lists!$AN$2:$AN$1048576</definedName>
    <definedName name="Save_Played">Lists!$BB:$BB</definedName>
    <definedName name="Save_Rebound">Lists!$AM$2:$AM$1048576</definedName>
    <definedName name="Shootout_Missed">Lists!$AH$2:$AH$1048576</definedName>
    <definedName name="Shootout_OnNet">Lists!$AG$2:$AG$1048576</definedName>
    <definedName name="Shootout_Saved">Lists!$AI$2:$AI$1048576</definedName>
    <definedName name="Shot">Lists!$H$2:$H$1048576</definedName>
    <definedName name="Shot_Blocked">Lists!$AQ$2:$AQ$1048576</definedName>
    <definedName name="Shot_BlockedSameTeam">Lists!$AR$2:$AR$1048576</definedName>
    <definedName name="Shot_Deflected">Lists!$AS$2:$AS$1048576</definedName>
    <definedName name="Shot_DeflectedGoal">Lists!$AX$2:$AX$1048576</definedName>
    <definedName name="Shot_DeflectedOnNetSaved">Lists!$AT$2:$AT$1048576</definedName>
    <definedName name="Shot_Missed">Lists!$AP$2:$AP$1048576</definedName>
    <definedName name="Shot_MissedPost">Lists!$BH:$BH</definedName>
    <definedName name="Shot_OnNetGoal">Lists!$AV$2:$AV$1048576</definedName>
    <definedName name="Shot_OnNetSaved">Lists!$AO$2:$AO$1048576</definedName>
    <definedName name="Shot_TippedGoal">Lists!$AW$2:$AW$1048576</definedName>
    <definedName name="Shot_TippedOnNetSaved">Lists!$AU$2:$AU$1048576</definedName>
    <definedName name="Stoppage">Lists!$O$2:$O$1048576</definedName>
    <definedName name="Stoppage_Other">Lists!$AF$2:$AF$1048576</definedName>
    <definedName name="Stoppage_Period">Lists!$AE$2:$AE$1048576</definedName>
    <definedName name="Stoppage_Play">Lists!$AD$2:$AD$1048576</definedName>
    <definedName name="Turnover">Lists!$K$2:$K$1048576</definedName>
    <definedName name="Turnover_Giveaway">Lists!$V$2:$V$1048576</definedName>
    <definedName name="Turnover_Takeaway">Lists!$W$2:$W$1048576</definedName>
    <definedName name="Zone_Entry">Lists!$X$2:$X$1048576</definedName>
    <definedName name="Zone_Entry_Exit">Lists!$L$2:$L$1048576</definedName>
    <definedName name="Zone_EntryFailed">Lists!$BM:$BM</definedName>
    <definedName name="Zone_Exit">Lists!$Y$2:$Y$1048576</definedName>
    <definedName name="Zone_ExitFailed">Lists!$BN:$BN</definedName>
    <definedName name="Zone_Keepin">Lists!$Z$2:$Z$1048576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097" i="1" l="1"/>
  <c r="BJ211" i="1"/>
  <c r="BI4" i="1" a="1"/>
  <c r="BI4" i="1" s="1"/>
  <c r="BI5" i="1" s="1" a="1"/>
  <c r="BI5" i="1" s="1"/>
  <c r="BI6" i="1" s="1" a="1"/>
  <c r="BI6" i="1" s="1"/>
  <c r="BI7" i="1" a="1"/>
  <c r="BI7" i="1"/>
  <c r="BI8" i="1" a="1"/>
  <c r="BI8" i="1" s="1"/>
  <c r="BI9" i="1" s="1" a="1"/>
  <c r="BI9" i="1" s="1"/>
  <c r="BI10" i="1" s="1" a="1"/>
  <c r="BI10" i="1" s="1"/>
  <c r="BI11" i="1" s="1" a="1"/>
  <c r="BI11" i="1" s="1"/>
  <c r="BI12" i="1" s="1" a="1"/>
  <c r="BI12" i="1" s="1"/>
  <c r="BI13" i="1" s="1" a="1"/>
  <c r="BI13" i="1" s="1"/>
  <c r="BI14" i="1" s="1" a="1"/>
  <c r="BI14" i="1" s="1"/>
  <c r="BI15" i="1" s="1" a="1"/>
  <c r="BI15" i="1" s="1"/>
  <c r="BI16" i="1" s="1" a="1"/>
  <c r="BI16" i="1" s="1"/>
  <c r="BI17" i="1" s="1" a="1"/>
  <c r="BI17" i="1" s="1"/>
  <c r="BI18" i="1" s="1" a="1"/>
  <c r="BI18" i="1" s="1"/>
  <c r="BI19" i="1" s="1" a="1"/>
  <c r="BI19" i="1" s="1"/>
  <c r="BI20" i="1" s="1" a="1"/>
  <c r="BI20" i="1" s="1"/>
  <c r="BI21" i="1" s="1" a="1"/>
  <c r="BI21" i="1" s="1"/>
  <c r="BI22" i="1" s="1" a="1"/>
  <c r="BI22" i="1" s="1"/>
  <c r="BI23" i="1" s="1" a="1"/>
  <c r="BI23" i="1" s="1"/>
  <c r="BI24" i="1" s="1" a="1"/>
  <c r="BI24" i="1" s="1"/>
  <c r="BI25" i="1" s="1" a="1"/>
  <c r="BI25" i="1" s="1"/>
  <c r="BI26" i="1" s="1" a="1"/>
  <c r="BI26" i="1" s="1"/>
  <c r="BI27" i="1" s="1" a="1"/>
  <c r="BI27" i="1" s="1"/>
  <c r="BI28" i="1" s="1" a="1"/>
  <c r="BI28" i="1" s="1"/>
  <c r="BI29" i="1" s="1" a="1"/>
  <c r="BI29" i="1" s="1"/>
  <c r="BI30" i="1" s="1" a="1"/>
  <c r="BI30" i="1" s="1"/>
  <c r="BI31" i="1" s="1" a="1"/>
  <c r="BI31" i="1" s="1"/>
  <c r="BI32" i="1" s="1" a="1"/>
  <c r="BI32" i="1" s="1"/>
  <c r="BI33" i="1" s="1" a="1"/>
  <c r="BI33" i="1" s="1"/>
  <c r="BI34" i="1" s="1" a="1"/>
  <c r="BI34" i="1" s="1"/>
  <c r="BI35" i="1" s="1" a="1"/>
  <c r="BI35" i="1" s="1"/>
  <c r="BI36" i="1" s="1" a="1"/>
  <c r="BI36" i="1" s="1"/>
  <c r="BI37" i="1" s="1" a="1"/>
  <c r="BI37" i="1" s="1"/>
  <c r="BI38" i="1" s="1" a="1"/>
  <c r="BI38" i="1" s="1"/>
  <c r="BI39" i="1" s="1" a="1"/>
  <c r="BI39" i="1" s="1"/>
  <c r="BI40" i="1" s="1" a="1"/>
  <c r="BI40" i="1" s="1"/>
  <c r="BI41" i="1" s="1" a="1"/>
  <c r="BI41" i="1" s="1"/>
  <c r="BI42" i="1" s="1" a="1"/>
  <c r="BI42" i="1" s="1"/>
  <c r="BI43" i="1" s="1" a="1"/>
  <c r="BI43" i="1" s="1"/>
  <c r="BI44" i="1" s="1" a="1"/>
  <c r="BI44" i="1" s="1"/>
  <c r="BI45" i="1" s="1" a="1"/>
  <c r="BI45" i="1" s="1"/>
  <c r="BI46" i="1" s="1" a="1"/>
  <c r="BI46" i="1" s="1"/>
  <c r="BI47" i="1" s="1" a="1"/>
  <c r="BI47" i="1" s="1"/>
  <c r="BI48" i="1" s="1" a="1"/>
  <c r="BI48" i="1" s="1"/>
  <c r="BI49" i="1" s="1" a="1"/>
  <c r="BI49" i="1" s="1"/>
  <c r="BI50" i="1" s="1" a="1"/>
  <c r="BI50" i="1" s="1"/>
  <c r="BI51" i="1" s="1" a="1"/>
  <c r="BI51" i="1" s="1"/>
  <c r="BI52" i="1" s="1" a="1"/>
  <c r="BI52" i="1" s="1"/>
  <c r="BI53" i="1" s="1" a="1"/>
  <c r="BI53" i="1" s="1"/>
  <c r="BI54" i="1" s="1" a="1"/>
  <c r="BI54" i="1" s="1"/>
  <c r="BI55" i="1" s="1" a="1"/>
  <c r="BI55" i="1" s="1"/>
  <c r="BI56" i="1" s="1" a="1"/>
  <c r="BI56" i="1" s="1"/>
  <c r="BI57" i="1" s="1" a="1"/>
  <c r="BI57" i="1" s="1"/>
  <c r="BI58" i="1" s="1" a="1"/>
  <c r="BI58" i="1" s="1"/>
  <c r="BI59" i="1" s="1" a="1"/>
  <c r="BI59" i="1" s="1"/>
  <c r="BI60" i="1" s="1" a="1"/>
  <c r="BI60" i="1" s="1"/>
  <c r="BI61" i="1" s="1" a="1"/>
  <c r="BI61" i="1" s="1"/>
  <c r="BI62" i="1" s="1" a="1"/>
  <c r="BI62" i="1" s="1"/>
  <c r="BI63" i="1" s="1" a="1"/>
  <c r="BI63" i="1" s="1"/>
  <c r="BI64" i="1" s="1" a="1"/>
  <c r="BI64" i="1" s="1"/>
  <c r="BI65" i="1" s="1" a="1"/>
  <c r="BI65" i="1" s="1"/>
  <c r="BI66" i="1" s="1" a="1"/>
  <c r="BI66" i="1" s="1"/>
  <c r="BI67" i="1" s="1" a="1"/>
  <c r="BI67" i="1" s="1"/>
  <c r="BI68" i="1" s="1" a="1"/>
  <c r="BI68" i="1" s="1"/>
  <c r="BI69" i="1" s="1" a="1"/>
  <c r="BI69" i="1" s="1"/>
  <c r="BI70" i="1" s="1" a="1"/>
  <c r="BI70" i="1" s="1"/>
  <c r="BI71" i="1" s="1" a="1"/>
  <c r="BI71" i="1" s="1"/>
  <c r="BI72" i="1" s="1" a="1"/>
  <c r="BI72" i="1" s="1"/>
  <c r="BI73" i="1" s="1" a="1"/>
  <c r="BI73" i="1" s="1"/>
  <c r="BI74" i="1" s="1" a="1"/>
  <c r="BI74" i="1" s="1"/>
  <c r="BI75" i="1" s="1" a="1"/>
  <c r="BI75" i="1" s="1"/>
  <c r="BI76" i="1" s="1" a="1"/>
  <c r="BI76" i="1" s="1"/>
  <c r="BI77" i="1" s="1" a="1"/>
  <c r="BI77" i="1" s="1"/>
  <c r="BI78" i="1" s="1" a="1"/>
  <c r="BI78" i="1" s="1"/>
  <c r="BI79" i="1" s="1" a="1"/>
  <c r="BI79" i="1" s="1"/>
  <c r="BI80" i="1" s="1" a="1"/>
  <c r="BI80" i="1" s="1"/>
  <c r="BI82" i="1" s="1" a="1"/>
  <c r="BI82" i="1" s="1"/>
  <c r="BI83" i="1" s="1" a="1"/>
  <c r="BI83" i="1" s="1"/>
  <c r="BI84" i="1" s="1" a="1"/>
  <c r="BI84" i="1" s="1"/>
  <c r="BI85" i="1" s="1" a="1"/>
  <c r="BI85" i="1" s="1"/>
  <c r="BI86" i="1" s="1" a="1"/>
  <c r="BI86" i="1" s="1"/>
  <c r="BI87" i="1" s="1" a="1"/>
  <c r="BI87" i="1" s="1"/>
  <c r="BI88" i="1" s="1" a="1"/>
  <c r="BI88" i="1" s="1"/>
  <c r="BI89" i="1" s="1" a="1"/>
  <c r="BI89" i="1" s="1"/>
  <c r="BI90" i="1" s="1" a="1"/>
  <c r="BI90" i="1" s="1"/>
  <c r="BI91" i="1" s="1" a="1"/>
  <c r="BI91" i="1" s="1"/>
  <c r="BI92" i="1" s="1" a="1"/>
  <c r="BI92" i="1" s="1"/>
  <c r="BI93" i="1" s="1" a="1"/>
  <c r="BI93" i="1" s="1"/>
  <c r="BI94" i="1" s="1" a="1"/>
  <c r="BI94" i="1" s="1"/>
  <c r="BI95" i="1" s="1" a="1"/>
  <c r="BI95" i="1" s="1"/>
  <c r="BI96" i="1" s="1" a="1"/>
  <c r="BI96" i="1" s="1"/>
  <c r="BI97" i="1" s="1" a="1"/>
  <c r="BI97" i="1" s="1"/>
  <c r="BI98" i="1" s="1" a="1"/>
  <c r="BI98" i="1" s="1"/>
  <c r="BI99" i="1" s="1" a="1"/>
  <c r="BI99" i="1" s="1"/>
  <c r="BI100" i="1" s="1" a="1"/>
  <c r="BI100" i="1" s="1"/>
  <c r="BI101" i="1" s="1" a="1"/>
  <c r="BI101" i="1" s="1"/>
  <c r="BI102" i="1" s="1" a="1"/>
  <c r="BI102" i="1" s="1"/>
  <c r="BI103" i="1" s="1" a="1"/>
  <c r="BI103" i="1" s="1"/>
  <c r="BI104" i="1" s="1" a="1"/>
  <c r="BI104" i="1" s="1"/>
  <c r="BI105" i="1" s="1" a="1"/>
  <c r="BI105" i="1" s="1"/>
  <c r="BI106" i="1" s="1" a="1"/>
  <c r="BI106" i="1" s="1"/>
  <c r="BI107" i="1" s="1" a="1"/>
  <c r="BI107" i="1" s="1"/>
  <c r="BI108" i="1" s="1" a="1"/>
  <c r="BI108" i="1" s="1"/>
  <c r="BI109" i="1" s="1" a="1"/>
  <c r="BI109" i="1" s="1"/>
  <c r="BI110" i="1" s="1" a="1"/>
  <c r="BI110" i="1" s="1"/>
  <c r="BI111" i="1" s="1" a="1"/>
  <c r="BI111" i="1" s="1"/>
  <c r="BI112" i="1" s="1" a="1"/>
  <c r="BI112" i="1" s="1"/>
  <c r="BI113" i="1" s="1" a="1"/>
  <c r="BI113" i="1" s="1"/>
  <c r="BI114" i="1" s="1" a="1"/>
  <c r="BI114" i="1" s="1"/>
  <c r="BI115" i="1" s="1" a="1"/>
  <c r="BI115" i="1" s="1"/>
  <c r="BI116" i="1" s="1" a="1"/>
  <c r="BI116" i="1" s="1"/>
  <c r="BI117" i="1" s="1" a="1"/>
  <c r="BI117" i="1" s="1"/>
  <c r="BI118" i="1" s="1" a="1"/>
  <c r="BI118" i="1" s="1"/>
  <c r="BI119" i="1" s="1" a="1"/>
  <c r="BI119" i="1" s="1"/>
  <c r="BI120" i="1" s="1" a="1"/>
  <c r="BI120" i="1" s="1"/>
  <c r="BI121" i="1" s="1" a="1"/>
  <c r="BI121" i="1" s="1"/>
  <c r="BI122" i="1" s="1" a="1"/>
  <c r="BI122" i="1" s="1"/>
  <c r="BI123" i="1" s="1" a="1"/>
  <c r="BI123" i="1" s="1"/>
  <c r="BI124" i="1" s="1" a="1"/>
  <c r="BI124" i="1" s="1"/>
  <c r="BI125" i="1" s="1" a="1"/>
  <c r="BI125" i="1" s="1"/>
  <c r="BI126" i="1" s="1" a="1"/>
  <c r="BI126" i="1" s="1"/>
  <c r="BI127" i="1" s="1" a="1"/>
  <c r="BI127" i="1" s="1"/>
  <c r="BI128" i="1" s="1" a="1"/>
  <c r="BI128" i="1" s="1"/>
  <c r="BI129" i="1" s="1" a="1"/>
  <c r="BI129" i="1" s="1"/>
  <c r="BI130" i="1" s="1" a="1"/>
  <c r="BI130" i="1" s="1"/>
  <c r="BI131" i="1" s="1" a="1"/>
  <c r="BI131" i="1" s="1"/>
  <c r="BI132" i="1" s="1" a="1"/>
  <c r="BI132" i="1" s="1"/>
  <c r="BI133" i="1" s="1" a="1"/>
  <c r="BI133" i="1" s="1"/>
  <c r="BI134" i="1" s="1" a="1"/>
  <c r="BI134" i="1" s="1"/>
  <c r="BI135" i="1" s="1" a="1"/>
  <c r="BI135" i="1" s="1"/>
  <c r="BI136" i="1" s="1" a="1"/>
  <c r="BI136" i="1" s="1"/>
  <c r="BI137" i="1" s="1" a="1"/>
  <c r="BI137" i="1" s="1"/>
  <c r="BI138" i="1" s="1" a="1"/>
  <c r="BI138" i="1" s="1"/>
  <c r="BI139" i="1" s="1" a="1"/>
  <c r="BI139" i="1" s="1"/>
  <c r="BI140" i="1" s="1" a="1"/>
  <c r="BI140" i="1" s="1"/>
  <c r="BI141" i="1" s="1" a="1"/>
  <c r="BI141" i="1" s="1"/>
  <c r="BI142" i="1" s="1" a="1"/>
  <c r="BI142" i="1" s="1"/>
  <c r="BI143" i="1" s="1" a="1"/>
  <c r="BI143" i="1" s="1"/>
  <c r="BI144" i="1" s="1" a="1"/>
  <c r="BI144" i="1" s="1"/>
  <c r="BI145" i="1" s="1" a="1"/>
  <c r="BI145" i="1" s="1"/>
  <c r="BI146" i="1" s="1" a="1"/>
  <c r="BI146" i="1" s="1"/>
  <c r="BI147" i="1" s="1" a="1"/>
  <c r="BI147" i="1" s="1"/>
  <c r="BI148" i="1" s="1" a="1"/>
  <c r="BI148" i="1" s="1"/>
  <c r="BI149" i="1" s="1" a="1"/>
  <c r="BI149" i="1" s="1"/>
  <c r="BI150" i="1" s="1" a="1"/>
  <c r="BI150" i="1" s="1"/>
  <c r="BI151" i="1" s="1" a="1"/>
  <c r="BI151" i="1" s="1"/>
  <c r="BI152" i="1" s="1" a="1"/>
  <c r="BI152" i="1" s="1"/>
  <c r="BI153" i="1" s="1" a="1"/>
  <c r="BI153" i="1" s="1"/>
  <c r="BI154" i="1" s="1" a="1"/>
  <c r="BI154" i="1" s="1"/>
  <c r="BI155" i="1" s="1" a="1"/>
  <c r="BI155" i="1" s="1"/>
  <c r="BI156" i="1" s="1" a="1"/>
  <c r="BI156" i="1" s="1"/>
  <c r="BI157" i="1" s="1" a="1"/>
  <c r="BI157" i="1" s="1"/>
  <c r="BI158" i="1" s="1" a="1"/>
  <c r="BI158" i="1" s="1"/>
  <c r="BI159" i="1" s="1" a="1"/>
  <c r="BI159" i="1" s="1"/>
  <c r="BI160" i="1" s="1" a="1"/>
  <c r="BI160" i="1" s="1"/>
  <c r="BI161" i="1" s="1" a="1"/>
  <c r="BI161" i="1" s="1"/>
  <c r="BI162" i="1" s="1" a="1"/>
  <c r="BI162" i="1" s="1"/>
  <c r="BI163" i="1" s="1" a="1"/>
  <c r="BI163" i="1" s="1"/>
  <c r="BI164" i="1" s="1" a="1"/>
  <c r="BI164" i="1" s="1"/>
  <c r="BI165" i="1" s="1" a="1"/>
  <c r="BI165" i="1" s="1"/>
  <c r="BI166" i="1" s="1" a="1"/>
  <c r="BI166" i="1" s="1"/>
  <c r="BI167" i="1" s="1" a="1"/>
  <c r="BI167" i="1" s="1"/>
  <c r="BI168" i="1" s="1" a="1"/>
  <c r="BI168" i="1" s="1"/>
  <c r="BI169" i="1" s="1" a="1"/>
  <c r="BI169" i="1" s="1"/>
  <c r="BI170" i="1" s="1" a="1"/>
  <c r="BI170" i="1" s="1"/>
  <c r="BI171" i="1" s="1" a="1"/>
  <c r="BI171" i="1" s="1"/>
  <c r="BI172" i="1" s="1" a="1"/>
  <c r="BI172" i="1" s="1"/>
  <c r="BI173" i="1" s="1" a="1"/>
  <c r="BI173" i="1" s="1"/>
  <c r="BI174" i="1" s="1" a="1"/>
  <c r="BI174" i="1" s="1"/>
  <c r="BI175" i="1" s="1" a="1"/>
  <c r="BI175" i="1" s="1"/>
  <c r="BI176" i="1" s="1" a="1"/>
  <c r="BI176" i="1" s="1"/>
  <c r="BI177" i="1" s="1" a="1"/>
  <c r="BI177" i="1" s="1"/>
  <c r="BI178" i="1" s="1" a="1"/>
  <c r="BI178" i="1" s="1"/>
  <c r="BI179" i="1" s="1" a="1"/>
  <c r="BI179" i="1" s="1"/>
  <c r="BI180" i="1" s="1" a="1"/>
  <c r="BI180" i="1" s="1"/>
  <c r="BI181" i="1" s="1" a="1"/>
  <c r="BI181" i="1" s="1"/>
  <c r="BI182" i="1" s="1" a="1"/>
  <c r="BI182" i="1" s="1"/>
  <c r="BI183" i="1" s="1" a="1"/>
  <c r="BI183" i="1" s="1"/>
  <c r="BI184" i="1" s="1" a="1"/>
  <c r="BI184" i="1" s="1"/>
  <c r="BI185" i="1" s="1" a="1"/>
  <c r="BI185" i="1" s="1"/>
  <c r="BI186" i="1" s="1" a="1"/>
  <c r="BI186" i="1" s="1"/>
  <c r="BI187" i="1" s="1" a="1"/>
  <c r="BI187" i="1" s="1"/>
  <c r="BI188" i="1" s="1" a="1"/>
  <c r="BI188" i="1" s="1"/>
  <c r="BI189" i="1" s="1" a="1"/>
  <c r="BI189" i="1" s="1"/>
  <c r="BI190" i="1" s="1" a="1"/>
  <c r="BI190" i="1" s="1"/>
  <c r="BI191" i="1" s="1" a="1"/>
  <c r="BI191" i="1" s="1"/>
  <c r="BI192" i="1" s="1" a="1"/>
  <c r="BI192" i="1" s="1"/>
  <c r="BI193" i="1" s="1" a="1"/>
  <c r="BI193" i="1" s="1"/>
  <c r="BI194" i="1" s="1" a="1"/>
  <c r="BI194" i="1" s="1"/>
  <c r="BI195" i="1" s="1" a="1"/>
  <c r="BI195" i="1" s="1"/>
  <c r="BI196" i="1" s="1" a="1"/>
  <c r="BI196" i="1" s="1"/>
  <c r="BI197" i="1" s="1" a="1"/>
  <c r="BI197" i="1" s="1"/>
  <c r="BI201" i="1" s="1" a="1"/>
  <c r="BI201" i="1" s="1"/>
  <c r="BI202" i="1" s="1" a="1"/>
  <c r="BI202" i="1" s="1"/>
  <c r="BI203" i="1" s="1" a="1"/>
  <c r="BI203" i="1" s="1"/>
  <c r="BI204" i="1" s="1" a="1"/>
  <c r="BI204" i="1" s="1"/>
  <c r="BI205" i="1" s="1" a="1"/>
  <c r="BI205" i="1" s="1"/>
  <c r="BI206" i="1" s="1" a="1"/>
  <c r="BI206" i="1" s="1"/>
  <c r="BI207" i="1" s="1" a="1"/>
  <c r="BI207" i="1" s="1"/>
  <c r="BI208" i="1" s="1" a="1"/>
  <c r="BI208" i="1" s="1"/>
  <c r="BI209" i="1" s="1" a="1"/>
  <c r="BI209" i="1" s="1"/>
  <c r="BI210" i="1" s="1" a="1"/>
  <c r="BI210" i="1" s="1"/>
  <c r="BI211" i="1" s="1" a="1"/>
  <c r="BI211" i="1" s="1"/>
  <c r="BI212" i="1" s="1" a="1"/>
  <c r="BI212" i="1" s="1"/>
  <c r="BI213" i="1" s="1" a="1"/>
  <c r="BI213" i="1" s="1"/>
  <c r="BI214" i="1" s="1" a="1"/>
  <c r="BI214" i="1" s="1"/>
  <c r="BI215" i="1" s="1" a="1"/>
  <c r="BI215" i="1" s="1"/>
  <c r="BI216" i="1" s="1" a="1"/>
  <c r="BI216" i="1" s="1"/>
  <c r="BI217" i="1" s="1" a="1"/>
  <c r="BI217" i="1" s="1"/>
  <c r="BI218" i="1" s="1" a="1"/>
  <c r="BI218" i="1" s="1"/>
  <c r="BI219" i="1" s="1" a="1"/>
  <c r="BI219" i="1" s="1"/>
  <c r="BI220" i="1" s="1" a="1"/>
  <c r="BI220" i="1" s="1"/>
  <c r="BI221" i="1" s="1" a="1"/>
  <c r="BI221" i="1" s="1"/>
  <c r="BI222" i="1" s="1" a="1"/>
  <c r="BI222" i="1" s="1"/>
  <c r="BI223" i="1" s="1" a="1"/>
  <c r="BI223" i="1" s="1"/>
  <c r="BI224" i="1" s="1" a="1"/>
  <c r="BI224" i="1" s="1"/>
  <c r="BI225" i="1" s="1" a="1"/>
  <c r="BI225" i="1" s="1"/>
  <c r="BI226" i="1" s="1" a="1"/>
  <c r="BI226" i="1" s="1"/>
  <c r="BI227" i="1" s="1" a="1"/>
  <c r="BI227" i="1" s="1"/>
  <c r="BI228" i="1" s="1" a="1"/>
  <c r="BI228" i="1" s="1"/>
  <c r="BI229" i="1" s="1" a="1"/>
  <c r="BI229" i="1" s="1"/>
  <c r="BI230" i="1" s="1" a="1"/>
  <c r="BI230" i="1" s="1"/>
  <c r="BI231" i="1" s="1" a="1"/>
  <c r="BI231" i="1" s="1"/>
  <c r="BI232" i="1" s="1" a="1"/>
  <c r="BI232" i="1" s="1"/>
  <c r="BI233" i="1" s="1" a="1"/>
  <c r="BI233" i="1" s="1"/>
  <c r="BI234" i="1" s="1" a="1"/>
  <c r="BI234" i="1" s="1"/>
  <c r="BI235" i="1" s="1" a="1"/>
  <c r="BI235" i="1" s="1"/>
  <c r="BI236" i="1" s="1" a="1"/>
  <c r="BI236" i="1" s="1"/>
  <c r="BI237" i="1" s="1" a="1"/>
  <c r="BI237" i="1" s="1"/>
  <c r="BI238" i="1" s="1" a="1"/>
  <c r="BI238" i="1" s="1"/>
  <c r="BI239" i="1" s="1" a="1"/>
  <c r="BI239" i="1" s="1"/>
  <c r="BI240" i="1" s="1" a="1"/>
  <c r="BI240" i="1" s="1"/>
  <c r="BI241" i="1" s="1" a="1"/>
  <c r="BI241" i="1" s="1"/>
  <c r="BI242" i="1" s="1" a="1"/>
  <c r="BI242" i="1" s="1"/>
  <c r="BI243" i="1" s="1" a="1"/>
  <c r="BI243" i="1" s="1"/>
  <c r="BI244" i="1" s="1" a="1"/>
  <c r="BI244" i="1" s="1"/>
  <c r="BI245" i="1" s="1" a="1"/>
  <c r="BI245" i="1" s="1"/>
  <c r="BI246" i="1" s="1" a="1"/>
  <c r="BI246" i="1" s="1"/>
  <c r="BI247" i="1" s="1" a="1"/>
  <c r="BI247" i="1" s="1"/>
  <c r="BI248" i="1" s="1" a="1"/>
  <c r="BI248" i="1" s="1"/>
  <c r="BI249" i="1" s="1" a="1"/>
  <c r="BI249" i="1" s="1"/>
  <c r="BI250" i="1" s="1" a="1"/>
  <c r="BI250" i="1" s="1"/>
  <c r="BI251" i="1" s="1" a="1"/>
  <c r="BI251" i="1" s="1"/>
  <c r="BI252" i="1" s="1" a="1"/>
  <c r="BI252" i="1" s="1"/>
  <c r="BI253" i="1" s="1" a="1"/>
  <c r="BI253" i="1" s="1"/>
  <c r="BI254" i="1" s="1" a="1"/>
  <c r="BI254" i="1" s="1"/>
  <c r="BI255" i="1" s="1" a="1"/>
  <c r="BI255" i="1" s="1"/>
  <c r="BI256" i="1" s="1" a="1"/>
  <c r="BI256" i="1" s="1"/>
  <c r="BI257" i="1" s="1" a="1"/>
  <c r="BI257" i="1" s="1"/>
  <c r="BI258" i="1" s="1" a="1"/>
  <c r="BI258" i="1" s="1"/>
  <c r="BI259" i="1" s="1" a="1"/>
  <c r="BI259" i="1" s="1"/>
  <c r="BI260" i="1" s="1" a="1"/>
  <c r="BI260" i="1" s="1"/>
  <c r="BI261" i="1" s="1" a="1"/>
  <c r="BI261" i="1" s="1"/>
  <c r="BI262" i="1" s="1" a="1"/>
  <c r="BI262" i="1" s="1"/>
  <c r="BI263" i="1" s="1" a="1"/>
  <c r="BI263" i="1" s="1"/>
  <c r="BI264" i="1" s="1" a="1"/>
  <c r="BI264" i="1" s="1"/>
  <c r="BI265" i="1" s="1" a="1"/>
  <c r="BI265" i="1" s="1"/>
  <c r="BI266" i="1" s="1" a="1"/>
  <c r="BI266" i="1" s="1"/>
  <c r="BI267" i="1" s="1" a="1"/>
  <c r="BI267" i="1" s="1"/>
  <c r="BI268" i="1" s="1" a="1"/>
  <c r="BI268" i="1" s="1"/>
  <c r="BI269" i="1" s="1" a="1"/>
  <c r="BI269" i="1" s="1"/>
  <c r="BI270" i="1" s="1" a="1"/>
  <c r="BI270" i="1" s="1"/>
  <c r="BI271" i="1" s="1" a="1"/>
  <c r="BI271" i="1" s="1"/>
  <c r="BI272" i="1" s="1" a="1"/>
  <c r="BI272" i="1" s="1"/>
  <c r="BI273" i="1" s="1" a="1"/>
  <c r="BI273" i="1" s="1"/>
  <c r="BI274" i="1" s="1" a="1"/>
  <c r="BI274" i="1" s="1"/>
  <c r="BI275" i="1" s="1" a="1"/>
  <c r="BI275" i="1" s="1"/>
  <c r="BI276" i="1" s="1" a="1"/>
  <c r="BI276" i="1" s="1"/>
  <c r="BI277" i="1" s="1" a="1"/>
  <c r="BI277" i="1" s="1"/>
  <c r="BI278" i="1" s="1" a="1"/>
  <c r="BI278" i="1" s="1"/>
  <c r="BI279" i="1" s="1" a="1"/>
  <c r="BI279" i="1" s="1"/>
  <c r="BI280" i="1" s="1" a="1"/>
  <c r="BI280" i="1" s="1"/>
  <c r="BI281" i="1" s="1" a="1"/>
  <c r="BI281" i="1" s="1"/>
  <c r="BI282" i="1" s="1" a="1"/>
  <c r="BI282" i="1" s="1"/>
  <c r="BI283" i="1" s="1" a="1"/>
  <c r="BI283" i="1" s="1"/>
  <c r="BI284" i="1" s="1" a="1"/>
  <c r="BI284" i="1" s="1"/>
  <c r="BI285" i="1" s="1" a="1"/>
  <c r="BI285" i="1" s="1"/>
  <c r="BI286" i="1" s="1" a="1"/>
  <c r="BI286" i="1" s="1"/>
  <c r="BI287" i="1" s="1" a="1"/>
  <c r="BI287" i="1" s="1"/>
  <c r="BI288" i="1" s="1" a="1"/>
  <c r="BI288" i="1" s="1"/>
  <c r="BI289" i="1" s="1" a="1"/>
  <c r="BI289" i="1" s="1"/>
  <c r="BI290" i="1" s="1" a="1"/>
  <c r="BI290" i="1" s="1"/>
  <c r="BI291" i="1" s="1" a="1"/>
  <c r="BI291" i="1" s="1"/>
  <c r="BI292" i="1" s="1" a="1"/>
  <c r="BI292" i="1" s="1"/>
  <c r="BI293" i="1" s="1" a="1"/>
  <c r="BI293" i="1" s="1"/>
  <c r="BI294" i="1" s="1" a="1"/>
  <c r="BI294" i="1" s="1"/>
  <c r="BI295" i="1" s="1" a="1"/>
  <c r="BI295" i="1" s="1"/>
  <c r="BI296" i="1" s="1" a="1"/>
  <c r="BI296" i="1" s="1"/>
  <c r="BI297" i="1" s="1" a="1"/>
  <c r="BI297" i="1" s="1"/>
  <c r="BI298" i="1" s="1" a="1"/>
  <c r="BI298" i="1" s="1"/>
  <c r="BI299" i="1" s="1" a="1"/>
  <c r="BI299" i="1" s="1"/>
  <c r="BI300" i="1" s="1" a="1"/>
  <c r="BI300" i="1" s="1"/>
  <c r="BI301" i="1" s="1" a="1"/>
  <c r="BI301" i="1" s="1"/>
  <c r="BI302" i="1" s="1" a="1"/>
  <c r="BI302" i="1" s="1"/>
  <c r="BI303" i="1" s="1" a="1"/>
  <c r="BI303" i="1" s="1"/>
  <c r="BI304" i="1" s="1" a="1"/>
  <c r="BI304" i="1" s="1"/>
  <c r="BI305" i="1" s="1" a="1"/>
  <c r="BI305" i="1" s="1"/>
  <c r="BI306" i="1" s="1" a="1"/>
  <c r="BI306" i="1" s="1"/>
  <c r="BI307" i="1" s="1" a="1"/>
  <c r="BI307" i="1" s="1"/>
  <c r="BI308" i="1" s="1" a="1"/>
  <c r="BI308" i="1" s="1"/>
  <c r="BI309" i="1" s="1" a="1"/>
  <c r="BI309" i="1" s="1"/>
  <c r="BI310" i="1" s="1" a="1"/>
  <c r="BI310" i="1" s="1"/>
  <c r="BI311" i="1" s="1" a="1"/>
  <c r="BI311" i="1" s="1"/>
  <c r="BI312" i="1" s="1" a="1"/>
  <c r="BI312" i="1" s="1"/>
  <c r="BI313" i="1" s="1" a="1"/>
  <c r="BI313" i="1" s="1"/>
  <c r="BI314" i="1" s="1" a="1"/>
  <c r="BI314" i="1" s="1"/>
  <c r="BI315" i="1" s="1" a="1"/>
  <c r="BI315" i="1" s="1"/>
  <c r="BI316" i="1" s="1" a="1"/>
  <c r="BI316" i="1" s="1"/>
  <c r="BI317" i="1" s="1" a="1"/>
  <c r="BI317" i="1" s="1"/>
  <c r="BI318" i="1" s="1" a="1"/>
  <c r="BI318" i="1" s="1"/>
  <c r="BI319" i="1" s="1" a="1"/>
  <c r="BI319" i="1" s="1"/>
  <c r="BI320" i="1" s="1" a="1"/>
  <c r="BI320" i="1" s="1"/>
  <c r="BI321" i="1" s="1" a="1"/>
  <c r="BI321" i="1" s="1"/>
  <c r="BI322" i="1" s="1" a="1"/>
  <c r="BI322" i="1" s="1"/>
  <c r="BI323" i="1" s="1" a="1"/>
  <c r="BI323" i="1" s="1"/>
  <c r="BI324" i="1" s="1" a="1"/>
  <c r="BI324" i="1" s="1"/>
  <c r="BI325" i="1" s="1" a="1"/>
  <c r="BI325" i="1" s="1"/>
  <c r="BI326" i="1" s="1" a="1"/>
  <c r="BI326" i="1" s="1"/>
  <c r="BI327" i="1" s="1" a="1"/>
  <c r="BI327" i="1" s="1"/>
  <c r="BI328" i="1" s="1" a="1"/>
  <c r="BI328" i="1" s="1"/>
  <c r="BI329" i="1" s="1" a="1"/>
  <c r="BI329" i="1" s="1"/>
  <c r="BI330" i="1" s="1" a="1"/>
  <c r="BI330" i="1" s="1"/>
  <c r="BI331" i="1" s="1" a="1"/>
  <c r="BI331" i="1" s="1"/>
  <c r="BI332" i="1" s="1" a="1"/>
  <c r="BI332" i="1" s="1"/>
  <c r="BI333" i="1" s="1" a="1"/>
  <c r="BI333" i="1" s="1"/>
  <c r="BI334" i="1" s="1" a="1"/>
  <c r="BI334" i="1" s="1"/>
  <c r="BI335" i="1" s="1" a="1"/>
  <c r="BI335" i="1" s="1"/>
  <c r="BI336" i="1" s="1" a="1"/>
  <c r="BI336" i="1" s="1"/>
  <c r="BI337" i="1" s="1" a="1"/>
  <c r="BI337" i="1" s="1"/>
  <c r="BI338" i="1" s="1" a="1"/>
  <c r="BI338" i="1" s="1"/>
  <c r="BI339" i="1" s="1" a="1"/>
  <c r="BI339" i="1" s="1"/>
  <c r="BI340" i="1" s="1" a="1"/>
  <c r="BI340" i="1" s="1"/>
  <c r="BI341" i="1" s="1" a="1"/>
  <c r="BI341" i="1" s="1"/>
  <c r="BI342" i="1" s="1" a="1"/>
  <c r="BI342" i="1" s="1"/>
  <c r="BI343" i="1" s="1" a="1"/>
  <c r="BI343" i="1" s="1"/>
  <c r="BI344" i="1" s="1" a="1"/>
  <c r="BI344" i="1" s="1"/>
  <c r="BI345" i="1" s="1" a="1"/>
  <c r="BI345" i="1" s="1"/>
  <c r="BI346" i="1" s="1" a="1"/>
  <c r="BI346" i="1" s="1"/>
  <c r="BI347" i="1" s="1" a="1"/>
  <c r="BI347" i="1" s="1"/>
  <c r="BI348" i="1" s="1" a="1"/>
  <c r="BI348" i="1" s="1"/>
  <c r="BI349" i="1" s="1" a="1"/>
  <c r="BI349" i="1" s="1"/>
  <c r="BI350" i="1" s="1" a="1"/>
  <c r="BI350" i="1" s="1"/>
  <c r="BI353" i="1" s="1" a="1"/>
  <c r="BI353" i="1" s="1"/>
  <c r="BI354" i="1" s="1" a="1"/>
  <c r="BI354" i="1" s="1"/>
  <c r="BI355" i="1" s="1" a="1"/>
  <c r="BI355" i="1" s="1"/>
  <c r="BI356" i="1" s="1" a="1"/>
  <c r="BI356" i="1" s="1"/>
  <c r="BI357" i="1" s="1" a="1"/>
  <c r="BI357" i="1" s="1"/>
  <c r="BI358" i="1" s="1" a="1"/>
  <c r="BI358" i="1" s="1"/>
  <c r="BI359" i="1" s="1" a="1"/>
  <c r="BI359" i="1" s="1"/>
  <c r="BI360" i="1" s="1" a="1"/>
  <c r="BI360" i="1" s="1"/>
  <c r="BI361" i="1" s="1" a="1"/>
  <c r="BI361" i="1" s="1"/>
  <c r="BI362" i="1" s="1" a="1"/>
  <c r="BI362" i="1" s="1"/>
  <c r="BI363" i="1" s="1" a="1"/>
  <c r="BI363" i="1" s="1"/>
  <c r="BI364" i="1" s="1" a="1"/>
  <c r="BI364" i="1" s="1"/>
  <c r="BI365" i="1" s="1" a="1"/>
  <c r="BI365" i="1" s="1"/>
  <c r="BI366" i="1" s="1" a="1"/>
  <c r="BI366" i="1" s="1"/>
  <c r="BI367" i="1" s="1" a="1"/>
  <c r="BI367" i="1" s="1"/>
  <c r="BI368" i="1" s="1" a="1"/>
  <c r="BI368" i="1" s="1"/>
  <c r="BI369" i="1" s="1" a="1"/>
  <c r="BI369" i="1" s="1"/>
  <c r="BI370" i="1" s="1" a="1"/>
  <c r="BI370" i="1" s="1"/>
  <c r="BI371" i="1" s="1" a="1"/>
  <c r="BI371" i="1" s="1"/>
  <c r="BI372" i="1" s="1" a="1"/>
  <c r="BI372" i="1" s="1"/>
  <c r="BI373" i="1" s="1" a="1"/>
  <c r="BI373" i="1" s="1"/>
  <c r="BI374" i="1" s="1" a="1"/>
  <c r="BI374" i="1" s="1"/>
  <c r="BI375" i="1" s="1" a="1"/>
  <c r="BI375" i="1" s="1"/>
  <c r="BI376" i="1" s="1" a="1"/>
  <c r="BI376" i="1" s="1"/>
  <c r="BI377" i="1" s="1" a="1"/>
  <c r="BI377" i="1" s="1"/>
  <c r="BI378" i="1" s="1" a="1"/>
  <c r="BI378" i="1" s="1"/>
  <c r="BI379" i="1" s="1" a="1"/>
  <c r="BI379" i="1" s="1"/>
  <c r="BI380" i="1" s="1" a="1"/>
  <c r="BI380" i="1" s="1"/>
  <c r="BI381" i="1" s="1" a="1"/>
  <c r="BI381" i="1" s="1"/>
  <c r="BI382" i="1" s="1" a="1"/>
  <c r="BI382" i="1" s="1"/>
  <c r="BI383" i="1" s="1" a="1"/>
  <c r="BI383" i="1" s="1"/>
  <c r="BI384" i="1" s="1" a="1"/>
  <c r="BI384" i="1" s="1"/>
  <c r="BI385" i="1" s="1" a="1"/>
  <c r="BI385" i="1" s="1"/>
  <c r="BI386" i="1" s="1" a="1"/>
  <c r="BI386" i="1" s="1"/>
  <c r="BI387" i="1" s="1" a="1"/>
  <c r="BI387" i="1" s="1"/>
  <c r="BI388" i="1" s="1" a="1"/>
  <c r="BI388" i="1" s="1"/>
  <c r="BI389" i="1" s="1" a="1"/>
  <c r="BI389" i="1" s="1"/>
  <c r="BI390" i="1" s="1" a="1"/>
  <c r="BI390" i="1" s="1"/>
  <c r="BI391" i="1" s="1" a="1"/>
  <c r="BI391" i="1" s="1"/>
  <c r="BI392" i="1" s="1" a="1"/>
  <c r="BI392" i="1" s="1"/>
  <c r="BI393" i="1" s="1" a="1"/>
  <c r="BI393" i="1" s="1"/>
  <c r="BI394" i="1" s="1" a="1"/>
  <c r="BI394" i="1" s="1"/>
  <c r="BI395" i="1" s="1" a="1"/>
  <c r="BI395" i="1" s="1"/>
  <c r="BI396" i="1" s="1" a="1"/>
  <c r="BI396" i="1" s="1"/>
  <c r="BI397" i="1" s="1" a="1"/>
  <c r="BI397" i="1" s="1"/>
  <c r="BI398" i="1" s="1" a="1"/>
  <c r="BI398" i="1" s="1"/>
  <c r="BI399" i="1" s="1" a="1"/>
  <c r="BI399" i="1" s="1"/>
  <c r="BI400" i="1" s="1" a="1"/>
  <c r="BI400" i="1" s="1"/>
  <c r="BI401" i="1" s="1" a="1"/>
  <c r="BI401" i="1" s="1"/>
  <c r="BI402" i="1" s="1" a="1"/>
  <c r="BI402" i="1" s="1"/>
  <c r="BI403" i="1" s="1" a="1"/>
  <c r="BI403" i="1" s="1"/>
  <c r="BI404" i="1" s="1" a="1"/>
  <c r="BI404" i="1" s="1"/>
  <c r="BI405" i="1" s="1" a="1"/>
  <c r="BI405" i="1" s="1"/>
  <c r="BI406" i="1" s="1" a="1"/>
  <c r="BI406" i="1" s="1"/>
  <c r="BI407" i="1" s="1" a="1"/>
  <c r="BI407" i="1" s="1"/>
  <c r="BI408" i="1" s="1" a="1"/>
  <c r="BI408" i="1" s="1"/>
  <c r="BI409" i="1" s="1" a="1"/>
  <c r="BI409" i="1" s="1"/>
  <c r="BI410" i="1" s="1" a="1"/>
  <c r="BI410" i="1" s="1"/>
  <c r="BI411" i="1" s="1" a="1"/>
  <c r="BI411" i="1" s="1"/>
  <c r="BI412" i="1" s="1" a="1"/>
  <c r="BI412" i="1" s="1"/>
  <c r="BI413" i="1" s="1" a="1"/>
  <c r="BI413" i="1" s="1"/>
  <c r="BI414" i="1" s="1" a="1"/>
  <c r="BI414" i="1" s="1"/>
  <c r="BI415" i="1" s="1" a="1"/>
  <c r="BI415" i="1" s="1"/>
  <c r="BI416" i="1" s="1" a="1"/>
  <c r="BI416" i="1" s="1"/>
  <c r="BI417" i="1" s="1" a="1"/>
  <c r="BI417" i="1" s="1"/>
  <c r="BI418" i="1" s="1" a="1"/>
  <c r="BI418" i="1" s="1"/>
  <c r="BI419" i="1" s="1" a="1"/>
  <c r="BI419" i="1" s="1"/>
  <c r="BI420" i="1" s="1" a="1"/>
  <c r="BI420" i="1" s="1"/>
  <c r="BI421" i="1" s="1" a="1"/>
  <c r="BI421" i="1" s="1"/>
  <c r="BI422" i="1" s="1" a="1"/>
  <c r="BI422" i="1" s="1"/>
  <c r="BI423" i="1" s="1" a="1"/>
  <c r="BI423" i="1" s="1"/>
  <c r="BI424" i="1" s="1" a="1"/>
  <c r="BI424" i="1" s="1"/>
  <c r="BI425" i="1" s="1" a="1"/>
  <c r="BI425" i="1" s="1"/>
  <c r="BI426" i="1" s="1" a="1"/>
  <c r="BI426" i="1" s="1"/>
  <c r="BI427" i="1" s="1" a="1"/>
  <c r="BI427" i="1" s="1"/>
  <c r="BI428" i="1" s="1" a="1"/>
  <c r="BI428" i="1" s="1"/>
  <c r="BI429" i="1" s="1" a="1"/>
  <c r="BI429" i="1" s="1"/>
  <c r="BI430" i="1" s="1" a="1"/>
  <c r="BI430" i="1" s="1"/>
  <c r="BI431" i="1" s="1" a="1"/>
  <c r="BI431" i="1" s="1"/>
  <c r="BI432" i="1" s="1" a="1"/>
  <c r="BI432" i="1" s="1"/>
  <c r="BI433" i="1" s="1" a="1"/>
  <c r="BI433" i="1" s="1"/>
  <c r="BI434" i="1" s="1" a="1"/>
  <c r="BI434" i="1" s="1"/>
  <c r="BI435" i="1" s="1" a="1"/>
  <c r="BI435" i="1" s="1"/>
  <c r="BI436" i="1" s="1" a="1"/>
  <c r="BI436" i="1" s="1"/>
  <c r="BI437" i="1" s="1" a="1"/>
  <c r="BI437" i="1" s="1"/>
  <c r="BI438" i="1" s="1" a="1"/>
  <c r="BI438" i="1" s="1"/>
  <c r="BI439" i="1" s="1" a="1"/>
  <c r="BI439" i="1" s="1"/>
  <c r="BI440" i="1" s="1" a="1"/>
  <c r="BI440" i="1" s="1"/>
  <c r="BI441" i="1" s="1" a="1"/>
  <c r="BI441" i="1" s="1"/>
  <c r="BI442" i="1" s="1" a="1"/>
  <c r="BI442" i="1" s="1"/>
  <c r="BI443" i="1" s="1" a="1"/>
  <c r="BI443" i="1" s="1"/>
  <c r="BI444" i="1" s="1" a="1"/>
  <c r="BI444" i="1" s="1"/>
  <c r="BI445" i="1" s="1" a="1"/>
  <c r="BI445" i="1" s="1"/>
  <c r="BI446" i="1" s="1" a="1"/>
  <c r="BI446" i="1" s="1"/>
  <c r="BI447" i="1" s="1" a="1"/>
  <c r="BI447" i="1" s="1"/>
  <c r="BI448" i="1" s="1" a="1"/>
  <c r="BI448" i="1" s="1"/>
  <c r="BI449" i="1" s="1" a="1"/>
  <c r="BI449" i="1" s="1"/>
  <c r="BI450" i="1" s="1" a="1"/>
  <c r="BI450" i="1" s="1"/>
  <c r="BI451" i="1" s="1" a="1"/>
  <c r="BI451" i="1" s="1"/>
  <c r="BI452" i="1" s="1" a="1"/>
  <c r="BI452" i="1" s="1"/>
  <c r="BI453" i="1" s="1" a="1"/>
  <c r="BI453" i="1" s="1"/>
  <c r="BI454" i="1" s="1" a="1"/>
  <c r="BI454" i="1" s="1"/>
  <c r="BI455" i="1" s="1" a="1"/>
  <c r="BI455" i="1" s="1"/>
  <c r="BI456" i="1" s="1" a="1"/>
  <c r="BI456" i="1" s="1"/>
  <c r="BI457" i="1" s="1" a="1"/>
  <c r="BI457" i="1" s="1"/>
  <c r="BI458" i="1" s="1" a="1"/>
  <c r="BI458" i="1" s="1"/>
  <c r="BI459" i="1" s="1" a="1"/>
  <c r="BI459" i="1" s="1"/>
  <c r="BI460" i="1" s="1" a="1"/>
  <c r="BI460" i="1" s="1"/>
  <c r="BI461" i="1" s="1" a="1"/>
  <c r="BI461" i="1" s="1"/>
  <c r="BI462" i="1" s="1" a="1"/>
  <c r="BI462" i="1" s="1"/>
  <c r="BI463" i="1" s="1" a="1"/>
  <c r="BI463" i="1" s="1"/>
  <c r="BI464" i="1" s="1" a="1"/>
  <c r="BI464" i="1" s="1"/>
  <c r="BI465" i="1" s="1" a="1"/>
  <c r="BI465" i="1" s="1"/>
  <c r="BI466" i="1" s="1" a="1"/>
  <c r="BI466" i="1" s="1"/>
  <c r="BI467" i="1" s="1" a="1"/>
  <c r="BI467" i="1" s="1"/>
  <c r="BI468" i="1" s="1" a="1"/>
  <c r="BI468" i="1" s="1"/>
  <c r="BI469" i="1" s="1" a="1"/>
  <c r="BI469" i="1" s="1"/>
  <c r="BI470" i="1" s="1" a="1"/>
  <c r="BI470" i="1" s="1"/>
  <c r="BI471" i="1" s="1" a="1"/>
  <c r="BI471" i="1" s="1"/>
  <c r="BI472" i="1" s="1" a="1"/>
  <c r="BI472" i="1" s="1"/>
  <c r="BI473" i="1" s="1" a="1"/>
  <c r="BI473" i="1" s="1"/>
  <c r="BI474" i="1" s="1" a="1"/>
  <c r="BI474" i="1" s="1"/>
  <c r="BI475" i="1" s="1" a="1"/>
  <c r="BI475" i="1" s="1"/>
  <c r="BI476" i="1" s="1" a="1"/>
  <c r="BI476" i="1" s="1"/>
  <c r="BI477" i="1" s="1" a="1"/>
  <c r="BI477" i="1" s="1"/>
  <c r="BI478" i="1" s="1" a="1"/>
  <c r="BI478" i="1" s="1"/>
  <c r="BI479" i="1" s="1" a="1"/>
  <c r="BI479" i="1" s="1"/>
  <c r="BI480" i="1" s="1" a="1"/>
  <c r="BI480" i="1" s="1"/>
  <c r="BI481" i="1" s="1" a="1"/>
  <c r="BI481" i="1" s="1"/>
  <c r="BI482" i="1" s="1" a="1"/>
  <c r="BI482" i="1" s="1"/>
  <c r="BI483" i="1" s="1" a="1"/>
  <c r="BI483" i="1" s="1"/>
  <c r="BI484" i="1" s="1" a="1"/>
  <c r="BI484" i="1" s="1"/>
  <c r="BI485" i="1" s="1" a="1"/>
  <c r="BI485" i="1" s="1"/>
  <c r="BI486" i="1" s="1" a="1"/>
  <c r="BI486" i="1" s="1"/>
  <c r="BI487" i="1" s="1" a="1"/>
  <c r="BI487" i="1" s="1"/>
  <c r="BI488" i="1" s="1" a="1"/>
  <c r="BI488" i="1" s="1"/>
  <c r="BI489" i="1" s="1" a="1"/>
  <c r="BI489" i="1" s="1"/>
  <c r="BI490" i="1" s="1" a="1"/>
  <c r="BI490" i="1" s="1"/>
  <c r="BI491" i="1" s="1" a="1"/>
  <c r="BI491" i="1" s="1"/>
  <c r="BI492" i="1" s="1" a="1"/>
  <c r="BI492" i="1" s="1"/>
  <c r="BI493" i="1" s="1" a="1"/>
  <c r="BI493" i="1" s="1"/>
  <c r="BI494" i="1" s="1" a="1"/>
  <c r="BI494" i="1" s="1"/>
  <c r="BI495" i="1" s="1" a="1"/>
  <c r="BI495" i="1" s="1"/>
  <c r="BI496" i="1" s="1" a="1"/>
  <c r="BI496" i="1" s="1"/>
  <c r="BI497" i="1" s="1" a="1"/>
  <c r="BI497" i="1" s="1"/>
  <c r="BI498" i="1" s="1" a="1"/>
  <c r="BI498" i="1" s="1"/>
  <c r="BI499" i="1" s="1" a="1"/>
  <c r="BI499" i="1" s="1"/>
  <c r="BI500" i="1" s="1" a="1"/>
  <c r="BI500" i="1" s="1"/>
  <c r="BI501" i="1" s="1" a="1"/>
  <c r="BI501" i="1" s="1"/>
  <c r="BI502" i="1" s="1" a="1"/>
  <c r="BI502" i="1" s="1"/>
  <c r="BI503" i="1" s="1" a="1"/>
  <c r="BI503" i="1" s="1"/>
  <c r="BI504" i="1" s="1" a="1"/>
  <c r="BI504" i="1" s="1"/>
  <c r="BI505" i="1" s="1" a="1"/>
  <c r="BI505" i="1" s="1"/>
  <c r="BI506" i="1" s="1" a="1"/>
  <c r="BI506" i="1" s="1"/>
  <c r="BI507" i="1" s="1" a="1"/>
  <c r="BI507" i="1" s="1"/>
  <c r="BI508" i="1" s="1" a="1"/>
  <c r="BI508" i="1" s="1"/>
  <c r="BI509" i="1" s="1" a="1"/>
  <c r="BI509" i="1" s="1"/>
  <c r="BI510" i="1" s="1" a="1"/>
  <c r="BI510" i="1" s="1"/>
  <c r="BI511" i="1" s="1" a="1"/>
  <c r="BI511" i="1" s="1"/>
  <c r="BI512" i="1" s="1" a="1"/>
  <c r="BI512" i="1" s="1"/>
  <c r="BI513" i="1" s="1" a="1"/>
  <c r="BI513" i="1" s="1"/>
  <c r="BI514" i="1" s="1" a="1"/>
  <c r="BI514" i="1" s="1"/>
  <c r="BI515" i="1" s="1" a="1"/>
  <c r="BI515" i="1" s="1"/>
  <c r="BI516" i="1" s="1" a="1"/>
  <c r="BI516" i="1" s="1"/>
  <c r="BI517" i="1" s="1" a="1"/>
  <c r="BI517" i="1" s="1"/>
  <c r="BI518" i="1" s="1" a="1"/>
  <c r="BI518" i="1" s="1"/>
  <c r="BI519" i="1" s="1" a="1"/>
  <c r="BI519" i="1" s="1"/>
  <c r="BI520" i="1" s="1" a="1"/>
  <c r="BI520" i="1" s="1"/>
  <c r="BI521" i="1" s="1" a="1"/>
  <c r="BI521" i="1" s="1"/>
  <c r="BI522" i="1" s="1" a="1"/>
  <c r="BI522" i="1" s="1"/>
  <c r="BI523" i="1" s="1" a="1"/>
  <c r="BI523" i="1" s="1"/>
  <c r="BI524" i="1" s="1" a="1"/>
  <c r="BI524" i="1" s="1"/>
  <c r="BI525" i="1" s="1" a="1"/>
  <c r="BI525" i="1" s="1"/>
  <c r="BI526" i="1" s="1" a="1"/>
  <c r="BI526" i="1" s="1"/>
  <c r="BI527" i="1" s="1" a="1"/>
  <c r="BI527" i="1" s="1"/>
  <c r="BI528" i="1" s="1" a="1"/>
  <c r="BI528" i="1" s="1"/>
  <c r="BI529" i="1" s="1" a="1"/>
  <c r="BI529" i="1" s="1"/>
  <c r="BI530" i="1" s="1" a="1"/>
  <c r="BI530" i="1" s="1"/>
  <c r="BI531" i="1" s="1" a="1"/>
  <c r="BI531" i="1" s="1"/>
  <c r="BI532" i="1" s="1" a="1"/>
  <c r="BI532" i="1" s="1"/>
  <c r="BI533" i="1" s="1" a="1"/>
  <c r="BI533" i="1" s="1"/>
  <c r="BI534" i="1" s="1" a="1"/>
  <c r="BI534" i="1" s="1"/>
  <c r="BI535" i="1" s="1" a="1"/>
  <c r="BI535" i="1" s="1"/>
  <c r="BI536" i="1" s="1" a="1"/>
  <c r="BI536" i="1" s="1"/>
  <c r="BI537" i="1" s="1" a="1"/>
  <c r="BI537" i="1" s="1"/>
  <c r="BI538" i="1" s="1" a="1"/>
  <c r="BI538" i="1" s="1"/>
  <c r="BI539" i="1" s="1" a="1"/>
  <c r="BI539" i="1" s="1"/>
  <c r="BI540" i="1" s="1" a="1"/>
  <c r="BI540" i="1" s="1"/>
  <c r="BI541" i="1" s="1" a="1"/>
  <c r="BI541" i="1" s="1"/>
  <c r="BI542" i="1" s="1" a="1"/>
  <c r="BI542" i="1" s="1"/>
  <c r="BI543" i="1" s="1" a="1"/>
  <c r="BI543" i="1" s="1"/>
  <c r="BI544" i="1" s="1" a="1"/>
  <c r="BI544" i="1" s="1"/>
  <c r="BI545" i="1" s="1" a="1"/>
  <c r="BI545" i="1" s="1"/>
  <c r="BI546" i="1" s="1" a="1"/>
  <c r="BI546" i="1" s="1"/>
  <c r="BI547" i="1" s="1" a="1"/>
  <c r="BI547" i="1" s="1"/>
  <c r="BI548" i="1" s="1" a="1"/>
  <c r="BI548" i="1" s="1"/>
  <c r="BI549" i="1" s="1" a="1"/>
  <c r="BI549" i="1" s="1"/>
  <c r="BI550" i="1" s="1" a="1"/>
  <c r="BI550" i="1" s="1"/>
  <c r="BI551" i="1" s="1" a="1"/>
  <c r="BI551" i="1" s="1"/>
  <c r="BI552" i="1" s="1" a="1"/>
  <c r="BI552" i="1" s="1"/>
  <c r="BI553" i="1" s="1" a="1"/>
  <c r="BI553" i="1" s="1"/>
  <c r="BI554" i="1" s="1" a="1"/>
  <c r="BI554" i="1" s="1"/>
  <c r="BI555" i="1" s="1" a="1"/>
  <c r="BI555" i="1" s="1"/>
  <c r="BI556" i="1" s="1" a="1"/>
  <c r="BI556" i="1" s="1"/>
  <c r="BI557" i="1" s="1" a="1"/>
  <c r="BI557" i="1" s="1"/>
  <c r="BI558" i="1" s="1" a="1"/>
  <c r="BI558" i="1" s="1"/>
  <c r="BI559" i="1" s="1" a="1"/>
  <c r="BI559" i="1" s="1"/>
  <c r="BI560" i="1" s="1" a="1"/>
  <c r="BI560" i="1" s="1"/>
  <c r="BI561" i="1" s="1" a="1"/>
  <c r="BI561" i="1" s="1"/>
  <c r="BI562" i="1" s="1" a="1"/>
  <c r="BI562" i="1" s="1"/>
  <c r="BI563" i="1" s="1" a="1"/>
  <c r="BI563" i="1" s="1"/>
  <c r="BI564" i="1" s="1" a="1"/>
  <c r="BI564" i="1" s="1"/>
  <c r="BI565" i="1" s="1" a="1"/>
  <c r="BI565" i="1" s="1"/>
  <c r="BI566" i="1" s="1" a="1"/>
  <c r="BI566" i="1" s="1"/>
  <c r="BI567" i="1" s="1" a="1"/>
  <c r="BI567" i="1" s="1"/>
  <c r="BI568" i="1" s="1" a="1"/>
  <c r="BI568" i="1" s="1"/>
  <c r="BI569" i="1" s="1" a="1"/>
  <c r="BI569" i="1" s="1"/>
  <c r="BI570" i="1" s="1" a="1"/>
  <c r="BI570" i="1" s="1"/>
  <c r="BI571" i="1" s="1" a="1"/>
  <c r="BI571" i="1" s="1"/>
  <c r="BI572" i="1" s="1" a="1"/>
  <c r="BI572" i="1" s="1"/>
  <c r="BI573" i="1" s="1" a="1"/>
  <c r="BI573" i="1" s="1"/>
  <c r="BI574" i="1" s="1" a="1"/>
  <c r="BI574" i="1" s="1"/>
  <c r="BI575" i="1" s="1" a="1"/>
  <c r="BI575" i="1" s="1"/>
  <c r="BI576" i="1" s="1" a="1"/>
  <c r="BI576" i="1" s="1"/>
  <c r="BI577" i="1" s="1" a="1"/>
  <c r="BI577" i="1" s="1"/>
  <c r="BI578" i="1" s="1" a="1"/>
  <c r="BI578" i="1" s="1"/>
  <c r="BI579" i="1" s="1" a="1"/>
  <c r="BI579" i="1" s="1"/>
  <c r="BI580" i="1" s="1" a="1"/>
  <c r="BI580" i="1" s="1"/>
  <c r="BI581" i="1" s="1" a="1"/>
  <c r="BI581" i="1" s="1"/>
  <c r="BI582" i="1" s="1" a="1"/>
  <c r="BI582" i="1" s="1"/>
  <c r="BI583" i="1" s="1" a="1"/>
  <c r="BI583" i="1" s="1"/>
  <c r="BI584" i="1" s="1" a="1"/>
  <c r="BI584" i="1" s="1"/>
  <c r="BI585" i="1" s="1" a="1"/>
  <c r="BI585" i="1" s="1"/>
  <c r="BI586" i="1" s="1" a="1"/>
  <c r="BI586" i="1" s="1"/>
  <c r="BI587" i="1" s="1" a="1"/>
  <c r="BI587" i="1" s="1"/>
  <c r="BI588" i="1" s="1" a="1"/>
  <c r="BI588" i="1" s="1"/>
  <c r="BI589" i="1" s="1" a="1"/>
  <c r="BI589" i="1" s="1"/>
  <c r="BI590" i="1" s="1" a="1"/>
  <c r="BI590" i="1" s="1"/>
  <c r="BI591" i="1" s="1" a="1"/>
  <c r="BI591" i="1" s="1"/>
  <c r="BI592" i="1" s="1" a="1"/>
  <c r="BI592" i="1" s="1"/>
  <c r="BI593" i="1" s="1" a="1"/>
  <c r="BI593" i="1" s="1"/>
  <c r="BI594" i="1" s="1" a="1"/>
  <c r="BI594" i="1" s="1"/>
  <c r="BI595" i="1" s="1" a="1"/>
  <c r="BI595" i="1" s="1"/>
  <c r="BI596" i="1" s="1" a="1"/>
  <c r="BI596" i="1" s="1"/>
  <c r="BI597" i="1" s="1" a="1"/>
  <c r="BI597" i="1" s="1"/>
  <c r="BI598" i="1" s="1" a="1"/>
  <c r="BI598" i="1" s="1"/>
  <c r="BI599" i="1" s="1" a="1"/>
  <c r="BI599" i="1" s="1"/>
  <c r="BI600" i="1" s="1" a="1"/>
  <c r="BI600" i="1" s="1"/>
  <c r="BI601" i="1" s="1" a="1"/>
  <c r="BI601" i="1" s="1"/>
  <c r="BI602" i="1" s="1" a="1"/>
  <c r="BI602" i="1" s="1"/>
  <c r="BI603" i="1" s="1" a="1"/>
  <c r="BI603" i="1" s="1"/>
  <c r="BI604" i="1" s="1" a="1"/>
  <c r="BI604" i="1" s="1"/>
  <c r="BI605" i="1" s="1" a="1"/>
  <c r="BI605" i="1" s="1"/>
  <c r="BI606" i="1" s="1" a="1"/>
  <c r="BI606" i="1" s="1"/>
  <c r="BI607" i="1" s="1" a="1"/>
  <c r="BI607" i="1" s="1"/>
  <c r="BI608" i="1" s="1" a="1"/>
  <c r="BI608" i="1" s="1"/>
  <c r="BI609" i="1" s="1" a="1"/>
  <c r="BI609" i="1" s="1"/>
  <c r="BI610" i="1" s="1" a="1"/>
  <c r="BI610" i="1" s="1"/>
  <c r="BI627" i="1" s="1" a="1"/>
  <c r="BI627" i="1" s="1"/>
  <c r="BI628" i="1" s="1" a="1"/>
  <c r="BI628" i="1" s="1"/>
  <c r="BI629" i="1" s="1" a="1"/>
  <c r="BI629" i="1" s="1"/>
  <c r="BI630" i="1" s="1" a="1"/>
  <c r="BI630" i="1" s="1"/>
  <c r="BI631" i="1" s="1" a="1"/>
  <c r="BI631" i="1" s="1"/>
  <c r="BI632" i="1" s="1" a="1"/>
  <c r="BI632" i="1" s="1"/>
  <c r="BI633" i="1" s="1" a="1"/>
  <c r="BI633" i="1" s="1"/>
  <c r="BI634" i="1" s="1" a="1"/>
  <c r="BI634" i="1" s="1"/>
  <c r="BI635" i="1" s="1" a="1"/>
  <c r="BI635" i="1" s="1"/>
  <c r="BI636" i="1" s="1" a="1"/>
  <c r="BI636" i="1" s="1"/>
  <c r="BI637" i="1" s="1" a="1"/>
  <c r="BI637" i="1" s="1"/>
  <c r="BI638" i="1" s="1" a="1"/>
  <c r="BI638" i="1" s="1"/>
  <c r="BI639" i="1" s="1" a="1"/>
  <c r="BI639" i="1" s="1"/>
  <c r="BI640" i="1" s="1" a="1"/>
  <c r="BI640" i="1" s="1"/>
  <c r="BI641" i="1" s="1" a="1"/>
  <c r="BI641" i="1" s="1"/>
  <c r="BI642" i="1" s="1" a="1"/>
  <c r="BI642" i="1" s="1"/>
  <c r="BI643" i="1" s="1" a="1"/>
  <c r="BI643" i="1" s="1"/>
  <c r="BI644" i="1" s="1" a="1"/>
  <c r="BI644" i="1" s="1"/>
  <c r="BI645" i="1" s="1" a="1"/>
  <c r="BI645" i="1" s="1"/>
  <c r="BI646" i="1" s="1" a="1"/>
  <c r="BI646" i="1" s="1"/>
  <c r="BI647" i="1" s="1" a="1"/>
  <c r="BI647" i="1" s="1"/>
  <c r="BI648" i="1" s="1" a="1"/>
  <c r="BI648" i="1" s="1"/>
  <c r="BI649" i="1" s="1" a="1"/>
  <c r="BI649" i="1" s="1"/>
  <c r="BI650" i="1" s="1" a="1"/>
  <c r="BI650" i="1" s="1"/>
  <c r="BI651" i="1" s="1" a="1"/>
  <c r="BI651" i="1" s="1"/>
  <c r="BI652" i="1" s="1" a="1"/>
  <c r="BI652" i="1" s="1"/>
  <c r="BI653" i="1" s="1" a="1"/>
  <c r="BI653" i="1" s="1"/>
  <c r="BI654" i="1" s="1" a="1"/>
  <c r="BI654" i="1" s="1"/>
  <c r="BI655" i="1" s="1" a="1"/>
  <c r="BI655" i="1" s="1"/>
  <c r="BI656" i="1" s="1" a="1"/>
  <c r="BI656" i="1" s="1"/>
  <c r="BI657" i="1" s="1" a="1"/>
  <c r="BI657" i="1" s="1"/>
  <c r="BI658" i="1" s="1" a="1"/>
  <c r="BI658" i="1" s="1"/>
  <c r="BI659" i="1" s="1" a="1"/>
  <c r="BI659" i="1" s="1"/>
  <c r="BI660" i="1" s="1" a="1"/>
  <c r="BI660" i="1" s="1"/>
  <c r="BI661" i="1" s="1" a="1"/>
  <c r="BI661" i="1" s="1"/>
  <c r="BI662" i="1" s="1" a="1"/>
  <c r="BI662" i="1" s="1"/>
  <c r="BI663" i="1" s="1" a="1"/>
  <c r="BI663" i="1" s="1"/>
  <c r="BI664" i="1" s="1" a="1"/>
  <c r="BI664" i="1" s="1"/>
  <c r="BI665" i="1" s="1" a="1"/>
  <c r="BI665" i="1" s="1"/>
  <c r="BI666" i="1" s="1" a="1"/>
  <c r="BI666" i="1" s="1"/>
  <c r="BI667" i="1" s="1" a="1"/>
  <c r="BI667" i="1" s="1"/>
  <c r="BI668" i="1" s="1" a="1"/>
  <c r="BI668" i="1" s="1"/>
  <c r="BI669" i="1" s="1" a="1"/>
  <c r="BI669" i="1" s="1"/>
  <c r="BI670" i="1" s="1" a="1"/>
  <c r="BI670" i="1" s="1"/>
  <c r="BI671" i="1" s="1" a="1"/>
  <c r="BI671" i="1" s="1"/>
  <c r="BI672" i="1" s="1" a="1"/>
  <c r="BI672" i="1" s="1"/>
  <c r="BI673" i="1" s="1" a="1"/>
  <c r="BI673" i="1" s="1"/>
  <c r="BI674" i="1" s="1" a="1"/>
  <c r="BI674" i="1" s="1"/>
  <c r="BI675" i="1" s="1" a="1"/>
  <c r="BI675" i="1" s="1"/>
  <c r="BI676" i="1" s="1" a="1"/>
  <c r="BI676" i="1" s="1"/>
  <c r="BI677" i="1" s="1" a="1"/>
  <c r="BI677" i="1" s="1"/>
  <c r="BI678" i="1" s="1" a="1"/>
  <c r="BI678" i="1" s="1"/>
  <c r="BI679" i="1" s="1" a="1"/>
  <c r="BI679" i="1" s="1"/>
  <c r="BI680" i="1" s="1" a="1"/>
  <c r="BI680" i="1" s="1"/>
  <c r="BI681" i="1" s="1" a="1"/>
  <c r="BI681" i="1" s="1"/>
  <c r="BI682" i="1" s="1" a="1"/>
  <c r="BI682" i="1" s="1"/>
  <c r="BI683" i="1" s="1" a="1"/>
  <c r="BI683" i="1" s="1"/>
  <c r="BI684" i="1" s="1" a="1"/>
  <c r="BI684" i="1" s="1"/>
  <c r="BI685" i="1" s="1" a="1"/>
  <c r="BI685" i="1" s="1"/>
  <c r="BI686" i="1" s="1" a="1"/>
  <c r="BI686" i="1" s="1"/>
  <c r="BI687" i="1" s="1" a="1"/>
  <c r="BI687" i="1" s="1"/>
  <c r="BI688" i="1" s="1" a="1"/>
  <c r="BI688" i="1" s="1"/>
  <c r="BI689" i="1" s="1" a="1"/>
  <c r="BI689" i="1" s="1"/>
  <c r="BI690" i="1" s="1" a="1"/>
  <c r="BI690" i="1" s="1"/>
  <c r="BI691" i="1" s="1" a="1"/>
  <c r="BI691" i="1" s="1"/>
  <c r="BI692" i="1" s="1" a="1"/>
  <c r="BI692" i="1" s="1"/>
  <c r="BI693" i="1" s="1" a="1"/>
  <c r="BI693" i="1" s="1"/>
  <c r="BI694" i="1" s="1" a="1"/>
  <c r="BI694" i="1" s="1"/>
  <c r="BI695" i="1" s="1" a="1"/>
  <c r="BI695" i="1" s="1"/>
  <c r="BI696" i="1" s="1" a="1"/>
  <c r="BI696" i="1" s="1"/>
  <c r="BI697" i="1" s="1" a="1"/>
  <c r="BI697" i="1" s="1"/>
  <c r="BI698" i="1" s="1" a="1"/>
  <c r="BI698" i="1" s="1"/>
  <c r="BI699" i="1" s="1" a="1"/>
  <c r="BI699" i="1" s="1"/>
  <c r="BI700" i="1" s="1" a="1"/>
  <c r="BI700" i="1" s="1"/>
  <c r="BI701" i="1" s="1" a="1"/>
  <c r="BI701" i="1" s="1"/>
  <c r="BI702" i="1" s="1" a="1"/>
  <c r="BI702" i="1" s="1"/>
  <c r="BI703" i="1" s="1" a="1"/>
  <c r="BI703" i="1" s="1"/>
  <c r="BI704" i="1" s="1" a="1"/>
  <c r="BI704" i="1" s="1"/>
  <c r="BI705" i="1" s="1" a="1"/>
  <c r="BI705" i="1" s="1"/>
  <c r="BI706" i="1" s="1" a="1"/>
  <c r="BI706" i="1" s="1"/>
  <c r="BI707" i="1" s="1" a="1"/>
  <c r="BI707" i="1" s="1"/>
  <c r="BI708" i="1" s="1" a="1"/>
  <c r="BI708" i="1" s="1"/>
  <c r="BI709" i="1" s="1" a="1"/>
  <c r="BI709" i="1" s="1"/>
  <c r="BI710" i="1" s="1" a="1"/>
  <c r="BI710" i="1" s="1"/>
  <c r="BI711" i="1" s="1" a="1"/>
  <c r="BI711" i="1" s="1"/>
  <c r="BI712" i="1" s="1" a="1"/>
  <c r="BI712" i="1" s="1"/>
  <c r="BI713" i="1" s="1" a="1"/>
  <c r="BI713" i="1" s="1"/>
  <c r="BI714" i="1" s="1" a="1"/>
  <c r="BI714" i="1" s="1"/>
  <c r="BI715" i="1" s="1" a="1"/>
  <c r="BI715" i="1" s="1"/>
  <c r="BI716" i="1" s="1" a="1"/>
  <c r="BI716" i="1" s="1"/>
  <c r="BI717" i="1" s="1" a="1"/>
  <c r="BI717" i="1" s="1"/>
  <c r="BI718" i="1" s="1" a="1"/>
  <c r="BI718" i="1" s="1"/>
  <c r="BI719" i="1" s="1" a="1"/>
  <c r="BI719" i="1" s="1"/>
  <c r="BI720" i="1" s="1" a="1"/>
  <c r="BI720" i="1" s="1"/>
  <c r="BI721" i="1" s="1" a="1"/>
  <c r="BI721" i="1" s="1"/>
  <c r="BI722" i="1" s="1" a="1"/>
  <c r="BI722" i="1" s="1"/>
  <c r="BI723" i="1" s="1" a="1"/>
  <c r="BI723" i="1" s="1"/>
  <c r="BI724" i="1" s="1" a="1"/>
  <c r="BI724" i="1" s="1"/>
  <c r="BI725" i="1" s="1" a="1"/>
  <c r="BI725" i="1" s="1"/>
  <c r="BI726" i="1" s="1" a="1"/>
  <c r="BI726" i="1" s="1"/>
  <c r="BI727" i="1" s="1" a="1"/>
  <c r="BI727" i="1" s="1"/>
  <c r="BI728" i="1" s="1" a="1"/>
  <c r="BI728" i="1" s="1"/>
  <c r="BI729" i="1" s="1" a="1"/>
  <c r="BI729" i="1" s="1"/>
  <c r="BI730" i="1" s="1" a="1"/>
  <c r="BI730" i="1" s="1"/>
  <c r="BI731" i="1" s="1" a="1"/>
  <c r="BI731" i="1" s="1"/>
  <c r="BI732" i="1" s="1" a="1"/>
  <c r="BI732" i="1" s="1"/>
  <c r="BI733" i="1" s="1" a="1"/>
  <c r="BI733" i="1" s="1"/>
  <c r="BI734" i="1" s="1" a="1"/>
  <c r="BI734" i="1" s="1"/>
  <c r="BI735" i="1" s="1" a="1"/>
  <c r="BI735" i="1" s="1"/>
  <c r="BI736" i="1" s="1" a="1"/>
  <c r="BI736" i="1" s="1"/>
  <c r="BI737" i="1" s="1" a="1"/>
  <c r="BI737" i="1" s="1"/>
  <c r="BI738" i="1" s="1" a="1"/>
  <c r="BI738" i="1" s="1"/>
  <c r="BI739" i="1" s="1" a="1"/>
  <c r="BI739" i="1" s="1"/>
  <c r="BI740" i="1" s="1" a="1"/>
  <c r="BI740" i="1" s="1"/>
  <c r="BI741" i="1" s="1" a="1"/>
  <c r="BI741" i="1" s="1"/>
  <c r="BI742" i="1" s="1" a="1"/>
  <c r="BI742" i="1" s="1"/>
  <c r="BI743" i="1" s="1" a="1"/>
  <c r="BI743" i="1" s="1"/>
  <c r="BI744" i="1" s="1" a="1"/>
  <c r="BI744" i="1" s="1"/>
  <c r="BI745" i="1" s="1" a="1"/>
  <c r="BI745" i="1" s="1"/>
  <c r="BI746" i="1" s="1" a="1"/>
  <c r="BI746" i="1" s="1"/>
  <c r="BI747" i="1" s="1" a="1"/>
  <c r="BI747" i="1" s="1"/>
  <c r="BI749" i="1" s="1" a="1"/>
  <c r="BI749" i="1" s="1"/>
  <c r="BI750" i="1" s="1" a="1"/>
  <c r="BI750" i="1" s="1"/>
  <c r="BI751" i="1" s="1" a="1"/>
  <c r="BI751" i="1" s="1"/>
  <c r="BI752" i="1" s="1" a="1"/>
  <c r="BI752" i="1" s="1"/>
  <c r="BI753" i="1" s="1" a="1"/>
  <c r="BI753" i="1" s="1"/>
  <c r="BI754" i="1" s="1" a="1"/>
  <c r="BI754" i="1" s="1"/>
  <c r="BI755" i="1" s="1" a="1"/>
  <c r="BI755" i="1" s="1"/>
  <c r="BI756" i="1" s="1" a="1"/>
  <c r="BI756" i="1" s="1"/>
  <c r="BI757" i="1" s="1" a="1"/>
  <c r="BI757" i="1" s="1"/>
  <c r="BI758" i="1" s="1" a="1"/>
  <c r="BI758" i="1" s="1"/>
  <c r="BI759" i="1" s="1" a="1"/>
  <c r="BI759" i="1" s="1"/>
  <c r="BI760" i="1" s="1" a="1"/>
  <c r="BI760" i="1" s="1"/>
  <c r="BI761" i="1" s="1" a="1"/>
  <c r="BI761" i="1" s="1"/>
  <c r="BI762" i="1" s="1" a="1"/>
  <c r="BI762" i="1" s="1"/>
  <c r="BI763" i="1" s="1" a="1"/>
  <c r="BI763" i="1" s="1"/>
  <c r="BI764" i="1" s="1" a="1"/>
  <c r="BI764" i="1" s="1"/>
  <c r="BI765" i="1" s="1" a="1"/>
  <c r="BI765" i="1" s="1"/>
  <c r="BI766" i="1" s="1" a="1"/>
  <c r="BI766" i="1" s="1"/>
  <c r="BI767" i="1" s="1" a="1"/>
  <c r="BI767" i="1" s="1"/>
  <c r="BI768" i="1" s="1" a="1"/>
  <c r="BI768" i="1" s="1"/>
  <c r="BI769" i="1" s="1" a="1"/>
  <c r="BI769" i="1" s="1"/>
  <c r="BI770" i="1" s="1" a="1"/>
  <c r="BI770" i="1" s="1"/>
  <c r="BI771" i="1" s="1" a="1"/>
  <c r="BI771" i="1" s="1"/>
  <c r="BI772" i="1" s="1" a="1"/>
  <c r="BI772" i="1" s="1"/>
  <c r="BI773" i="1" s="1" a="1"/>
  <c r="BI773" i="1" s="1"/>
  <c r="BI774" i="1" s="1" a="1"/>
  <c r="BI774" i="1" s="1"/>
  <c r="BI775" i="1" s="1" a="1"/>
  <c r="BI775" i="1" s="1"/>
  <c r="BI776" i="1" s="1" a="1"/>
  <c r="BI776" i="1" s="1"/>
  <c r="BI777" i="1" s="1" a="1"/>
  <c r="BI777" i="1" s="1"/>
  <c r="BI778" i="1" s="1" a="1"/>
  <c r="BI778" i="1" s="1"/>
  <c r="BI779" i="1" s="1" a="1"/>
  <c r="BI779" i="1" s="1"/>
  <c r="BI780" i="1" s="1" a="1"/>
  <c r="BI780" i="1" s="1"/>
  <c r="BI781" i="1" s="1" a="1"/>
  <c r="BI781" i="1" s="1"/>
  <c r="BI782" i="1" s="1" a="1"/>
  <c r="BI782" i="1" s="1"/>
  <c r="BI783" i="1" s="1" a="1"/>
  <c r="BI783" i="1" s="1"/>
  <c r="BI784" i="1" s="1" a="1"/>
  <c r="BI784" i="1" s="1"/>
  <c r="BI785" i="1" s="1" a="1"/>
  <c r="BI785" i="1" s="1"/>
  <c r="BI786" i="1" s="1" a="1"/>
  <c r="BI786" i="1" s="1"/>
  <c r="BI787" i="1" s="1" a="1"/>
  <c r="BI787" i="1" s="1"/>
  <c r="BI788" i="1" s="1" a="1"/>
  <c r="BI788" i="1" s="1"/>
  <c r="BI789" i="1" s="1" a="1"/>
  <c r="BI789" i="1" s="1"/>
  <c r="BI790" i="1" s="1" a="1"/>
  <c r="BI790" i="1" s="1"/>
  <c r="BI791" i="1" s="1" a="1"/>
  <c r="BI791" i="1" s="1"/>
  <c r="BI792" i="1" s="1" a="1"/>
  <c r="BI792" i="1" s="1"/>
  <c r="BI793" i="1" s="1" a="1"/>
  <c r="BI793" i="1" s="1"/>
  <c r="BI794" i="1" s="1" a="1"/>
  <c r="BI794" i="1" s="1"/>
  <c r="BI795" i="1" s="1" a="1"/>
  <c r="BI795" i="1" s="1"/>
  <c r="BI796" i="1" s="1" a="1"/>
  <c r="BI796" i="1" s="1"/>
  <c r="BI797" i="1" s="1" a="1"/>
  <c r="BI797" i="1" s="1"/>
  <c r="BI798" i="1" s="1" a="1"/>
  <c r="BI798" i="1" s="1"/>
  <c r="BI799" i="1" s="1" a="1"/>
  <c r="BI799" i="1" s="1"/>
  <c r="BI800" i="1" s="1" a="1"/>
  <c r="BI800" i="1" s="1"/>
  <c r="BI801" i="1" s="1" a="1"/>
  <c r="BI801" i="1" s="1"/>
  <c r="BI802" i="1" s="1" a="1"/>
  <c r="BI802" i="1" s="1"/>
  <c r="BI803" i="1" s="1" a="1"/>
  <c r="BI803" i="1" s="1"/>
  <c r="BI804" i="1" s="1" a="1"/>
  <c r="BI804" i="1" s="1"/>
  <c r="BI805" i="1" s="1" a="1"/>
  <c r="BI805" i="1" s="1"/>
  <c r="BI806" i="1" s="1" a="1"/>
  <c r="BI806" i="1" s="1"/>
  <c r="BI807" i="1" s="1" a="1"/>
  <c r="BI807" i="1" s="1"/>
  <c r="BI808" i="1" s="1" a="1"/>
  <c r="BI808" i="1" s="1"/>
  <c r="BI809" i="1" s="1" a="1"/>
  <c r="BI809" i="1" s="1"/>
  <c r="BI810" i="1" s="1" a="1"/>
  <c r="BI810" i="1" s="1"/>
  <c r="BI811" i="1" s="1" a="1"/>
  <c r="BI811" i="1" s="1"/>
  <c r="BI812" i="1" s="1" a="1"/>
  <c r="BI812" i="1" s="1"/>
  <c r="BI813" i="1" s="1" a="1"/>
  <c r="BI813" i="1" s="1"/>
  <c r="BI814" i="1" s="1" a="1"/>
  <c r="BI814" i="1" s="1"/>
  <c r="BI815" i="1" s="1" a="1"/>
  <c r="BI815" i="1" s="1"/>
  <c r="BI816" i="1" s="1" a="1"/>
  <c r="BI816" i="1" s="1"/>
  <c r="BI817" i="1" s="1" a="1"/>
  <c r="BI817" i="1" s="1"/>
  <c r="BI818" i="1" s="1" a="1"/>
  <c r="BI818" i="1" s="1"/>
  <c r="BI819" i="1" s="1" a="1"/>
  <c r="BI819" i="1" s="1"/>
  <c r="BI820" i="1" s="1" a="1"/>
  <c r="BI820" i="1" s="1"/>
  <c r="BI821" i="1" s="1" a="1"/>
  <c r="BI821" i="1" s="1"/>
  <c r="BI822" i="1" s="1" a="1"/>
  <c r="BI822" i="1" s="1"/>
  <c r="BI823" i="1" s="1" a="1"/>
  <c r="BI823" i="1" s="1"/>
  <c r="BI824" i="1" s="1" a="1"/>
  <c r="BI824" i="1" s="1"/>
  <c r="BI825" i="1" s="1" a="1"/>
  <c r="BI825" i="1" s="1"/>
  <c r="BI826" i="1" s="1" a="1"/>
  <c r="BI826" i="1" s="1"/>
  <c r="BI827" i="1" s="1" a="1"/>
  <c r="BI827" i="1" s="1"/>
  <c r="BI828" i="1" s="1" a="1"/>
  <c r="BI828" i="1" s="1"/>
  <c r="BI829" i="1" s="1" a="1"/>
  <c r="BI829" i="1" s="1"/>
  <c r="BI830" i="1" s="1" a="1"/>
  <c r="BI830" i="1" s="1"/>
  <c r="BI831" i="1" s="1" a="1"/>
  <c r="BI831" i="1" s="1"/>
  <c r="BI832" i="1" s="1" a="1"/>
  <c r="BI832" i="1" s="1"/>
  <c r="BI833" i="1" s="1" a="1"/>
  <c r="BI833" i="1" s="1"/>
  <c r="BI834" i="1" s="1" a="1"/>
  <c r="BI834" i="1" s="1"/>
  <c r="BI835" i="1" s="1" a="1"/>
  <c r="BI835" i="1" s="1"/>
  <c r="BI836" i="1" s="1" a="1"/>
  <c r="BI836" i="1" s="1"/>
  <c r="BI837" i="1" s="1" a="1"/>
  <c r="BI837" i="1" s="1"/>
  <c r="BI838" i="1" s="1" a="1"/>
  <c r="BI838" i="1" s="1"/>
  <c r="BI839" i="1" s="1" a="1"/>
  <c r="BI839" i="1" s="1"/>
  <c r="BI840" i="1" s="1" a="1"/>
  <c r="BI840" i="1" s="1"/>
  <c r="BI841" i="1" s="1" a="1"/>
  <c r="BI841" i="1" s="1"/>
  <c r="BI842" i="1" s="1" a="1"/>
  <c r="BI842" i="1" s="1"/>
  <c r="BI843" i="1" s="1" a="1"/>
  <c r="BI843" i="1" s="1"/>
  <c r="BI844" i="1" s="1" a="1"/>
  <c r="BI844" i="1" s="1"/>
  <c r="BI845" i="1" s="1" a="1"/>
  <c r="BI845" i="1" s="1"/>
  <c r="BI846" i="1" s="1" a="1"/>
  <c r="BI846" i="1" s="1"/>
  <c r="BI847" i="1" s="1" a="1"/>
  <c r="BI847" i="1" s="1"/>
  <c r="BI848" i="1" s="1" a="1"/>
  <c r="BI848" i="1" s="1"/>
  <c r="BI849" i="1" s="1" a="1"/>
  <c r="BI849" i="1" s="1"/>
  <c r="BI850" i="1" s="1" a="1"/>
  <c r="BI850" i="1" s="1"/>
  <c r="BI851" i="1" s="1" a="1"/>
  <c r="BI851" i="1" s="1"/>
  <c r="BI852" i="1" s="1" a="1"/>
  <c r="BI852" i="1" s="1"/>
  <c r="BI853" i="1" s="1" a="1"/>
  <c r="BI853" i="1" s="1"/>
  <c r="BI854" i="1" s="1" a="1"/>
  <c r="BI854" i="1" s="1"/>
  <c r="BI855" i="1" s="1" a="1"/>
  <c r="BI855" i="1" s="1"/>
  <c r="BI856" i="1" s="1" a="1"/>
  <c r="BI856" i="1" s="1"/>
  <c r="BI857" i="1" s="1" a="1"/>
  <c r="BI857" i="1" s="1"/>
  <c r="BI858" i="1" s="1" a="1"/>
  <c r="BI858" i="1" s="1"/>
  <c r="BI859" i="1" s="1" a="1"/>
  <c r="BI859" i="1" s="1"/>
  <c r="BI860" i="1" s="1" a="1"/>
  <c r="BI860" i="1" s="1"/>
  <c r="BI861" i="1" s="1" a="1"/>
  <c r="BI861" i="1" s="1"/>
  <c r="BI862" i="1" s="1" a="1"/>
  <c r="BI862" i="1" s="1"/>
  <c r="BI863" i="1" s="1" a="1"/>
  <c r="BI863" i="1" s="1"/>
  <c r="BI864" i="1" s="1" a="1"/>
  <c r="BI864" i="1" s="1"/>
  <c r="BI865" i="1" s="1" a="1"/>
  <c r="BI865" i="1" s="1"/>
  <c r="BI866" i="1" s="1" a="1"/>
  <c r="BI866" i="1" s="1"/>
  <c r="BI867" i="1" s="1" a="1"/>
  <c r="BI867" i="1" s="1"/>
  <c r="BI868" i="1" s="1" a="1"/>
  <c r="BI868" i="1" s="1"/>
  <c r="BI869" i="1" s="1" a="1"/>
  <c r="BI869" i="1" s="1"/>
  <c r="BI870" i="1" s="1" a="1"/>
  <c r="BI870" i="1" s="1"/>
  <c r="BI871" i="1" s="1" a="1"/>
  <c r="BI871" i="1" s="1"/>
  <c r="BI872" i="1" s="1" a="1"/>
  <c r="BI872" i="1" s="1"/>
  <c r="BI873" i="1" s="1" a="1"/>
  <c r="BI873" i="1" s="1"/>
  <c r="BI874" i="1" s="1" a="1"/>
  <c r="BI874" i="1" s="1"/>
  <c r="BI875" i="1" s="1" a="1"/>
  <c r="BI875" i="1" s="1"/>
  <c r="BI876" i="1" s="1" a="1"/>
  <c r="BI876" i="1" s="1"/>
  <c r="BI877" i="1" s="1" a="1"/>
  <c r="BI877" i="1" s="1"/>
  <c r="BI878" i="1" s="1" a="1"/>
  <c r="BI878" i="1" s="1"/>
  <c r="BI879" i="1" s="1" a="1"/>
  <c r="BI879" i="1" s="1"/>
  <c r="BI880" i="1" s="1" a="1"/>
  <c r="BI880" i="1" s="1"/>
  <c r="BI881" i="1" s="1" a="1"/>
  <c r="BI881" i="1" s="1"/>
  <c r="BI882" i="1" s="1" a="1"/>
  <c r="BI882" i="1" s="1"/>
  <c r="BI883" i="1" s="1" a="1"/>
  <c r="BI883" i="1" s="1"/>
  <c r="BI884" i="1" s="1" a="1"/>
  <c r="BI884" i="1" s="1"/>
  <c r="BI885" i="1" s="1" a="1"/>
  <c r="BI885" i="1" s="1"/>
  <c r="BI886" i="1" s="1" a="1"/>
  <c r="BI886" i="1" s="1"/>
  <c r="BI887" i="1" s="1" a="1"/>
  <c r="BI887" i="1" s="1"/>
  <c r="BI888" i="1" s="1" a="1"/>
  <c r="BI888" i="1" s="1"/>
  <c r="BI889" i="1" s="1" a="1"/>
  <c r="BI889" i="1" s="1"/>
  <c r="BI890" i="1" s="1" a="1"/>
  <c r="BI890" i="1" s="1"/>
  <c r="BI891" i="1" s="1" a="1"/>
  <c r="BI891" i="1" s="1"/>
  <c r="BI892" i="1" s="1" a="1"/>
  <c r="BI892" i="1" s="1"/>
  <c r="BI893" i="1" s="1" a="1"/>
  <c r="BI893" i="1" s="1"/>
  <c r="BI894" i="1" s="1" a="1"/>
  <c r="BI894" i="1" s="1"/>
  <c r="BI895" i="1" s="1" a="1"/>
  <c r="BI895" i="1" s="1"/>
  <c r="BI896" i="1" s="1" a="1"/>
  <c r="BI896" i="1" s="1"/>
  <c r="BI897" i="1" s="1" a="1"/>
  <c r="BI897" i="1" s="1"/>
  <c r="BI898" i="1" s="1" a="1"/>
  <c r="BI898" i="1" s="1"/>
  <c r="BI899" i="1" s="1" a="1"/>
  <c r="BI899" i="1" s="1"/>
  <c r="BI900" i="1" s="1" a="1"/>
  <c r="BI900" i="1" s="1"/>
  <c r="BI901" i="1" s="1" a="1"/>
  <c r="BI901" i="1" s="1"/>
  <c r="BI902" i="1" s="1" a="1"/>
  <c r="BI902" i="1" s="1"/>
  <c r="BI903" i="1" s="1" a="1"/>
  <c r="BI903" i="1" s="1"/>
  <c r="BI904" i="1" s="1" a="1"/>
  <c r="BI904" i="1" s="1"/>
  <c r="BI905" i="1" s="1" a="1"/>
  <c r="BI905" i="1" s="1"/>
  <c r="BI906" i="1" s="1" a="1"/>
  <c r="BI906" i="1" s="1"/>
  <c r="BI907" i="1" s="1" a="1"/>
  <c r="BI907" i="1" s="1"/>
  <c r="BI908" i="1" s="1" a="1"/>
  <c r="BI908" i="1" s="1"/>
  <c r="BI909" i="1" s="1" a="1"/>
  <c r="BI909" i="1" s="1"/>
  <c r="BI910" i="1" s="1" a="1"/>
  <c r="BI910" i="1" s="1"/>
  <c r="BI911" i="1" s="1" a="1"/>
  <c r="BI911" i="1" s="1"/>
  <c r="BI912" i="1" s="1" a="1"/>
  <c r="BI912" i="1" s="1"/>
  <c r="BI913" i="1" s="1" a="1"/>
  <c r="BI913" i="1" s="1"/>
  <c r="BI914" i="1" s="1" a="1"/>
  <c r="BI914" i="1" s="1"/>
  <c r="BI915" i="1" s="1" a="1"/>
  <c r="BI915" i="1" s="1"/>
  <c r="BI916" i="1" s="1" a="1"/>
  <c r="BI916" i="1" s="1"/>
  <c r="BI917" i="1" s="1" a="1"/>
  <c r="BI917" i="1" s="1"/>
  <c r="BI918" i="1" s="1" a="1"/>
  <c r="BI918" i="1" s="1"/>
  <c r="BI919" i="1" s="1" a="1"/>
  <c r="BI919" i="1" s="1"/>
  <c r="BI920" i="1" s="1" a="1"/>
  <c r="BI920" i="1" s="1"/>
  <c r="BI921" i="1" s="1" a="1"/>
  <c r="BI921" i="1" s="1"/>
  <c r="BI922" i="1" s="1" a="1"/>
  <c r="BI922" i="1" s="1"/>
  <c r="BI923" i="1" s="1" a="1"/>
  <c r="BI923" i="1" s="1"/>
  <c r="BI924" i="1" s="1" a="1"/>
  <c r="BI924" i="1" s="1"/>
  <c r="BI925" i="1" s="1" a="1"/>
  <c r="BI925" i="1" s="1"/>
  <c r="BI926" i="1" s="1" a="1"/>
  <c r="BI926" i="1" s="1"/>
  <c r="BI927" i="1" s="1" a="1"/>
  <c r="BI927" i="1" s="1"/>
  <c r="BI928" i="1" s="1" a="1"/>
  <c r="BI928" i="1" s="1"/>
  <c r="BI929" i="1" s="1" a="1"/>
  <c r="BI929" i="1" s="1"/>
  <c r="BI930" i="1" s="1" a="1"/>
  <c r="BI930" i="1" s="1"/>
  <c r="BI931" i="1" s="1" a="1"/>
  <c r="BI931" i="1" s="1"/>
  <c r="BI932" i="1" s="1" a="1"/>
  <c r="BI932" i="1" s="1"/>
  <c r="BI933" i="1" s="1" a="1"/>
  <c r="BI933" i="1" s="1"/>
  <c r="BI934" i="1" s="1" a="1"/>
  <c r="BI934" i="1" s="1"/>
  <c r="BI935" i="1" s="1" a="1"/>
  <c r="BI935" i="1" s="1"/>
  <c r="BI936" i="1" s="1" a="1"/>
  <c r="BI936" i="1" s="1"/>
  <c r="BI937" i="1" s="1" a="1"/>
  <c r="BI937" i="1" s="1"/>
  <c r="BI938" i="1" s="1" a="1"/>
  <c r="BI938" i="1" s="1"/>
  <c r="BI939" i="1" s="1" a="1"/>
  <c r="BI939" i="1" s="1"/>
  <c r="BI940" i="1" s="1" a="1"/>
  <c r="BI940" i="1" s="1"/>
  <c r="BI941" i="1" s="1" a="1"/>
  <c r="BI941" i="1" s="1"/>
  <c r="BI942" i="1" s="1" a="1"/>
  <c r="BI942" i="1" s="1"/>
  <c r="BI943" i="1" s="1" a="1"/>
  <c r="BI943" i="1" s="1"/>
  <c r="BI944" i="1" s="1" a="1"/>
  <c r="BI944" i="1" s="1"/>
  <c r="BI945" i="1" s="1" a="1"/>
  <c r="BI945" i="1" s="1"/>
  <c r="BI946" i="1" s="1" a="1"/>
  <c r="BI946" i="1" s="1"/>
  <c r="BI947" i="1" s="1" a="1"/>
  <c r="BI947" i="1" s="1"/>
  <c r="BI948" i="1" s="1" a="1"/>
  <c r="BI948" i="1" s="1"/>
  <c r="BI949" i="1" s="1" a="1"/>
  <c r="BI949" i="1" s="1"/>
  <c r="BI950" i="1" s="1" a="1"/>
  <c r="BI950" i="1" s="1"/>
  <c r="BI951" i="1" s="1" a="1"/>
  <c r="BI951" i="1" s="1"/>
  <c r="BI952" i="1" s="1" a="1"/>
  <c r="BI952" i="1" s="1"/>
  <c r="BI953" i="1" s="1" a="1"/>
  <c r="BI953" i="1" s="1"/>
  <c r="BI954" i="1" s="1" a="1"/>
  <c r="BI954" i="1" s="1"/>
  <c r="BI955" i="1" s="1" a="1"/>
  <c r="BI955" i="1" s="1"/>
  <c r="BI956" i="1" s="1" a="1"/>
  <c r="BI956" i="1" s="1"/>
  <c r="BI957" i="1" s="1" a="1"/>
  <c r="BI957" i="1" s="1"/>
  <c r="BI958" i="1" s="1" a="1"/>
  <c r="BI958" i="1" s="1"/>
  <c r="BI959" i="1" s="1" a="1"/>
  <c r="BI959" i="1" s="1"/>
  <c r="BI960" i="1" s="1" a="1"/>
  <c r="BI960" i="1" s="1"/>
  <c r="BI961" i="1" s="1" a="1"/>
  <c r="BI961" i="1" s="1"/>
  <c r="BI962" i="1" s="1" a="1"/>
  <c r="BI962" i="1" s="1"/>
  <c r="BI963" i="1" s="1" a="1"/>
  <c r="BI963" i="1" s="1"/>
  <c r="BI964" i="1" s="1" a="1"/>
  <c r="BI964" i="1" s="1"/>
  <c r="BI965" i="1" s="1" a="1"/>
  <c r="BI965" i="1" s="1"/>
  <c r="BI966" i="1" s="1" a="1"/>
  <c r="BI966" i="1" s="1"/>
  <c r="BI967" i="1" s="1" a="1"/>
  <c r="BI967" i="1" s="1"/>
  <c r="BI968" i="1" s="1" a="1"/>
  <c r="BI968" i="1" s="1"/>
  <c r="BI969" i="1" s="1" a="1"/>
  <c r="BI969" i="1" s="1"/>
  <c r="BI970" i="1" s="1" a="1"/>
  <c r="BI970" i="1" s="1"/>
  <c r="BI971" i="1" s="1" a="1"/>
  <c r="BI971" i="1" s="1"/>
  <c r="BI972" i="1" s="1" a="1"/>
  <c r="BI972" i="1" s="1"/>
  <c r="BI973" i="1" s="1" a="1"/>
  <c r="BI973" i="1" s="1"/>
  <c r="BI974" i="1" s="1" a="1"/>
  <c r="BI974" i="1" s="1"/>
  <c r="BI975" i="1" s="1" a="1"/>
  <c r="BI975" i="1" s="1"/>
  <c r="BI976" i="1" s="1" a="1"/>
  <c r="BI976" i="1" s="1"/>
  <c r="BI977" i="1" s="1" a="1"/>
  <c r="BI977" i="1" s="1"/>
  <c r="BI978" i="1" s="1" a="1"/>
  <c r="BI978" i="1" s="1"/>
  <c r="BI979" i="1" s="1" a="1"/>
  <c r="BI979" i="1" s="1"/>
  <c r="BI980" i="1" s="1" a="1"/>
  <c r="BI980" i="1" s="1"/>
  <c r="BI981" i="1" s="1" a="1"/>
  <c r="BI981" i="1" s="1"/>
  <c r="BI982" i="1" s="1" a="1"/>
  <c r="BI982" i="1" s="1"/>
  <c r="BI983" i="1" s="1" a="1"/>
  <c r="BI983" i="1" s="1"/>
  <c r="BI984" i="1" s="1" a="1"/>
  <c r="BI984" i="1" s="1"/>
  <c r="BI985" i="1" s="1" a="1"/>
  <c r="BI985" i="1" s="1"/>
  <c r="BI986" i="1" s="1" a="1"/>
  <c r="BI986" i="1" s="1"/>
  <c r="BI987" i="1" s="1" a="1"/>
  <c r="BI987" i="1" s="1"/>
  <c r="BI988" i="1" s="1" a="1"/>
  <c r="BI988" i="1" s="1"/>
  <c r="BI989" i="1" s="1" a="1"/>
  <c r="BI989" i="1" s="1"/>
  <c r="BI990" i="1" s="1" a="1"/>
  <c r="BI990" i="1" s="1"/>
  <c r="BI991" i="1" s="1" a="1"/>
  <c r="BI991" i="1" s="1"/>
  <c r="BI992" i="1" s="1" a="1"/>
  <c r="BI992" i="1" s="1"/>
  <c r="BI993" i="1" s="1" a="1"/>
  <c r="BI993" i="1" s="1"/>
  <c r="BI994" i="1" s="1" a="1"/>
  <c r="BI994" i="1" s="1"/>
  <c r="BI995" i="1" s="1" a="1"/>
  <c r="BI995" i="1" s="1"/>
  <c r="BI996" i="1" s="1" a="1"/>
  <c r="BI996" i="1" s="1"/>
  <c r="BI997" i="1" s="1" a="1"/>
  <c r="BI997" i="1" s="1"/>
  <c r="BI998" i="1" s="1" a="1"/>
  <c r="BI998" i="1" s="1"/>
  <c r="BI999" i="1" s="1" a="1"/>
  <c r="BI999" i="1" s="1"/>
  <c r="BI1000" i="1" s="1" a="1"/>
  <c r="BI1000" i="1" s="1"/>
  <c r="BI1001" i="1" s="1" a="1"/>
  <c r="BI1001" i="1" s="1"/>
  <c r="BI1002" i="1" s="1" a="1"/>
  <c r="BI1002" i="1" s="1"/>
  <c r="BI1003" i="1" s="1" a="1"/>
  <c r="BI1003" i="1" s="1"/>
  <c r="BI1004" i="1" s="1" a="1"/>
  <c r="BI1004" i="1" s="1"/>
  <c r="BI1005" i="1" s="1" a="1"/>
  <c r="BI1005" i="1" s="1"/>
  <c r="BI1006" i="1" s="1" a="1"/>
  <c r="BI1006" i="1" s="1"/>
  <c r="BI1007" i="1" s="1" a="1"/>
  <c r="BI1007" i="1" s="1"/>
  <c r="BI1008" i="1" s="1" a="1"/>
  <c r="BI1008" i="1" s="1"/>
  <c r="BI1009" i="1" s="1" a="1"/>
  <c r="BI1009" i="1" s="1"/>
  <c r="BI1010" i="1" s="1" a="1"/>
  <c r="BI1010" i="1" s="1"/>
  <c r="BI1011" i="1" s="1" a="1"/>
  <c r="BI1011" i="1" s="1"/>
  <c r="BI1012" i="1" s="1" a="1"/>
  <c r="BI1012" i="1" s="1"/>
  <c r="BI1013" i="1" s="1" a="1"/>
  <c r="BI1013" i="1" s="1"/>
  <c r="BI1014" i="1" s="1" a="1"/>
  <c r="BI1014" i="1" s="1"/>
  <c r="BI1015" i="1" s="1" a="1"/>
  <c r="BI1015" i="1" s="1"/>
  <c r="BI1016" i="1" s="1" a="1"/>
  <c r="BI1016" i="1" s="1"/>
  <c r="BI1017" i="1" s="1" a="1"/>
  <c r="BI1017" i="1" s="1"/>
  <c r="BI1018" i="1" s="1" a="1"/>
  <c r="BI1018" i="1" s="1"/>
  <c r="BI1019" i="1" s="1" a="1"/>
  <c r="BI1019" i="1" s="1"/>
  <c r="BI1020" i="1" s="1" a="1"/>
  <c r="BI1020" i="1" s="1"/>
  <c r="BI1021" i="1" s="1" a="1"/>
  <c r="BI1021" i="1" s="1"/>
  <c r="BI1022" i="1" s="1" a="1"/>
  <c r="BI1022" i="1" s="1"/>
  <c r="BI1023" i="1" s="1" a="1"/>
  <c r="BI1023" i="1" s="1"/>
  <c r="BI1024" i="1" s="1" a="1"/>
  <c r="BI1024" i="1" s="1"/>
  <c r="BI1025" i="1" s="1" a="1"/>
  <c r="BI1025" i="1" s="1"/>
  <c r="BI1026" i="1" s="1" a="1"/>
  <c r="BI1026" i="1" s="1"/>
  <c r="BI1027" i="1" s="1" a="1"/>
  <c r="BI1027" i="1" s="1"/>
  <c r="BI1028" i="1" s="1" a="1"/>
  <c r="BI1028" i="1" s="1"/>
  <c r="BI1029" i="1" s="1" a="1"/>
  <c r="BI1029" i="1" s="1"/>
  <c r="BI1030" i="1" s="1" a="1"/>
  <c r="BI1030" i="1" s="1"/>
  <c r="BI1031" i="1" s="1" a="1"/>
  <c r="BI1031" i="1" s="1"/>
  <c r="BI1032" i="1" s="1" a="1"/>
  <c r="BI1032" i="1" s="1"/>
  <c r="BI1033" i="1" s="1" a="1"/>
  <c r="BI1033" i="1" s="1"/>
  <c r="BI1034" i="1" s="1" a="1"/>
  <c r="BI1034" i="1" s="1"/>
  <c r="BI1035" i="1" s="1" a="1"/>
  <c r="BI1035" i="1" s="1"/>
  <c r="BI1036" i="1" s="1" a="1"/>
  <c r="BI1036" i="1" s="1"/>
  <c r="BI1037" i="1" s="1" a="1"/>
  <c r="BI1037" i="1" s="1"/>
  <c r="BI1038" i="1" s="1" a="1"/>
  <c r="BI1038" i="1" s="1"/>
  <c r="BI1039" i="1" s="1" a="1"/>
  <c r="BI1039" i="1" s="1"/>
  <c r="BI1040" i="1" s="1" a="1"/>
  <c r="BI1040" i="1" s="1"/>
  <c r="BI1041" i="1" s="1" a="1"/>
  <c r="BI1041" i="1" s="1"/>
  <c r="BI1042" i="1" s="1" a="1"/>
  <c r="BI1042" i="1" s="1"/>
  <c r="BI1043" i="1" s="1" a="1"/>
  <c r="BI1043" i="1" s="1"/>
  <c r="BI1044" i="1" s="1" a="1"/>
  <c r="BI1044" i="1" s="1"/>
  <c r="BI1045" i="1" s="1" a="1"/>
  <c r="BI1045" i="1" s="1"/>
  <c r="BI1046" i="1" s="1" a="1"/>
  <c r="BI1046" i="1" s="1"/>
  <c r="BI1047" i="1" s="1" a="1"/>
  <c r="BI1047" i="1" s="1"/>
  <c r="BI1048" i="1" s="1" a="1"/>
  <c r="BI1048" i="1" s="1"/>
  <c r="BI1049" i="1" s="1" a="1"/>
  <c r="BI1049" i="1" s="1"/>
  <c r="BI1050" i="1" s="1" a="1"/>
  <c r="BI1050" i="1" s="1"/>
  <c r="BI1051" i="1" s="1" a="1"/>
  <c r="BI1051" i="1" s="1"/>
  <c r="BI1052" i="1" s="1" a="1"/>
  <c r="BI1052" i="1" s="1"/>
  <c r="BI1053" i="1" s="1" a="1"/>
  <c r="BI1053" i="1" s="1"/>
  <c r="BI1054" i="1" s="1" a="1"/>
  <c r="BI1054" i="1" s="1"/>
  <c r="BI1055" i="1" s="1" a="1"/>
  <c r="BI1055" i="1" s="1"/>
  <c r="BI1056" i="1" s="1" a="1"/>
  <c r="BI1056" i="1" s="1"/>
  <c r="BI1057" i="1" s="1" a="1"/>
  <c r="BI1057" i="1" s="1"/>
  <c r="BI1058" i="1" s="1" a="1"/>
  <c r="BI1058" i="1" s="1"/>
  <c r="BI1059" i="1" s="1" a="1"/>
  <c r="BI1059" i="1" s="1"/>
  <c r="BI1060" i="1" s="1" a="1"/>
  <c r="BI1060" i="1" s="1"/>
  <c r="BI1061" i="1" s="1" a="1"/>
  <c r="BI1061" i="1" s="1"/>
  <c r="BI1062" i="1" s="1" a="1"/>
  <c r="BI1062" i="1" s="1"/>
  <c r="BI1063" i="1" s="1" a="1"/>
  <c r="BI1063" i="1" s="1"/>
  <c r="BI1064" i="1" s="1" a="1"/>
  <c r="BI1064" i="1" s="1"/>
  <c r="BI1065" i="1" s="1" a="1"/>
  <c r="BI1065" i="1" s="1"/>
  <c r="BI1066" i="1" s="1" a="1"/>
  <c r="BI1066" i="1" s="1"/>
  <c r="BI1067" i="1" s="1" a="1"/>
  <c r="BI1067" i="1" s="1"/>
  <c r="BI1068" i="1" s="1" a="1"/>
  <c r="BI1068" i="1" s="1"/>
  <c r="BI1069" i="1" s="1" a="1"/>
  <c r="BI1069" i="1" s="1"/>
  <c r="BI1070" i="1" s="1" a="1"/>
  <c r="BI1070" i="1" s="1"/>
  <c r="BI1071" i="1" s="1" a="1"/>
  <c r="BI1071" i="1" s="1"/>
  <c r="BI1072" i="1" s="1" a="1"/>
  <c r="BI1072" i="1" s="1"/>
  <c r="BI1073" i="1" s="1" a="1"/>
  <c r="BI1073" i="1" s="1"/>
  <c r="BI1074" i="1" s="1" a="1"/>
  <c r="BI1074" i="1" s="1"/>
  <c r="BI1075" i="1" s="1" a="1"/>
  <c r="BI1075" i="1" s="1"/>
  <c r="BI1076" i="1" s="1" a="1"/>
  <c r="BI1076" i="1" s="1"/>
  <c r="BI1077" i="1" s="1" a="1"/>
  <c r="BI1077" i="1" s="1"/>
  <c r="BI1078" i="1" s="1" a="1"/>
  <c r="BI1078" i="1" s="1"/>
  <c r="BI1079" i="1" s="1" a="1"/>
  <c r="BI1079" i="1" s="1"/>
  <c r="BI1080" i="1" s="1" a="1"/>
  <c r="BI1080" i="1" s="1"/>
  <c r="BI1081" i="1" s="1" a="1"/>
  <c r="BI1081" i="1" s="1"/>
  <c r="BI1082" i="1" s="1" a="1"/>
  <c r="BI1082" i="1" s="1"/>
  <c r="BI1083" i="1" s="1" a="1"/>
  <c r="BI1083" i="1" s="1"/>
  <c r="BI1084" i="1" s="1" a="1"/>
  <c r="BI1084" i="1" s="1"/>
  <c r="BI1085" i="1" s="1" a="1"/>
  <c r="BI1085" i="1" s="1"/>
  <c r="BI1086" i="1" s="1" a="1"/>
  <c r="BI1086" i="1" s="1"/>
  <c r="BI1087" i="1" s="1" a="1"/>
  <c r="BI1087" i="1" s="1"/>
  <c r="BI1088" i="1" s="1" a="1"/>
  <c r="BI1088" i="1" s="1"/>
  <c r="BI1089" i="1" s="1" a="1"/>
  <c r="BI1089" i="1" s="1"/>
  <c r="BI1090" i="1" s="1" a="1"/>
  <c r="BI1090" i="1" s="1"/>
  <c r="BI1091" i="1" s="1" a="1"/>
  <c r="BI1091" i="1" s="1"/>
  <c r="BI1092" i="1" s="1" a="1"/>
  <c r="BI1092" i="1" s="1"/>
  <c r="BI1093" i="1" s="1" a="1"/>
  <c r="BI1093" i="1" s="1"/>
  <c r="BI1094" i="1" s="1" a="1"/>
  <c r="BI1094" i="1" s="1"/>
  <c r="BI1095" i="1" s="1" a="1"/>
  <c r="BI1095" i="1" s="1"/>
  <c r="BI1096" i="1" s="1" a="1"/>
  <c r="BI1096" i="1" s="1"/>
  <c r="BI1097" i="1" s="1" a="1"/>
  <c r="BI1097" i="1" s="1"/>
  <c r="BI1098" i="1" s="1" a="1"/>
  <c r="BI1098" i="1" s="1"/>
  <c r="BI1099" i="1" s="1" a="1"/>
  <c r="BI1099" i="1" s="1"/>
  <c r="BI1100" i="1" s="1" a="1"/>
  <c r="BI1100" i="1" s="1"/>
  <c r="BI1101" i="1" s="1" a="1"/>
  <c r="BI1101" i="1" s="1"/>
  <c r="BI1102" i="1" s="1" a="1"/>
  <c r="BI1102" i="1" s="1"/>
  <c r="BI1103" i="1" s="1" a="1"/>
  <c r="BI1103" i="1" s="1"/>
  <c r="BI1104" i="1" s="1" a="1"/>
  <c r="BI1104" i="1" s="1"/>
  <c r="BI1105" i="1" s="1" a="1"/>
  <c r="BI1105" i="1" s="1"/>
  <c r="BI1106" i="1" s="1" a="1"/>
  <c r="BI1106" i="1" s="1"/>
  <c r="BI1107" i="1" s="1" a="1"/>
  <c r="BI1107" i="1" s="1"/>
  <c r="BI1108" i="1" s="1" a="1"/>
  <c r="BI1108" i="1" s="1"/>
  <c r="BI1109" i="1" s="1" a="1"/>
  <c r="BI1109" i="1" s="1"/>
  <c r="BI1110" i="1" s="1" a="1"/>
  <c r="BI1110" i="1" s="1"/>
  <c r="BI1111" i="1" s="1" a="1"/>
  <c r="BI1111" i="1" s="1"/>
  <c r="BI1112" i="1" s="1" a="1"/>
  <c r="BI1112" i="1" s="1"/>
  <c r="BI1113" i="1" s="1" a="1"/>
  <c r="BI1113" i="1" s="1"/>
  <c r="BI1114" i="1" s="1" a="1"/>
  <c r="BI1114" i="1" s="1"/>
  <c r="BI1115" i="1" s="1" a="1"/>
  <c r="BI1115" i="1" s="1"/>
  <c r="BI1116" i="1" s="1" a="1"/>
  <c r="BI1116" i="1" s="1"/>
  <c r="BI1117" i="1" s="1" a="1"/>
  <c r="BI1117" i="1" s="1"/>
  <c r="BI1118" i="1" s="1" a="1"/>
  <c r="BI1118" i="1" s="1"/>
  <c r="BI1119" i="1" s="1" a="1"/>
  <c r="BI1119" i="1" s="1"/>
  <c r="BI1120" i="1" s="1" a="1"/>
  <c r="BI1120" i="1" s="1"/>
  <c r="BI1121" i="1" s="1" a="1"/>
  <c r="BI1121" i="1" s="1"/>
  <c r="BI1122" i="1" s="1" a="1"/>
  <c r="BI1122" i="1" s="1"/>
  <c r="BI1123" i="1" s="1" a="1"/>
  <c r="BI1123" i="1" s="1"/>
  <c r="BI1124" i="1" s="1" a="1"/>
  <c r="BI1124" i="1" s="1"/>
  <c r="BI1125" i="1" s="1" a="1"/>
  <c r="BI1125" i="1" s="1"/>
  <c r="BI1126" i="1" s="1" a="1"/>
  <c r="BI1126" i="1" s="1"/>
  <c r="BI1127" i="1" s="1" a="1"/>
  <c r="BI1127" i="1" s="1"/>
  <c r="BI1128" i="1" s="1" a="1"/>
  <c r="BI1128" i="1" s="1"/>
  <c r="BI1129" i="1" s="1" a="1"/>
  <c r="BI1129" i="1" s="1"/>
  <c r="BI1130" i="1" s="1" a="1"/>
  <c r="BI1130" i="1" s="1"/>
  <c r="BI1131" i="1" s="1" a="1"/>
  <c r="BI1131" i="1" s="1"/>
  <c r="BI1132" i="1" s="1" a="1"/>
  <c r="BI1132" i="1" s="1"/>
  <c r="BI1133" i="1" s="1" a="1"/>
  <c r="BI1133" i="1" s="1"/>
  <c r="BI1134" i="1" s="1" a="1"/>
  <c r="BI1134" i="1" s="1"/>
  <c r="BI1135" i="1" s="1" a="1"/>
  <c r="BI1135" i="1" s="1"/>
  <c r="BI1136" i="1" s="1" a="1"/>
  <c r="BI1136" i="1" s="1"/>
  <c r="BI1137" i="1" s="1" a="1"/>
  <c r="BI1137" i="1" s="1"/>
  <c r="BI1138" i="1" s="1" a="1"/>
  <c r="BI1138" i="1" s="1"/>
  <c r="BI1139" i="1" s="1" a="1"/>
  <c r="BI1139" i="1" s="1"/>
  <c r="BI1140" i="1" s="1" a="1"/>
  <c r="BI1140" i="1" s="1"/>
  <c r="BI1141" i="1" s="1" a="1"/>
  <c r="BI1141" i="1" s="1"/>
  <c r="BI1142" i="1" s="1" a="1"/>
  <c r="BI1142" i="1" s="1"/>
  <c r="BI1143" i="1" s="1" a="1"/>
  <c r="BI1143" i="1" s="1"/>
  <c r="BI1144" i="1" s="1" a="1"/>
  <c r="BI1144" i="1" s="1"/>
  <c r="BI1145" i="1" s="1" a="1"/>
  <c r="BI1145" i="1" s="1"/>
  <c r="BI1146" i="1" s="1" a="1"/>
  <c r="BI1146" i="1" s="1"/>
  <c r="BI1147" i="1" s="1" a="1"/>
  <c r="BI1147" i="1" s="1"/>
  <c r="BI1148" i="1" s="1" a="1"/>
  <c r="BI1148" i="1" s="1"/>
  <c r="BI1149" i="1" s="1" a="1"/>
  <c r="BI1149" i="1" s="1"/>
  <c r="BI1150" i="1" s="1" a="1"/>
  <c r="BI1150" i="1" s="1"/>
  <c r="BI1151" i="1" s="1" a="1"/>
  <c r="BI1151" i="1" s="1"/>
  <c r="BI1152" i="1" s="1" a="1"/>
  <c r="BI1152" i="1" s="1"/>
  <c r="BI1153" i="1" s="1" a="1"/>
  <c r="BI1153" i="1" s="1"/>
  <c r="BI1154" i="1" s="1" a="1"/>
  <c r="BI1154" i="1" s="1"/>
  <c r="BI1155" i="1" s="1" a="1"/>
  <c r="BI1155" i="1" s="1"/>
  <c r="BI1156" i="1" s="1" a="1"/>
  <c r="BI1156" i="1" s="1"/>
  <c r="BI1157" i="1" s="1" a="1"/>
  <c r="BI1157" i="1" s="1"/>
  <c r="BI1158" i="1" s="1" a="1"/>
  <c r="BI1158" i="1" s="1"/>
  <c r="BI1159" i="1" s="1" a="1"/>
  <c r="BI1159" i="1" s="1"/>
  <c r="BI1160" i="1" s="1" a="1"/>
  <c r="BI1160" i="1" s="1"/>
  <c r="BI1161" i="1" s="1" a="1"/>
  <c r="BI1161" i="1" s="1"/>
  <c r="BI1162" i="1" s="1" a="1"/>
  <c r="BI1162" i="1" s="1"/>
  <c r="BI1163" i="1" s="1" a="1"/>
  <c r="BI1163" i="1" s="1"/>
  <c r="BI1164" i="1" s="1" a="1"/>
  <c r="BI1164" i="1" s="1"/>
  <c r="BI1165" i="1" s="1" a="1"/>
  <c r="BI1165" i="1" s="1"/>
  <c r="BI1166" i="1" s="1" a="1"/>
  <c r="BI1166" i="1" s="1"/>
  <c r="BI1167" i="1" s="1" a="1"/>
  <c r="BI1167" i="1" s="1"/>
  <c r="BI1168" i="1" s="1" a="1"/>
  <c r="BI1168" i="1" s="1"/>
  <c r="BI1169" i="1" s="1" a="1"/>
  <c r="BI1169" i="1" s="1"/>
  <c r="BI1170" i="1" s="1" a="1"/>
  <c r="BI1170" i="1" s="1"/>
  <c r="BI1171" i="1" s="1" a="1"/>
  <c r="BI1171" i="1" s="1"/>
  <c r="BI1172" i="1" s="1" a="1"/>
  <c r="BI1172" i="1" s="1"/>
  <c r="BI1173" i="1" s="1" a="1"/>
  <c r="BI1173" i="1" s="1"/>
  <c r="BI1174" i="1" s="1" a="1"/>
  <c r="BI1174" i="1" s="1"/>
  <c r="BI1175" i="1" s="1" a="1"/>
  <c r="BI1175" i="1" s="1"/>
  <c r="BI1176" i="1" s="1" a="1"/>
  <c r="BI1176" i="1" s="1"/>
  <c r="BI1177" i="1" s="1" a="1"/>
  <c r="BI1177" i="1" s="1"/>
  <c r="BI1178" i="1" s="1" a="1"/>
  <c r="BI1178" i="1" s="1"/>
  <c r="BI1179" i="1" s="1" a="1"/>
  <c r="BI1179" i="1" s="1"/>
  <c r="BI1180" i="1" s="1" a="1"/>
  <c r="BI1180" i="1" s="1"/>
  <c r="BI1181" i="1" s="1" a="1"/>
  <c r="BI1181" i="1" s="1"/>
  <c r="BI1182" i="1" s="1" a="1"/>
  <c r="BI1182" i="1" s="1"/>
  <c r="BI1183" i="1" s="1" a="1"/>
  <c r="BI1183" i="1" s="1"/>
  <c r="BI1184" i="1" s="1" a="1"/>
  <c r="BI1184" i="1" s="1"/>
  <c r="BI1185" i="1" s="1" a="1"/>
  <c r="BI1185" i="1" s="1"/>
  <c r="BI1186" i="1" s="1" a="1"/>
  <c r="BI1186" i="1" s="1"/>
  <c r="BI1187" i="1" s="1" a="1"/>
  <c r="BI1187" i="1" s="1"/>
  <c r="BI1188" i="1" s="1" a="1"/>
  <c r="BI1188" i="1" s="1"/>
  <c r="BI1189" i="1" s="1" a="1"/>
  <c r="BI1189" i="1" s="1"/>
  <c r="BI1190" i="1" s="1" a="1"/>
  <c r="BI1190" i="1" s="1"/>
  <c r="BI1191" i="1" s="1" a="1"/>
  <c r="BI1191" i="1" s="1"/>
  <c r="BI1192" i="1" s="1" a="1"/>
  <c r="BI1192" i="1" s="1"/>
  <c r="BI1193" i="1" s="1" a="1"/>
  <c r="BI1193" i="1" s="1"/>
  <c r="BI1194" i="1" s="1" a="1"/>
  <c r="BI1194" i="1" s="1"/>
  <c r="BI1195" i="1" s="1" a="1"/>
  <c r="BI1195" i="1" s="1"/>
  <c r="BI1196" i="1" s="1" a="1"/>
  <c r="BI1196" i="1" s="1"/>
  <c r="BI1197" i="1" s="1" a="1"/>
  <c r="BI1197" i="1" s="1"/>
  <c r="BI1198" i="1" s="1" a="1"/>
  <c r="BI1198" i="1" s="1"/>
  <c r="BI1199" i="1" s="1" a="1"/>
  <c r="BI1199" i="1" s="1"/>
  <c r="BI1200" i="1" s="1" a="1"/>
  <c r="BI1200" i="1" s="1"/>
  <c r="BI1201" i="1" s="1" a="1"/>
  <c r="BI1201" i="1" s="1"/>
  <c r="BI1202" i="1" s="1" a="1"/>
  <c r="BI1202" i="1" s="1"/>
  <c r="BI1203" i="1" s="1" a="1"/>
  <c r="BI1203" i="1" s="1"/>
  <c r="BI1204" i="1" s="1" a="1"/>
  <c r="BI1204" i="1" s="1"/>
  <c r="BI1205" i="1" s="1" a="1"/>
  <c r="BI1205" i="1" s="1"/>
  <c r="BI1206" i="1" s="1" a="1"/>
  <c r="BI1206" i="1" s="1"/>
  <c r="BI1207" i="1" s="1" a="1"/>
  <c r="BI1207" i="1" s="1"/>
  <c r="BI1208" i="1" s="1" a="1"/>
  <c r="BI1208" i="1" s="1"/>
  <c r="BI1209" i="1" s="1" a="1"/>
  <c r="BI1209" i="1" s="1"/>
  <c r="BI1210" i="1" s="1" a="1"/>
  <c r="BI1210" i="1" s="1"/>
  <c r="BI1211" i="1" s="1" a="1"/>
  <c r="BI1211" i="1" s="1"/>
  <c r="BI1212" i="1" s="1" a="1"/>
  <c r="BI1212" i="1" s="1"/>
  <c r="BI1213" i="1" s="1" a="1"/>
  <c r="BI1213" i="1" s="1"/>
  <c r="BI1214" i="1" s="1" a="1"/>
  <c r="BI1214" i="1" s="1"/>
  <c r="BI1215" i="1" s="1" a="1"/>
  <c r="BI1215" i="1" s="1"/>
  <c r="BI1216" i="1" s="1" a="1"/>
  <c r="BI1216" i="1" s="1"/>
  <c r="BI1217" i="1" s="1" a="1"/>
  <c r="BI1217" i="1" s="1"/>
  <c r="BI1218" i="1" s="1" a="1"/>
  <c r="BI1218" i="1" s="1"/>
  <c r="BI1219" i="1" s="1" a="1"/>
  <c r="BI1219" i="1" s="1"/>
  <c r="BI1220" i="1" s="1" a="1"/>
  <c r="BI1220" i="1" s="1"/>
  <c r="BI1221" i="1" s="1" a="1"/>
  <c r="BI1221" i="1" s="1"/>
  <c r="BI1222" i="1" s="1" a="1"/>
  <c r="BI1222" i="1" s="1"/>
  <c r="BI1223" i="1" s="1" a="1"/>
  <c r="BI1223" i="1" s="1"/>
  <c r="BI1224" i="1" s="1" a="1"/>
  <c r="BI1224" i="1" s="1"/>
  <c r="BI1225" i="1" s="1" a="1"/>
  <c r="BI1225" i="1" s="1"/>
  <c r="BI1226" i="1" s="1" a="1"/>
  <c r="BI1226" i="1" s="1"/>
  <c r="BI1227" i="1" s="1" a="1"/>
  <c r="BI1227" i="1" s="1"/>
  <c r="BI1228" i="1" s="1" a="1"/>
  <c r="BI1228" i="1" s="1"/>
  <c r="BI1229" i="1" s="1" a="1"/>
  <c r="BI1229" i="1" s="1"/>
  <c r="BI1230" i="1" s="1" a="1"/>
  <c r="BI1230" i="1" s="1"/>
  <c r="BI1231" i="1" s="1" a="1"/>
  <c r="BI1231" i="1" s="1"/>
  <c r="BI1232" i="1" s="1" a="1"/>
  <c r="BI1232" i="1" s="1"/>
  <c r="BI1233" i="1" s="1" a="1"/>
  <c r="BI1233" i="1" s="1"/>
  <c r="BI1234" i="1" s="1" a="1"/>
  <c r="BI1234" i="1" s="1"/>
  <c r="BI1235" i="1" s="1" a="1"/>
  <c r="BI1235" i="1" s="1"/>
  <c r="BI1236" i="1" s="1" a="1"/>
  <c r="BI1236" i="1" s="1"/>
  <c r="BI1237" i="1" s="1" a="1"/>
  <c r="BI1237" i="1" s="1"/>
  <c r="BI1238" i="1" s="1" a="1"/>
  <c r="BI1238" i="1" s="1"/>
  <c r="BI1239" i="1" s="1" a="1"/>
  <c r="BI1239" i="1" s="1"/>
  <c r="BI1240" i="1" s="1" a="1"/>
  <c r="BI1240" i="1" s="1"/>
  <c r="BI1241" i="1" s="1" a="1"/>
  <c r="BI1241" i="1" s="1"/>
  <c r="BI1242" i="1" s="1" a="1"/>
  <c r="BI1242" i="1" s="1"/>
  <c r="BI1243" i="1" s="1" a="1"/>
  <c r="BI1243" i="1" s="1"/>
  <c r="BI1244" i="1" s="1" a="1"/>
  <c r="BI1244" i="1" s="1"/>
  <c r="BI1245" i="1" s="1" a="1"/>
  <c r="BI1245" i="1" s="1"/>
  <c r="BI1246" i="1" s="1" a="1"/>
  <c r="BI1246" i="1" s="1"/>
  <c r="BI1247" i="1" s="1" a="1"/>
  <c r="BI1247" i="1" s="1"/>
  <c r="BI1248" i="1" s="1" a="1"/>
  <c r="BI1248" i="1" s="1"/>
  <c r="BI1249" i="1" s="1" a="1"/>
  <c r="BI1249" i="1" s="1"/>
  <c r="BI1250" i="1" s="1" a="1"/>
  <c r="BI1250" i="1" s="1"/>
  <c r="BI1251" i="1" s="1" a="1"/>
  <c r="BI1251" i="1" s="1"/>
  <c r="BI1252" i="1" s="1" a="1"/>
  <c r="BI1252" i="1" s="1"/>
  <c r="BI1253" i="1" s="1" a="1"/>
  <c r="BI1253" i="1" s="1"/>
  <c r="BI1254" i="1" s="1" a="1"/>
  <c r="BI1254" i="1" s="1"/>
  <c r="BI1255" i="1" s="1" a="1"/>
  <c r="BI1255" i="1" s="1"/>
  <c r="BI1256" i="1" s="1" a="1"/>
  <c r="BI1256" i="1" s="1"/>
  <c r="BI1257" i="1" s="1" a="1"/>
  <c r="BI1257" i="1" s="1"/>
  <c r="BI1258" i="1" s="1" a="1"/>
  <c r="BI1258" i="1" s="1"/>
  <c r="BI1259" i="1" s="1" a="1"/>
  <c r="BI1259" i="1" s="1"/>
  <c r="BI1260" i="1" s="1" a="1"/>
  <c r="BI1260" i="1" s="1"/>
  <c r="BI1261" i="1" s="1" a="1"/>
  <c r="BI1261" i="1" s="1"/>
  <c r="BI1262" i="1" s="1" a="1"/>
  <c r="BI1262" i="1" s="1"/>
  <c r="BI1263" i="1" s="1" a="1"/>
  <c r="BI1263" i="1" s="1"/>
  <c r="BI1264" i="1" s="1" a="1"/>
  <c r="BI1264" i="1" s="1"/>
  <c r="BI1265" i="1" s="1" a="1"/>
  <c r="BI1265" i="1" s="1"/>
  <c r="BI1266" i="1" s="1" a="1"/>
  <c r="BI1266" i="1" s="1"/>
  <c r="BI1267" i="1" s="1" a="1"/>
  <c r="BI1267" i="1" s="1"/>
  <c r="BI1268" i="1" s="1" a="1"/>
  <c r="BI1268" i="1" s="1"/>
  <c r="BI1269" i="1" s="1" a="1"/>
  <c r="BI1269" i="1" s="1"/>
  <c r="BI1270" i="1" s="1" a="1"/>
  <c r="BI1270" i="1" s="1"/>
  <c r="BI1271" i="1" s="1" a="1"/>
  <c r="BI1271" i="1" s="1"/>
  <c r="BI1272" i="1" s="1" a="1"/>
  <c r="BI1272" i="1" s="1"/>
  <c r="BI1273" i="1" s="1" a="1"/>
  <c r="BI1273" i="1" s="1"/>
  <c r="BI1274" i="1" s="1" a="1"/>
  <c r="BI1274" i="1" s="1"/>
  <c r="BI1275" i="1" s="1" a="1"/>
  <c r="BI1275" i="1" s="1"/>
  <c r="BI1276" i="1" s="1" a="1"/>
  <c r="BI1276" i="1" s="1"/>
  <c r="BI1277" i="1" s="1" a="1"/>
  <c r="BI1277" i="1" s="1"/>
  <c r="BI1278" i="1" s="1" a="1"/>
  <c r="BI1278" i="1" s="1"/>
  <c r="BI1279" i="1" s="1" a="1"/>
  <c r="BI1279" i="1" s="1"/>
  <c r="BI1280" i="1" s="1" a="1"/>
  <c r="BI1280" i="1" s="1"/>
  <c r="BI1281" i="1" s="1" a="1"/>
  <c r="BI1281" i="1" s="1"/>
  <c r="BI1282" i="1" s="1" a="1"/>
  <c r="BI1282" i="1" s="1"/>
  <c r="BI1283" i="1" s="1" a="1"/>
  <c r="BI1283" i="1" s="1"/>
  <c r="BI1284" i="1" s="1" a="1"/>
  <c r="BI1284" i="1" s="1"/>
  <c r="BI1285" i="1" s="1" a="1"/>
  <c r="BI1285" i="1" s="1"/>
  <c r="BI1286" i="1" s="1" a="1"/>
  <c r="BI1286" i="1" s="1"/>
  <c r="BI1287" i="1" s="1" a="1"/>
  <c r="BI1287" i="1" s="1"/>
  <c r="BI1288" i="1" s="1" a="1"/>
  <c r="BI1288" i="1" s="1"/>
  <c r="BI1289" i="1" s="1" a="1"/>
  <c r="BI1289" i="1" s="1"/>
  <c r="BI1290" i="1" s="1" a="1"/>
  <c r="BI1290" i="1" s="1"/>
  <c r="BI1291" i="1" s="1" a="1"/>
  <c r="BI1291" i="1" s="1"/>
  <c r="BI1292" i="1" s="1" a="1"/>
  <c r="BI1292" i="1" s="1"/>
  <c r="BI1293" i="1" s="1" a="1"/>
  <c r="BI1293" i="1" s="1"/>
  <c r="BI1294" i="1" s="1" a="1"/>
  <c r="BI1294" i="1" s="1"/>
  <c r="BI1295" i="1" s="1" a="1"/>
  <c r="BI1295" i="1" s="1"/>
  <c r="BI1296" i="1" s="1" a="1"/>
  <c r="BI1296" i="1" s="1"/>
  <c r="BI1297" i="1" s="1" a="1"/>
  <c r="BI1297" i="1" s="1"/>
  <c r="BI1298" i="1" s="1" a="1"/>
  <c r="BI1298" i="1" s="1"/>
  <c r="BI1299" i="1" s="1" a="1"/>
  <c r="BI1299" i="1" s="1"/>
  <c r="BI1300" i="1" s="1" a="1"/>
  <c r="BI1300" i="1" s="1"/>
  <c r="BI1301" i="1" s="1" a="1"/>
  <c r="BI1301" i="1" s="1"/>
  <c r="BI1302" i="1" s="1" a="1"/>
  <c r="BI1302" i="1" s="1"/>
  <c r="BI1303" i="1" s="1" a="1"/>
  <c r="BI1303" i="1" s="1"/>
  <c r="BI1304" i="1" s="1" a="1"/>
  <c r="BI1304" i="1" s="1"/>
  <c r="BI1305" i="1" s="1" a="1"/>
  <c r="BI1305" i="1" s="1"/>
  <c r="BI1306" i="1" s="1" a="1"/>
  <c r="BI1306" i="1" s="1"/>
  <c r="BI1307" i="1" s="1" a="1"/>
  <c r="BI1307" i="1" s="1"/>
  <c r="BI1308" i="1" s="1" a="1"/>
  <c r="BI1308" i="1" s="1"/>
  <c r="BI1309" i="1" s="1" a="1"/>
  <c r="BI1309" i="1" s="1"/>
  <c r="BI1310" i="1" s="1" a="1"/>
  <c r="BI1310" i="1" s="1"/>
  <c r="BI1311" i="1" s="1" a="1"/>
  <c r="BI1311" i="1" s="1"/>
  <c r="BI1312" i="1" s="1" a="1"/>
  <c r="BI1312" i="1" s="1"/>
  <c r="BI1313" i="1" s="1" a="1"/>
  <c r="BI1313" i="1" s="1"/>
  <c r="BI1314" i="1" s="1" a="1"/>
  <c r="BI1314" i="1" s="1"/>
  <c r="BI1315" i="1" s="1" a="1"/>
  <c r="BI1315" i="1" s="1"/>
  <c r="BI1316" i="1" s="1" a="1"/>
  <c r="BI1316" i="1" s="1"/>
  <c r="BI1317" i="1" s="1" a="1"/>
  <c r="BI1317" i="1" s="1"/>
  <c r="BI1318" i="1" s="1" a="1"/>
  <c r="BI1318" i="1" s="1"/>
  <c r="BI1319" i="1" s="1" a="1"/>
  <c r="BI1319" i="1" s="1"/>
  <c r="BI1320" i="1" s="1" a="1"/>
  <c r="BI1320" i="1" s="1"/>
  <c r="BI1321" i="1" s="1" a="1"/>
  <c r="BI1321" i="1" s="1"/>
  <c r="BI1322" i="1" s="1" a="1"/>
  <c r="BI1322" i="1" s="1"/>
  <c r="BI1323" i="1" s="1" a="1"/>
  <c r="BI1323" i="1" s="1"/>
  <c r="BI1324" i="1" s="1" a="1"/>
  <c r="BI1324" i="1" s="1"/>
  <c r="BI1325" i="1" s="1" a="1"/>
  <c r="BI1325" i="1" s="1"/>
  <c r="BI1326" i="1" s="1" a="1"/>
  <c r="BI1326" i="1" s="1"/>
  <c r="BI1327" i="1" s="1" a="1"/>
  <c r="BI1327" i="1" s="1"/>
  <c r="BI1328" i="1" s="1" a="1"/>
  <c r="BI1328" i="1" s="1"/>
  <c r="BI1329" i="1" s="1" a="1"/>
  <c r="BI1329" i="1" s="1"/>
  <c r="BI1330" i="1" s="1" a="1"/>
  <c r="BI1330" i="1" s="1"/>
  <c r="BI1331" i="1" s="1" a="1"/>
  <c r="BI1331" i="1" s="1"/>
  <c r="BI1332" i="1" s="1" a="1"/>
  <c r="BI1332" i="1" s="1"/>
  <c r="BI1333" i="1" s="1" a="1"/>
  <c r="BI1333" i="1" s="1"/>
  <c r="BI1334" i="1" s="1" a="1"/>
  <c r="BI1334" i="1" s="1"/>
  <c r="BI1335" i="1" s="1" a="1"/>
  <c r="BI1335" i="1" s="1"/>
  <c r="BI1336" i="1" s="1" a="1"/>
  <c r="BI1336" i="1" s="1"/>
  <c r="BI1337" i="1" s="1" a="1"/>
  <c r="BI1337" i="1" s="1"/>
  <c r="BI1338" i="1" s="1" a="1"/>
  <c r="BI1338" i="1" s="1"/>
  <c r="BI1339" i="1" s="1" a="1"/>
  <c r="BI1339" i="1" s="1"/>
  <c r="BI1340" i="1" s="1" a="1"/>
  <c r="BI1340" i="1" s="1"/>
  <c r="BI1341" i="1" s="1" a="1"/>
  <c r="BI1341" i="1" s="1"/>
  <c r="BI1342" i="1" s="1" a="1"/>
  <c r="BI1342" i="1" s="1"/>
  <c r="BI1343" i="1" s="1" a="1"/>
  <c r="BI1343" i="1" s="1"/>
  <c r="BI1344" i="1" s="1" a="1"/>
  <c r="BI1344" i="1" s="1"/>
  <c r="BI1345" i="1" s="1" a="1"/>
  <c r="BI1345" i="1" s="1"/>
  <c r="BI1346" i="1" s="1" a="1"/>
  <c r="BI1346" i="1" s="1"/>
  <c r="BI1347" i="1" s="1" a="1"/>
  <c r="BI1347" i="1" s="1"/>
  <c r="BI1348" i="1" s="1" a="1"/>
  <c r="BI1348" i="1" s="1"/>
  <c r="BI1349" i="1" s="1" a="1"/>
  <c r="BI1349" i="1" s="1"/>
  <c r="BI1350" i="1" s="1" a="1"/>
  <c r="BI1350" i="1" s="1"/>
  <c r="BI1351" i="1" s="1" a="1"/>
  <c r="BI1351" i="1" s="1"/>
  <c r="BI1352" i="1" s="1" a="1"/>
  <c r="BI1352" i="1" s="1"/>
  <c r="BI1353" i="1" s="1" a="1"/>
  <c r="BI1353" i="1" s="1"/>
  <c r="BI1354" i="1" s="1" a="1"/>
  <c r="BI1354" i="1" s="1"/>
  <c r="BI1355" i="1" s="1" a="1"/>
  <c r="BI1355" i="1" s="1"/>
  <c r="BI1356" i="1" s="1" a="1"/>
  <c r="BI1356" i="1" s="1"/>
  <c r="BI1357" i="1" s="1" a="1"/>
  <c r="BI1357" i="1" s="1"/>
  <c r="BI1358" i="1" s="1" a="1"/>
  <c r="BI1358" i="1" s="1"/>
  <c r="BI1359" i="1" s="1" a="1"/>
  <c r="BI1359" i="1" s="1"/>
  <c r="BI1360" i="1" s="1" a="1"/>
  <c r="BI1360" i="1" s="1"/>
  <c r="BI1361" i="1" s="1" a="1"/>
  <c r="BI1361" i="1" s="1"/>
  <c r="BI1362" i="1" s="1" a="1"/>
  <c r="BI1362" i="1" s="1"/>
  <c r="BI1363" i="1" s="1" a="1"/>
  <c r="BI1363" i="1" s="1"/>
  <c r="BI1364" i="1" s="1" a="1"/>
  <c r="BI1364" i="1" s="1"/>
  <c r="BI1365" i="1" s="1" a="1"/>
  <c r="BI1365" i="1" s="1"/>
  <c r="BI1366" i="1" s="1" a="1"/>
  <c r="BI1366" i="1" s="1"/>
  <c r="BI1367" i="1" s="1" a="1"/>
  <c r="BI1367" i="1" s="1"/>
  <c r="BI1368" i="1" s="1" a="1"/>
  <c r="BI1368" i="1" s="1"/>
  <c r="BI1369" i="1" s="1" a="1"/>
  <c r="BI1369" i="1" s="1"/>
  <c r="BI1370" i="1" s="1" a="1"/>
  <c r="BI1370" i="1" s="1"/>
  <c r="BI1371" i="1" s="1" a="1"/>
  <c r="BI1371" i="1" s="1"/>
  <c r="BI1372" i="1" s="1" a="1"/>
  <c r="BI1372" i="1" s="1"/>
  <c r="BI1373" i="1" s="1" a="1"/>
  <c r="BI1373" i="1" s="1"/>
  <c r="BI1374" i="1" s="1" a="1"/>
  <c r="BI1374" i="1" s="1"/>
  <c r="BI1375" i="1" s="1" a="1"/>
  <c r="BI1375" i="1" s="1"/>
  <c r="BI1376" i="1" s="1" a="1"/>
  <c r="BI1376" i="1" s="1"/>
  <c r="BI1377" i="1" s="1" a="1"/>
  <c r="BI1377" i="1" s="1"/>
  <c r="BI1378" i="1" s="1" a="1"/>
  <c r="BI1378" i="1" s="1"/>
  <c r="BI1379" i="1" s="1" a="1"/>
  <c r="BI1379" i="1" s="1"/>
  <c r="BI1380" i="1" s="1" a="1"/>
  <c r="BI1380" i="1" s="1"/>
  <c r="BI1381" i="1" s="1" a="1"/>
  <c r="BI1381" i="1" s="1"/>
  <c r="BI1382" i="1" s="1" a="1"/>
  <c r="BI1382" i="1" s="1"/>
  <c r="BI1383" i="1" s="1" a="1"/>
  <c r="BI1383" i="1" s="1"/>
  <c r="BI1384" i="1" s="1" a="1"/>
  <c r="BI1384" i="1" s="1"/>
  <c r="BI1385" i="1" s="1" a="1"/>
  <c r="BI1385" i="1" s="1"/>
  <c r="BI1386" i="1" s="1" a="1"/>
  <c r="BI1386" i="1" s="1"/>
  <c r="BI1387" i="1" s="1" a="1"/>
  <c r="BI1387" i="1" s="1"/>
  <c r="BI1388" i="1" s="1" a="1"/>
  <c r="BI1388" i="1" s="1"/>
  <c r="BI1389" i="1" s="1" a="1"/>
  <c r="BI1389" i="1" s="1"/>
  <c r="BI1390" i="1" s="1" a="1"/>
  <c r="BI1390" i="1" s="1"/>
  <c r="BI1391" i="1" s="1" a="1"/>
  <c r="BI1391" i="1" s="1"/>
  <c r="BI1392" i="1" s="1" a="1"/>
  <c r="BI1392" i="1" s="1"/>
  <c r="BI1393" i="1" s="1" a="1"/>
  <c r="BI1393" i="1" s="1"/>
  <c r="BI1394" i="1" s="1" a="1"/>
  <c r="BI1394" i="1" s="1"/>
  <c r="BI1395" i="1" s="1" a="1"/>
  <c r="BI1395" i="1" s="1"/>
  <c r="BI1396" i="1" s="1" a="1"/>
  <c r="BI1396" i="1" s="1"/>
  <c r="BI1397" i="1" s="1" a="1"/>
  <c r="BI1397" i="1" s="1"/>
  <c r="BI1398" i="1" s="1" a="1"/>
  <c r="BI1398" i="1" s="1"/>
  <c r="BI1399" i="1" s="1" a="1"/>
  <c r="BI1399" i="1" s="1"/>
  <c r="BI1400" i="1" s="1" a="1"/>
  <c r="BI1400" i="1" s="1"/>
  <c r="BI1401" i="1" s="1" a="1"/>
  <c r="BI1401" i="1" s="1"/>
  <c r="BI1402" i="1" s="1" a="1"/>
  <c r="BI1402" i="1" s="1"/>
  <c r="BI1403" i="1" s="1" a="1"/>
  <c r="BI1403" i="1" s="1"/>
  <c r="BI1404" i="1" s="1" a="1"/>
  <c r="BI1404" i="1" s="1"/>
  <c r="BI1405" i="1" s="1" a="1"/>
  <c r="BI1405" i="1" s="1"/>
  <c r="BI1406" i="1" s="1" a="1"/>
  <c r="BI1406" i="1" s="1"/>
  <c r="BI1407" i="1" s="1" a="1"/>
  <c r="BI1407" i="1" s="1"/>
  <c r="BI1408" i="1" s="1" a="1"/>
  <c r="BI1408" i="1" s="1"/>
  <c r="BI1409" i="1" s="1" a="1"/>
  <c r="BI1409" i="1" s="1"/>
  <c r="BI1410" i="1" s="1" a="1"/>
  <c r="BI1410" i="1" s="1"/>
  <c r="BI1411" i="1" s="1" a="1"/>
  <c r="BI1411" i="1" s="1"/>
  <c r="BI1412" i="1" s="1" a="1"/>
  <c r="BI1412" i="1" s="1"/>
  <c r="BI1413" i="1" s="1" a="1"/>
  <c r="BI1413" i="1" s="1"/>
  <c r="BI1414" i="1" s="1" a="1"/>
  <c r="BI1414" i="1" s="1"/>
  <c r="BI1415" i="1" s="1" a="1"/>
  <c r="BI1415" i="1" s="1"/>
  <c r="BI1416" i="1" s="1" a="1"/>
  <c r="BI1416" i="1" s="1"/>
  <c r="BI1417" i="1" s="1" a="1"/>
  <c r="BI1417" i="1" s="1"/>
  <c r="BI1418" i="1" s="1" a="1"/>
  <c r="BI1418" i="1" s="1"/>
  <c r="BI1419" i="1" s="1" a="1"/>
  <c r="BI1419" i="1" s="1"/>
  <c r="BI1420" i="1" s="1" a="1"/>
  <c r="BI1420" i="1" s="1"/>
  <c r="BI1421" i="1" s="1" a="1"/>
  <c r="BI1421" i="1" s="1"/>
  <c r="BI1422" i="1" s="1" a="1"/>
  <c r="BI1422" i="1" s="1"/>
  <c r="BI1423" i="1" s="1" a="1"/>
  <c r="BI1423" i="1" s="1"/>
  <c r="BI1424" i="1" s="1" a="1"/>
  <c r="BI1424" i="1" s="1"/>
  <c r="BI1425" i="1" s="1" a="1"/>
  <c r="BI1425" i="1" s="1"/>
  <c r="BI1426" i="1" s="1" a="1"/>
  <c r="BI1426" i="1" s="1"/>
  <c r="BI1427" i="1" s="1" a="1"/>
  <c r="BI1427" i="1" s="1"/>
  <c r="BI1428" i="1" s="1" a="1"/>
  <c r="BI1428" i="1" s="1"/>
  <c r="BI1429" i="1" s="1" a="1"/>
  <c r="BI1429" i="1" s="1"/>
  <c r="BI1430" i="1" s="1" a="1"/>
  <c r="BI1430" i="1" s="1"/>
  <c r="BI1431" i="1" s="1" a="1"/>
  <c r="BI1431" i="1" s="1"/>
  <c r="BI1432" i="1" s="1" a="1"/>
  <c r="BI1432" i="1" s="1"/>
  <c r="BI1433" i="1" s="1" a="1"/>
  <c r="BI1433" i="1" s="1"/>
  <c r="BI1434" i="1" s="1" a="1"/>
  <c r="BI1434" i="1" s="1"/>
  <c r="BI1435" i="1" s="1" a="1"/>
  <c r="BI1435" i="1" s="1"/>
  <c r="BI1436" i="1" s="1" a="1"/>
  <c r="BI1436" i="1" s="1"/>
  <c r="BI1437" i="1" s="1" a="1"/>
  <c r="BI1437" i="1" s="1"/>
  <c r="BI1438" i="1" s="1" a="1"/>
  <c r="BI1438" i="1" s="1"/>
  <c r="BI1439" i="1" s="1" a="1"/>
  <c r="BI1439" i="1" s="1"/>
  <c r="BI1440" i="1" s="1" a="1"/>
  <c r="BI1440" i="1" s="1"/>
  <c r="BI1441" i="1" s="1" a="1"/>
  <c r="BI1441" i="1" s="1"/>
  <c r="BI1442" i="1" s="1" a="1"/>
  <c r="BI1442" i="1" s="1"/>
  <c r="BI1443" i="1" s="1" a="1"/>
  <c r="BI1443" i="1" s="1"/>
  <c r="BI1444" i="1" s="1" a="1"/>
  <c r="BI1444" i="1" s="1"/>
  <c r="BI1445" i="1" s="1" a="1"/>
  <c r="BI1445" i="1" s="1"/>
  <c r="BI1446" i="1" s="1" a="1"/>
  <c r="BI1446" i="1" s="1"/>
  <c r="BI1447" i="1" s="1" a="1"/>
  <c r="BI1447" i="1" s="1"/>
  <c r="BI1448" i="1" s="1" a="1"/>
  <c r="BI1448" i="1" s="1"/>
  <c r="BI1449" i="1" s="1" a="1"/>
  <c r="BI1449" i="1" s="1"/>
  <c r="BI1450" i="1" s="1" a="1"/>
  <c r="BI1450" i="1" s="1"/>
  <c r="BI1451" i="1" s="1" a="1"/>
  <c r="BI1451" i="1" s="1"/>
  <c r="BI1452" i="1" s="1" a="1"/>
  <c r="BI1452" i="1" s="1"/>
  <c r="BI1453" i="1" s="1" a="1"/>
  <c r="BI1453" i="1" s="1"/>
  <c r="BI1454" i="1" s="1" a="1"/>
  <c r="BI1454" i="1" s="1"/>
  <c r="BI1455" i="1" s="1" a="1"/>
  <c r="BI1455" i="1" s="1"/>
  <c r="BI1456" i="1" s="1" a="1"/>
  <c r="BI1456" i="1" s="1"/>
  <c r="BI1457" i="1" s="1" a="1"/>
  <c r="BI1457" i="1" s="1"/>
  <c r="BI1458" i="1" s="1" a="1"/>
  <c r="BI1458" i="1" s="1"/>
  <c r="BI1459" i="1" s="1" a="1"/>
  <c r="BI1459" i="1" s="1"/>
  <c r="BI1460" i="1" s="1" a="1"/>
  <c r="BI1460" i="1" s="1"/>
  <c r="BI1461" i="1" s="1" a="1"/>
  <c r="BI1461" i="1" s="1"/>
  <c r="BI1462" i="1" s="1" a="1"/>
  <c r="BI1462" i="1" s="1"/>
  <c r="BI1463" i="1" s="1" a="1"/>
  <c r="BI1463" i="1" s="1"/>
  <c r="BI1464" i="1" s="1" a="1"/>
  <c r="BI1464" i="1" s="1"/>
  <c r="BI1465" i="1" s="1" a="1"/>
  <c r="BI1465" i="1" s="1"/>
  <c r="BI1466" i="1" s="1" a="1"/>
  <c r="BI1466" i="1" s="1"/>
  <c r="BI1467" i="1" s="1" a="1"/>
  <c r="BI1467" i="1" s="1"/>
  <c r="BI1468" i="1" s="1" a="1"/>
  <c r="BI1468" i="1" s="1"/>
  <c r="BI1469" i="1" s="1" a="1"/>
  <c r="BI1469" i="1" s="1"/>
  <c r="BI1470" i="1" s="1" a="1"/>
  <c r="BI1470" i="1" s="1"/>
  <c r="BI1471" i="1" s="1" a="1"/>
  <c r="BI1471" i="1" s="1"/>
  <c r="BI1472" i="1" s="1" a="1"/>
  <c r="BI1472" i="1" s="1"/>
  <c r="BI1473" i="1" s="1" a="1"/>
  <c r="BI1473" i="1" s="1"/>
  <c r="BI1474" i="1" s="1" a="1"/>
  <c r="BI1474" i="1" s="1"/>
  <c r="BI1475" i="1" s="1" a="1"/>
  <c r="BI1475" i="1" s="1"/>
  <c r="BI1476" i="1" s="1" a="1"/>
  <c r="BI1476" i="1" s="1"/>
  <c r="BI1477" i="1" s="1" a="1"/>
  <c r="BI1477" i="1" s="1"/>
  <c r="BI1478" i="1" s="1" a="1"/>
  <c r="BI1478" i="1" s="1"/>
  <c r="BI1479" i="1" s="1" a="1"/>
  <c r="BI1479" i="1" s="1"/>
  <c r="BI1480" i="1" s="1" a="1"/>
  <c r="BI1480" i="1" s="1"/>
  <c r="BI1481" i="1" s="1" a="1"/>
  <c r="BI1481" i="1" s="1"/>
  <c r="BI1482" i="1" s="1" a="1"/>
  <c r="BI1482" i="1" s="1"/>
  <c r="BI1483" i="1" s="1" a="1"/>
  <c r="BI1483" i="1" s="1"/>
  <c r="BI1484" i="1" s="1" a="1"/>
  <c r="BI1484" i="1" s="1"/>
  <c r="BI1485" i="1" s="1" a="1"/>
  <c r="BI1485" i="1" s="1"/>
  <c r="BI1486" i="1" s="1" a="1"/>
  <c r="BI1486" i="1" s="1"/>
  <c r="BI1487" i="1" s="1" a="1"/>
  <c r="BI1487" i="1" s="1"/>
  <c r="BI1488" i="1" s="1" a="1"/>
  <c r="BI1488" i="1" s="1"/>
  <c r="BI1489" i="1" s="1" a="1"/>
  <c r="BI1489" i="1" s="1"/>
  <c r="BI1490" i="1" s="1" a="1"/>
  <c r="BI1490" i="1" s="1"/>
  <c r="BI1491" i="1" s="1" a="1"/>
  <c r="BI1491" i="1" s="1"/>
  <c r="BI1492" i="1" s="1" a="1"/>
  <c r="BI1492" i="1" s="1"/>
  <c r="BI1493" i="1" s="1" a="1"/>
  <c r="BI1493" i="1" s="1"/>
  <c r="BI1494" i="1" s="1" a="1"/>
  <c r="BI1494" i="1" s="1"/>
  <c r="BI1495" i="1" s="1" a="1"/>
  <c r="BI1495" i="1" s="1"/>
  <c r="BI1496" i="1" s="1" a="1"/>
  <c r="BI1496" i="1" s="1"/>
  <c r="BI1497" i="1" s="1" a="1"/>
  <c r="BI1497" i="1" s="1"/>
  <c r="BI1498" i="1" s="1" a="1"/>
  <c r="BI1498" i="1" s="1"/>
  <c r="BI1499" i="1" s="1" a="1"/>
  <c r="BI1499" i="1" s="1"/>
  <c r="BI1500" i="1" s="1" a="1"/>
  <c r="BI1500" i="1" s="1"/>
  <c r="BI1501" i="1" s="1" a="1"/>
  <c r="BI1501" i="1" s="1"/>
  <c r="BI1502" i="1" s="1" a="1"/>
  <c r="BI1502" i="1" s="1"/>
  <c r="BI1503" i="1" s="1" a="1"/>
  <c r="BI1503" i="1" s="1"/>
  <c r="BI1504" i="1" s="1" a="1"/>
  <c r="BI1504" i="1" s="1"/>
  <c r="BI1505" i="1" s="1" a="1"/>
  <c r="BI1505" i="1" s="1"/>
  <c r="BI1506" i="1" s="1" a="1"/>
  <c r="BI1506" i="1" s="1"/>
  <c r="BI1507" i="1" s="1" a="1"/>
  <c r="BI1507" i="1" s="1"/>
  <c r="BI1508" i="1" s="1" a="1"/>
  <c r="BI1508" i="1" s="1"/>
  <c r="BI1509" i="1" s="1" a="1"/>
  <c r="BI1509" i="1" s="1"/>
  <c r="BI1510" i="1" s="1" a="1"/>
  <c r="BI1510" i="1" s="1"/>
  <c r="BI1511" i="1" s="1" a="1"/>
  <c r="BI1511" i="1" s="1"/>
  <c r="BI1512" i="1" s="1" a="1"/>
  <c r="BI1512" i="1" s="1"/>
  <c r="BI1513" i="1" s="1" a="1"/>
  <c r="BI1513" i="1" s="1"/>
  <c r="BI1514" i="1" s="1" a="1"/>
  <c r="BI1514" i="1" s="1"/>
  <c r="BI1515" i="1" s="1" a="1"/>
  <c r="BI1515" i="1" s="1"/>
  <c r="BI1516" i="1" s="1" a="1"/>
  <c r="BI1516" i="1" s="1"/>
  <c r="BI1517" i="1" s="1" a="1"/>
  <c r="BI1517" i="1" s="1"/>
  <c r="BI1518" i="1" s="1" a="1"/>
  <c r="BI1518" i="1" s="1"/>
  <c r="BI1519" i="1" s="1" a="1"/>
  <c r="BI1519" i="1" s="1"/>
  <c r="BI1520" i="1" s="1" a="1"/>
  <c r="BI1520" i="1" s="1"/>
  <c r="BI1521" i="1" s="1" a="1"/>
  <c r="BI1521" i="1" s="1"/>
  <c r="BI1522" i="1" s="1" a="1"/>
  <c r="BI1522" i="1" s="1"/>
  <c r="BI1523" i="1" s="1" a="1"/>
  <c r="BI1523" i="1" s="1"/>
  <c r="BI1524" i="1" s="1" a="1"/>
  <c r="BI1524" i="1" s="1"/>
  <c r="BI1525" i="1" s="1" a="1"/>
  <c r="BI1525" i="1" s="1"/>
  <c r="BI1526" i="1" s="1" a="1"/>
  <c r="BI1526" i="1" s="1"/>
  <c r="BI1527" i="1" s="1" a="1"/>
  <c r="BI1527" i="1" s="1"/>
  <c r="BI1528" i="1" s="1" a="1"/>
  <c r="BI1528" i="1" s="1"/>
  <c r="BI1529" i="1" s="1" a="1"/>
  <c r="BI1529" i="1" s="1"/>
  <c r="BI1530" i="1" s="1" a="1"/>
  <c r="BI1530" i="1" s="1"/>
  <c r="BI1531" i="1" s="1" a="1"/>
  <c r="BI1531" i="1" s="1"/>
  <c r="BI1532" i="1" s="1" a="1"/>
  <c r="BI1532" i="1" s="1"/>
  <c r="BI1533" i="1" s="1" a="1"/>
  <c r="BI1533" i="1" s="1"/>
  <c r="BI1534" i="1" s="1" a="1"/>
  <c r="BI1534" i="1" s="1"/>
  <c r="BI1535" i="1" s="1" a="1"/>
  <c r="BI1535" i="1" s="1"/>
  <c r="BI1536" i="1" s="1" a="1"/>
  <c r="BI1536" i="1" s="1"/>
  <c r="BI1537" i="1" s="1" a="1"/>
  <c r="BI1537" i="1" s="1"/>
  <c r="BI1538" i="1" s="1" a="1"/>
  <c r="BI1538" i="1" s="1"/>
  <c r="BI1539" i="1" s="1" a="1"/>
  <c r="BI1539" i="1" s="1"/>
  <c r="BI1540" i="1" s="1" a="1"/>
  <c r="BI1540" i="1" s="1"/>
  <c r="BI1541" i="1" s="1" a="1"/>
  <c r="BI1541" i="1" s="1"/>
  <c r="BI1542" i="1" s="1" a="1"/>
  <c r="BI1542" i="1" s="1"/>
  <c r="BI1543" i="1" s="1" a="1"/>
  <c r="BI1543" i="1" s="1"/>
  <c r="BI1544" i="1" s="1" a="1"/>
  <c r="BI1544" i="1" s="1"/>
  <c r="BI1545" i="1" s="1" a="1"/>
  <c r="BI1545" i="1" s="1"/>
  <c r="BI1546" i="1" s="1" a="1"/>
  <c r="BI1546" i="1" s="1"/>
  <c r="BI1547" i="1" s="1" a="1"/>
  <c r="BI1547" i="1" s="1"/>
  <c r="BI1548" i="1" s="1" a="1"/>
  <c r="BI1548" i="1" s="1"/>
  <c r="BI1549" i="1" s="1" a="1"/>
  <c r="BI1549" i="1" s="1"/>
  <c r="BI1552" i="1" s="1" a="1"/>
  <c r="BI1552" i="1" s="1"/>
  <c r="BI1553" i="1" s="1" a="1"/>
  <c r="BI1553" i="1" s="1"/>
  <c r="BI1554" i="1" s="1" a="1"/>
  <c r="BI1554" i="1" s="1"/>
  <c r="BI1556" i="1" s="1" a="1"/>
  <c r="BI1556" i="1" s="1"/>
  <c r="BI1557" i="1" s="1" a="1"/>
  <c r="BI1557" i="1" s="1"/>
  <c r="BI1558" i="1" s="1" a="1"/>
  <c r="BI1558" i="1" s="1"/>
  <c r="BI1559" i="1" s="1" a="1"/>
  <c r="BI1559" i="1" s="1"/>
  <c r="BI1560" i="1" s="1" a="1"/>
  <c r="BI1560" i="1" s="1"/>
  <c r="BI1561" i="1" s="1" a="1"/>
  <c r="BI1561" i="1" s="1"/>
  <c r="BI1562" i="1" s="1" a="1"/>
  <c r="BI1562" i="1" s="1"/>
  <c r="BI1563" i="1" s="1" a="1"/>
  <c r="BI1563" i="1" s="1"/>
  <c r="BI1564" i="1" s="1" a="1"/>
  <c r="BI1564" i="1" s="1"/>
  <c r="BI1565" i="1" s="1" a="1"/>
  <c r="BI1565" i="1" s="1"/>
  <c r="BI1566" i="1" s="1" a="1"/>
  <c r="BI1566" i="1" s="1"/>
  <c r="BI1567" i="1" s="1" a="1"/>
  <c r="BI1567" i="1" s="1"/>
  <c r="BI1568" i="1" s="1" a="1"/>
  <c r="BI1568" i="1" s="1"/>
  <c r="BI1569" i="1" s="1" a="1"/>
  <c r="BI1569" i="1" s="1"/>
  <c r="BI1570" i="1" s="1" a="1"/>
  <c r="BI1570" i="1" s="1"/>
  <c r="BI1571" i="1" s="1" a="1"/>
  <c r="BI1571" i="1" s="1"/>
  <c r="BI1572" i="1" s="1" a="1"/>
  <c r="BI1572" i="1" s="1"/>
  <c r="BI1573" i="1" s="1" a="1"/>
  <c r="BI1573" i="1" s="1"/>
  <c r="BI1574" i="1" s="1" a="1"/>
  <c r="BI1574" i="1" s="1"/>
  <c r="BI1575" i="1" s="1" a="1"/>
  <c r="BI1575" i="1" s="1"/>
  <c r="BI1576" i="1" s="1" a="1"/>
  <c r="BI1576" i="1" s="1"/>
  <c r="BI1577" i="1" s="1" a="1"/>
  <c r="BI1577" i="1" s="1"/>
  <c r="BI1578" i="1" s="1" a="1"/>
  <c r="BI1578" i="1" s="1"/>
  <c r="BI1579" i="1" s="1" a="1"/>
  <c r="BI1579" i="1" s="1"/>
  <c r="BI1580" i="1" s="1" a="1"/>
  <c r="BI1580" i="1" s="1"/>
  <c r="BI1581" i="1" s="1" a="1"/>
  <c r="BI1581" i="1" s="1"/>
  <c r="BI1582" i="1" s="1" a="1"/>
  <c r="BI1582" i="1" s="1"/>
  <c r="BI1583" i="1" s="1" a="1"/>
  <c r="BI1583" i="1" s="1"/>
  <c r="BI1584" i="1" s="1" a="1"/>
  <c r="BI1584" i="1" s="1"/>
  <c r="BI1585" i="1" s="1" a="1"/>
  <c r="BI1585" i="1" s="1"/>
  <c r="BI1586" i="1" s="1" a="1"/>
  <c r="BI1586" i="1" s="1"/>
  <c r="BI1587" i="1" s="1" a="1"/>
  <c r="BI1587" i="1" s="1"/>
  <c r="BI1588" i="1" s="1" a="1"/>
  <c r="BI1588" i="1" s="1"/>
  <c r="BI1589" i="1" s="1" a="1"/>
  <c r="BI1589" i="1" s="1"/>
  <c r="BI1590" i="1" s="1" a="1"/>
  <c r="BI1590" i="1" s="1"/>
  <c r="BI1591" i="1" s="1" a="1"/>
  <c r="BI1591" i="1" s="1"/>
  <c r="BI1592" i="1" s="1" a="1"/>
  <c r="BI1592" i="1" s="1"/>
  <c r="BI1593" i="1" s="1" a="1"/>
  <c r="BI1593" i="1" s="1"/>
  <c r="BI1594" i="1" s="1" a="1"/>
  <c r="BI1594" i="1" s="1"/>
  <c r="BI1595" i="1" s="1" a="1"/>
  <c r="BI1595" i="1" s="1"/>
  <c r="BI1596" i="1" s="1" a="1"/>
  <c r="BI1596" i="1" s="1"/>
  <c r="BI1597" i="1" s="1" a="1"/>
  <c r="BI1597" i="1" s="1"/>
  <c r="BI1598" i="1" s="1" a="1"/>
  <c r="BI1598" i="1" s="1"/>
  <c r="BI1604" i="1" s="1" a="1"/>
  <c r="BI1604" i="1" s="1"/>
  <c r="BI1605" i="1" s="1" a="1"/>
  <c r="BI1605" i="1" s="1"/>
  <c r="BI1606" i="1" s="1" a="1"/>
  <c r="BI1606" i="1" s="1"/>
  <c r="BI1607" i="1" s="1" a="1"/>
  <c r="BI1607" i="1" s="1"/>
  <c r="BI1608" i="1" s="1" a="1"/>
  <c r="BI1608" i="1" s="1"/>
  <c r="BI1609" i="1" s="1" a="1"/>
  <c r="BI1609" i="1" s="1"/>
  <c r="BI1610" i="1" s="1" a="1"/>
  <c r="BI1610" i="1" s="1"/>
  <c r="BI1611" i="1" s="1" a="1"/>
  <c r="BI1611" i="1" s="1"/>
  <c r="BI1612" i="1" s="1" a="1"/>
  <c r="BI1612" i="1" s="1"/>
  <c r="BI1613" i="1" s="1" a="1"/>
  <c r="BI1613" i="1" s="1"/>
  <c r="BI1614" i="1" s="1" a="1"/>
  <c r="BI1614" i="1" s="1"/>
  <c r="BI1615" i="1" s="1" a="1"/>
  <c r="BI1615" i="1" s="1"/>
  <c r="BI1616" i="1" s="1" a="1"/>
  <c r="BI1616" i="1" s="1"/>
  <c r="BI1617" i="1" s="1" a="1"/>
  <c r="BI1617" i="1" s="1"/>
  <c r="BI1618" i="1" s="1" a="1"/>
  <c r="BI1618" i="1" s="1"/>
  <c r="BI1619" i="1" s="1" a="1"/>
  <c r="BI1619" i="1" s="1"/>
  <c r="BI1620" i="1" s="1" a="1"/>
  <c r="BI1620" i="1" s="1"/>
  <c r="BI1621" i="1" s="1" a="1"/>
  <c r="BI1621" i="1" s="1"/>
  <c r="BI1622" i="1" s="1" a="1"/>
  <c r="BI1622" i="1" s="1"/>
  <c r="BI1623" i="1" s="1" a="1"/>
  <c r="BI1623" i="1" s="1"/>
  <c r="BI1624" i="1" s="1" a="1"/>
  <c r="BI1624" i="1" s="1"/>
  <c r="BI1625" i="1" s="1" a="1"/>
  <c r="BI1625" i="1" s="1"/>
  <c r="BI1626" i="1" s="1" a="1"/>
  <c r="BI1626" i="1" s="1"/>
  <c r="BI1627" i="1" s="1" a="1"/>
  <c r="BI1627" i="1" s="1"/>
  <c r="BI1628" i="1" s="1" a="1"/>
  <c r="BI1628" i="1" s="1"/>
  <c r="BI1629" i="1" s="1" a="1"/>
  <c r="BI1629" i="1" s="1"/>
  <c r="BI1630" i="1" s="1" a="1"/>
  <c r="BI1630" i="1" s="1"/>
  <c r="BI1631" i="1" s="1" a="1"/>
  <c r="BI1631" i="1" s="1"/>
  <c r="BI1632" i="1" s="1" a="1"/>
  <c r="BI1632" i="1" s="1"/>
  <c r="BI1633" i="1" s="1" a="1"/>
  <c r="BI1633" i="1" s="1"/>
  <c r="BI1634" i="1" s="1" a="1"/>
  <c r="BI1634" i="1" s="1"/>
  <c r="BI1635" i="1" s="1" a="1"/>
  <c r="BI1635" i="1" s="1"/>
  <c r="BI1636" i="1" s="1" a="1"/>
  <c r="BI1636" i="1" s="1"/>
  <c r="BI1637" i="1" s="1" a="1"/>
  <c r="BI1637" i="1" s="1"/>
  <c r="BI1638" i="1" s="1" a="1"/>
  <c r="BI1638" i="1" s="1"/>
  <c r="BI1639" i="1" s="1" a="1"/>
  <c r="BI1639" i="1" s="1"/>
  <c r="BI1640" i="1" s="1" a="1"/>
  <c r="BI1640" i="1" s="1"/>
  <c r="BI1641" i="1" s="1" a="1"/>
  <c r="BI1641" i="1" s="1"/>
  <c r="BI1642" i="1" s="1" a="1"/>
  <c r="BI1642" i="1" s="1"/>
  <c r="BI1643" i="1" s="1" a="1"/>
  <c r="BI1643" i="1" s="1"/>
  <c r="BI1644" i="1" s="1" a="1"/>
  <c r="BI1644" i="1" s="1"/>
  <c r="BI1645" i="1" s="1" a="1"/>
  <c r="BI1645" i="1" s="1"/>
  <c r="BI1646" i="1" s="1" a="1"/>
  <c r="BI1646" i="1" s="1"/>
  <c r="BI1647" i="1" s="1" a="1"/>
  <c r="BI1647" i="1" s="1"/>
  <c r="BI1648" i="1" s="1" a="1"/>
  <c r="BI1648" i="1" s="1"/>
  <c r="BI1649" i="1" s="1" a="1"/>
  <c r="BI1649" i="1" s="1"/>
  <c r="BI1650" i="1" s="1" a="1"/>
  <c r="BI1650" i="1" s="1"/>
  <c r="BI1651" i="1" s="1" a="1"/>
  <c r="BI1651" i="1" s="1"/>
  <c r="BI1652" i="1" s="1" a="1"/>
  <c r="BI1652" i="1" s="1"/>
  <c r="BI1653" i="1" s="1" a="1"/>
  <c r="BI1653" i="1" s="1"/>
  <c r="BI1654" i="1" s="1" a="1"/>
  <c r="BI1654" i="1" s="1"/>
  <c r="BI1655" i="1" s="1" a="1"/>
  <c r="BI1655" i="1" s="1"/>
  <c r="BI1656" i="1" s="1" a="1"/>
  <c r="BI1656" i="1" s="1"/>
  <c r="BI1657" i="1" s="1" a="1"/>
  <c r="BI1657" i="1" s="1"/>
  <c r="BI1658" i="1" s="1" a="1"/>
  <c r="BI1658" i="1" s="1"/>
  <c r="BI1659" i="1" s="1" a="1"/>
  <c r="BI1659" i="1" s="1"/>
  <c r="BI1660" i="1" s="1" a="1"/>
  <c r="BI1660" i="1" s="1"/>
  <c r="BI1661" i="1" s="1" a="1"/>
  <c r="BI1661" i="1" s="1"/>
  <c r="BI1662" i="1" s="1" a="1"/>
  <c r="BI1662" i="1" s="1"/>
  <c r="BI1663" i="1" s="1" a="1"/>
  <c r="BI1663" i="1" s="1"/>
  <c r="BI1664" i="1" s="1" a="1"/>
  <c r="BI1664" i="1" s="1"/>
  <c r="BI1665" i="1" s="1" a="1"/>
  <c r="BI1665" i="1" s="1"/>
  <c r="BI1666" i="1" s="1" a="1"/>
  <c r="BI1666" i="1" s="1"/>
  <c r="BI1667" i="1" s="1" a="1"/>
  <c r="BI1667" i="1" s="1"/>
  <c r="BI1668" i="1" s="1" a="1"/>
  <c r="BI1668" i="1" s="1"/>
  <c r="BI1669" i="1" s="1" a="1"/>
  <c r="BI1669" i="1" s="1"/>
  <c r="BI1670" i="1" s="1" a="1"/>
  <c r="BI1670" i="1" s="1"/>
  <c r="BI1671" i="1" s="1" a="1"/>
  <c r="BI1671" i="1" s="1"/>
  <c r="BI1672" i="1" s="1" a="1"/>
  <c r="BI1672" i="1" s="1"/>
  <c r="BI1673" i="1" s="1" a="1"/>
  <c r="BI1673" i="1" s="1"/>
  <c r="BI1674" i="1" s="1" a="1"/>
  <c r="BI1674" i="1" s="1"/>
  <c r="BI1675" i="1" s="1" a="1"/>
  <c r="BI1675" i="1" s="1"/>
  <c r="BI1676" i="1" s="1" a="1"/>
  <c r="BI1676" i="1" s="1"/>
  <c r="BI1677" i="1" s="1" a="1"/>
  <c r="BI1677" i="1" s="1"/>
  <c r="BI1678" i="1" s="1" a="1"/>
  <c r="BI1678" i="1" s="1"/>
  <c r="BI1679" i="1" s="1" a="1"/>
  <c r="BI1679" i="1" s="1"/>
  <c r="BI1680" i="1" s="1" a="1"/>
  <c r="BI1680" i="1" s="1"/>
  <c r="BI1681" i="1" s="1" a="1"/>
  <c r="BI1681" i="1" s="1"/>
  <c r="BI1682" i="1" s="1" a="1"/>
  <c r="BI1682" i="1" s="1"/>
  <c r="BI1683" i="1" s="1" a="1"/>
  <c r="BI1683" i="1" s="1"/>
  <c r="BI1684" i="1" s="1" a="1"/>
  <c r="BI1684" i="1" s="1"/>
  <c r="BI1685" i="1" s="1" a="1"/>
  <c r="BI1685" i="1" s="1"/>
  <c r="BI1686" i="1" s="1" a="1"/>
  <c r="BI1686" i="1" s="1"/>
  <c r="BI1687" i="1" s="1" a="1"/>
  <c r="BI1687" i="1" s="1"/>
  <c r="BI1688" i="1" s="1" a="1"/>
  <c r="BI1688" i="1" s="1"/>
  <c r="BI1689" i="1" s="1" a="1"/>
  <c r="BI1689" i="1" s="1"/>
  <c r="BI1690" i="1" s="1" a="1"/>
  <c r="BI1690" i="1" s="1"/>
  <c r="BI1691" i="1" s="1" a="1"/>
  <c r="BI1691" i="1" s="1"/>
  <c r="BI1692" i="1" s="1" a="1"/>
  <c r="BI1692" i="1" s="1"/>
  <c r="BI1693" i="1" s="1" a="1"/>
  <c r="BI1693" i="1" s="1"/>
  <c r="BI1694" i="1" s="1" a="1"/>
  <c r="BI1694" i="1" s="1"/>
  <c r="BI1695" i="1" s="1" a="1"/>
  <c r="BI1695" i="1" s="1"/>
  <c r="BI1696" i="1" s="1" a="1"/>
  <c r="BI1696" i="1" s="1"/>
  <c r="BI1697" i="1" s="1" a="1"/>
  <c r="BI1697" i="1" s="1"/>
  <c r="BI1698" i="1" s="1" a="1"/>
  <c r="BI1698" i="1" s="1"/>
  <c r="BI1699" i="1" s="1" a="1"/>
  <c r="BI1699" i="1" s="1"/>
  <c r="BI1700" i="1" s="1" a="1"/>
  <c r="BI1700" i="1" s="1"/>
  <c r="BI1701" i="1" s="1" a="1"/>
  <c r="BI1701" i="1" s="1"/>
  <c r="BI1702" i="1" s="1" a="1"/>
  <c r="BI1702" i="1" s="1"/>
  <c r="BI1703" i="1" s="1" a="1"/>
  <c r="BI1703" i="1" s="1"/>
  <c r="BI1704" i="1" s="1" a="1"/>
  <c r="BI1704" i="1" s="1"/>
  <c r="BI1705" i="1" s="1" a="1"/>
  <c r="BI1705" i="1" s="1"/>
  <c r="BI1706" i="1" s="1" a="1"/>
  <c r="BI1706" i="1" s="1"/>
  <c r="BI1707" i="1" s="1" a="1"/>
  <c r="BI1707" i="1" s="1"/>
  <c r="BI1708" i="1" s="1" a="1"/>
  <c r="BI1708" i="1" s="1"/>
  <c r="BI1709" i="1" s="1" a="1"/>
  <c r="BI1709" i="1" s="1"/>
  <c r="BI1710" i="1" s="1" a="1"/>
  <c r="BI1710" i="1" s="1"/>
  <c r="BI1711" i="1" s="1" a="1"/>
  <c r="BI1711" i="1" s="1"/>
  <c r="BI1712" i="1" s="1" a="1"/>
  <c r="BI1712" i="1" s="1"/>
  <c r="BI1713" i="1" s="1" a="1"/>
  <c r="BI1713" i="1" s="1"/>
  <c r="BI1714" i="1" s="1" a="1"/>
  <c r="BI1714" i="1" s="1"/>
  <c r="BI1715" i="1" s="1" a="1"/>
  <c r="BI1715" i="1" s="1"/>
  <c r="BI1716" i="1" s="1" a="1"/>
  <c r="BI1716" i="1" s="1"/>
  <c r="BI1717" i="1" s="1" a="1"/>
  <c r="BI1717" i="1" s="1"/>
  <c r="BI1718" i="1" s="1" a="1"/>
  <c r="BI1718" i="1" s="1"/>
  <c r="BI1719" i="1" s="1" a="1"/>
  <c r="BI1719" i="1" s="1"/>
  <c r="BI1720" i="1" s="1" a="1"/>
  <c r="BI1720" i="1" s="1"/>
  <c r="BI1721" i="1" s="1" a="1"/>
  <c r="BI1721" i="1" s="1"/>
  <c r="BI1722" i="1" s="1" a="1"/>
  <c r="BI1722" i="1" s="1"/>
  <c r="BI1723" i="1" s="1" a="1"/>
  <c r="BI1723" i="1" s="1"/>
  <c r="BI1724" i="1" s="1" a="1"/>
  <c r="BI1724" i="1" s="1"/>
  <c r="BI1725" i="1" s="1" a="1"/>
  <c r="BI1725" i="1" s="1"/>
  <c r="BI1726" i="1" s="1" a="1"/>
  <c r="BI1726" i="1" s="1"/>
  <c r="BI1727" i="1" s="1" a="1"/>
  <c r="BI1727" i="1" s="1"/>
  <c r="BI1728" i="1" s="1" a="1"/>
  <c r="BI1728" i="1" s="1"/>
  <c r="BI1729" i="1" s="1" a="1"/>
  <c r="BI1729" i="1" s="1"/>
  <c r="BI1730" i="1" s="1" a="1"/>
  <c r="BI1730" i="1" s="1"/>
  <c r="BI1731" i="1" s="1" a="1"/>
  <c r="BI1731" i="1" s="1"/>
  <c r="BI1732" i="1" s="1" a="1"/>
  <c r="BI1732" i="1" s="1"/>
  <c r="BI1733" i="1" s="1" a="1"/>
  <c r="BI1733" i="1" s="1"/>
  <c r="BI1734" i="1" s="1" a="1"/>
  <c r="BI1734" i="1" s="1"/>
  <c r="BI1735" i="1" s="1" a="1"/>
  <c r="BI1735" i="1" s="1"/>
  <c r="BI1736" i="1" s="1" a="1"/>
  <c r="BI1736" i="1" s="1"/>
  <c r="BI1737" i="1" s="1" a="1"/>
  <c r="BI1737" i="1" s="1"/>
  <c r="BI1738" i="1" s="1" a="1"/>
  <c r="BI1738" i="1" s="1"/>
  <c r="BI1739" i="1" s="1" a="1"/>
  <c r="BI1739" i="1" s="1"/>
  <c r="BI1740" i="1" s="1" a="1"/>
  <c r="BI1740" i="1" s="1"/>
  <c r="BI1741" i="1" s="1" a="1"/>
  <c r="BI1741" i="1" s="1"/>
  <c r="BI1742" i="1" s="1" a="1"/>
  <c r="BI1742" i="1" s="1"/>
  <c r="BI1743" i="1" s="1" a="1"/>
  <c r="BI1743" i="1" s="1"/>
  <c r="BI1744" i="1" s="1" a="1"/>
  <c r="BI1744" i="1" s="1"/>
  <c r="BI1745" i="1" s="1" a="1"/>
  <c r="BI1745" i="1" s="1"/>
  <c r="BI1746" i="1" s="1" a="1"/>
  <c r="BI1746" i="1" s="1"/>
  <c r="BI1747" i="1" s="1" a="1"/>
  <c r="BI1747" i="1" s="1"/>
  <c r="BI1748" i="1" s="1" a="1"/>
  <c r="BI1748" i="1" s="1"/>
  <c r="BI1749" i="1" s="1" a="1"/>
  <c r="BI1749" i="1" s="1"/>
  <c r="BI1750" i="1" s="1" a="1"/>
  <c r="BI1750" i="1" s="1"/>
  <c r="BI1751" i="1" s="1" a="1"/>
  <c r="BI1751" i="1" s="1"/>
  <c r="BI1752" i="1" s="1" a="1"/>
  <c r="BI1752" i="1" s="1"/>
  <c r="BI1753" i="1" s="1" a="1"/>
  <c r="BI1753" i="1" s="1"/>
  <c r="BI1754" i="1" s="1" a="1"/>
  <c r="BI1754" i="1" s="1"/>
  <c r="BI1755" i="1" s="1" a="1"/>
  <c r="BI1755" i="1" s="1"/>
  <c r="BI1756" i="1" s="1" a="1"/>
  <c r="BI1756" i="1" s="1"/>
  <c r="BI1757" i="1" s="1" a="1"/>
  <c r="BI1757" i="1" s="1"/>
  <c r="BI1758" i="1" s="1" a="1"/>
  <c r="BI1758" i="1" s="1"/>
  <c r="BI1759" i="1" s="1" a="1"/>
  <c r="BI1759" i="1" s="1"/>
  <c r="BI1760" i="1" s="1" a="1"/>
  <c r="BI1760" i="1" s="1"/>
  <c r="BI1761" i="1" s="1" a="1"/>
  <c r="BI1761" i="1" s="1"/>
  <c r="BI1762" i="1" s="1" a="1"/>
  <c r="BI1762" i="1" s="1"/>
  <c r="BI1763" i="1" s="1" a="1"/>
  <c r="BI1763" i="1" s="1"/>
  <c r="BI1764" i="1" s="1" a="1"/>
  <c r="BI1764" i="1" s="1"/>
  <c r="BI1765" i="1" s="1" a="1"/>
  <c r="BI1765" i="1" s="1"/>
  <c r="BI1766" i="1" s="1" a="1"/>
  <c r="BI1766" i="1" s="1"/>
  <c r="BI1767" i="1" s="1" a="1"/>
  <c r="BI1767" i="1" s="1"/>
  <c r="BI1768" i="1" s="1" a="1"/>
  <c r="BI1768" i="1" s="1"/>
  <c r="BI1769" i="1" s="1" a="1"/>
  <c r="BI1769" i="1" s="1"/>
  <c r="BI1770" i="1" s="1" a="1"/>
  <c r="BI1770" i="1" s="1"/>
  <c r="BI1771" i="1" s="1" a="1"/>
  <c r="BI1771" i="1" s="1"/>
  <c r="BI1772" i="1" s="1" a="1"/>
  <c r="BI1772" i="1" s="1"/>
  <c r="BI1773" i="1" s="1" a="1"/>
  <c r="BI1773" i="1" s="1"/>
  <c r="BI1774" i="1" s="1" a="1"/>
  <c r="BI1774" i="1" s="1"/>
  <c r="BI1775" i="1" s="1" a="1"/>
  <c r="BI1775" i="1" s="1"/>
  <c r="BI1776" i="1" s="1" a="1"/>
  <c r="BI1776" i="1" s="1"/>
  <c r="BI1777" i="1" s="1" a="1"/>
  <c r="BI1777" i="1" s="1"/>
  <c r="BI1778" i="1" s="1" a="1"/>
  <c r="BI1778" i="1" s="1"/>
  <c r="BI1779" i="1" s="1" a="1"/>
  <c r="BI1779" i="1" s="1"/>
  <c r="BI1780" i="1" s="1" a="1"/>
  <c r="BI1780" i="1" s="1"/>
  <c r="BI1781" i="1" s="1" a="1"/>
  <c r="BI1781" i="1" s="1"/>
  <c r="BI1782" i="1" s="1" a="1"/>
  <c r="BI1782" i="1" s="1"/>
  <c r="BI1783" i="1" s="1" a="1"/>
  <c r="BI1783" i="1" s="1"/>
  <c r="BI1784" i="1" s="1" a="1"/>
  <c r="BI1784" i="1" s="1"/>
  <c r="BI1785" i="1" s="1" a="1"/>
  <c r="BI1785" i="1" s="1"/>
  <c r="BI1786" i="1" s="1" a="1"/>
  <c r="BI1786" i="1" s="1"/>
  <c r="BI1787" i="1" s="1" a="1"/>
  <c r="BI1787" i="1" s="1"/>
  <c r="BI1788" i="1" s="1" a="1"/>
  <c r="BI1788" i="1" s="1"/>
  <c r="BI1789" i="1" s="1" a="1"/>
  <c r="BI1789" i="1" s="1"/>
  <c r="BI1790" i="1" s="1" a="1"/>
  <c r="BI1790" i="1" s="1"/>
  <c r="BI1791" i="1" s="1" a="1"/>
  <c r="BI1791" i="1" s="1"/>
  <c r="BI1792" i="1" s="1" a="1"/>
  <c r="BI1792" i="1" s="1"/>
  <c r="BI1793" i="1" s="1" a="1"/>
  <c r="BI1793" i="1" s="1"/>
  <c r="BI1794" i="1" s="1" a="1"/>
  <c r="BI1794" i="1" s="1"/>
  <c r="BI1795" i="1" s="1" a="1"/>
  <c r="BI1795" i="1" s="1"/>
  <c r="BI1796" i="1" s="1" a="1"/>
  <c r="BI1796" i="1" s="1"/>
  <c r="BI1797" i="1" s="1" a="1"/>
  <c r="BI1797" i="1" s="1"/>
  <c r="BI1798" i="1" s="1" a="1"/>
  <c r="BI1798" i="1" s="1"/>
  <c r="BI1799" i="1" s="1" a="1"/>
  <c r="BI1799" i="1" s="1"/>
  <c r="BI1800" i="1" s="1" a="1"/>
  <c r="BI1800" i="1" s="1"/>
  <c r="BI1801" i="1" s="1" a="1"/>
  <c r="BI1801" i="1" s="1"/>
  <c r="BI1802" i="1" s="1" a="1"/>
  <c r="BI1802" i="1" s="1"/>
  <c r="BI1803" i="1" s="1" a="1"/>
  <c r="BI1803" i="1" s="1"/>
  <c r="BI1804" i="1" s="1" a="1"/>
  <c r="BI1804" i="1" s="1"/>
  <c r="BI1805" i="1" s="1" a="1"/>
  <c r="BI1805" i="1" s="1"/>
  <c r="BI1806" i="1" s="1" a="1"/>
  <c r="BI1806" i="1" s="1"/>
  <c r="BI1807" i="1" s="1" a="1"/>
  <c r="BI1807" i="1" s="1"/>
  <c r="BI1808" i="1" s="1" a="1"/>
  <c r="BI1808" i="1" s="1"/>
  <c r="BI1809" i="1" s="1" a="1"/>
  <c r="BI1809" i="1" s="1"/>
  <c r="BI1810" i="1" s="1" a="1"/>
  <c r="BI1810" i="1" s="1"/>
  <c r="BI1811" i="1" s="1" a="1"/>
  <c r="BI1811" i="1" s="1"/>
  <c r="BI1812" i="1" s="1" a="1"/>
  <c r="BI1812" i="1" s="1"/>
  <c r="BI1813" i="1" s="1" a="1"/>
  <c r="BI1813" i="1" s="1"/>
  <c r="BI1814" i="1" s="1" a="1"/>
  <c r="BI1814" i="1" s="1"/>
  <c r="BI1815" i="1" s="1" a="1"/>
  <c r="BI1815" i="1" s="1"/>
  <c r="BI1816" i="1" s="1" a="1"/>
  <c r="BI1816" i="1" s="1"/>
  <c r="BI1817" i="1" s="1" a="1"/>
  <c r="BI1817" i="1" s="1"/>
  <c r="BI1818" i="1" s="1" a="1"/>
  <c r="BI1818" i="1" s="1"/>
  <c r="BI1819" i="1" s="1" a="1"/>
  <c r="BI1819" i="1" s="1"/>
  <c r="BI1820" i="1" s="1" a="1"/>
  <c r="BI1820" i="1" s="1"/>
  <c r="BI1821" i="1" s="1" a="1"/>
  <c r="BI1821" i="1" s="1"/>
  <c r="BI1822" i="1" s="1" a="1"/>
  <c r="BI1822" i="1" s="1"/>
  <c r="BI1823" i="1" s="1" a="1"/>
  <c r="BI1823" i="1" s="1"/>
  <c r="BI1824" i="1" s="1" a="1"/>
  <c r="BI1824" i="1" s="1"/>
  <c r="BI1825" i="1" s="1" a="1"/>
  <c r="BI1825" i="1" s="1"/>
  <c r="BI1826" i="1" s="1" a="1"/>
  <c r="BI1826" i="1" s="1"/>
  <c r="BI1827" i="1" s="1" a="1"/>
  <c r="BI1827" i="1" s="1"/>
  <c r="BI1828" i="1" s="1" a="1"/>
  <c r="BI1828" i="1" s="1"/>
  <c r="BI1829" i="1" s="1" a="1"/>
  <c r="BI1829" i="1" s="1"/>
  <c r="BI1830" i="1" s="1" a="1"/>
  <c r="BI1830" i="1" s="1"/>
  <c r="BI1831" i="1" s="1" a="1"/>
  <c r="BI1831" i="1" s="1"/>
  <c r="BI1832" i="1" s="1" a="1"/>
  <c r="BI1832" i="1" s="1"/>
  <c r="BI1833" i="1" s="1" a="1"/>
  <c r="BI1833" i="1" s="1"/>
  <c r="BI1834" i="1" s="1" a="1"/>
  <c r="BI1834" i="1" s="1"/>
  <c r="BI1835" i="1" s="1" a="1"/>
  <c r="BI1835" i="1" s="1"/>
  <c r="BI1836" i="1" s="1" a="1"/>
  <c r="BI1836" i="1" s="1"/>
  <c r="BI1837" i="1" s="1" a="1"/>
  <c r="BI1837" i="1" s="1"/>
  <c r="BI1838" i="1" s="1" a="1"/>
  <c r="BI1838" i="1" s="1"/>
  <c r="BI1839" i="1" s="1" a="1"/>
  <c r="BI1839" i="1" s="1"/>
  <c r="BI1840" i="1" s="1" a="1"/>
  <c r="BI1840" i="1" s="1"/>
  <c r="BI1841" i="1" s="1" a="1"/>
  <c r="BI1841" i="1" s="1"/>
  <c r="BI1842" i="1" s="1" a="1"/>
  <c r="BI1842" i="1" s="1"/>
  <c r="BI1843" i="1" s="1" a="1"/>
  <c r="BI1843" i="1" s="1"/>
  <c r="BI1844" i="1" s="1" a="1"/>
  <c r="BI1844" i="1" s="1"/>
  <c r="BI1845" i="1" s="1" a="1"/>
  <c r="BI1845" i="1" s="1"/>
  <c r="BI1846" i="1" s="1" a="1"/>
  <c r="BI1846" i="1" s="1"/>
  <c r="BI1847" i="1" s="1" a="1"/>
  <c r="BI1847" i="1" s="1"/>
  <c r="BI1848" i="1" s="1" a="1"/>
  <c r="BI1848" i="1" s="1"/>
  <c r="BI1849" i="1" s="1" a="1"/>
  <c r="BI1849" i="1" s="1"/>
  <c r="BI1850" i="1" s="1" a="1"/>
  <c r="BI1850" i="1" s="1"/>
  <c r="BI1851" i="1" s="1" a="1"/>
  <c r="BI1851" i="1" s="1"/>
  <c r="BI1852" i="1" s="1" a="1"/>
  <c r="BI1852" i="1" s="1"/>
  <c r="BI1853" i="1" s="1" a="1"/>
  <c r="BI1853" i="1" s="1"/>
  <c r="BI1854" i="1" s="1" a="1"/>
  <c r="BI1854" i="1" s="1"/>
  <c r="BI1855" i="1" s="1" a="1"/>
  <c r="BI1855" i="1" s="1"/>
  <c r="BI1856" i="1" s="1" a="1"/>
  <c r="BI1856" i="1" s="1"/>
  <c r="BI1857" i="1" s="1" a="1"/>
  <c r="BI1857" i="1" s="1"/>
  <c r="BI1858" i="1" s="1" a="1"/>
  <c r="BI1858" i="1" s="1"/>
  <c r="BI1859" i="1" s="1" a="1"/>
  <c r="BI1859" i="1" s="1"/>
  <c r="BI1860" i="1" s="1" a="1"/>
  <c r="BI1860" i="1" s="1"/>
  <c r="BI1861" i="1" s="1" a="1"/>
  <c r="BI1861" i="1" s="1"/>
  <c r="BI1862" i="1" s="1" a="1"/>
  <c r="BI1862" i="1" s="1"/>
  <c r="BI1863" i="1" s="1" a="1"/>
  <c r="BI1863" i="1" s="1"/>
  <c r="BI1864" i="1" s="1" a="1"/>
  <c r="BI1864" i="1" s="1"/>
  <c r="BI1865" i="1" s="1" a="1"/>
  <c r="BI1865" i="1" s="1"/>
  <c r="BI1866" i="1" s="1" a="1"/>
  <c r="BI1866" i="1" s="1"/>
  <c r="BI1867" i="1" s="1" a="1"/>
  <c r="BI1867" i="1" s="1"/>
  <c r="BI1868" i="1" s="1" a="1"/>
  <c r="BI1868" i="1" s="1"/>
  <c r="BI1869" i="1" s="1" a="1"/>
  <c r="BI1869" i="1" s="1"/>
  <c r="BI1870" i="1" s="1" a="1"/>
  <c r="BI1870" i="1" s="1"/>
  <c r="BI1871" i="1" s="1" a="1"/>
  <c r="BI1871" i="1" s="1"/>
  <c r="BI1872" i="1" s="1" a="1"/>
  <c r="BI1872" i="1" s="1"/>
  <c r="BI1873" i="1" s="1" a="1"/>
  <c r="BI1873" i="1" s="1"/>
  <c r="BI1874" i="1" s="1" a="1"/>
  <c r="BI1874" i="1" s="1"/>
  <c r="BI1875" i="1" s="1" a="1"/>
  <c r="BI1875" i="1" s="1"/>
  <c r="BI1876" i="1" s="1" a="1"/>
  <c r="BI1876" i="1" s="1"/>
  <c r="BI1877" i="1" s="1" a="1"/>
  <c r="BI1877" i="1" s="1"/>
  <c r="BI1878" i="1" s="1" a="1"/>
  <c r="BI1878" i="1" s="1"/>
  <c r="BI1879" i="1" s="1" a="1"/>
  <c r="BI1879" i="1" s="1"/>
  <c r="BI1880" i="1" s="1" a="1"/>
  <c r="BI1880" i="1" s="1"/>
  <c r="BI1881" i="1" s="1" a="1"/>
  <c r="BI1881" i="1" s="1"/>
  <c r="BI1882" i="1" s="1" a="1"/>
  <c r="BI1882" i="1" s="1"/>
  <c r="BI1883" i="1" s="1" a="1"/>
  <c r="BI1883" i="1" s="1"/>
  <c r="BI1884" i="1" s="1" a="1"/>
  <c r="BI1884" i="1" s="1"/>
  <c r="BI1885" i="1" s="1" a="1"/>
  <c r="BI1885" i="1" s="1"/>
  <c r="BI1886" i="1" s="1" a="1"/>
  <c r="BI1886" i="1" s="1"/>
  <c r="BI1887" i="1" s="1" a="1"/>
  <c r="BI1887" i="1" s="1"/>
  <c r="BI1888" i="1" s="1" a="1"/>
  <c r="BI1888" i="1" s="1"/>
  <c r="BI1889" i="1" s="1" a="1"/>
  <c r="BI1889" i="1" s="1"/>
  <c r="BI1890" i="1" s="1" a="1"/>
  <c r="BI1890" i="1" s="1"/>
  <c r="BI1891" i="1" s="1" a="1"/>
  <c r="BI1891" i="1" s="1"/>
  <c r="BI1892" i="1" s="1" a="1"/>
  <c r="BI1892" i="1" s="1"/>
  <c r="BI1893" i="1" s="1" a="1"/>
  <c r="BI1893" i="1" s="1"/>
  <c r="BI1894" i="1" s="1" a="1"/>
  <c r="BI1894" i="1" s="1"/>
  <c r="BI1895" i="1" s="1" a="1"/>
  <c r="BI1895" i="1" s="1"/>
  <c r="BI1896" i="1" s="1" a="1"/>
  <c r="BI1896" i="1" s="1"/>
  <c r="BI1897" i="1" s="1" a="1"/>
  <c r="BI1897" i="1" s="1"/>
  <c r="BI1898" i="1" s="1" a="1"/>
  <c r="BI1898" i="1" s="1"/>
  <c r="BI1899" i="1" s="1" a="1"/>
  <c r="BI1899" i="1" s="1"/>
  <c r="BI1900" i="1" s="1" a="1"/>
  <c r="BI1900" i="1" s="1"/>
  <c r="BI1901" i="1" s="1" a="1"/>
  <c r="BI1901" i="1" s="1"/>
  <c r="BI1902" i="1" s="1" a="1"/>
  <c r="BI1902" i="1" s="1"/>
  <c r="BI1903" i="1" s="1" a="1"/>
  <c r="BI1903" i="1" s="1"/>
  <c r="BI1904" i="1" s="1" a="1"/>
  <c r="BI1904" i="1" s="1"/>
  <c r="BI1905" i="1" s="1" a="1"/>
  <c r="BI1905" i="1" s="1"/>
  <c r="BI1906" i="1" s="1" a="1"/>
  <c r="BI1906" i="1" s="1"/>
  <c r="BI1907" i="1" s="1" a="1"/>
  <c r="BI1907" i="1" s="1"/>
  <c r="BI1908" i="1" s="1" a="1"/>
  <c r="BI1908" i="1" s="1"/>
  <c r="BI1909" i="1" s="1" a="1"/>
  <c r="BI1909" i="1" s="1"/>
  <c r="BI1910" i="1" s="1" a="1"/>
  <c r="BI1910" i="1" s="1"/>
  <c r="BI1911" i="1" s="1" a="1"/>
  <c r="BI1911" i="1" s="1"/>
  <c r="BI1912" i="1" s="1" a="1"/>
  <c r="BI1912" i="1" s="1"/>
  <c r="BI1913" i="1" s="1" a="1"/>
  <c r="BI1913" i="1" s="1"/>
  <c r="BI1914" i="1" s="1" a="1"/>
  <c r="BI1914" i="1" s="1"/>
  <c r="BI1915" i="1" s="1" a="1"/>
  <c r="BI1915" i="1" s="1"/>
  <c r="BI1916" i="1" s="1" a="1"/>
  <c r="BI1916" i="1" s="1"/>
  <c r="BI1917" i="1" s="1" a="1"/>
  <c r="BI1917" i="1" s="1"/>
  <c r="BI1918" i="1" s="1" a="1"/>
  <c r="BI1918" i="1" s="1"/>
  <c r="BI1919" i="1" s="1" a="1"/>
  <c r="BI1919" i="1" s="1"/>
  <c r="BI1920" i="1" s="1" a="1"/>
  <c r="BI1920" i="1" s="1"/>
  <c r="BI1921" i="1" s="1" a="1"/>
  <c r="BI1921" i="1" s="1"/>
  <c r="BI1922" i="1" s="1" a="1"/>
  <c r="BI1922" i="1" s="1"/>
  <c r="BI1923" i="1" s="1" a="1"/>
  <c r="BI1923" i="1" s="1"/>
  <c r="BI1924" i="1" s="1" a="1"/>
  <c r="BI1924" i="1" s="1"/>
  <c r="BI1925" i="1" s="1" a="1"/>
  <c r="BI1925" i="1" s="1"/>
  <c r="BI1926" i="1" s="1" a="1"/>
  <c r="BI1926" i="1" s="1"/>
  <c r="BI1927" i="1" s="1" a="1"/>
  <c r="BI1927" i="1" s="1"/>
  <c r="BI1928" i="1" s="1" a="1"/>
  <c r="BI1928" i="1" s="1"/>
  <c r="BI1929" i="1" s="1" a="1"/>
  <c r="BI1929" i="1" s="1"/>
  <c r="BI1930" i="1" s="1" a="1"/>
  <c r="BI1930" i="1" s="1"/>
  <c r="BI1931" i="1" s="1" a="1"/>
  <c r="BI1931" i="1" s="1"/>
  <c r="BI1932" i="1" s="1" a="1"/>
  <c r="BI1932" i="1" s="1"/>
  <c r="BI1933" i="1" s="1" a="1"/>
  <c r="BI1933" i="1" s="1"/>
  <c r="BI1934" i="1" s="1" a="1"/>
  <c r="BI1934" i="1" s="1"/>
  <c r="BI1935" i="1" s="1" a="1"/>
  <c r="BI1935" i="1" s="1"/>
  <c r="BI1936" i="1" s="1" a="1"/>
  <c r="BI1936" i="1" s="1"/>
  <c r="BI1937" i="1" s="1" a="1"/>
  <c r="BI1937" i="1" s="1"/>
  <c r="BI1938" i="1" s="1" a="1"/>
  <c r="BI1938" i="1" s="1"/>
  <c r="BI1939" i="1" s="1" a="1"/>
  <c r="BI1939" i="1" s="1"/>
  <c r="BI1940" i="1" s="1" a="1"/>
  <c r="BI1940" i="1" s="1"/>
  <c r="BI1941" i="1" s="1" a="1"/>
  <c r="BI1941" i="1" s="1"/>
  <c r="BI1942" i="1" s="1" a="1"/>
  <c r="BI1942" i="1" s="1"/>
  <c r="BI1943" i="1" s="1" a="1"/>
  <c r="BI1943" i="1" s="1"/>
  <c r="BI1944" i="1" s="1" a="1"/>
  <c r="BI1944" i="1" s="1"/>
  <c r="BI1945" i="1" s="1" a="1"/>
  <c r="BI1945" i="1" s="1"/>
  <c r="BI1946" i="1" s="1" a="1"/>
  <c r="BI1946" i="1" s="1"/>
  <c r="BI1947" i="1" s="1" a="1"/>
  <c r="BI1947" i="1" s="1"/>
  <c r="BI1948" i="1" s="1" a="1"/>
  <c r="BI1948" i="1" s="1"/>
  <c r="BI1949" i="1" s="1" a="1"/>
  <c r="BI1949" i="1" s="1"/>
  <c r="BI1950" i="1" s="1" a="1"/>
  <c r="BI1950" i="1" s="1"/>
  <c r="BI1951" i="1" s="1" a="1"/>
  <c r="BI1951" i="1" s="1"/>
  <c r="BI1952" i="1" s="1" a="1"/>
  <c r="BI1952" i="1" s="1"/>
  <c r="BI1953" i="1" s="1" a="1"/>
  <c r="BI1953" i="1" s="1"/>
  <c r="BI1954" i="1" s="1" a="1"/>
  <c r="BI1954" i="1" s="1"/>
  <c r="BI1955" i="1" s="1" a="1"/>
  <c r="BI1955" i="1" s="1"/>
  <c r="BI1956" i="1" s="1" a="1"/>
  <c r="BI1956" i="1" s="1"/>
  <c r="BI1957" i="1" s="1" a="1"/>
  <c r="BI1957" i="1" s="1"/>
  <c r="BI1958" i="1" s="1" a="1"/>
  <c r="BI1958" i="1" s="1"/>
  <c r="BI1959" i="1" s="1" a="1"/>
  <c r="BI1959" i="1" s="1"/>
  <c r="BI1960" i="1" s="1" a="1"/>
  <c r="BI1960" i="1" s="1"/>
  <c r="BI1961" i="1" s="1" a="1"/>
  <c r="BI1961" i="1" s="1"/>
  <c r="BI1962" i="1" s="1" a="1"/>
  <c r="BI1962" i="1" s="1"/>
  <c r="BI1963" i="1" s="1" a="1"/>
  <c r="BI1963" i="1" s="1"/>
  <c r="BI1964" i="1" s="1" a="1"/>
  <c r="BI1964" i="1" s="1"/>
  <c r="BI1965" i="1" s="1" a="1"/>
  <c r="BI1965" i="1" s="1"/>
  <c r="BI1966" i="1" s="1" a="1"/>
  <c r="BI1966" i="1" s="1"/>
  <c r="BI1967" i="1" s="1" a="1"/>
  <c r="BI1967" i="1" s="1"/>
  <c r="BI1968" i="1" s="1" a="1"/>
  <c r="BI1968" i="1" s="1"/>
  <c r="BI1969" i="1" s="1" a="1"/>
  <c r="BI1969" i="1" s="1"/>
  <c r="BI1970" i="1" s="1" a="1"/>
  <c r="BI1970" i="1" s="1"/>
  <c r="BI1971" i="1" s="1" a="1"/>
  <c r="BI1971" i="1" s="1"/>
  <c r="BI1972" i="1" s="1" a="1"/>
  <c r="BI1972" i="1" s="1"/>
  <c r="BI1973" i="1" s="1" a="1"/>
  <c r="BI1973" i="1" s="1"/>
  <c r="BI1974" i="1" s="1" a="1"/>
  <c r="BI1974" i="1" s="1"/>
  <c r="BI1975" i="1" s="1" a="1"/>
  <c r="BI1975" i="1" s="1"/>
  <c r="BI1976" i="1" s="1" a="1"/>
  <c r="BI1976" i="1" s="1"/>
  <c r="BI1977" i="1" s="1" a="1"/>
  <c r="BI1977" i="1" s="1"/>
  <c r="BI1978" i="1" s="1" a="1"/>
  <c r="BI1978" i="1" s="1"/>
  <c r="BI1979" i="1" s="1" a="1"/>
  <c r="BI1979" i="1" s="1"/>
  <c r="BI1980" i="1" s="1" a="1"/>
  <c r="BI1980" i="1" s="1"/>
  <c r="BI1981" i="1" s="1" a="1"/>
  <c r="BI1981" i="1" s="1"/>
  <c r="BI1982" i="1" s="1" a="1"/>
  <c r="BI1982" i="1" s="1"/>
  <c r="BI1983" i="1" s="1" a="1"/>
  <c r="BI1983" i="1" s="1"/>
  <c r="BI1984" i="1" s="1" a="1"/>
  <c r="BI1984" i="1" s="1"/>
  <c r="BI1985" i="1" s="1" a="1"/>
  <c r="BI1985" i="1" s="1"/>
  <c r="BI1986" i="1" s="1" a="1"/>
  <c r="BI1986" i="1" s="1"/>
  <c r="BI1987" i="1" s="1" a="1"/>
  <c r="BI1987" i="1" s="1"/>
  <c r="BI1988" i="1" s="1" a="1"/>
  <c r="BI1988" i="1" s="1"/>
  <c r="BI1989" i="1" s="1" a="1"/>
  <c r="BI1989" i="1" s="1"/>
  <c r="BI1990" i="1" s="1" a="1"/>
  <c r="BI1990" i="1" s="1"/>
  <c r="BI1991" i="1" s="1" a="1"/>
  <c r="BI1991" i="1" s="1"/>
  <c r="BI1992" i="1" s="1" a="1"/>
  <c r="BI1992" i="1" s="1"/>
  <c r="BI1993" i="1" s="1" a="1"/>
  <c r="BI1993" i="1" s="1"/>
  <c r="BI1994" i="1" s="1" a="1"/>
  <c r="BI1994" i="1" s="1"/>
  <c r="BI1995" i="1" s="1" a="1"/>
  <c r="BI1995" i="1" s="1"/>
  <c r="BI1996" i="1" s="1" a="1"/>
  <c r="BI1996" i="1" s="1"/>
  <c r="BI1997" i="1" s="1" a="1"/>
  <c r="BI1997" i="1" s="1"/>
  <c r="BI1998" i="1" s="1" a="1"/>
  <c r="BI1998" i="1" s="1"/>
  <c r="BI1999" i="1" s="1" a="1"/>
  <c r="BI1999" i="1" s="1"/>
  <c r="BI2000" i="1" s="1" a="1"/>
  <c r="BI2000" i="1" s="1"/>
  <c r="BI2001" i="1" s="1" a="1"/>
  <c r="BI2001" i="1" s="1"/>
  <c r="BI2002" i="1" s="1" a="1"/>
  <c r="BI2002" i="1" s="1"/>
  <c r="BI2003" i="1" s="1" a="1"/>
  <c r="BI2003" i="1" s="1"/>
  <c r="BI2004" i="1" s="1" a="1"/>
  <c r="BI2004" i="1" s="1"/>
  <c r="BI2011" i="1" s="1" a="1"/>
  <c r="BI2011" i="1" s="1"/>
  <c r="BI2012" i="1" s="1" a="1"/>
  <c r="BI2012" i="1" s="1"/>
  <c r="BI2013" i="1" s="1" a="1"/>
  <c r="BI2013" i="1" s="1"/>
  <c r="BI2014" i="1" s="1" a="1"/>
  <c r="BI2014" i="1" s="1"/>
  <c r="BI2015" i="1" s="1" a="1"/>
  <c r="BI2015" i="1" s="1"/>
  <c r="BI2016" i="1" s="1" a="1"/>
  <c r="BI2016" i="1" s="1"/>
  <c r="BI2017" i="1" s="1" a="1"/>
  <c r="BI2017" i="1" s="1"/>
  <c r="BI2018" i="1" s="1" a="1"/>
  <c r="BI2018" i="1" s="1"/>
  <c r="BI2019" i="1" s="1" a="1"/>
  <c r="BI2019" i="1" s="1"/>
  <c r="BI2020" i="1" s="1" a="1"/>
  <c r="BI2020" i="1" s="1"/>
  <c r="BI2021" i="1" s="1" a="1"/>
  <c r="BI2021" i="1" s="1"/>
  <c r="BI2022" i="1" s="1" a="1"/>
  <c r="BI2022" i="1" s="1"/>
  <c r="BI2023" i="1" s="1" a="1"/>
  <c r="BI2023" i="1" s="1"/>
  <c r="BI2024" i="1" s="1" a="1"/>
  <c r="BI2024" i="1" s="1"/>
  <c r="BI2025" i="1" s="1" a="1"/>
  <c r="BI2025" i="1" s="1"/>
  <c r="BI2026" i="1" s="1" a="1"/>
  <c r="BI2026" i="1" s="1"/>
  <c r="BI2027" i="1" s="1" a="1"/>
  <c r="BI2027" i="1" s="1"/>
  <c r="BI2028" i="1" s="1" a="1"/>
  <c r="BI2028" i="1" s="1"/>
  <c r="BI2029" i="1" s="1" a="1"/>
  <c r="BI2029" i="1" s="1"/>
  <c r="BI2030" i="1" s="1" a="1"/>
  <c r="BI2030" i="1" s="1"/>
  <c r="BI2031" i="1" s="1" a="1"/>
  <c r="BI2031" i="1" s="1"/>
  <c r="BI2032" i="1" s="1" a="1"/>
  <c r="BI2032" i="1" s="1"/>
  <c r="BI2033" i="1" s="1" a="1"/>
  <c r="BI2033" i="1" s="1"/>
  <c r="BI2034" i="1" s="1" a="1"/>
  <c r="BI2034" i="1" s="1"/>
  <c r="BI2035" i="1" s="1" a="1"/>
  <c r="BI2035" i="1" s="1"/>
  <c r="BI2036" i="1" s="1" a="1"/>
  <c r="BI2036" i="1" s="1"/>
  <c r="BI2037" i="1" s="1" a="1"/>
  <c r="BI2037" i="1" s="1"/>
  <c r="BI2038" i="1" s="1" a="1"/>
  <c r="BI2038" i="1" s="1"/>
  <c r="BI2039" i="1" s="1" a="1"/>
  <c r="BI2039" i="1" s="1"/>
  <c r="BI2040" i="1" s="1" a="1"/>
  <c r="BI2040" i="1" s="1"/>
  <c r="BI2041" i="1" s="1" a="1"/>
  <c r="BI2041" i="1" s="1"/>
  <c r="BI2042" i="1" s="1" a="1"/>
  <c r="BI2042" i="1" s="1"/>
  <c r="BI2043" i="1" s="1" a="1"/>
  <c r="BI2043" i="1" s="1"/>
  <c r="BI2044" i="1" s="1" a="1"/>
  <c r="BI2044" i="1" s="1"/>
  <c r="BI2045" i="1" s="1" a="1"/>
  <c r="BI2045" i="1" s="1"/>
  <c r="BI2046" i="1" s="1" a="1"/>
  <c r="BI2046" i="1" s="1"/>
  <c r="BI2047" i="1" s="1" a="1"/>
  <c r="BI2047" i="1" s="1"/>
  <c r="BI2048" i="1" s="1" a="1"/>
  <c r="BI2048" i="1" s="1"/>
  <c r="BI2049" i="1" s="1" a="1"/>
  <c r="BI2049" i="1" s="1"/>
  <c r="BI2050" i="1" s="1" a="1"/>
  <c r="BI2050" i="1" s="1"/>
  <c r="BI2051" i="1" s="1" a="1"/>
  <c r="BI2051" i="1" s="1"/>
  <c r="BI2052" i="1" s="1" a="1"/>
  <c r="BI2052" i="1" s="1"/>
  <c r="BI2053" i="1" s="1" a="1"/>
  <c r="BI2053" i="1" s="1"/>
  <c r="BI2054" i="1" s="1" a="1"/>
  <c r="BI2054" i="1" s="1"/>
  <c r="BI2055" i="1" s="1" a="1"/>
  <c r="BI2055" i="1" s="1"/>
  <c r="BI2056" i="1" s="1" a="1"/>
  <c r="BI2056" i="1" s="1"/>
  <c r="BI2057" i="1" s="1" a="1"/>
  <c r="BI2057" i="1" s="1"/>
  <c r="BI2058" i="1" s="1" a="1"/>
  <c r="BI2058" i="1" s="1"/>
  <c r="BI2059" i="1" s="1" a="1"/>
  <c r="BI2059" i="1" s="1"/>
  <c r="BI2060" i="1" s="1" a="1"/>
  <c r="BI2060" i="1" s="1"/>
  <c r="BI2061" i="1" s="1" a="1"/>
  <c r="BI2061" i="1" s="1"/>
  <c r="BI2062" i="1" s="1" a="1"/>
  <c r="BI2062" i="1" s="1"/>
  <c r="BI2063" i="1" s="1" a="1"/>
  <c r="BI2063" i="1" s="1"/>
  <c r="BI2064" i="1" s="1" a="1"/>
  <c r="BI2064" i="1" s="1"/>
  <c r="BI2065" i="1" s="1" a="1"/>
  <c r="BI2065" i="1" s="1"/>
  <c r="BI2066" i="1" s="1" a="1"/>
  <c r="BI2066" i="1" s="1"/>
  <c r="BI2067" i="1" s="1" a="1"/>
  <c r="BI2067" i="1" s="1"/>
  <c r="BI2068" i="1" s="1" a="1"/>
  <c r="BI2068" i="1" s="1"/>
  <c r="BI2069" i="1" s="1" a="1"/>
  <c r="BI2069" i="1" s="1"/>
  <c r="BI2070" i="1" s="1" a="1"/>
  <c r="BI2070" i="1" s="1"/>
  <c r="BI2071" i="1" s="1" a="1"/>
  <c r="BI2071" i="1" s="1"/>
  <c r="BI2072" i="1" s="1" a="1"/>
  <c r="BI2072" i="1" s="1"/>
  <c r="BI2073" i="1" s="1" a="1"/>
  <c r="BI2073" i="1" s="1"/>
  <c r="BI2074" i="1" s="1" a="1"/>
  <c r="BI2074" i="1" s="1"/>
  <c r="BI2075" i="1" s="1" a="1"/>
  <c r="BI2075" i="1" s="1"/>
  <c r="BI2076" i="1" s="1" a="1"/>
  <c r="BI2076" i="1" s="1"/>
  <c r="BI2077" i="1" s="1" a="1"/>
  <c r="BI2077" i="1" s="1"/>
  <c r="BI2078" i="1" s="1" a="1"/>
  <c r="BI2078" i="1" s="1"/>
  <c r="BI2079" i="1" s="1" a="1"/>
  <c r="BI2079" i="1" s="1"/>
  <c r="BI2080" i="1" s="1" a="1"/>
  <c r="BI2080" i="1" s="1"/>
  <c r="BI2081" i="1" s="1" a="1"/>
  <c r="BI2081" i="1" s="1"/>
  <c r="BI2082" i="1" s="1" a="1"/>
  <c r="BI2082" i="1" s="1"/>
  <c r="BI2083" i="1" s="1" a="1"/>
  <c r="BI2083" i="1" s="1"/>
  <c r="BI2084" i="1" s="1" a="1"/>
  <c r="BI2084" i="1" s="1"/>
  <c r="BI2085" i="1" s="1" a="1"/>
  <c r="BI2085" i="1" s="1"/>
  <c r="BI2086" i="1" s="1" a="1"/>
  <c r="BI2086" i="1" s="1"/>
  <c r="BI2087" i="1" s="1" a="1"/>
  <c r="BI2087" i="1" s="1"/>
  <c r="BI2088" i="1" s="1" a="1"/>
  <c r="BI2088" i="1" s="1"/>
  <c r="BI2089" i="1" s="1" a="1"/>
  <c r="BI2089" i="1" s="1"/>
  <c r="BI2090" i="1" s="1" a="1"/>
  <c r="BI2090" i="1" s="1"/>
  <c r="BI2091" i="1" s="1" a="1"/>
  <c r="BI2091" i="1" s="1"/>
  <c r="BI2092" i="1" s="1" a="1"/>
  <c r="BI2092" i="1" s="1"/>
  <c r="BI2093" i="1" s="1" a="1"/>
  <c r="BI2093" i="1" s="1"/>
  <c r="BI2094" i="1" s="1" a="1"/>
  <c r="BI2094" i="1" s="1"/>
  <c r="BI2095" i="1" s="1" a="1"/>
  <c r="BI2095" i="1" s="1"/>
  <c r="BI2096" i="1" s="1" a="1"/>
  <c r="BI2096" i="1" s="1"/>
  <c r="BI2102" i="1" s="1" a="1"/>
  <c r="BI2102" i="1" s="1"/>
  <c r="BI2103" i="1" s="1" a="1"/>
  <c r="BI2103" i="1" s="1"/>
  <c r="BI2104" i="1" s="1" a="1"/>
  <c r="BI2104" i="1" s="1"/>
  <c r="BI2105" i="1" s="1" a="1"/>
  <c r="BI2105" i="1" s="1"/>
  <c r="BI2106" i="1" s="1" a="1"/>
  <c r="BI2106" i="1" s="1"/>
  <c r="BI2107" i="1" s="1" a="1"/>
  <c r="BI2107" i="1" s="1"/>
  <c r="BI2108" i="1" s="1" a="1"/>
  <c r="BI2108" i="1" s="1"/>
  <c r="BI2109" i="1" s="1" a="1"/>
  <c r="BI2109" i="1" s="1"/>
  <c r="BI2110" i="1" s="1" a="1"/>
  <c r="BI2110" i="1" s="1"/>
  <c r="BI2111" i="1" s="1" a="1"/>
  <c r="BI2111" i="1" s="1"/>
  <c r="BI2112" i="1" s="1" a="1"/>
  <c r="BI2112" i="1" s="1"/>
  <c r="BI2113" i="1" s="1" a="1"/>
  <c r="BI2113" i="1" s="1"/>
  <c r="BI2114" i="1" s="1" a="1"/>
  <c r="BI2114" i="1" s="1"/>
  <c r="BI2115" i="1" s="1" a="1"/>
  <c r="BI2115" i="1" s="1"/>
  <c r="BI2116" i="1" s="1" a="1"/>
  <c r="BI2116" i="1" s="1"/>
  <c r="BI2117" i="1" s="1" a="1"/>
  <c r="BI2117" i="1" s="1"/>
  <c r="BI2118" i="1" s="1" a="1"/>
  <c r="BI2118" i="1" s="1"/>
  <c r="BI2119" i="1" s="1" a="1"/>
  <c r="BI2119" i="1" s="1"/>
  <c r="BI2120" i="1" s="1" a="1"/>
  <c r="BI2120" i="1" s="1"/>
  <c r="BI2121" i="1" s="1" a="1"/>
  <c r="BI2121" i="1" s="1"/>
  <c r="BI2122" i="1" s="1" a="1"/>
  <c r="BI2122" i="1" s="1"/>
  <c r="BI2123" i="1" s="1" a="1"/>
  <c r="BI2123" i="1" s="1"/>
  <c r="BI2124" i="1" s="1" a="1"/>
  <c r="BI2124" i="1" s="1"/>
  <c r="BI2125" i="1" s="1" a="1"/>
  <c r="BI2125" i="1" s="1"/>
  <c r="BI2126" i="1" s="1" a="1"/>
  <c r="BI2126" i="1" s="1"/>
  <c r="BI2127" i="1" s="1" a="1"/>
  <c r="BI2127" i="1" s="1"/>
  <c r="BI2128" i="1" s="1" a="1"/>
  <c r="BI2128" i="1" s="1"/>
  <c r="BI2129" i="1" s="1" a="1"/>
  <c r="BI2129" i="1" s="1"/>
  <c r="BI2130" i="1" s="1" a="1"/>
  <c r="BI2130" i="1" s="1"/>
  <c r="BI2131" i="1" s="1" a="1"/>
  <c r="BI2131" i="1" s="1"/>
  <c r="BI2132" i="1" s="1" a="1"/>
  <c r="BI2132" i="1" s="1"/>
  <c r="BI2133" i="1" s="1" a="1"/>
  <c r="BI2133" i="1" s="1"/>
  <c r="BI2134" i="1" s="1" a="1"/>
  <c r="BI2134" i="1" s="1"/>
  <c r="BI2135" i="1" s="1" a="1"/>
  <c r="BI2135" i="1" s="1"/>
  <c r="BI2136" i="1" s="1" a="1"/>
  <c r="BI2136" i="1" s="1"/>
  <c r="BI2137" i="1" s="1" a="1"/>
  <c r="BI2137" i="1" s="1"/>
  <c r="BI2138" i="1" s="1" a="1"/>
  <c r="BI2138" i="1" s="1"/>
  <c r="BI2139" i="1" s="1" a="1"/>
  <c r="BI2139" i="1" s="1"/>
  <c r="BI2140" i="1" s="1" a="1"/>
  <c r="BI2140" i="1" s="1"/>
  <c r="BI2141" i="1" s="1" a="1"/>
  <c r="BI2141" i="1" s="1"/>
  <c r="BI2142" i="1" s="1" a="1"/>
  <c r="BI2142" i="1" s="1"/>
  <c r="BI2143" i="1" s="1" a="1"/>
  <c r="BI2143" i="1" s="1"/>
  <c r="BI2144" i="1" s="1" a="1"/>
  <c r="BI2144" i="1" s="1"/>
  <c r="BI2145" i="1" s="1" a="1"/>
  <c r="BI2145" i="1" s="1"/>
  <c r="BI2146" i="1" s="1" a="1"/>
  <c r="BI2146" i="1" s="1"/>
  <c r="BI2147" i="1" s="1" a="1"/>
  <c r="BI2147" i="1" s="1"/>
  <c r="BI2148" i="1" s="1" a="1"/>
  <c r="BI2148" i="1" s="1"/>
  <c r="BI2149" i="1" s="1" a="1"/>
  <c r="BI2149" i="1" s="1"/>
  <c r="BI2150" i="1" s="1" a="1"/>
  <c r="BI2150" i="1" s="1"/>
  <c r="BI2151" i="1" s="1" a="1"/>
  <c r="BI2151" i="1" s="1"/>
  <c r="BI2152" i="1" s="1" a="1"/>
  <c r="BI2152" i="1" s="1"/>
  <c r="BI2153" i="1" s="1" a="1"/>
  <c r="BI2153" i="1" s="1"/>
  <c r="BI2154" i="1" s="1" a="1"/>
  <c r="BI2154" i="1" s="1"/>
  <c r="BI2155" i="1" s="1" a="1"/>
  <c r="BI2155" i="1" s="1"/>
  <c r="BI2156" i="1" s="1" a="1"/>
  <c r="BI2156" i="1" s="1"/>
  <c r="BI2157" i="1" s="1" a="1"/>
  <c r="BI2157" i="1" s="1"/>
  <c r="BI2158" i="1" s="1" a="1"/>
  <c r="BI2158" i="1" s="1"/>
  <c r="BI2159" i="1" s="1" a="1"/>
  <c r="BI2159" i="1" s="1"/>
  <c r="BI2160" i="1" s="1" a="1"/>
  <c r="BI2160" i="1" s="1"/>
  <c r="BI2161" i="1" s="1" a="1"/>
  <c r="BI2161" i="1" s="1"/>
  <c r="BI2162" i="1" s="1" a="1"/>
  <c r="BI2162" i="1" s="1"/>
  <c r="BI2163" i="1" s="1" a="1"/>
  <c r="BI2163" i="1" s="1"/>
  <c r="BI2164" i="1" s="1" a="1"/>
  <c r="BI2164" i="1" s="1"/>
  <c r="BI2165" i="1" s="1" a="1"/>
  <c r="BI2165" i="1" s="1"/>
  <c r="BI2166" i="1" s="1" a="1"/>
  <c r="BI2166" i="1" s="1"/>
  <c r="BI2167" i="1" s="1" a="1"/>
  <c r="BI2167" i="1" s="1"/>
  <c r="BI2168" i="1" s="1" a="1"/>
  <c r="BI2168" i="1" s="1"/>
  <c r="BI2169" i="1" s="1" a="1"/>
  <c r="BI2169" i="1" s="1"/>
  <c r="BI2170" i="1" s="1" a="1"/>
  <c r="BI2170" i="1" s="1"/>
  <c r="BI2171" i="1" s="1" a="1"/>
  <c r="BI2171" i="1" s="1"/>
  <c r="BI2172" i="1" s="1" a="1"/>
  <c r="BI2172" i="1" s="1"/>
  <c r="BI2173" i="1" s="1" a="1"/>
  <c r="BI2173" i="1" s="1"/>
  <c r="BI2174" i="1" s="1" a="1"/>
  <c r="BI2174" i="1" s="1"/>
  <c r="BI2175" i="1" s="1" a="1"/>
  <c r="BI2175" i="1" s="1"/>
  <c r="BI2176" i="1" s="1" a="1"/>
  <c r="BI2176" i="1" s="1"/>
  <c r="BI2177" i="1" s="1" a="1"/>
  <c r="BI2177" i="1" s="1"/>
  <c r="BI2178" i="1" s="1" a="1"/>
  <c r="BI2178" i="1" s="1"/>
  <c r="BI2179" i="1" s="1" a="1"/>
  <c r="BI2179" i="1" s="1"/>
  <c r="BI2180" i="1" s="1" a="1"/>
  <c r="BI2180" i="1" s="1"/>
  <c r="BI2181" i="1" s="1" a="1"/>
  <c r="BI2181" i="1" s="1"/>
  <c r="BI2182" i="1" s="1" a="1"/>
  <c r="BI2182" i="1" s="1"/>
  <c r="BI2183" i="1" s="1" a="1"/>
  <c r="BI2183" i="1" s="1"/>
  <c r="BI2184" i="1" s="1" a="1"/>
  <c r="BI2184" i="1" s="1"/>
  <c r="BI2188" i="1" s="1" a="1"/>
  <c r="BI2188" i="1" s="1"/>
  <c r="BI2189" i="1" s="1" a="1"/>
  <c r="BI2189" i="1" s="1"/>
  <c r="BI2190" i="1" s="1" a="1"/>
  <c r="BI2190" i="1" s="1"/>
  <c r="BI2191" i="1" s="1" a="1"/>
  <c r="BI2191" i="1" s="1"/>
  <c r="BI2192" i="1" s="1" a="1"/>
  <c r="BI2192" i="1" s="1"/>
  <c r="BI2193" i="1" s="1" a="1"/>
  <c r="BI2193" i="1" s="1"/>
  <c r="BI2194" i="1" s="1" a="1"/>
  <c r="BI2194" i="1" s="1"/>
  <c r="BI2195" i="1" s="1" a="1"/>
  <c r="BI2195" i="1" s="1"/>
  <c r="BI2196" i="1" s="1" a="1"/>
  <c r="BI2196" i="1" s="1"/>
  <c r="BI2197" i="1" s="1" a="1"/>
  <c r="BI2197" i="1" s="1"/>
  <c r="BI2198" i="1" s="1" a="1"/>
  <c r="BI2198" i="1" s="1"/>
  <c r="BI2199" i="1" s="1" a="1"/>
  <c r="BI2199" i="1" s="1"/>
  <c r="BI2200" i="1" s="1" a="1"/>
  <c r="BI2200" i="1" s="1"/>
  <c r="BI2201" i="1" s="1" a="1"/>
  <c r="BI2201" i="1" s="1"/>
  <c r="BI2202" i="1" s="1" a="1"/>
  <c r="BI2202" i="1" s="1"/>
  <c r="BI2203" i="1" s="1" a="1"/>
  <c r="BI2203" i="1" s="1"/>
  <c r="BI2204" i="1" s="1" a="1"/>
  <c r="BI2204" i="1" s="1"/>
  <c r="BI2205" i="1" s="1" a="1"/>
  <c r="BI2205" i="1" s="1"/>
  <c r="BI2206" i="1" s="1" a="1"/>
  <c r="BI2206" i="1" s="1"/>
  <c r="BI2207" i="1" s="1" a="1"/>
  <c r="BI2207" i="1" s="1"/>
  <c r="BI2208" i="1" s="1" a="1"/>
  <c r="BI2208" i="1" s="1"/>
  <c r="BI2209" i="1" s="1" a="1"/>
  <c r="BI2209" i="1" s="1"/>
  <c r="BI2210" i="1" s="1" a="1"/>
  <c r="BI2210" i="1" s="1"/>
  <c r="BI2211" i="1" s="1" a="1"/>
  <c r="BI2211" i="1" s="1"/>
  <c r="BI2212" i="1" s="1" a="1"/>
  <c r="BI2212" i="1" s="1"/>
  <c r="BI2213" i="1" s="1" a="1"/>
  <c r="BI2213" i="1" s="1"/>
  <c r="BI2214" i="1" s="1" a="1"/>
  <c r="BI2214" i="1" s="1"/>
  <c r="BI2215" i="1" s="1" a="1"/>
  <c r="BI2215" i="1" s="1"/>
  <c r="BI2216" i="1" s="1" a="1"/>
  <c r="BI2216" i="1" s="1"/>
  <c r="BI2217" i="1" s="1" a="1"/>
  <c r="BI2217" i="1" s="1"/>
  <c r="BI2218" i="1" s="1" a="1"/>
  <c r="BI2218" i="1" s="1"/>
  <c r="BI2219" i="1" s="1" a="1"/>
  <c r="BI2219" i="1" s="1"/>
  <c r="BI2220" i="1" s="1" a="1"/>
  <c r="BI2220" i="1" s="1"/>
  <c r="BI2221" i="1" s="1" a="1"/>
  <c r="BI2221" i="1" s="1"/>
  <c r="BI2222" i="1" s="1" a="1"/>
  <c r="BI2222" i="1" s="1"/>
  <c r="BI2223" i="1" s="1" a="1"/>
  <c r="BI2223" i="1" s="1"/>
  <c r="BI2224" i="1" s="1" a="1"/>
  <c r="BI2224" i="1" s="1"/>
  <c r="BI2225" i="1" s="1" a="1"/>
  <c r="BI2225" i="1" s="1"/>
  <c r="BI2226" i="1" s="1" a="1"/>
  <c r="BI2226" i="1" s="1"/>
  <c r="BI2227" i="1" s="1" a="1"/>
  <c r="BI2227" i="1" s="1"/>
  <c r="BI2228" i="1" s="1" a="1"/>
  <c r="BI2228" i="1" s="1"/>
  <c r="BI2229" i="1" s="1" a="1"/>
  <c r="BI2229" i="1" s="1"/>
  <c r="BI2230" i="1" s="1" a="1"/>
  <c r="BI2230" i="1" s="1"/>
  <c r="BI2231" i="1" s="1" a="1"/>
  <c r="BI2231" i="1" s="1"/>
  <c r="BI2232" i="1" s="1" a="1"/>
  <c r="BI2232" i="1" s="1"/>
  <c r="BI2233" i="1" s="1" a="1"/>
  <c r="BI2233" i="1" s="1"/>
  <c r="BI2234" i="1" s="1" a="1"/>
  <c r="BI2234" i="1" s="1"/>
  <c r="BI2235" i="1" s="1" a="1"/>
  <c r="BI2235" i="1" s="1"/>
  <c r="BI2236" i="1" s="1" a="1"/>
  <c r="BI2236" i="1" s="1"/>
  <c r="BI2237" i="1" s="1" a="1"/>
  <c r="BI2237" i="1" s="1"/>
  <c r="BI2238" i="1" s="1" a="1"/>
  <c r="BI2238" i="1" s="1"/>
  <c r="BI2239" i="1" s="1" a="1"/>
  <c r="BI2239" i="1" s="1"/>
  <c r="BI2240" i="1" s="1" a="1"/>
  <c r="BI2240" i="1" s="1"/>
  <c r="BI2241" i="1" s="1" a="1"/>
  <c r="BI2241" i="1" s="1"/>
  <c r="BI2242" i="1" s="1" a="1"/>
  <c r="BI2242" i="1" s="1"/>
  <c r="BI2243" i="1" s="1" a="1"/>
  <c r="BI2243" i="1" s="1"/>
  <c r="BI2244" i="1" s="1" a="1"/>
  <c r="BI2244" i="1" s="1"/>
  <c r="BI2245" i="1" s="1" a="1"/>
  <c r="BI2245" i="1" s="1"/>
  <c r="BI2246" i="1" s="1" a="1"/>
  <c r="BI2246" i="1" s="1"/>
  <c r="BI2247" i="1" s="1" a="1"/>
  <c r="BI2247" i="1" s="1"/>
  <c r="BI2248" i="1" s="1" a="1"/>
  <c r="BI2248" i="1" s="1"/>
  <c r="BI2249" i="1" s="1" a="1"/>
  <c r="BI2249" i="1" s="1"/>
  <c r="BI2250" i="1" s="1" a="1"/>
  <c r="BI2250" i="1" s="1"/>
  <c r="BI2251" i="1" s="1" a="1"/>
  <c r="BI2251" i="1" s="1"/>
  <c r="BI2252" i="1" s="1" a="1"/>
  <c r="BI2252" i="1" s="1"/>
  <c r="BI2253" i="1" s="1" a="1"/>
  <c r="BI2253" i="1" s="1"/>
  <c r="BI2254" i="1" s="1" a="1"/>
  <c r="BI2254" i="1" s="1"/>
  <c r="BI2255" i="1" s="1" a="1"/>
  <c r="BI2255" i="1" s="1"/>
  <c r="BI2256" i="1" s="1" a="1"/>
  <c r="BI2256" i="1" s="1"/>
  <c r="BI2257" i="1" s="1" a="1"/>
  <c r="BI2257" i="1" s="1"/>
  <c r="BI2258" i="1" s="1" a="1"/>
  <c r="BI2258" i="1" s="1"/>
  <c r="BI2259" i="1" s="1" a="1"/>
  <c r="BI2259" i="1" s="1"/>
  <c r="BI2260" i="1" s="1" a="1"/>
  <c r="BI2260" i="1" s="1"/>
  <c r="BI2261" i="1" s="1" a="1"/>
  <c r="BI2261" i="1" s="1"/>
  <c r="BI2262" i="1" s="1" a="1"/>
  <c r="BI2262" i="1" s="1"/>
  <c r="BI2263" i="1" s="1" a="1"/>
  <c r="BI2263" i="1" s="1"/>
  <c r="BI2264" i="1" s="1" a="1"/>
  <c r="BI2264" i="1" s="1"/>
  <c r="BI2265" i="1" s="1" a="1"/>
  <c r="BI2265" i="1" s="1"/>
  <c r="BI2266" i="1" s="1" a="1"/>
  <c r="BI2266" i="1" s="1"/>
  <c r="BI2267" i="1" s="1" a="1"/>
  <c r="BI2267" i="1" s="1"/>
  <c r="BI2268" i="1" s="1" a="1"/>
  <c r="BI2268" i="1" s="1"/>
  <c r="BI2269" i="1" s="1" a="1"/>
  <c r="BI2269" i="1" s="1"/>
  <c r="BI2270" i="1" s="1" a="1"/>
  <c r="BI2270" i="1" s="1"/>
  <c r="BI2271" i="1" s="1" a="1"/>
  <c r="BI2271" i="1" s="1"/>
  <c r="BI2272" i="1" s="1" a="1"/>
  <c r="BI2272" i="1" s="1"/>
  <c r="BI2273" i="1" s="1" a="1"/>
  <c r="BI2273" i="1" s="1"/>
  <c r="BI2274" i="1" s="1" a="1"/>
  <c r="BI2274" i="1" s="1"/>
  <c r="BI2275" i="1" s="1" a="1"/>
  <c r="BI2275" i="1" s="1"/>
  <c r="BI2276" i="1" s="1" a="1"/>
  <c r="BI2276" i="1" s="1"/>
  <c r="BI2277" i="1" s="1" a="1"/>
  <c r="BI2277" i="1" s="1"/>
  <c r="BI2278" i="1" s="1" a="1"/>
  <c r="BI2278" i="1" s="1"/>
  <c r="BI2279" i="1" s="1" a="1"/>
  <c r="BI2279" i="1" s="1"/>
  <c r="BI2280" i="1" s="1" a="1"/>
  <c r="BI2280" i="1" s="1"/>
  <c r="BI2281" i="1" s="1" a="1"/>
  <c r="BI2281" i="1" s="1"/>
  <c r="BI2282" i="1" s="1" a="1"/>
  <c r="BI2282" i="1" s="1"/>
  <c r="BI2285" i="1" s="1" a="1"/>
  <c r="BI2285" i="1" s="1"/>
  <c r="BI2286" i="1" s="1" a="1"/>
  <c r="BI2286" i="1" s="1"/>
  <c r="BI2287" i="1" s="1" a="1"/>
  <c r="BI2287" i="1" s="1"/>
  <c r="BI2288" i="1" s="1" a="1"/>
  <c r="BI2288" i="1" s="1"/>
  <c r="BI2289" i="1" s="1" a="1"/>
  <c r="BI2289" i="1" s="1"/>
  <c r="BI2290" i="1" s="1" a="1"/>
  <c r="BI2290" i="1" s="1"/>
  <c r="BI2291" i="1" s="1" a="1"/>
  <c r="BI2291" i="1" s="1"/>
  <c r="BI2292" i="1" s="1" a="1"/>
  <c r="BI2292" i="1" s="1"/>
  <c r="BI2293" i="1" s="1" a="1"/>
  <c r="BI2293" i="1" s="1"/>
  <c r="BI2294" i="1" s="1" a="1"/>
  <c r="BI2294" i="1" s="1"/>
  <c r="BI2295" i="1" s="1" a="1"/>
  <c r="BI2295" i="1" s="1"/>
  <c r="BI2296" i="1" s="1" a="1"/>
  <c r="BI2296" i="1" s="1"/>
  <c r="BI2297" i="1" s="1" a="1"/>
  <c r="BI2297" i="1" s="1"/>
  <c r="BI2298" i="1" s="1" a="1"/>
  <c r="BI2298" i="1" s="1"/>
  <c r="BI2299" i="1" s="1" a="1"/>
  <c r="BI2299" i="1" s="1"/>
  <c r="BI2300" i="1" s="1" a="1"/>
  <c r="BI2300" i="1" s="1"/>
  <c r="BI2301" i="1" s="1" a="1"/>
  <c r="BI2301" i="1" s="1"/>
  <c r="BI2302" i="1" s="1" a="1"/>
  <c r="BI2302" i="1" s="1"/>
  <c r="BI2303" i="1" s="1" a="1"/>
  <c r="BI2303" i="1" s="1"/>
  <c r="BI2304" i="1" s="1" a="1"/>
  <c r="BI2304" i="1" s="1"/>
  <c r="BI2305" i="1" s="1" a="1"/>
  <c r="BI2305" i="1" s="1"/>
  <c r="BI2306" i="1" s="1" a="1"/>
  <c r="BI2306" i="1" s="1"/>
  <c r="BI2307" i="1" s="1" a="1"/>
  <c r="BI2307" i="1" s="1"/>
  <c r="BI2308" i="1" s="1" a="1"/>
  <c r="BI2308" i="1" s="1"/>
  <c r="BI2309" i="1" s="1" a="1"/>
  <c r="BI2309" i="1" s="1"/>
  <c r="BI2310" i="1" s="1" a="1"/>
  <c r="BI2310" i="1" s="1"/>
  <c r="BI2311" i="1" s="1" a="1"/>
  <c r="BI2311" i="1" s="1"/>
  <c r="BI2312" i="1" s="1" a="1"/>
  <c r="BI2312" i="1" s="1"/>
  <c r="BI2313" i="1" s="1" a="1"/>
  <c r="BI2313" i="1" s="1"/>
  <c r="BI2314" i="1" s="1" a="1"/>
  <c r="BI2314" i="1" s="1"/>
  <c r="BI2315" i="1" s="1" a="1"/>
  <c r="BI2315" i="1" s="1"/>
  <c r="BI2316" i="1" s="1" a="1"/>
  <c r="BI2316" i="1" s="1"/>
  <c r="BI2317" i="1" s="1" a="1"/>
  <c r="BI2317" i="1" s="1"/>
  <c r="BI2318" i="1" s="1" a="1"/>
  <c r="BI2318" i="1" s="1"/>
  <c r="BI2319" i="1" s="1" a="1"/>
  <c r="BI2319" i="1" s="1"/>
  <c r="BI2320" i="1" s="1" a="1"/>
  <c r="BI2320" i="1" s="1"/>
  <c r="BI2321" i="1" s="1" a="1"/>
  <c r="BI2321" i="1" s="1"/>
  <c r="BI2322" i="1" s="1" a="1"/>
  <c r="BI2322" i="1" s="1"/>
  <c r="BI2323" i="1" s="1" a="1"/>
  <c r="BI2323" i="1" s="1"/>
  <c r="BI2324" i="1" s="1" a="1"/>
  <c r="BI2324" i="1" s="1"/>
  <c r="BI2325" i="1" s="1" a="1"/>
  <c r="BI2325" i="1" s="1"/>
  <c r="BI2326" i="1" s="1" a="1"/>
  <c r="BI2326" i="1" s="1"/>
  <c r="BI2327" i="1" s="1" a="1"/>
  <c r="BI2327" i="1" s="1"/>
  <c r="BI2328" i="1" s="1" a="1"/>
  <c r="BI2328" i="1" s="1"/>
  <c r="BI2329" i="1" s="1" a="1"/>
  <c r="BI2329" i="1" s="1"/>
  <c r="BI2330" i="1" s="1" a="1"/>
  <c r="BI2330" i="1" s="1"/>
  <c r="BI2331" i="1" s="1" a="1"/>
  <c r="BI2331" i="1" s="1"/>
  <c r="BI2332" i="1" s="1" a="1"/>
  <c r="BI2332" i="1" s="1"/>
  <c r="BI2333" i="1" s="1" a="1"/>
  <c r="BI2333" i="1" s="1"/>
  <c r="BI2334" i="1" s="1" a="1"/>
  <c r="BI2334" i="1" s="1"/>
  <c r="BI2335" i="1" s="1" a="1"/>
  <c r="BI2335" i="1" s="1"/>
  <c r="BI2336" i="1" s="1" a="1"/>
  <c r="BI2336" i="1" s="1"/>
  <c r="BI2337" i="1" s="1" a="1"/>
  <c r="BI2337" i="1" s="1"/>
  <c r="BI2338" i="1" s="1" a="1"/>
  <c r="BI2338" i="1" s="1"/>
  <c r="BI2339" i="1" s="1" a="1"/>
  <c r="BI2339" i="1" s="1"/>
  <c r="BI2340" i="1" s="1" a="1"/>
  <c r="BI2340" i="1" s="1"/>
  <c r="BI2341" i="1" s="1" a="1"/>
  <c r="BI2341" i="1" s="1"/>
  <c r="BI2342" i="1" s="1" a="1"/>
  <c r="BI2342" i="1" s="1"/>
  <c r="BI2343" i="1" s="1" a="1"/>
  <c r="BI2343" i="1" s="1"/>
  <c r="BI2344" i="1" s="1" a="1"/>
  <c r="BI2344" i="1" s="1"/>
  <c r="BI2345" i="1" s="1" a="1"/>
  <c r="BI2345" i="1" s="1"/>
  <c r="BI2346" i="1" s="1" a="1"/>
  <c r="BI2346" i="1" s="1"/>
  <c r="BI2347" i="1" s="1" a="1"/>
  <c r="BI2347" i="1" s="1"/>
  <c r="BI2348" i="1" s="1" a="1"/>
  <c r="BI2348" i="1" s="1"/>
  <c r="BI2349" i="1" s="1" a="1"/>
  <c r="BI2349" i="1" s="1"/>
  <c r="BI2350" i="1" s="1" a="1"/>
  <c r="BI2350" i="1" s="1"/>
  <c r="BI2351" i="1" s="1" a="1"/>
  <c r="BI2351" i="1" s="1"/>
  <c r="BI2352" i="1" s="1" a="1"/>
  <c r="BI2352" i="1" s="1"/>
  <c r="BI2353" i="1" s="1" a="1"/>
  <c r="BI2353" i="1" s="1"/>
  <c r="BI2354" i="1" s="1" a="1"/>
  <c r="BI2354" i="1" s="1"/>
  <c r="BI2355" i="1" s="1" a="1"/>
  <c r="BI2355" i="1" s="1"/>
  <c r="BI2356" i="1" s="1" a="1"/>
  <c r="BI2356" i="1" s="1"/>
  <c r="BI2357" i="1" s="1" a="1"/>
  <c r="BI2357" i="1" s="1"/>
  <c r="BI2358" i="1" s="1" a="1"/>
  <c r="BI2358" i="1" s="1"/>
  <c r="BI2359" i="1" s="1" a="1"/>
  <c r="BI2359" i="1" s="1"/>
  <c r="BI2360" i="1" s="1" a="1"/>
  <c r="BI2360" i="1" s="1"/>
  <c r="BI2361" i="1" s="1" a="1"/>
  <c r="BI2361" i="1" s="1"/>
  <c r="BI2362" i="1" s="1" a="1"/>
  <c r="BI2362" i="1" s="1"/>
  <c r="BI2363" i="1" s="1" a="1"/>
  <c r="BI2363" i="1" s="1"/>
  <c r="BI2364" i="1" s="1" a="1"/>
  <c r="BI2364" i="1" s="1"/>
  <c r="BI2365" i="1" s="1" a="1"/>
  <c r="BI2365" i="1" s="1"/>
  <c r="BI2366" i="1" s="1" a="1"/>
  <c r="BI2366" i="1" s="1"/>
  <c r="BI2367" i="1" s="1" a="1"/>
  <c r="BI2367" i="1" s="1"/>
  <c r="BI2368" i="1" s="1" a="1"/>
  <c r="BI2368" i="1" s="1"/>
  <c r="BI2369" i="1" s="1" a="1"/>
  <c r="BI2369" i="1" s="1"/>
  <c r="BI2370" i="1" s="1" a="1"/>
  <c r="BI2370" i="1" s="1"/>
  <c r="BI2371" i="1" s="1" a="1"/>
  <c r="BI2371" i="1" s="1"/>
  <c r="BI2372" i="1" s="1" a="1"/>
  <c r="BI2372" i="1" s="1"/>
  <c r="BI2373" i="1" s="1" a="1"/>
  <c r="BI2373" i="1" s="1"/>
  <c r="BI2374" i="1" s="1" a="1"/>
  <c r="BI2374" i="1" s="1"/>
  <c r="BI2375" i="1" s="1" a="1"/>
  <c r="BI2375" i="1" s="1"/>
  <c r="BI2376" i="1" s="1" a="1"/>
  <c r="BI2376" i="1" s="1"/>
  <c r="BI2377" i="1" s="1" a="1"/>
  <c r="BI2377" i="1" s="1"/>
  <c r="BI2378" i="1" s="1" a="1"/>
  <c r="BI2378" i="1" s="1"/>
  <c r="BI2379" i="1" s="1" a="1"/>
  <c r="BI2379" i="1" s="1"/>
  <c r="BI2380" i="1" s="1" a="1"/>
  <c r="BI2380" i="1" s="1"/>
  <c r="BI2388" i="1" s="1" a="1"/>
  <c r="BI2388" i="1" s="1"/>
  <c r="BI2389" i="1" s="1" a="1"/>
  <c r="BI2389" i="1" s="1"/>
  <c r="BI2390" i="1" s="1" a="1"/>
  <c r="BI2390" i="1" s="1"/>
  <c r="BI2391" i="1" s="1" a="1"/>
  <c r="BI2391" i="1" s="1"/>
  <c r="BI2392" i="1" s="1" a="1"/>
  <c r="BI2392" i="1" s="1"/>
  <c r="BI2393" i="1" s="1" a="1"/>
  <c r="BI2393" i="1" s="1"/>
  <c r="BI2394" i="1" s="1" a="1"/>
  <c r="BI2394" i="1" s="1"/>
  <c r="BI2395" i="1" s="1" a="1"/>
  <c r="BI2395" i="1" s="1"/>
  <c r="BI2396" i="1" s="1" a="1"/>
  <c r="BI2396" i="1" s="1"/>
  <c r="BI2397" i="1" s="1" a="1"/>
  <c r="BI2397" i="1" s="1"/>
  <c r="BI2398" i="1" s="1" a="1"/>
  <c r="BI2398" i="1" s="1"/>
  <c r="BI2399" i="1" s="1" a="1"/>
  <c r="BI2399" i="1" s="1"/>
  <c r="BI2400" i="1" s="1" a="1"/>
  <c r="BI2400" i="1" s="1"/>
  <c r="BI2401" i="1" s="1" a="1"/>
  <c r="BI2401" i="1" s="1"/>
  <c r="BI2402" i="1" s="1" a="1"/>
  <c r="BI2402" i="1" s="1"/>
  <c r="BI2403" i="1" s="1" a="1"/>
  <c r="BI2403" i="1" s="1"/>
  <c r="BI2404" i="1" s="1" a="1"/>
  <c r="BI2404" i="1" s="1"/>
  <c r="BI2405" i="1" s="1" a="1"/>
  <c r="BI2405" i="1" s="1"/>
  <c r="BI2406" i="1" s="1" a="1"/>
  <c r="BI2406" i="1" s="1"/>
  <c r="BI2407" i="1" s="1" a="1"/>
  <c r="BI2407" i="1" s="1"/>
  <c r="BI2408" i="1" s="1" a="1"/>
  <c r="BI2408" i="1" s="1"/>
  <c r="BI2409" i="1" s="1" a="1"/>
  <c r="BI2409" i="1" s="1"/>
  <c r="BI2410" i="1" s="1" a="1"/>
  <c r="BI2410" i="1" s="1"/>
  <c r="BI2411" i="1" s="1" a="1"/>
  <c r="BI2411" i="1" s="1"/>
  <c r="BI2412" i="1" s="1" a="1"/>
  <c r="BI2412" i="1" s="1"/>
  <c r="BI2413" i="1" s="1" a="1"/>
  <c r="BI2413" i="1" s="1"/>
  <c r="BI2414" i="1" s="1" a="1"/>
  <c r="BI2414" i="1" s="1"/>
  <c r="BI2415" i="1" s="1" a="1"/>
  <c r="BI2415" i="1" s="1"/>
  <c r="BI2416" i="1" s="1" a="1"/>
  <c r="BI2416" i="1" s="1"/>
  <c r="BI2417" i="1" s="1" a="1"/>
  <c r="BI2417" i="1" s="1"/>
  <c r="BI2418" i="1" s="1" a="1"/>
  <c r="BI2418" i="1" s="1"/>
  <c r="BI2419" i="1" s="1" a="1"/>
  <c r="BI2419" i="1" s="1"/>
  <c r="BI2420" i="1" s="1" a="1"/>
  <c r="BI2420" i="1" s="1"/>
  <c r="BI2421" i="1" s="1" a="1"/>
  <c r="BI2421" i="1" s="1"/>
  <c r="BI2422" i="1" s="1" a="1"/>
  <c r="BI2422" i="1" s="1"/>
  <c r="BI2423" i="1" s="1" a="1"/>
  <c r="BI2423" i="1" s="1"/>
  <c r="BI2424" i="1" s="1" a="1"/>
  <c r="BI2424" i="1" s="1"/>
  <c r="BI2425" i="1" s="1" a="1"/>
  <c r="BI2425" i="1" s="1"/>
  <c r="BI2426" i="1" s="1" a="1"/>
  <c r="BI2426" i="1" s="1"/>
  <c r="BI2427" i="1" s="1" a="1"/>
  <c r="BI2427" i="1" s="1"/>
  <c r="BI2428" i="1" s="1" a="1"/>
  <c r="BI2428" i="1" s="1"/>
  <c r="BI2429" i="1" s="1" a="1"/>
  <c r="BI2429" i="1" s="1"/>
  <c r="BI3" i="1" a="1"/>
  <c r="BI3" i="1" s="1"/>
  <c r="BA106" i="8"/>
  <c r="BB106" i="8" s="1"/>
  <c r="BM2423" i="1"/>
  <c r="BN2423" i="1" s="1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3" i="8"/>
  <c r="AZ2" i="8"/>
  <c r="X19" i="8" l="1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5" i="8"/>
  <c r="AG4" i="8"/>
  <c r="AI4" i="8" s="1"/>
  <c r="AH4" i="8"/>
  <c r="AJ4" i="8"/>
  <c r="AK4" i="8"/>
  <c r="AL4" i="8"/>
  <c r="AM4" i="8"/>
  <c r="AR4" i="8"/>
  <c r="AS4" i="8"/>
  <c r="AT4" i="8"/>
  <c r="AT5" i="8" s="1"/>
  <c r="AT6" i="8" s="1"/>
  <c r="AT7" i="8" s="1"/>
  <c r="AT8" i="8" s="1"/>
  <c r="AT9" i="8" s="1"/>
  <c r="AT10" i="8" s="1"/>
  <c r="AT11" i="8" s="1"/>
  <c r="AU4" i="8"/>
  <c r="AG5" i="8"/>
  <c r="AI5" i="8" s="1"/>
  <c r="AH5" i="8"/>
  <c r="AJ5" i="8"/>
  <c r="AR5" i="8" s="1"/>
  <c r="AK5" i="8"/>
  <c r="AL5" i="8"/>
  <c r="AM5" i="8"/>
  <c r="AS5" i="8"/>
  <c r="AU5" i="8"/>
  <c r="AG6" i="8"/>
  <c r="AI6" i="8" s="1"/>
  <c r="AH6" i="8"/>
  <c r="AJ6" i="8"/>
  <c r="AK6" i="8"/>
  <c r="AL6" i="8"/>
  <c r="AR6" i="8" s="1"/>
  <c r="AM6" i="8"/>
  <c r="AU6" i="8"/>
  <c r="AU7" i="8" s="1"/>
  <c r="AU8" i="8" s="1"/>
  <c r="AU9" i="8" s="1"/>
  <c r="AU10" i="8" s="1"/>
  <c r="AU11" i="8" s="1"/>
  <c r="AU12" i="8" s="1"/>
  <c r="AU13" i="8" s="1"/>
  <c r="AU14" i="8" s="1"/>
  <c r="AU15" i="8" s="1"/>
  <c r="AU16" i="8" s="1"/>
  <c r="AG7" i="8"/>
  <c r="AH7" i="8"/>
  <c r="AI7" i="8"/>
  <c r="AJ7" i="8"/>
  <c r="AK7" i="8"/>
  <c r="AL7" i="8"/>
  <c r="AN7" i="8" s="1"/>
  <c r="AP7" i="8" s="1"/>
  <c r="AX7" i="8" s="1"/>
  <c r="AW7" i="8" s="1"/>
  <c r="AM7" i="8"/>
  <c r="AG8" i="8"/>
  <c r="AI8" i="8" s="1"/>
  <c r="AH8" i="8"/>
  <c r="AJ8" i="8"/>
  <c r="AK8" i="8"/>
  <c r="AL8" i="8"/>
  <c r="AO8" i="8" s="1"/>
  <c r="AM8" i="8"/>
  <c r="AN8" i="8"/>
  <c r="AP8" i="8" s="1"/>
  <c r="AX8" i="8" s="1"/>
  <c r="AW8" i="8" s="1"/>
  <c r="AR8" i="8"/>
  <c r="AS8" i="8"/>
  <c r="AG9" i="8"/>
  <c r="AI9" i="8" s="1"/>
  <c r="AH9" i="8"/>
  <c r="AJ9" i="8"/>
  <c r="AK9" i="8"/>
  <c r="AL9" i="8"/>
  <c r="AN9" i="8" s="1"/>
  <c r="AM9" i="8"/>
  <c r="AP9" i="8"/>
  <c r="AX9" i="8" s="1"/>
  <c r="AW9" i="8" s="1"/>
  <c r="AG10" i="8"/>
  <c r="AH10" i="8"/>
  <c r="AI10" i="8" s="1"/>
  <c r="AJ10" i="8"/>
  <c r="AK10" i="8"/>
  <c r="AL10" i="8"/>
  <c r="AO10" i="8" s="1"/>
  <c r="AM10" i="8"/>
  <c r="AN10" i="8"/>
  <c r="AP10" i="8"/>
  <c r="AX10" i="8" s="1"/>
  <c r="AW10" i="8" s="1"/>
  <c r="AR10" i="8"/>
  <c r="AS10" i="8"/>
  <c r="AG11" i="8"/>
  <c r="AH11" i="8"/>
  <c r="AI11" i="8"/>
  <c r="AJ11" i="8"/>
  <c r="AK11" i="8"/>
  <c r="AL11" i="8"/>
  <c r="AM11" i="8"/>
  <c r="AG12" i="8"/>
  <c r="AH12" i="8"/>
  <c r="AI12" i="8"/>
  <c r="AJ12" i="8"/>
  <c r="AK12" i="8"/>
  <c r="AL12" i="8"/>
  <c r="AM12" i="8"/>
  <c r="AT12" i="8"/>
  <c r="AT13" i="8" s="1"/>
  <c r="AT14" i="8" s="1"/>
  <c r="AT15" i="8" s="1"/>
  <c r="AT16" i="8" s="1"/>
  <c r="AT17" i="8" s="1"/>
  <c r="AT18" i="8" s="1"/>
  <c r="AT19" i="8" s="1"/>
  <c r="AT20" i="8" s="1"/>
  <c r="AT21" i="8" s="1"/>
  <c r="AG13" i="8"/>
  <c r="AH13" i="8"/>
  <c r="AI13" i="8"/>
  <c r="AJ13" i="8"/>
  <c r="AK13" i="8"/>
  <c r="AL13" i="8"/>
  <c r="AM13" i="8"/>
  <c r="AS13" i="8" s="1"/>
  <c r="AO13" i="8"/>
  <c r="AG14" i="8"/>
  <c r="AH14" i="8"/>
  <c r="AI14" i="8"/>
  <c r="AJ14" i="8"/>
  <c r="AK14" i="8"/>
  <c r="AL14" i="8"/>
  <c r="AM14" i="8"/>
  <c r="AG15" i="8"/>
  <c r="AI15" i="8" s="1"/>
  <c r="AH15" i="8"/>
  <c r="AJ15" i="8"/>
  <c r="AK15" i="8"/>
  <c r="AN15" i="8" s="1"/>
  <c r="AP15" i="8" s="1"/>
  <c r="AX15" i="8" s="1"/>
  <c r="AW15" i="8" s="1"/>
  <c r="AL15" i="8"/>
  <c r="AM15" i="8"/>
  <c r="AS15" i="8" s="1"/>
  <c r="AO15" i="8"/>
  <c r="AQ15" i="8" s="1"/>
  <c r="AR15" i="8"/>
  <c r="AV15" i="8"/>
  <c r="AY15" i="8" s="1"/>
  <c r="AG16" i="8"/>
  <c r="AH16" i="8"/>
  <c r="AI16" i="8"/>
  <c r="AJ16" i="8"/>
  <c r="AK16" i="8"/>
  <c r="AN16" i="8" s="1"/>
  <c r="AP16" i="8" s="1"/>
  <c r="AL16" i="8"/>
  <c r="AM16" i="8"/>
  <c r="AX16" i="8"/>
  <c r="AW16" i="8" s="1"/>
  <c r="AG17" i="8"/>
  <c r="AH17" i="8"/>
  <c r="AJ17" i="8"/>
  <c r="AK17" i="8"/>
  <c r="AN17" i="8" s="1"/>
  <c r="AP17" i="8" s="1"/>
  <c r="AL17" i="8"/>
  <c r="AM17" i="8"/>
  <c r="AO17" i="8"/>
  <c r="AQ17" i="8"/>
  <c r="AR17" i="8"/>
  <c r="AS17" i="8"/>
  <c r="AU17" i="8"/>
  <c r="AU18" i="8" s="1"/>
  <c r="AU19" i="8" s="1"/>
  <c r="AU20" i="8" s="1"/>
  <c r="AU21" i="8" s="1"/>
  <c r="AU22" i="8" s="1"/>
  <c r="AU23" i="8" s="1"/>
  <c r="AU24" i="8" s="1"/>
  <c r="AU25" i="8" s="1"/>
  <c r="AU26" i="8" s="1"/>
  <c r="AU27" i="8" s="1"/>
  <c r="AU28" i="8" s="1"/>
  <c r="AU29" i="8" s="1"/>
  <c r="AU30" i="8" s="1"/>
  <c r="AU31" i="8" s="1"/>
  <c r="AU32" i="8" s="1"/>
  <c r="AU33" i="8" s="1"/>
  <c r="AU34" i="8" s="1"/>
  <c r="AU35" i="8" s="1"/>
  <c r="AU36" i="8" s="1"/>
  <c r="AU37" i="8" s="1"/>
  <c r="AU38" i="8" s="1"/>
  <c r="AU39" i="8" s="1"/>
  <c r="AU40" i="8" s="1"/>
  <c r="AU41" i="8" s="1"/>
  <c r="AU42" i="8" s="1"/>
  <c r="AU43" i="8" s="1"/>
  <c r="AU44" i="8" s="1"/>
  <c r="AU45" i="8" s="1"/>
  <c r="AU46" i="8" s="1"/>
  <c r="AU47" i="8" s="1"/>
  <c r="AU48" i="8" s="1"/>
  <c r="AU49" i="8" s="1"/>
  <c r="AU50" i="8" s="1"/>
  <c r="AU51" i="8" s="1"/>
  <c r="AU52" i="8" s="1"/>
  <c r="AU53" i="8" s="1"/>
  <c r="AU54" i="8" s="1"/>
  <c r="AU55" i="8" s="1"/>
  <c r="AU56" i="8" s="1"/>
  <c r="AU57" i="8" s="1"/>
  <c r="AU58" i="8" s="1"/>
  <c r="AU59" i="8" s="1"/>
  <c r="AU60" i="8" s="1"/>
  <c r="AU61" i="8" s="1"/>
  <c r="AU62" i="8" s="1"/>
  <c r="AU63" i="8" s="1"/>
  <c r="AU64" i="8" s="1"/>
  <c r="AU65" i="8" s="1"/>
  <c r="AU66" i="8" s="1"/>
  <c r="AU67" i="8" s="1"/>
  <c r="AU68" i="8" s="1"/>
  <c r="AU69" i="8" s="1"/>
  <c r="AU70" i="8" s="1"/>
  <c r="AU71" i="8" s="1"/>
  <c r="AU72" i="8" s="1"/>
  <c r="AU73" i="8" s="1"/>
  <c r="AU74" i="8" s="1"/>
  <c r="AU75" i="8" s="1"/>
  <c r="AU76" i="8" s="1"/>
  <c r="AU77" i="8" s="1"/>
  <c r="AU78" i="8" s="1"/>
  <c r="AU79" i="8" s="1"/>
  <c r="AU80" i="8" s="1"/>
  <c r="AU81" i="8" s="1"/>
  <c r="AU82" i="8" s="1"/>
  <c r="AU83" i="8" s="1"/>
  <c r="AU84" i="8" s="1"/>
  <c r="AU85" i="8" s="1"/>
  <c r="AU86" i="8" s="1"/>
  <c r="AU87" i="8" s="1"/>
  <c r="AU88" i="8" s="1"/>
  <c r="AU89" i="8" s="1"/>
  <c r="AU90" i="8" s="1"/>
  <c r="AU91" i="8" s="1"/>
  <c r="AU92" i="8" s="1"/>
  <c r="AU93" i="8" s="1"/>
  <c r="AU94" i="8" s="1"/>
  <c r="AU95" i="8" s="1"/>
  <c r="AU96" i="8" s="1"/>
  <c r="AU97" i="8" s="1"/>
  <c r="AU98" i="8" s="1"/>
  <c r="AU99" i="8" s="1"/>
  <c r="AU100" i="8" s="1"/>
  <c r="AU101" i="8" s="1"/>
  <c r="AU102" i="8" s="1"/>
  <c r="AU103" i="8" s="1"/>
  <c r="AU104" i="8" s="1"/>
  <c r="AU105" i="8" s="1"/>
  <c r="AU106" i="8" s="1"/>
  <c r="AV17" i="8"/>
  <c r="AX17" i="8"/>
  <c r="AW17" i="8" s="1"/>
  <c r="AY17" i="8"/>
  <c r="AG18" i="8"/>
  <c r="AH18" i="8"/>
  <c r="AI18" i="8" s="1"/>
  <c r="AJ18" i="8"/>
  <c r="AK18" i="8"/>
  <c r="AN18" i="8" s="1"/>
  <c r="AP18" i="8" s="1"/>
  <c r="AL18" i="8"/>
  <c r="AM18" i="8"/>
  <c r="AO18" i="8"/>
  <c r="AV18" i="8" s="1"/>
  <c r="AY18" i="8" s="1"/>
  <c r="AQ18" i="8"/>
  <c r="AX18" i="8"/>
  <c r="AW18" i="8" s="1"/>
  <c r="AG19" i="8"/>
  <c r="AI19" i="8" s="1"/>
  <c r="AH19" i="8"/>
  <c r="AJ19" i="8"/>
  <c r="AS19" i="8" s="1"/>
  <c r="AK19" i="8"/>
  <c r="AL19" i="8"/>
  <c r="AM19" i="8"/>
  <c r="AG20" i="8"/>
  <c r="AH20" i="8"/>
  <c r="AI20" i="8" s="1"/>
  <c r="AJ20" i="8"/>
  <c r="AK20" i="8"/>
  <c r="AL20" i="8"/>
  <c r="AO20" i="8" s="1"/>
  <c r="AM20" i="8"/>
  <c r="AN20" i="8"/>
  <c r="AP20" i="8" s="1"/>
  <c r="AX20" i="8" s="1"/>
  <c r="AW20" i="8" s="1"/>
  <c r="AR20" i="8"/>
  <c r="AS20" i="8"/>
  <c r="AG21" i="8"/>
  <c r="AH21" i="8"/>
  <c r="AI21" i="8"/>
  <c r="AJ21" i="8"/>
  <c r="AK21" i="8"/>
  <c r="AL21" i="8"/>
  <c r="AM21" i="8"/>
  <c r="AS21" i="8" s="1"/>
  <c r="AG22" i="8"/>
  <c r="AH22" i="8"/>
  <c r="AI22" i="8" s="1"/>
  <c r="AJ22" i="8"/>
  <c r="AK22" i="8"/>
  <c r="AL22" i="8"/>
  <c r="AM22" i="8"/>
  <c r="AN22" i="8"/>
  <c r="AO22" i="8"/>
  <c r="AV22" i="8" s="1"/>
  <c r="AY22" i="8" s="1"/>
  <c r="AP22" i="8"/>
  <c r="AX22" i="8" s="1"/>
  <c r="AW22" i="8" s="1"/>
  <c r="AQ22" i="8"/>
  <c r="AR22" i="8"/>
  <c r="AS22" i="8"/>
  <c r="AT22" i="8"/>
  <c r="AT23" i="8" s="1"/>
  <c r="AT24" i="8" s="1"/>
  <c r="AT25" i="8" s="1"/>
  <c r="AT26" i="8" s="1"/>
  <c r="AT27" i="8" s="1"/>
  <c r="AT28" i="8" s="1"/>
  <c r="AG23" i="8"/>
  <c r="AH23" i="8"/>
  <c r="AI23" i="8"/>
  <c r="AJ23" i="8"/>
  <c r="AK23" i="8"/>
  <c r="AL23" i="8"/>
  <c r="AM23" i="8"/>
  <c r="AG24" i="8"/>
  <c r="AH24" i="8"/>
  <c r="AJ24" i="8"/>
  <c r="AK24" i="8"/>
  <c r="AL24" i="8"/>
  <c r="AO24" i="8" s="1"/>
  <c r="AV24" i="8" s="1"/>
  <c r="AY24" i="8" s="1"/>
  <c r="AM24" i="8"/>
  <c r="AN24" i="8"/>
  <c r="AP24" i="8"/>
  <c r="AX24" i="8" s="1"/>
  <c r="AW24" i="8" s="1"/>
  <c r="AQ24" i="8"/>
  <c r="AR24" i="8"/>
  <c r="AS24" i="8"/>
  <c r="AG25" i="8"/>
  <c r="AH25" i="8"/>
  <c r="AI25" i="8"/>
  <c r="AJ25" i="8"/>
  <c r="AK25" i="8"/>
  <c r="AL25" i="8"/>
  <c r="AM25" i="8"/>
  <c r="AG26" i="8"/>
  <c r="AH26" i="8"/>
  <c r="AI26" i="8" s="1"/>
  <c r="AJ26" i="8"/>
  <c r="AK26" i="8"/>
  <c r="AL26" i="8"/>
  <c r="AO26" i="8" s="1"/>
  <c r="AM26" i="8"/>
  <c r="AR26" i="8"/>
  <c r="AG27" i="8"/>
  <c r="AH27" i="8"/>
  <c r="AI27" i="8"/>
  <c r="AJ27" i="8"/>
  <c r="AK27" i="8"/>
  <c r="AL27" i="8"/>
  <c r="AM27" i="8"/>
  <c r="AG28" i="8"/>
  <c r="AI28" i="8" s="1"/>
  <c r="AH28" i="8"/>
  <c r="AJ28" i="8"/>
  <c r="AR28" i="8" s="1"/>
  <c r="AK28" i="8"/>
  <c r="AL28" i="8"/>
  <c r="AM28" i="8"/>
  <c r="AG29" i="8"/>
  <c r="AH29" i="8"/>
  <c r="AI29" i="8"/>
  <c r="AJ29" i="8"/>
  <c r="AK29" i="8"/>
  <c r="AL29" i="8"/>
  <c r="AM29" i="8"/>
  <c r="AS29" i="8" s="1"/>
  <c r="AT29" i="8"/>
  <c r="AT30" i="8" s="1"/>
  <c r="AT31" i="8" s="1"/>
  <c r="AT32" i="8" s="1"/>
  <c r="AT33" i="8" s="1"/>
  <c r="AT34" i="8" s="1"/>
  <c r="AT35" i="8" s="1"/>
  <c r="AT36" i="8" s="1"/>
  <c r="AT37" i="8" s="1"/>
  <c r="AT38" i="8" s="1"/>
  <c r="AT39" i="8" s="1"/>
  <c r="AT40" i="8" s="1"/>
  <c r="AT41" i="8" s="1"/>
  <c r="AT42" i="8" s="1"/>
  <c r="AT43" i="8" s="1"/>
  <c r="AT44" i="8" s="1"/>
  <c r="AT45" i="8" s="1"/>
  <c r="AT46" i="8" s="1"/>
  <c r="AT47" i="8" s="1"/>
  <c r="AT48" i="8" s="1"/>
  <c r="AT49" i="8" s="1"/>
  <c r="AT50" i="8" s="1"/>
  <c r="AT51" i="8" s="1"/>
  <c r="AT52" i="8" s="1"/>
  <c r="AT53" i="8" s="1"/>
  <c r="AT54" i="8" s="1"/>
  <c r="AT55" i="8" s="1"/>
  <c r="AT56" i="8" s="1"/>
  <c r="AT57" i="8" s="1"/>
  <c r="AT58" i="8" s="1"/>
  <c r="AT59" i="8" s="1"/>
  <c r="AT60" i="8" s="1"/>
  <c r="AT61" i="8" s="1"/>
  <c r="AT62" i="8" s="1"/>
  <c r="AT63" i="8" s="1"/>
  <c r="AT64" i="8" s="1"/>
  <c r="AT65" i="8" s="1"/>
  <c r="AT66" i="8" s="1"/>
  <c r="AT67" i="8" s="1"/>
  <c r="AT68" i="8" s="1"/>
  <c r="AT69" i="8" s="1"/>
  <c r="AT70" i="8" s="1"/>
  <c r="AT71" i="8" s="1"/>
  <c r="AT72" i="8" s="1"/>
  <c r="AT73" i="8" s="1"/>
  <c r="AT74" i="8" s="1"/>
  <c r="AT75" i="8" s="1"/>
  <c r="AT76" i="8" s="1"/>
  <c r="AT77" i="8" s="1"/>
  <c r="AT78" i="8" s="1"/>
  <c r="AT79" i="8" s="1"/>
  <c r="AT80" i="8" s="1"/>
  <c r="AT81" i="8" s="1"/>
  <c r="AT82" i="8" s="1"/>
  <c r="AT83" i="8" s="1"/>
  <c r="AT84" i="8" s="1"/>
  <c r="AT85" i="8" s="1"/>
  <c r="AT86" i="8" s="1"/>
  <c r="AT87" i="8" s="1"/>
  <c r="AT88" i="8" s="1"/>
  <c r="AT89" i="8" s="1"/>
  <c r="AT90" i="8" s="1"/>
  <c r="AT91" i="8" s="1"/>
  <c r="AT92" i="8" s="1"/>
  <c r="AT93" i="8" s="1"/>
  <c r="AT94" i="8" s="1"/>
  <c r="AT95" i="8" s="1"/>
  <c r="AT96" i="8" s="1"/>
  <c r="AT97" i="8" s="1"/>
  <c r="AT98" i="8" s="1"/>
  <c r="AT99" i="8" s="1"/>
  <c r="AT100" i="8" s="1"/>
  <c r="AT101" i="8" s="1"/>
  <c r="AT102" i="8" s="1"/>
  <c r="AT103" i="8" s="1"/>
  <c r="AT104" i="8" s="1"/>
  <c r="AT105" i="8" s="1"/>
  <c r="AT106" i="8" s="1"/>
  <c r="AG30" i="8"/>
  <c r="AH30" i="8"/>
  <c r="AI30" i="8" s="1"/>
  <c r="AJ30" i="8"/>
  <c r="AK30" i="8"/>
  <c r="AL30" i="8"/>
  <c r="AM30" i="8"/>
  <c r="AG31" i="8"/>
  <c r="AI31" i="8" s="1"/>
  <c r="AH31" i="8"/>
  <c r="AJ31" i="8"/>
  <c r="AK31" i="8"/>
  <c r="AN31" i="8" s="1"/>
  <c r="AP31" i="8" s="1"/>
  <c r="AX31" i="8" s="1"/>
  <c r="AW31" i="8" s="1"/>
  <c r="AL31" i="8"/>
  <c r="AM31" i="8"/>
  <c r="AO31" i="8"/>
  <c r="AQ31" i="8" s="1"/>
  <c r="AR31" i="8"/>
  <c r="AS31" i="8"/>
  <c r="AV31" i="8"/>
  <c r="AY31" i="8" s="1"/>
  <c r="AG32" i="8"/>
  <c r="AH32" i="8"/>
  <c r="AI32" i="8" s="1"/>
  <c r="AJ32" i="8"/>
  <c r="AK32" i="8"/>
  <c r="AL32" i="8"/>
  <c r="AS32" i="8" s="1"/>
  <c r="AM32" i="8"/>
  <c r="AO32" i="8"/>
  <c r="AQ32" i="8" s="1"/>
  <c r="AV32" i="8"/>
  <c r="AY32" i="8" s="1"/>
  <c r="AG33" i="8"/>
  <c r="AI33" i="8" s="1"/>
  <c r="AH33" i="8"/>
  <c r="AJ33" i="8"/>
  <c r="AK33" i="8"/>
  <c r="AN33" i="8" s="1"/>
  <c r="AP33" i="8" s="1"/>
  <c r="AX33" i="8" s="1"/>
  <c r="AW33" i="8" s="1"/>
  <c r="AL33" i="8"/>
  <c r="AM33" i="8"/>
  <c r="AO33" i="8"/>
  <c r="AR33" i="8"/>
  <c r="AS33" i="8"/>
  <c r="AG34" i="8"/>
  <c r="AH34" i="8"/>
  <c r="AI34" i="8" s="1"/>
  <c r="AJ34" i="8"/>
  <c r="AK34" i="8"/>
  <c r="AL34" i="8"/>
  <c r="AN34" i="8" s="1"/>
  <c r="AP34" i="8" s="1"/>
  <c r="AX34" i="8" s="1"/>
  <c r="AW34" i="8" s="1"/>
  <c r="AM34" i="8"/>
  <c r="AG35" i="8"/>
  <c r="AI35" i="8" s="1"/>
  <c r="AH35" i="8"/>
  <c r="AJ35" i="8"/>
  <c r="AK35" i="8"/>
  <c r="AL35" i="8"/>
  <c r="AM35" i="8"/>
  <c r="AS35" i="8"/>
  <c r="AG36" i="8"/>
  <c r="AH36" i="8"/>
  <c r="AI36" i="8" s="1"/>
  <c r="AJ36" i="8"/>
  <c r="AN36" i="8" s="1"/>
  <c r="AK36" i="8"/>
  <c r="AL36" i="8"/>
  <c r="AM36" i="8"/>
  <c r="AS36" i="8" s="1"/>
  <c r="AO36" i="8"/>
  <c r="AP36" i="8"/>
  <c r="AX36" i="8" s="1"/>
  <c r="AW36" i="8" s="1"/>
  <c r="AR36" i="8"/>
  <c r="AG37" i="8"/>
  <c r="AI37" i="8" s="1"/>
  <c r="AH37" i="8"/>
  <c r="AJ37" i="8"/>
  <c r="AK37" i="8"/>
  <c r="AL37" i="8"/>
  <c r="AM37" i="8"/>
  <c r="AG38" i="8"/>
  <c r="AH38" i="8"/>
  <c r="AI38" i="8" s="1"/>
  <c r="AJ38" i="8"/>
  <c r="AK38" i="8"/>
  <c r="AL38" i="8"/>
  <c r="AN38" i="8" s="1"/>
  <c r="AP38" i="8" s="1"/>
  <c r="AX38" i="8" s="1"/>
  <c r="AW38" i="8" s="1"/>
  <c r="AM38" i="8"/>
  <c r="AG39" i="8"/>
  <c r="AH39" i="8"/>
  <c r="AJ39" i="8"/>
  <c r="AK39" i="8"/>
  <c r="AL39" i="8"/>
  <c r="AM39" i="8"/>
  <c r="AN39" i="8"/>
  <c r="AP39" i="8" s="1"/>
  <c r="AX39" i="8" s="1"/>
  <c r="AO39" i="8"/>
  <c r="AW39" i="8"/>
  <c r="AG40" i="8"/>
  <c r="AI40" i="8" s="1"/>
  <c r="AH40" i="8"/>
  <c r="AJ40" i="8"/>
  <c r="AK40" i="8"/>
  <c r="AL40" i="8"/>
  <c r="AO40" i="8" s="1"/>
  <c r="AM40" i="8"/>
  <c r="AN40" i="8"/>
  <c r="AP40" i="8" s="1"/>
  <c r="AS40" i="8"/>
  <c r="AG41" i="8"/>
  <c r="AH41" i="8"/>
  <c r="AI41" i="8"/>
  <c r="AJ41" i="8"/>
  <c r="AK41" i="8"/>
  <c r="AO41" i="8" s="1"/>
  <c r="AL41" i="8"/>
  <c r="AM41" i="8"/>
  <c r="AG42" i="8"/>
  <c r="AH42" i="8"/>
  <c r="AI42" i="8"/>
  <c r="AJ42" i="8"/>
  <c r="AK42" i="8"/>
  <c r="AL42" i="8"/>
  <c r="AO42" i="8" s="1"/>
  <c r="AM42" i="8"/>
  <c r="AG43" i="8"/>
  <c r="AH43" i="8"/>
  <c r="AI43" i="8"/>
  <c r="AJ43" i="8"/>
  <c r="AK43" i="8"/>
  <c r="AL43" i="8"/>
  <c r="AN43" i="8" s="1"/>
  <c r="AP43" i="8" s="1"/>
  <c r="AX43" i="8" s="1"/>
  <c r="AW43" i="8" s="1"/>
  <c r="AM43" i="8"/>
  <c r="AG44" i="8"/>
  <c r="AI44" i="8" s="1"/>
  <c r="AH44" i="8"/>
  <c r="AJ44" i="8"/>
  <c r="AR44" i="8" s="1"/>
  <c r="AK44" i="8"/>
  <c r="AL44" i="8"/>
  <c r="AM44" i="8"/>
  <c r="AG45" i="8"/>
  <c r="AH45" i="8"/>
  <c r="AI45" i="8"/>
  <c r="AJ45" i="8"/>
  <c r="AK45" i="8"/>
  <c r="AR45" i="8" s="1"/>
  <c r="AL45" i="8"/>
  <c r="AM45" i="8"/>
  <c r="AN45" i="8"/>
  <c r="AP45" i="8" s="1"/>
  <c r="AX45" i="8" s="1"/>
  <c r="AW45" i="8" s="1"/>
  <c r="AO45" i="8"/>
  <c r="AV45" i="8" s="1"/>
  <c r="AY45" i="8" s="1"/>
  <c r="AQ45" i="8"/>
  <c r="AS45" i="8"/>
  <c r="AG46" i="8"/>
  <c r="AH46" i="8"/>
  <c r="AJ46" i="8"/>
  <c r="AK46" i="8"/>
  <c r="AL46" i="8"/>
  <c r="AM46" i="8"/>
  <c r="AG47" i="8"/>
  <c r="AI47" i="8" s="1"/>
  <c r="AH47" i="8"/>
  <c r="AJ47" i="8"/>
  <c r="AK47" i="8"/>
  <c r="AN47" i="8" s="1"/>
  <c r="AL47" i="8"/>
  <c r="AM47" i="8"/>
  <c r="AO47" i="8"/>
  <c r="AQ47" i="8" s="1"/>
  <c r="AP47" i="8"/>
  <c r="AX47" i="8" s="1"/>
  <c r="AW47" i="8" s="1"/>
  <c r="AR47" i="8"/>
  <c r="AS47" i="8"/>
  <c r="AV47" i="8"/>
  <c r="AY47" i="8" s="1"/>
  <c r="AG48" i="8"/>
  <c r="AH48" i="8"/>
  <c r="AI48" i="8"/>
  <c r="AJ48" i="8"/>
  <c r="AK48" i="8"/>
  <c r="AL48" i="8"/>
  <c r="AS48" i="8" s="1"/>
  <c r="AM48" i="8"/>
  <c r="AN48" i="8"/>
  <c r="AP48" i="8" s="1"/>
  <c r="AX48" i="8"/>
  <c r="AW48" i="8" s="1"/>
  <c r="AG49" i="8"/>
  <c r="AH49" i="8"/>
  <c r="AJ49" i="8"/>
  <c r="AK49" i="8"/>
  <c r="AN49" i="8" s="1"/>
  <c r="AP49" i="8" s="1"/>
  <c r="AX49" i="8" s="1"/>
  <c r="AW49" i="8" s="1"/>
  <c r="AL49" i="8"/>
  <c r="AM49" i="8"/>
  <c r="AO49" i="8"/>
  <c r="AV49" i="8" s="1"/>
  <c r="AY49" i="8" s="1"/>
  <c r="AQ49" i="8"/>
  <c r="AR49" i="8"/>
  <c r="AS49" i="8"/>
  <c r="AG50" i="8"/>
  <c r="AH50" i="8"/>
  <c r="AI50" i="8" s="1"/>
  <c r="AJ50" i="8"/>
  <c r="AK50" i="8"/>
  <c r="AL50" i="8"/>
  <c r="AM50" i="8"/>
  <c r="AG51" i="8"/>
  <c r="AI51" i="8" s="1"/>
  <c r="AH51" i="8"/>
  <c r="AJ51" i="8"/>
  <c r="AK51" i="8"/>
  <c r="AL51" i="8"/>
  <c r="AM51" i="8"/>
  <c r="AS51" i="8"/>
  <c r="AG52" i="8"/>
  <c r="AH52" i="8"/>
  <c r="AI52" i="8" s="1"/>
  <c r="AJ52" i="8"/>
  <c r="AK52" i="8"/>
  <c r="AL52" i="8"/>
  <c r="AM52" i="8"/>
  <c r="AG53" i="8"/>
  <c r="AH53" i="8"/>
  <c r="AI53" i="8"/>
  <c r="AJ53" i="8"/>
  <c r="AK53" i="8"/>
  <c r="AL53" i="8"/>
  <c r="AM53" i="8"/>
  <c r="AS53" i="8"/>
  <c r="AG54" i="8"/>
  <c r="AH54" i="8"/>
  <c r="AI54" i="8" s="1"/>
  <c r="AJ54" i="8"/>
  <c r="AK54" i="8"/>
  <c r="AL54" i="8"/>
  <c r="AN54" i="8" s="1"/>
  <c r="AM54" i="8"/>
  <c r="AP54" i="8"/>
  <c r="AX54" i="8" s="1"/>
  <c r="AW54" i="8" s="1"/>
  <c r="AG55" i="8"/>
  <c r="AH55" i="8"/>
  <c r="AI55" i="8"/>
  <c r="AJ55" i="8"/>
  <c r="AK55" i="8"/>
  <c r="AL55" i="8"/>
  <c r="AM55" i="8"/>
  <c r="AG56" i="8"/>
  <c r="AH56" i="8"/>
  <c r="AJ56" i="8"/>
  <c r="AK56" i="8"/>
  <c r="AL56" i="8"/>
  <c r="AO56" i="8" s="1"/>
  <c r="AQ56" i="8" s="1"/>
  <c r="AM56" i="8"/>
  <c r="AN56" i="8"/>
  <c r="AP56" i="8" s="1"/>
  <c r="AR56" i="8" s="1"/>
  <c r="AS56" i="8"/>
  <c r="AV56" i="8"/>
  <c r="AY56" i="8" s="1"/>
  <c r="AX56" i="8"/>
  <c r="AW56" i="8" s="1"/>
  <c r="AG57" i="8"/>
  <c r="AI57" i="8" s="1"/>
  <c r="AH57" i="8"/>
  <c r="AJ57" i="8"/>
  <c r="AK57" i="8"/>
  <c r="AL57" i="8"/>
  <c r="AM57" i="8"/>
  <c r="AG58" i="8"/>
  <c r="AH58" i="8"/>
  <c r="AI58" i="8"/>
  <c r="AJ58" i="8"/>
  <c r="AN58" i="8" s="1"/>
  <c r="AP58" i="8" s="1"/>
  <c r="AK58" i="8"/>
  <c r="AL58" i="8"/>
  <c r="AM58" i="8"/>
  <c r="AX58" i="8"/>
  <c r="AW58" i="8" s="1"/>
  <c r="AG59" i="8"/>
  <c r="AH59" i="8"/>
  <c r="AI59" i="8"/>
  <c r="AJ59" i="8"/>
  <c r="AK59" i="8"/>
  <c r="AL59" i="8"/>
  <c r="AM59" i="8"/>
  <c r="AN59" i="8"/>
  <c r="AP59" i="8" s="1"/>
  <c r="AX59" i="8" s="1"/>
  <c r="AW59" i="8" s="1"/>
  <c r="AO59" i="8"/>
  <c r="AV59" i="8" s="1"/>
  <c r="AQ59" i="8"/>
  <c r="AR59" i="8"/>
  <c r="AS59" i="8"/>
  <c r="AY59" i="8"/>
  <c r="AG60" i="8"/>
  <c r="AH60" i="8"/>
  <c r="AJ60" i="8"/>
  <c r="AK60" i="8"/>
  <c r="AL60" i="8"/>
  <c r="AM60" i="8"/>
  <c r="AG61" i="8"/>
  <c r="AH61" i="8"/>
  <c r="AI61" i="8"/>
  <c r="AJ61" i="8"/>
  <c r="AK61" i="8"/>
  <c r="AL61" i="8"/>
  <c r="AM61" i="8"/>
  <c r="AR61" i="8"/>
  <c r="AG62" i="8"/>
  <c r="AH62" i="8"/>
  <c r="AI62" i="8"/>
  <c r="AJ62" i="8"/>
  <c r="AK62" i="8"/>
  <c r="AL62" i="8"/>
  <c r="AM62" i="8"/>
  <c r="AG63" i="8"/>
  <c r="AI63" i="8" s="1"/>
  <c r="AH63" i="8"/>
  <c r="AJ63" i="8"/>
  <c r="AK63" i="8"/>
  <c r="AL63" i="8"/>
  <c r="AM63" i="8"/>
  <c r="AR63" i="8" s="1"/>
  <c r="AO63" i="8"/>
  <c r="AQ63" i="8" s="1"/>
  <c r="AV63" i="8"/>
  <c r="AY63" i="8" s="1"/>
  <c r="AG64" i="8"/>
  <c r="AH64" i="8"/>
  <c r="AI64" i="8"/>
  <c r="AJ64" i="8"/>
  <c r="AR64" i="8" s="1"/>
  <c r="AK64" i="8"/>
  <c r="AL64" i="8"/>
  <c r="AM64" i="8"/>
  <c r="AG65" i="8"/>
  <c r="AH65" i="8"/>
  <c r="AI65" i="8"/>
  <c r="AJ65" i="8"/>
  <c r="AK65" i="8"/>
  <c r="AN65" i="8" s="1"/>
  <c r="AP65" i="8" s="1"/>
  <c r="AX65" i="8" s="1"/>
  <c r="AW65" i="8" s="1"/>
  <c r="AL65" i="8"/>
  <c r="AM65" i="8"/>
  <c r="AO65" i="8"/>
  <c r="AR65" i="8"/>
  <c r="AS65" i="8"/>
  <c r="AG66" i="8"/>
  <c r="AH66" i="8"/>
  <c r="AJ66" i="8"/>
  <c r="AK66" i="8"/>
  <c r="AL66" i="8"/>
  <c r="AM66" i="8"/>
  <c r="AN66" i="8" s="1"/>
  <c r="AP66" i="8" s="1"/>
  <c r="AX66" i="8" s="1"/>
  <c r="AW66" i="8" s="1"/>
  <c r="AG67" i="8"/>
  <c r="AI67" i="8" s="1"/>
  <c r="AH67" i="8"/>
  <c r="AJ67" i="8"/>
  <c r="AK67" i="8"/>
  <c r="AL67" i="8"/>
  <c r="AM67" i="8"/>
  <c r="AG68" i="8"/>
  <c r="AH68" i="8"/>
  <c r="AI68" i="8" s="1"/>
  <c r="AJ68" i="8"/>
  <c r="AK68" i="8"/>
  <c r="AL68" i="8"/>
  <c r="AM68" i="8"/>
  <c r="AG69" i="8"/>
  <c r="AI69" i="8" s="1"/>
  <c r="AH69" i="8"/>
  <c r="AJ69" i="8"/>
  <c r="AK69" i="8"/>
  <c r="AL69" i="8"/>
  <c r="AM69" i="8"/>
  <c r="AG70" i="8"/>
  <c r="AH70" i="8"/>
  <c r="AI70" i="8" s="1"/>
  <c r="AJ70" i="8"/>
  <c r="AK70" i="8"/>
  <c r="AL70" i="8"/>
  <c r="AO70" i="8" s="1"/>
  <c r="AM70" i="8"/>
  <c r="AQ70" i="8"/>
  <c r="AV70" i="8"/>
  <c r="AY70" i="8" s="1"/>
  <c r="AG71" i="8"/>
  <c r="AI71" i="8" s="1"/>
  <c r="AH71" i="8"/>
  <c r="AJ71" i="8"/>
  <c r="AK71" i="8"/>
  <c r="AL71" i="8"/>
  <c r="AM71" i="8"/>
  <c r="AS71" i="8" s="1"/>
  <c r="AG72" i="8"/>
  <c r="AI72" i="8" s="1"/>
  <c r="AH72" i="8"/>
  <c r="AJ72" i="8"/>
  <c r="AK72" i="8"/>
  <c r="AL72" i="8"/>
  <c r="AS72" i="8" s="1"/>
  <c r="AM72" i="8"/>
  <c r="AG73" i="8"/>
  <c r="AI73" i="8" s="1"/>
  <c r="AH73" i="8"/>
  <c r="AJ73" i="8"/>
  <c r="AK73" i="8"/>
  <c r="AL73" i="8"/>
  <c r="AN73" i="8" s="1"/>
  <c r="AP73" i="8" s="1"/>
  <c r="AX73" i="8" s="1"/>
  <c r="AW73" i="8" s="1"/>
  <c r="AM73" i="8"/>
  <c r="AO73" i="8"/>
  <c r="AV73" i="8" s="1"/>
  <c r="AS73" i="8"/>
  <c r="AY73" i="8"/>
  <c r="AG74" i="8"/>
  <c r="AH74" i="8"/>
  <c r="AI74" i="8" s="1"/>
  <c r="AJ74" i="8"/>
  <c r="AK74" i="8"/>
  <c r="AL74" i="8"/>
  <c r="AO74" i="8" s="1"/>
  <c r="AQ74" i="8" s="1"/>
  <c r="AM74" i="8"/>
  <c r="AN74" i="8"/>
  <c r="AP74" i="8"/>
  <c r="AR74" i="8"/>
  <c r="AS74" i="8"/>
  <c r="AV74" i="8"/>
  <c r="AY74" i="8" s="1"/>
  <c r="AX74" i="8"/>
  <c r="AW74" i="8" s="1"/>
  <c r="AG75" i="8"/>
  <c r="AH75" i="8"/>
  <c r="AI75" i="8"/>
  <c r="AJ75" i="8"/>
  <c r="AK75" i="8"/>
  <c r="AL75" i="8"/>
  <c r="AM75" i="8"/>
  <c r="AG76" i="8"/>
  <c r="AI76" i="8" s="1"/>
  <c r="AH76" i="8"/>
  <c r="AJ76" i="8"/>
  <c r="AR76" i="8" s="1"/>
  <c r="AK76" i="8"/>
  <c r="AL76" i="8"/>
  <c r="AM76" i="8"/>
  <c r="AS76" i="8"/>
  <c r="AG77" i="8"/>
  <c r="AH77" i="8"/>
  <c r="AI77" i="8"/>
  <c r="AJ77" i="8"/>
  <c r="AK77" i="8"/>
  <c r="AO77" i="8" s="1"/>
  <c r="AV77" i="8" s="1"/>
  <c r="AY77" i="8" s="1"/>
  <c r="AL77" i="8"/>
  <c r="AM77" i="8"/>
  <c r="AS77" i="8" s="1"/>
  <c r="AN77" i="8"/>
  <c r="AP77" i="8" s="1"/>
  <c r="AX77" i="8" s="1"/>
  <c r="AW77" i="8" s="1"/>
  <c r="AR77" i="8"/>
  <c r="AG78" i="8"/>
  <c r="AH78" i="8"/>
  <c r="AI78" i="8" s="1"/>
  <c r="AJ78" i="8"/>
  <c r="AK78" i="8"/>
  <c r="AL78" i="8"/>
  <c r="AN78" i="8" s="1"/>
  <c r="AP78" i="8" s="1"/>
  <c r="AX78" i="8" s="1"/>
  <c r="AW78" i="8" s="1"/>
  <c r="AM78" i="8"/>
  <c r="AG79" i="8"/>
  <c r="AI79" i="8" s="1"/>
  <c r="AH79" i="8"/>
  <c r="AJ79" i="8"/>
  <c r="AK79" i="8"/>
  <c r="AL79" i="8"/>
  <c r="AO79" i="8" s="1"/>
  <c r="AM79" i="8"/>
  <c r="AG80" i="8"/>
  <c r="AH80" i="8"/>
  <c r="AJ80" i="8"/>
  <c r="AK80" i="8"/>
  <c r="AO80" i="8" s="1"/>
  <c r="AQ80" i="8" s="1"/>
  <c r="AL80" i="8"/>
  <c r="AM80" i="8"/>
  <c r="AN80" i="8"/>
  <c r="AP80" i="8" s="1"/>
  <c r="AS80" i="8"/>
  <c r="AV80" i="8"/>
  <c r="AX80" i="8"/>
  <c r="AW80" i="8" s="1"/>
  <c r="AY80" i="8"/>
  <c r="AG81" i="8"/>
  <c r="AI81" i="8" s="1"/>
  <c r="AH81" i="8"/>
  <c r="AJ81" i="8"/>
  <c r="AK81" i="8"/>
  <c r="AL81" i="8"/>
  <c r="AN81" i="8" s="1"/>
  <c r="AP81" i="8" s="1"/>
  <c r="AM81" i="8"/>
  <c r="AO81" i="8"/>
  <c r="AV81" i="8" s="1"/>
  <c r="AY81" i="8" s="1"/>
  <c r="AQ81" i="8"/>
  <c r="AR81" i="8"/>
  <c r="AS81" i="8"/>
  <c r="AX81" i="8"/>
  <c r="AW81" i="8" s="1"/>
  <c r="AG82" i="8"/>
  <c r="AI82" i="8" s="1"/>
  <c r="AH82" i="8"/>
  <c r="AJ82" i="8"/>
  <c r="AK82" i="8"/>
  <c r="AL82" i="8"/>
  <c r="AM82" i="8"/>
  <c r="AN82" i="8"/>
  <c r="AP82" i="8"/>
  <c r="AX82" i="8" s="1"/>
  <c r="AW82" i="8"/>
  <c r="AG83" i="8"/>
  <c r="AH83" i="8"/>
  <c r="AI83" i="8" s="1"/>
  <c r="AJ83" i="8"/>
  <c r="AK83" i="8"/>
  <c r="AL83" i="8"/>
  <c r="AM83" i="8"/>
  <c r="AG84" i="8"/>
  <c r="AH84" i="8"/>
  <c r="AI84" i="8" s="1"/>
  <c r="AJ84" i="8"/>
  <c r="AK84" i="8"/>
  <c r="AL84" i="8"/>
  <c r="AM84" i="8"/>
  <c r="AG85" i="8"/>
  <c r="AH85" i="8"/>
  <c r="AI85" i="8"/>
  <c r="AJ85" i="8"/>
  <c r="AK85" i="8"/>
  <c r="AL85" i="8"/>
  <c r="AM85" i="8"/>
  <c r="AG86" i="8"/>
  <c r="AH86" i="8"/>
  <c r="AI86" i="8"/>
  <c r="AJ86" i="8"/>
  <c r="AK86" i="8"/>
  <c r="AO86" i="8" s="1"/>
  <c r="AV86" i="8" s="1"/>
  <c r="AY86" i="8" s="1"/>
  <c r="AL86" i="8"/>
  <c r="AM86" i="8"/>
  <c r="AN86" i="8"/>
  <c r="AP86" i="8" s="1"/>
  <c r="AX86" i="8" s="1"/>
  <c r="AW86" i="8" s="1"/>
  <c r="AR86" i="8"/>
  <c r="AS86" i="8"/>
  <c r="AG87" i="8"/>
  <c r="AI87" i="8" s="1"/>
  <c r="AH87" i="8"/>
  <c r="AJ87" i="8"/>
  <c r="AK87" i="8"/>
  <c r="AN87" i="8" s="1"/>
  <c r="AP87" i="8" s="1"/>
  <c r="AX87" i="8" s="1"/>
  <c r="AW87" i="8" s="1"/>
  <c r="AL87" i="8"/>
  <c r="AM87" i="8"/>
  <c r="AG88" i="8"/>
  <c r="AH88" i="8"/>
  <c r="AJ88" i="8"/>
  <c r="AK88" i="8"/>
  <c r="AO88" i="8" s="1"/>
  <c r="AV88" i="8" s="1"/>
  <c r="AY88" i="8" s="1"/>
  <c r="AL88" i="8"/>
  <c r="AM88" i="8"/>
  <c r="AN88" i="8" s="1"/>
  <c r="AP88" i="8" s="1"/>
  <c r="AX88" i="8" s="1"/>
  <c r="AW88" i="8" s="1"/>
  <c r="AQ88" i="8"/>
  <c r="AS88" i="8"/>
  <c r="AG89" i="8"/>
  <c r="AH89" i="8"/>
  <c r="AJ89" i="8"/>
  <c r="AK89" i="8"/>
  <c r="AN89" i="8" s="1"/>
  <c r="AL89" i="8"/>
  <c r="AM89" i="8"/>
  <c r="AO89" i="8"/>
  <c r="AP89" i="8"/>
  <c r="AX89" i="8" s="1"/>
  <c r="AW89" i="8" s="1"/>
  <c r="AR89" i="8"/>
  <c r="AG90" i="8"/>
  <c r="AH90" i="8"/>
  <c r="AI90" i="8"/>
  <c r="AJ90" i="8"/>
  <c r="AK90" i="8"/>
  <c r="AL90" i="8"/>
  <c r="AM90" i="8"/>
  <c r="AN90" i="8"/>
  <c r="AP90" i="8" s="1"/>
  <c r="AX90" i="8"/>
  <c r="AW90" i="8" s="1"/>
  <c r="AG91" i="8"/>
  <c r="AI91" i="8" s="1"/>
  <c r="AH91" i="8"/>
  <c r="AJ91" i="8"/>
  <c r="AK91" i="8"/>
  <c r="AL91" i="8"/>
  <c r="AN91" i="8" s="1"/>
  <c r="AP91" i="8" s="1"/>
  <c r="AX91" i="8" s="1"/>
  <c r="AM91" i="8"/>
  <c r="AO91" i="8"/>
  <c r="AV91" i="8" s="1"/>
  <c r="AQ91" i="8"/>
  <c r="AR91" i="8"/>
  <c r="AS91" i="8"/>
  <c r="AW91" i="8"/>
  <c r="AY91" i="8"/>
  <c r="AG92" i="8"/>
  <c r="AI92" i="8" s="1"/>
  <c r="AH92" i="8"/>
  <c r="AJ92" i="8"/>
  <c r="AK92" i="8"/>
  <c r="AN92" i="8" s="1"/>
  <c r="AP92" i="8" s="1"/>
  <c r="AX92" i="8" s="1"/>
  <c r="AL92" i="8"/>
  <c r="AM92" i="8"/>
  <c r="AW92" i="8"/>
  <c r="AG93" i="8"/>
  <c r="AI93" i="8" s="1"/>
  <c r="AH93" i="8"/>
  <c r="AJ93" i="8"/>
  <c r="AK93" i="8"/>
  <c r="AN93" i="8" s="1"/>
  <c r="AP93" i="8" s="1"/>
  <c r="AX93" i="8" s="1"/>
  <c r="AW93" i="8" s="1"/>
  <c r="AL93" i="8"/>
  <c r="AM93" i="8"/>
  <c r="AG94" i="8"/>
  <c r="AI94" i="8" s="1"/>
  <c r="AH94" i="8"/>
  <c r="AJ94" i="8"/>
  <c r="AK94" i="8"/>
  <c r="AN94" i="8" s="1"/>
  <c r="AP94" i="8" s="1"/>
  <c r="AX94" i="8" s="1"/>
  <c r="AW94" i="8" s="1"/>
  <c r="AL94" i="8"/>
  <c r="AM94" i="8"/>
  <c r="AG95" i="8"/>
  <c r="AH95" i="8"/>
  <c r="AI95" i="8" s="1"/>
  <c r="AJ95" i="8"/>
  <c r="AK95" i="8"/>
  <c r="AL95" i="8"/>
  <c r="AO95" i="8" s="1"/>
  <c r="AM95" i="8"/>
  <c r="AN95" i="8" s="1"/>
  <c r="AP95" i="8"/>
  <c r="AX95" i="8" s="1"/>
  <c r="AQ95" i="8"/>
  <c r="AR95" i="8"/>
  <c r="AS95" i="8"/>
  <c r="AV95" i="8"/>
  <c r="AY95" i="8" s="1"/>
  <c r="AW95" i="8"/>
  <c r="AG96" i="8"/>
  <c r="AH96" i="8"/>
  <c r="AI96" i="8"/>
  <c r="AJ96" i="8"/>
  <c r="AK96" i="8"/>
  <c r="AL96" i="8"/>
  <c r="AS96" i="8" s="1"/>
  <c r="AM96" i="8"/>
  <c r="AR96" i="8"/>
  <c r="AG97" i="8"/>
  <c r="AI97" i="8" s="1"/>
  <c r="AH97" i="8"/>
  <c r="AJ97" i="8"/>
  <c r="AK97" i="8"/>
  <c r="AN97" i="8" s="1"/>
  <c r="AP97" i="8" s="1"/>
  <c r="AL97" i="8"/>
  <c r="AM97" i="8"/>
  <c r="AS97" i="8"/>
  <c r="AX97" i="8"/>
  <c r="AW97" i="8" s="1"/>
  <c r="AG98" i="8"/>
  <c r="AH98" i="8"/>
  <c r="AI98" i="8"/>
  <c r="AJ98" i="8"/>
  <c r="AK98" i="8"/>
  <c r="AL98" i="8"/>
  <c r="AM98" i="8"/>
  <c r="AS98" i="8" s="1"/>
  <c r="AN98" i="8"/>
  <c r="AP98" i="8" s="1"/>
  <c r="AX98" i="8" s="1"/>
  <c r="AW98" i="8" s="1"/>
  <c r="AO98" i="8"/>
  <c r="AR98" i="8"/>
  <c r="AG99" i="8"/>
  <c r="AH99" i="8"/>
  <c r="AI99" i="8"/>
  <c r="AJ99" i="8"/>
  <c r="AK99" i="8"/>
  <c r="AL99" i="8"/>
  <c r="AM99" i="8"/>
  <c r="AG100" i="8"/>
  <c r="AH100" i="8"/>
  <c r="AI100" i="8" s="1"/>
  <c r="AJ100" i="8"/>
  <c r="AR100" i="8" s="1"/>
  <c r="AK100" i="8"/>
  <c r="AL100" i="8"/>
  <c r="AM100" i="8"/>
  <c r="AG101" i="8"/>
  <c r="AI101" i="8" s="1"/>
  <c r="AH101" i="8"/>
  <c r="AJ101" i="8"/>
  <c r="AK101" i="8"/>
  <c r="AR101" i="8" s="1"/>
  <c r="AL101" i="8"/>
  <c r="AM101" i="8"/>
  <c r="AG102" i="8"/>
  <c r="AI102" i="8" s="1"/>
  <c r="AH102" i="8"/>
  <c r="AJ102" i="8"/>
  <c r="AK102" i="8"/>
  <c r="AL102" i="8"/>
  <c r="AM102" i="8"/>
  <c r="AG103" i="8"/>
  <c r="AI103" i="8" s="1"/>
  <c r="AH103" i="8"/>
  <c r="AJ103" i="8"/>
  <c r="AK103" i="8"/>
  <c r="AS103" i="8" s="1"/>
  <c r="AL103" i="8"/>
  <c r="AM103" i="8"/>
  <c r="AG104" i="8"/>
  <c r="AI104" i="8" s="1"/>
  <c r="AH104" i="8"/>
  <c r="AJ104" i="8"/>
  <c r="AK104" i="8"/>
  <c r="AL104" i="8"/>
  <c r="AM104" i="8"/>
  <c r="AN104" i="8" s="1"/>
  <c r="AP104" i="8" s="1"/>
  <c r="AX104" i="8" s="1"/>
  <c r="AW104" i="8" s="1"/>
  <c r="AO104" i="8"/>
  <c r="AV104" i="8" s="1"/>
  <c r="AY104" i="8" s="1"/>
  <c r="AQ104" i="8"/>
  <c r="AR104" i="8"/>
  <c r="AS104" i="8"/>
  <c r="AG105" i="8"/>
  <c r="AI105" i="8" s="1"/>
  <c r="AH105" i="8"/>
  <c r="AJ105" i="8"/>
  <c r="AK105" i="8"/>
  <c r="AO105" i="8" s="1"/>
  <c r="AQ105" i="8" s="1"/>
  <c r="AL105" i="8"/>
  <c r="AM105" i="8"/>
  <c r="AV105" i="8"/>
  <c r="AY105" i="8" s="1"/>
  <c r="AG106" i="8"/>
  <c r="AH106" i="8"/>
  <c r="AI106" i="8"/>
  <c r="AJ106" i="8"/>
  <c r="AS106" i="8" s="1"/>
  <c r="AK106" i="8"/>
  <c r="AL106" i="8"/>
  <c r="AM106" i="8"/>
  <c r="AN106" i="8"/>
  <c r="AO106" i="8"/>
  <c r="AP106" i="8"/>
  <c r="AX106" i="8" s="1"/>
  <c r="AW106" i="8" s="1"/>
  <c r="AR106" i="8"/>
  <c r="AB106" i="8"/>
  <c r="Z106" i="8"/>
  <c r="X106" i="8"/>
  <c r="D106" i="8"/>
  <c r="C106" i="8"/>
  <c r="AB105" i="8"/>
  <c r="Z105" i="8"/>
  <c r="X105" i="8"/>
  <c r="D105" i="8"/>
  <c r="C105" i="8"/>
  <c r="AB104" i="8"/>
  <c r="Z104" i="8"/>
  <c r="X104" i="8"/>
  <c r="V104" i="8"/>
  <c r="D104" i="8"/>
  <c r="C104" i="8"/>
  <c r="AB103" i="8"/>
  <c r="Z103" i="8"/>
  <c r="X103" i="8"/>
  <c r="D103" i="8"/>
  <c r="C103" i="8"/>
  <c r="AB102" i="8"/>
  <c r="Z102" i="8"/>
  <c r="X102" i="8"/>
  <c r="D102" i="8"/>
  <c r="C102" i="8"/>
  <c r="AB101" i="8"/>
  <c r="Z101" i="8"/>
  <c r="X101" i="8"/>
  <c r="D101" i="8"/>
  <c r="C101" i="8"/>
  <c r="AB100" i="8"/>
  <c r="Z100" i="8"/>
  <c r="X100" i="8"/>
  <c r="D100" i="8"/>
  <c r="C100" i="8"/>
  <c r="AB99" i="8"/>
  <c r="Z99" i="8"/>
  <c r="X99" i="8"/>
  <c r="D99" i="8"/>
  <c r="C99" i="8"/>
  <c r="AB98" i="8"/>
  <c r="Z98" i="8"/>
  <c r="X98" i="8"/>
  <c r="D98" i="8"/>
  <c r="C98" i="8"/>
  <c r="AB97" i="8"/>
  <c r="Z97" i="8"/>
  <c r="X97" i="8"/>
  <c r="D97" i="8"/>
  <c r="C97" i="8"/>
  <c r="AB96" i="8"/>
  <c r="Z96" i="8"/>
  <c r="X96" i="8"/>
  <c r="D96" i="8"/>
  <c r="C96" i="8"/>
  <c r="AB95" i="8"/>
  <c r="Z95" i="8"/>
  <c r="X95" i="8"/>
  <c r="D95" i="8"/>
  <c r="C95" i="8"/>
  <c r="AB94" i="8"/>
  <c r="Z94" i="8"/>
  <c r="X94" i="8"/>
  <c r="D94" i="8"/>
  <c r="C94" i="8"/>
  <c r="AB93" i="8"/>
  <c r="Z93" i="8"/>
  <c r="X93" i="8"/>
  <c r="D93" i="8"/>
  <c r="C93" i="8"/>
  <c r="AB92" i="8"/>
  <c r="Z92" i="8"/>
  <c r="X92" i="8"/>
  <c r="D92" i="8"/>
  <c r="C92" i="8"/>
  <c r="AB91" i="8"/>
  <c r="Z91" i="8"/>
  <c r="X91" i="8"/>
  <c r="D91" i="8"/>
  <c r="C91" i="8"/>
  <c r="AB90" i="8"/>
  <c r="Z90" i="8"/>
  <c r="X90" i="8"/>
  <c r="D90" i="8"/>
  <c r="C90" i="8"/>
  <c r="AB89" i="8"/>
  <c r="Z89" i="8"/>
  <c r="X89" i="8"/>
  <c r="D89" i="8"/>
  <c r="C89" i="8"/>
  <c r="AB88" i="8"/>
  <c r="Z88" i="8"/>
  <c r="X88" i="8"/>
  <c r="D88" i="8"/>
  <c r="C88" i="8"/>
  <c r="AB87" i="8"/>
  <c r="Z87" i="8"/>
  <c r="X87" i="8"/>
  <c r="D87" i="8"/>
  <c r="C87" i="8"/>
  <c r="AB86" i="8"/>
  <c r="Z86" i="8"/>
  <c r="X86" i="8"/>
  <c r="D86" i="8"/>
  <c r="C86" i="8"/>
  <c r="AB85" i="8"/>
  <c r="Z85" i="8"/>
  <c r="X85" i="8"/>
  <c r="D85" i="8"/>
  <c r="C85" i="8"/>
  <c r="AB84" i="8"/>
  <c r="Z84" i="8"/>
  <c r="X84" i="8"/>
  <c r="D84" i="8"/>
  <c r="C84" i="8"/>
  <c r="AB83" i="8"/>
  <c r="Z83" i="8"/>
  <c r="X83" i="8"/>
  <c r="D83" i="8"/>
  <c r="C83" i="8"/>
  <c r="AB82" i="8"/>
  <c r="Z82" i="8"/>
  <c r="X82" i="8"/>
  <c r="D82" i="8"/>
  <c r="C82" i="8"/>
  <c r="AB81" i="8"/>
  <c r="Z81" i="8"/>
  <c r="X81" i="8"/>
  <c r="D81" i="8"/>
  <c r="C81" i="8"/>
  <c r="AB80" i="8"/>
  <c r="Z80" i="8"/>
  <c r="X80" i="8"/>
  <c r="D80" i="8"/>
  <c r="C80" i="8"/>
  <c r="AB79" i="8"/>
  <c r="Z79" i="8"/>
  <c r="X79" i="8"/>
  <c r="D79" i="8"/>
  <c r="C79" i="8"/>
  <c r="AB78" i="8"/>
  <c r="Z78" i="8"/>
  <c r="X78" i="8"/>
  <c r="D78" i="8"/>
  <c r="C78" i="8"/>
  <c r="AB77" i="8"/>
  <c r="Z77" i="8"/>
  <c r="X77" i="8"/>
  <c r="D77" i="8"/>
  <c r="C77" i="8"/>
  <c r="AB76" i="8"/>
  <c r="Z76" i="8"/>
  <c r="X76" i="8"/>
  <c r="D76" i="8"/>
  <c r="C76" i="8"/>
  <c r="AB75" i="8"/>
  <c r="Z75" i="8"/>
  <c r="X75" i="8"/>
  <c r="D75" i="8"/>
  <c r="C75" i="8"/>
  <c r="AB74" i="8"/>
  <c r="Z74" i="8"/>
  <c r="X74" i="8"/>
  <c r="D74" i="8"/>
  <c r="C74" i="8"/>
  <c r="AB73" i="8"/>
  <c r="Z73" i="8"/>
  <c r="X73" i="8"/>
  <c r="D73" i="8"/>
  <c r="C73" i="8"/>
  <c r="AB72" i="8"/>
  <c r="Z72" i="8"/>
  <c r="X72" i="8"/>
  <c r="D72" i="8"/>
  <c r="C72" i="8"/>
  <c r="AB71" i="8"/>
  <c r="Z71" i="8"/>
  <c r="X71" i="8"/>
  <c r="D71" i="8"/>
  <c r="C71" i="8"/>
  <c r="AB70" i="8"/>
  <c r="Z70" i="8"/>
  <c r="X70" i="8"/>
  <c r="D70" i="8"/>
  <c r="C70" i="8"/>
  <c r="AB69" i="8"/>
  <c r="Z69" i="8"/>
  <c r="X69" i="8"/>
  <c r="D69" i="8"/>
  <c r="C69" i="8"/>
  <c r="AB68" i="8"/>
  <c r="Z68" i="8"/>
  <c r="X68" i="8"/>
  <c r="D68" i="8"/>
  <c r="C68" i="8"/>
  <c r="AB67" i="8"/>
  <c r="Z67" i="8"/>
  <c r="X67" i="8"/>
  <c r="D67" i="8"/>
  <c r="C67" i="8"/>
  <c r="AB66" i="8"/>
  <c r="Z66" i="8"/>
  <c r="X66" i="8"/>
  <c r="D66" i="8"/>
  <c r="C66" i="8"/>
  <c r="AB65" i="8"/>
  <c r="Z65" i="8"/>
  <c r="X65" i="8"/>
  <c r="D65" i="8"/>
  <c r="C65" i="8"/>
  <c r="AB64" i="8"/>
  <c r="Z64" i="8"/>
  <c r="X64" i="8"/>
  <c r="D64" i="8"/>
  <c r="C64" i="8"/>
  <c r="AB63" i="8"/>
  <c r="Z63" i="8"/>
  <c r="X63" i="8"/>
  <c r="D63" i="8"/>
  <c r="C63" i="8"/>
  <c r="AB62" i="8"/>
  <c r="Z62" i="8"/>
  <c r="X62" i="8"/>
  <c r="D62" i="8"/>
  <c r="C62" i="8"/>
  <c r="AB61" i="8"/>
  <c r="Z61" i="8"/>
  <c r="X61" i="8"/>
  <c r="O61" i="8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D61" i="8"/>
  <c r="C61" i="8"/>
  <c r="AB60" i="8"/>
  <c r="Z60" i="8"/>
  <c r="X60" i="8"/>
  <c r="D60" i="8"/>
  <c r="C60" i="8"/>
  <c r="AB59" i="8"/>
  <c r="Z59" i="8"/>
  <c r="X59" i="8"/>
  <c r="D59" i="8"/>
  <c r="C59" i="8"/>
  <c r="AB58" i="8"/>
  <c r="Z58" i="8"/>
  <c r="X58" i="8"/>
  <c r="D58" i="8"/>
  <c r="C58" i="8"/>
  <c r="AB57" i="8"/>
  <c r="Z57" i="8"/>
  <c r="X57" i="8"/>
  <c r="O57" i="8"/>
  <c r="O58" i="8" s="1"/>
  <c r="O59" i="8" s="1"/>
  <c r="O60" i="8" s="1"/>
  <c r="D57" i="8"/>
  <c r="C57" i="8"/>
  <c r="AB56" i="8"/>
  <c r="Z56" i="8"/>
  <c r="X56" i="8"/>
  <c r="D56" i="8"/>
  <c r="C56" i="8"/>
  <c r="AB55" i="8"/>
  <c r="Z55" i="8"/>
  <c r="X55" i="8"/>
  <c r="D55" i="8"/>
  <c r="C55" i="8"/>
  <c r="AB54" i="8"/>
  <c r="Z54" i="8"/>
  <c r="X54" i="8"/>
  <c r="D54" i="8"/>
  <c r="C54" i="8"/>
  <c r="AB53" i="8"/>
  <c r="Z53" i="8"/>
  <c r="X53" i="8"/>
  <c r="D53" i="8"/>
  <c r="C53" i="8"/>
  <c r="AB52" i="8"/>
  <c r="Z52" i="8"/>
  <c r="X52" i="8"/>
  <c r="D52" i="8"/>
  <c r="C52" i="8"/>
  <c r="AB51" i="8"/>
  <c r="Z51" i="8"/>
  <c r="X51" i="8"/>
  <c r="D51" i="8"/>
  <c r="C51" i="8"/>
  <c r="AB50" i="8"/>
  <c r="Z50" i="8"/>
  <c r="X50" i="8"/>
  <c r="D50" i="8"/>
  <c r="C50" i="8"/>
  <c r="AB49" i="8"/>
  <c r="Z49" i="8"/>
  <c r="X49" i="8"/>
  <c r="D49" i="8"/>
  <c r="C49" i="8"/>
  <c r="AB48" i="8"/>
  <c r="Z48" i="8"/>
  <c r="X48" i="8"/>
  <c r="D48" i="8"/>
  <c r="C48" i="8"/>
  <c r="AB47" i="8"/>
  <c r="Z47" i="8"/>
  <c r="X47" i="8"/>
  <c r="D47" i="8"/>
  <c r="C47" i="8"/>
  <c r="AB46" i="8"/>
  <c r="Z46" i="8"/>
  <c r="X46" i="8"/>
  <c r="D46" i="8"/>
  <c r="C46" i="8"/>
  <c r="AB45" i="8"/>
  <c r="Z45" i="8"/>
  <c r="X45" i="8"/>
  <c r="W45" i="8"/>
  <c r="D45" i="8"/>
  <c r="C45" i="8"/>
  <c r="AB44" i="8"/>
  <c r="Z44" i="8"/>
  <c r="X44" i="8"/>
  <c r="V44" i="8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D44" i="8"/>
  <c r="C44" i="8"/>
  <c r="AB43" i="8"/>
  <c r="Z43" i="8"/>
  <c r="X43" i="8"/>
  <c r="V43" i="8"/>
  <c r="O43" i="8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D43" i="8"/>
  <c r="C43" i="8"/>
  <c r="AB42" i="8"/>
  <c r="Z42" i="8"/>
  <c r="X42" i="8"/>
  <c r="D42" i="8"/>
  <c r="C42" i="8"/>
  <c r="AB41" i="8"/>
  <c r="Z41" i="8"/>
  <c r="X41" i="8"/>
  <c r="D41" i="8"/>
  <c r="C41" i="8"/>
  <c r="AB40" i="8"/>
  <c r="Z40" i="8"/>
  <c r="X40" i="8"/>
  <c r="D40" i="8"/>
  <c r="C40" i="8"/>
  <c r="AB39" i="8"/>
  <c r="Z39" i="8"/>
  <c r="X39" i="8"/>
  <c r="D39" i="8"/>
  <c r="C39" i="8"/>
  <c r="AB38" i="8"/>
  <c r="Z38" i="8"/>
  <c r="X38" i="8"/>
  <c r="D38" i="8"/>
  <c r="C38" i="8"/>
  <c r="AB37" i="8"/>
  <c r="Z37" i="8"/>
  <c r="X37" i="8"/>
  <c r="D37" i="8"/>
  <c r="C37" i="8"/>
  <c r="AB36" i="8"/>
  <c r="Z36" i="8"/>
  <c r="X36" i="8"/>
  <c r="D36" i="8"/>
  <c r="C36" i="8"/>
  <c r="AB35" i="8"/>
  <c r="Z35" i="8"/>
  <c r="X35" i="8"/>
  <c r="D35" i="8"/>
  <c r="C35" i="8"/>
  <c r="AB34" i="8"/>
  <c r="Z34" i="8"/>
  <c r="X34" i="8"/>
  <c r="D34" i="8"/>
  <c r="C34" i="8"/>
  <c r="AB33" i="8"/>
  <c r="Z33" i="8"/>
  <c r="X33" i="8"/>
  <c r="D33" i="8"/>
  <c r="C33" i="8"/>
  <c r="AB32" i="8"/>
  <c r="Z32" i="8"/>
  <c r="X32" i="8"/>
  <c r="W32" i="8"/>
  <c r="D32" i="8"/>
  <c r="C32" i="8"/>
  <c r="AB31" i="8"/>
  <c r="Z31" i="8"/>
  <c r="X31" i="8"/>
  <c r="D31" i="8"/>
  <c r="C31" i="8"/>
  <c r="AB30" i="8"/>
  <c r="Z30" i="8"/>
  <c r="X30" i="8"/>
  <c r="D30" i="8"/>
  <c r="C30" i="8"/>
  <c r="AB29" i="8"/>
  <c r="Z29" i="8"/>
  <c r="X29" i="8"/>
  <c r="D29" i="8"/>
  <c r="C29" i="8"/>
  <c r="AB28" i="8"/>
  <c r="Z28" i="8"/>
  <c r="X28" i="8"/>
  <c r="W28" i="8"/>
  <c r="D28" i="8"/>
  <c r="C28" i="8"/>
  <c r="AB27" i="8"/>
  <c r="Z27" i="8"/>
  <c r="X27" i="8"/>
  <c r="D27" i="8"/>
  <c r="C27" i="8"/>
  <c r="AB26" i="8"/>
  <c r="Z26" i="8"/>
  <c r="X26" i="8"/>
  <c r="D26" i="8"/>
  <c r="C26" i="8"/>
  <c r="AB25" i="8"/>
  <c r="Z25" i="8"/>
  <c r="X25" i="8"/>
  <c r="D25" i="8"/>
  <c r="C25" i="8"/>
  <c r="AB24" i="8"/>
  <c r="Z24" i="8"/>
  <c r="X24" i="8"/>
  <c r="D24" i="8"/>
  <c r="C24" i="8"/>
  <c r="AB23" i="8"/>
  <c r="Z23" i="8"/>
  <c r="X23" i="8"/>
  <c r="D23" i="8"/>
  <c r="C23" i="8"/>
  <c r="AB22" i="8"/>
  <c r="Z22" i="8"/>
  <c r="X22" i="8"/>
  <c r="D22" i="8"/>
  <c r="C22" i="8"/>
  <c r="AB21" i="8"/>
  <c r="Z21" i="8"/>
  <c r="X21" i="8"/>
  <c r="D21" i="8"/>
  <c r="C21" i="8"/>
  <c r="AB20" i="8"/>
  <c r="Z20" i="8"/>
  <c r="X20" i="8"/>
  <c r="W20" i="8"/>
  <c r="D20" i="8"/>
  <c r="C20" i="8"/>
  <c r="AB19" i="8"/>
  <c r="Z19" i="8"/>
  <c r="D19" i="8"/>
  <c r="C19" i="8"/>
  <c r="AB18" i="8"/>
  <c r="Z18" i="8"/>
  <c r="X18" i="8"/>
  <c r="D18" i="8"/>
  <c r="C18" i="8"/>
  <c r="AB17" i="8"/>
  <c r="Z17" i="8"/>
  <c r="X17" i="8"/>
  <c r="D17" i="8"/>
  <c r="C17" i="8"/>
  <c r="AB16" i="8"/>
  <c r="Z16" i="8"/>
  <c r="X16" i="8"/>
  <c r="W16" i="8"/>
  <c r="D16" i="8"/>
  <c r="C16" i="8"/>
  <c r="AB15" i="8"/>
  <c r="Z15" i="8"/>
  <c r="X15" i="8"/>
  <c r="W15" i="8"/>
  <c r="D15" i="8"/>
  <c r="C15" i="8"/>
  <c r="AB14" i="8"/>
  <c r="Z14" i="8"/>
  <c r="X14" i="8"/>
  <c r="W14" i="8"/>
  <c r="D14" i="8"/>
  <c r="C14" i="8"/>
  <c r="AB13" i="8"/>
  <c r="Z13" i="8"/>
  <c r="X13" i="8"/>
  <c r="D13" i="8"/>
  <c r="C13" i="8"/>
  <c r="AB12" i="8"/>
  <c r="Z12" i="8"/>
  <c r="X12" i="8"/>
  <c r="D12" i="8"/>
  <c r="C12" i="8"/>
  <c r="AB11" i="8"/>
  <c r="Z11" i="8"/>
  <c r="X11" i="8"/>
  <c r="D11" i="8"/>
  <c r="C11" i="8"/>
  <c r="AB10" i="8"/>
  <c r="Z10" i="8"/>
  <c r="X10" i="8"/>
  <c r="W10" i="8"/>
  <c r="D10" i="8"/>
  <c r="C10" i="8"/>
  <c r="AB9" i="8"/>
  <c r="Z9" i="8"/>
  <c r="X9" i="8"/>
  <c r="W9" i="8"/>
  <c r="D9" i="8"/>
  <c r="C9" i="8"/>
  <c r="AB8" i="8"/>
  <c r="Z8" i="8"/>
  <c r="X8" i="8"/>
  <c r="D8" i="8"/>
  <c r="C8" i="8"/>
  <c r="AB7" i="8"/>
  <c r="Z7" i="8"/>
  <c r="X7" i="8"/>
  <c r="W7" i="8"/>
  <c r="V7" i="8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D7" i="8"/>
  <c r="C7" i="8"/>
  <c r="AB6" i="8"/>
  <c r="Z6" i="8"/>
  <c r="X6" i="8"/>
  <c r="D6" i="8"/>
  <c r="C6" i="8"/>
  <c r="AB5" i="8"/>
  <c r="Z5" i="8"/>
  <c r="X5" i="8"/>
  <c r="W5" i="8"/>
  <c r="D5" i="8"/>
  <c r="C5" i="8"/>
  <c r="AB4" i="8"/>
  <c r="Z4" i="8"/>
  <c r="X4" i="8"/>
  <c r="O4" i="8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D4" i="8"/>
  <c r="C4" i="8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AB3" i="8"/>
  <c r="Z3" i="8"/>
  <c r="X3" i="8"/>
  <c r="W3" i="8"/>
  <c r="V3" i="8"/>
  <c r="V4" i="8" s="1"/>
  <c r="V5" i="8" s="1"/>
  <c r="V6" i="8" s="1"/>
  <c r="O3" i="8"/>
  <c r="D3" i="8"/>
  <c r="C3" i="8"/>
  <c r="B3" i="8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AO1162" i="1" s="1"/>
  <c r="AS1162" i="1" s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AL1634" i="1" s="1"/>
  <c r="W1635" i="1"/>
  <c r="AL1635" i="1" s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AO1816" i="1" s="1"/>
  <c r="AS1816" i="1" s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AO2103" i="1" s="1"/>
  <c r="AO2104" i="1" s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AO2360" i="1" s="1"/>
  <c r="AS2360" i="1" s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AL2384" i="1" s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AO2404" i="1" s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AL2428" i="1" s="1"/>
  <c r="W2429" i="1"/>
  <c r="AL2429" i="1" s="1"/>
  <c r="J861" i="1"/>
  <c r="J862" i="1"/>
  <c r="J863" i="1"/>
  <c r="AK863" i="1" s="1"/>
  <c r="AK864" i="1" s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AJ882" i="1" s="1"/>
  <c r="J883" i="1"/>
  <c r="AK883" i="1" s="1"/>
  <c r="J884" i="1"/>
  <c r="AK884" i="1" s="1"/>
  <c r="J885" i="1"/>
  <c r="J886" i="1"/>
  <c r="J887" i="1"/>
  <c r="J888" i="1"/>
  <c r="J889" i="1"/>
  <c r="AJ889" i="1" s="1"/>
  <c r="J890" i="1"/>
  <c r="J891" i="1"/>
  <c r="AJ891" i="1" s="1"/>
  <c r="J892" i="1"/>
  <c r="AJ892" i="1" s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AJ918" i="1" s="1"/>
  <c r="AJ919" i="1" s="1"/>
  <c r="J919" i="1"/>
  <c r="J920" i="1"/>
  <c r="J921" i="1"/>
  <c r="J922" i="1"/>
  <c r="J923" i="1"/>
  <c r="J924" i="1"/>
  <c r="AJ924" i="1" s="1"/>
  <c r="J925" i="1"/>
  <c r="J926" i="1"/>
  <c r="J927" i="1"/>
  <c r="J928" i="1"/>
  <c r="J929" i="1"/>
  <c r="J930" i="1"/>
  <c r="J931" i="1"/>
  <c r="AK931" i="1" s="1"/>
  <c r="J932" i="1"/>
  <c r="J933" i="1"/>
  <c r="J934" i="1"/>
  <c r="J935" i="1"/>
  <c r="AJ935" i="1" s="1"/>
  <c r="J936" i="1"/>
  <c r="J937" i="1"/>
  <c r="J938" i="1"/>
  <c r="J939" i="1"/>
  <c r="J940" i="1"/>
  <c r="AJ940" i="1" s="1"/>
  <c r="J941" i="1"/>
  <c r="J942" i="1"/>
  <c r="J943" i="1"/>
  <c r="J944" i="1"/>
  <c r="J945" i="1"/>
  <c r="J946" i="1"/>
  <c r="J947" i="1"/>
  <c r="AK947" i="1" s="1"/>
  <c r="J948" i="1"/>
  <c r="AJ948" i="1" s="1"/>
  <c r="AL948" i="1" s="1"/>
  <c r="J949" i="1"/>
  <c r="J950" i="1"/>
  <c r="J951" i="1"/>
  <c r="J952" i="1"/>
  <c r="J953" i="1"/>
  <c r="AJ953" i="1" s="1"/>
  <c r="J954" i="1"/>
  <c r="AK954" i="1" s="1"/>
  <c r="J955" i="1"/>
  <c r="AK955" i="1" s="1"/>
  <c r="J956" i="1"/>
  <c r="J957" i="1"/>
  <c r="J958" i="1"/>
  <c r="J959" i="1"/>
  <c r="AJ959" i="1" s="1"/>
  <c r="J960" i="1"/>
  <c r="J961" i="1"/>
  <c r="J962" i="1"/>
  <c r="J963" i="1"/>
  <c r="J964" i="1"/>
  <c r="J965" i="1"/>
  <c r="J966" i="1"/>
  <c r="J967" i="1"/>
  <c r="J968" i="1"/>
  <c r="J969" i="1"/>
  <c r="J970" i="1"/>
  <c r="J971" i="1"/>
  <c r="AK971" i="1" s="1"/>
  <c r="J972" i="1"/>
  <c r="J973" i="1"/>
  <c r="AK973" i="1" s="1"/>
  <c r="J974" i="1"/>
  <c r="AJ974" i="1" s="1"/>
  <c r="AL974" i="1" s="1"/>
  <c r="J975" i="1"/>
  <c r="AJ975" i="1" s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AJ995" i="1" s="1"/>
  <c r="J996" i="1"/>
  <c r="J997" i="1"/>
  <c r="AJ997" i="1" s="1"/>
  <c r="J998" i="1"/>
  <c r="AJ998" i="1" s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AK1010" i="1" s="1"/>
  <c r="J1011" i="1"/>
  <c r="J1012" i="1"/>
  <c r="AJ1012" i="1" s="1"/>
  <c r="J1013" i="1"/>
  <c r="AJ1013" i="1" s="1"/>
  <c r="J1014" i="1"/>
  <c r="AJ1014" i="1" s="1"/>
  <c r="AJ1015" i="1" s="1"/>
  <c r="J1015" i="1"/>
  <c r="J1016" i="1"/>
  <c r="J1017" i="1"/>
  <c r="AK1017" i="1" s="1"/>
  <c r="J1018" i="1"/>
  <c r="J1019" i="1"/>
  <c r="J1020" i="1"/>
  <c r="J1021" i="1"/>
  <c r="J1022" i="1"/>
  <c r="J1023" i="1"/>
  <c r="J1024" i="1"/>
  <c r="J1025" i="1"/>
  <c r="J1026" i="1"/>
  <c r="AJ1026" i="1" s="1"/>
  <c r="J1027" i="1"/>
  <c r="J1028" i="1"/>
  <c r="AJ1028" i="1" s="1"/>
  <c r="AL1028" i="1" s="1"/>
  <c r="AP1028" i="1" s="1"/>
  <c r="J1029" i="1"/>
  <c r="J1030" i="1"/>
  <c r="J1031" i="1"/>
  <c r="J1032" i="1"/>
  <c r="J1033" i="1"/>
  <c r="AJ1033" i="1" s="1"/>
  <c r="J1034" i="1"/>
  <c r="AJ1034" i="1" s="1"/>
  <c r="J1035" i="1"/>
  <c r="J1036" i="1"/>
  <c r="AJ1036" i="1" s="1"/>
  <c r="J1037" i="1"/>
  <c r="J1038" i="1"/>
  <c r="AJ1038" i="1" s="1"/>
  <c r="AL1038" i="1" s="1"/>
  <c r="AP1038" i="1" s="1"/>
  <c r="J1039" i="1"/>
  <c r="AK1039" i="1" s="1"/>
  <c r="J1040" i="1"/>
  <c r="J1041" i="1"/>
  <c r="J1042" i="1"/>
  <c r="AK1042" i="1" s="1"/>
  <c r="J1043" i="1"/>
  <c r="J1044" i="1"/>
  <c r="AJ1044" i="1" s="1"/>
  <c r="J1045" i="1"/>
  <c r="J1046" i="1"/>
  <c r="J1047" i="1"/>
  <c r="J1048" i="1"/>
  <c r="AJ1048" i="1" s="1"/>
  <c r="J1049" i="1"/>
  <c r="AK1049" i="1" s="1"/>
  <c r="J1050" i="1"/>
  <c r="J1051" i="1"/>
  <c r="J1052" i="1"/>
  <c r="J1053" i="1"/>
  <c r="J1054" i="1"/>
  <c r="J1055" i="1"/>
  <c r="J1056" i="1"/>
  <c r="J1057" i="1"/>
  <c r="J1058" i="1"/>
  <c r="J1059" i="1"/>
  <c r="J1060" i="1"/>
  <c r="AK1060" i="1" s="1"/>
  <c r="J1061" i="1"/>
  <c r="J1062" i="1"/>
  <c r="J1063" i="1"/>
  <c r="J1064" i="1"/>
  <c r="J1065" i="1"/>
  <c r="AJ1065" i="1" s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AJ1086" i="1" s="1"/>
  <c r="AL1086" i="1" s="1"/>
  <c r="AP1086" i="1" s="1"/>
  <c r="J1087" i="1"/>
  <c r="J1088" i="1"/>
  <c r="AJ1088" i="1" s="1"/>
  <c r="J1089" i="1"/>
  <c r="AJ1089" i="1" s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AJ1109" i="1" s="1"/>
  <c r="J1110" i="1"/>
  <c r="AK1110" i="1" s="1"/>
  <c r="AK1111" i="1" s="1"/>
  <c r="J1111" i="1"/>
  <c r="J1112" i="1"/>
  <c r="J1113" i="1"/>
  <c r="J1114" i="1"/>
  <c r="J1115" i="1"/>
  <c r="J1116" i="1"/>
  <c r="J1117" i="1"/>
  <c r="AK1117" i="1" s="1"/>
  <c r="J1118" i="1"/>
  <c r="J1119" i="1"/>
  <c r="J1120" i="1"/>
  <c r="J1121" i="1"/>
  <c r="J1122" i="1"/>
  <c r="J1123" i="1"/>
  <c r="J1124" i="1"/>
  <c r="J1125" i="1"/>
  <c r="AJ1125" i="1" s="1"/>
  <c r="J1126" i="1"/>
  <c r="J1127" i="1"/>
  <c r="J1128" i="1"/>
  <c r="J1129" i="1"/>
  <c r="J1130" i="1"/>
  <c r="J1131" i="1"/>
  <c r="J1132" i="1"/>
  <c r="AJ1132" i="1" s="1"/>
  <c r="J1133" i="1"/>
  <c r="J1134" i="1"/>
  <c r="J1135" i="1"/>
  <c r="J1136" i="1"/>
  <c r="J1137" i="1"/>
  <c r="AJ1137" i="1" s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AK1155" i="1" s="1"/>
  <c r="J1156" i="1"/>
  <c r="J1157" i="1"/>
  <c r="AK1157" i="1" s="1"/>
  <c r="J1158" i="1"/>
  <c r="AK1158" i="1" s="1"/>
  <c r="J1159" i="1"/>
  <c r="J1160" i="1"/>
  <c r="J1161" i="1"/>
  <c r="J1162" i="1"/>
  <c r="J1163" i="1"/>
  <c r="J1164" i="1"/>
  <c r="J1165" i="1"/>
  <c r="AK1165" i="1" s="1"/>
  <c r="J1166" i="1"/>
  <c r="J1167" i="1"/>
  <c r="J1168" i="1"/>
  <c r="J1169" i="1"/>
  <c r="J1170" i="1"/>
  <c r="J1171" i="1"/>
  <c r="AK1171" i="1" s="1"/>
  <c r="J1172" i="1"/>
  <c r="J1173" i="1"/>
  <c r="AJ1173" i="1" s="1"/>
  <c r="J1174" i="1"/>
  <c r="AJ1174" i="1" s="1"/>
  <c r="J1175" i="1"/>
  <c r="J1176" i="1"/>
  <c r="J1177" i="1"/>
  <c r="J1178" i="1"/>
  <c r="J1179" i="1"/>
  <c r="J1180" i="1"/>
  <c r="AJ1180" i="1" s="1"/>
  <c r="J1181" i="1"/>
  <c r="AK1181" i="1" s="1"/>
  <c r="J1182" i="1"/>
  <c r="J1183" i="1"/>
  <c r="J1184" i="1"/>
  <c r="J1185" i="1"/>
  <c r="J1186" i="1"/>
  <c r="AJ1186" i="1" s="1"/>
  <c r="J1187" i="1"/>
  <c r="J1188" i="1"/>
  <c r="J1189" i="1"/>
  <c r="AJ1189" i="1" s="1"/>
  <c r="AJ1190" i="1" s="1"/>
  <c r="AJ1191" i="1" s="1"/>
  <c r="J1190" i="1"/>
  <c r="AK1190" i="1" s="1"/>
  <c r="AK1191" i="1" s="1"/>
  <c r="J1191" i="1"/>
  <c r="J1192" i="1"/>
  <c r="J1193" i="1"/>
  <c r="J1194" i="1"/>
  <c r="J1195" i="1"/>
  <c r="J1196" i="1"/>
  <c r="AJ1196" i="1" s="1"/>
  <c r="J1197" i="1"/>
  <c r="AK1197" i="1" s="1"/>
  <c r="J1198" i="1"/>
  <c r="AK1198" i="1" s="1"/>
  <c r="J1199" i="1"/>
  <c r="J1200" i="1"/>
  <c r="J1201" i="1"/>
  <c r="J1202" i="1"/>
  <c r="J1203" i="1"/>
  <c r="AK1203" i="1" s="1"/>
  <c r="J1204" i="1"/>
  <c r="J1205" i="1"/>
  <c r="AJ1205" i="1" s="1"/>
  <c r="J1206" i="1"/>
  <c r="AK1206" i="1" s="1"/>
  <c r="AK1207" i="1" s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AK1229" i="1" s="1"/>
  <c r="J1230" i="1"/>
  <c r="AK1230" i="1" s="1"/>
  <c r="J1231" i="1"/>
  <c r="J1232" i="1"/>
  <c r="J1233" i="1"/>
  <c r="J1234" i="1"/>
  <c r="AK1234" i="1" s="1"/>
  <c r="J1235" i="1"/>
  <c r="J1236" i="1"/>
  <c r="J1237" i="1"/>
  <c r="J1238" i="1"/>
  <c r="J1239" i="1"/>
  <c r="J1240" i="1"/>
  <c r="J1241" i="1"/>
  <c r="J1242" i="1"/>
  <c r="J1243" i="1"/>
  <c r="AK1243" i="1" s="1"/>
  <c r="J1244" i="1"/>
  <c r="AJ1244" i="1" s="1"/>
  <c r="J1245" i="1"/>
  <c r="AJ1245" i="1" s="1"/>
  <c r="J1246" i="1"/>
  <c r="AK1246" i="1" s="1"/>
  <c r="J1247" i="1"/>
  <c r="AK1247" i="1" s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AK1261" i="1" s="1"/>
  <c r="J1262" i="1"/>
  <c r="AJ1262" i="1" s="1"/>
  <c r="AL1262" i="1" s="1"/>
  <c r="J1263" i="1"/>
  <c r="J1264" i="1"/>
  <c r="J1265" i="1"/>
  <c r="J1266" i="1"/>
  <c r="J1267" i="1"/>
  <c r="AK1267" i="1" s="1"/>
  <c r="J1268" i="1"/>
  <c r="AJ1268" i="1" s="1"/>
  <c r="AL1268" i="1" s="1"/>
  <c r="J1269" i="1"/>
  <c r="J1270" i="1"/>
  <c r="J1271" i="1"/>
  <c r="J1272" i="1"/>
  <c r="J1273" i="1"/>
  <c r="J1274" i="1"/>
  <c r="J1275" i="1"/>
  <c r="J1276" i="1"/>
  <c r="AJ1276" i="1" s="1"/>
  <c r="J1277" i="1"/>
  <c r="J1278" i="1"/>
  <c r="J1279" i="1"/>
  <c r="J1280" i="1"/>
  <c r="J1281" i="1"/>
  <c r="J1282" i="1"/>
  <c r="J1283" i="1"/>
  <c r="AK1283" i="1" s="1"/>
  <c r="J1284" i="1"/>
  <c r="AK1284" i="1" s="1"/>
  <c r="J1285" i="1"/>
  <c r="AK1285" i="1" s="1"/>
  <c r="J1286" i="1"/>
  <c r="J1287" i="1"/>
  <c r="AJ1287" i="1" s="1"/>
  <c r="J1288" i="1"/>
  <c r="J1289" i="1"/>
  <c r="J1290" i="1"/>
  <c r="J1291" i="1"/>
  <c r="J1292" i="1"/>
  <c r="AK1292" i="1" s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AJ1310" i="1" s="1"/>
  <c r="AL1310" i="1" s="1"/>
  <c r="AP1310" i="1" s="1"/>
  <c r="J1311" i="1"/>
  <c r="J1312" i="1"/>
  <c r="J1313" i="1"/>
  <c r="J1314" i="1"/>
  <c r="J1315" i="1"/>
  <c r="J1316" i="1"/>
  <c r="J1317" i="1"/>
  <c r="AJ1317" i="1" s="1"/>
  <c r="J1318" i="1"/>
  <c r="AK1318" i="1" s="1"/>
  <c r="AK1319" i="1" s="1"/>
  <c r="J1319" i="1"/>
  <c r="J1320" i="1"/>
  <c r="J1321" i="1"/>
  <c r="J1322" i="1"/>
  <c r="J1323" i="1"/>
  <c r="AK1323" i="1" s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AJ1338" i="1" s="1"/>
  <c r="J1339" i="1"/>
  <c r="J1340" i="1"/>
  <c r="J1341" i="1"/>
  <c r="J1342" i="1"/>
  <c r="AK1342" i="1" s="1"/>
  <c r="J1343" i="1"/>
  <c r="J1344" i="1"/>
  <c r="J1345" i="1"/>
  <c r="J1346" i="1"/>
  <c r="J1347" i="1"/>
  <c r="J1348" i="1"/>
  <c r="AJ1348" i="1" s="1"/>
  <c r="AL1348" i="1" s="1"/>
  <c r="J1349" i="1"/>
  <c r="AK1349" i="1" s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AK1362" i="1" s="1"/>
  <c r="J1363" i="1"/>
  <c r="J1364" i="1"/>
  <c r="J1365" i="1"/>
  <c r="AK1365" i="1" s="1"/>
  <c r="J1366" i="1"/>
  <c r="J1367" i="1"/>
  <c r="J1368" i="1"/>
  <c r="AK1368" i="1" s="1"/>
  <c r="J1369" i="1"/>
  <c r="J1370" i="1"/>
  <c r="J1371" i="1"/>
  <c r="J1372" i="1"/>
  <c r="J1373" i="1"/>
  <c r="J1374" i="1"/>
  <c r="J1375" i="1"/>
  <c r="J1376" i="1"/>
  <c r="J1377" i="1"/>
  <c r="J1378" i="1"/>
  <c r="AK1378" i="1" s="1"/>
  <c r="J1379" i="1"/>
  <c r="J1380" i="1"/>
  <c r="J1381" i="1"/>
  <c r="J1382" i="1"/>
  <c r="J1383" i="1"/>
  <c r="J1384" i="1"/>
  <c r="J1385" i="1"/>
  <c r="AJ1385" i="1" s="1"/>
  <c r="J1386" i="1"/>
  <c r="AJ1386" i="1" s="1"/>
  <c r="J1387" i="1"/>
  <c r="J1388" i="1"/>
  <c r="J1389" i="1"/>
  <c r="J1390" i="1"/>
  <c r="J1391" i="1"/>
  <c r="J1392" i="1"/>
  <c r="J1393" i="1"/>
  <c r="AJ1393" i="1" s="1"/>
  <c r="J1394" i="1"/>
  <c r="AJ1394" i="1" s="1"/>
  <c r="J1395" i="1"/>
  <c r="AJ1395" i="1" s="1"/>
  <c r="J1396" i="1"/>
  <c r="J1397" i="1"/>
  <c r="AJ1397" i="1" s="1"/>
  <c r="J1398" i="1"/>
  <c r="J1399" i="1"/>
  <c r="J1400" i="1"/>
  <c r="J1401" i="1"/>
  <c r="AK1401" i="1" s="1"/>
  <c r="J1402" i="1"/>
  <c r="AJ1402" i="1" s="1"/>
  <c r="J1403" i="1"/>
  <c r="J1404" i="1"/>
  <c r="J1405" i="1"/>
  <c r="J1406" i="1"/>
  <c r="J1407" i="1"/>
  <c r="J1408" i="1"/>
  <c r="J1409" i="1"/>
  <c r="J1410" i="1"/>
  <c r="J1411" i="1"/>
  <c r="AJ1411" i="1" s="1"/>
  <c r="J1412" i="1"/>
  <c r="J1413" i="1"/>
  <c r="J1414" i="1"/>
  <c r="J1415" i="1"/>
  <c r="J1416" i="1"/>
  <c r="J1417" i="1"/>
  <c r="J1418" i="1"/>
  <c r="J1419" i="1"/>
  <c r="J1420" i="1"/>
  <c r="J1421" i="1"/>
  <c r="J1422" i="1"/>
  <c r="AJ1422" i="1" s="1"/>
  <c r="J1423" i="1"/>
  <c r="J1424" i="1"/>
  <c r="J1425" i="1"/>
  <c r="J1426" i="1"/>
  <c r="J1427" i="1"/>
  <c r="AJ1427" i="1" s="1"/>
  <c r="J1428" i="1"/>
  <c r="AK1428" i="1" s="1"/>
  <c r="J1429" i="1"/>
  <c r="AK1429" i="1" s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AJ1451" i="1" s="1"/>
  <c r="J1452" i="1"/>
  <c r="J1453" i="1"/>
  <c r="AK1453" i="1" s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AK1469" i="1" s="1"/>
  <c r="J1470" i="1"/>
  <c r="J1471" i="1"/>
  <c r="J1472" i="1"/>
  <c r="J1473" i="1"/>
  <c r="J1474" i="1"/>
  <c r="J1475" i="1"/>
  <c r="AJ1475" i="1" s="1"/>
  <c r="J1476" i="1"/>
  <c r="AK1476" i="1" s="1"/>
  <c r="J1477" i="1"/>
  <c r="J1478" i="1"/>
  <c r="J1479" i="1"/>
  <c r="J1480" i="1"/>
  <c r="J1481" i="1"/>
  <c r="J1482" i="1"/>
  <c r="J1483" i="1"/>
  <c r="J1484" i="1"/>
  <c r="J1485" i="1"/>
  <c r="J1486" i="1"/>
  <c r="AJ1486" i="1" s="1"/>
  <c r="J1487" i="1"/>
  <c r="J1488" i="1"/>
  <c r="J1489" i="1"/>
  <c r="J1490" i="1"/>
  <c r="J1491" i="1"/>
  <c r="AJ1491" i="1" s="1"/>
  <c r="J1492" i="1"/>
  <c r="J1493" i="1"/>
  <c r="J1494" i="1"/>
  <c r="J1495" i="1"/>
  <c r="J1496" i="1"/>
  <c r="J1497" i="1"/>
  <c r="J1498" i="1"/>
  <c r="AJ1498" i="1" s="1"/>
  <c r="J1499" i="1"/>
  <c r="J1500" i="1"/>
  <c r="J1501" i="1"/>
  <c r="J1502" i="1"/>
  <c r="AJ1502" i="1" s="1"/>
  <c r="AL1502" i="1" s="1"/>
  <c r="AP1502" i="1" s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AK1523" i="1" s="1"/>
  <c r="J1524" i="1"/>
  <c r="J1525" i="1"/>
  <c r="J1526" i="1"/>
  <c r="J1527" i="1"/>
  <c r="J1528" i="1"/>
  <c r="J1529" i="1"/>
  <c r="J1530" i="1"/>
  <c r="J1531" i="1"/>
  <c r="J1532" i="1"/>
  <c r="J1533" i="1"/>
  <c r="J1534" i="1"/>
  <c r="AK1534" i="1" s="1"/>
  <c r="J1535" i="1"/>
  <c r="J1536" i="1"/>
  <c r="J1537" i="1"/>
  <c r="J1538" i="1"/>
  <c r="J1539" i="1"/>
  <c r="J1540" i="1"/>
  <c r="AK1540" i="1" s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AK1564" i="1" s="1"/>
  <c r="J1565" i="1"/>
  <c r="J1566" i="1"/>
  <c r="J1567" i="1"/>
  <c r="J1568" i="1"/>
  <c r="J1569" i="1"/>
  <c r="J1570" i="1"/>
  <c r="AJ1570" i="1" s="1"/>
  <c r="J1571" i="1"/>
  <c r="J1572" i="1"/>
  <c r="J1573" i="1"/>
  <c r="AJ1573" i="1" s="1"/>
  <c r="J1574" i="1"/>
  <c r="J1575" i="1"/>
  <c r="J1576" i="1"/>
  <c r="J1577" i="1"/>
  <c r="J1578" i="1"/>
  <c r="J1579" i="1"/>
  <c r="J1580" i="1"/>
  <c r="J1581" i="1"/>
  <c r="J1582" i="1"/>
  <c r="AK1582" i="1" s="1"/>
  <c r="J1583" i="1"/>
  <c r="J1584" i="1"/>
  <c r="J1585" i="1"/>
  <c r="J1586" i="1"/>
  <c r="J1587" i="1"/>
  <c r="J1588" i="1"/>
  <c r="J1589" i="1"/>
  <c r="J1590" i="1"/>
  <c r="J1591" i="1"/>
  <c r="AJ1591" i="1" s="1"/>
  <c r="J1592" i="1"/>
  <c r="AK1592" i="1" s="1"/>
  <c r="J1593" i="1"/>
  <c r="J1594" i="1"/>
  <c r="J1595" i="1"/>
  <c r="AK1595" i="1" s="1"/>
  <c r="J1596" i="1"/>
  <c r="J1597" i="1"/>
  <c r="J1598" i="1"/>
  <c r="J1599" i="1"/>
  <c r="J1600" i="1"/>
  <c r="J1601" i="1"/>
  <c r="J1602" i="1"/>
  <c r="J1603" i="1"/>
  <c r="AJ1603" i="1" s="1"/>
  <c r="J1604" i="1"/>
  <c r="J1605" i="1"/>
  <c r="J1606" i="1"/>
  <c r="J1607" i="1"/>
  <c r="J1608" i="1"/>
  <c r="AJ1608" i="1" s="1"/>
  <c r="J1609" i="1"/>
  <c r="J1610" i="1"/>
  <c r="AJ1610" i="1" s="1"/>
  <c r="J1611" i="1"/>
  <c r="J1612" i="1"/>
  <c r="J1613" i="1"/>
  <c r="J1614" i="1"/>
  <c r="J1615" i="1"/>
  <c r="J1616" i="1"/>
  <c r="J1617" i="1"/>
  <c r="J1618" i="1"/>
  <c r="J1619" i="1"/>
  <c r="AJ1619" i="1" s="1"/>
  <c r="J1620" i="1"/>
  <c r="AJ1620" i="1" s="1"/>
  <c r="AL1620" i="1" s="1"/>
  <c r="J1621" i="1"/>
  <c r="AJ1621" i="1" s="1"/>
  <c r="J1622" i="1"/>
  <c r="AJ1622" i="1" s="1"/>
  <c r="J1623" i="1"/>
  <c r="AK1623" i="1" s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AJ1659" i="1" s="1"/>
  <c r="J1660" i="1"/>
  <c r="AJ1660" i="1" s="1"/>
  <c r="J1661" i="1"/>
  <c r="J1662" i="1"/>
  <c r="J1663" i="1"/>
  <c r="J1664" i="1"/>
  <c r="J1665" i="1"/>
  <c r="J1666" i="1"/>
  <c r="AK1666" i="1" s="1"/>
  <c r="J1667" i="1"/>
  <c r="AK1667" i="1" s="1"/>
  <c r="J1668" i="1"/>
  <c r="AK1668" i="1" s="1"/>
  <c r="J1669" i="1"/>
  <c r="AK1669" i="1" s="1"/>
  <c r="J1670" i="1"/>
  <c r="AK1670" i="1" s="1"/>
  <c r="J1671" i="1"/>
  <c r="AJ1671" i="1" s="1"/>
  <c r="J1672" i="1"/>
  <c r="AK1672" i="1" s="1"/>
  <c r="J1673" i="1"/>
  <c r="AK1673" i="1" s="1"/>
  <c r="J1674" i="1"/>
  <c r="AJ1674" i="1" s="1"/>
  <c r="J1675" i="1"/>
  <c r="J1676" i="1"/>
  <c r="J1677" i="1"/>
  <c r="AK1677" i="1" s="1"/>
  <c r="J1678" i="1"/>
  <c r="J1679" i="1"/>
  <c r="J1680" i="1"/>
  <c r="J1681" i="1"/>
  <c r="J1682" i="1"/>
  <c r="J1683" i="1"/>
  <c r="J1684" i="1"/>
  <c r="AJ1684" i="1" s="1"/>
  <c r="J1685" i="1"/>
  <c r="AJ1685" i="1" s="1"/>
  <c r="J1686" i="1"/>
  <c r="J1687" i="1"/>
  <c r="J1688" i="1"/>
  <c r="J1689" i="1"/>
  <c r="AJ1689" i="1" s="1"/>
  <c r="J1690" i="1"/>
  <c r="AJ1690" i="1" s="1"/>
  <c r="J1691" i="1"/>
  <c r="AK1691" i="1" s="1"/>
  <c r="J1692" i="1"/>
  <c r="J1693" i="1"/>
  <c r="AJ1693" i="1" s="1"/>
  <c r="J1694" i="1"/>
  <c r="AK1694" i="1" s="1"/>
  <c r="J1695" i="1"/>
  <c r="J1696" i="1"/>
  <c r="J1697" i="1"/>
  <c r="J1698" i="1"/>
  <c r="J1699" i="1"/>
  <c r="J1700" i="1"/>
  <c r="J1701" i="1"/>
  <c r="AJ1701" i="1" s="1"/>
  <c r="J1702" i="1"/>
  <c r="J1703" i="1"/>
  <c r="J1704" i="1"/>
  <c r="J1705" i="1"/>
  <c r="J1706" i="1"/>
  <c r="AK1706" i="1" s="1"/>
  <c r="J1707" i="1"/>
  <c r="AJ1707" i="1" s="1"/>
  <c r="J1708" i="1"/>
  <c r="J1709" i="1"/>
  <c r="J1710" i="1"/>
  <c r="J1711" i="1"/>
  <c r="J1712" i="1"/>
  <c r="J1713" i="1"/>
  <c r="J1714" i="1"/>
  <c r="J1715" i="1"/>
  <c r="AK1715" i="1" s="1"/>
  <c r="J1716" i="1"/>
  <c r="J1717" i="1"/>
  <c r="J1718" i="1"/>
  <c r="J1719" i="1"/>
  <c r="J1720" i="1"/>
  <c r="J1721" i="1"/>
  <c r="J1722" i="1"/>
  <c r="J1723" i="1"/>
  <c r="J1724" i="1"/>
  <c r="J1725" i="1"/>
  <c r="J1726" i="1"/>
  <c r="AJ1726" i="1" s="1"/>
  <c r="AL1726" i="1" s="1"/>
  <c r="AP1726" i="1" s="1"/>
  <c r="J1727" i="1"/>
  <c r="J1728" i="1"/>
  <c r="AJ1728" i="1" s="1"/>
  <c r="J1729" i="1"/>
  <c r="AJ1729" i="1" s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AK1758" i="1" s="1"/>
  <c r="J1759" i="1"/>
  <c r="J1760" i="1"/>
  <c r="J1761" i="1"/>
  <c r="J1762" i="1"/>
  <c r="J1763" i="1"/>
  <c r="AJ1763" i="1" s="1"/>
  <c r="J1764" i="1"/>
  <c r="AJ1764" i="1" s="1"/>
  <c r="J1765" i="1"/>
  <c r="AJ1765" i="1" s="1"/>
  <c r="J1766" i="1"/>
  <c r="AK1766" i="1" s="1"/>
  <c r="J1767" i="1"/>
  <c r="J1768" i="1"/>
  <c r="J1769" i="1"/>
  <c r="J1770" i="1"/>
  <c r="J1771" i="1"/>
  <c r="AJ1771" i="1" s="1"/>
  <c r="J1772" i="1"/>
  <c r="AJ1772" i="1" s="1"/>
  <c r="J1773" i="1"/>
  <c r="J1774" i="1"/>
  <c r="J1775" i="1"/>
  <c r="J1776" i="1"/>
  <c r="J1777" i="1"/>
  <c r="J1778" i="1"/>
  <c r="J1779" i="1"/>
  <c r="J1780" i="1"/>
  <c r="AJ1780" i="1" s="1"/>
  <c r="J1781" i="1"/>
  <c r="AJ1781" i="1" s="1"/>
  <c r="J1782" i="1"/>
  <c r="J1783" i="1"/>
  <c r="J1784" i="1"/>
  <c r="J1785" i="1"/>
  <c r="J1786" i="1"/>
  <c r="AK1786" i="1" s="1"/>
  <c r="J1787" i="1"/>
  <c r="J1788" i="1"/>
  <c r="AJ1788" i="1" s="1"/>
  <c r="J1789" i="1"/>
  <c r="AK1789" i="1" s="1"/>
  <c r="J1790" i="1"/>
  <c r="J1791" i="1"/>
  <c r="J1792" i="1"/>
  <c r="J1793" i="1"/>
  <c r="J1794" i="1"/>
  <c r="J1795" i="1"/>
  <c r="J1796" i="1"/>
  <c r="J1797" i="1"/>
  <c r="J1798" i="1"/>
  <c r="J1799" i="1"/>
  <c r="J1800" i="1"/>
  <c r="AK1800" i="1" s="1"/>
  <c r="J1801" i="1"/>
  <c r="AJ1801" i="1" s="1"/>
  <c r="J1802" i="1"/>
  <c r="J1803" i="1"/>
  <c r="AK1803" i="1" s="1"/>
  <c r="J1804" i="1"/>
  <c r="J1805" i="1"/>
  <c r="J1806" i="1"/>
  <c r="J1807" i="1"/>
  <c r="J1808" i="1"/>
  <c r="J1809" i="1"/>
  <c r="J1810" i="1"/>
  <c r="J1811" i="1"/>
  <c r="J1812" i="1"/>
  <c r="AJ1812" i="1" s="1"/>
  <c r="J1813" i="1"/>
  <c r="J1814" i="1"/>
  <c r="J1815" i="1"/>
  <c r="J1816" i="1"/>
  <c r="J1817" i="1"/>
  <c r="J1818" i="1"/>
  <c r="AK1818" i="1" s="1"/>
  <c r="J1819" i="1"/>
  <c r="AJ1819" i="1" s="1"/>
  <c r="J1820" i="1"/>
  <c r="J1821" i="1"/>
  <c r="J1822" i="1"/>
  <c r="J1823" i="1"/>
  <c r="J1824" i="1"/>
  <c r="AJ1824" i="1" s="1"/>
  <c r="J1825" i="1"/>
  <c r="J1826" i="1"/>
  <c r="J1827" i="1"/>
  <c r="J1828" i="1"/>
  <c r="J1829" i="1"/>
  <c r="AK1829" i="1" s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AJ1847" i="1" s="1"/>
  <c r="J1848" i="1"/>
  <c r="AK1848" i="1" s="1"/>
  <c r="J1849" i="1"/>
  <c r="AK1849" i="1" s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AJ1862" i="1" s="1"/>
  <c r="J1863" i="1"/>
  <c r="J1864" i="1"/>
  <c r="AK1864" i="1" s="1"/>
  <c r="J1865" i="1"/>
  <c r="J1866" i="1"/>
  <c r="J1867" i="1"/>
  <c r="J1868" i="1"/>
  <c r="J1869" i="1"/>
  <c r="J1870" i="1"/>
  <c r="J1871" i="1"/>
  <c r="J1872" i="1"/>
  <c r="J1873" i="1"/>
  <c r="J1874" i="1"/>
  <c r="J1875" i="1"/>
  <c r="AJ1875" i="1" s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AK1897" i="1" s="1"/>
  <c r="J1898" i="1"/>
  <c r="J1899" i="1"/>
  <c r="J1900" i="1"/>
  <c r="J1901" i="1"/>
  <c r="AJ1901" i="1" s="1"/>
  <c r="J1902" i="1"/>
  <c r="AK1902" i="1" s="1"/>
  <c r="J1903" i="1"/>
  <c r="AK1903" i="1" s="1"/>
  <c r="J1904" i="1"/>
  <c r="J1905" i="1"/>
  <c r="J1906" i="1"/>
  <c r="J1907" i="1"/>
  <c r="AK1907" i="1" s="1"/>
  <c r="J1908" i="1"/>
  <c r="AK1908" i="1" s="1"/>
  <c r="J1909" i="1"/>
  <c r="J1910" i="1"/>
  <c r="AJ1910" i="1" s="1"/>
  <c r="J1911" i="1"/>
  <c r="AK1911" i="1" s="1"/>
  <c r="J1912" i="1"/>
  <c r="J1913" i="1"/>
  <c r="J1914" i="1"/>
  <c r="J1915" i="1"/>
  <c r="J1916" i="1"/>
  <c r="J1917" i="1"/>
  <c r="J1918" i="1"/>
  <c r="J1919" i="1"/>
  <c r="AK1919" i="1" s="1"/>
  <c r="J1920" i="1"/>
  <c r="J1921" i="1"/>
  <c r="J1922" i="1"/>
  <c r="AK1922" i="1" s="1"/>
  <c r="J1923" i="1"/>
  <c r="AK1923" i="1" s="1"/>
  <c r="J1924" i="1"/>
  <c r="J1925" i="1"/>
  <c r="J1926" i="1"/>
  <c r="J1927" i="1"/>
  <c r="J1928" i="1"/>
  <c r="J1929" i="1"/>
  <c r="J1930" i="1"/>
  <c r="J1931" i="1"/>
  <c r="J1932" i="1"/>
  <c r="J1933" i="1"/>
  <c r="J1934" i="1"/>
  <c r="AJ1934" i="1" s="1"/>
  <c r="J1935" i="1"/>
  <c r="J1936" i="1"/>
  <c r="J1937" i="1"/>
  <c r="J1938" i="1"/>
  <c r="J1939" i="1"/>
  <c r="J1940" i="1"/>
  <c r="J1941" i="1"/>
  <c r="AJ1941" i="1" s="1"/>
  <c r="J1942" i="1"/>
  <c r="J1943" i="1"/>
  <c r="J1944" i="1"/>
  <c r="J1945" i="1"/>
  <c r="J1946" i="1"/>
  <c r="J1947" i="1"/>
  <c r="AJ1947" i="1" s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AJ1964" i="1" s="1"/>
  <c r="J1965" i="1"/>
  <c r="AK1965" i="1" s="1"/>
  <c r="J1966" i="1"/>
  <c r="J1967" i="1"/>
  <c r="J1968" i="1"/>
  <c r="J1969" i="1"/>
  <c r="J1970" i="1"/>
  <c r="J1971" i="1"/>
  <c r="J1972" i="1"/>
  <c r="AJ1972" i="1" s="1"/>
  <c r="J1973" i="1"/>
  <c r="AK1973" i="1" s="1"/>
  <c r="J1974" i="1"/>
  <c r="J1975" i="1"/>
  <c r="J1976" i="1"/>
  <c r="J1977" i="1"/>
  <c r="J1978" i="1"/>
  <c r="J1979" i="1"/>
  <c r="AK1979" i="1" s="1"/>
  <c r="J1980" i="1"/>
  <c r="J1981" i="1"/>
  <c r="J1982" i="1"/>
  <c r="J1983" i="1"/>
  <c r="J1984" i="1"/>
  <c r="J1985" i="1"/>
  <c r="J1986" i="1"/>
  <c r="J1987" i="1"/>
  <c r="AK1987" i="1" s="1"/>
  <c r="J1988" i="1"/>
  <c r="J1989" i="1"/>
  <c r="AJ1989" i="1" s="1"/>
  <c r="J1990" i="1"/>
  <c r="AJ1990" i="1" s="1"/>
  <c r="J1991" i="1"/>
  <c r="J1992" i="1"/>
  <c r="J1993" i="1"/>
  <c r="J1994" i="1"/>
  <c r="J1995" i="1"/>
  <c r="AJ1995" i="1" s="1"/>
  <c r="J1996" i="1"/>
  <c r="AJ1996" i="1" s="1"/>
  <c r="J1997" i="1"/>
  <c r="J1998" i="1"/>
  <c r="J1999" i="1"/>
  <c r="J2000" i="1"/>
  <c r="J2001" i="1"/>
  <c r="J2002" i="1"/>
  <c r="J2003" i="1"/>
  <c r="AJ2003" i="1" s="1"/>
  <c r="J2004" i="1"/>
  <c r="J2005" i="1"/>
  <c r="J2006" i="1"/>
  <c r="J2007" i="1"/>
  <c r="J2008" i="1"/>
  <c r="AJ2008" i="1" s="1"/>
  <c r="J2009" i="1"/>
  <c r="J2010" i="1"/>
  <c r="AK2010" i="1" s="1"/>
  <c r="J2011" i="1"/>
  <c r="J2012" i="1"/>
  <c r="J2013" i="1"/>
  <c r="J2014" i="1"/>
  <c r="J2015" i="1"/>
  <c r="J2016" i="1"/>
  <c r="J2017" i="1"/>
  <c r="J2018" i="1"/>
  <c r="J2019" i="1"/>
  <c r="AJ2019" i="1" s="1"/>
  <c r="J2020" i="1"/>
  <c r="J2021" i="1"/>
  <c r="AK2021" i="1" s="1"/>
  <c r="J2022" i="1"/>
  <c r="AJ2022" i="1" s="1"/>
  <c r="J2023" i="1"/>
  <c r="J2024" i="1"/>
  <c r="AK2024" i="1" s="1"/>
  <c r="J2025" i="1"/>
  <c r="J2026" i="1"/>
  <c r="AJ2026" i="1" s="1"/>
  <c r="J2027" i="1"/>
  <c r="AJ2027" i="1" s="1"/>
  <c r="J2028" i="1"/>
  <c r="AJ2028" i="1" s="1"/>
  <c r="J2029" i="1"/>
  <c r="AK2029" i="1" s="1"/>
  <c r="J2030" i="1"/>
  <c r="J2031" i="1"/>
  <c r="J2032" i="1"/>
  <c r="J2033" i="1"/>
  <c r="J2034" i="1"/>
  <c r="J2035" i="1"/>
  <c r="J2036" i="1"/>
  <c r="J2037" i="1"/>
  <c r="AJ2037" i="1" s="1"/>
  <c r="J2038" i="1"/>
  <c r="J2039" i="1"/>
  <c r="J2040" i="1"/>
  <c r="J2041" i="1"/>
  <c r="J2042" i="1"/>
  <c r="J2043" i="1"/>
  <c r="AK2043" i="1" s="1"/>
  <c r="J2044" i="1"/>
  <c r="J2045" i="1"/>
  <c r="AK2045" i="1" s="1"/>
  <c r="J2046" i="1"/>
  <c r="J2047" i="1"/>
  <c r="J2048" i="1"/>
  <c r="J2049" i="1"/>
  <c r="J2050" i="1"/>
  <c r="J2051" i="1"/>
  <c r="J2052" i="1"/>
  <c r="J2053" i="1"/>
  <c r="J2054" i="1"/>
  <c r="AK2054" i="1" s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AJ2068" i="1" s="1"/>
  <c r="J2069" i="1"/>
  <c r="J2070" i="1"/>
  <c r="AJ2070" i="1" s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AJ2082" i="1" s="1"/>
  <c r="J2083" i="1"/>
  <c r="AJ2083" i="1" s="1"/>
  <c r="J2084" i="1"/>
  <c r="AK2084" i="1" s="1"/>
  <c r="J2085" i="1"/>
  <c r="AK2085" i="1" s="1"/>
  <c r="J2086" i="1"/>
  <c r="J2087" i="1"/>
  <c r="J2088" i="1"/>
  <c r="J2089" i="1"/>
  <c r="J2090" i="1"/>
  <c r="J2091" i="1"/>
  <c r="AJ2091" i="1" s="1"/>
  <c r="J2092" i="1"/>
  <c r="J2093" i="1"/>
  <c r="AK2093" i="1" s="1"/>
  <c r="J2094" i="1"/>
  <c r="J2095" i="1"/>
  <c r="AJ2095" i="1" s="1"/>
  <c r="J2096" i="1"/>
  <c r="J2097" i="1"/>
  <c r="J2098" i="1"/>
  <c r="J2099" i="1"/>
  <c r="AK2099" i="1" s="1"/>
  <c r="J2100" i="1"/>
  <c r="AJ2100" i="1" s="1"/>
  <c r="J2101" i="1"/>
  <c r="AJ2101" i="1" s="1"/>
  <c r="J2102" i="1"/>
  <c r="J2103" i="1"/>
  <c r="J2104" i="1"/>
  <c r="J2105" i="1"/>
  <c r="J2106" i="1"/>
  <c r="AJ2106" i="1" s="1"/>
  <c r="J2107" i="1"/>
  <c r="AJ2107" i="1" s="1"/>
  <c r="J2108" i="1"/>
  <c r="AJ2108" i="1" s="1"/>
  <c r="J2109" i="1"/>
  <c r="AJ2109" i="1" s="1"/>
  <c r="J2110" i="1"/>
  <c r="J2111" i="1"/>
  <c r="J2112" i="1"/>
  <c r="J2113" i="1"/>
  <c r="J2114" i="1"/>
  <c r="AK2114" i="1" s="1"/>
  <c r="J2115" i="1"/>
  <c r="AK2115" i="1" s="1"/>
  <c r="J2116" i="1"/>
  <c r="AK2116" i="1" s="1"/>
  <c r="J2117" i="1"/>
  <c r="J2118" i="1"/>
  <c r="AJ2118" i="1" s="1"/>
  <c r="J2119" i="1"/>
  <c r="AK2119" i="1" s="1"/>
  <c r="J2120" i="1"/>
  <c r="J2121" i="1"/>
  <c r="J2122" i="1"/>
  <c r="J2123" i="1"/>
  <c r="J2124" i="1"/>
  <c r="J2125" i="1"/>
  <c r="J2126" i="1"/>
  <c r="J2127" i="1"/>
  <c r="J2128" i="1"/>
  <c r="J2129" i="1"/>
  <c r="AK2129" i="1" s="1"/>
  <c r="J2130" i="1"/>
  <c r="J2131" i="1"/>
  <c r="J2132" i="1"/>
  <c r="AJ2132" i="1" s="1"/>
  <c r="J2133" i="1"/>
  <c r="J2134" i="1"/>
  <c r="J2135" i="1"/>
  <c r="J2136" i="1"/>
  <c r="J2137" i="1"/>
  <c r="J2138" i="1"/>
  <c r="J2139" i="1"/>
  <c r="J2140" i="1"/>
  <c r="J2141" i="1"/>
  <c r="J2142" i="1"/>
  <c r="AK2142" i="1" s="1"/>
  <c r="J2143" i="1"/>
  <c r="J2144" i="1"/>
  <c r="J2145" i="1"/>
  <c r="AJ2145" i="1" s="1"/>
  <c r="J2146" i="1"/>
  <c r="AJ2146" i="1" s="1"/>
  <c r="J2147" i="1"/>
  <c r="J2148" i="1"/>
  <c r="AK2148" i="1" s="1"/>
  <c r="J2149" i="1"/>
  <c r="AJ2149" i="1" s="1"/>
  <c r="J2150" i="1"/>
  <c r="J2151" i="1"/>
  <c r="J2152" i="1"/>
  <c r="J2153" i="1"/>
  <c r="J2154" i="1"/>
  <c r="J2155" i="1"/>
  <c r="J2156" i="1"/>
  <c r="J2157" i="1"/>
  <c r="AJ2157" i="1" s="1"/>
  <c r="J2158" i="1"/>
  <c r="AJ2158" i="1" s="1"/>
  <c r="AL2158" i="1" s="1"/>
  <c r="J2159" i="1"/>
  <c r="AJ2159" i="1" s="1"/>
  <c r="J2160" i="1"/>
  <c r="J2161" i="1"/>
  <c r="J2162" i="1"/>
  <c r="J2163" i="1"/>
  <c r="J2164" i="1"/>
  <c r="J2165" i="1"/>
  <c r="J2166" i="1"/>
  <c r="J2167" i="1"/>
  <c r="J2168" i="1"/>
  <c r="AK2168" i="1" s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AJ2182" i="1" s="1"/>
  <c r="J2183" i="1"/>
  <c r="J2184" i="1"/>
  <c r="AK2184" i="1" s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AK2197" i="1" s="1"/>
  <c r="J2198" i="1"/>
  <c r="AK2198" i="1" s="1"/>
  <c r="J2199" i="1"/>
  <c r="J2200" i="1"/>
  <c r="J2201" i="1"/>
  <c r="AK2201" i="1" s="1"/>
  <c r="J2202" i="1"/>
  <c r="AJ2202" i="1" s="1"/>
  <c r="J2203" i="1"/>
  <c r="J2204" i="1"/>
  <c r="J2205" i="1"/>
  <c r="AK2205" i="1" s="1"/>
  <c r="J2206" i="1"/>
  <c r="AJ2206" i="1" s="1"/>
  <c r="AL2206" i="1" s="1"/>
  <c r="J2207" i="1"/>
  <c r="J2208" i="1"/>
  <c r="AK2208" i="1" s="1"/>
  <c r="J2209" i="1"/>
  <c r="J2210" i="1"/>
  <c r="J2211" i="1"/>
  <c r="J2212" i="1"/>
  <c r="J2213" i="1"/>
  <c r="J2214" i="1"/>
  <c r="J2215" i="1"/>
  <c r="J2216" i="1"/>
  <c r="J2217" i="1"/>
  <c r="J2218" i="1"/>
  <c r="J2219" i="1"/>
  <c r="AK2219" i="1" s="1"/>
  <c r="J2220" i="1"/>
  <c r="J2221" i="1"/>
  <c r="J2222" i="1"/>
  <c r="J2223" i="1"/>
  <c r="J2224" i="1"/>
  <c r="J2225" i="1"/>
  <c r="J2226" i="1"/>
  <c r="J2227" i="1"/>
  <c r="AK2227" i="1" s="1"/>
  <c r="J2228" i="1"/>
  <c r="AK2228" i="1" s="1"/>
  <c r="J2229" i="1"/>
  <c r="AJ2229" i="1" s="1"/>
  <c r="J2230" i="1"/>
  <c r="J2231" i="1"/>
  <c r="J2232" i="1"/>
  <c r="J2233" i="1"/>
  <c r="J2234" i="1"/>
  <c r="J2235" i="1"/>
  <c r="J2236" i="1"/>
  <c r="J2237" i="1"/>
  <c r="J2238" i="1"/>
  <c r="AJ2238" i="1" s="1"/>
  <c r="J2239" i="1"/>
  <c r="J2240" i="1"/>
  <c r="J2241" i="1"/>
  <c r="AJ2241" i="1" s="1"/>
  <c r="J2242" i="1"/>
  <c r="AK2242" i="1" s="1"/>
  <c r="J2243" i="1"/>
  <c r="AJ2243" i="1" s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AK2255" i="1" s="1"/>
  <c r="J2256" i="1"/>
  <c r="J2257" i="1"/>
  <c r="J2258" i="1"/>
  <c r="AJ2258" i="1" s="1"/>
  <c r="J2259" i="1"/>
  <c r="J2260" i="1"/>
  <c r="AJ2260" i="1" s="1"/>
  <c r="J2261" i="1"/>
  <c r="AJ2261" i="1" s="1"/>
  <c r="J2262" i="1"/>
  <c r="J2263" i="1"/>
  <c r="J2264" i="1"/>
  <c r="J2265" i="1"/>
  <c r="J2266" i="1"/>
  <c r="J2267" i="1"/>
  <c r="J2268" i="1"/>
  <c r="J2269" i="1"/>
  <c r="AK2269" i="1" s="1"/>
  <c r="J2270" i="1"/>
  <c r="AJ2270" i="1" s="1"/>
  <c r="AL2270" i="1" s="1"/>
  <c r="J2271" i="1"/>
  <c r="J2272" i="1"/>
  <c r="J2273" i="1"/>
  <c r="J2274" i="1"/>
  <c r="J2275" i="1"/>
  <c r="AJ2275" i="1" s="1"/>
  <c r="J2276" i="1"/>
  <c r="J2277" i="1"/>
  <c r="J2278" i="1"/>
  <c r="J2279" i="1"/>
  <c r="J2280" i="1"/>
  <c r="J2281" i="1"/>
  <c r="AK2281" i="1" s="1"/>
  <c r="J2282" i="1"/>
  <c r="J2283" i="1"/>
  <c r="J2284" i="1"/>
  <c r="J2285" i="1"/>
  <c r="J2286" i="1"/>
  <c r="AJ2286" i="1" s="1"/>
  <c r="AL2286" i="1" s="1"/>
  <c r="AP2286" i="1" s="1"/>
  <c r="J2287" i="1"/>
  <c r="J2288" i="1"/>
  <c r="J2289" i="1"/>
  <c r="J2290" i="1"/>
  <c r="J2291" i="1"/>
  <c r="J2292" i="1"/>
  <c r="J2293" i="1"/>
  <c r="J2294" i="1"/>
  <c r="J2295" i="1"/>
  <c r="AK2295" i="1" s="1"/>
  <c r="J2296" i="1"/>
  <c r="J2297" i="1"/>
  <c r="J2298" i="1"/>
  <c r="J2299" i="1"/>
  <c r="J2300" i="1"/>
  <c r="J2301" i="1"/>
  <c r="J2302" i="1"/>
  <c r="J2303" i="1"/>
  <c r="J2304" i="1"/>
  <c r="J2305" i="1"/>
  <c r="J2306" i="1"/>
  <c r="AJ2306" i="1" s="1"/>
  <c r="J2307" i="1"/>
  <c r="J2308" i="1"/>
  <c r="J2309" i="1"/>
  <c r="J2310" i="1"/>
  <c r="AJ2310" i="1" s="1"/>
  <c r="J2311" i="1"/>
  <c r="J2312" i="1"/>
  <c r="J2313" i="1"/>
  <c r="J2314" i="1"/>
  <c r="J2315" i="1"/>
  <c r="J2316" i="1"/>
  <c r="AJ2316" i="1" s="1"/>
  <c r="J2317" i="1"/>
  <c r="J2318" i="1"/>
  <c r="J2319" i="1"/>
  <c r="J2320" i="1"/>
  <c r="J2321" i="1"/>
  <c r="J2322" i="1"/>
  <c r="J2323" i="1"/>
  <c r="AK2323" i="1" s="1"/>
  <c r="J2324" i="1"/>
  <c r="AK2324" i="1" s="1"/>
  <c r="J2325" i="1"/>
  <c r="J2326" i="1"/>
  <c r="J2327" i="1"/>
  <c r="J2328" i="1"/>
  <c r="AK2328" i="1" s="1"/>
  <c r="J2329" i="1"/>
  <c r="J2330" i="1"/>
  <c r="J2331" i="1"/>
  <c r="J2332" i="1"/>
  <c r="J2333" i="1"/>
  <c r="AK2333" i="1" s="1"/>
  <c r="J2334" i="1"/>
  <c r="J2335" i="1"/>
  <c r="J2336" i="1"/>
  <c r="J2337" i="1"/>
  <c r="J2338" i="1"/>
  <c r="AK2338" i="1" s="1"/>
  <c r="J2339" i="1"/>
  <c r="J2340" i="1"/>
  <c r="J2341" i="1"/>
  <c r="J2342" i="1"/>
  <c r="J2343" i="1"/>
  <c r="J2344" i="1"/>
  <c r="J2345" i="1"/>
  <c r="J2346" i="1"/>
  <c r="J2347" i="1"/>
  <c r="AJ2347" i="1" s="1"/>
  <c r="J2348" i="1"/>
  <c r="AJ2348" i="1" s="1"/>
  <c r="J2349" i="1"/>
  <c r="J2350" i="1"/>
  <c r="J2351" i="1"/>
  <c r="J2352" i="1"/>
  <c r="J2353" i="1"/>
  <c r="J2354" i="1"/>
  <c r="J2355" i="1"/>
  <c r="J2356" i="1"/>
  <c r="AJ2356" i="1" s="1"/>
  <c r="J2357" i="1"/>
  <c r="AJ2357" i="1" s="1"/>
  <c r="J2358" i="1"/>
  <c r="AK2358" i="1" s="1"/>
  <c r="AK2359" i="1" s="1"/>
  <c r="J2359" i="1"/>
  <c r="AJ2359" i="1" s="1"/>
  <c r="J2360" i="1"/>
  <c r="AK2360" i="1" s="1"/>
  <c r="J2361" i="1"/>
  <c r="J2362" i="1"/>
  <c r="AJ2362" i="1" s="1"/>
  <c r="J2363" i="1"/>
  <c r="AJ2363" i="1" s="1"/>
  <c r="J2364" i="1"/>
  <c r="AK2364" i="1" s="1"/>
  <c r="J2365" i="1"/>
  <c r="J2366" i="1"/>
  <c r="J2367" i="1"/>
  <c r="J2368" i="1"/>
  <c r="J2369" i="1"/>
  <c r="J2370" i="1"/>
  <c r="J2371" i="1"/>
  <c r="J2372" i="1"/>
  <c r="J2373" i="1"/>
  <c r="J2374" i="1"/>
  <c r="J2375" i="1"/>
  <c r="AK2375" i="1" s="1"/>
  <c r="J2376" i="1"/>
  <c r="AK2376" i="1" s="1"/>
  <c r="J2377" i="1"/>
  <c r="J2378" i="1"/>
  <c r="J2379" i="1"/>
  <c r="J2380" i="1"/>
  <c r="AK2380" i="1" s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AJ2398" i="1" s="1"/>
  <c r="AL2398" i="1" s="1"/>
  <c r="AP2398" i="1" s="1"/>
  <c r="J2399" i="1"/>
  <c r="J2400" i="1"/>
  <c r="J2401" i="1"/>
  <c r="J2402" i="1"/>
  <c r="AJ2402" i="1" s="1"/>
  <c r="J2403" i="1"/>
  <c r="J2404" i="1"/>
  <c r="J2405" i="1"/>
  <c r="AJ2405" i="1" s="1"/>
  <c r="J2406" i="1"/>
  <c r="AJ2406" i="1" s="1"/>
  <c r="J2407" i="1"/>
  <c r="J2408" i="1"/>
  <c r="J2409" i="1"/>
  <c r="J2410" i="1"/>
  <c r="J2411" i="1"/>
  <c r="AJ2411" i="1" s="1"/>
  <c r="J2412" i="1"/>
  <c r="AK2412" i="1" s="1"/>
  <c r="J2413" i="1"/>
  <c r="AK2413" i="1" s="1"/>
  <c r="J2414" i="1"/>
  <c r="J2415" i="1"/>
  <c r="J2416" i="1"/>
  <c r="J2417" i="1"/>
  <c r="J2418" i="1"/>
  <c r="J2419" i="1"/>
  <c r="J2420" i="1"/>
  <c r="J2421" i="1"/>
  <c r="AJ2421" i="1" s="1"/>
  <c r="J2422" i="1"/>
  <c r="J2423" i="1"/>
  <c r="J2424" i="1"/>
  <c r="AJ2424" i="1" s="1"/>
  <c r="J2425" i="1"/>
  <c r="J2426" i="1"/>
  <c r="J2427" i="1"/>
  <c r="AK2427" i="1" s="1"/>
  <c r="J2428" i="1"/>
  <c r="J2429" i="1"/>
  <c r="AK862" i="1"/>
  <c r="AJ863" i="1"/>
  <c r="AJ899" i="1"/>
  <c r="AK899" i="1"/>
  <c r="AJ917" i="1"/>
  <c r="AK935" i="1"/>
  <c r="AJ947" i="1"/>
  <c r="AJ973" i="1"/>
  <c r="AK995" i="1"/>
  <c r="AJ999" i="1"/>
  <c r="AK999" i="1"/>
  <c r="AJ1010" i="1"/>
  <c r="AK1086" i="1"/>
  <c r="AJ1117" i="1"/>
  <c r="AL1117" i="1" s="1"/>
  <c r="AP1117" i="1" s="1"/>
  <c r="AJ1171" i="1"/>
  <c r="AK1187" i="1"/>
  <c r="AK1189" i="1"/>
  <c r="AJ1197" i="1"/>
  <c r="AJ1203" i="1"/>
  <c r="AJ1206" i="1"/>
  <c r="AJ1283" i="1"/>
  <c r="AK1287" i="1"/>
  <c r="AJ1347" i="1"/>
  <c r="AK1347" i="1"/>
  <c r="AJ1349" i="1"/>
  <c r="AJ1523" i="1"/>
  <c r="AJ1534" i="1"/>
  <c r="AL1534" i="1" s="1"/>
  <c r="AP1534" i="1" s="1"/>
  <c r="AJ1539" i="1"/>
  <c r="AJ1582" i="1"/>
  <c r="AL1582" i="1" s="1"/>
  <c r="AP1582" i="1" s="1"/>
  <c r="AK1591" i="1"/>
  <c r="AK1619" i="1"/>
  <c r="AJ1623" i="1"/>
  <c r="AK1693" i="1"/>
  <c r="AJ1830" i="1"/>
  <c r="AK1847" i="1"/>
  <c r="AJ1911" i="1"/>
  <c r="AJ1922" i="1"/>
  <c r="AJ1979" i="1"/>
  <c r="AJ2067" i="1"/>
  <c r="AK2067" i="1"/>
  <c r="AK2083" i="1"/>
  <c r="AJ2086" i="1"/>
  <c r="AJ2087" i="1" s="1"/>
  <c r="AK2086" i="1"/>
  <c r="AK2087" i="1" s="1"/>
  <c r="AJ2099" i="1"/>
  <c r="AJ2114" i="1"/>
  <c r="AJ2119" i="1"/>
  <c r="AK2157" i="1"/>
  <c r="AK2182" i="1"/>
  <c r="AK2183" i="1" s="1"/>
  <c r="AJ2227" i="1"/>
  <c r="AK2243" i="1"/>
  <c r="AJ2269" i="1"/>
  <c r="AJ2295" i="1"/>
  <c r="AL2295" i="1" s="1"/>
  <c r="AP2295" i="1" s="1"/>
  <c r="AK2421" i="1"/>
  <c r="BK5" i="1"/>
  <c r="BL5" i="1" s="1"/>
  <c r="BM5" i="1"/>
  <c r="BN5" i="1"/>
  <c r="BO5" i="1" s="1"/>
  <c r="BP5" i="1" s="1"/>
  <c r="BS5" i="1"/>
  <c r="BR5" i="1" s="1"/>
  <c r="BK6" i="1"/>
  <c r="BL6" i="1"/>
  <c r="BM6" i="1"/>
  <c r="BN6" i="1"/>
  <c r="BO6" i="1" s="1"/>
  <c r="BP6" i="1" s="1"/>
  <c r="BS6" i="1"/>
  <c r="BR6" i="1" s="1"/>
  <c r="BK7" i="1"/>
  <c r="BL7" i="1"/>
  <c r="BM7" i="1"/>
  <c r="BN7" i="1"/>
  <c r="BO7" i="1" s="1"/>
  <c r="BP7" i="1" s="1"/>
  <c r="BS7" i="1"/>
  <c r="BR7" i="1" s="1"/>
  <c r="BK8" i="1"/>
  <c r="BL8" i="1"/>
  <c r="BM8" i="1"/>
  <c r="BN8" i="1"/>
  <c r="BO8" i="1" s="1"/>
  <c r="BP8" i="1" s="1"/>
  <c r="BS8" i="1"/>
  <c r="BR8" i="1" s="1"/>
  <c r="BK9" i="1"/>
  <c r="BL9" i="1"/>
  <c r="BM9" i="1"/>
  <c r="BN9" i="1"/>
  <c r="BO9" i="1" s="1"/>
  <c r="BP9" i="1" s="1"/>
  <c r="BS9" i="1"/>
  <c r="BR9" i="1" s="1"/>
  <c r="BK10" i="1"/>
  <c r="BL10" i="1"/>
  <c r="BM10" i="1"/>
  <c r="BN10" i="1"/>
  <c r="BO10" i="1" s="1"/>
  <c r="BP10" i="1" s="1"/>
  <c r="BS10" i="1"/>
  <c r="BR10" i="1" s="1"/>
  <c r="BK11" i="1"/>
  <c r="BL11" i="1"/>
  <c r="BM11" i="1"/>
  <c r="BN11" i="1"/>
  <c r="BO11" i="1" s="1"/>
  <c r="BP11" i="1" s="1"/>
  <c r="BS11" i="1"/>
  <c r="BR11" i="1" s="1"/>
  <c r="BK12" i="1"/>
  <c r="BL12" i="1" s="1"/>
  <c r="BM12" i="1"/>
  <c r="BN12" i="1"/>
  <c r="BO12" i="1" s="1"/>
  <c r="BP12" i="1" s="1"/>
  <c r="BS12" i="1"/>
  <c r="BR12" i="1" s="1"/>
  <c r="BK13" i="1"/>
  <c r="BL13" i="1" s="1"/>
  <c r="BM13" i="1"/>
  <c r="BN13" i="1"/>
  <c r="BO13" i="1" s="1"/>
  <c r="BP13" i="1" s="1"/>
  <c r="BS13" i="1"/>
  <c r="BR13" i="1" s="1"/>
  <c r="BK14" i="1"/>
  <c r="BL14" i="1" s="1"/>
  <c r="BM14" i="1"/>
  <c r="BN14" i="1"/>
  <c r="BO14" i="1" s="1"/>
  <c r="BP14" i="1" s="1"/>
  <c r="BS14" i="1"/>
  <c r="BR14" i="1" s="1"/>
  <c r="BK15" i="1"/>
  <c r="BL15" i="1" s="1"/>
  <c r="BM15" i="1"/>
  <c r="BN15" i="1"/>
  <c r="BO15" i="1" s="1"/>
  <c r="BP15" i="1" s="1"/>
  <c r="BS15" i="1"/>
  <c r="BR15" i="1" s="1"/>
  <c r="BK16" i="1"/>
  <c r="BL16" i="1" s="1"/>
  <c r="BM16" i="1"/>
  <c r="BN16" i="1"/>
  <c r="BO16" i="1" s="1"/>
  <c r="BP16" i="1" s="1"/>
  <c r="BS16" i="1"/>
  <c r="BR16" i="1" s="1"/>
  <c r="BK17" i="1"/>
  <c r="BL17" i="1"/>
  <c r="BM17" i="1"/>
  <c r="BN17" i="1"/>
  <c r="BO17" i="1" s="1"/>
  <c r="BP17" i="1" s="1"/>
  <c r="BS17" i="1"/>
  <c r="BR17" i="1" s="1"/>
  <c r="BK18" i="1"/>
  <c r="BL18" i="1"/>
  <c r="BM18" i="1"/>
  <c r="BN18" i="1"/>
  <c r="BO18" i="1" s="1"/>
  <c r="BP18" i="1" s="1"/>
  <c r="BS18" i="1"/>
  <c r="BR18" i="1" s="1"/>
  <c r="BK19" i="1"/>
  <c r="BL19" i="1" s="1"/>
  <c r="BM19" i="1"/>
  <c r="BN19" i="1"/>
  <c r="BO19" i="1" s="1"/>
  <c r="BP19" i="1" s="1"/>
  <c r="BS19" i="1"/>
  <c r="BR19" i="1" s="1"/>
  <c r="BK20" i="1"/>
  <c r="BL20" i="1" s="1"/>
  <c r="BM20" i="1"/>
  <c r="BN20" i="1"/>
  <c r="BO20" i="1" s="1"/>
  <c r="BP20" i="1" s="1"/>
  <c r="BS20" i="1"/>
  <c r="BR20" i="1" s="1"/>
  <c r="BK21" i="1"/>
  <c r="BL21" i="1" s="1"/>
  <c r="BM21" i="1"/>
  <c r="BN21" i="1"/>
  <c r="BO21" i="1" s="1"/>
  <c r="BP21" i="1" s="1"/>
  <c r="BS21" i="1"/>
  <c r="BR21" i="1" s="1"/>
  <c r="BK22" i="1"/>
  <c r="BL22" i="1" s="1"/>
  <c r="BM22" i="1"/>
  <c r="BN22" i="1"/>
  <c r="BO22" i="1" s="1"/>
  <c r="BP22" i="1" s="1"/>
  <c r="BS22" i="1"/>
  <c r="BR22" i="1" s="1"/>
  <c r="BK23" i="1"/>
  <c r="BL23" i="1" s="1"/>
  <c r="BM23" i="1"/>
  <c r="BN23" i="1"/>
  <c r="BO23" i="1" s="1"/>
  <c r="BP23" i="1" s="1"/>
  <c r="BS23" i="1"/>
  <c r="BR23" i="1" s="1"/>
  <c r="BK24" i="1"/>
  <c r="BL24" i="1"/>
  <c r="BM24" i="1"/>
  <c r="BN24" i="1"/>
  <c r="BO24" i="1" s="1"/>
  <c r="BP24" i="1" s="1"/>
  <c r="BS24" i="1"/>
  <c r="BR24" i="1" s="1"/>
  <c r="BK25" i="1"/>
  <c r="BL25" i="1"/>
  <c r="BM25" i="1"/>
  <c r="BN25" i="1"/>
  <c r="BO25" i="1" s="1"/>
  <c r="BP25" i="1" s="1"/>
  <c r="BS25" i="1"/>
  <c r="BR25" i="1" s="1"/>
  <c r="BK26" i="1"/>
  <c r="BL26" i="1"/>
  <c r="BM26" i="1"/>
  <c r="BN26" i="1"/>
  <c r="BO26" i="1" s="1"/>
  <c r="BP26" i="1" s="1"/>
  <c r="BS26" i="1"/>
  <c r="BR26" i="1" s="1"/>
  <c r="BK27" i="1"/>
  <c r="BL27" i="1"/>
  <c r="BM27" i="1"/>
  <c r="BN27" i="1"/>
  <c r="BO27" i="1" s="1"/>
  <c r="BP27" i="1" s="1"/>
  <c r="BS27" i="1"/>
  <c r="BR27" i="1" s="1"/>
  <c r="BK28" i="1"/>
  <c r="BL28" i="1"/>
  <c r="BM28" i="1"/>
  <c r="BN28" i="1"/>
  <c r="BO28" i="1" s="1"/>
  <c r="BP28" i="1" s="1"/>
  <c r="BS28" i="1"/>
  <c r="BR28" i="1" s="1"/>
  <c r="BK29" i="1"/>
  <c r="BL29" i="1"/>
  <c r="BM29" i="1"/>
  <c r="BN29" i="1"/>
  <c r="BO29" i="1" s="1"/>
  <c r="BP29" i="1" s="1"/>
  <c r="BS29" i="1"/>
  <c r="BR29" i="1" s="1"/>
  <c r="BK30" i="1"/>
  <c r="BL30" i="1"/>
  <c r="BM30" i="1"/>
  <c r="BN30" i="1"/>
  <c r="BO30" i="1" s="1"/>
  <c r="BP30" i="1" s="1"/>
  <c r="BS30" i="1"/>
  <c r="BR30" i="1" s="1"/>
  <c r="BK31" i="1"/>
  <c r="BL31" i="1" s="1"/>
  <c r="BM31" i="1"/>
  <c r="BN31" i="1"/>
  <c r="BO31" i="1" s="1"/>
  <c r="BP31" i="1" s="1"/>
  <c r="BS31" i="1"/>
  <c r="BR31" i="1" s="1"/>
  <c r="BK32" i="1"/>
  <c r="BL32" i="1" s="1"/>
  <c r="BM32" i="1"/>
  <c r="BN32" i="1"/>
  <c r="BO32" i="1" s="1"/>
  <c r="BP32" i="1" s="1"/>
  <c r="BS32" i="1"/>
  <c r="BR32" i="1" s="1"/>
  <c r="BK33" i="1"/>
  <c r="BL33" i="1" s="1"/>
  <c r="BM33" i="1"/>
  <c r="BN33" i="1"/>
  <c r="BO33" i="1" s="1"/>
  <c r="BP33" i="1" s="1"/>
  <c r="BS33" i="1"/>
  <c r="BR33" i="1" s="1"/>
  <c r="BK34" i="1"/>
  <c r="BL34" i="1" s="1"/>
  <c r="BM34" i="1"/>
  <c r="BN34" i="1"/>
  <c r="BO34" i="1" s="1"/>
  <c r="BP34" i="1" s="1"/>
  <c r="BS34" i="1"/>
  <c r="BR34" i="1" s="1"/>
  <c r="BK35" i="1"/>
  <c r="BL35" i="1" s="1"/>
  <c r="BM35" i="1"/>
  <c r="BN35" i="1"/>
  <c r="BO35" i="1" s="1"/>
  <c r="BP35" i="1" s="1"/>
  <c r="BS35" i="1"/>
  <c r="BR35" i="1" s="1"/>
  <c r="BK36" i="1"/>
  <c r="BL36" i="1" s="1"/>
  <c r="BM36" i="1"/>
  <c r="BN36" i="1"/>
  <c r="BO36" i="1" s="1"/>
  <c r="BP36" i="1" s="1"/>
  <c r="BS36" i="1"/>
  <c r="BR36" i="1" s="1"/>
  <c r="BK37" i="1"/>
  <c r="BL37" i="1" s="1"/>
  <c r="BM37" i="1"/>
  <c r="BN37" i="1"/>
  <c r="BO37" i="1" s="1"/>
  <c r="BP37" i="1" s="1"/>
  <c r="BS37" i="1"/>
  <c r="BR37" i="1" s="1"/>
  <c r="BK38" i="1"/>
  <c r="BL38" i="1"/>
  <c r="BM38" i="1"/>
  <c r="BN38" i="1"/>
  <c r="BO38" i="1" s="1"/>
  <c r="BP38" i="1" s="1"/>
  <c r="BS38" i="1"/>
  <c r="BR38" i="1" s="1"/>
  <c r="BK39" i="1"/>
  <c r="BL39" i="1"/>
  <c r="BM39" i="1"/>
  <c r="BN39" i="1"/>
  <c r="BO39" i="1" s="1"/>
  <c r="BP39" i="1" s="1"/>
  <c r="BS39" i="1"/>
  <c r="BR39" i="1" s="1"/>
  <c r="BK40" i="1"/>
  <c r="BL40" i="1" s="1"/>
  <c r="BM40" i="1"/>
  <c r="BN40" i="1"/>
  <c r="BO40" i="1" s="1"/>
  <c r="BP40" i="1" s="1"/>
  <c r="BS40" i="1"/>
  <c r="BR40" i="1" s="1"/>
  <c r="BK41" i="1"/>
  <c r="BL41" i="1" s="1"/>
  <c r="BM41" i="1"/>
  <c r="BN41" i="1"/>
  <c r="BO41" i="1" s="1"/>
  <c r="BP41" i="1" s="1"/>
  <c r="BS41" i="1"/>
  <c r="BR41" i="1" s="1"/>
  <c r="BK42" i="1"/>
  <c r="BL42" i="1" s="1"/>
  <c r="BM42" i="1"/>
  <c r="BN42" i="1"/>
  <c r="BO42" i="1" s="1"/>
  <c r="BP42" i="1" s="1"/>
  <c r="BS42" i="1"/>
  <c r="BR42" i="1" s="1"/>
  <c r="BK43" i="1"/>
  <c r="BL43" i="1" s="1"/>
  <c r="BM43" i="1"/>
  <c r="BN43" i="1"/>
  <c r="BO43" i="1" s="1"/>
  <c r="BP43" i="1" s="1"/>
  <c r="BS43" i="1"/>
  <c r="BR43" i="1" s="1"/>
  <c r="BK44" i="1"/>
  <c r="BL44" i="1" s="1"/>
  <c r="BM44" i="1"/>
  <c r="BN44" i="1"/>
  <c r="BO44" i="1" s="1"/>
  <c r="BP44" i="1" s="1"/>
  <c r="BS44" i="1"/>
  <c r="BR44" i="1" s="1"/>
  <c r="BK45" i="1"/>
  <c r="BL45" i="1" s="1"/>
  <c r="BM45" i="1"/>
  <c r="BN45" i="1"/>
  <c r="BO45" i="1" s="1"/>
  <c r="BP45" i="1" s="1"/>
  <c r="BS45" i="1"/>
  <c r="BR45" i="1" s="1"/>
  <c r="BK46" i="1"/>
  <c r="BL46" i="1" s="1"/>
  <c r="BM46" i="1"/>
  <c r="BN46" i="1"/>
  <c r="BO46" i="1" s="1"/>
  <c r="BP46" i="1" s="1"/>
  <c r="BS46" i="1"/>
  <c r="BR46" i="1" s="1"/>
  <c r="BK47" i="1"/>
  <c r="BL47" i="1" s="1"/>
  <c r="BM47" i="1"/>
  <c r="BN47" i="1"/>
  <c r="BO47" i="1" s="1"/>
  <c r="BP47" i="1" s="1"/>
  <c r="BS47" i="1"/>
  <c r="BR47" i="1" s="1"/>
  <c r="BK48" i="1"/>
  <c r="BL48" i="1"/>
  <c r="BM48" i="1"/>
  <c r="BN48" i="1"/>
  <c r="BO48" i="1" s="1"/>
  <c r="BP48" i="1" s="1"/>
  <c r="BS48" i="1"/>
  <c r="BR48" i="1" s="1"/>
  <c r="BK49" i="1"/>
  <c r="BL49" i="1"/>
  <c r="BM49" i="1"/>
  <c r="BN49" i="1"/>
  <c r="BO49" i="1" s="1"/>
  <c r="BP49" i="1" s="1"/>
  <c r="BS49" i="1"/>
  <c r="BR49" i="1" s="1"/>
  <c r="BK50" i="1"/>
  <c r="BL50" i="1"/>
  <c r="BM50" i="1"/>
  <c r="BN50" i="1"/>
  <c r="BO50" i="1" s="1"/>
  <c r="BP50" i="1" s="1"/>
  <c r="BS50" i="1"/>
  <c r="BR50" i="1" s="1"/>
  <c r="BK51" i="1"/>
  <c r="BL51" i="1"/>
  <c r="BM51" i="1"/>
  <c r="BN51" i="1"/>
  <c r="BO51" i="1" s="1"/>
  <c r="BP51" i="1" s="1"/>
  <c r="BS51" i="1"/>
  <c r="BR51" i="1" s="1"/>
  <c r="BK52" i="1"/>
  <c r="BL52" i="1"/>
  <c r="BM52" i="1"/>
  <c r="BN52" i="1"/>
  <c r="BO52" i="1" s="1"/>
  <c r="BP52" i="1" s="1"/>
  <c r="BS52" i="1"/>
  <c r="BR52" i="1" s="1"/>
  <c r="BK53" i="1"/>
  <c r="BL53" i="1" s="1"/>
  <c r="BM53" i="1"/>
  <c r="BN53" i="1"/>
  <c r="BO53" i="1" s="1"/>
  <c r="BP53" i="1" s="1"/>
  <c r="BS53" i="1"/>
  <c r="BR53" i="1" s="1"/>
  <c r="BK54" i="1"/>
  <c r="BL54" i="1" s="1"/>
  <c r="BM54" i="1"/>
  <c r="BN54" i="1"/>
  <c r="BO54" i="1" s="1"/>
  <c r="BP54" i="1" s="1"/>
  <c r="BS54" i="1"/>
  <c r="BR54" i="1" s="1"/>
  <c r="BK55" i="1"/>
  <c r="BL55" i="1" s="1"/>
  <c r="BM55" i="1"/>
  <c r="BN55" i="1"/>
  <c r="BO55" i="1" s="1"/>
  <c r="BP55" i="1" s="1"/>
  <c r="BS55" i="1"/>
  <c r="BR55" i="1" s="1"/>
  <c r="BK56" i="1"/>
  <c r="BL56" i="1" s="1"/>
  <c r="BM56" i="1"/>
  <c r="BN56" i="1"/>
  <c r="BO56" i="1" s="1"/>
  <c r="BP56" i="1" s="1"/>
  <c r="BS56" i="1"/>
  <c r="BR56" i="1" s="1"/>
  <c r="BK57" i="1"/>
  <c r="BL57" i="1" s="1"/>
  <c r="BM57" i="1"/>
  <c r="BN57" i="1"/>
  <c r="BO57" i="1" s="1"/>
  <c r="BP57" i="1" s="1"/>
  <c r="BS57" i="1"/>
  <c r="BR57" i="1" s="1"/>
  <c r="BK58" i="1"/>
  <c r="BL58" i="1" s="1"/>
  <c r="BM58" i="1"/>
  <c r="BN58" i="1"/>
  <c r="BO58" i="1" s="1"/>
  <c r="BP58" i="1" s="1"/>
  <c r="BS58" i="1"/>
  <c r="BR58" i="1" s="1"/>
  <c r="BK59" i="1"/>
  <c r="BL59" i="1" s="1"/>
  <c r="BM59" i="1"/>
  <c r="BN59" i="1"/>
  <c r="BO59" i="1" s="1"/>
  <c r="BP59" i="1" s="1"/>
  <c r="BS59" i="1"/>
  <c r="BR59" i="1" s="1"/>
  <c r="BK60" i="1"/>
  <c r="BL60" i="1"/>
  <c r="BM60" i="1"/>
  <c r="BN60" i="1"/>
  <c r="BO60" i="1" s="1"/>
  <c r="BP60" i="1" s="1"/>
  <c r="BS60" i="1"/>
  <c r="BR60" i="1" s="1"/>
  <c r="BK61" i="1"/>
  <c r="BL61" i="1"/>
  <c r="BM61" i="1"/>
  <c r="BN61" i="1"/>
  <c r="BO61" i="1" s="1"/>
  <c r="BP61" i="1" s="1"/>
  <c r="BS61" i="1"/>
  <c r="BR61" i="1" s="1"/>
  <c r="BK62" i="1"/>
  <c r="BL62" i="1" s="1"/>
  <c r="BM62" i="1"/>
  <c r="BN62" i="1"/>
  <c r="BO62" i="1" s="1"/>
  <c r="BP62" i="1" s="1"/>
  <c r="BS62" i="1"/>
  <c r="BR62" i="1" s="1"/>
  <c r="BK63" i="1"/>
  <c r="BL63" i="1" s="1"/>
  <c r="BM63" i="1"/>
  <c r="BN63" i="1"/>
  <c r="BO63" i="1" s="1"/>
  <c r="BP63" i="1" s="1"/>
  <c r="BS63" i="1"/>
  <c r="BR63" i="1" s="1"/>
  <c r="BK64" i="1"/>
  <c r="BL64" i="1" s="1"/>
  <c r="BM64" i="1"/>
  <c r="BN64" i="1"/>
  <c r="BO64" i="1" s="1"/>
  <c r="BP64" i="1" s="1"/>
  <c r="BS64" i="1"/>
  <c r="BR64" i="1" s="1"/>
  <c r="BK65" i="1"/>
  <c r="BL65" i="1" s="1"/>
  <c r="BM65" i="1"/>
  <c r="BN65" i="1"/>
  <c r="BO65" i="1" s="1"/>
  <c r="BP65" i="1" s="1"/>
  <c r="BS65" i="1"/>
  <c r="BR65" i="1" s="1"/>
  <c r="BK66" i="1"/>
  <c r="BL66" i="1" s="1"/>
  <c r="BM66" i="1"/>
  <c r="BN66" i="1"/>
  <c r="BO66" i="1" s="1"/>
  <c r="BP66" i="1" s="1"/>
  <c r="BS66" i="1"/>
  <c r="BR66" i="1" s="1"/>
  <c r="BK67" i="1"/>
  <c r="BL67" i="1" s="1"/>
  <c r="BM67" i="1"/>
  <c r="BN67" i="1"/>
  <c r="BO67" i="1" s="1"/>
  <c r="BP67" i="1" s="1"/>
  <c r="BS67" i="1"/>
  <c r="BR67" i="1" s="1"/>
  <c r="BK68" i="1"/>
  <c r="BL68" i="1"/>
  <c r="BM68" i="1"/>
  <c r="BN68" i="1"/>
  <c r="BO68" i="1" s="1"/>
  <c r="BP68" i="1" s="1"/>
  <c r="BS68" i="1"/>
  <c r="BR68" i="1" s="1"/>
  <c r="BK69" i="1"/>
  <c r="BL69" i="1"/>
  <c r="BM69" i="1"/>
  <c r="BN69" i="1"/>
  <c r="BO69" i="1" s="1"/>
  <c r="BP69" i="1" s="1"/>
  <c r="BS69" i="1"/>
  <c r="BR69" i="1" s="1"/>
  <c r="BK70" i="1"/>
  <c r="BL70" i="1" s="1"/>
  <c r="BM70" i="1"/>
  <c r="BN70" i="1"/>
  <c r="BO70" i="1" s="1"/>
  <c r="BP70" i="1" s="1"/>
  <c r="BR70" i="1"/>
  <c r="BS70" i="1"/>
  <c r="BK71" i="1"/>
  <c r="BL71" i="1" s="1"/>
  <c r="BM71" i="1"/>
  <c r="BN71" i="1"/>
  <c r="BO71" i="1" s="1"/>
  <c r="BP71" i="1" s="1"/>
  <c r="BS71" i="1"/>
  <c r="BR71" i="1" s="1"/>
  <c r="BK72" i="1"/>
  <c r="BL72" i="1" s="1"/>
  <c r="BM72" i="1"/>
  <c r="BN72" i="1"/>
  <c r="BO72" i="1" s="1"/>
  <c r="BP72" i="1" s="1"/>
  <c r="BS72" i="1"/>
  <c r="BR72" i="1" s="1"/>
  <c r="BK73" i="1"/>
  <c r="BL73" i="1" s="1"/>
  <c r="BM73" i="1"/>
  <c r="BN73" i="1"/>
  <c r="BO73" i="1" s="1"/>
  <c r="BP73" i="1" s="1"/>
  <c r="BS73" i="1"/>
  <c r="BR73" i="1" s="1"/>
  <c r="BK74" i="1"/>
  <c r="BL74" i="1" s="1"/>
  <c r="BM74" i="1"/>
  <c r="BN74" i="1"/>
  <c r="BO74" i="1" s="1"/>
  <c r="BP74" i="1" s="1"/>
  <c r="BS74" i="1"/>
  <c r="BR74" i="1" s="1"/>
  <c r="BK75" i="1"/>
  <c r="BL75" i="1" s="1"/>
  <c r="BM75" i="1"/>
  <c r="BN75" i="1"/>
  <c r="BO75" i="1" s="1"/>
  <c r="BP75" i="1" s="1"/>
  <c r="BS75" i="1"/>
  <c r="BR75" i="1" s="1"/>
  <c r="BK76" i="1"/>
  <c r="BL76" i="1" s="1"/>
  <c r="BM76" i="1"/>
  <c r="BN76" i="1"/>
  <c r="BO76" i="1" s="1"/>
  <c r="BP76" i="1" s="1"/>
  <c r="BS76" i="1"/>
  <c r="BR76" i="1" s="1"/>
  <c r="BK77" i="1"/>
  <c r="BL77" i="1" s="1"/>
  <c r="BM77" i="1"/>
  <c r="BN77" i="1"/>
  <c r="BO77" i="1" s="1"/>
  <c r="BP77" i="1" s="1"/>
  <c r="BS77" i="1"/>
  <c r="BR77" i="1" s="1"/>
  <c r="BK78" i="1"/>
  <c r="BL78" i="1"/>
  <c r="BM78" i="1"/>
  <c r="BN78" i="1"/>
  <c r="BO78" i="1" s="1"/>
  <c r="BP78" i="1" s="1"/>
  <c r="BS78" i="1"/>
  <c r="BR78" i="1" s="1"/>
  <c r="BK79" i="1"/>
  <c r="BL79" i="1" s="1"/>
  <c r="BM79" i="1"/>
  <c r="BN79" i="1"/>
  <c r="BO79" i="1"/>
  <c r="BP79" i="1" s="1"/>
  <c r="BS79" i="1"/>
  <c r="BR79" i="1" s="1"/>
  <c r="BK80" i="1"/>
  <c r="BL80" i="1" s="1"/>
  <c r="BM80" i="1"/>
  <c r="BN80" i="1"/>
  <c r="BO80" i="1" s="1"/>
  <c r="BP80" i="1" s="1"/>
  <c r="BS80" i="1"/>
  <c r="BR80" i="1" s="1"/>
  <c r="BK81" i="1"/>
  <c r="BL81" i="1" s="1"/>
  <c r="BM81" i="1"/>
  <c r="BN81" i="1"/>
  <c r="BO81" i="1" s="1"/>
  <c r="BP81" i="1" s="1"/>
  <c r="BS81" i="1"/>
  <c r="BR81" i="1" s="1"/>
  <c r="BK82" i="1"/>
  <c r="BL82" i="1"/>
  <c r="BM82" i="1"/>
  <c r="BN82" i="1"/>
  <c r="BO82" i="1" s="1"/>
  <c r="BP82" i="1" s="1"/>
  <c r="BS82" i="1"/>
  <c r="BR82" i="1" s="1"/>
  <c r="BK83" i="1"/>
  <c r="BL83" i="1" s="1"/>
  <c r="BM83" i="1"/>
  <c r="BN83" i="1"/>
  <c r="BO83" i="1" s="1"/>
  <c r="BP83" i="1" s="1"/>
  <c r="BS83" i="1"/>
  <c r="BR83" i="1" s="1"/>
  <c r="BK84" i="1"/>
  <c r="BL84" i="1" s="1"/>
  <c r="BM84" i="1"/>
  <c r="BN84" i="1"/>
  <c r="BO84" i="1" s="1"/>
  <c r="BP84" i="1" s="1"/>
  <c r="BS84" i="1"/>
  <c r="BR84" i="1" s="1"/>
  <c r="BK85" i="1"/>
  <c r="BL85" i="1"/>
  <c r="BM85" i="1"/>
  <c r="BN85" i="1"/>
  <c r="BO85" i="1" s="1"/>
  <c r="BP85" i="1" s="1"/>
  <c r="BS85" i="1"/>
  <c r="BR85" i="1" s="1"/>
  <c r="BK86" i="1"/>
  <c r="BL86" i="1"/>
  <c r="BM86" i="1"/>
  <c r="BN86" i="1"/>
  <c r="BO86" i="1" s="1"/>
  <c r="BP86" i="1" s="1"/>
  <c r="BS86" i="1"/>
  <c r="BR86" i="1" s="1"/>
  <c r="BK87" i="1"/>
  <c r="BL87" i="1" s="1"/>
  <c r="BM87" i="1"/>
  <c r="BN87" i="1"/>
  <c r="BO87" i="1" s="1"/>
  <c r="BP87" i="1" s="1"/>
  <c r="BS87" i="1"/>
  <c r="BR87" i="1" s="1"/>
  <c r="BK88" i="1"/>
  <c r="BL88" i="1" s="1"/>
  <c r="BM88" i="1"/>
  <c r="BN88" i="1"/>
  <c r="BO88" i="1" s="1"/>
  <c r="BP88" i="1" s="1"/>
  <c r="BS88" i="1"/>
  <c r="BR88" i="1" s="1"/>
  <c r="BK89" i="1"/>
  <c r="BL89" i="1"/>
  <c r="BM89" i="1"/>
  <c r="BN89" i="1"/>
  <c r="BO89" i="1" s="1"/>
  <c r="BP89" i="1" s="1"/>
  <c r="BS89" i="1"/>
  <c r="BR89" i="1" s="1"/>
  <c r="BK90" i="1"/>
  <c r="BL90" i="1"/>
  <c r="BM90" i="1"/>
  <c r="BN90" i="1"/>
  <c r="BO90" i="1" s="1"/>
  <c r="BP90" i="1" s="1"/>
  <c r="BS90" i="1"/>
  <c r="BR90" i="1" s="1"/>
  <c r="BK91" i="1"/>
  <c r="BL91" i="1" s="1"/>
  <c r="BM91" i="1"/>
  <c r="BN91" i="1"/>
  <c r="BO91" i="1" s="1"/>
  <c r="BP91" i="1" s="1"/>
  <c r="BS91" i="1"/>
  <c r="BR91" i="1" s="1"/>
  <c r="BK92" i="1"/>
  <c r="BL92" i="1" s="1"/>
  <c r="BM92" i="1"/>
  <c r="BN92" i="1"/>
  <c r="BO92" i="1" s="1"/>
  <c r="BP92" i="1" s="1"/>
  <c r="BS92" i="1"/>
  <c r="BR92" i="1" s="1"/>
  <c r="BK93" i="1"/>
  <c r="BL93" i="1"/>
  <c r="BM93" i="1"/>
  <c r="BN93" i="1"/>
  <c r="BO93" i="1" s="1"/>
  <c r="BP93" i="1" s="1"/>
  <c r="BS93" i="1"/>
  <c r="BR93" i="1" s="1"/>
  <c r="BK94" i="1"/>
  <c r="BL94" i="1" s="1"/>
  <c r="BM94" i="1"/>
  <c r="BN94" i="1"/>
  <c r="BO94" i="1" s="1"/>
  <c r="BP94" i="1" s="1"/>
  <c r="BS94" i="1"/>
  <c r="BR94" i="1" s="1"/>
  <c r="BK95" i="1"/>
  <c r="BL95" i="1" s="1"/>
  <c r="BM95" i="1"/>
  <c r="BN95" i="1"/>
  <c r="BO95" i="1" s="1"/>
  <c r="BP95" i="1" s="1"/>
  <c r="BS95" i="1"/>
  <c r="BR95" i="1" s="1"/>
  <c r="BK96" i="1"/>
  <c r="BL96" i="1" s="1"/>
  <c r="BM96" i="1"/>
  <c r="BN96" i="1"/>
  <c r="BO96" i="1" s="1"/>
  <c r="BP96" i="1" s="1"/>
  <c r="BS96" i="1"/>
  <c r="BR96" i="1" s="1"/>
  <c r="BK97" i="1"/>
  <c r="BL97" i="1" s="1"/>
  <c r="BM97" i="1"/>
  <c r="BN97" i="1"/>
  <c r="BO97" i="1" s="1"/>
  <c r="BP97" i="1" s="1"/>
  <c r="BS97" i="1"/>
  <c r="BR97" i="1" s="1"/>
  <c r="BK98" i="1"/>
  <c r="BL98" i="1"/>
  <c r="BM98" i="1"/>
  <c r="BN98" i="1"/>
  <c r="BO98" i="1" s="1"/>
  <c r="BP98" i="1" s="1"/>
  <c r="BS98" i="1"/>
  <c r="BR98" i="1" s="1"/>
  <c r="BK99" i="1"/>
  <c r="BL99" i="1"/>
  <c r="BM99" i="1"/>
  <c r="BN99" i="1"/>
  <c r="BO99" i="1" s="1"/>
  <c r="BP99" i="1" s="1"/>
  <c r="BS99" i="1"/>
  <c r="BR99" i="1" s="1"/>
  <c r="BK100" i="1"/>
  <c r="BL100" i="1"/>
  <c r="BM100" i="1"/>
  <c r="BN100" i="1"/>
  <c r="BO100" i="1" s="1"/>
  <c r="BP100" i="1" s="1"/>
  <c r="BS100" i="1"/>
  <c r="BR100" i="1" s="1"/>
  <c r="BK101" i="1"/>
  <c r="BL101" i="1"/>
  <c r="BM101" i="1"/>
  <c r="BN101" i="1"/>
  <c r="BO101" i="1" s="1"/>
  <c r="BP101" i="1" s="1"/>
  <c r="BS101" i="1"/>
  <c r="BR101" i="1" s="1"/>
  <c r="BK102" i="1"/>
  <c r="BL102" i="1"/>
  <c r="BM102" i="1"/>
  <c r="BN102" i="1"/>
  <c r="BO102" i="1" s="1"/>
  <c r="BP102" i="1" s="1"/>
  <c r="BS102" i="1"/>
  <c r="BR102" i="1" s="1"/>
  <c r="BK103" i="1"/>
  <c r="BL103" i="1" s="1"/>
  <c r="BM103" i="1"/>
  <c r="BN103" i="1"/>
  <c r="BO103" i="1" s="1"/>
  <c r="BP103" i="1" s="1"/>
  <c r="BS103" i="1"/>
  <c r="BR103" i="1" s="1"/>
  <c r="BK104" i="1"/>
  <c r="BL104" i="1" s="1"/>
  <c r="BM104" i="1"/>
  <c r="BN104" i="1"/>
  <c r="BO104" i="1" s="1"/>
  <c r="BP104" i="1" s="1"/>
  <c r="BS104" i="1"/>
  <c r="BR104" i="1" s="1"/>
  <c r="BK105" i="1"/>
  <c r="BL105" i="1"/>
  <c r="BM105" i="1"/>
  <c r="BN105" i="1"/>
  <c r="BO105" i="1" s="1"/>
  <c r="BP105" i="1" s="1"/>
  <c r="BS105" i="1"/>
  <c r="BR105" i="1" s="1"/>
  <c r="BK106" i="1"/>
  <c r="BL106" i="1"/>
  <c r="BM106" i="1"/>
  <c r="BN106" i="1"/>
  <c r="BO106" i="1" s="1"/>
  <c r="BP106" i="1" s="1"/>
  <c r="BS106" i="1"/>
  <c r="BR106" i="1" s="1"/>
  <c r="BK107" i="1"/>
  <c r="BL107" i="1"/>
  <c r="BM107" i="1"/>
  <c r="BN107" i="1"/>
  <c r="BO107" i="1" s="1"/>
  <c r="BP107" i="1" s="1"/>
  <c r="BS107" i="1"/>
  <c r="BR107" i="1" s="1"/>
  <c r="BK108" i="1"/>
  <c r="BL108" i="1" s="1"/>
  <c r="BM108" i="1"/>
  <c r="BN108" i="1"/>
  <c r="BO108" i="1" s="1"/>
  <c r="BP108" i="1" s="1"/>
  <c r="BS108" i="1"/>
  <c r="BR108" i="1" s="1"/>
  <c r="BK109" i="1"/>
  <c r="BL109" i="1" s="1"/>
  <c r="BM109" i="1"/>
  <c r="BN109" i="1"/>
  <c r="BO109" i="1" s="1"/>
  <c r="BP109" i="1" s="1"/>
  <c r="BS109" i="1"/>
  <c r="BR109" i="1" s="1"/>
  <c r="BK110" i="1"/>
  <c r="BL110" i="1" s="1"/>
  <c r="BM110" i="1"/>
  <c r="BN110" i="1"/>
  <c r="BO110" i="1" s="1"/>
  <c r="BP110" i="1" s="1"/>
  <c r="BS110" i="1"/>
  <c r="BR110" i="1" s="1"/>
  <c r="BK111" i="1"/>
  <c r="BL111" i="1" s="1"/>
  <c r="BM111" i="1"/>
  <c r="BN111" i="1"/>
  <c r="BO111" i="1" s="1"/>
  <c r="BP111" i="1" s="1"/>
  <c r="BS111" i="1"/>
  <c r="BR111" i="1" s="1"/>
  <c r="BK112" i="1"/>
  <c r="BL112" i="1" s="1"/>
  <c r="BM112" i="1"/>
  <c r="BN112" i="1"/>
  <c r="BO112" i="1" s="1"/>
  <c r="BP112" i="1" s="1"/>
  <c r="BS112" i="1"/>
  <c r="BR112" i="1" s="1"/>
  <c r="BK113" i="1"/>
  <c r="BL113" i="1" s="1"/>
  <c r="BM113" i="1"/>
  <c r="BN113" i="1"/>
  <c r="BO113" i="1" s="1"/>
  <c r="BP113" i="1" s="1"/>
  <c r="BS113" i="1"/>
  <c r="BR113" i="1" s="1"/>
  <c r="BK114" i="1"/>
  <c r="BL114" i="1"/>
  <c r="BM114" i="1"/>
  <c r="BN114" i="1"/>
  <c r="BO114" i="1" s="1"/>
  <c r="BP114" i="1" s="1"/>
  <c r="BS114" i="1"/>
  <c r="BR114" i="1" s="1"/>
  <c r="BK115" i="1"/>
  <c r="BL115" i="1"/>
  <c r="BM115" i="1"/>
  <c r="BN115" i="1"/>
  <c r="BO115" i="1" s="1"/>
  <c r="BP115" i="1" s="1"/>
  <c r="BS115" i="1"/>
  <c r="BR115" i="1" s="1"/>
  <c r="BK116" i="1"/>
  <c r="BL116" i="1" s="1"/>
  <c r="BM116" i="1"/>
  <c r="BN116" i="1"/>
  <c r="BO116" i="1" s="1"/>
  <c r="BP116" i="1" s="1"/>
  <c r="BS116" i="1"/>
  <c r="BR116" i="1" s="1"/>
  <c r="BK117" i="1"/>
  <c r="BL117" i="1"/>
  <c r="BM117" i="1"/>
  <c r="BN117" i="1"/>
  <c r="BO117" i="1" s="1"/>
  <c r="BP117" i="1" s="1"/>
  <c r="BS117" i="1"/>
  <c r="BR117" i="1" s="1"/>
  <c r="BK118" i="1"/>
  <c r="BL118" i="1" s="1"/>
  <c r="BM118" i="1"/>
  <c r="BN118" i="1"/>
  <c r="BO118" i="1" s="1"/>
  <c r="BP118" i="1" s="1"/>
  <c r="BS118" i="1"/>
  <c r="BR118" i="1" s="1"/>
  <c r="BK119" i="1"/>
  <c r="BL119" i="1" s="1"/>
  <c r="BM119" i="1"/>
  <c r="BN119" i="1"/>
  <c r="BO119" i="1" s="1"/>
  <c r="BP119" i="1" s="1"/>
  <c r="BS119" i="1"/>
  <c r="BR119" i="1" s="1"/>
  <c r="BK120" i="1"/>
  <c r="BL120" i="1"/>
  <c r="BM120" i="1"/>
  <c r="BN120" i="1"/>
  <c r="BO120" i="1"/>
  <c r="BP120" i="1" s="1"/>
  <c r="BS120" i="1"/>
  <c r="BR120" i="1" s="1"/>
  <c r="BK121" i="1"/>
  <c r="BL121" i="1"/>
  <c r="BM121" i="1"/>
  <c r="BN121" i="1"/>
  <c r="BO121" i="1" s="1"/>
  <c r="BP121" i="1" s="1"/>
  <c r="BS121" i="1"/>
  <c r="BR121" i="1" s="1"/>
  <c r="BK122" i="1"/>
  <c r="BL122" i="1" s="1"/>
  <c r="BM122" i="1"/>
  <c r="BN122" i="1"/>
  <c r="BO122" i="1" s="1"/>
  <c r="BP122" i="1" s="1"/>
  <c r="BS122" i="1"/>
  <c r="BR122" i="1" s="1"/>
  <c r="BK123" i="1"/>
  <c r="BL123" i="1"/>
  <c r="BM123" i="1"/>
  <c r="BN123" i="1"/>
  <c r="BO123" i="1" s="1"/>
  <c r="BP123" i="1" s="1"/>
  <c r="BS123" i="1"/>
  <c r="BR123" i="1" s="1"/>
  <c r="BK124" i="1"/>
  <c r="BL124" i="1" s="1"/>
  <c r="BM124" i="1"/>
  <c r="BN124" i="1"/>
  <c r="BO124" i="1" s="1"/>
  <c r="BP124" i="1" s="1"/>
  <c r="BS124" i="1"/>
  <c r="BR124" i="1" s="1"/>
  <c r="BK125" i="1"/>
  <c r="BL125" i="1" s="1"/>
  <c r="BM125" i="1"/>
  <c r="BN125" i="1"/>
  <c r="BO125" i="1" s="1"/>
  <c r="BP125" i="1" s="1"/>
  <c r="BS125" i="1"/>
  <c r="BR125" i="1" s="1"/>
  <c r="BK126" i="1"/>
  <c r="BL126" i="1"/>
  <c r="BM126" i="1"/>
  <c r="BN126" i="1"/>
  <c r="BO126" i="1" s="1"/>
  <c r="BP126" i="1" s="1"/>
  <c r="BS126" i="1"/>
  <c r="BR126" i="1" s="1"/>
  <c r="BK127" i="1"/>
  <c r="BL127" i="1" s="1"/>
  <c r="BM127" i="1"/>
  <c r="BN127" i="1"/>
  <c r="BO127" i="1" s="1"/>
  <c r="BP127" i="1" s="1"/>
  <c r="BS127" i="1"/>
  <c r="BR127" i="1" s="1"/>
  <c r="BK128" i="1"/>
  <c r="BL128" i="1"/>
  <c r="BM128" i="1"/>
  <c r="BN128" i="1"/>
  <c r="BO128" i="1" s="1"/>
  <c r="BP128" i="1" s="1"/>
  <c r="BS128" i="1"/>
  <c r="BR128" i="1" s="1"/>
  <c r="BK129" i="1"/>
  <c r="BL129" i="1" s="1"/>
  <c r="BM129" i="1"/>
  <c r="BN129" i="1"/>
  <c r="BO129" i="1" s="1"/>
  <c r="BP129" i="1" s="1"/>
  <c r="BS129" i="1"/>
  <c r="BR129" i="1" s="1"/>
  <c r="BK130" i="1"/>
  <c r="BL130" i="1" s="1"/>
  <c r="BM130" i="1"/>
  <c r="BN130" i="1"/>
  <c r="BO130" i="1" s="1"/>
  <c r="BP130" i="1" s="1"/>
  <c r="BS130" i="1"/>
  <c r="BR130" i="1" s="1"/>
  <c r="BK131" i="1"/>
  <c r="BL131" i="1"/>
  <c r="BM131" i="1"/>
  <c r="BN131" i="1"/>
  <c r="BO131" i="1" s="1"/>
  <c r="BP131" i="1" s="1"/>
  <c r="BS131" i="1"/>
  <c r="BR131" i="1" s="1"/>
  <c r="BK132" i="1"/>
  <c r="BL132" i="1"/>
  <c r="BM132" i="1"/>
  <c r="BN132" i="1"/>
  <c r="BO132" i="1" s="1"/>
  <c r="BP132" i="1" s="1"/>
  <c r="BS132" i="1"/>
  <c r="BR132" i="1" s="1"/>
  <c r="BK133" i="1"/>
  <c r="BL133" i="1"/>
  <c r="BM133" i="1"/>
  <c r="BN133" i="1"/>
  <c r="BO133" i="1" s="1"/>
  <c r="BP133" i="1" s="1"/>
  <c r="BS133" i="1"/>
  <c r="BR133" i="1" s="1"/>
  <c r="BK134" i="1"/>
  <c r="BL134" i="1"/>
  <c r="BM134" i="1"/>
  <c r="BN134" i="1"/>
  <c r="BO134" i="1" s="1"/>
  <c r="BP134" i="1" s="1"/>
  <c r="BS134" i="1"/>
  <c r="BR134" i="1" s="1"/>
  <c r="BK135" i="1"/>
  <c r="BL135" i="1"/>
  <c r="BM135" i="1"/>
  <c r="BN135" i="1"/>
  <c r="BO135" i="1" s="1"/>
  <c r="BP135" i="1" s="1"/>
  <c r="BS135" i="1"/>
  <c r="BR135" i="1" s="1"/>
  <c r="BK136" i="1"/>
  <c r="BL136" i="1"/>
  <c r="BM136" i="1"/>
  <c r="BN136" i="1"/>
  <c r="BO136" i="1" s="1"/>
  <c r="BP136" i="1" s="1"/>
  <c r="BS136" i="1"/>
  <c r="BR136" i="1" s="1"/>
  <c r="BK137" i="1"/>
  <c r="BL137" i="1"/>
  <c r="BM137" i="1"/>
  <c r="BN137" i="1"/>
  <c r="BO137" i="1" s="1"/>
  <c r="BP137" i="1" s="1"/>
  <c r="BS137" i="1"/>
  <c r="BR137" i="1" s="1"/>
  <c r="BK138" i="1"/>
  <c r="BL138" i="1"/>
  <c r="BM138" i="1"/>
  <c r="BN138" i="1"/>
  <c r="BO138" i="1" s="1"/>
  <c r="BP138" i="1" s="1"/>
  <c r="BS138" i="1"/>
  <c r="BR138" i="1" s="1"/>
  <c r="BK139" i="1"/>
  <c r="BL139" i="1" s="1"/>
  <c r="BM139" i="1"/>
  <c r="BN139" i="1"/>
  <c r="BO139" i="1" s="1"/>
  <c r="BP139" i="1" s="1"/>
  <c r="BS139" i="1"/>
  <c r="BR139" i="1" s="1"/>
  <c r="BK140" i="1"/>
  <c r="BL140" i="1" s="1"/>
  <c r="BM140" i="1"/>
  <c r="BN140" i="1"/>
  <c r="BO140" i="1" s="1"/>
  <c r="BP140" i="1" s="1"/>
  <c r="BS140" i="1"/>
  <c r="BR140" i="1" s="1"/>
  <c r="BK141" i="1"/>
  <c r="BL141" i="1" s="1"/>
  <c r="BM141" i="1"/>
  <c r="BN141" i="1"/>
  <c r="BO141" i="1" s="1"/>
  <c r="BP141" i="1" s="1"/>
  <c r="BS141" i="1"/>
  <c r="BR141" i="1" s="1"/>
  <c r="BK142" i="1"/>
  <c r="BL142" i="1" s="1"/>
  <c r="BM142" i="1"/>
  <c r="BN142" i="1"/>
  <c r="BO142" i="1" s="1"/>
  <c r="BP142" i="1" s="1"/>
  <c r="BS142" i="1"/>
  <c r="BR142" i="1" s="1"/>
  <c r="BK143" i="1"/>
  <c r="BL143" i="1" s="1"/>
  <c r="BM143" i="1"/>
  <c r="BN143" i="1"/>
  <c r="BO143" i="1" s="1"/>
  <c r="BP143" i="1" s="1"/>
  <c r="BS143" i="1"/>
  <c r="BR143" i="1" s="1"/>
  <c r="BK144" i="1"/>
  <c r="BL144" i="1"/>
  <c r="BM144" i="1"/>
  <c r="BN144" i="1"/>
  <c r="BO144" i="1" s="1"/>
  <c r="BP144" i="1" s="1"/>
  <c r="BS144" i="1"/>
  <c r="BR144" i="1" s="1"/>
  <c r="BK145" i="1"/>
  <c r="BL145" i="1" s="1"/>
  <c r="BM145" i="1"/>
  <c r="BN145" i="1"/>
  <c r="BO145" i="1" s="1"/>
  <c r="BP145" i="1" s="1"/>
  <c r="BS145" i="1"/>
  <c r="BR145" i="1" s="1"/>
  <c r="BK146" i="1"/>
  <c r="BL146" i="1" s="1"/>
  <c r="BM146" i="1"/>
  <c r="BN146" i="1"/>
  <c r="BO146" i="1" s="1"/>
  <c r="BP146" i="1" s="1"/>
  <c r="BS146" i="1"/>
  <c r="BR146" i="1" s="1"/>
  <c r="BK147" i="1"/>
  <c r="BL147" i="1" s="1"/>
  <c r="BM147" i="1"/>
  <c r="BN147" i="1"/>
  <c r="BO147" i="1" s="1"/>
  <c r="BP147" i="1" s="1"/>
  <c r="BS147" i="1"/>
  <c r="BR147" i="1" s="1"/>
  <c r="BK148" i="1"/>
  <c r="BL148" i="1" s="1"/>
  <c r="BM148" i="1"/>
  <c r="BN148" i="1"/>
  <c r="BO148" i="1" s="1"/>
  <c r="BP148" i="1" s="1"/>
  <c r="BS148" i="1"/>
  <c r="BR148" i="1" s="1"/>
  <c r="BK149" i="1"/>
  <c r="BL149" i="1" s="1"/>
  <c r="BM149" i="1"/>
  <c r="BN149" i="1"/>
  <c r="BO149" i="1" s="1"/>
  <c r="BP149" i="1" s="1"/>
  <c r="BS149" i="1"/>
  <c r="BR149" i="1" s="1"/>
  <c r="BK150" i="1"/>
  <c r="BL150" i="1" s="1"/>
  <c r="BM150" i="1"/>
  <c r="BN150" i="1"/>
  <c r="BO150" i="1" s="1"/>
  <c r="BP150" i="1" s="1"/>
  <c r="BS150" i="1"/>
  <c r="BR150" i="1" s="1"/>
  <c r="BK151" i="1"/>
  <c r="BL151" i="1" s="1"/>
  <c r="BM151" i="1"/>
  <c r="BN151" i="1"/>
  <c r="BO151" i="1" s="1"/>
  <c r="BP151" i="1" s="1"/>
  <c r="BS151" i="1"/>
  <c r="BR151" i="1" s="1"/>
  <c r="BK152" i="1"/>
  <c r="BL152" i="1"/>
  <c r="BM152" i="1"/>
  <c r="BN152" i="1"/>
  <c r="BO152" i="1" s="1"/>
  <c r="BP152" i="1" s="1"/>
  <c r="BS152" i="1"/>
  <c r="BR152" i="1" s="1"/>
  <c r="BK153" i="1"/>
  <c r="BL153" i="1"/>
  <c r="BM153" i="1"/>
  <c r="BN153" i="1"/>
  <c r="BO153" i="1" s="1"/>
  <c r="BP153" i="1" s="1"/>
  <c r="BS153" i="1"/>
  <c r="BR153" i="1" s="1"/>
  <c r="BK154" i="1"/>
  <c r="BL154" i="1" s="1"/>
  <c r="BM154" i="1"/>
  <c r="BN154" i="1"/>
  <c r="BO154" i="1" s="1"/>
  <c r="BP154" i="1" s="1"/>
  <c r="BS154" i="1"/>
  <c r="BR154" i="1" s="1"/>
  <c r="BK155" i="1"/>
  <c r="BL155" i="1" s="1"/>
  <c r="BM155" i="1"/>
  <c r="BN155" i="1"/>
  <c r="BO155" i="1" s="1"/>
  <c r="BP155" i="1" s="1"/>
  <c r="BS155" i="1"/>
  <c r="BR155" i="1" s="1"/>
  <c r="BK156" i="1"/>
  <c r="BL156" i="1" s="1"/>
  <c r="BM156" i="1"/>
  <c r="BN156" i="1"/>
  <c r="BO156" i="1" s="1"/>
  <c r="BP156" i="1" s="1"/>
  <c r="BS156" i="1"/>
  <c r="BR156" i="1" s="1"/>
  <c r="BK157" i="1"/>
  <c r="BL157" i="1" s="1"/>
  <c r="BM157" i="1"/>
  <c r="BN157" i="1"/>
  <c r="BO157" i="1" s="1"/>
  <c r="BP157" i="1" s="1"/>
  <c r="BS157" i="1"/>
  <c r="BR157" i="1" s="1"/>
  <c r="BK158" i="1"/>
  <c r="BL158" i="1"/>
  <c r="BM158" i="1"/>
  <c r="BN158" i="1"/>
  <c r="BO158" i="1" s="1"/>
  <c r="BP158" i="1" s="1"/>
  <c r="BS158" i="1"/>
  <c r="BR158" i="1" s="1"/>
  <c r="BK159" i="1"/>
  <c r="BL159" i="1" s="1"/>
  <c r="BM159" i="1"/>
  <c r="BN159" i="1"/>
  <c r="BO159" i="1" s="1"/>
  <c r="BP159" i="1" s="1"/>
  <c r="BS159" i="1"/>
  <c r="BR159" i="1" s="1"/>
  <c r="BK160" i="1"/>
  <c r="BL160" i="1" s="1"/>
  <c r="BM160" i="1"/>
  <c r="BN160" i="1"/>
  <c r="BO160" i="1" s="1"/>
  <c r="BP160" i="1" s="1"/>
  <c r="BS160" i="1"/>
  <c r="BR160" i="1" s="1"/>
  <c r="BK161" i="1"/>
  <c r="BL161" i="1"/>
  <c r="BM161" i="1"/>
  <c r="BN161" i="1"/>
  <c r="BO161" i="1" s="1"/>
  <c r="BP161" i="1" s="1"/>
  <c r="BS161" i="1"/>
  <c r="BR161" i="1" s="1"/>
  <c r="BK162" i="1"/>
  <c r="BL162" i="1"/>
  <c r="BM162" i="1"/>
  <c r="BN162" i="1"/>
  <c r="BO162" i="1" s="1"/>
  <c r="BP162" i="1" s="1"/>
  <c r="BS162" i="1"/>
  <c r="BR162" i="1" s="1"/>
  <c r="BK163" i="1"/>
  <c r="BL163" i="1"/>
  <c r="BM163" i="1"/>
  <c r="BN163" i="1"/>
  <c r="BO163" i="1" s="1"/>
  <c r="BP163" i="1" s="1"/>
  <c r="BS163" i="1"/>
  <c r="BR163" i="1" s="1"/>
  <c r="BK164" i="1"/>
  <c r="BL164" i="1"/>
  <c r="BM164" i="1"/>
  <c r="BN164" i="1"/>
  <c r="BO164" i="1" s="1"/>
  <c r="BP164" i="1" s="1"/>
  <c r="BS164" i="1"/>
  <c r="BR164" i="1" s="1"/>
  <c r="BK165" i="1"/>
  <c r="BL165" i="1"/>
  <c r="BM165" i="1"/>
  <c r="BN165" i="1"/>
  <c r="BO165" i="1" s="1"/>
  <c r="BP165" i="1" s="1"/>
  <c r="BS165" i="1"/>
  <c r="BR165" i="1" s="1"/>
  <c r="BK166" i="1"/>
  <c r="BL166" i="1"/>
  <c r="BM166" i="1"/>
  <c r="BN166" i="1"/>
  <c r="BO166" i="1" s="1"/>
  <c r="BP166" i="1" s="1"/>
  <c r="BS166" i="1"/>
  <c r="BR166" i="1" s="1"/>
  <c r="BK167" i="1"/>
  <c r="BL167" i="1" s="1"/>
  <c r="BM167" i="1"/>
  <c r="BN167" i="1"/>
  <c r="BO167" i="1" s="1"/>
  <c r="BP167" i="1" s="1"/>
  <c r="BS167" i="1"/>
  <c r="BR167" i="1" s="1"/>
  <c r="BK168" i="1"/>
  <c r="BL168" i="1" s="1"/>
  <c r="BM168" i="1"/>
  <c r="BN168" i="1"/>
  <c r="BO168" i="1" s="1"/>
  <c r="BP168" i="1" s="1"/>
  <c r="BS168" i="1"/>
  <c r="BR168" i="1" s="1"/>
  <c r="BK169" i="1"/>
  <c r="BL169" i="1" s="1"/>
  <c r="BM169" i="1"/>
  <c r="BN169" i="1"/>
  <c r="BO169" i="1" s="1"/>
  <c r="BP169" i="1" s="1"/>
  <c r="BS169" i="1"/>
  <c r="BR169" i="1" s="1"/>
  <c r="BK170" i="1"/>
  <c r="BL170" i="1" s="1"/>
  <c r="BM170" i="1"/>
  <c r="BN170" i="1"/>
  <c r="BO170" i="1" s="1"/>
  <c r="BP170" i="1" s="1"/>
  <c r="BS170" i="1"/>
  <c r="BR170" i="1" s="1"/>
  <c r="BK171" i="1"/>
  <c r="BL171" i="1" s="1"/>
  <c r="BM171" i="1"/>
  <c r="BN171" i="1"/>
  <c r="BO171" i="1" s="1"/>
  <c r="BP171" i="1" s="1"/>
  <c r="BS171" i="1"/>
  <c r="BR171" i="1" s="1"/>
  <c r="BK172" i="1"/>
  <c r="BL172" i="1" s="1"/>
  <c r="BM172" i="1"/>
  <c r="BN172" i="1"/>
  <c r="BO172" i="1" s="1"/>
  <c r="BP172" i="1" s="1"/>
  <c r="BS172" i="1"/>
  <c r="BR172" i="1" s="1"/>
  <c r="BK173" i="1"/>
  <c r="BL173" i="1" s="1"/>
  <c r="BM173" i="1"/>
  <c r="BN173" i="1"/>
  <c r="BO173" i="1" s="1"/>
  <c r="BP173" i="1" s="1"/>
  <c r="BS173" i="1"/>
  <c r="BR173" i="1" s="1"/>
  <c r="BK174" i="1"/>
  <c r="BL174" i="1"/>
  <c r="BM174" i="1"/>
  <c r="BN174" i="1"/>
  <c r="BO174" i="1" s="1"/>
  <c r="BP174" i="1" s="1"/>
  <c r="BS174" i="1"/>
  <c r="BR174" i="1" s="1"/>
  <c r="BK175" i="1"/>
  <c r="BL175" i="1" s="1"/>
  <c r="BM175" i="1"/>
  <c r="BN175" i="1"/>
  <c r="BO175" i="1" s="1"/>
  <c r="BP175" i="1" s="1"/>
  <c r="BS175" i="1"/>
  <c r="BR175" i="1" s="1"/>
  <c r="BK176" i="1"/>
  <c r="BL176" i="1" s="1"/>
  <c r="BM176" i="1"/>
  <c r="BN176" i="1"/>
  <c r="BO176" i="1" s="1"/>
  <c r="BP176" i="1" s="1"/>
  <c r="BS176" i="1"/>
  <c r="BR176" i="1" s="1"/>
  <c r="BK177" i="1"/>
  <c r="BL177" i="1" s="1"/>
  <c r="BM177" i="1"/>
  <c r="BN177" i="1"/>
  <c r="BO177" i="1" s="1"/>
  <c r="BP177" i="1" s="1"/>
  <c r="BS177" i="1"/>
  <c r="BR177" i="1" s="1"/>
  <c r="BK178" i="1"/>
  <c r="BL178" i="1" s="1"/>
  <c r="BM178" i="1"/>
  <c r="BN178" i="1"/>
  <c r="BO178" i="1"/>
  <c r="BP178" i="1" s="1"/>
  <c r="BS178" i="1"/>
  <c r="BR178" i="1" s="1"/>
  <c r="BK179" i="1"/>
  <c r="BL179" i="1" s="1"/>
  <c r="BM179" i="1"/>
  <c r="BN179" i="1"/>
  <c r="BO179" i="1" s="1"/>
  <c r="BP179" i="1" s="1"/>
  <c r="BS179" i="1"/>
  <c r="BR179" i="1" s="1"/>
  <c r="BK180" i="1"/>
  <c r="BL180" i="1" s="1"/>
  <c r="BM180" i="1"/>
  <c r="BN180" i="1"/>
  <c r="BO180" i="1" s="1"/>
  <c r="BP180" i="1" s="1"/>
  <c r="BS180" i="1"/>
  <c r="BR180" i="1" s="1"/>
  <c r="BK181" i="1"/>
  <c r="BL181" i="1"/>
  <c r="BM181" i="1"/>
  <c r="BN181" i="1"/>
  <c r="BO181" i="1" s="1"/>
  <c r="BP181" i="1" s="1"/>
  <c r="BS181" i="1"/>
  <c r="BR181" i="1" s="1"/>
  <c r="BK182" i="1"/>
  <c r="BL182" i="1" s="1"/>
  <c r="BM182" i="1"/>
  <c r="BN182" i="1"/>
  <c r="BO182" i="1" s="1"/>
  <c r="BP182" i="1" s="1"/>
  <c r="BS182" i="1"/>
  <c r="BR182" i="1" s="1"/>
  <c r="BK183" i="1"/>
  <c r="BL183" i="1" s="1"/>
  <c r="BM183" i="1"/>
  <c r="BN183" i="1"/>
  <c r="BO183" i="1" s="1"/>
  <c r="BP183" i="1" s="1"/>
  <c r="BS183" i="1"/>
  <c r="BR183" i="1" s="1"/>
  <c r="BK184" i="1"/>
  <c r="BL184" i="1"/>
  <c r="BM184" i="1"/>
  <c r="BN184" i="1"/>
  <c r="BO184" i="1" s="1"/>
  <c r="BP184" i="1" s="1"/>
  <c r="BS184" i="1"/>
  <c r="BR184" i="1" s="1"/>
  <c r="BK185" i="1"/>
  <c r="BL185" i="1" s="1"/>
  <c r="BM185" i="1"/>
  <c r="BN185" i="1"/>
  <c r="BO185" i="1" s="1"/>
  <c r="BP185" i="1" s="1"/>
  <c r="BS185" i="1"/>
  <c r="BR185" i="1" s="1"/>
  <c r="BK186" i="1"/>
  <c r="BL186" i="1" s="1"/>
  <c r="BM186" i="1"/>
  <c r="BN186" i="1"/>
  <c r="BO186" i="1" s="1"/>
  <c r="BP186" i="1" s="1"/>
  <c r="BS186" i="1"/>
  <c r="BR186" i="1" s="1"/>
  <c r="BK187" i="1"/>
  <c r="BL187" i="1" s="1"/>
  <c r="BM187" i="1"/>
  <c r="BN187" i="1"/>
  <c r="BO187" i="1" s="1"/>
  <c r="BP187" i="1" s="1"/>
  <c r="BS187" i="1"/>
  <c r="BR187" i="1" s="1"/>
  <c r="BK188" i="1"/>
  <c r="BL188" i="1" s="1"/>
  <c r="BM188" i="1"/>
  <c r="BN188" i="1"/>
  <c r="BO188" i="1" s="1"/>
  <c r="BP188" i="1" s="1"/>
  <c r="BS188" i="1"/>
  <c r="BR188" i="1" s="1"/>
  <c r="BK189" i="1"/>
  <c r="BL189" i="1" s="1"/>
  <c r="BM189" i="1"/>
  <c r="BN189" i="1"/>
  <c r="BO189" i="1" s="1"/>
  <c r="BP189" i="1" s="1"/>
  <c r="BS189" i="1"/>
  <c r="BR189" i="1" s="1"/>
  <c r="BK190" i="1"/>
  <c r="BL190" i="1" s="1"/>
  <c r="BM190" i="1"/>
  <c r="BN190" i="1"/>
  <c r="BO190" i="1" s="1"/>
  <c r="BP190" i="1" s="1"/>
  <c r="BS190" i="1"/>
  <c r="BR190" i="1" s="1"/>
  <c r="BK191" i="1"/>
  <c r="BL191" i="1" s="1"/>
  <c r="BM191" i="1"/>
  <c r="BN191" i="1"/>
  <c r="BO191" i="1" s="1"/>
  <c r="BP191" i="1" s="1"/>
  <c r="BS191" i="1"/>
  <c r="BR191" i="1" s="1"/>
  <c r="BK192" i="1"/>
  <c r="BL192" i="1" s="1"/>
  <c r="BM192" i="1"/>
  <c r="BN192" i="1"/>
  <c r="BO192" i="1" s="1"/>
  <c r="BP192" i="1" s="1"/>
  <c r="BS192" i="1"/>
  <c r="BR192" i="1" s="1"/>
  <c r="BK193" i="1"/>
  <c r="BL193" i="1" s="1"/>
  <c r="BM193" i="1"/>
  <c r="BN193" i="1"/>
  <c r="BO193" i="1" s="1"/>
  <c r="BP193" i="1" s="1"/>
  <c r="BS193" i="1"/>
  <c r="BR193" i="1" s="1"/>
  <c r="BK194" i="1"/>
  <c r="BL194" i="1"/>
  <c r="BM194" i="1"/>
  <c r="BN194" i="1"/>
  <c r="BO194" i="1" s="1"/>
  <c r="BP194" i="1" s="1"/>
  <c r="BS194" i="1"/>
  <c r="BR194" i="1" s="1"/>
  <c r="BK195" i="1"/>
  <c r="BL195" i="1"/>
  <c r="BM195" i="1"/>
  <c r="BN195" i="1"/>
  <c r="BO195" i="1" s="1"/>
  <c r="BP195" i="1" s="1"/>
  <c r="BS195" i="1"/>
  <c r="BR195" i="1" s="1"/>
  <c r="BK196" i="1"/>
  <c r="BL196" i="1" s="1"/>
  <c r="BM196" i="1"/>
  <c r="BN196" i="1"/>
  <c r="BO196" i="1" s="1"/>
  <c r="BP196" i="1" s="1"/>
  <c r="BS196" i="1"/>
  <c r="BR196" i="1" s="1"/>
  <c r="BK197" i="1"/>
  <c r="BL197" i="1" s="1"/>
  <c r="BM197" i="1"/>
  <c r="BN197" i="1"/>
  <c r="BO197" i="1" s="1"/>
  <c r="BP197" i="1" s="1"/>
  <c r="BS197" i="1"/>
  <c r="BR197" i="1" s="1"/>
  <c r="BK198" i="1"/>
  <c r="BL198" i="1" s="1"/>
  <c r="BM198" i="1"/>
  <c r="BN198" i="1"/>
  <c r="BO198" i="1" s="1"/>
  <c r="BP198" i="1" s="1"/>
  <c r="BS198" i="1"/>
  <c r="BR198" i="1" s="1"/>
  <c r="BK199" i="1"/>
  <c r="BL199" i="1" s="1"/>
  <c r="BM199" i="1"/>
  <c r="BN199" i="1"/>
  <c r="BO199" i="1" s="1"/>
  <c r="BP199" i="1" s="1"/>
  <c r="BS199" i="1"/>
  <c r="BR199" i="1" s="1"/>
  <c r="BK200" i="1"/>
  <c r="BL200" i="1" s="1"/>
  <c r="BM200" i="1"/>
  <c r="BN200" i="1"/>
  <c r="BO200" i="1" s="1"/>
  <c r="BP200" i="1" s="1"/>
  <c r="BS200" i="1"/>
  <c r="BR200" i="1" s="1"/>
  <c r="BK201" i="1"/>
  <c r="BL201" i="1" s="1"/>
  <c r="BM201" i="1"/>
  <c r="BN201" i="1"/>
  <c r="BO201" i="1" s="1"/>
  <c r="BP201" i="1" s="1"/>
  <c r="BS201" i="1"/>
  <c r="BR201" i="1" s="1"/>
  <c r="BK202" i="1"/>
  <c r="BL202" i="1" s="1"/>
  <c r="BM202" i="1"/>
  <c r="BN202" i="1"/>
  <c r="BO202" i="1" s="1"/>
  <c r="BP202" i="1" s="1"/>
  <c r="BS202" i="1"/>
  <c r="BR202" i="1" s="1"/>
  <c r="BK203" i="1"/>
  <c r="BL203" i="1" s="1"/>
  <c r="BM203" i="1"/>
  <c r="BN203" i="1"/>
  <c r="BO203" i="1" s="1"/>
  <c r="BP203" i="1" s="1"/>
  <c r="BS203" i="1"/>
  <c r="BR203" i="1" s="1"/>
  <c r="BK204" i="1"/>
  <c r="BL204" i="1" s="1"/>
  <c r="BM204" i="1"/>
  <c r="BN204" i="1"/>
  <c r="BO204" i="1" s="1"/>
  <c r="BP204" i="1" s="1"/>
  <c r="BS204" i="1"/>
  <c r="BR204" i="1" s="1"/>
  <c r="BK205" i="1"/>
  <c r="BL205" i="1" s="1"/>
  <c r="BM205" i="1"/>
  <c r="BN205" i="1"/>
  <c r="BO205" i="1" s="1"/>
  <c r="BP205" i="1" s="1"/>
  <c r="BS205" i="1"/>
  <c r="BR205" i="1" s="1"/>
  <c r="BK206" i="1"/>
  <c r="BL206" i="1" s="1"/>
  <c r="BM206" i="1"/>
  <c r="BN206" i="1"/>
  <c r="BO206" i="1" s="1"/>
  <c r="BP206" i="1" s="1"/>
  <c r="BS206" i="1"/>
  <c r="BR206" i="1" s="1"/>
  <c r="BK207" i="1"/>
  <c r="BL207" i="1" s="1"/>
  <c r="BM207" i="1"/>
  <c r="BN207" i="1"/>
  <c r="BO207" i="1" s="1"/>
  <c r="BP207" i="1" s="1"/>
  <c r="BS207" i="1"/>
  <c r="BR207" i="1" s="1"/>
  <c r="BK208" i="1"/>
  <c r="BL208" i="1" s="1"/>
  <c r="BM208" i="1"/>
  <c r="BN208" i="1"/>
  <c r="BO208" i="1" s="1"/>
  <c r="BP208" i="1" s="1"/>
  <c r="BS208" i="1"/>
  <c r="BR208" i="1" s="1"/>
  <c r="BK209" i="1"/>
  <c r="BL209" i="1" s="1"/>
  <c r="BM209" i="1"/>
  <c r="BN209" i="1"/>
  <c r="BO209" i="1" s="1"/>
  <c r="BP209" i="1" s="1"/>
  <c r="BS209" i="1"/>
  <c r="BR209" i="1" s="1"/>
  <c r="BK210" i="1"/>
  <c r="BL210" i="1" s="1"/>
  <c r="BM210" i="1"/>
  <c r="BN210" i="1"/>
  <c r="BO210" i="1" s="1"/>
  <c r="BP210" i="1" s="1"/>
  <c r="BS210" i="1"/>
  <c r="BR210" i="1" s="1"/>
  <c r="BK211" i="1"/>
  <c r="BL211" i="1" s="1"/>
  <c r="BM211" i="1"/>
  <c r="BN211" i="1"/>
  <c r="BO211" i="1" s="1"/>
  <c r="BP211" i="1" s="1"/>
  <c r="BS211" i="1"/>
  <c r="BR211" i="1" s="1"/>
  <c r="BK212" i="1"/>
  <c r="BL212" i="1" s="1"/>
  <c r="BM212" i="1"/>
  <c r="BN212" i="1"/>
  <c r="BO212" i="1" s="1"/>
  <c r="BP212" i="1" s="1"/>
  <c r="BS212" i="1"/>
  <c r="BR212" i="1" s="1"/>
  <c r="BK213" i="1"/>
  <c r="BL213" i="1" s="1"/>
  <c r="BM213" i="1"/>
  <c r="BN213" i="1"/>
  <c r="BO213" i="1" s="1"/>
  <c r="BP213" i="1" s="1"/>
  <c r="BS213" i="1"/>
  <c r="BR213" i="1" s="1"/>
  <c r="BK214" i="1"/>
  <c r="BL214" i="1" s="1"/>
  <c r="BM214" i="1"/>
  <c r="BN214" i="1"/>
  <c r="BO214" i="1" s="1"/>
  <c r="BP214" i="1" s="1"/>
  <c r="BS214" i="1"/>
  <c r="BR214" i="1" s="1"/>
  <c r="BK215" i="1"/>
  <c r="BL215" i="1"/>
  <c r="BM215" i="1"/>
  <c r="BN215" i="1"/>
  <c r="BO215" i="1" s="1"/>
  <c r="BP215" i="1" s="1"/>
  <c r="BS215" i="1"/>
  <c r="BR215" i="1" s="1"/>
  <c r="BK216" i="1"/>
  <c r="BL216" i="1"/>
  <c r="BM216" i="1"/>
  <c r="BN216" i="1"/>
  <c r="BO216" i="1" s="1"/>
  <c r="BP216" i="1" s="1"/>
  <c r="BS216" i="1"/>
  <c r="BR216" i="1" s="1"/>
  <c r="BK217" i="1"/>
  <c r="BL217" i="1" s="1"/>
  <c r="BM217" i="1"/>
  <c r="BN217" i="1"/>
  <c r="BO217" i="1" s="1"/>
  <c r="BP217" i="1" s="1"/>
  <c r="BS217" i="1"/>
  <c r="BR217" i="1" s="1"/>
  <c r="BK218" i="1"/>
  <c r="BL218" i="1" s="1"/>
  <c r="BM218" i="1"/>
  <c r="BN218" i="1"/>
  <c r="BO218" i="1" s="1"/>
  <c r="BP218" i="1" s="1"/>
  <c r="BS218" i="1"/>
  <c r="BR218" i="1" s="1"/>
  <c r="BK219" i="1"/>
  <c r="BL219" i="1" s="1"/>
  <c r="BM219" i="1"/>
  <c r="BN219" i="1"/>
  <c r="BO219" i="1" s="1"/>
  <c r="BP219" i="1" s="1"/>
  <c r="BS219" i="1"/>
  <c r="BR219" i="1" s="1"/>
  <c r="BK220" i="1"/>
  <c r="BL220" i="1" s="1"/>
  <c r="BM220" i="1"/>
  <c r="BN220" i="1"/>
  <c r="BO220" i="1" s="1"/>
  <c r="BP220" i="1" s="1"/>
  <c r="BS220" i="1"/>
  <c r="BR220" i="1" s="1"/>
  <c r="BK221" i="1"/>
  <c r="BL221" i="1" s="1"/>
  <c r="BM221" i="1"/>
  <c r="BN221" i="1"/>
  <c r="BO221" i="1" s="1"/>
  <c r="BP221" i="1" s="1"/>
  <c r="BS221" i="1"/>
  <c r="BR221" i="1" s="1"/>
  <c r="BK222" i="1"/>
  <c r="BL222" i="1" s="1"/>
  <c r="BM222" i="1"/>
  <c r="BN222" i="1"/>
  <c r="BO222" i="1" s="1"/>
  <c r="BP222" i="1" s="1"/>
  <c r="BS222" i="1"/>
  <c r="BR222" i="1" s="1"/>
  <c r="BK223" i="1"/>
  <c r="BL223" i="1" s="1"/>
  <c r="BM223" i="1"/>
  <c r="BN223" i="1"/>
  <c r="BO223" i="1" s="1"/>
  <c r="BP223" i="1" s="1"/>
  <c r="BS223" i="1"/>
  <c r="BR223" i="1" s="1"/>
  <c r="BK224" i="1"/>
  <c r="BL224" i="1"/>
  <c r="BM224" i="1"/>
  <c r="BN224" i="1"/>
  <c r="BO224" i="1" s="1"/>
  <c r="BP224" i="1" s="1"/>
  <c r="BS224" i="1"/>
  <c r="BR224" i="1" s="1"/>
  <c r="BK225" i="1"/>
  <c r="BL225" i="1" s="1"/>
  <c r="BM225" i="1"/>
  <c r="BN225" i="1"/>
  <c r="BO225" i="1" s="1"/>
  <c r="BP225" i="1" s="1"/>
  <c r="BS225" i="1"/>
  <c r="BR225" i="1" s="1"/>
  <c r="BK226" i="1"/>
  <c r="BL226" i="1" s="1"/>
  <c r="BM226" i="1"/>
  <c r="BN226" i="1"/>
  <c r="BO226" i="1" s="1"/>
  <c r="BP226" i="1" s="1"/>
  <c r="BS226" i="1"/>
  <c r="BR226" i="1" s="1"/>
  <c r="BK227" i="1"/>
  <c r="BL227" i="1"/>
  <c r="BM227" i="1"/>
  <c r="BN227" i="1"/>
  <c r="BO227" i="1" s="1"/>
  <c r="BP227" i="1" s="1"/>
  <c r="BS227" i="1"/>
  <c r="BR227" i="1" s="1"/>
  <c r="BK228" i="1"/>
  <c r="BL228" i="1" s="1"/>
  <c r="BM228" i="1"/>
  <c r="BN228" i="1"/>
  <c r="BO228" i="1" s="1"/>
  <c r="BP228" i="1" s="1"/>
  <c r="BS228" i="1"/>
  <c r="BR228" i="1" s="1"/>
  <c r="BK229" i="1"/>
  <c r="BL229" i="1" s="1"/>
  <c r="BM229" i="1"/>
  <c r="BN229" i="1"/>
  <c r="BO229" i="1" s="1"/>
  <c r="BP229" i="1" s="1"/>
  <c r="BS229" i="1"/>
  <c r="BR229" i="1" s="1"/>
  <c r="BK230" i="1"/>
  <c r="BL230" i="1" s="1"/>
  <c r="BM230" i="1"/>
  <c r="BN230" i="1"/>
  <c r="BO230" i="1" s="1"/>
  <c r="BP230" i="1" s="1"/>
  <c r="BS230" i="1"/>
  <c r="BR230" i="1" s="1"/>
  <c r="BK231" i="1"/>
  <c r="BL231" i="1" s="1"/>
  <c r="BM231" i="1"/>
  <c r="BN231" i="1"/>
  <c r="BO231" i="1" s="1"/>
  <c r="BP231" i="1" s="1"/>
  <c r="BS231" i="1"/>
  <c r="BR231" i="1" s="1"/>
  <c r="BK232" i="1"/>
  <c r="BL232" i="1"/>
  <c r="BM232" i="1"/>
  <c r="BN232" i="1"/>
  <c r="BO232" i="1" s="1"/>
  <c r="BP232" i="1" s="1"/>
  <c r="BS232" i="1"/>
  <c r="BR232" i="1" s="1"/>
  <c r="BK233" i="1"/>
  <c r="BL233" i="1" s="1"/>
  <c r="BM233" i="1"/>
  <c r="BN233" i="1"/>
  <c r="BO233" i="1" s="1"/>
  <c r="BP233" i="1" s="1"/>
  <c r="BS233" i="1"/>
  <c r="BR233" i="1" s="1"/>
  <c r="BK234" i="1"/>
  <c r="BL234" i="1" s="1"/>
  <c r="BM234" i="1"/>
  <c r="BN234" i="1"/>
  <c r="BO234" i="1" s="1"/>
  <c r="BP234" i="1" s="1"/>
  <c r="BS234" i="1"/>
  <c r="BR234" i="1" s="1"/>
  <c r="BK235" i="1"/>
  <c r="BL235" i="1"/>
  <c r="BM235" i="1"/>
  <c r="BN235" i="1"/>
  <c r="BO235" i="1" s="1"/>
  <c r="BP235" i="1" s="1"/>
  <c r="BS235" i="1"/>
  <c r="BR235" i="1" s="1"/>
  <c r="BK236" i="1"/>
  <c r="BL236" i="1"/>
  <c r="BM236" i="1"/>
  <c r="BN236" i="1"/>
  <c r="BO236" i="1" s="1"/>
  <c r="BP236" i="1" s="1"/>
  <c r="BS236" i="1"/>
  <c r="BR236" i="1" s="1"/>
  <c r="BK237" i="1"/>
  <c r="BL237" i="1"/>
  <c r="BM237" i="1"/>
  <c r="BN237" i="1"/>
  <c r="BO237" i="1" s="1"/>
  <c r="BP237" i="1" s="1"/>
  <c r="BS237" i="1"/>
  <c r="BR237" i="1" s="1"/>
  <c r="BK238" i="1"/>
  <c r="BL238" i="1"/>
  <c r="BM238" i="1"/>
  <c r="BN238" i="1"/>
  <c r="BO238" i="1" s="1"/>
  <c r="BP238" i="1" s="1"/>
  <c r="BS238" i="1"/>
  <c r="BR238" i="1" s="1"/>
  <c r="BK239" i="1"/>
  <c r="BL239" i="1"/>
  <c r="BM239" i="1"/>
  <c r="BN239" i="1"/>
  <c r="BO239" i="1" s="1"/>
  <c r="BP239" i="1" s="1"/>
  <c r="BS239" i="1"/>
  <c r="BR239" i="1" s="1"/>
  <c r="BK240" i="1"/>
  <c r="BL240" i="1" s="1"/>
  <c r="BM240" i="1"/>
  <c r="BN240" i="1"/>
  <c r="BO240" i="1" s="1"/>
  <c r="BP240" i="1" s="1"/>
  <c r="BS240" i="1"/>
  <c r="BR240" i="1" s="1"/>
  <c r="BK241" i="1"/>
  <c r="BL241" i="1" s="1"/>
  <c r="BM241" i="1"/>
  <c r="BN241" i="1"/>
  <c r="BO241" i="1" s="1"/>
  <c r="BP241" i="1" s="1"/>
  <c r="BS241" i="1"/>
  <c r="BR241" i="1" s="1"/>
  <c r="BK242" i="1"/>
  <c r="BL242" i="1" s="1"/>
  <c r="BM242" i="1"/>
  <c r="BN242" i="1"/>
  <c r="BO242" i="1" s="1"/>
  <c r="BP242" i="1" s="1"/>
  <c r="BS242" i="1"/>
  <c r="BR242" i="1" s="1"/>
  <c r="BK243" i="1"/>
  <c r="BL243" i="1" s="1"/>
  <c r="BM243" i="1"/>
  <c r="BN243" i="1"/>
  <c r="BO243" i="1" s="1"/>
  <c r="BP243" i="1" s="1"/>
  <c r="BS243" i="1"/>
  <c r="BR243" i="1" s="1"/>
  <c r="BK244" i="1"/>
  <c r="BL244" i="1" s="1"/>
  <c r="BM244" i="1"/>
  <c r="BN244" i="1"/>
  <c r="BO244" i="1" s="1"/>
  <c r="BP244" i="1" s="1"/>
  <c r="BS244" i="1"/>
  <c r="BR244" i="1" s="1"/>
  <c r="BK245" i="1"/>
  <c r="BL245" i="1" s="1"/>
  <c r="BM245" i="1"/>
  <c r="BN245" i="1"/>
  <c r="BO245" i="1" s="1"/>
  <c r="BP245" i="1" s="1"/>
  <c r="BS245" i="1"/>
  <c r="BR245" i="1" s="1"/>
  <c r="BK246" i="1"/>
  <c r="BL246" i="1" s="1"/>
  <c r="BM246" i="1"/>
  <c r="BN246" i="1"/>
  <c r="BO246" i="1" s="1"/>
  <c r="BP246" i="1" s="1"/>
  <c r="BS246" i="1"/>
  <c r="BR246" i="1" s="1"/>
  <c r="BK247" i="1"/>
  <c r="BL247" i="1"/>
  <c r="BM247" i="1"/>
  <c r="BN247" i="1"/>
  <c r="BO247" i="1" s="1"/>
  <c r="BP247" i="1" s="1"/>
  <c r="BS247" i="1"/>
  <c r="BR247" i="1" s="1"/>
  <c r="BK248" i="1"/>
  <c r="BL248" i="1"/>
  <c r="BM248" i="1"/>
  <c r="BN248" i="1"/>
  <c r="BO248" i="1" s="1"/>
  <c r="BP248" i="1" s="1"/>
  <c r="BS248" i="1"/>
  <c r="BR248" i="1" s="1"/>
  <c r="BK249" i="1"/>
  <c r="BL249" i="1" s="1"/>
  <c r="BM249" i="1"/>
  <c r="BN249" i="1"/>
  <c r="BO249" i="1" s="1"/>
  <c r="BP249" i="1" s="1"/>
  <c r="BS249" i="1"/>
  <c r="BR249" i="1" s="1"/>
  <c r="BK250" i="1"/>
  <c r="BL250" i="1"/>
  <c r="BM250" i="1"/>
  <c r="BN250" i="1"/>
  <c r="BO250" i="1" s="1"/>
  <c r="BP250" i="1" s="1"/>
  <c r="BS250" i="1"/>
  <c r="BR250" i="1" s="1"/>
  <c r="BK251" i="1"/>
  <c r="BL251" i="1" s="1"/>
  <c r="BM251" i="1"/>
  <c r="BN251" i="1"/>
  <c r="BO251" i="1" s="1"/>
  <c r="BP251" i="1" s="1"/>
  <c r="BS251" i="1"/>
  <c r="BR251" i="1" s="1"/>
  <c r="BK252" i="1"/>
  <c r="BL252" i="1"/>
  <c r="BM252" i="1"/>
  <c r="BN252" i="1"/>
  <c r="BO252" i="1" s="1"/>
  <c r="BP252" i="1" s="1"/>
  <c r="BS252" i="1"/>
  <c r="BR252" i="1" s="1"/>
  <c r="BK253" i="1"/>
  <c r="BL253" i="1" s="1"/>
  <c r="BM253" i="1"/>
  <c r="BN253" i="1"/>
  <c r="BO253" i="1" s="1"/>
  <c r="BP253" i="1" s="1"/>
  <c r="BS253" i="1"/>
  <c r="BR253" i="1" s="1"/>
  <c r="BK254" i="1"/>
  <c r="BL254" i="1" s="1"/>
  <c r="BM254" i="1"/>
  <c r="BN254" i="1"/>
  <c r="BO254" i="1" s="1"/>
  <c r="BP254" i="1" s="1"/>
  <c r="BS254" i="1"/>
  <c r="BR254" i="1" s="1"/>
  <c r="BK255" i="1"/>
  <c r="BL255" i="1" s="1"/>
  <c r="BM255" i="1"/>
  <c r="BN255" i="1"/>
  <c r="BO255" i="1" s="1"/>
  <c r="BP255" i="1" s="1"/>
  <c r="BS255" i="1"/>
  <c r="BR255" i="1" s="1"/>
  <c r="BK256" i="1"/>
  <c r="BL256" i="1" s="1"/>
  <c r="BM256" i="1"/>
  <c r="BN256" i="1"/>
  <c r="BO256" i="1" s="1"/>
  <c r="BP256" i="1" s="1"/>
  <c r="BS256" i="1"/>
  <c r="BR256" i="1" s="1"/>
  <c r="BK257" i="1"/>
  <c r="BL257" i="1"/>
  <c r="BM257" i="1"/>
  <c r="BN257" i="1"/>
  <c r="BO257" i="1" s="1"/>
  <c r="BP257" i="1" s="1"/>
  <c r="BS257" i="1"/>
  <c r="BR257" i="1" s="1"/>
  <c r="BK258" i="1"/>
  <c r="BL258" i="1"/>
  <c r="BM258" i="1"/>
  <c r="BN258" i="1"/>
  <c r="BO258" i="1" s="1"/>
  <c r="BP258" i="1" s="1"/>
  <c r="BS258" i="1"/>
  <c r="BR258" i="1" s="1"/>
  <c r="BK259" i="1"/>
  <c r="BL259" i="1" s="1"/>
  <c r="BM259" i="1"/>
  <c r="BN259" i="1"/>
  <c r="BO259" i="1" s="1"/>
  <c r="BP259" i="1" s="1"/>
  <c r="BS259" i="1"/>
  <c r="BR259" i="1" s="1"/>
  <c r="BK260" i="1"/>
  <c r="BL260" i="1" s="1"/>
  <c r="BM260" i="1"/>
  <c r="BN260" i="1"/>
  <c r="BO260" i="1"/>
  <c r="BP260" i="1" s="1"/>
  <c r="BS260" i="1"/>
  <c r="BR260" i="1" s="1"/>
  <c r="BK261" i="1"/>
  <c r="BL261" i="1" s="1"/>
  <c r="BM261" i="1"/>
  <c r="BN261" i="1"/>
  <c r="BO261" i="1" s="1"/>
  <c r="BP261" i="1" s="1"/>
  <c r="BS261" i="1"/>
  <c r="BR261" i="1" s="1"/>
  <c r="BK262" i="1"/>
  <c r="BL262" i="1" s="1"/>
  <c r="BM262" i="1"/>
  <c r="BN262" i="1"/>
  <c r="BO262" i="1" s="1"/>
  <c r="BP262" i="1" s="1"/>
  <c r="BS262" i="1"/>
  <c r="BR262" i="1" s="1"/>
  <c r="BK263" i="1"/>
  <c r="BL263" i="1"/>
  <c r="BM263" i="1"/>
  <c r="BN263" i="1"/>
  <c r="BO263" i="1" s="1"/>
  <c r="BP263" i="1" s="1"/>
  <c r="BS263" i="1"/>
  <c r="BR263" i="1" s="1"/>
  <c r="BK264" i="1"/>
  <c r="BL264" i="1"/>
  <c r="BM264" i="1"/>
  <c r="BN264" i="1"/>
  <c r="BO264" i="1" s="1"/>
  <c r="BP264" i="1" s="1"/>
  <c r="BS264" i="1"/>
  <c r="BR264" i="1" s="1"/>
  <c r="BK265" i="1"/>
  <c r="BL265" i="1"/>
  <c r="BM265" i="1"/>
  <c r="BN265" i="1"/>
  <c r="BO265" i="1" s="1"/>
  <c r="BP265" i="1" s="1"/>
  <c r="BS265" i="1"/>
  <c r="BR265" i="1" s="1"/>
  <c r="BK266" i="1"/>
  <c r="BL266" i="1" s="1"/>
  <c r="BM266" i="1"/>
  <c r="BN266" i="1"/>
  <c r="BO266" i="1" s="1"/>
  <c r="BP266" i="1" s="1"/>
  <c r="BS266" i="1"/>
  <c r="BR266" i="1" s="1"/>
  <c r="BK267" i="1"/>
  <c r="BL267" i="1" s="1"/>
  <c r="BM267" i="1"/>
  <c r="BN267" i="1"/>
  <c r="BO267" i="1" s="1"/>
  <c r="BP267" i="1" s="1"/>
  <c r="BS267" i="1"/>
  <c r="BR267" i="1" s="1"/>
  <c r="BK268" i="1"/>
  <c r="BL268" i="1" s="1"/>
  <c r="BM268" i="1"/>
  <c r="BN268" i="1"/>
  <c r="BO268" i="1" s="1"/>
  <c r="BP268" i="1" s="1"/>
  <c r="BS268" i="1"/>
  <c r="BR268" i="1" s="1"/>
  <c r="BK269" i="1"/>
  <c r="BL269" i="1" s="1"/>
  <c r="BM269" i="1"/>
  <c r="BN269" i="1"/>
  <c r="BO269" i="1" s="1"/>
  <c r="BP269" i="1" s="1"/>
  <c r="BS269" i="1"/>
  <c r="BR269" i="1" s="1"/>
  <c r="BK270" i="1"/>
  <c r="BL270" i="1" s="1"/>
  <c r="BM270" i="1"/>
  <c r="BN270" i="1"/>
  <c r="BO270" i="1" s="1"/>
  <c r="BP270" i="1" s="1"/>
  <c r="BS270" i="1"/>
  <c r="BR270" i="1" s="1"/>
  <c r="BK271" i="1"/>
  <c r="BL271" i="1" s="1"/>
  <c r="BM271" i="1"/>
  <c r="BN271" i="1"/>
  <c r="BO271" i="1" s="1"/>
  <c r="BP271" i="1" s="1"/>
  <c r="BS271" i="1"/>
  <c r="BR271" i="1" s="1"/>
  <c r="BK272" i="1"/>
  <c r="BL272" i="1" s="1"/>
  <c r="BM272" i="1"/>
  <c r="BN272" i="1"/>
  <c r="BO272" i="1" s="1"/>
  <c r="BP272" i="1" s="1"/>
  <c r="BS272" i="1"/>
  <c r="BR272" i="1" s="1"/>
  <c r="BK273" i="1"/>
  <c r="BL273" i="1"/>
  <c r="BM273" i="1"/>
  <c r="BN273" i="1"/>
  <c r="BO273" i="1" s="1"/>
  <c r="BP273" i="1" s="1"/>
  <c r="BS273" i="1"/>
  <c r="BR273" i="1" s="1"/>
  <c r="BK274" i="1"/>
  <c r="BL274" i="1" s="1"/>
  <c r="BM274" i="1"/>
  <c r="BN274" i="1"/>
  <c r="BO274" i="1" s="1"/>
  <c r="BP274" i="1" s="1"/>
  <c r="BS274" i="1"/>
  <c r="BR274" i="1" s="1"/>
  <c r="BK275" i="1"/>
  <c r="BL275" i="1" s="1"/>
  <c r="BM275" i="1"/>
  <c r="BN275" i="1"/>
  <c r="BO275" i="1" s="1"/>
  <c r="BP275" i="1" s="1"/>
  <c r="BS275" i="1"/>
  <c r="BR275" i="1" s="1"/>
  <c r="BK276" i="1"/>
  <c r="BL276" i="1" s="1"/>
  <c r="BM276" i="1"/>
  <c r="BN276" i="1"/>
  <c r="BO276" i="1" s="1"/>
  <c r="BP276" i="1" s="1"/>
  <c r="BS276" i="1"/>
  <c r="BR276" i="1" s="1"/>
  <c r="BK277" i="1"/>
  <c r="BL277" i="1" s="1"/>
  <c r="BM277" i="1"/>
  <c r="BN277" i="1"/>
  <c r="BO277" i="1" s="1"/>
  <c r="BP277" i="1" s="1"/>
  <c r="BS277" i="1"/>
  <c r="BR277" i="1" s="1"/>
  <c r="BK278" i="1"/>
  <c r="BL278" i="1" s="1"/>
  <c r="BM278" i="1"/>
  <c r="BN278" i="1"/>
  <c r="BO278" i="1" s="1"/>
  <c r="BP278" i="1" s="1"/>
  <c r="BS278" i="1"/>
  <c r="BR278" i="1" s="1"/>
  <c r="BK279" i="1"/>
  <c r="BL279" i="1" s="1"/>
  <c r="BM279" i="1"/>
  <c r="BN279" i="1"/>
  <c r="BO279" i="1" s="1"/>
  <c r="BP279" i="1" s="1"/>
  <c r="BS279" i="1"/>
  <c r="BR279" i="1" s="1"/>
  <c r="BK280" i="1"/>
  <c r="BL280" i="1" s="1"/>
  <c r="BM280" i="1"/>
  <c r="BN280" i="1"/>
  <c r="BO280" i="1" s="1"/>
  <c r="BP280" i="1" s="1"/>
  <c r="BS280" i="1"/>
  <c r="BR280" i="1" s="1"/>
  <c r="BK281" i="1"/>
  <c r="BL281" i="1"/>
  <c r="BM281" i="1"/>
  <c r="BN281" i="1"/>
  <c r="BO281" i="1" s="1"/>
  <c r="BP281" i="1" s="1"/>
  <c r="BS281" i="1"/>
  <c r="BR281" i="1" s="1"/>
  <c r="BK282" i="1"/>
  <c r="BL282" i="1" s="1"/>
  <c r="BM282" i="1"/>
  <c r="BN282" i="1"/>
  <c r="BO282" i="1" s="1"/>
  <c r="BP282" i="1" s="1"/>
  <c r="BS282" i="1"/>
  <c r="BR282" i="1" s="1"/>
  <c r="BK283" i="1"/>
  <c r="BL283" i="1" s="1"/>
  <c r="BM283" i="1"/>
  <c r="BN283" i="1"/>
  <c r="BO283" i="1" s="1"/>
  <c r="BP283" i="1" s="1"/>
  <c r="BS283" i="1"/>
  <c r="BR283" i="1" s="1"/>
  <c r="BK284" i="1"/>
  <c r="BL284" i="1" s="1"/>
  <c r="BM284" i="1"/>
  <c r="BN284" i="1"/>
  <c r="BO284" i="1" s="1"/>
  <c r="BP284" i="1" s="1"/>
  <c r="BS284" i="1"/>
  <c r="BR284" i="1" s="1"/>
  <c r="BK285" i="1"/>
  <c r="BL285" i="1" s="1"/>
  <c r="BM285" i="1"/>
  <c r="BN285" i="1"/>
  <c r="BO285" i="1" s="1"/>
  <c r="BP285" i="1" s="1"/>
  <c r="BS285" i="1"/>
  <c r="BR285" i="1" s="1"/>
  <c r="BK286" i="1"/>
  <c r="BL286" i="1" s="1"/>
  <c r="BM286" i="1"/>
  <c r="BN286" i="1"/>
  <c r="BO286" i="1" s="1"/>
  <c r="BP286" i="1" s="1"/>
  <c r="BS286" i="1"/>
  <c r="BR286" i="1" s="1"/>
  <c r="BK287" i="1"/>
  <c r="BL287" i="1"/>
  <c r="BM287" i="1"/>
  <c r="BN287" i="1"/>
  <c r="BO287" i="1" s="1"/>
  <c r="BP287" i="1" s="1"/>
  <c r="BS287" i="1"/>
  <c r="BR287" i="1" s="1"/>
  <c r="BK288" i="1"/>
  <c r="BL288" i="1" s="1"/>
  <c r="BM288" i="1"/>
  <c r="BN288" i="1"/>
  <c r="BO288" i="1" s="1"/>
  <c r="BP288" i="1" s="1"/>
  <c r="BS288" i="1"/>
  <c r="BR288" i="1" s="1"/>
  <c r="BK289" i="1"/>
  <c r="BL289" i="1" s="1"/>
  <c r="BM289" i="1"/>
  <c r="BN289" i="1"/>
  <c r="BO289" i="1" s="1"/>
  <c r="BP289" i="1" s="1"/>
  <c r="BS289" i="1"/>
  <c r="BR289" i="1" s="1"/>
  <c r="BK290" i="1"/>
  <c r="BL290" i="1"/>
  <c r="BM290" i="1"/>
  <c r="BN290" i="1"/>
  <c r="BO290" i="1" s="1"/>
  <c r="BP290" i="1" s="1"/>
  <c r="BS290" i="1"/>
  <c r="BR290" i="1" s="1"/>
  <c r="BK291" i="1"/>
  <c r="BL291" i="1" s="1"/>
  <c r="BM291" i="1"/>
  <c r="BN291" i="1"/>
  <c r="BO291" i="1" s="1"/>
  <c r="BP291" i="1" s="1"/>
  <c r="BS291" i="1"/>
  <c r="BR291" i="1" s="1"/>
  <c r="BK292" i="1"/>
  <c r="BL292" i="1"/>
  <c r="BM292" i="1"/>
  <c r="BN292" i="1"/>
  <c r="BO292" i="1" s="1"/>
  <c r="BP292" i="1" s="1"/>
  <c r="BS292" i="1"/>
  <c r="BR292" i="1" s="1"/>
  <c r="BK293" i="1"/>
  <c r="BL293" i="1" s="1"/>
  <c r="BM293" i="1"/>
  <c r="BN293" i="1"/>
  <c r="BO293" i="1" s="1"/>
  <c r="BP293" i="1" s="1"/>
  <c r="BS293" i="1"/>
  <c r="BR293" i="1" s="1"/>
  <c r="BK294" i="1"/>
  <c r="BL294" i="1" s="1"/>
  <c r="BM294" i="1"/>
  <c r="BN294" i="1"/>
  <c r="BO294" i="1" s="1"/>
  <c r="BP294" i="1" s="1"/>
  <c r="BS294" i="1"/>
  <c r="BR294" i="1" s="1"/>
  <c r="BK295" i="1"/>
  <c r="BL295" i="1"/>
  <c r="BM295" i="1"/>
  <c r="BN295" i="1"/>
  <c r="BO295" i="1" s="1"/>
  <c r="BP295" i="1" s="1"/>
  <c r="BS295" i="1"/>
  <c r="BR295" i="1" s="1"/>
  <c r="BK296" i="1"/>
  <c r="BL296" i="1"/>
  <c r="BM296" i="1"/>
  <c r="BN296" i="1"/>
  <c r="BO296" i="1" s="1"/>
  <c r="BP296" i="1" s="1"/>
  <c r="BS296" i="1"/>
  <c r="BR296" i="1" s="1"/>
  <c r="BK297" i="1"/>
  <c r="BL297" i="1" s="1"/>
  <c r="BM297" i="1"/>
  <c r="BN297" i="1"/>
  <c r="BO297" i="1" s="1"/>
  <c r="BP297" i="1" s="1"/>
  <c r="BS297" i="1"/>
  <c r="BR297" i="1" s="1"/>
  <c r="BK298" i="1"/>
  <c r="BL298" i="1"/>
  <c r="BM298" i="1"/>
  <c r="BN298" i="1"/>
  <c r="BO298" i="1" s="1"/>
  <c r="BP298" i="1" s="1"/>
  <c r="BS298" i="1"/>
  <c r="BR298" i="1" s="1"/>
  <c r="BK299" i="1"/>
  <c r="BL299" i="1" s="1"/>
  <c r="BM299" i="1"/>
  <c r="BN299" i="1"/>
  <c r="BO299" i="1" s="1"/>
  <c r="BP299" i="1" s="1"/>
  <c r="BS299" i="1"/>
  <c r="BR299" i="1" s="1"/>
  <c r="BK300" i="1"/>
  <c r="BL300" i="1" s="1"/>
  <c r="BM300" i="1"/>
  <c r="BN300" i="1"/>
  <c r="BO300" i="1"/>
  <c r="BP300" i="1" s="1"/>
  <c r="BS300" i="1"/>
  <c r="BR300" i="1" s="1"/>
  <c r="BK301" i="1"/>
  <c r="BL301" i="1"/>
  <c r="BM301" i="1"/>
  <c r="BN301" i="1"/>
  <c r="BO301" i="1" s="1"/>
  <c r="BP301" i="1" s="1"/>
  <c r="BS301" i="1"/>
  <c r="BR301" i="1" s="1"/>
  <c r="BK302" i="1"/>
  <c r="BL302" i="1"/>
  <c r="BM302" i="1"/>
  <c r="BN302" i="1"/>
  <c r="BO302" i="1" s="1"/>
  <c r="BP302" i="1" s="1"/>
  <c r="BS302" i="1"/>
  <c r="BR302" i="1" s="1"/>
  <c r="BK303" i="1"/>
  <c r="BL303" i="1"/>
  <c r="BM303" i="1"/>
  <c r="BN303" i="1"/>
  <c r="BO303" i="1" s="1"/>
  <c r="BP303" i="1" s="1"/>
  <c r="BS303" i="1"/>
  <c r="BR303" i="1" s="1"/>
  <c r="BK304" i="1"/>
  <c r="BL304" i="1"/>
  <c r="BM304" i="1"/>
  <c r="BN304" i="1"/>
  <c r="BO304" i="1" s="1"/>
  <c r="BP304" i="1" s="1"/>
  <c r="BS304" i="1"/>
  <c r="BR304" i="1" s="1"/>
  <c r="BK305" i="1"/>
  <c r="BL305" i="1"/>
  <c r="BM305" i="1"/>
  <c r="BN305" i="1"/>
  <c r="BO305" i="1" s="1"/>
  <c r="BP305" i="1" s="1"/>
  <c r="BS305" i="1"/>
  <c r="BR305" i="1" s="1"/>
  <c r="BK306" i="1"/>
  <c r="BL306" i="1"/>
  <c r="BM306" i="1"/>
  <c r="BN306" i="1"/>
  <c r="BO306" i="1" s="1"/>
  <c r="BP306" i="1" s="1"/>
  <c r="BS306" i="1"/>
  <c r="BR306" i="1" s="1"/>
  <c r="BK307" i="1"/>
  <c r="BL307" i="1"/>
  <c r="BM307" i="1"/>
  <c r="BN307" i="1"/>
  <c r="BO307" i="1" s="1"/>
  <c r="BP307" i="1" s="1"/>
  <c r="BS307" i="1"/>
  <c r="BR307" i="1" s="1"/>
  <c r="BK308" i="1"/>
  <c r="BL308" i="1" s="1"/>
  <c r="BM308" i="1"/>
  <c r="BN308" i="1"/>
  <c r="BO308" i="1" s="1"/>
  <c r="BP308" i="1" s="1"/>
  <c r="BS308" i="1"/>
  <c r="BR308" i="1" s="1"/>
  <c r="BK309" i="1"/>
  <c r="BL309" i="1"/>
  <c r="BM309" i="1"/>
  <c r="BN309" i="1"/>
  <c r="BO309" i="1" s="1"/>
  <c r="BP309" i="1" s="1"/>
  <c r="BS309" i="1"/>
  <c r="BR309" i="1" s="1"/>
  <c r="BK310" i="1"/>
  <c r="BL310" i="1"/>
  <c r="BM310" i="1"/>
  <c r="BN310" i="1"/>
  <c r="BO310" i="1" s="1"/>
  <c r="BP310" i="1" s="1"/>
  <c r="BS310" i="1"/>
  <c r="BR310" i="1" s="1"/>
  <c r="BK311" i="1"/>
  <c r="BL311" i="1" s="1"/>
  <c r="BM311" i="1"/>
  <c r="BN311" i="1"/>
  <c r="BO311" i="1" s="1"/>
  <c r="BP311" i="1" s="1"/>
  <c r="BS311" i="1"/>
  <c r="BR311" i="1" s="1"/>
  <c r="BK312" i="1"/>
  <c r="BL312" i="1" s="1"/>
  <c r="BM312" i="1"/>
  <c r="BN312" i="1"/>
  <c r="BO312" i="1" s="1"/>
  <c r="BP312" i="1" s="1"/>
  <c r="BS312" i="1"/>
  <c r="BR312" i="1" s="1"/>
  <c r="BK313" i="1"/>
  <c r="BL313" i="1"/>
  <c r="BM313" i="1"/>
  <c r="BN313" i="1"/>
  <c r="BO313" i="1" s="1"/>
  <c r="BP313" i="1" s="1"/>
  <c r="BS313" i="1"/>
  <c r="BR313" i="1" s="1"/>
  <c r="BK314" i="1"/>
  <c r="BL314" i="1" s="1"/>
  <c r="BM314" i="1"/>
  <c r="BN314" i="1"/>
  <c r="BO314" i="1" s="1"/>
  <c r="BP314" i="1" s="1"/>
  <c r="BS314" i="1"/>
  <c r="BR314" i="1" s="1"/>
  <c r="BK315" i="1"/>
  <c r="BL315" i="1" s="1"/>
  <c r="BM315" i="1"/>
  <c r="BN315" i="1"/>
  <c r="BO315" i="1" s="1"/>
  <c r="BP315" i="1" s="1"/>
  <c r="BS315" i="1"/>
  <c r="BR315" i="1" s="1"/>
  <c r="BK316" i="1"/>
  <c r="BL316" i="1" s="1"/>
  <c r="BM316" i="1"/>
  <c r="BN316" i="1"/>
  <c r="BO316" i="1" s="1"/>
  <c r="BP316" i="1" s="1"/>
  <c r="BS316" i="1"/>
  <c r="BR316" i="1" s="1"/>
  <c r="BK317" i="1"/>
  <c r="BL317" i="1" s="1"/>
  <c r="BM317" i="1"/>
  <c r="BN317" i="1"/>
  <c r="BO317" i="1" s="1"/>
  <c r="BP317" i="1" s="1"/>
  <c r="BS317" i="1"/>
  <c r="BR317" i="1" s="1"/>
  <c r="BK318" i="1"/>
  <c r="BL318" i="1" s="1"/>
  <c r="BM318" i="1"/>
  <c r="BN318" i="1"/>
  <c r="BO318" i="1" s="1"/>
  <c r="BP318" i="1" s="1"/>
  <c r="BS318" i="1"/>
  <c r="BR318" i="1" s="1"/>
  <c r="BK319" i="1"/>
  <c r="BL319" i="1" s="1"/>
  <c r="BM319" i="1"/>
  <c r="BN319" i="1"/>
  <c r="BO319" i="1" s="1"/>
  <c r="BP319" i="1" s="1"/>
  <c r="BS319" i="1"/>
  <c r="BR319" i="1" s="1"/>
  <c r="BK320" i="1"/>
  <c r="BL320" i="1"/>
  <c r="BM320" i="1"/>
  <c r="BN320" i="1"/>
  <c r="BO320" i="1" s="1"/>
  <c r="BP320" i="1" s="1"/>
  <c r="BS320" i="1"/>
  <c r="BR320" i="1" s="1"/>
  <c r="BK321" i="1"/>
  <c r="BL321" i="1" s="1"/>
  <c r="BM321" i="1"/>
  <c r="BN321" i="1"/>
  <c r="BO321" i="1" s="1"/>
  <c r="BP321" i="1" s="1"/>
  <c r="BS321" i="1"/>
  <c r="BR321" i="1" s="1"/>
  <c r="BK322" i="1"/>
  <c r="BL322" i="1" s="1"/>
  <c r="BM322" i="1"/>
  <c r="BN322" i="1"/>
  <c r="BO322" i="1" s="1"/>
  <c r="BP322" i="1" s="1"/>
  <c r="BS322" i="1"/>
  <c r="BR322" i="1" s="1"/>
  <c r="BK323" i="1"/>
  <c r="BL323" i="1"/>
  <c r="BM323" i="1"/>
  <c r="BN323" i="1"/>
  <c r="BO323" i="1" s="1"/>
  <c r="BP323" i="1" s="1"/>
  <c r="BS323" i="1"/>
  <c r="BR323" i="1" s="1"/>
  <c r="BK324" i="1"/>
  <c r="BL324" i="1"/>
  <c r="BM324" i="1"/>
  <c r="BN324" i="1"/>
  <c r="BO324" i="1" s="1"/>
  <c r="BP324" i="1" s="1"/>
  <c r="BS324" i="1"/>
  <c r="BR324" i="1" s="1"/>
  <c r="BK325" i="1"/>
  <c r="BL325" i="1" s="1"/>
  <c r="BM325" i="1"/>
  <c r="BN325" i="1"/>
  <c r="BO325" i="1" s="1"/>
  <c r="BP325" i="1" s="1"/>
  <c r="BS325" i="1"/>
  <c r="BR325" i="1" s="1"/>
  <c r="BK326" i="1"/>
  <c r="BL326" i="1" s="1"/>
  <c r="BM326" i="1"/>
  <c r="BN326" i="1"/>
  <c r="BO326" i="1" s="1"/>
  <c r="BP326" i="1" s="1"/>
  <c r="BS326" i="1"/>
  <c r="BR326" i="1" s="1"/>
  <c r="BK327" i="1"/>
  <c r="BL327" i="1" s="1"/>
  <c r="BM327" i="1"/>
  <c r="BN327" i="1"/>
  <c r="BO327" i="1" s="1"/>
  <c r="BP327" i="1" s="1"/>
  <c r="BS327" i="1"/>
  <c r="BR327" i="1" s="1"/>
  <c r="BK328" i="1"/>
  <c r="BL328" i="1" s="1"/>
  <c r="BM328" i="1"/>
  <c r="BN328" i="1"/>
  <c r="BO328" i="1" s="1"/>
  <c r="BP328" i="1" s="1"/>
  <c r="BS328" i="1"/>
  <c r="BR328" i="1" s="1"/>
  <c r="BK329" i="1"/>
  <c r="BL329" i="1"/>
  <c r="BM329" i="1"/>
  <c r="BN329" i="1"/>
  <c r="BO329" i="1" s="1"/>
  <c r="BP329" i="1" s="1"/>
  <c r="BS329" i="1"/>
  <c r="BR329" i="1" s="1"/>
  <c r="BK330" i="1"/>
  <c r="BL330" i="1"/>
  <c r="BM330" i="1"/>
  <c r="BN330" i="1"/>
  <c r="BO330" i="1" s="1"/>
  <c r="BP330" i="1" s="1"/>
  <c r="BS330" i="1"/>
  <c r="BR330" i="1" s="1"/>
  <c r="BK331" i="1"/>
  <c r="BL331" i="1"/>
  <c r="BM331" i="1"/>
  <c r="BN331" i="1"/>
  <c r="BO331" i="1" s="1"/>
  <c r="BP331" i="1" s="1"/>
  <c r="BS331" i="1"/>
  <c r="BR331" i="1" s="1"/>
  <c r="BK332" i="1"/>
  <c r="BL332" i="1"/>
  <c r="BM332" i="1"/>
  <c r="BN332" i="1"/>
  <c r="BO332" i="1" s="1"/>
  <c r="BP332" i="1" s="1"/>
  <c r="BS332" i="1"/>
  <c r="BR332" i="1" s="1"/>
  <c r="BK333" i="1"/>
  <c r="BL333" i="1"/>
  <c r="BM333" i="1"/>
  <c r="BN333" i="1"/>
  <c r="BO333" i="1" s="1"/>
  <c r="BP333" i="1" s="1"/>
  <c r="BS333" i="1"/>
  <c r="BR333" i="1" s="1"/>
  <c r="BK334" i="1"/>
  <c r="BL334" i="1"/>
  <c r="BM334" i="1"/>
  <c r="BN334" i="1"/>
  <c r="BO334" i="1" s="1"/>
  <c r="BP334" i="1" s="1"/>
  <c r="BS334" i="1"/>
  <c r="BR334" i="1" s="1"/>
  <c r="BK335" i="1"/>
  <c r="BL335" i="1" s="1"/>
  <c r="BM335" i="1"/>
  <c r="BN335" i="1"/>
  <c r="BO335" i="1" s="1"/>
  <c r="BP335" i="1" s="1"/>
  <c r="BS335" i="1"/>
  <c r="BR335" i="1" s="1"/>
  <c r="BK336" i="1"/>
  <c r="BL336" i="1" s="1"/>
  <c r="BM336" i="1"/>
  <c r="BN336" i="1"/>
  <c r="BO336" i="1" s="1"/>
  <c r="BP336" i="1" s="1"/>
  <c r="BS336" i="1"/>
  <c r="BR336" i="1" s="1"/>
  <c r="BK337" i="1"/>
  <c r="BL337" i="1" s="1"/>
  <c r="BM337" i="1"/>
  <c r="BN337" i="1"/>
  <c r="BO337" i="1" s="1"/>
  <c r="BP337" i="1" s="1"/>
  <c r="BS337" i="1"/>
  <c r="BR337" i="1" s="1"/>
  <c r="BK338" i="1"/>
  <c r="BL338" i="1"/>
  <c r="BM338" i="1"/>
  <c r="BN338" i="1"/>
  <c r="BO338" i="1" s="1"/>
  <c r="BP338" i="1" s="1"/>
  <c r="BS338" i="1"/>
  <c r="BR338" i="1" s="1"/>
  <c r="BK339" i="1"/>
  <c r="BL339" i="1" s="1"/>
  <c r="BM339" i="1"/>
  <c r="BN339" i="1"/>
  <c r="BO339" i="1" s="1"/>
  <c r="BP339" i="1" s="1"/>
  <c r="BS339" i="1"/>
  <c r="BR339" i="1" s="1"/>
  <c r="BK340" i="1"/>
  <c r="BL340" i="1" s="1"/>
  <c r="BM340" i="1"/>
  <c r="BN340" i="1"/>
  <c r="BO340" i="1" s="1"/>
  <c r="BP340" i="1" s="1"/>
  <c r="BS340" i="1"/>
  <c r="BR340" i="1" s="1"/>
  <c r="BK341" i="1"/>
  <c r="BL341" i="1" s="1"/>
  <c r="BM341" i="1"/>
  <c r="BN341" i="1"/>
  <c r="BO341" i="1" s="1"/>
  <c r="BP341" i="1" s="1"/>
  <c r="BS341" i="1"/>
  <c r="BR341" i="1" s="1"/>
  <c r="BK342" i="1"/>
  <c r="BL342" i="1" s="1"/>
  <c r="BM342" i="1"/>
  <c r="BN342" i="1"/>
  <c r="BO342" i="1" s="1"/>
  <c r="BP342" i="1" s="1"/>
  <c r="BS342" i="1"/>
  <c r="BR342" i="1" s="1"/>
  <c r="BK343" i="1"/>
  <c r="BL343" i="1" s="1"/>
  <c r="BM343" i="1"/>
  <c r="BN343" i="1"/>
  <c r="BO343" i="1" s="1"/>
  <c r="BP343" i="1" s="1"/>
  <c r="BS343" i="1"/>
  <c r="BR343" i="1" s="1"/>
  <c r="BK344" i="1"/>
  <c r="BL344" i="1" s="1"/>
  <c r="BM344" i="1"/>
  <c r="BN344" i="1"/>
  <c r="BO344" i="1" s="1"/>
  <c r="BP344" i="1" s="1"/>
  <c r="BS344" i="1"/>
  <c r="BR344" i="1" s="1"/>
  <c r="BK345" i="1"/>
  <c r="BL345" i="1"/>
  <c r="BM345" i="1"/>
  <c r="BN345" i="1"/>
  <c r="BO345" i="1" s="1"/>
  <c r="BP345" i="1" s="1"/>
  <c r="BS345" i="1"/>
  <c r="BR345" i="1" s="1"/>
  <c r="BK346" i="1"/>
  <c r="BL346" i="1"/>
  <c r="BM346" i="1"/>
  <c r="BN346" i="1"/>
  <c r="BO346" i="1" s="1"/>
  <c r="BP346" i="1" s="1"/>
  <c r="BS346" i="1"/>
  <c r="BR346" i="1" s="1"/>
  <c r="BK347" i="1"/>
  <c r="BL347" i="1"/>
  <c r="BM347" i="1"/>
  <c r="BN347" i="1"/>
  <c r="BO347" i="1" s="1"/>
  <c r="BP347" i="1" s="1"/>
  <c r="BS347" i="1"/>
  <c r="BR347" i="1" s="1"/>
  <c r="BK348" i="1"/>
  <c r="BL348" i="1"/>
  <c r="BM348" i="1"/>
  <c r="BN348" i="1"/>
  <c r="BO348" i="1" s="1"/>
  <c r="BP348" i="1" s="1"/>
  <c r="BS348" i="1"/>
  <c r="BR348" i="1" s="1"/>
  <c r="BK349" i="1"/>
  <c r="BL349" i="1"/>
  <c r="BM349" i="1"/>
  <c r="BN349" i="1"/>
  <c r="BO349" i="1" s="1"/>
  <c r="BP349" i="1" s="1"/>
  <c r="BS349" i="1"/>
  <c r="BR349" i="1" s="1"/>
  <c r="BK350" i="1"/>
  <c r="BL350" i="1"/>
  <c r="BM350" i="1"/>
  <c r="BN350" i="1"/>
  <c r="BO350" i="1" s="1"/>
  <c r="BP350" i="1" s="1"/>
  <c r="BS350" i="1"/>
  <c r="BR350" i="1" s="1"/>
  <c r="BK351" i="1"/>
  <c r="BL351" i="1" s="1"/>
  <c r="BM351" i="1"/>
  <c r="BN351" i="1"/>
  <c r="BO351" i="1" s="1"/>
  <c r="BP351" i="1" s="1"/>
  <c r="BS351" i="1"/>
  <c r="BR351" i="1" s="1"/>
  <c r="BK352" i="1"/>
  <c r="BL352" i="1" s="1"/>
  <c r="BM352" i="1"/>
  <c r="BN352" i="1"/>
  <c r="BO352" i="1" s="1"/>
  <c r="BP352" i="1" s="1"/>
  <c r="BS352" i="1"/>
  <c r="BR352" i="1" s="1"/>
  <c r="BK353" i="1"/>
  <c r="BL353" i="1"/>
  <c r="BM353" i="1"/>
  <c r="BN353" i="1"/>
  <c r="BO353" i="1" s="1"/>
  <c r="BP353" i="1" s="1"/>
  <c r="BS353" i="1"/>
  <c r="BR353" i="1" s="1"/>
  <c r="BK354" i="1"/>
  <c r="BL354" i="1"/>
  <c r="BM354" i="1"/>
  <c r="BN354" i="1"/>
  <c r="BO354" i="1" s="1"/>
  <c r="BP354" i="1" s="1"/>
  <c r="BS354" i="1"/>
  <c r="BR354" i="1" s="1"/>
  <c r="BK355" i="1"/>
  <c r="BL355" i="1" s="1"/>
  <c r="BM355" i="1"/>
  <c r="BN355" i="1"/>
  <c r="BO355" i="1" s="1"/>
  <c r="BP355" i="1" s="1"/>
  <c r="BS355" i="1"/>
  <c r="BR355" i="1" s="1"/>
  <c r="BK356" i="1"/>
  <c r="BL356" i="1" s="1"/>
  <c r="BM356" i="1"/>
  <c r="BN356" i="1"/>
  <c r="BO356" i="1" s="1"/>
  <c r="BP356" i="1" s="1"/>
  <c r="BS356" i="1"/>
  <c r="BR356" i="1" s="1"/>
  <c r="BK357" i="1"/>
  <c r="BL357" i="1" s="1"/>
  <c r="BM357" i="1"/>
  <c r="BN357" i="1"/>
  <c r="BO357" i="1" s="1"/>
  <c r="BP357" i="1" s="1"/>
  <c r="BS357" i="1"/>
  <c r="BR357" i="1" s="1"/>
  <c r="BK358" i="1"/>
  <c r="BL358" i="1"/>
  <c r="BM358" i="1"/>
  <c r="BN358" i="1"/>
  <c r="BO358" i="1" s="1"/>
  <c r="BP358" i="1" s="1"/>
  <c r="BS358" i="1"/>
  <c r="BR358" i="1" s="1"/>
  <c r="BK359" i="1"/>
  <c r="BL359" i="1"/>
  <c r="BM359" i="1"/>
  <c r="BN359" i="1"/>
  <c r="BO359" i="1" s="1"/>
  <c r="BP359" i="1" s="1"/>
  <c r="BS359" i="1"/>
  <c r="BR359" i="1" s="1"/>
  <c r="BK360" i="1"/>
  <c r="BL360" i="1"/>
  <c r="BM360" i="1"/>
  <c r="BN360" i="1"/>
  <c r="BO360" i="1" s="1"/>
  <c r="BP360" i="1" s="1"/>
  <c r="BS360" i="1"/>
  <c r="BR360" i="1" s="1"/>
  <c r="BK361" i="1"/>
  <c r="BL361" i="1"/>
  <c r="BM361" i="1"/>
  <c r="BN361" i="1"/>
  <c r="BO361" i="1" s="1"/>
  <c r="BP361" i="1" s="1"/>
  <c r="BS361" i="1"/>
  <c r="BR361" i="1" s="1"/>
  <c r="BK362" i="1"/>
  <c r="BL362" i="1"/>
  <c r="BM362" i="1"/>
  <c r="BN362" i="1"/>
  <c r="BO362" i="1" s="1"/>
  <c r="BP362" i="1" s="1"/>
  <c r="BS362" i="1"/>
  <c r="BR362" i="1" s="1"/>
  <c r="BK363" i="1"/>
  <c r="BL363" i="1"/>
  <c r="BM363" i="1"/>
  <c r="BN363" i="1"/>
  <c r="BO363" i="1" s="1"/>
  <c r="BP363" i="1" s="1"/>
  <c r="BS363" i="1"/>
  <c r="BR363" i="1" s="1"/>
  <c r="BK364" i="1"/>
  <c r="BL364" i="1" s="1"/>
  <c r="BM364" i="1"/>
  <c r="BN364" i="1"/>
  <c r="BO364" i="1" s="1"/>
  <c r="BP364" i="1" s="1"/>
  <c r="BS364" i="1"/>
  <c r="BR364" i="1" s="1"/>
  <c r="BK365" i="1"/>
  <c r="BL365" i="1" s="1"/>
  <c r="BM365" i="1"/>
  <c r="BN365" i="1"/>
  <c r="BO365" i="1" s="1"/>
  <c r="BP365" i="1" s="1"/>
  <c r="BS365" i="1"/>
  <c r="BR365" i="1" s="1"/>
  <c r="BK366" i="1"/>
  <c r="BL366" i="1" s="1"/>
  <c r="BM366" i="1"/>
  <c r="BN366" i="1"/>
  <c r="BO366" i="1" s="1"/>
  <c r="BP366" i="1" s="1"/>
  <c r="BS366" i="1"/>
  <c r="BR366" i="1" s="1"/>
  <c r="BK367" i="1"/>
  <c r="BL367" i="1" s="1"/>
  <c r="BM367" i="1"/>
  <c r="BN367" i="1"/>
  <c r="BO367" i="1" s="1"/>
  <c r="BP367" i="1" s="1"/>
  <c r="BS367" i="1"/>
  <c r="BR367" i="1" s="1"/>
  <c r="BK368" i="1"/>
  <c r="BL368" i="1" s="1"/>
  <c r="BM368" i="1"/>
  <c r="BN368" i="1"/>
  <c r="BO368" i="1" s="1"/>
  <c r="BP368" i="1" s="1"/>
  <c r="BS368" i="1"/>
  <c r="BR368" i="1" s="1"/>
  <c r="BK369" i="1"/>
  <c r="BL369" i="1" s="1"/>
  <c r="BM369" i="1"/>
  <c r="BN369" i="1"/>
  <c r="BO369" i="1" s="1"/>
  <c r="BP369" i="1" s="1"/>
  <c r="BS369" i="1"/>
  <c r="BR369" i="1" s="1"/>
  <c r="BK370" i="1"/>
  <c r="BL370" i="1" s="1"/>
  <c r="BM370" i="1"/>
  <c r="BN370" i="1"/>
  <c r="BO370" i="1" s="1"/>
  <c r="BP370" i="1" s="1"/>
  <c r="BS370" i="1"/>
  <c r="BR370" i="1" s="1"/>
  <c r="BK371" i="1"/>
  <c r="BL371" i="1" s="1"/>
  <c r="BM371" i="1"/>
  <c r="BN371" i="1"/>
  <c r="BO371" i="1" s="1"/>
  <c r="BP371" i="1" s="1"/>
  <c r="BS371" i="1"/>
  <c r="BR371" i="1" s="1"/>
  <c r="BK372" i="1"/>
  <c r="BL372" i="1" s="1"/>
  <c r="BM372" i="1"/>
  <c r="BN372" i="1"/>
  <c r="BO372" i="1" s="1"/>
  <c r="BP372" i="1" s="1"/>
  <c r="BS372" i="1"/>
  <c r="BR372" i="1" s="1"/>
  <c r="BK373" i="1"/>
  <c r="BL373" i="1"/>
  <c r="BM373" i="1"/>
  <c r="BN373" i="1"/>
  <c r="BO373" i="1" s="1"/>
  <c r="BP373" i="1" s="1"/>
  <c r="BS373" i="1"/>
  <c r="BR373" i="1" s="1"/>
  <c r="BK374" i="1"/>
  <c r="BL374" i="1"/>
  <c r="BM374" i="1"/>
  <c r="BN374" i="1"/>
  <c r="BO374" i="1" s="1"/>
  <c r="BP374" i="1" s="1"/>
  <c r="BS374" i="1"/>
  <c r="BR374" i="1" s="1"/>
  <c r="BK375" i="1"/>
  <c r="BL375" i="1" s="1"/>
  <c r="BM375" i="1"/>
  <c r="BN375" i="1"/>
  <c r="BO375" i="1" s="1"/>
  <c r="BP375" i="1" s="1"/>
  <c r="BS375" i="1"/>
  <c r="BR375" i="1" s="1"/>
  <c r="BK376" i="1"/>
  <c r="BL376" i="1" s="1"/>
  <c r="BM376" i="1"/>
  <c r="BN376" i="1"/>
  <c r="BO376" i="1" s="1"/>
  <c r="BP376" i="1" s="1"/>
  <c r="BS376" i="1"/>
  <c r="BR376" i="1" s="1"/>
  <c r="BK377" i="1"/>
  <c r="BL377" i="1" s="1"/>
  <c r="BM377" i="1"/>
  <c r="BN377" i="1"/>
  <c r="BO377" i="1" s="1"/>
  <c r="BP377" i="1" s="1"/>
  <c r="BS377" i="1"/>
  <c r="BR377" i="1" s="1"/>
  <c r="BK378" i="1"/>
  <c r="BL378" i="1" s="1"/>
  <c r="BM378" i="1"/>
  <c r="BN378" i="1"/>
  <c r="BO378" i="1" s="1"/>
  <c r="BP378" i="1" s="1"/>
  <c r="BS378" i="1"/>
  <c r="BR378" i="1" s="1"/>
  <c r="BK379" i="1"/>
  <c r="BL379" i="1" s="1"/>
  <c r="BM379" i="1"/>
  <c r="BN379" i="1"/>
  <c r="BO379" i="1" s="1"/>
  <c r="BP379" i="1" s="1"/>
  <c r="BS379" i="1"/>
  <c r="BR379" i="1" s="1"/>
  <c r="BK380" i="1"/>
  <c r="BL380" i="1" s="1"/>
  <c r="BM380" i="1"/>
  <c r="BN380" i="1"/>
  <c r="BO380" i="1" s="1"/>
  <c r="BP380" i="1" s="1"/>
  <c r="BS380" i="1"/>
  <c r="BR380" i="1" s="1"/>
  <c r="BK381" i="1"/>
  <c r="BL381" i="1" s="1"/>
  <c r="BM381" i="1"/>
  <c r="BN381" i="1"/>
  <c r="BO381" i="1" s="1"/>
  <c r="BP381" i="1" s="1"/>
  <c r="BS381" i="1"/>
  <c r="BR381" i="1" s="1"/>
  <c r="BK382" i="1"/>
  <c r="BL382" i="1"/>
  <c r="BM382" i="1"/>
  <c r="BN382" i="1"/>
  <c r="BO382" i="1" s="1"/>
  <c r="BP382" i="1" s="1"/>
  <c r="BS382" i="1"/>
  <c r="BR382" i="1" s="1"/>
  <c r="BK383" i="1"/>
  <c r="BL383" i="1"/>
  <c r="BM383" i="1"/>
  <c r="BN383" i="1"/>
  <c r="BO383" i="1" s="1"/>
  <c r="BP383" i="1" s="1"/>
  <c r="BS383" i="1"/>
  <c r="BR383" i="1" s="1"/>
  <c r="BK384" i="1"/>
  <c r="BL384" i="1"/>
  <c r="BM384" i="1"/>
  <c r="BN384" i="1"/>
  <c r="BO384" i="1" s="1"/>
  <c r="BP384" i="1" s="1"/>
  <c r="BS384" i="1"/>
  <c r="BR384" i="1" s="1"/>
  <c r="BK385" i="1"/>
  <c r="BL385" i="1"/>
  <c r="BM385" i="1"/>
  <c r="BN385" i="1"/>
  <c r="BO385" i="1" s="1"/>
  <c r="BP385" i="1" s="1"/>
  <c r="BS385" i="1"/>
  <c r="BR385" i="1" s="1"/>
  <c r="BK386" i="1"/>
  <c r="BL386" i="1" s="1"/>
  <c r="BM386" i="1"/>
  <c r="BN386" i="1"/>
  <c r="BO386" i="1" s="1"/>
  <c r="BP386" i="1" s="1"/>
  <c r="BS386" i="1"/>
  <c r="BR386" i="1" s="1"/>
  <c r="BK387" i="1"/>
  <c r="BL387" i="1" s="1"/>
  <c r="BM387" i="1"/>
  <c r="BN387" i="1"/>
  <c r="BO387" i="1" s="1"/>
  <c r="BP387" i="1" s="1"/>
  <c r="BS387" i="1"/>
  <c r="BR387" i="1" s="1"/>
  <c r="BK388" i="1"/>
  <c r="BL388" i="1" s="1"/>
  <c r="BM388" i="1"/>
  <c r="BN388" i="1"/>
  <c r="BO388" i="1" s="1"/>
  <c r="BP388" i="1" s="1"/>
  <c r="BS388" i="1"/>
  <c r="BR388" i="1" s="1"/>
  <c r="BK389" i="1"/>
  <c r="BL389" i="1"/>
  <c r="BM389" i="1"/>
  <c r="BN389" i="1"/>
  <c r="BO389" i="1" s="1"/>
  <c r="BP389" i="1" s="1"/>
  <c r="BS389" i="1"/>
  <c r="BR389" i="1" s="1"/>
  <c r="BK390" i="1"/>
  <c r="BL390" i="1" s="1"/>
  <c r="BM390" i="1"/>
  <c r="BN390" i="1"/>
  <c r="BO390" i="1" s="1"/>
  <c r="BP390" i="1" s="1"/>
  <c r="BS390" i="1"/>
  <c r="BR390" i="1" s="1"/>
  <c r="BK391" i="1"/>
  <c r="BL391" i="1" s="1"/>
  <c r="BM391" i="1"/>
  <c r="BN391" i="1"/>
  <c r="BO391" i="1" s="1"/>
  <c r="BP391" i="1" s="1"/>
  <c r="BS391" i="1"/>
  <c r="BR391" i="1" s="1"/>
  <c r="BK392" i="1"/>
  <c r="BL392" i="1" s="1"/>
  <c r="BM392" i="1"/>
  <c r="BN392" i="1"/>
  <c r="BO392" i="1" s="1"/>
  <c r="BP392" i="1" s="1"/>
  <c r="BS392" i="1"/>
  <c r="BR392" i="1" s="1"/>
  <c r="BK393" i="1"/>
  <c r="BL393" i="1" s="1"/>
  <c r="BM393" i="1"/>
  <c r="BN393" i="1"/>
  <c r="BO393" i="1" s="1"/>
  <c r="BP393" i="1" s="1"/>
  <c r="BS393" i="1"/>
  <c r="BR393" i="1" s="1"/>
  <c r="BK394" i="1"/>
  <c r="BL394" i="1"/>
  <c r="BM394" i="1"/>
  <c r="BN394" i="1"/>
  <c r="BO394" i="1" s="1"/>
  <c r="BP394" i="1" s="1"/>
  <c r="BS394" i="1"/>
  <c r="BR394" i="1" s="1"/>
  <c r="BK395" i="1"/>
  <c r="BL395" i="1" s="1"/>
  <c r="BM395" i="1"/>
  <c r="BN395" i="1"/>
  <c r="BO395" i="1" s="1"/>
  <c r="BP395" i="1" s="1"/>
  <c r="BS395" i="1"/>
  <c r="BR395" i="1" s="1"/>
  <c r="BK396" i="1"/>
  <c r="BL396" i="1" s="1"/>
  <c r="BM396" i="1"/>
  <c r="BN396" i="1"/>
  <c r="BO396" i="1" s="1"/>
  <c r="BP396" i="1" s="1"/>
  <c r="BS396" i="1"/>
  <c r="BR396" i="1" s="1"/>
  <c r="BK397" i="1"/>
  <c r="BL397" i="1" s="1"/>
  <c r="BM397" i="1"/>
  <c r="BN397" i="1"/>
  <c r="BO397" i="1" s="1"/>
  <c r="BP397" i="1" s="1"/>
  <c r="BS397" i="1"/>
  <c r="BR397" i="1" s="1"/>
  <c r="BK398" i="1"/>
  <c r="BL398" i="1" s="1"/>
  <c r="BM398" i="1"/>
  <c r="BN398" i="1"/>
  <c r="BO398" i="1" s="1"/>
  <c r="BP398" i="1" s="1"/>
  <c r="BS398" i="1"/>
  <c r="BR398" i="1" s="1"/>
  <c r="BK399" i="1"/>
  <c r="BL399" i="1" s="1"/>
  <c r="BM399" i="1"/>
  <c r="BN399" i="1"/>
  <c r="BO399" i="1" s="1"/>
  <c r="BP399" i="1" s="1"/>
  <c r="BS399" i="1"/>
  <c r="BR399" i="1" s="1"/>
  <c r="BK400" i="1"/>
  <c r="BL400" i="1" s="1"/>
  <c r="BM400" i="1"/>
  <c r="BN400" i="1"/>
  <c r="BO400" i="1" s="1"/>
  <c r="BP400" i="1" s="1"/>
  <c r="BS400" i="1"/>
  <c r="BR400" i="1" s="1"/>
  <c r="BK401" i="1"/>
  <c r="BL401" i="1"/>
  <c r="BM401" i="1"/>
  <c r="BN401" i="1"/>
  <c r="BO401" i="1" s="1"/>
  <c r="BP401" i="1" s="1"/>
  <c r="BS401" i="1"/>
  <c r="BR401" i="1" s="1"/>
  <c r="BK402" i="1"/>
  <c r="BL402" i="1"/>
  <c r="BM402" i="1"/>
  <c r="BN402" i="1"/>
  <c r="BO402" i="1" s="1"/>
  <c r="BP402" i="1" s="1"/>
  <c r="BS402" i="1"/>
  <c r="BR402" i="1" s="1"/>
  <c r="BK403" i="1"/>
  <c r="BL403" i="1" s="1"/>
  <c r="BM403" i="1"/>
  <c r="BN403" i="1"/>
  <c r="BO403" i="1" s="1"/>
  <c r="BP403" i="1" s="1"/>
  <c r="BS403" i="1"/>
  <c r="BR403" i="1" s="1"/>
  <c r="BK404" i="1"/>
  <c r="BL404" i="1" s="1"/>
  <c r="BM404" i="1"/>
  <c r="BN404" i="1"/>
  <c r="BO404" i="1" s="1"/>
  <c r="BP404" i="1" s="1"/>
  <c r="BS404" i="1"/>
  <c r="BR404" i="1" s="1"/>
  <c r="BK405" i="1"/>
  <c r="BL405" i="1"/>
  <c r="BM405" i="1"/>
  <c r="BN405" i="1"/>
  <c r="BO405" i="1" s="1"/>
  <c r="BP405" i="1" s="1"/>
  <c r="BS405" i="1"/>
  <c r="BR405" i="1" s="1"/>
  <c r="BK406" i="1"/>
  <c r="BL406" i="1"/>
  <c r="BM406" i="1"/>
  <c r="BN406" i="1"/>
  <c r="BO406" i="1" s="1"/>
  <c r="BP406" i="1" s="1"/>
  <c r="BS406" i="1"/>
  <c r="BR406" i="1" s="1"/>
  <c r="BK407" i="1"/>
  <c r="BL407" i="1" s="1"/>
  <c r="BM407" i="1"/>
  <c r="BN407" i="1"/>
  <c r="BO407" i="1" s="1"/>
  <c r="BP407" i="1" s="1"/>
  <c r="BS407" i="1"/>
  <c r="BR407" i="1" s="1"/>
  <c r="BK408" i="1"/>
  <c r="BL408" i="1" s="1"/>
  <c r="BM408" i="1"/>
  <c r="BN408" i="1"/>
  <c r="BO408" i="1" s="1"/>
  <c r="BP408" i="1" s="1"/>
  <c r="BS408" i="1"/>
  <c r="BR408" i="1" s="1"/>
  <c r="BK409" i="1"/>
  <c r="BL409" i="1" s="1"/>
  <c r="BM409" i="1"/>
  <c r="BN409" i="1"/>
  <c r="BO409" i="1" s="1"/>
  <c r="BP409" i="1" s="1"/>
  <c r="BS409" i="1"/>
  <c r="BR409" i="1" s="1"/>
  <c r="BK410" i="1"/>
  <c r="BL410" i="1"/>
  <c r="BM410" i="1"/>
  <c r="BN410" i="1"/>
  <c r="BO410" i="1" s="1"/>
  <c r="BP410" i="1" s="1"/>
  <c r="BS410" i="1"/>
  <c r="BR410" i="1" s="1"/>
  <c r="BK411" i="1"/>
  <c r="BL411" i="1"/>
  <c r="BM411" i="1"/>
  <c r="BN411" i="1"/>
  <c r="BO411" i="1" s="1"/>
  <c r="BP411" i="1" s="1"/>
  <c r="BS411" i="1"/>
  <c r="BR411" i="1" s="1"/>
  <c r="BK412" i="1"/>
  <c r="BL412" i="1" s="1"/>
  <c r="BM412" i="1"/>
  <c r="BN412" i="1"/>
  <c r="BO412" i="1" s="1"/>
  <c r="BP412" i="1" s="1"/>
  <c r="BS412" i="1"/>
  <c r="BR412" i="1" s="1"/>
  <c r="BK413" i="1"/>
  <c r="BL413" i="1" s="1"/>
  <c r="BM413" i="1"/>
  <c r="BN413" i="1"/>
  <c r="BO413" i="1" s="1"/>
  <c r="BP413" i="1" s="1"/>
  <c r="BS413" i="1"/>
  <c r="BR413" i="1" s="1"/>
  <c r="BK414" i="1"/>
  <c r="BL414" i="1" s="1"/>
  <c r="BM414" i="1"/>
  <c r="BN414" i="1"/>
  <c r="BO414" i="1" s="1"/>
  <c r="BP414" i="1" s="1"/>
  <c r="BS414" i="1"/>
  <c r="BR414" i="1" s="1"/>
  <c r="BK415" i="1"/>
  <c r="BL415" i="1" s="1"/>
  <c r="BM415" i="1"/>
  <c r="BN415" i="1"/>
  <c r="BO415" i="1" s="1"/>
  <c r="BP415" i="1" s="1"/>
  <c r="BS415" i="1"/>
  <c r="BR415" i="1" s="1"/>
  <c r="BK416" i="1"/>
  <c r="BL416" i="1" s="1"/>
  <c r="BM416" i="1"/>
  <c r="BN416" i="1"/>
  <c r="BO416" i="1" s="1"/>
  <c r="BP416" i="1" s="1"/>
  <c r="BS416" i="1"/>
  <c r="BR416" i="1" s="1"/>
  <c r="BK417" i="1"/>
  <c r="BL417" i="1"/>
  <c r="BM417" i="1"/>
  <c r="BN417" i="1"/>
  <c r="BO417" i="1" s="1"/>
  <c r="BP417" i="1" s="1"/>
  <c r="BS417" i="1"/>
  <c r="BR417" i="1" s="1"/>
  <c r="BK418" i="1"/>
  <c r="BL418" i="1"/>
  <c r="BM418" i="1"/>
  <c r="BN418" i="1"/>
  <c r="BO418" i="1" s="1"/>
  <c r="BP418" i="1" s="1"/>
  <c r="BS418" i="1"/>
  <c r="BR418" i="1" s="1"/>
  <c r="BK419" i="1"/>
  <c r="BL419" i="1" s="1"/>
  <c r="BM419" i="1"/>
  <c r="BN419" i="1"/>
  <c r="BO419" i="1" s="1"/>
  <c r="BP419" i="1" s="1"/>
  <c r="BS419" i="1"/>
  <c r="BR419" i="1" s="1"/>
  <c r="BK420" i="1"/>
  <c r="BL420" i="1" s="1"/>
  <c r="BM420" i="1"/>
  <c r="BN420" i="1"/>
  <c r="BO420" i="1" s="1"/>
  <c r="BP420" i="1" s="1"/>
  <c r="BS420" i="1"/>
  <c r="BR420" i="1" s="1"/>
  <c r="BK421" i="1"/>
  <c r="BL421" i="1" s="1"/>
  <c r="BM421" i="1"/>
  <c r="BN421" i="1"/>
  <c r="BO421" i="1" s="1"/>
  <c r="BP421" i="1" s="1"/>
  <c r="BS421" i="1"/>
  <c r="BR421" i="1" s="1"/>
  <c r="BK422" i="1"/>
  <c r="BL422" i="1" s="1"/>
  <c r="BM422" i="1"/>
  <c r="BN422" i="1"/>
  <c r="BO422" i="1" s="1"/>
  <c r="BP422" i="1" s="1"/>
  <c r="BS422" i="1"/>
  <c r="BR422" i="1" s="1"/>
  <c r="BK423" i="1"/>
  <c r="BL423" i="1" s="1"/>
  <c r="BM423" i="1"/>
  <c r="BN423" i="1"/>
  <c r="BO423" i="1" s="1"/>
  <c r="BP423" i="1" s="1"/>
  <c r="BS423" i="1"/>
  <c r="BR423" i="1" s="1"/>
  <c r="BK424" i="1"/>
  <c r="BL424" i="1" s="1"/>
  <c r="BM424" i="1"/>
  <c r="BN424" i="1"/>
  <c r="BO424" i="1" s="1"/>
  <c r="BP424" i="1" s="1"/>
  <c r="BS424" i="1"/>
  <c r="BR424" i="1" s="1"/>
  <c r="BK425" i="1"/>
  <c r="BL425" i="1" s="1"/>
  <c r="BM425" i="1"/>
  <c r="BN425" i="1"/>
  <c r="BO425" i="1" s="1"/>
  <c r="BP425" i="1" s="1"/>
  <c r="BS425" i="1"/>
  <c r="BR425" i="1" s="1"/>
  <c r="BK426" i="1"/>
  <c r="BL426" i="1" s="1"/>
  <c r="BM426" i="1"/>
  <c r="BN426" i="1"/>
  <c r="BO426" i="1" s="1"/>
  <c r="BP426" i="1" s="1"/>
  <c r="BS426" i="1"/>
  <c r="BR426" i="1" s="1"/>
  <c r="BK427" i="1"/>
  <c r="BL427" i="1" s="1"/>
  <c r="BM427" i="1"/>
  <c r="BN427" i="1"/>
  <c r="BO427" i="1" s="1"/>
  <c r="BP427" i="1" s="1"/>
  <c r="BS427" i="1"/>
  <c r="BR427" i="1" s="1"/>
  <c r="BK428" i="1"/>
  <c r="BL428" i="1" s="1"/>
  <c r="BM428" i="1"/>
  <c r="BN428" i="1"/>
  <c r="BO428" i="1" s="1"/>
  <c r="BP428" i="1" s="1"/>
  <c r="BS428" i="1"/>
  <c r="BR428" i="1" s="1"/>
  <c r="BK429" i="1"/>
  <c r="BL429" i="1" s="1"/>
  <c r="BM429" i="1"/>
  <c r="BN429" i="1"/>
  <c r="BO429" i="1" s="1"/>
  <c r="BP429" i="1" s="1"/>
  <c r="BS429" i="1"/>
  <c r="BR429" i="1" s="1"/>
  <c r="BK430" i="1"/>
  <c r="BL430" i="1" s="1"/>
  <c r="BM430" i="1"/>
  <c r="BN430" i="1"/>
  <c r="BO430" i="1" s="1"/>
  <c r="BP430" i="1" s="1"/>
  <c r="BS430" i="1"/>
  <c r="BR430" i="1" s="1"/>
  <c r="BK431" i="1"/>
  <c r="BL431" i="1" s="1"/>
  <c r="BM431" i="1"/>
  <c r="BN431" i="1"/>
  <c r="BO431" i="1" s="1"/>
  <c r="BP431" i="1" s="1"/>
  <c r="BS431" i="1"/>
  <c r="BR431" i="1" s="1"/>
  <c r="BK432" i="1"/>
  <c r="BL432" i="1" s="1"/>
  <c r="BM432" i="1"/>
  <c r="BN432" i="1"/>
  <c r="BO432" i="1" s="1"/>
  <c r="BP432" i="1" s="1"/>
  <c r="BS432" i="1"/>
  <c r="BR432" i="1" s="1"/>
  <c r="BK433" i="1"/>
  <c r="BL433" i="1"/>
  <c r="BM433" i="1"/>
  <c r="BN433" i="1"/>
  <c r="BO433" i="1" s="1"/>
  <c r="BP433" i="1" s="1"/>
  <c r="BS433" i="1"/>
  <c r="BR433" i="1" s="1"/>
  <c r="BK434" i="1"/>
  <c r="BL434" i="1"/>
  <c r="BM434" i="1"/>
  <c r="BN434" i="1"/>
  <c r="BO434" i="1" s="1"/>
  <c r="BP434" i="1" s="1"/>
  <c r="BS434" i="1"/>
  <c r="BR434" i="1" s="1"/>
  <c r="BK435" i="1"/>
  <c r="BL435" i="1"/>
  <c r="BM435" i="1"/>
  <c r="BN435" i="1"/>
  <c r="BO435" i="1" s="1"/>
  <c r="BP435" i="1" s="1"/>
  <c r="BS435" i="1"/>
  <c r="BR435" i="1" s="1"/>
  <c r="BK436" i="1"/>
  <c r="BL436" i="1"/>
  <c r="BM436" i="1"/>
  <c r="BN436" i="1"/>
  <c r="BO436" i="1" s="1"/>
  <c r="BP436" i="1" s="1"/>
  <c r="BS436" i="1"/>
  <c r="BR436" i="1" s="1"/>
  <c r="BK437" i="1"/>
  <c r="BL437" i="1"/>
  <c r="BM437" i="1"/>
  <c r="BN437" i="1"/>
  <c r="BO437" i="1" s="1"/>
  <c r="BP437" i="1" s="1"/>
  <c r="BS437" i="1"/>
  <c r="BR437" i="1" s="1"/>
  <c r="BK438" i="1"/>
  <c r="BL438" i="1"/>
  <c r="BM438" i="1"/>
  <c r="BN438" i="1"/>
  <c r="BO438" i="1" s="1"/>
  <c r="BP438" i="1" s="1"/>
  <c r="BS438" i="1"/>
  <c r="BR438" i="1" s="1"/>
  <c r="BK439" i="1"/>
  <c r="BL439" i="1"/>
  <c r="BM439" i="1"/>
  <c r="BN439" i="1"/>
  <c r="BO439" i="1" s="1"/>
  <c r="BP439" i="1" s="1"/>
  <c r="BS439" i="1"/>
  <c r="BR439" i="1" s="1"/>
  <c r="BK440" i="1"/>
  <c r="BL440" i="1" s="1"/>
  <c r="BM440" i="1"/>
  <c r="BN440" i="1"/>
  <c r="BO440" i="1" s="1"/>
  <c r="BP440" i="1" s="1"/>
  <c r="BS440" i="1"/>
  <c r="BR440" i="1" s="1"/>
  <c r="BK441" i="1"/>
  <c r="BL441" i="1" s="1"/>
  <c r="BM441" i="1"/>
  <c r="BN441" i="1"/>
  <c r="BO441" i="1" s="1"/>
  <c r="BP441" i="1" s="1"/>
  <c r="BS441" i="1"/>
  <c r="BR441" i="1" s="1"/>
  <c r="BK442" i="1"/>
  <c r="BL442" i="1" s="1"/>
  <c r="BM442" i="1"/>
  <c r="BN442" i="1"/>
  <c r="BO442" i="1" s="1"/>
  <c r="BP442" i="1" s="1"/>
  <c r="BS442" i="1"/>
  <c r="BR442" i="1" s="1"/>
  <c r="BK443" i="1"/>
  <c r="BL443" i="1" s="1"/>
  <c r="BM443" i="1"/>
  <c r="BN443" i="1"/>
  <c r="BO443" i="1" s="1"/>
  <c r="BP443" i="1" s="1"/>
  <c r="BS443" i="1"/>
  <c r="BR443" i="1" s="1"/>
  <c r="BK444" i="1"/>
  <c r="BL444" i="1" s="1"/>
  <c r="BM444" i="1"/>
  <c r="BN444" i="1"/>
  <c r="BO444" i="1" s="1"/>
  <c r="BP444" i="1" s="1"/>
  <c r="BS444" i="1"/>
  <c r="BR444" i="1" s="1"/>
  <c r="BK445" i="1"/>
  <c r="BL445" i="1" s="1"/>
  <c r="BM445" i="1"/>
  <c r="BN445" i="1"/>
  <c r="BO445" i="1" s="1"/>
  <c r="BP445" i="1" s="1"/>
  <c r="BS445" i="1"/>
  <c r="BR445" i="1" s="1"/>
  <c r="BK446" i="1"/>
  <c r="BL446" i="1" s="1"/>
  <c r="BM446" i="1"/>
  <c r="BN446" i="1"/>
  <c r="BO446" i="1" s="1"/>
  <c r="BP446" i="1" s="1"/>
  <c r="BS446" i="1"/>
  <c r="BR446" i="1" s="1"/>
  <c r="BK447" i="1"/>
  <c r="BL447" i="1"/>
  <c r="BM447" i="1"/>
  <c r="BN447" i="1"/>
  <c r="BO447" i="1" s="1"/>
  <c r="BP447" i="1" s="1"/>
  <c r="BS447" i="1"/>
  <c r="BR447" i="1" s="1"/>
  <c r="BK448" i="1"/>
  <c r="BL448" i="1" s="1"/>
  <c r="BM448" i="1"/>
  <c r="BN448" i="1"/>
  <c r="BO448" i="1" s="1"/>
  <c r="BP448" i="1" s="1"/>
  <c r="BS448" i="1"/>
  <c r="BR448" i="1" s="1"/>
  <c r="BK449" i="1"/>
  <c r="BL449" i="1" s="1"/>
  <c r="BM449" i="1"/>
  <c r="BN449" i="1"/>
  <c r="BO449" i="1" s="1"/>
  <c r="BP449" i="1" s="1"/>
  <c r="BS449" i="1"/>
  <c r="BR449" i="1" s="1"/>
  <c r="BK450" i="1"/>
  <c r="BL450" i="1" s="1"/>
  <c r="BM450" i="1"/>
  <c r="BN450" i="1"/>
  <c r="BO450" i="1" s="1"/>
  <c r="BP450" i="1" s="1"/>
  <c r="BS450" i="1"/>
  <c r="BR450" i="1" s="1"/>
  <c r="BK451" i="1"/>
  <c r="BL451" i="1"/>
  <c r="BM451" i="1"/>
  <c r="BN451" i="1"/>
  <c r="BO451" i="1" s="1"/>
  <c r="BP451" i="1" s="1"/>
  <c r="BS451" i="1"/>
  <c r="BR451" i="1" s="1"/>
  <c r="BK452" i="1"/>
  <c r="BL452" i="1" s="1"/>
  <c r="BM452" i="1"/>
  <c r="BN452" i="1"/>
  <c r="BO452" i="1" s="1"/>
  <c r="BP452" i="1" s="1"/>
  <c r="BS452" i="1"/>
  <c r="BR452" i="1" s="1"/>
  <c r="BK453" i="1"/>
  <c r="BL453" i="1" s="1"/>
  <c r="BM453" i="1"/>
  <c r="BN453" i="1"/>
  <c r="BO453" i="1" s="1"/>
  <c r="BP453" i="1" s="1"/>
  <c r="BS453" i="1"/>
  <c r="BR453" i="1" s="1"/>
  <c r="BK454" i="1"/>
  <c r="BL454" i="1" s="1"/>
  <c r="BM454" i="1"/>
  <c r="BN454" i="1"/>
  <c r="BO454" i="1" s="1"/>
  <c r="BP454" i="1" s="1"/>
  <c r="BS454" i="1"/>
  <c r="BR454" i="1" s="1"/>
  <c r="BK455" i="1"/>
  <c r="BL455" i="1" s="1"/>
  <c r="BM455" i="1"/>
  <c r="BN455" i="1"/>
  <c r="BO455" i="1" s="1"/>
  <c r="BP455" i="1" s="1"/>
  <c r="BS455" i="1"/>
  <c r="BR455" i="1" s="1"/>
  <c r="BK456" i="1"/>
  <c r="BL456" i="1" s="1"/>
  <c r="BM456" i="1"/>
  <c r="BN456" i="1"/>
  <c r="BO456" i="1" s="1"/>
  <c r="BP456" i="1" s="1"/>
  <c r="BS456" i="1"/>
  <c r="BR456" i="1" s="1"/>
  <c r="BK457" i="1"/>
  <c r="BL457" i="1" s="1"/>
  <c r="BM457" i="1"/>
  <c r="BN457" i="1"/>
  <c r="BO457" i="1" s="1"/>
  <c r="BP457" i="1" s="1"/>
  <c r="BS457" i="1"/>
  <c r="BR457" i="1" s="1"/>
  <c r="BK458" i="1"/>
  <c r="BL458" i="1" s="1"/>
  <c r="BM458" i="1"/>
  <c r="BN458" i="1"/>
  <c r="BO458" i="1" s="1"/>
  <c r="BP458" i="1" s="1"/>
  <c r="BS458" i="1"/>
  <c r="BR458" i="1" s="1"/>
  <c r="BK459" i="1"/>
  <c r="BL459" i="1" s="1"/>
  <c r="BM459" i="1"/>
  <c r="BN459" i="1"/>
  <c r="BO459" i="1" s="1"/>
  <c r="BP459" i="1" s="1"/>
  <c r="BS459" i="1"/>
  <c r="BR459" i="1" s="1"/>
  <c r="BK460" i="1"/>
  <c r="BL460" i="1" s="1"/>
  <c r="BM460" i="1"/>
  <c r="BN460" i="1"/>
  <c r="BO460" i="1" s="1"/>
  <c r="BP460" i="1" s="1"/>
  <c r="BS460" i="1"/>
  <c r="BR460" i="1" s="1"/>
  <c r="BK461" i="1"/>
  <c r="BL461" i="1"/>
  <c r="BM461" i="1"/>
  <c r="BN461" i="1"/>
  <c r="BO461" i="1" s="1"/>
  <c r="BP461" i="1" s="1"/>
  <c r="BS461" i="1"/>
  <c r="BR461" i="1" s="1"/>
  <c r="BK462" i="1"/>
  <c r="BL462" i="1"/>
  <c r="BM462" i="1"/>
  <c r="BN462" i="1"/>
  <c r="BO462" i="1" s="1"/>
  <c r="BP462" i="1" s="1"/>
  <c r="BS462" i="1"/>
  <c r="BR462" i="1" s="1"/>
  <c r="BK463" i="1"/>
  <c r="BL463" i="1"/>
  <c r="BM463" i="1"/>
  <c r="BN463" i="1"/>
  <c r="BO463" i="1" s="1"/>
  <c r="BP463" i="1" s="1"/>
  <c r="BS463" i="1"/>
  <c r="BR463" i="1" s="1"/>
  <c r="BK464" i="1"/>
  <c r="BL464" i="1"/>
  <c r="BM464" i="1"/>
  <c r="BN464" i="1"/>
  <c r="BO464" i="1" s="1"/>
  <c r="BP464" i="1" s="1"/>
  <c r="BS464" i="1"/>
  <c r="BR464" i="1" s="1"/>
  <c r="BK465" i="1"/>
  <c r="BL465" i="1"/>
  <c r="BM465" i="1"/>
  <c r="BN465" i="1"/>
  <c r="BO465" i="1" s="1"/>
  <c r="BP465" i="1" s="1"/>
  <c r="BS465" i="1"/>
  <c r="BR465" i="1" s="1"/>
  <c r="BK466" i="1"/>
  <c r="BL466" i="1"/>
  <c r="BM466" i="1"/>
  <c r="BN466" i="1"/>
  <c r="BO466" i="1" s="1"/>
  <c r="BP466" i="1" s="1"/>
  <c r="BS466" i="1"/>
  <c r="BR466" i="1" s="1"/>
  <c r="BK467" i="1"/>
  <c r="BL467" i="1"/>
  <c r="BM467" i="1"/>
  <c r="BN467" i="1"/>
  <c r="BO467" i="1" s="1"/>
  <c r="BP467" i="1" s="1"/>
  <c r="BS467" i="1"/>
  <c r="BR467" i="1" s="1"/>
  <c r="BK468" i="1"/>
  <c r="BL468" i="1"/>
  <c r="BM468" i="1"/>
  <c r="BN468" i="1"/>
  <c r="BO468" i="1" s="1"/>
  <c r="BP468" i="1" s="1"/>
  <c r="BS468" i="1"/>
  <c r="BR468" i="1" s="1"/>
  <c r="BK469" i="1"/>
  <c r="BL469" i="1"/>
  <c r="BM469" i="1"/>
  <c r="BN469" i="1"/>
  <c r="BO469" i="1" s="1"/>
  <c r="BP469" i="1" s="1"/>
  <c r="BS469" i="1"/>
  <c r="BR469" i="1" s="1"/>
  <c r="BK470" i="1"/>
  <c r="BL470" i="1" s="1"/>
  <c r="BM470" i="1"/>
  <c r="BN470" i="1"/>
  <c r="BO470" i="1" s="1"/>
  <c r="BP470" i="1" s="1"/>
  <c r="BS470" i="1"/>
  <c r="BR470" i="1" s="1"/>
  <c r="BK471" i="1"/>
  <c r="BL471" i="1" s="1"/>
  <c r="BM471" i="1"/>
  <c r="BN471" i="1"/>
  <c r="BO471" i="1" s="1"/>
  <c r="BP471" i="1" s="1"/>
  <c r="BS471" i="1"/>
  <c r="BR471" i="1" s="1"/>
  <c r="BK472" i="1"/>
  <c r="BL472" i="1" s="1"/>
  <c r="BM472" i="1"/>
  <c r="BN472" i="1"/>
  <c r="BO472" i="1" s="1"/>
  <c r="BP472" i="1" s="1"/>
  <c r="BS472" i="1"/>
  <c r="BR472" i="1" s="1"/>
  <c r="BK473" i="1"/>
  <c r="BL473" i="1" s="1"/>
  <c r="BM473" i="1"/>
  <c r="BN473" i="1"/>
  <c r="BO473" i="1" s="1"/>
  <c r="BP473" i="1" s="1"/>
  <c r="BS473" i="1"/>
  <c r="BR473" i="1" s="1"/>
  <c r="BK474" i="1"/>
  <c r="BL474" i="1"/>
  <c r="BM474" i="1"/>
  <c r="BN474" i="1"/>
  <c r="BO474" i="1" s="1"/>
  <c r="BP474" i="1" s="1"/>
  <c r="BS474" i="1"/>
  <c r="BR474" i="1" s="1"/>
  <c r="BK475" i="1"/>
  <c r="BL475" i="1" s="1"/>
  <c r="BM475" i="1"/>
  <c r="BN475" i="1"/>
  <c r="BO475" i="1" s="1"/>
  <c r="BP475" i="1" s="1"/>
  <c r="BS475" i="1"/>
  <c r="BR475" i="1" s="1"/>
  <c r="BK476" i="1"/>
  <c r="BL476" i="1" s="1"/>
  <c r="BM476" i="1"/>
  <c r="BN476" i="1"/>
  <c r="BO476" i="1" s="1"/>
  <c r="BP476" i="1" s="1"/>
  <c r="BS476" i="1"/>
  <c r="BR476" i="1" s="1"/>
  <c r="BK477" i="1"/>
  <c r="BL477" i="1" s="1"/>
  <c r="BM477" i="1"/>
  <c r="BN477" i="1"/>
  <c r="BO477" i="1" s="1"/>
  <c r="BP477" i="1" s="1"/>
  <c r="BS477" i="1"/>
  <c r="BR477" i="1" s="1"/>
  <c r="BK478" i="1"/>
  <c r="BL478" i="1" s="1"/>
  <c r="BM478" i="1"/>
  <c r="BN478" i="1"/>
  <c r="BO478" i="1" s="1"/>
  <c r="BP478" i="1" s="1"/>
  <c r="BS478" i="1"/>
  <c r="BR478" i="1" s="1"/>
  <c r="BK479" i="1"/>
  <c r="BL479" i="1" s="1"/>
  <c r="BM479" i="1"/>
  <c r="BN479" i="1"/>
  <c r="BO479" i="1" s="1"/>
  <c r="BP479" i="1" s="1"/>
  <c r="BS479" i="1"/>
  <c r="BR479" i="1" s="1"/>
  <c r="BK480" i="1"/>
  <c r="BL480" i="1"/>
  <c r="BM480" i="1"/>
  <c r="BN480" i="1"/>
  <c r="BO480" i="1" s="1"/>
  <c r="BP480" i="1" s="1"/>
  <c r="BS480" i="1"/>
  <c r="BR480" i="1" s="1"/>
  <c r="BK481" i="1"/>
  <c r="BL481" i="1"/>
  <c r="BM481" i="1"/>
  <c r="BN481" i="1"/>
  <c r="BO481" i="1" s="1"/>
  <c r="BP481" i="1" s="1"/>
  <c r="BS481" i="1"/>
  <c r="BR481" i="1" s="1"/>
  <c r="BK482" i="1"/>
  <c r="BL482" i="1" s="1"/>
  <c r="BM482" i="1"/>
  <c r="BN482" i="1"/>
  <c r="BO482" i="1" s="1"/>
  <c r="BP482" i="1" s="1"/>
  <c r="BS482" i="1"/>
  <c r="BR482" i="1" s="1"/>
  <c r="BK483" i="1"/>
  <c r="BL483" i="1" s="1"/>
  <c r="BM483" i="1"/>
  <c r="BN483" i="1"/>
  <c r="BO483" i="1" s="1"/>
  <c r="BP483" i="1" s="1"/>
  <c r="BS483" i="1"/>
  <c r="BR483" i="1" s="1"/>
  <c r="BK484" i="1"/>
  <c r="BL484" i="1" s="1"/>
  <c r="BM484" i="1"/>
  <c r="BN484" i="1"/>
  <c r="BO484" i="1" s="1"/>
  <c r="BP484" i="1" s="1"/>
  <c r="BS484" i="1"/>
  <c r="BR484" i="1" s="1"/>
  <c r="BK485" i="1"/>
  <c r="BL485" i="1" s="1"/>
  <c r="BM485" i="1"/>
  <c r="BN485" i="1"/>
  <c r="BO485" i="1" s="1"/>
  <c r="BP485" i="1" s="1"/>
  <c r="BS485" i="1"/>
  <c r="BR485" i="1" s="1"/>
  <c r="BK486" i="1"/>
  <c r="BL486" i="1" s="1"/>
  <c r="BM486" i="1"/>
  <c r="BN486" i="1"/>
  <c r="BO486" i="1" s="1"/>
  <c r="BP486" i="1" s="1"/>
  <c r="BS486" i="1"/>
  <c r="BR486" i="1" s="1"/>
  <c r="BK487" i="1"/>
  <c r="BL487" i="1" s="1"/>
  <c r="BM487" i="1"/>
  <c r="BN487" i="1"/>
  <c r="BO487" i="1" s="1"/>
  <c r="BP487" i="1" s="1"/>
  <c r="BS487" i="1"/>
  <c r="BR487" i="1" s="1"/>
  <c r="BK488" i="1"/>
  <c r="BL488" i="1"/>
  <c r="BM488" i="1"/>
  <c r="BN488" i="1"/>
  <c r="BO488" i="1" s="1"/>
  <c r="BP488" i="1" s="1"/>
  <c r="BS488" i="1"/>
  <c r="BR488" i="1" s="1"/>
  <c r="BK489" i="1"/>
  <c r="BL489" i="1"/>
  <c r="BM489" i="1"/>
  <c r="BN489" i="1"/>
  <c r="BO489" i="1" s="1"/>
  <c r="BP489" i="1" s="1"/>
  <c r="BS489" i="1"/>
  <c r="BR489" i="1" s="1"/>
  <c r="BK490" i="1"/>
  <c r="BL490" i="1"/>
  <c r="BM490" i="1"/>
  <c r="BN490" i="1"/>
  <c r="BO490" i="1" s="1"/>
  <c r="BP490" i="1" s="1"/>
  <c r="BS490" i="1"/>
  <c r="BR490" i="1" s="1"/>
  <c r="BK491" i="1"/>
  <c r="BL491" i="1"/>
  <c r="BM491" i="1"/>
  <c r="BN491" i="1"/>
  <c r="BO491" i="1" s="1"/>
  <c r="BP491" i="1" s="1"/>
  <c r="BS491" i="1"/>
  <c r="BR491" i="1" s="1"/>
  <c r="BK492" i="1"/>
  <c r="BL492" i="1"/>
  <c r="BM492" i="1"/>
  <c r="BN492" i="1"/>
  <c r="BO492" i="1" s="1"/>
  <c r="BP492" i="1" s="1"/>
  <c r="BS492" i="1"/>
  <c r="BR492" i="1" s="1"/>
  <c r="BK493" i="1"/>
  <c r="BL493" i="1"/>
  <c r="BM493" i="1"/>
  <c r="BN493" i="1"/>
  <c r="BO493" i="1" s="1"/>
  <c r="BP493" i="1" s="1"/>
  <c r="BS493" i="1"/>
  <c r="BR493" i="1" s="1"/>
  <c r="BK494" i="1"/>
  <c r="BL494" i="1"/>
  <c r="BM494" i="1"/>
  <c r="BN494" i="1"/>
  <c r="BO494" i="1" s="1"/>
  <c r="BP494" i="1" s="1"/>
  <c r="BS494" i="1"/>
  <c r="BR494" i="1" s="1"/>
  <c r="BK495" i="1"/>
  <c r="BL495" i="1" s="1"/>
  <c r="BM495" i="1"/>
  <c r="BN495" i="1"/>
  <c r="BO495" i="1" s="1"/>
  <c r="BP495" i="1" s="1"/>
  <c r="BS495" i="1"/>
  <c r="BR495" i="1" s="1"/>
  <c r="BK496" i="1"/>
  <c r="BL496" i="1" s="1"/>
  <c r="BM496" i="1"/>
  <c r="BN496" i="1"/>
  <c r="BO496" i="1" s="1"/>
  <c r="BP496" i="1" s="1"/>
  <c r="BS496" i="1"/>
  <c r="BR496" i="1" s="1"/>
  <c r="BK497" i="1"/>
  <c r="BL497" i="1" s="1"/>
  <c r="BM497" i="1"/>
  <c r="BN497" i="1"/>
  <c r="BO497" i="1" s="1"/>
  <c r="BP497" i="1" s="1"/>
  <c r="BS497" i="1"/>
  <c r="BR497" i="1" s="1"/>
  <c r="BK498" i="1"/>
  <c r="BL498" i="1" s="1"/>
  <c r="BM498" i="1"/>
  <c r="BN498" i="1"/>
  <c r="BO498" i="1" s="1"/>
  <c r="BP498" i="1" s="1"/>
  <c r="BS498" i="1"/>
  <c r="BR498" i="1" s="1"/>
  <c r="BK499" i="1"/>
  <c r="BL499" i="1" s="1"/>
  <c r="BM499" i="1"/>
  <c r="BN499" i="1"/>
  <c r="BO499" i="1" s="1"/>
  <c r="BP499" i="1" s="1"/>
  <c r="BS499" i="1"/>
  <c r="BR499" i="1" s="1"/>
  <c r="BK500" i="1"/>
  <c r="BL500" i="1" s="1"/>
  <c r="BM500" i="1"/>
  <c r="BN500" i="1"/>
  <c r="BO500" i="1" s="1"/>
  <c r="BP500" i="1" s="1"/>
  <c r="BS500" i="1"/>
  <c r="BR500" i="1" s="1"/>
  <c r="BK501" i="1"/>
  <c r="BL501" i="1"/>
  <c r="BM501" i="1"/>
  <c r="BN501" i="1"/>
  <c r="BO501" i="1" s="1"/>
  <c r="BP501" i="1" s="1"/>
  <c r="BS501" i="1"/>
  <c r="BR501" i="1" s="1"/>
  <c r="BK502" i="1"/>
  <c r="BL502" i="1"/>
  <c r="BM502" i="1"/>
  <c r="BN502" i="1"/>
  <c r="BO502" i="1" s="1"/>
  <c r="BP502" i="1" s="1"/>
  <c r="BS502" i="1"/>
  <c r="BR502" i="1" s="1"/>
  <c r="BK503" i="1"/>
  <c r="BL503" i="1" s="1"/>
  <c r="BM503" i="1"/>
  <c r="BN503" i="1"/>
  <c r="BO503" i="1" s="1"/>
  <c r="BP503" i="1" s="1"/>
  <c r="BS503" i="1"/>
  <c r="BR503" i="1" s="1"/>
  <c r="BK504" i="1"/>
  <c r="BL504" i="1" s="1"/>
  <c r="BM504" i="1"/>
  <c r="BN504" i="1"/>
  <c r="BO504" i="1" s="1"/>
  <c r="BP504" i="1" s="1"/>
  <c r="BS504" i="1"/>
  <c r="BR504" i="1" s="1"/>
  <c r="BK505" i="1"/>
  <c r="BL505" i="1"/>
  <c r="BM505" i="1"/>
  <c r="BN505" i="1"/>
  <c r="BO505" i="1" s="1"/>
  <c r="BP505" i="1" s="1"/>
  <c r="BS505" i="1"/>
  <c r="BR505" i="1" s="1"/>
  <c r="BK506" i="1"/>
  <c r="BL506" i="1"/>
  <c r="BM506" i="1"/>
  <c r="BN506" i="1"/>
  <c r="BO506" i="1" s="1"/>
  <c r="BP506" i="1" s="1"/>
  <c r="BS506" i="1"/>
  <c r="BR506" i="1" s="1"/>
  <c r="BK507" i="1"/>
  <c r="BL507" i="1" s="1"/>
  <c r="BM507" i="1"/>
  <c r="BN507" i="1"/>
  <c r="BO507" i="1" s="1"/>
  <c r="BP507" i="1" s="1"/>
  <c r="BS507" i="1"/>
  <c r="BR507" i="1" s="1"/>
  <c r="BK508" i="1"/>
  <c r="BL508" i="1" s="1"/>
  <c r="BM508" i="1"/>
  <c r="BN508" i="1"/>
  <c r="BO508" i="1" s="1"/>
  <c r="BP508" i="1" s="1"/>
  <c r="BS508" i="1"/>
  <c r="BR508" i="1" s="1"/>
  <c r="BK509" i="1"/>
  <c r="BL509" i="1" s="1"/>
  <c r="BM509" i="1"/>
  <c r="BN509" i="1"/>
  <c r="BO509" i="1" s="1"/>
  <c r="BP509" i="1" s="1"/>
  <c r="BS509" i="1"/>
  <c r="BR509" i="1" s="1"/>
  <c r="BK510" i="1"/>
  <c r="BL510" i="1" s="1"/>
  <c r="BM510" i="1"/>
  <c r="BN510" i="1"/>
  <c r="BO510" i="1" s="1"/>
  <c r="BP510" i="1" s="1"/>
  <c r="BS510" i="1"/>
  <c r="BR510" i="1" s="1"/>
  <c r="BK511" i="1"/>
  <c r="BL511" i="1" s="1"/>
  <c r="BM511" i="1"/>
  <c r="BN511" i="1"/>
  <c r="BO511" i="1" s="1"/>
  <c r="BP511" i="1" s="1"/>
  <c r="BS511" i="1"/>
  <c r="BR511" i="1" s="1"/>
  <c r="BK512" i="1"/>
  <c r="BL512" i="1" s="1"/>
  <c r="BM512" i="1"/>
  <c r="BN512" i="1"/>
  <c r="BO512" i="1" s="1"/>
  <c r="BP512" i="1" s="1"/>
  <c r="BS512" i="1"/>
  <c r="BR512" i="1" s="1"/>
  <c r="BK513" i="1"/>
  <c r="BL513" i="1"/>
  <c r="BM513" i="1"/>
  <c r="BN513" i="1"/>
  <c r="BO513" i="1" s="1"/>
  <c r="BP513" i="1" s="1"/>
  <c r="BS513" i="1"/>
  <c r="BR513" i="1" s="1"/>
  <c r="BK514" i="1"/>
  <c r="BL514" i="1" s="1"/>
  <c r="BM514" i="1"/>
  <c r="BN514" i="1"/>
  <c r="BO514" i="1" s="1"/>
  <c r="BP514" i="1" s="1"/>
  <c r="BS514" i="1"/>
  <c r="BR514" i="1" s="1"/>
  <c r="BK515" i="1"/>
  <c r="BL515" i="1" s="1"/>
  <c r="BM515" i="1"/>
  <c r="BN515" i="1"/>
  <c r="BO515" i="1" s="1"/>
  <c r="BP515" i="1" s="1"/>
  <c r="BS515" i="1"/>
  <c r="BR515" i="1" s="1"/>
  <c r="BK516" i="1"/>
  <c r="BL516" i="1" s="1"/>
  <c r="BM516" i="1"/>
  <c r="BN516" i="1"/>
  <c r="BO516" i="1" s="1"/>
  <c r="BP516" i="1" s="1"/>
  <c r="BS516" i="1"/>
  <c r="BR516" i="1" s="1"/>
  <c r="BK517" i="1"/>
  <c r="BL517" i="1" s="1"/>
  <c r="BM517" i="1"/>
  <c r="BN517" i="1"/>
  <c r="BO517" i="1" s="1"/>
  <c r="BP517" i="1" s="1"/>
  <c r="BS517" i="1"/>
  <c r="BR517" i="1" s="1"/>
  <c r="BK518" i="1"/>
  <c r="BL518" i="1"/>
  <c r="BM518" i="1"/>
  <c r="BN518" i="1"/>
  <c r="BO518" i="1" s="1"/>
  <c r="BP518" i="1" s="1"/>
  <c r="BS518" i="1"/>
  <c r="BR518" i="1" s="1"/>
  <c r="BK519" i="1"/>
  <c r="BL519" i="1" s="1"/>
  <c r="BM519" i="1"/>
  <c r="BN519" i="1"/>
  <c r="BO519" i="1" s="1"/>
  <c r="BP519" i="1" s="1"/>
  <c r="BS519" i="1"/>
  <c r="BR519" i="1" s="1"/>
  <c r="BK520" i="1"/>
  <c r="BL520" i="1" s="1"/>
  <c r="BM520" i="1"/>
  <c r="BN520" i="1"/>
  <c r="BO520" i="1" s="1"/>
  <c r="BP520" i="1" s="1"/>
  <c r="BS520" i="1"/>
  <c r="BR520" i="1" s="1"/>
  <c r="BK521" i="1"/>
  <c r="BL521" i="1" s="1"/>
  <c r="BM521" i="1"/>
  <c r="BN521" i="1"/>
  <c r="BO521" i="1" s="1"/>
  <c r="BP521" i="1" s="1"/>
  <c r="BS521" i="1"/>
  <c r="BR521" i="1" s="1"/>
  <c r="BK522" i="1"/>
  <c r="BL522" i="1" s="1"/>
  <c r="BM522" i="1"/>
  <c r="BN522" i="1"/>
  <c r="BO522" i="1" s="1"/>
  <c r="BP522" i="1" s="1"/>
  <c r="BS522" i="1"/>
  <c r="BR522" i="1" s="1"/>
  <c r="BK523" i="1"/>
  <c r="BL523" i="1" s="1"/>
  <c r="BM523" i="1"/>
  <c r="BN523" i="1"/>
  <c r="BO523" i="1" s="1"/>
  <c r="BP523" i="1" s="1"/>
  <c r="BS523" i="1"/>
  <c r="BR523" i="1" s="1"/>
  <c r="BK524" i="1"/>
  <c r="BL524" i="1" s="1"/>
  <c r="BM524" i="1"/>
  <c r="BN524" i="1"/>
  <c r="BO524" i="1" s="1"/>
  <c r="BP524" i="1" s="1"/>
  <c r="BS524" i="1"/>
  <c r="BR524" i="1" s="1"/>
  <c r="BK525" i="1"/>
  <c r="BL525" i="1" s="1"/>
  <c r="BM525" i="1"/>
  <c r="BN525" i="1"/>
  <c r="BO525" i="1" s="1"/>
  <c r="BP525" i="1" s="1"/>
  <c r="BS525" i="1"/>
  <c r="BR525" i="1" s="1"/>
  <c r="BK526" i="1"/>
  <c r="BL526" i="1"/>
  <c r="BM526" i="1"/>
  <c r="BN526" i="1"/>
  <c r="BO526" i="1" s="1"/>
  <c r="BP526" i="1" s="1"/>
  <c r="BS526" i="1"/>
  <c r="BR526" i="1" s="1"/>
  <c r="BK527" i="1"/>
  <c r="BL527" i="1" s="1"/>
  <c r="BM527" i="1"/>
  <c r="BN527" i="1"/>
  <c r="BO527" i="1" s="1"/>
  <c r="BP527" i="1" s="1"/>
  <c r="BS527" i="1"/>
  <c r="BR527" i="1" s="1"/>
  <c r="BK528" i="1"/>
  <c r="BL528" i="1" s="1"/>
  <c r="BM528" i="1"/>
  <c r="BN528" i="1"/>
  <c r="BO528" i="1" s="1"/>
  <c r="BP528" i="1" s="1"/>
  <c r="BS528" i="1"/>
  <c r="BR528" i="1" s="1"/>
  <c r="BK529" i="1"/>
  <c r="BL529" i="1" s="1"/>
  <c r="BM529" i="1"/>
  <c r="BN529" i="1"/>
  <c r="BO529" i="1" s="1"/>
  <c r="BP529" i="1" s="1"/>
  <c r="BS529" i="1"/>
  <c r="BR529" i="1" s="1"/>
  <c r="BK530" i="1"/>
  <c r="BL530" i="1"/>
  <c r="BM530" i="1"/>
  <c r="BN530" i="1"/>
  <c r="BO530" i="1" s="1"/>
  <c r="BP530" i="1" s="1"/>
  <c r="BS530" i="1"/>
  <c r="BR530" i="1" s="1"/>
  <c r="BK531" i="1"/>
  <c r="BL531" i="1"/>
  <c r="BM531" i="1"/>
  <c r="BN531" i="1"/>
  <c r="BO531" i="1" s="1"/>
  <c r="BP531" i="1" s="1"/>
  <c r="BS531" i="1"/>
  <c r="BR531" i="1" s="1"/>
  <c r="BK532" i="1"/>
  <c r="BL532" i="1" s="1"/>
  <c r="BM532" i="1"/>
  <c r="BN532" i="1"/>
  <c r="BO532" i="1" s="1"/>
  <c r="BP532" i="1" s="1"/>
  <c r="BS532" i="1"/>
  <c r="BR532" i="1" s="1"/>
  <c r="BK533" i="1"/>
  <c r="BL533" i="1" s="1"/>
  <c r="BM533" i="1"/>
  <c r="BN533" i="1"/>
  <c r="BO533" i="1" s="1"/>
  <c r="BP533" i="1" s="1"/>
  <c r="BS533" i="1"/>
  <c r="BR533" i="1" s="1"/>
  <c r="BK534" i="1"/>
  <c r="BL534" i="1" s="1"/>
  <c r="BM534" i="1"/>
  <c r="BN534" i="1"/>
  <c r="BO534" i="1" s="1"/>
  <c r="BP534" i="1" s="1"/>
  <c r="BS534" i="1"/>
  <c r="BR534" i="1" s="1"/>
  <c r="BK535" i="1"/>
  <c r="BL535" i="1" s="1"/>
  <c r="BM535" i="1"/>
  <c r="BN535" i="1"/>
  <c r="BO535" i="1" s="1"/>
  <c r="BP535" i="1" s="1"/>
  <c r="BS535" i="1"/>
  <c r="BR535" i="1" s="1"/>
  <c r="BK536" i="1"/>
  <c r="BL536" i="1" s="1"/>
  <c r="BM536" i="1"/>
  <c r="BN536" i="1"/>
  <c r="BO536" i="1" s="1"/>
  <c r="BP536" i="1" s="1"/>
  <c r="BS536" i="1"/>
  <c r="BR536" i="1" s="1"/>
  <c r="BK537" i="1"/>
  <c r="BL537" i="1" s="1"/>
  <c r="BM537" i="1"/>
  <c r="BN537" i="1"/>
  <c r="BO537" i="1" s="1"/>
  <c r="BP537" i="1" s="1"/>
  <c r="BS537" i="1"/>
  <c r="BR537" i="1" s="1"/>
  <c r="BK538" i="1"/>
  <c r="BL538" i="1" s="1"/>
  <c r="BM538" i="1"/>
  <c r="BN538" i="1"/>
  <c r="BO538" i="1" s="1"/>
  <c r="BP538" i="1" s="1"/>
  <c r="BS538" i="1"/>
  <c r="BR538" i="1" s="1"/>
  <c r="BK539" i="1"/>
  <c r="BL539" i="1" s="1"/>
  <c r="BM539" i="1"/>
  <c r="BN539" i="1"/>
  <c r="BO539" i="1" s="1"/>
  <c r="BP539" i="1" s="1"/>
  <c r="BS539" i="1"/>
  <c r="BR539" i="1" s="1"/>
  <c r="BK540" i="1"/>
  <c r="BL540" i="1"/>
  <c r="BM540" i="1"/>
  <c r="BN540" i="1"/>
  <c r="BO540" i="1" s="1"/>
  <c r="BP540" i="1" s="1"/>
  <c r="BS540" i="1"/>
  <c r="BR540" i="1" s="1"/>
  <c r="BK541" i="1"/>
  <c r="BL541" i="1"/>
  <c r="BM541" i="1"/>
  <c r="BN541" i="1"/>
  <c r="BO541" i="1" s="1"/>
  <c r="BP541" i="1" s="1"/>
  <c r="BS541" i="1"/>
  <c r="BR541" i="1" s="1"/>
  <c r="BK542" i="1"/>
  <c r="BL542" i="1"/>
  <c r="BM542" i="1"/>
  <c r="BN542" i="1"/>
  <c r="BO542" i="1" s="1"/>
  <c r="BP542" i="1" s="1"/>
  <c r="BS542" i="1"/>
  <c r="BR542" i="1" s="1"/>
  <c r="BK543" i="1"/>
  <c r="BL543" i="1"/>
  <c r="BM543" i="1"/>
  <c r="BN543" i="1"/>
  <c r="BO543" i="1" s="1"/>
  <c r="BP543" i="1" s="1"/>
  <c r="BS543" i="1"/>
  <c r="BR543" i="1" s="1"/>
  <c r="BK544" i="1"/>
  <c r="BL544" i="1"/>
  <c r="BM544" i="1"/>
  <c r="BN544" i="1"/>
  <c r="BO544" i="1" s="1"/>
  <c r="BP544" i="1" s="1"/>
  <c r="BS544" i="1"/>
  <c r="BR544" i="1" s="1"/>
  <c r="BK545" i="1"/>
  <c r="BL545" i="1"/>
  <c r="BM545" i="1"/>
  <c r="BN545" i="1"/>
  <c r="BO545" i="1" s="1"/>
  <c r="BP545" i="1" s="1"/>
  <c r="BS545" i="1"/>
  <c r="BR545" i="1" s="1"/>
  <c r="BK546" i="1"/>
  <c r="BL546" i="1" s="1"/>
  <c r="BM546" i="1"/>
  <c r="BN546" i="1"/>
  <c r="BO546" i="1" s="1"/>
  <c r="BP546" i="1" s="1"/>
  <c r="BS546" i="1"/>
  <c r="BR546" i="1" s="1"/>
  <c r="BK547" i="1"/>
  <c r="BL547" i="1" s="1"/>
  <c r="BM547" i="1"/>
  <c r="BN547" i="1"/>
  <c r="BO547" i="1" s="1"/>
  <c r="BP547" i="1" s="1"/>
  <c r="BS547" i="1"/>
  <c r="BR547" i="1" s="1"/>
  <c r="BK548" i="1"/>
  <c r="BL548" i="1" s="1"/>
  <c r="BM548" i="1"/>
  <c r="BN548" i="1"/>
  <c r="BO548" i="1" s="1"/>
  <c r="BP548" i="1" s="1"/>
  <c r="BS548" i="1"/>
  <c r="BR548" i="1" s="1"/>
  <c r="BK549" i="1"/>
  <c r="BL549" i="1" s="1"/>
  <c r="BM549" i="1"/>
  <c r="BN549" i="1"/>
  <c r="BO549" i="1" s="1"/>
  <c r="BP549" i="1" s="1"/>
  <c r="BS549" i="1"/>
  <c r="BR549" i="1" s="1"/>
  <c r="BK550" i="1"/>
  <c r="BL550" i="1" s="1"/>
  <c r="BM550" i="1"/>
  <c r="BN550" i="1"/>
  <c r="BO550" i="1" s="1"/>
  <c r="BP550" i="1" s="1"/>
  <c r="BS550" i="1"/>
  <c r="BR550" i="1" s="1"/>
  <c r="BK551" i="1"/>
  <c r="BL551" i="1" s="1"/>
  <c r="BM551" i="1"/>
  <c r="BN551" i="1"/>
  <c r="BO551" i="1" s="1"/>
  <c r="BP551" i="1" s="1"/>
  <c r="BS551" i="1"/>
  <c r="BR551" i="1" s="1"/>
  <c r="BK552" i="1"/>
  <c r="BL552" i="1" s="1"/>
  <c r="BM552" i="1"/>
  <c r="BN552" i="1"/>
  <c r="BO552" i="1" s="1"/>
  <c r="BP552" i="1" s="1"/>
  <c r="BS552" i="1"/>
  <c r="BR552" i="1" s="1"/>
  <c r="BK553" i="1"/>
  <c r="BL553" i="1"/>
  <c r="BM553" i="1"/>
  <c r="BN553" i="1"/>
  <c r="BO553" i="1" s="1"/>
  <c r="BP553" i="1" s="1"/>
  <c r="BS553" i="1"/>
  <c r="BR553" i="1" s="1"/>
  <c r="BK554" i="1"/>
  <c r="BL554" i="1" s="1"/>
  <c r="BM554" i="1"/>
  <c r="BN554" i="1"/>
  <c r="BO554" i="1" s="1"/>
  <c r="BP554" i="1" s="1"/>
  <c r="BS554" i="1"/>
  <c r="BR554" i="1" s="1"/>
  <c r="BK555" i="1"/>
  <c r="BL555" i="1" s="1"/>
  <c r="BM555" i="1"/>
  <c r="BN555" i="1"/>
  <c r="BO555" i="1" s="1"/>
  <c r="BP555" i="1" s="1"/>
  <c r="BS555" i="1"/>
  <c r="BR555" i="1" s="1"/>
  <c r="BK556" i="1"/>
  <c r="BL556" i="1"/>
  <c r="BM556" i="1"/>
  <c r="BN556" i="1"/>
  <c r="BO556" i="1" s="1"/>
  <c r="BP556" i="1" s="1"/>
  <c r="BS556" i="1"/>
  <c r="BR556" i="1" s="1"/>
  <c r="BK557" i="1"/>
  <c r="BL557" i="1"/>
  <c r="BM557" i="1"/>
  <c r="BN557" i="1"/>
  <c r="BO557" i="1" s="1"/>
  <c r="BP557" i="1" s="1"/>
  <c r="BS557" i="1"/>
  <c r="BR557" i="1" s="1"/>
  <c r="BK558" i="1"/>
  <c r="BL558" i="1" s="1"/>
  <c r="BM558" i="1"/>
  <c r="BN558" i="1"/>
  <c r="BO558" i="1" s="1"/>
  <c r="BP558" i="1" s="1"/>
  <c r="BS558" i="1"/>
  <c r="BR558" i="1" s="1"/>
  <c r="BK559" i="1"/>
  <c r="BL559" i="1" s="1"/>
  <c r="BM559" i="1"/>
  <c r="BN559" i="1"/>
  <c r="BO559" i="1" s="1"/>
  <c r="BP559" i="1" s="1"/>
  <c r="BS559" i="1"/>
  <c r="BR559" i="1" s="1"/>
  <c r="BK560" i="1"/>
  <c r="BL560" i="1" s="1"/>
  <c r="BM560" i="1"/>
  <c r="BN560" i="1"/>
  <c r="BO560" i="1" s="1"/>
  <c r="BP560" i="1" s="1"/>
  <c r="BS560" i="1"/>
  <c r="BR560" i="1" s="1"/>
  <c r="BK561" i="1"/>
  <c r="BL561" i="1" s="1"/>
  <c r="BM561" i="1"/>
  <c r="BN561" i="1"/>
  <c r="BO561" i="1" s="1"/>
  <c r="BP561" i="1" s="1"/>
  <c r="BS561" i="1"/>
  <c r="BR561" i="1" s="1"/>
  <c r="BK562" i="1"/>
  <c r="BL562" i="1" s="1"/>
  <c r="BM562" i="1"/>
  <c r="BN562" i="1"/>
  <c r="BO562" i="1" s="1"/>
  <c r="BP562" i="1" s="1"/>
  <c r="BS562" i="1"/>
  <c r="BR562" i="1" s="1"/>
  <c r="BK563" i="1"/>
  <c r="BL563" i="1" s="1"/>
  <c r="BM563" i="1"/>
  <c r="BN563" i="1"/>
  <c r="BO563" i="1" s="1"/>
  <c r="BP563" i="1" s="1"/>
  <c r="BS563" i="1"/>
  <c r="BR563" i="1" s="1"/>
  <c r="BK564" i="1"/>
  <c r="BL564" i="1" s="1"/>
  <c r="BM564" i="1"/>
  <c r="BN564" i="1"/>
  <c r="BO564" i="1" s="1"/>
  <c r="BP564" i="1" s="1"/>
  <c r="BS564" i="1"/>
  <c r="BR564" i="1" s="1"/>
  <c r="BK565" i="1"/>
  <c r="BL565" i="1" s="1"/>
  <c r="BM565" i="1"/>
  <c r="BN565" i="1"/>
  <c r="BO565" i="1" s="1"/>
  <c r="BP565" i="1" s="1"/>
  <c r="BS565" i="1"/>
  <c r="BR565" i="1" s="1"/>
  <c r="BK566" i="1"/>
  <c r="BL566" i="1" s="1"/>
  <c r="BM566" i="1"/>
  <c r="BN566" i="1"/>
  <c r="BO566" i="1" s="1"/>
  <c r="BP566" i="1" s="1"/>
  <c r="BS566" i="1"/>
  <c r="BR566" i="1" s="1"/>
  <c r="BK567" i="1"/>
  <c r="BL567" i="1"/>
  <c r="BM567" i="1"/>
  <c r="BN567" i="1"/>
  <c r="BO567" i="1" s="1"/>
  <c r="BP567" i="1" s="1"/>
  <c r="BS567" i="1"/>
  <c r="BR567" i="1" s="1"/>
  <c r="BK568" i="1"/>
  <c r="BL568" i="1"/>
  <c r="BM568" i="1"/>
  <c r="BN568" i="1"/>
  <c r="BO568" i="1" s="1"/>
  <c r="BP568" i="1" s="1"/>
  <c r="BS568" i="1"/>
  <c r="BR568" i="1" s="1"/>
  <c r="BK569" i="1"/>
  <c r="BL569" i="1"/>
  <c r="BM569" i="1"/>
  <c r="BN569" i="1"/>
  <c r="BO569" i="1" s="1"/>
  <c r="BP569" i="1" s="1"/>
  <c r="BS569" i="1"/>
  <c r="BR569" i="1" s="1"/>
  <c r="BK570" i="1"/>
  <c r="BL570" i="1" s="1"/>
  <c r="BM570" i="1"/>
  <c r="BN570" i="1"/>
  <c r="BO570" i="1" s="1"/>
  <c r="BP570" i="1" s="1"/>
  <c r="BS570" i="1"/>
  <c r="BR570" i="1" s="1"/>
  <c r="BK571" i="1"/>
  <c r="BL571" i="1" s="1"/>
  <c r="BM571" i="1"/>
  <c r="BN571" i="1"/>
  <c r="BO571" i="1" s="1"/>
  <c r="BP571" i="1" s="1"/>
  <c r="BS571" i="1"/>
  <c r="BR571" i="1" s="1"/>
  <c r="BK572" i="1"/>
  <c r="BL572" i="1"/>
  <c r="BM572" i="1"/>
  <c r="BN572" i="1"/>
  <c r="BO572" i="1" s="1"/>
  <c r="BP572" i="1" s="1"/>
  <c r="BS572" i="1"/>
  <c r="BR572" i="1" s="1"/>
  <c r="BK573" i="1"/>
  <c r="BL573" i="1"/>
  <c r="BM573" i="1"/>
  <c r="BN573" i="1"/>
  <c r="BO573" i="1" s="1"/>
  <c r="BP573" i="1" s="1"/>
  <c r="BS573" i="1"/>
  <c r="BR573" i="1" s="1"/>
  <c r="BK574" i="1"/>
  <c r="BL574" i="1"/>
  <c r="BM574" i="1"/>
  <c r="BN574" i="1"/>
  <c r="BO574" i="1" s="1"/>
  <c r="BP574" i="1" s="1"/>
  <c r="BS574" i="1"/>
  <c r="BR574" i="1" s="1"/>
  <c r="BK575" i="1"/>
  <c r="BL575" i="1"/>
  <c r="BM575" i="1"/>
  <c r="BN575" i="1"/>
  <c r="BO575" i="1" s="1"/>
  <c r="BP575" i="1" s="1"/>
  <c r="BS575" i="1"/>
  <c r="BR575" i="1" s="1"/>
  <c r="BK576" i="1"/>
  <c r="BL576" i="1" s="1"/>
  <c r="BM576" i="1"/>
  <c r="BN576" i="1"/>
  <c r="BO576" i="1" s="1"/>
  <c r="BP576" i="1" s="1"/>
  <c r="BS576" i="1"/>
  <c r="BR576" i="1" s="1"/>
  <c r="BK577" i="1"/>
  <c r="BL577" i="1" s="1"/>
  <c r="BM577" i="1"/>
  <c r="BN577" i="1"/>
  <c r="BO577" i="1" s="1"/>
  <c r="BP577" i="1" s="1"/>
  <c r="BS577" i="1"/>
  <c r="BR577" i="1" s="1"/>
  <c r="BK578" i="1"/>
  <c r="BL578" i="1"/>
  <c r="BM578" i="1"/>
  <c r="BN578" i="1"/>
  <c r="BO578" i="1" s="1"/>
  <c r="BP578" i="1" s="1"/>
  <c r="BS578" i="1"/>
  <c r="BR578" i="1" s="1"/>
  <c r="BK579" i="1"/>
  <c r="BL579" i="1"/>
  <c r="BM579" i="1"/>
  <c r="BN579" i="1"/>
  <c r="BO579" i="1" s="1"/>
  <c r="BP579" i="1" s="1"/>
  <c r="BS579" i="1"/>
  <c r="BR579" i="1" s="1"/>
  <c r="BK580" i="1"/>
  <c r="BL580" i="1" s="1"/>
  <c r="BM580" i="1"/>
  <c r="BN580" i="1"/>
  <c r="BO580" i="1" s="1"/>
  <c r="BP580" i="1" s="1"/>
  <c r="BS580" i="1"/>
  <c r="BR580" i="1" s="1"/>
  <c r="BK581" i="1"/>
  <c r="BL581" i="1" s="1"/>
  <c r="BM581" i="1"/>
  <c r="BN581" i="1"/>
  <c r="BO581" i="1" s="1"/>
  <c r="BP581" i="1" s="1"/>
  <c r="BS581" i="1"/>
  <c r="BR581" i="1" s="1"/>
  <c r="BK582" i="1"/>
  <c r="BL582" i="1" s="1"/>
  <c r="BM582" i="1"/>
  <c r="BN582" i="1"/>
  <c r="BO582" i="1" s="1"/>
  <c r="BP582" i="1" s="1"/>
  <c r="BS582" i="1"/>
  <c r="BR582" i="1" s="1"/>
  <c r="BK583" i="1"/>
  <c r="BL583" i="1" s="1"/>
  <c r="BM583" i="1"/>
  <c r="BN583" i="1"/>
  <c r="BO583" i="1" s="1"/>
  <c r="BP583" i="1" s="1"/>
  <c r="BS583" i="1"/>
  <c r="BR583" i="1" s="1"/>
  <c r="BK584" i="1"/>
  <c r="BL584" i="1" s="1"/>
  <c r="BM584" i="1"/>
  <c r="BN584" i="1"/>
  <c r="BO584" i="1" s="1"/>
  <c r="BP584" i="1" s="1"/>
  <c r="BS584" i="1"/>
  <c r="BR584" i="1" s="1"/>
  <c r="BK585" i="1"/>
  <c r="BL585" i="1" s="1"/>
  <c r="BM585" i="1"/>
  <c r="BN585" i="1"/>
  <c r="BO585" i="1" s="1"/>
  <c r="BP585" i="1" s="1"/>
  <c r="BS585" i="1"/>
  <c r="BR585" i="1" s="1"/>
  <c r="BK586" i="1"/>
  <c r="BL586" i="1" s="1"/>
  <c r="BM586" i="1"/>
  <c r="BN586" i="1"/>
  <c r="BO586" i="1" s="1"/>
  <c r="BP586" i="1" s="1"/>
  <c r="BS586" i="1"/>
  <c r="BR586" i="1" s="1"/>
  <c r="BK587" i="1"/>
  <c r="BL587" i="1" s="1"/>
  <c r="BM587" i="1"/>
  <c r="BN587" i="1"/>
  <c r="BO587" i="1" s="1"/>
  <c r="BP587" i="1" s="1"/>
  <c r="BS587" i="1"/>
  <c r="BR587" i="1" s="1"/>
  <c r="BK588" i="1"/>
  <c r="BL588" i="1" s="1"/>
  <c r="BM588" i="1"/>
  <c r="BN588" i="1"/>
  <c r="BO588" i="1" s="1"/>
  <c r="BP588" i="1" s="1"/>
  <c r="BS588" i="1"/>
  <c r="BR588" i="1" s="1"/>
  <c r="BK589" i="1"/>
  <c r="BL589" i="1" s="1"/>
  <c r="BM589" i="1"/>
  <c r="BN589" i="1"/>
  <c r="BO589" i="1" s="1"/>
  <c r="BP589" i="1" s="1"/>
  <c r="BS589" i="1"/>
  <c r="BR589" i="1" s="1"/>
  <c r="BK590" i="1"/>
  <c r="BL590" i="1" s="1"/>
  <c r="BM590" i="1"/>
  <c r="BN590" i="1"/>
  <c r="BO590" i="1" s="1"/>
  <c r="BP590" i="1" s="1"/>
  <c r="BS590" i="1"/>
  <c r="BR590" i="1" s="1"/>
  <c r="BK591" i="1"/>
  <c r="BL591" i="1" s="1"/>
  <c r="BM591" i="1"/>
  <c r="BN591" i="1"/>
  <c r="BO591" i="1" s="1"/>
  <c r="BP591" i="1" s="1"/>
  <c r="BS591" i="1"/>
  <c r="BR591" i="1" s="1"/>
  <c r="BK592" i="1"/>
  <c r="BL592" i="1" s="1"/>
  <c r="BM592" i="1"/>
  <c r="BN592" i="1"/>
  <c r="BO592" i="1" s="1"/>
  <c r="BP592" i="1" s="1"/>
  <c r="BS592" i="1"/>
  <c r="BR592" i="1" s="1"/>
  <c r="BK593" i="1"/>
  <c r="BL593" i="1" s="1"/>
  <c r="BM593" i="1"/>
  <c r="BN593" i="1"/>
  <c r="BO593" i="1" s="1"/>
  <c r="BP593" i="1" s="1"/>
  <c r="BS593" i="1"/>
  <c r="BR593" i="1" s="1"/>
  <c r="BK594" i="1"/>
  <c r="BL594" i="1" s="1"/>
  <c r="BM594" i="1"/>
  <c r="BN594" i="1"/>
  <c r="BO594" i="1" s="1"/>
  <c r="BP594" i="1" s="1"/>
  <c r="BS594" i="1"/>
  <c r="BR594" i="1" s="1"/>
  <c r="BK595" i="1"/>
  <c r="BL595" i="1"/>
  <c r="BM595" i="1"/>
  <c r="BN595" i="1"/>
  <c r="BO595" i="1" s="1"/>
  <c r="BP595" i="1" s="1"/>
  <c r="BS595" i="1"/>
  <c r="BR595" i="1" s="1"/>
  <c r="BK596" i="1"/>
  <c r="BL596" i="1"/>
  <c r="BM596" i="1"/>
  <c r="BN596" i="1"/>
  <c r="BO596" i="1" s="1"/>
  <c r="BP596" i="1" s="1"/>
  <c r="BS596" i="1"/>
  <c r="BR596" i="1" s="1"/>
  <c r="BK597" i="1"/>
  <c r="BL597" i="1"/>
  <c r="BM597" i="1"/>
  <c r="BN597" i="1"/>
  <c r="BO597" i="1" s="1"/>
  <c r="BP597" i="1" s="1"/>
  <c r="BS597" i="1"/>
  <c r="BR597" i="1" s="1"/>
  <c r="BK598" i="1"/>
  <c r="BL598" i="1"/>
  <c r="BM598" i="1"/>
  <c r="BN598" i="1"/>
  <c r="BO598" i="1" s="1"/>
  <c r="BP598" i="1" s="1"/>
  <c r="BS598" i="1"/>
  <c r="BR598" i="1" s="1"/>
  <c r="BK599" i="1"/>
  <c r="BL599" i="1"/>
  <c r="BM599" i="1"/>
  <c r="BN599" i="1"/>
  <c r="BO599" i="1" s="1"/>
  <c r="BP599" i="1" s="1"/>
  <c r="BS599" i="1"/>
  <c r="BR599" i="1" s="1"/>
  <c r="BK600" i="1"/>
  <c r="BL600" i="1"/>
  <c r="BM600" i="1"/>
  <c r="BN600" i="1"/>
  <c r="BO600" i="1" s="1"/>
  <c r="BP600" i="1" s="1"/>
  <c r="BS600" i="1"/>
  <c r="BR600" i="1" s="1"/>
  <c r="BK601" i="1"/>
  <c r="BL601" i="1"/>
  <c r="BM601" i="1"/>
  <c r="BN601" i="1"/>
  <c r="BO601" i="1" s="1"/>
  <c r="BP601" i="1" s="1"/>
  <c r="BS601" i="1"/>
  <c r="BR601" i="1" s="1"/>
  <c r="BK602" i="1"/>
  <c r="BL602" i="1" s="1"/>
  <c r="BM602" i="1"/>
  <c r="BN602" i="1"/>
  <c r="BO602" i="1" s="1"/>
  <c r="BP602" i="1" s="1"/>
  <c r="BS602" i="1"/>
  <c r="BR602" i="1" s="1"/>
  <c r="BK603" i="1"/>
  <c r="BL603" i="1" s="1"/>
  <c r="BM603" i="1"/>
  <c r="BN603" i="1"/>
  <c r="BO603" i="1" s="1"/>
  <c r="BP603" i="1" s="1"/>
  <c r="BS603" i="1"/>
  <c r="BR603" i="1" s="1"/>
  <c r="BK604" i="1"/>
  <c r="BL604" i="1" s="1"/>
  <c r="BM604" i="1"/>
  <c r="BN604" i="1"/>
  <c r="BO604" i="1" s="1"/>
  <c r="BP604" i="1" s="1"/>
  <c r="BS604" i="1"/>
  <c r="BR604" i="1" s="1"/>
  <c r="BK605" i="1"/>
  <c r="BL605" i="1" s="1"/>
  <c r="BM605" i="1"/>
  <c r="BN605" i="1"/>
  <c r="BO605" i="1" s="1"/>
  <c r="BP605" i="1" s="1"/>
  <c r="BS605" i="1"/>
  <c r="BR605" i="1" s="1"/>
  <c r="BK606" i="1"/>
  <c r="BL606" i="1"/>
  <c r="BM606" i="1"/>
  <c r="BN606" i="1"/>
  <c r="BO606" i="1" s="1"/>
  <c r="BP606" i="1" s="1"/>
  <c r="BS606" i="1"/>
  <c r="BR606" i="1" s="1"/>
  <c r="BK607" i="1"/>
  <c r="BL607" i="1"/>
  <c r="BM607" i="1"/>
  <c r="BN607" i="1"/>
  <c r="BO607" i="1" s="1"/>
  <c r="BP607" i="1" s="1"/>
  <c r="BS607" i="1"/>
  <c r="BR607" i="1" s="1"/>
  <c r="BK608" i="1"/>
  <c r="BL608" i="1"/>
  <c r="BM608" i="1"/>
  <c r="BN608" i="1"/>
  <c r="BO608" i="1" s="1"/>
  <c r="BP608" i="1" s="1"/>
  <c r="BS608" i="1"/>
  <c r="BR608" i="1" s="1"/>
  <c r="BK609" i="1"/>
  <c r="BL609" i="1"/>
  <c r="BM609" i="1"/>
  <c r="BN609" i="1"/>
  <c r="BO609" i="1" s="1"/>
  <c r="BP609" i="1" s="1"/>
  <c r="BS609" i="1"/>
  <c r="BR609" i="1" s="1"/>
  <c r="BK610" i="1"/>
  <c r="BL610" i="1"/>
  <c r="BM610" i="1"/>
  <c r="BN610" i="1"/>
  <c r="BO610" i="1" s="1"/>
  <c r="BP610" i="1" s="1"/>
  <c r="BS610" i="1"/>
  <c r="BR610" i="1" s="1"/>
  <c r="BK611" i="1"/>
  <c r="BL611" i="1" s="1"/>
  <c r="BM611" i="1"/>
  <c r="BN611" i="1"/>
  <c r="BO611" i="1" s="1"/>
  <c r="BP611" i="1" s="1"/>
  <c r="BS611" i="1"/>
  <c r="BR611" i="1" s="1"/>
  <c r="BK612" i="1"/>
  <c r="BL612" i="1" s="1"/>
  <c r="BM612" i="1"/>
  <c r="BN612" i="1"/>
  <c r="BO612" i="1" s="1"/>
  <c r="BP612" i="1" s="1"/>
  <c r="BS612" i="1"/>
  <c r="BR612" i="1" s="1"/>
  <c r="BK613" i="1"/>
  <c r="BL613" i="1" s="1"/>
  <c r="BM613" i="1"/>
  <c r="BN613" i="1"/>
  <c r="BO613" i="1" s="1"/>
  <c r="BP613" i="1" s="1"/>
  <c r="BS613" i="1"/>
  <c r="BR613" i="1" s="1"/>
  <c r="BK614" i="1"/>
  <c r="BL614" i="1" s="1"/>
  <c r="BM614" i="1"/>
  <c r="BN614" i="1"/>
  <c r="BO614" i="1" s="1"/>
  <c r="BP614" i="1" s="1"/>
  <c r="BS614" i="1"/>
  <c r="BR614" i="1" s="1"/>
  <c r="BK615" i="1"/>
  <c r="BL615" i="1" s="1"/>
  <c r="BM615" i="1"/>
  <c r="BN615" i="1"/>
  <c r="BO615" i="1" s="1"/>
  <c r="BP615" i="1" s="1"/>
  <c r="BS615" i="1"/>
  <c r="BR615" i="1" s="1"/>
  <c r="BK616" i="1"/>
  <c r="BL616" i="1"/>
  <c r="BM616" i="1"/>
  <c r="BN616" i="1"/>
  <c r="BO616" i="1" s="1"/>
  <c r="BP616" i="1" s="1"/>
  <c r="BS616" i="1"/>
  <c r="BR616" i="1" s="1"/>
  <c r="BK617" i="1"/>
  <c r="BL617" i="1" s="1"/>
  <c r="BM617" i="1"/>
  <c r="BN617" i="1"/>
  <c r="BO617" i="1" s="1"/>
  <c r="BP617" i="1" s="1"/>
  <c r="BS617" i="1"/>
  <c r="BR617" i="1" s="1"/>
  <c r="BK618" i="1"/>
  <c r="BL618" i="1" s="1"/>
  <c r="BM618" i="1"/>
  <c r="BN618" i="1"/>
  <c r="BO618" i="1" s="1"/>
  <c r="BP618" i="1" s="1"/>
  <c r="BS618" i="1"/>
  <c r="BR618" i="1" s="1"/>
  <c r="BK619" i="1"/>
  <c r="BL619" i="1"/>
  <c r="BM619" i="1"/>
  <c r="BN619" i="1"/>
  <c r="BO619" i="1" s="1"/>
  <c r="BP619" i="1" s="1"/>
  <c r="BS619" i="1"/>
  <c r="BR619" i="1" s="1"/>
  <c r="BK620" i="1"/>
  <c r="BL620" i="1"/>
  <c r="BM620" i="1"/>
  <c r="BN620" i="1"/>
  <c r="BO620" i="1" s="1"/>
  <c r="BP620" i="1" s="1"/>
  <c r="BS620" i="1"/>
  <c r="BR620" i="1" s="1"/>
  <c r="BK621" i="1"/>
  <c r="BL621" i="1"/>
  <c r="BM621" i="1"/>
  <c r="BN621" i="1"/>
  <c r="BO621" i="1" s="1"/>
  <c r="BP621" i="1" s="1"/>
  <c r="BS621" i="1"/>
  <c r="BR621" i="1" s="1"/>
  <c r="BK622" i="1"/>
  <c r="BL622" i="1" s="1"/>
  <c r="BM622" i="1"/>
  <c r="BN622" i="1"/>
  <c r="BO622" i="1" s="1"/>
  <c r="BP622" i="1" s="1"/>
  <c r="BS622" i="1"/>
  <c r="BR622" i="1" s="1"/>
  <c r="BK623" i="1"/>
  <c r="BL623" i="1" s="1"/>
  <c r="BM623" i="1"/>
  <c r="BN623" i="1"/>
  <c r="BO623" i="1" s="1"/>
  <c r="BP623" i="1" s="1"/>
  <c r="BS623" i="1"/>
  <c r="BR623" i="1" s="1"/>
  <c r="BK624" i="1"/>
  <c r="BL624" i="1" s="1"/>
  <c r="BM624" i="1"/>
  <c r="BN624" i="1"/>
  <c r="BO624" i="1" s="1"/>
  <c r="BP624" i="1" s="1"/>
  <c r="BS624" i="1"/>
  <c r="BR624" i="1" s="1"/>
  <c r="BK625" i="1"/>
  <c r="BL625" i="1" s="1"/>
  <c r="BM625" i="1"/>
  <c r="BN625" i="1"/>
  <c r="BO625" i="1" s="1"/>
  <c r="BP625" i="1" s="1"/>
  <c r="BS625" i="1"/>
  <c r="BR625" i="1" s="1"/>
  <c r="BK626" i="1"/>
  <c r="BL626" i="1" s="1"/>
  <c r="BM626" i="1"/>
  <c r="BN626" i="1"/>
  <c r="BO626" i="1" s="1"/>
  <c r="BP626" i="1" s="1"/>
  <c r="BS626" i="1"/>
  <c r="BR626" i="1" s="1"/>
  <c r="BK627" i="1"/>
  <c r="BL627" i="1"/>
  <c r="BM627" i="1"/>
  <c r="BN627" i="1"/>
  <c r="BO627" i="1" s="1"/>
  <c r="BP627" i="1" s="1"/>
  <c r="BS627" i="1"/>
  <c r="BR627" i="1" s="1"/>
  <c r="BK628" i="1"/>
  <c r="BL628" i="1" s="1"/>
  <c r="BM628" i="1"/>
  <c r="BN628" i="1"/>
  <c r="BO628" i="1" s="1"/>
  <c r="BP628" i="1" s="1"/>
  <c r="BS628" i="1"/>
  <c r="BR628" i="1" s="1"/>
  <c r="BK629" i="1"/>
  <c r="BL629" i="1" s="1"/>
  <c r="BM629" i="1"/>
  <c r="BN629" i="1"/>
  <c r="BO629" i="1" s="1"/>
  <c r="BP629" i="1" s="1"/>
  <c r="BS629" i="1"/>
  <c r="BR629" i="1" s="1"/>
  <c r="BK630" i="1"/>
  <c r="BL630" i="1"/>
  <c r="BM630" i="1"/>
  <c r="BN630" i="1"/>
  <c r="BO630" i="1" s="1"/>
  <c r="BP630" i="1" s="1"/>
  <c r="BS630" i="1"/>
  <c r="BR630" i="1" s="1"/>
  <c r="BK631" i="1"/>
  <c r="BL631" i="1" s="1"/>
  <c r="BM631" i="1"/>
  <c r="BN631" i="1"/>
  <c r="BO631" i="1" s="1"/>
  <c r="BP631" i="1" s="1"/>
  <c r="BS631" i="1"/>
  <c r="BR631" i="1" s="1"/>
  <c r="BK632" i="1"/>
  <c r="BL632" i="1" s="1"/>
  <c r="BM632" i="1"/>
  <c r="BN632" i="1"/>
  <c r="BO632" i="1" s="1"/>
  <c r="BP632" i="1" s="1"/>
  <c r="BS632" i="1"/>
  <c r="BR632" i="1" s="1"/>
  <c r="BK633" i="1"/>
  <c r="BL633" i="1" s="1"/>
  <c r="BM633" i="1"/>
  <c r="BN633" i="1"/>
  <c r="BO633" i="1" s="1"/>
  <c r="BP633" i="1" s="1"/>
  <c r="BS633" i="1"/>
  <c r="BR633" i="1" s="1"/>
  <c r="BK634" i="1"/>
  <c r="BL634" i="1" s="1"/>
  <c r="BM634" i="1"/>
  <c r="BN634" i="1"/>
  <c r="BO634" i="1" s="1"/>
  <c r="BP634" i="1" s="1"/>
  <c r="BS634" i="1"/>
  <c r="BR634" i="1" s="1"/>
  <c r="BK635" i="1"/>
  <c r="BL635" i="1"/>
  <c r="BM635" i="1"/>
  <c r="BN635" i="1"/>
  <c r="BO635" i="1" s="1"/>
  <c r="BP635" i="1" s="1"/>
  <c r="BS635" i="1"/>
  <c r="BR635" i="1" s="1"/>
  <c r="BK636" i="1"/>
  <c r="BL636" i="1" s="1"/>
  <c r="BM636" i="1"/>
  <c r="BN636" i="1"/>
  <c r="BO636" i="1" s="1"/>
  <c r="BP636" i="1" s="1"/>
  <c r="BS636" i="1"/>
  <c r="BR636" i="1" s="1"/>
  <c r="BK637" i="1"/>
  <c r="BL637" i="1" s="1"/>
  <c r="BM637" i="1"/>
  <c r="BN637" i="1"/>
  <c r="BO637" i="1" s="1"/>
  <c r="BP637" i="1" s="1"/>
  <c r="BS637" i="1"/>
  <c r="BR637" i="1" s="1"/>
  <c r="BK638" i="1"/>
  <c r="BL638" i="1" s="1"/>
  <c r="BM638" i="1"/>
  <c r="BN638" i="1"/>
  <c r="BO638" i="1" s="1"/>
  <c r="BP638" i="1" s="1"/>
  <c r="BS638" i="1"/>
  <c r="BR638" i="1" s="1"/>
  <c r="BK639" i="1"/>
  <c r="BL639" i="1" s="1"/>
  <c r="BM639" i="1"/>
  <c r="BN639" i="1"/>
  <c r="BO639" i="1" s="1"/>
  <c r="BP639" i="1" s="1"/>
  <c r="BS639" i="1"/>
  <c r="BR639" i="1" s="1"/>
  <c r="BK640" i="1"/>
  <c r="BL640" i="1" s="1"/>
  <c r="BM640" i="1"/>
  <c r="BN640" i="1"/>
  <c r="BO640" i="1" s="1"/>
  <c r="BP640" i="1" s="1"/>
  <c r="BS640" i="1"/>
  <c r="BR640" i="1" s="1"/>
  <c r="BK641" i="1"/>
  <c r="BL641" i="1" s="1"/>
  <c r="BM641" i="1"/>
  <c r="BN641" i="1"/>
  <c r="BO641" i="1" s="1"/>
  <c r="BP641" i="1" s="1"/>
  <c r="BS641" i="1"/>
  <c r="BR641" i="1" s="1"/>
  <c r="BK642" i="1"/>
  <c r="BL642" i="1" s="1"/>
  <c r="BM642" i="1"/>
  <c r="BN642" i="1"/>
  <c r="BO642" i="1" s="1"/>
  <c r="BP642" i="1" s="1"/>
  <c r="BS642" i="1"/>
  <c r="BR642" i="1" s="1"/>
  <c r="BK643" i="1"/>
  <c r="BL643" i="1" s="1"/>
  <c r="BM643" i="1"/>
  <c r="BN643" i="1"/>
  <c r="BO643" i="1" s="1"/>
  <c r="BP643" i="1" s="1"/>
  <c r="BS643" i="1"/>
  <c r="BR643" i="1" s="1"/>
  <c r="BK644" i="1"/>
  <c r="BL644" i="1" s="1"/>
  <c r="BM644" i="1"/>
  <c r="BN644" i="1"/>
  <c r="BO644" i="1" s="1"/>
  <c r="BP644" i="1" s="1"/>
  <c r="BS644" i="1"/>
  <c r="BR644" i="1" s="1"/>
  <c r="BK645" i="1"/>
  <c r="BL645" i="1" s="1"/>
  <c r="BM645" i="1"/>
  <c r="BN645" i="1"/>
  <c r="BO645" i="1" s="1"/>
  <c r="BP645" i="1" s="1"/>
  <c r="BS645" i="1"/>
  <c r="BR645" i="1" s="1"/>
  <c r="BK646" i="1"/>
  <c r="BL646" i="1" s="1"/>
  <c r="BM646" i="1"/>
  <c r="BN646" i="1"/>
  <c r="BO646" i="1" s="1"/>
  <c r="BP646" i="1" s="1"/>
  <c r="BS646" i="1"/>
  <c r="BR646" i="1" s="1"/>
  <c r="BK647" i="1"/>
  <c r="BL647" i="1" s="1"/>
  <c r="BM647" i="1"/>
  <c r="BN647" i="1"/>
  <c r="BO647" i="1" s="1"/>
  <c r="BP647" i="1" s="1"/>
  <c r="BS647" i="1"/>
  <c r="BR647" i="1" s="1"/>
  <c r="BK648" i="1"/>
  <c r="BL648" i="1" s="1"/>
  <c r="BM648" i="1"/>
  <c r="BN648" i="1"/>
  <c r="BO648" i="1" s="1"/>
  <c r="BP648" i="1" s="1"/>
  <c r="BS648" i="1"/>
  <c r="BR648" i="1" s="1"/>
  <c r="BK649" i="1"/>
  <c r="BL649" i="1" s="1"/>
  <c r="BM649" i="1"/>
  <c r="BN649" i="1"/>
  <c r="BO649" i="1" s="1"/>
  <c r="BP649" i="1" s="1"/>
  <c r="BS649" i="1"/>
  <c r="BR649" i="1" s="1"/>
  <c r="BK650" i="1"/>
  <c r="BL650" i="1" s="1"/>
  <c r="BM650" i="1"/>
  <c r="BN650" i="1"/>
  <c r="BO650" i="1" s="1"/>
  <c r="BP650" i="1" s="1"/>
  <c r="BS650" i="1"/>
  <c r="BR650" i="1" s="1"/>
  <c r="BK651" i="1"/>
  <c r="BL651" i="1"/>
  <c r="BM651" i="1"/>
  <c r="BN651" i="1"/>
  <c r="BO651" i="1" s="1"/>
  <c r="BP651" i="1" s="1"/>
  <c r="BS651" i="1"/>
  <c r="BR651" i="1" s="1"/>
  <c r="BK652" i="1"/>
  <c r="BL652" i="1" s="1"/>
  <c r="BM652" i="1"/>
  <c r="BN652" i="1"/>
  <c r="BO652" i="1" s="1"/>
  <c r="BP652" i="1" s="1"/>
  <c r="BS652" i="1"/>
  <c r="BR652" i="1" s="1"/>
  <c r="BK653" i="1"/>
  <c r="BL653" i="1" s="1"/>
  <c r="BM653" i="1"/>
  <c r="BN653" i="1"/>
  <c r="BO653" i="1" s="1"/>
  <c r="BP653" i="1" s="1"/>
  <c r="BS653" i="1"/>
  <c r="BR653" i="1" s="1"/>
  <c r="BK654" i="1"/>
  <c r="BL654" i="1" s="1"/>
  <c r="BM654" i="1"/>
  <c r="BN654" i="1"/>
  <c r="BO654" i="1" s="1"/>
  <c r="BP654" i="1" s="1"/>
  <c r="BS654" i="1"/>
  <c r="BR654" i="1" s="1"/>
  <c r="BK655" i="1"/>
  <c r="BL655" i="1" s="1"/>
  <c r="BM655" i="1"/>
  <c r="BN655" i="1"/>
  <c r="BO655" i="1" s="1"/>
  <c r="BP655" i="1" s="1"/>
  <c r="BS655" i="1"/>
  <c r="BR655" i="1" s="1"/>
  <c r="BK656" i="1"/>
  <c r="BL656" i="1"/>
  <c r="BM656" i="1"/>
  <c r="BN656" i="1"/>
  <c r="BO656" i="1" s="1"/>
  <c r="BP656" i="1" s="1"/>
  <c r="BS656" i="1"/>
  <c r="BR656" i="1" s="1"/>
  <c r="BK657" i="1"/>
  <c r="BL657" i="1"/>
  <c r="BM657" i="1"/>
  <c r="BN657" i="1"/>
  <c r="BO657" i="1" s="1"/>
  <c r="BP657" i="1" s="1"/>
  <c r="BS657" i="1"/>
  <c r="BR657" i="1" s="1"/>
  <c r="BK658" i="1"/>
  <c r="BL658" i="1"/>
  <c r="BM658" i="1"/>
  <c r="BN658" i="1"/>
  <c r="BO658" i="1" s="1"/>
  <c r="BP658" i="1" s="1"/>
  <c r="BS658" i="1"/>
  <c r="BR658" i="1" s="1"/>
  <c r="BK659" i="1"/>
  <c r="BL659" i="1"/>
  <c r="BM659" i="1"/>
  <c r="BN659" i="1"/>
  <c r="BO659" i="1" s="1"/>
  <c r="BP659" i="1" s="1"/>
  <c r="BS659" i="1"/>
  <c r="BR659" i="1" s="1"/>
  <c r="BK660" i="1"/>
  <c r="BL660" i="1"/>
  <c r="BM660" i="1"/>
  <c r="BN660" i="1"/>
  <c r="BO660" i="1" s="1"/>
  <c r="BP660" i="1" s="1"/>
  <c r="BS660" i="1"/>
  <c r="BR660" i="1" s="1"/>
  <c r="BK661" i="1"/>
  <c r="BL661" i="1"/>
  <c r="BM661" i="1"/>
  <c r="BN661" i="1"/>
  <c r="BO661" i="1" s="1"/>
  <c r="BP661" i="1" s="1"/>
  <c r="BS661" i="1"/>
  <c r="BR661" i="1" s="1"/>
  <c r="BK662" i="1"/>
  <c r="BL662" i="1" s="1"/>
  <c r="BM662" i="1"/>
  <c r="BN662" i="1"/>
  <c r="BO662" i="1" s="1"/>
  <c r="BP662" i="1" s="1"/>
  <c r="BS662" i="1"/>
  <c r="BR662" i="1" s="1"/>
  <c r="BK663" i="1"/>
  <c r="BL663" i="1" s="1"/>
  <c r="BM663" i="1"/>
  <c r="BN663" i="1"/>
  <c r="BO663" i="1" s="1"/>
  <c r="BP663" i="1" s="1"/>
  <c r="BS663" i="1"/>
  <c r="BR663" i="1" s="1"/>
  <c r="BK664" i="1"/>
  <c r="BL664" i="1" s="1"/>
  <c r="BM664" i="1"/>
  <c r="BN664" i="1"/>
  <c r="BO664" i="1" s="1"/>
  <c r="BP664" i="1" s="1"/>
  <c r="BS664" i="1"/>
  <c r="BR664" i="1" s="1"/>
  <c r="BK665" i="1"/>
  <c r="BL665" i="1" s="1"/>
  <c r="BM665" i="1"/>
  <c r="BN665" i="1"/>
  <c r="BO665" i="1" s="1"/>
  <c r="BP665" i="1" s="1"/>
  <c r="BS665" i="1"/>
  <c r="BR665" i="1" s="1"/>
  <c r="BK666" i="1"/>
  <c r="BL666" i="1" s="1"/>
  <c r="BM666" i="1"/>
  <c r="BN666" i="1"/>
  <c r="BO666" i="1" s="1"/>
  <c r="BP666" i="1" s="1"/>
  <c r="BS666" i="1"/>
  <c r="BR666" i="1" s="1"/>
  <c r="BK667" i="1"/>
  <c r="BL667" i="1" s="1"/>
  <c r="BM667" i="1"/>
  <c r="BN667" i="1"/>
  <c r="BO667" i="1" s="1"/>
  <c r="BP667" i="1" s="1"/>
  <c r="BS667" i="1"/>
  <c r="BR667" i="1" s="1"/>
  <c r="BK668" i="1"/>
  <c r="BL668" i="1" s="1"/>
  <c r="BM668" i="1"/>
  <c r="BN668" i="1"/>
  <c r="BO668" i="1" s="1"/>
  <c r="BP668" i="1" s="1"/>
  <c r="BS668" i="1"/>
  <c r="BR668" i="1" s="1"/>
  <c r="BK669" i="1"/>
  <c r="BL669" i="1" s="1"/>
  <c r="BM669" i="1"/>
  <c r="BN669" i="1"/>
  <c r="BO669" i="1" s="1"/>
  <c r="BP669" i="1" s="1"/>
  <c r="BS669" i="1"/>
  <c r="BR669" i="1" s="1"/>
  <c r="BK670" i="1"/>
  <c r="BL670" i="1" s="1"/>
  <c r="BM670" i="1"/>
  <c r="BN670" i="1"/>
  <c r="BO670" i="1" s="1"/>
  <c r="BP670" i="1" s="1"/>
  <c r="BS670" i="1"/>
  <c r="BR670" i="1" s="1"/>
  <c r="BK671" i="1"/>
  <c r="BL671" i="1" s="1"/>
  <c r="BM671" i="1"/>
  <c r="BN671" i="1"/>
  <c r="BO671" i="1" s="1"/>
  <c r="BP671" i="1" s="1"/>
  <c r="BS671" i="1"/>
  <c r="BR671" i="1" s="1"/>
  <c r="BK672" i="1"/>
  <c r="BL672" i="1" s="1"/>
  <c r="BM672" i="1"/>
  <c r="BN672" i="1"/>
  <c r="BO672" i="1" s="1"/>
  <c r="BP672" i="1" s="1"/>
  <c r="BS672" i="1"/>
  <c r="BR672" i="1" s="1"/>
  <c r="BK673" i="1"/>
  <c r="BL673" i="1" s="1"/>
  <c r="BM673" i="1"/>
  <c r="BN673" i="1"/>
  <c r="BO673" i="1" s="1"/>
  <c r="BP673" i="1" s="1"/>
  <c r="BS673" i="1"/>
  <c r="BR673" i="1" s="1"/>
  <c r="BK674" i="1"/>
  <c r="BL674" i="1" s="1"/>
  <c r="BM674" i="1"/>
  <c r="BN674" i="1"/>
  <c r="BO674" i="1" s="1"/>
  <c r="BP674" i="1" s="1"/>
  <c r="BS674" i="1"/>
  <c r="BR674" i="1" s="1"/>
  <c r="BK675" i="1"/>
  <c r="BL675" i="1" s="1"/>
  <c r="BM675" i="1"/>
  <c r="BN675" i="1"/>
  <c r="BO675" i="1" s="1"/>
  <c r="BP675" i="1" s="1"/>
  <c r="BS675" i="1"/>
  <c r="BR675" i="1" s="1"/>
  <c r="BK676" i="1"/>
  <c r="BL676" i="1" s="1"/>
  <c r="BM676" i="1"/>
  <c r="BN676" i="1"/>
  <c r="BO676" i="1" s="1"/>
  <c r="BP676" i="1" s="1"/>
  <c r="BS676" i="1"/>
  <c r="BR676" i="1" s="1"/>
  <c r="BK677" i="1"/>
  <c r="BL677" i="1"/>
  <c r="BM677" i="1"/>
  <c r="BN677" i="1"/>
  <c r="BO677" i="1" s="1"/>
  <c r="BP677" i="1" s="1"/>
  <c r="BS677" i="1"/>
  <c r="BR677" i="1" s="1"/>
  <c r="BK678" i="1"/>
  <c r="BL678" i="1" s="1"/>
  <c r="BM678" i="1"/>
  <c r="BN678" i="1"/>
  <c r="BO678" i="1" s="1"/>
  <c r="BP678" i="1" s="1"/>
  <c r="BS678" i="1"/>
  <c r="BR678" i="1" s="1"/>
  <c r="BK679" i="1"/>
  <c r="BL679" i="1" s="1"/>
  <c r="BM679" i="1"/>
  <c r="BN679" i="1"/>
  <c r="BO679" i="1" s="1"/>
  <c r="BP679" i="1" s="1"/>
  <c r="BS679" i="1"/>
  <c r="BR679" i="1" s="1"/>
  <c r="BK680" i="1"/>
  <c r="BL680" i="1" s="1"/>
  <c r="BM680" i="1"/>
  <c r="BN680" i="1"/>
  <c r="BO680" i="1" s="1"/>
  <c r="BP680" i="1" s="1"/>
  <c r="BS680" i="1"/>
  <c r="BR680" i="1" s="1"/>
  <c r="BK681" i="1"/>
  <c r="BL681" i="1" s="1"/>
  <c r="BM681" i="1"/>
  <c r="BN681" i="1"/>
  <c r="BO681" i="1" s="1"/>
  <c r="BP681" i="1" s="1"/>
  <c r="BS681" i="1"/>
  <c r="BR681" i="1" s="1"/>
  <c r="BK682" i="1"/>
  <c r="BL682" i="1" s="1"/>
  <c r="BM682" i="1"/>
  <c r="BN682" i="1"/>
  <c r="BO682" i="1" s="1"/>
  <c r="BP682" i="1" s="1"/>
  <c r="BS682" i="1"/>
  <c r="BR682" i="1" s="1"/>
  <c r="BK683" i="1"/>
  <c r="BL683" i="1" s="1"/>
  <c r="BM683" i="1"/>
  <c r="BN683" i="1"/>
  <c r="BO683" i="1" s="1"/>
  <c r="BP683" i="1" s="1"/>
  <c r="BS683" i="1"/>
  <c r="BR683" i="1" s="1"/>
  <c r="BK684" i="1"/>
  <c r="BL684" i="1" s="1"/>
  <c r="BM684" i="1"/>
  <c r="BN684" i="1"/>
  <c r="BO684" i="1" s="1"/>
  <c r="BP684" i="1" s="1"/>
  <c r="BS684" i="1"/>
  <c r="BR684" i="1" s="1"/>
  <c r="BK685" i="1"/>
  <c r="BL685" i="1" s="1"/>
  <c r="BM685" i="1"/>
  <c r="BN685" i="1"/>
  <c r="BO685" i="1" s="1"/>
  <c r="BP685" i="1" s="1"/>
  <c r="BS685" i="1"/>
  <c r="BR685" i="1" s="1"/>
  <c r="BK686" i="1"/>
  <c r="BL686" i="1" s="1"/>
  <c r="BM686" i="1"/>
  <c r="BN686" i="1"/>
  <c r="BO686" i="1" s="1"/>
  <c r="BP686" i="1" s="1"/>
  <c r="BS686" i="1"/>
  <c r="BR686" i="1" s="1"/>
  <c r="BK687" i="1"/>
  <c r="BL687" i="1"/>
  <c r="BM687" i="1"/>
  <c r="BN687" i="1"/>
  <c r="BO687" i="1" s="1"/>
  <c r="BP687" i="1" s="1"/>
  <c r="BS687" i="1"/>
  <c r="BR687" i="1" s="1"/>
  <c r="BK688" i="1"/>
  <c r="BL688" i="1"/>
  <c r="BM688" i="1"/>
  <c r="BN688" i="1"/>
  <c r="BO688" i="1" s="1"/>
  <c r="BP688" i="1" s="1"/>
  <c r="BS688" i="1"/>
  <c r="BR688" i="1" s="1"/>
  <c r="BK689" i="1"/>
  <c r="BL689" i="1"/>
  <c r="BM689" i="1"/>
  <c r="BN689" i="1"/>
  <c r="BO689" i="1" s="1"/>
  <c r="BP689" i="1" s="1"/>
  <c r="BS689" i="1"/>
  <c r="BR689" i="1" s="1"/>
  <c r="BK690" i="1"/>
  <c r="BL690" i="1" s="1"/>
  <c r="BM690" i="1"/>
  <c r="BN690" i="1"/>
  <c r="BO690" i="1" s="1"/>
  <c r="BP690" i="1" s="1"/>
  <c r="BS690" i="1"/>
  <c r="BR690" i="1" s="1"/>
  <c r="BK691" i="1"/>
  <c r="BL691" i="1" s="1"/>
  <c r="BM691" i="1"/>
  <c r="BN691" i="1"/>
  <c r="BO691" i="1" s="1"/>
  <c r="BP691" i="1" s="1"/>
  <c r="BS691" i="1"/>
  <c r="BR691" i="1" s="1"/>
  <c r="BK692" i="1"/>
  <c r="BL692" i="1" s="1"/>
  <c r="BM692" i="1"/>
  <c r="BN692" i="1"/>
  <c r="BO692" i="1" s="1"/>
  <c r="BP692" i="1" s="1"/>
  <c r="BS692" i="1"/>
  <c r="BR692" i="1" s="1"/>
  <c r="BK693" i="1"/>
  <c r="BL693" i="1"/>
  <c r="BM693" i="1"/>
  <c r="BN693" i="1"/>
  <c r="BO693" i="1" s="1"/>
  <c r="BP693" i="1" s="1"/>
  <c r="BS693" i="1"/>
  <c r="BR693" i="1" s="1"/>
  <c r="BK694" i="1"/>
  <c r="BL694" i="1"/>
  <c r="BM694" i="1"/>
  <c r="BN694" i="1"/>
  <c r="BO694" i="1" s="1"/>
  <c r="BP694" i="1" s="1"/>
  <c r="BS694" i="1"/>
  <c r="BR694" i="1" s="1"/>
  <c r="BK695" i="1"/>
  <c r="BL695" i="1"/>
  <c r="BM695" i="1"/>
  <c r="BN695" i="1"/>
  <c r="BO695" i="1" s="1"/>
  <c r="BP695" i="1" s="1"/>
  <c r="BS695" i="1"/>
  <c r="BR695" i="1" s="1"/>
  <c r="BK696" i="1"/>
  <c r="BL696" i="1"/>
  <c r="BM696" i="1"/>
  <c r="BN696" i="1"/>
  <c r="BO696" i="1" s="1"/>
  <c r="BP696" i="1" s="1"/>
  <c r="BS696" i="1"/>
  <c r="BR696" i="1" s="1"/>
  <c r="BK697" i="1"/>
  <c r="BL697" i="1"/>
  <c r="BM697" i="1"/>
  <c r="BN697" i="1"/>
  <c r="BO697" i="1" s="1"/>
  <c r="BP697" i="1" s="1"/>
  <c r="BS697" i="1"/>
  <c r="BR697" i="1" s="1"/>
  <c r="BK698" i="1"/>
  <c r="BL698" i="1"/>
  <c r="BM698" i="1"/>
  <c r="BN698" i="1"/>
  <c r="BO698" i="1" s="1"/>
  <c r="BP698" i="1" s="1"/>
  <c r="BS698" i="1"/>
  <c r="BR698" i="1" s="1"/>
  <c r="BK699" i="1"/>
  <c r="BL699" i="1" s="1"/>
  <c r="BM699" i="1"/>
  <c r="BN699" i="1"/>
  <c r="BO699" i="1" s="1"/>
  <c r="BP699" i="1" s="1"/>
  <c r="BS699" i="1"/>
  <c r="BR699" i="1" s="1"/>
  <c r="BK700" i="1"/>
  <c r="BL700" i="1" s="1"/>
  <c r="BM700" i="1"/>
  <c r="BN700" i="1"/>
  <c r="BO700" i="1" s="1"/>
  <c r="BP700" i="1" s="1"/>
  <c r="BS700" i="1"/>
  <c r="BR700" i="1" s="1"/>
  <c r="BK701" i="1"/>
  <c r="BL701" i="1" s="1"/>
  <c r="BM701" i="1"/>
  <c r="BN701" i="1"/>
  <c r="BO701" i="1" s="1"/>
  <c r="BP701" i="1" s="1"/>
  <c r="BS701" i="1"/>
  <c r="BR701" i="1" s="1"/>
  <c r="BK702" i="1"/>
  <c r="BL702" i="1" s="1"/>
  <c r="BM702" i="1"/>
  <c r="BN702" i="1"/>
  <c r="BO702" i="1" s="1"/>
  <c r="BP702" i="1" s="1"/>
  <c r="BS702" i="1"/>
  <c r="BR702" i="1" s="1"/>
  <c r="BK703" i="1"/>
  <c r="BL703" i="1" s="1"/>
  <c r="BM703" i="1"/>
  <c r="BN703" i="1"/>
  <c r="BO703" i="1" s="1"/>
  <c r="BP703" i="1" s="1"/>
  <c r="BS703" i="1"/>
  <c r="BR703" i="1" s="1"/>
  <c r="BK704" i="1"/>
  <c r="BL704" i="1" s="1"/>
  <c r="BM704" i="1"/>
  <c r="BN704" i="1"/>
  <c r="BO704" i="1" s="1"/>
  <c r="BP704" i="1" s="1"/>
  <c r="BS704" i="1"/>
  <c r="BR704" i="1" s="1"/>
  <c r="BK705" i="1"/>
  <c r="BL705" i="1" s="1"/>
  <c r="BM705" i="1"/>
  <c r="BN705" i="1"/>
  <c r="BO705" i="1" s="1"/>
  <c r="BP705" i="1" s="1"/>
  <c r="BS705" i="1"/>
  <c r="BR705" i="1" s="1"/>
  <c r="BK706" i="1"/>
  <c r="BL706" i="1" s="1"/>
  <c r="BM706" i="1"/>
  <c r="BN706" i="1"/>
  <c r="BO706" i="1" s="1"/>
  <c r="BP706" i="1" s="1"/>
  <c r="BS706" i="1"/>
  <c r="BR706" i="1" s="1"/>
  <c r="BK707" i="1"/>
  <c r="BL707" i="1" s="1"/>
  <c r="BM707" i="1"/>
  <c r="BN707" i="1"/>
  <c r="BO707" i="1" s="1"/>
  <c r="BP707" i="1" s="1"/>
  <c r="BS707" i="1"/>
  <c r="BR707" i="1" s="1"/>
  <c r="BK708" i="1"/>
  <c r="BL708" i="1" s="1"/>
  <c r="BM708" i="1"/>
  <c r="BN708" i="1"/>
  <c r="BO708" i="1" s="1"/>
  <c r="BP708" i="1" s="1"/>
  <c r="BS708" i="1"/>
  <c r="BR708" i="1" s="1"/>
  <c r="BK709" i="1"/>
  <c r="BL709" i="1"/>
  <c r="BM709" i="1"/>
  <c r="BN709" i="1"/>
  <c r="BO709" i="1" s="1"/>
  <c r="BP709" i="1" s="1"/>
  <c r="BS709" i="1"/>
  <c r="BR709" i="1" s="1"/>
  <c r="BK710" i="1"/>
  <c r="BL710" i="1"/>
  <c r="BM710" i="1"/>
  <c r="BN710" i="1"/>
  <c r="BO710" i="1" s="1"/>
  <c r="BP710" i="1" s="1"/>
  <c r="BS710" i="1"/>
  <c r="BR710" i="1" s="1"/>
  <c r="BK711" i="1"/>
  <c r="BL711" i="1" s="1"/>
  <c r="BM711" i="1"/>
  <c r="BN711" i="1"/>
  <c r="BO711" i="1" s="1"/>
  <c r="BP711" i="1" s="1"/>
  <c r="BS711" i="1"/>
  <c r="BR711" i="1" s="1"/>
  <c r="BK712" i="1"/>
  <c r="BL712" i="1" s="1"/>
  <c r="BM712" i="1"/>
  <c r="BN712" i="1"/>
  <c r="BO712" i="1" s="1"/>
  <c r="BP712" i="1" s="1"/>
  <c r="BS712" i="1"/>
  <c r="BR712" i="1" s="1"/>
  <c r="BK713" i="1"/>
  <c r="BL713" i="1" s="1"/>
  <c r="BM713" i="1"/>
  <c r="BN713" i="1"/>
  <c r="BO713" i="1" s="1"/>
  <c r="BP713" i="1" s="1"/>
  <c r="BS713" i="1"/>
  <c r="BR713" i="1" s="1"/>
  <c r="BK714" i="1"/>
  <c r="BL714" i="1" s="1"/>
  <c r="BM714" i="1"/>
  <c r="BN714" i="1"/>
  <c r="BO714" i="1" s="1"/>
  <c r="BP714" i="1" s="1"/>
  <c r="BS714" i="1"/>
  <c r="BR714" i="1" s="1"/>
  <c r="BK715" i="1"/>
  <c r="BL715" i="1" s="1"/>
  <c r="BM715" i="1"/>
  <c r="BN715" i="1"/>
  <c r="BO715" i="1" s="1"/>
  <c r="BP715" i="1" s="1"/>
  <c r="BS715" i="1"/>
  <c r="BR715" i="1" s="1"/>
  <c r="BK716" i="1"/>
  <c r="BL716" i="1" s="1"/>
  <c r="BM716" i="1"/>
  <c r="BN716" i="1"/>
  <c r="BO716" i="1" s="1"/>
  <c r="BP716" i="1" s="1"/>
  <c r="BS716" i="1"/>
  <c r="BR716" i="1" s="1"/>
  <c r="BK717" i="1"/>
  <c r="BL717" i="1" s="1"/>
  <c r="BM717" i="1"/>
  <c r="BN717" i="1"/>
  <c r="BO717" i="1" s="1"/>
  <c r="BP717" i="1" s="1"/>
  <c r="BS717" i="1"/>
  <c r="BR717" i="1" s="1"/>
  <c r="BK718" i="1"/>
  <c r="BL718" i="1"/>
  <c r="BM718" i="1"/>
  <c r="BN718" i="1"/>
  <c r="BO718" i="1" s="1"/>
  <c r="BP718" i="1" s="1"/>
  <c r="BS718" i="1"/>
  <c r="BR718" i="1" s="1"/>
  <c r="BK719" i="1"/>
  <c r="BL719" i="1"/>
  <c r="BM719" i="1"/>
  <c r="BN719" i="1"/>
  <c r="BO719" i="1" s="1"/>
  <c r="BP719" i="1" s="1"/>
  <c r="BS719" i="1"/>
  <c r="BR719" i="1" s="1"/>
  <c r="BK720" i="1"/>
  <c r="BL720" i="1"/>
  <c r="BM720" i="1"/>
  <c r="BN720" i="1"/>
  <c r="BO720" i="1" s="1"/>
  <c r="BP720" i="1" s="1"/>
  <c r="BS720" i="1"/>
  <c r="BR720" i="1" s="1"/>
  <c r="BK721" i="1"/>
  <c r="BL721" i="1"/>
  <c r="BM721" i="1"/>
  <c r="BN721" i="1"/>
  <c r="BO721" i="1" s="1"/>
  <c r="BP721" i="1" s="1"/>
  <c r="BS721" i="1"/>
  <c r="BR721" i="1" s="1"/>
  <c r="BK722" i="1"/>
  <c r="BL722" i="1"/>
  <c r="BM722" i="1"/>
  <c r="BN722" i="1"/>
  <c r="BO722" i="1" s="1"/>
  <c r="BP722" i="1" s="1"/>
  <c r="BS722" i="1"/>
  <c r="BR722" i="1" s="1"/>
  <c r="BK723" i="1"/>
  <c r="BL723" i="1"/>
  <c r="BM723" i="1"/>
  <c r="BN723" i="1"/>
  <c r="BO723" i="1" s="1"/>
  <c r="BP723" i="1" s="1"/>
  <c r="BS723" i="1"/>
  <c r="BR723" i="1" s="1"/>
  <c r="BK724" i="1"/>
  <c r="BL724" i="1" s="1"/>
  <c r="BM724" i="1"/>
  <c r="BN724" i="1"/>
  <c r="BO724" i="1" s="1"/>
  <c r="BP724" i="1" s="1"/>
  <c r="BS724" i="1"/>
  <c r="BR724" i="1" s="1"/>
  <c r="BK725" i="1"/>
  <c r="BL725" i="1" s="1"/>
  <c r="BM725" i="1"/>
  <c r="BN725" i="1"/>
  <c r="BO725" i="1" s="1"/>
  <c r="BP725" i="1" s="1"/>
  <c r="BS725" i="1"/>
  <c r="BR725" i="1" s="1"/>
  <c r="BK726" i="1"/>
  <c r="BL726" i="1"/>
  <c r="BM726" i="1"/>
  <c r="BN726" i="1"/>
  <c r="BO726" i="1" s="1"/>
  <c r="BP726" i="1" s="1"/>
  <c r="BS726" i="1"/>
  <c r="BR726" i="1" s="1"/>
  <c r="BK727" i="1"/>
  <c r="BL727" i="1"/>
  <c r="BM727" i="1"/>
  <c r="BN727" i="1"/>
  <c r="BO727" i="1" s="1"/>
  <c r="BP727" i="1" s="1"/>
  <c r="BS727" i="1"/>
  <c r="BR727" i="1" s="1"/>
  <c r="BK728" i="1"/>
  <c r="BL728" i="1"/>
  <c r="BM728" i="1"/>
  <c r="BN728" i="1"/>
  <c r="BO728" i="1" s="1"/>
  <c r="BP728" i="1" s="1"/>
  <c r="BS728" i="1"/>
  <c r="BR728" i="1" s="1"/>
  <c r="BK729" i="1"/>
  <c r="BL729" i="1" s="1"/>
  <c r="BM729" i="1"/>
  <c r="BN729" i="1"/>
  <c r="BO729" i="1" s="1"/>
  <c r="BP729" i="1" s="1"/>
  <c r="BS729" i="1"/>
  <c r="BR729" i="1" s="1"/>
  <c r="BK730" i="1"/>
  <c r="BL730" i="1" s="1"/>
  <c r="BM730" i="1"/>
  <c r="BN730" i="1"/>
  <c r="BO730" i="1" s="1"/>
  <c r="BP730" i="1" s="1"/>
  <c r="BS730" i="1"/>
  <c r="BR730" i="1" s="1"/>
  <c r="BK731" i="1"/>
  <c r="BL731" i="1"/>
  <c r="BM731" i="1"/>
  <c r="BN731" i="1"/>
  <c r="BO731" i="1" s="1"/>
  <c r="BP731" i="1" s="1"/>
  <c r="BS731" i="1"/>
  <c r="BR731" i="1" s="1"/>
  <c r="BK732" i="1"/>
  <c r="BL732" i="1" s="1"/>
  <c r="BM732" i="1"/>
  <c r="BN732" i="1"/>
  <c r="BO732" i="1" s="1"/>
  <c r="BP732" i="1" s="1"/>
  <c r="BS732" i="1"/>
  <c r="BR732" i="1" s="1"/>
  <c r="BK733" i="1"/>
  <c r="BL733" i="1" s="1"/>
  <c r="BM733" i="1"/>
  <c r="BN733" i="1"/>
  <c r="BO733" i="1" s="1"/>
  <c r="BP733" i="1" s="1"/>
  <c r="BS733" i="1"/>
  <c r="BR733" i="1" s="1"/>
  <c r="BK734" i="1"/>
  <c r="BL734" i="1"/>
  <c r="BM734" i="1"/>
  <c r="BN734" i="1"/>
  <c r="BO734" i="1" s="1"/>
  <c r="BP734" i="1" s="1"/>
  <c r="BS734" i="1"/>
  <c r="BR734" i="1" s="1"/>
  <c r="BK735" i="1"/>
  <c r="BL735" i="1" s="1"/>
  <c r="BM735" i="1"/>
  <c r="BN735" i="1"/>
  <c r="BO735" i="1" s="1"/>
  <c r="BP735" i="1" s="1"/>
  <c r="BS735" i="1"/>
  <c r="BR735" i="1" s="1"/>
  <c r="BK736" i="1"/>
  <c r="BL736" i="1" s="1"/>
  <c r="BM736" i="1"/>
  <c r="BN736" i="1"/>
  <c r="BO736" i="1" s="1"/>
  <c r="BP736" i="1" s="1"/>
  <c r="BS736" i="1"/>
  <c r="BR736" i="1" s="1"/>
  <c r="BK737" i="1"/>
  <c r="BL737" i="1"/>
  <c r="BM737" i="1"/>
  <c r="BN737" i="1"/>
  <c r="BO737" i="1" s="1"/>
  <c r="BP737" i="1" s="1"/>
  <c r="BS737" i="1"/>
  <c r="BR737" i="1" s="1"/>
  <c r="BK738" i="1"/>
  <c r="BL738" i="1" s="1"/>
  <c r="BM738" i="1"/>
  <c r="BN738" i="1"/>
  <c r="BO738" i="1" s="1"/>
  <c r="BP738" i="1" s="1"/>
  <c r="BS738" i="1"/>
  <c r="BR738" i="1" s="1"/>
  <c r="BK739" i="1"/>
  <c r="BL739" i="1" s="1"/>
  <c r="BM739" i="1"/>
  <c r="BN739" i="1"/>
  <c r="BO739" i="1" s="1"/>
  <c r="BP739" i="1" s="1"/>
  <c r="BS739" i="1"/>
  <c r="BR739" i="1" s="1"/>
  <c r="BK740" i="1"/>
  <c r="BL740" i="1" s="1"/>
  <c r="BM740" i="1"/>
  <c r="BN740" i="1"/>
  <c r="BO740" i="1" s="1"/>
  <c r="BP740" i="1" s="1"/>
  <c r="BS740" i="1"/>
  <c r="BR740" i="1" s="1"/>
  <c r="BK741" i="1"/>
  <c r="BL741" i="1" s="1"/>
  <c r="BM741" i="1"/>
  <c r="BN741" i="1"/>
  <c r="BO741" i="1" s="1"/>
  <c r="BP741" i="1" s="1"/>
  <c r="BS741" i="1"/>
  <c r="BR741" i="1" s="1"/>
  <c r="BK742" i="1"/>
  <c r="BL742" i="1" s="1"/>
  <c r="BM742" i="1"/>
  <c r="BN742" i="1"/>
  <c r="BO742" i="1" s="1"/>
  <c r="BP742" i="1" s="1"/>
  <c r="BS742" i="1"/>
  <c r="BR742" i="1" s="1"/>
  <c r="BK743" i="1"/>
  <c r="BL743" i="1" s="1"/>
  <c r="BM743" i="1"/>
  <c r="BN743" i="1"/>
  <c r="BO743" i="1" s="1"/>
  <c r="BP743" i="1" s="1"/>
  <c r="BS743" i="1"/>
  <c r="BR743" i="1" s="1"/>
  <c r="BK744" i="1"/>
  <c r="BL744" i="1" s="1"/>
  <c r="BM744" i="1"/>
  <c r="BN744" i="1"/>
  <c r="BO744" i="1" s="1"/>
  <c r="BP744" i="1" s="1"/>
  <c r="BS744" i="1"/>
  <c r="BR744" i="1" s="1"/>
  <c r="BK745" i="1"/>
  <c r="BL745" i="1"/>
  <c r="BM745" i="1"/>
  <c r="BN745" i="1"/>
  <c r="BO745" i="1" s="1"/>
  <c r="BP745" i="1" s="1"/>
  <c r="BS745" i="1"/>
  <c r="BR745" i="1" s="1"/>
  <c r="BK746" i="1"/>
  <c r="BL746" i="1" s="1"/>
  <c r="BM746" i="1"/>
  <c r="BN746" i="1"/>
  <c r="BO746" i="1" s="1"/>
  <c r="BP746" i="1" s="1"/>
  <c r="BS746" i="1"/>
  <c r="BR746" i="1" s="1"/>
  <c r="BK747" i="1"/>
  <c r="BL747" i="1" s="1"/>
  <c r="BM747" i="1"/>
  <c r="BN747" i="1"/>
  <c r="BO747" i="1" s="1"/>
  <c r="BP747" i="1" s="1"/>
  <c r="BS747" i="1"/>
  <c r="BR747" i="1" s="1"/>
  <c r="BK748" i="1"/>
  <c r="BL748" i="1" s="1"/>
  <c r="BM748" i="1"/>
  <c r="BN748" i="1"/>
  <c r="BO748" i="1" s="1"/>
  <c r="BP748" i="1" s="1"/>
  <c r="BS748" i="1"/>
  <c r="BR748" i="1" s="1"/>
  <c r="BK749" i="1"/>
  <c r="BL749" i="1"/>
  <c r="BM749" i="1"/>
  <c r="BN749" i="1"/>
  <c r="BO749" i="1" s="1"/>
  <c r="BP749" i="1" s="1"/>
  <c r="BS749" i="1"/>
  <c r="BR749" i="1" s="1"/>
  <c r="BK750" i="1"/>
  <c r="BL750" i="1" s="1"/>
  <c r="BM750" i="1"/>
  <c r="BN750" i="1"/>
  <c r="BO750" i="1" s="1"/>
  <c r="BP750" i="1" s="1"/>
  <c r="BS750" i="1"/>
  <c r="BR750" i="1" s="1"/>
  <c r="BK751" i="1"/>
  <c r="BL751" i="1" s="1"/>
  <c r="BM751" i="1"/>
  <c r="BN751" i="1"/>
  <c r="BO751" i="1" s="1"/>
  <c r="BP751" i="1" s="1"/>
  <c r="BS751" i="1"/>
  <c r="BR751" i="1" s="1"/>
  <c r="BK752" i="1"/>
  <c r="BL752" i="1" s="1"/>
  <c r="BM752" i="1"/>
  <c r="BN752" i="1"/>
  <c r="BO752" i="1" s="1"/>
  <c r="BP752" i="1" s="1"/>
  <c r="BS752" i="1"/>
  <c r="BR752" i="1" s="1"/>
  <c r="BK753" i="1"/>
  <c r="BL753" i="1" s="1"/>
  <c r="BM753" i="1"/>
  <c r="BN753" i="1"/>
  <c r="BO753" i="1" s="1"/>
  <c r="BP753" i="1" s="1"/>
  <c r="BS753" i="1"/>
  <c r="BR753" i="1" s="1"/>
  <c r="BK754" i="1"/>
  <c r="BL754" i="1" s="1"/>
  <c r="BM754" i="1"/>
  <c r="BN754" i="1"/>
  <c r="BO754" i="1" s="1"/>
  <c r="BP754" i="1" s="1"/>
  <c r="BS754" i="1"/>
  <c r="BR754" i="1" s="1"/>
  <c r="BK755" i="1"/>
  <c r="BL755" i="1" s="1"/>
  <c r="BM755" i="1"/>
  <c r="BN755" i="1"/>
  <c r="BO755" i="1" s="1"/>
  <c r="BP755" i="1" s="1"/>
  <c r="BS755" i="1"/>
  <c r="BR755" i="1" s="1"/>
  <c r="BK756" i="1"/>
  <c r="BL756" i="1" s="1"/>
  <c r="BM756" i="1"/>
  <c r="BN756" i="1"/>
  <c r="BO756" i="1" s="1"/>
  <c r="BP756" i="1" s="1"/>
  <c r="BS756" i="1"/>
  <c r="BR756" i="1" s="1"/>
  <c r="BK757" i="1"/>
  <c r="BL757" i="1" s="1"/>
  <c r="BM757" i="1"/>
  <c r="BN757" i="1"/>
  <c r="BO757" i="1" s="1"/>
  <c r="BP757" i="1" s="1"/>
  <c r="BS757" i="1"/>
  <c r="BR757" i="1" s="1"/>
  <c r="BK758" i="1"/>
  <c r="BL758" i="1" s="1"/>
  <c r="BM758" i="1"/>
  <c r="BN758" i="1"/>
  <c r="BO758" i="1" s="1"/>
  <c r="BP758" i="1" s="1"/>
  <c r="BS758" i="1"/>
  <c r="BR758" i="1" s="1"/>
  <c r="BK759" i="1"/>
  <c r="BL759" i="1"/>
  <c r="BM759" i="1"/>
  <c r="BN759" i="1"/>
  <c r="BO759" i="1" s="1"/>
  <c r="BP759" i="1" s="1"/>
  <c r="BS759" i="1"/>
  <c r="BR759" i="1" s="1"/>
  <c r="BK760" i="1"/>
  <c r="BL760" i="1"/>
  <c r="BM760" i="1"/>
  <c r="BN760" i="1"/>
  <c r="BO760" i="1" s="1"/>
  <c r="BP760" i="1" s="1"/>
  <c r="BS760" i="1"/>
  <c r="BR760" i="1" s="1"/>
  <c r="BK761" i="1"/>
  <c r="BL761" i="1"/>
  <c r="BM761" i="1"/>
  <c r="BN761" i="1"/>
  <c r="BO761" i="1" s="1"/>
  <c r="BP761" i="1" s="1"/>
  <c r="BS761" i="1"/>
  <c r="BR761" i="1" s="1"/>
  <c r="BK762" i="1"/>
  <c r="BL762" i="1"/>
  <c r="BM762" i="1"/>
  <c r="BN762" i="1"/>
  <c r="BO762" i="1" s="1"/>
  <c r="BP762" i="1" s="1"/>
  <c r="BS762" i="1"/>
  <c r="BR762" i="1" s="1"/>
  <c r="BK763" i="1"/>
  <c r="BL763" i="1" s="1"/>
  <c r="BM763" i="1"/>
  <c r="BN763" i="1"/>
  <c r="BO763" i="1" s="1"/>
  <c r="BP763" i="1" s="1"/>
  <c r="BS763" i="1"/>
  <c r="BR763" i="1" s="1"/>
  <c r="BK764" i="1"/>
  <c r="BL764" i="1" s="1"/>
  <c r="BM764" i="1"/>
  <c r="BN764" i="1"/>
  <c r="BO764" i="1" s="1"/>
  <c r="BP764" i="1" s="1"/>
  <c r="BS764" i="1"/>
  <c r="BR764" i="1" s="1"/>
  <c r="BK765" i="1"/>
  <c r="BL765" i="1" s="1"/>
  <c r="BM765" i="1"/>
  <c r="BN765" i="1"/>
  <c r="BO765" i="1" s="1"/>
  <c r="BP765" i="1" s="1"/>
  <c r="BS765" i="1"/>
  <c r="BR765" i="1" s="1"/>
  <c r="BK766" i="1"/>
  <c r="BL766" i="1" s="1"/>
  <c r="BM766" i="1"/>
  <c r="BN766" i="1"/>
  <c r="BO766" i="1" s="1"/>
  <c r="BP766" i="1" s="1"/>
  <c r="BS766" i="1"/>
  <c r="BR766" i="1" s="1"/>
  <c r="BK767" i="1"/>
  <c r="BL767" i="1" s="1"/>
  <c r="BM767" i="1"/>
  <c r="BN767" i="1"/>
  <c r="BO767" i="1" s="1"/>
  <c r="BP767" i="1" s="1"/>
  <c r="BS767" i="1"/>
  <c r="BR767" i="1" s="1"/>
  <c r="BK768" i="1"/>
  <c r="BL768" i="1" s="1"/>
  <c r="BM768" i="1"/>
  <c r="BN768" i="1"/>
  <c r="BO768" i="1" s="1"/>
  <c r="BP768" i="1" s="1"/>
  <c r="BS768" i="1"/>
  <c r="BR768" i="1" s="1"/>
  <c r="BK769" i="1"/>
  <c r="BL769" i="1" s="1"/>
  <c r="BM769" i="1"/>
  <c r="BN769" i="1"/>
  <c r="BO769" i="1" s="1"/>
  <c r="BP769" i="1" s="1"/>
  <c r="BS769" i="1"/>
  <c r="BR769" i="1" s="1"/>
  <c r="BK770" i="1"/>
  <c r="BL770" i="1"/>
  <c r="BM770" i="1"/>
  <c r="BN770" i="1"/>
  <c r="BO770" i="1" s="1"/>
  <c r="BP770" i="1" s="1"/>
  <c r="BS770" i="1"/>
  <c r="BR770" i="1" s="1"/>
  <c r="BK771" i="1"/>
  <c r="BL771" i="1" s="1"/>
  <c r="BM771" i="1"/>
  <c r="BN771" i="1"/>
  <c r="BO771" i="1" s="1"/>
  <c r="BP771" i="1" s="1"/>
  <c r="BS771" i="1"/>
  <c r="BR771" i="1" s="1"/>
  <c r="BK772" i="1"/>
  <c r="BL772" i="1" s="1"/>
  <c r="BM772" i="1"/>
  <c r="BN772" i="1"/>
  <c r="BO772" i="1" s="1"/>
  <c r="BP772" i="1" s="1"/>
  <c r="BS772" i="1"/>
  <c r="BR772" i="1" s="1"/>
  <c r="BK773" i="1"/>
  <c r="BL773" i="1"/>
  <c r="BM773" i="1"/>
  <c r="BN773" i="1"/>
  <c r="BO773" i="1" s="1"/>
  <c r="BP773" i="1" s="1"/>
  <c r="BS773" i="1"/>
  <c r="BR773" i="1" s="1"/>
  <c r="BK774" i="1"/>
  <c r="BL774" i="1"/>
  <c r="BM774" i="1"/>
  <c r="BN774" i="1"/>
  <c r="BO774" i="1" s="1"/>
  <c r="BP774" i="1" s="1"/>
  <c r="BS774" i="1"/>
  <c r="BR774" i="1" s="1"/>
  <c r="BK775" i="1"/>
  <c r="BL775" i="1" s="1"/>
  <c r="BM775" i="1"/>
  <c r="BN775" i="1"/>
  <c r="BO775" i="1" s="1"/>
  <c r="BP775" i="1" s="1"/>
  <c r="BS775" i="1"/>
  <c r="BR775" i="1" s="1"/>
  <c r="BK776" i="1"/>
  <c r="BL776" i="1" s="1"/>
  <c r="BM776" i="1"/>
  <c r="BN776" i="1"/>
  <c r="BO776" i="1" s="1"/>
  <c r="BP776" i="1" s="1"/>
  <c r="BS776" i="1"/>
  <c r="BR776" i="1" s="1"/>
  <c r="BK777" i="1"/>
  <c r="BL777" i="1" s="1"/>
  <c r="BM777" i="1"/>
  <c r="BN777" i="1"/>
  <c r="BO777" i="1" s="1"/>
  <c r="BP777" i="1" s="1"/>
  <c r="BS777" i="1"/>
  <c r="BR777" i="1" s="1"/>
  <c r="BK778" i="1"/>
  <c r="BL778" i="1" s="1"/>
  <c r="BM778" i="1"/>
  <c r="BN778" i="1"/>
  <c r="BO778" i="1" s="1"/>
  <c r="BP778" i="1" s="1"/>
  <c r="BS778" i="1"/>
  <c r="BR778" i="1" s="1"/>
  <c r="BK779" i="1"/>
  <c r="BL779" i="1"/>
  <c r="BM779" i="1"/>
  <c r="BN779" i="1"/>
  <c r="BO779" i="1" s="1"/>
  <c r="BP779" i="1" s="1"/>
  <c r="BS779" i="1"/>
  <c r="BR779" i="1" s="1"/>
  <c r="BK780" i="1"/>
  <c r="BL780" i="1" s="1"/>
  <c r="BM780" i="1"/>
  <c r="BN780" i="1"/>
  <c r="BO780" i="1" s="1"/>
  <c r="BP780" i="1" s="1"/>
  <c r="BS780" i="1"/>
  <c r="BR780" i="1" s="1"/>
  <c r="BK781" i="1"/>
  <c r="BL781" i="1" s="1"/>
  <c r="BM781" i="1"/>
  <c r="BN781" i="1"/>
  <c r="BO781" i="1" s="1"/>
  <c r="BP781" i="1" s="1"/>
  <c r="BS781" i="1"/>
  <c r="BR781" i="1" s="1"/>
  <c r="BK782" i="1"/>
  <c r="BL782" i="1" s="1"/>
  <c r="BM782" i="1"/>
  <c r="BN782" i="1"/>
  <c r="BO782" i="1" s="1"/>
  <c r="BP782" i="1" s="1"/>
  <c r="BS782" i="1"/>
  <c r="BR782" i="1" s="1"/>
  <c r="BK783" i="1"/>
  <c r="BL783" i="1" s="1"/>
  <c r="BM783" i="1"/>
  <c r="BN783" i="1"/>
  <c r="BO783" i="1" s="1"/>
  <c r="BP783" i="1" s="1"/>
  <c r="BS783" i="1"/>
  <c r="BR783" i="1" s="1"/>
  <c r="BK784" i="1"/>
  <c r="BL784" i="1"/>
  <c r="BM784" i="1"/>
  <c r="BN784" i="1"/>
  <c r="BO784" i="1" s="1"/>
  <c r="BP784" i="1" s="1"/>
  <c r="BS784" i="1"/>
  <c r="BR784" i="1" s="1"/>
  <c r="BK785" i="1"/>
  <c r="BL785" i="1" s="1"/>
  <c r="BM785" i="1"/>
  <c r="BN785" i="1"/>
  <c r="BO785" i="1" s="1"/>
  <c r="BP785" i="1" s="1"/>
  <c r="BS785" i="1"/>
  <c r="BR785" i="1" s="1"/>
  <c r="BK786" i="1"/>
  <c r="BL786" i="1" s="1"/>
  <c r="BM786" i="1"/>
  <c r="BN786" i="1"/>
  <c r="BO786" i="1" s="1"/>
  <c r="BP786" i="1" s="1"/>
  <c r="BS786" i="1"/>
  <c r="BR786" i="1" s="1"/>
  <c r="BK787" i="1"/>
  <c r="BL787" i="1" s="1"/>
  <c r="BM787" i="1"/>
  <c r="BN787" i="1"/>
  <c r="BO787" i="1" s="1"/>
  <c r="BP787" i="1" s="1"/>
  <c r="BS787" i="1"/>
  <c r="BR787" i="1" s="1"/>
  <c r="BK788" i="1"/>
  <c r="BL788" i="1"/>
  <c r="BM788" i="1"/>
  <c r="BN788" i="1"/>
  <c r="BO788" i="1" s="1"/>
  <c r="BP788" i="1" s="1"/>
  <c r="BS788" i="1"/>
  <c r="BR788" i="1" s="1"/>
  <c r="BK789" i="1"/>
  <c r="BL789" i="1"/>
  <c r="BM789" i="1"/>
  <c r="BN789" i="1"/>
  <c r="BO789" i="1" s="1"/>
  <c r="BP789" i="1" s="1"/>
  <c r="BS789" i="1"/>
  <c r="BR789" i="1" s="1"/>
  <c r="BK790" i="1"/>
  <c r="BL790" i="1"/>
  <c r="BM790" i="1"/>
  <c r="BN790" i="1"/>
  <c r="BO790" i="1" s="1"/>
  <c r="BP790" i="1" s="1"/>
  <c r="BS790" i="1"/>
  <c r="BR790" i="1" s="1"/>
  <c r="BK791" i="1"/>
  <c r="BL791" i="1"/>
  <c r="BM791" i="1"/>
  <c r="BN791" i="1"/>
  <c r="BO791" i="1" s="1"/>
  <c r="BP791" i="1" s="1"/>
  <c r="BS791" i="1"/>
  <c r="BR791" i="1" s="1"/>
  <c r="BK792" i="1"/>
  <c r="BL792" i="1"/>
  <c r="BM792" i="1"/>
  <c r="BN792" i="1"/>
  <c r="BO792" i="1" s="1"/>
  <c r="BP792" i="1" s="1"/>
  <c r="BS792" i="1"/>
  <c r="BR792" i="1" s="1"/>
  <c r="BK793" i="1"/>
  <c r="BL793" i="1"/>
  <c r="BM793" i="1"/>
  <c r="BN793" i="1"/>
  <c r="BO793" i="1" s="1"/>
  <c r="BP793" i="1" s="1"/>
  <c r="BS793" i="1"/>
  <c r="BR793" i="1" s="1"/>
  <c r="BK794" i="1"/>
  <c r="BL794" i="1"/>
  <c r="BM794" i="1"/>
  <c r="BN794" i="1"/>
  <c r="BO794" i="1" s="1"/>
  <c r="BP794" i="1" s="1"/>
  <c r="BS794" i="1"/>
  <c r="BR794" i="1" s="1"/>
  <c r="BK795" i="1"/>
  <c r="BL795" i="1"/>
  <c r="BM795" i="1"/>
  <c r="BN795" i="1"/>
  <c r="BO795" i="1" s="1"/>
  <c r="BP795" i="1" s="1"/>
  <c r="BS795" i="1"/>
  <c r="BR795" i="1" s="1"/>
  <c r="BK796" i="1"/>
  <c r="BL796" i="1"/>
  <c r="BM796" i="1"/>
  <c r="BN796" i="1"/>
  <c r="BO796" i="1" s="1"/>
  <c r="BP796" i="1" s="1"/>
  <c r="BS796" i="1"/>
  <c r="BR796" i="1" s="1"/>
  <c r="BK797" i="1"/>
  <c r="BL797" i="1" s="1"/>
  <c r="BM797" i="1"/>
  <c r="BN797" i="1"/>
  <c r="BO797" i="1" s="1"/>
  <c r="BP797" i="1" s="1"/>
  <c r="BS797" i="1"/>
  <c r="BR797" i="1" s="1"/>
  <c r="BK798" i="1"/>
  <c r="BL798" i="1" s="1"/>
  <c r="BM798" i="1"/>
  <c r="BN798" i="1"/>
  <c r="BO798" i="1" s="1"/>
  <c r="BP798" i="1" s="1"/>
  <c r="BS798" i="1"/>
  <c r="BR798" i="1" s="1"/>
  <c r="BK799" i="1"/>
  <c r="BL799" i="1" s="1"/>
  <c r="BM799" i="1"/>
  <c r="BN799" i="1"/>
  <c r="BO799" i="1" s="1"/>
  <c r="BP799" i="1" s="1"/>
  <c r="BS799" i="1"/>
  <c r="BR799" i="1" s="1"/>
  <c r="BK800" i="1"/>
  <c r="BL800" i="1"/>
  <c r="BM800" i="1"/>
  <c r="BN800" i="1"/>
  <c r="BO800" i="1" s="1"/>
  <c r="BP800" i="1" s="1"/>
  <c r="BS800" i="1"/>
  <c r="BR800" i="1" s="1"/>
  <c r="BK801" i="1"/>
  <c r="BL801" i="1" s="1"/>
  <c r="BM801" i="1"/>
  <c r="BN801" i="1"/>
  <c r="BO801" i="1" s="1"/>
  <c r="BP801" i="1" s="1"/>
  <c r="BS801" i="1"/>
  <c r="BR801" i="1" s="1"/>
  <c r="BK802" i="1"/>
  <c r="BL802" i="1" s="1"/>
  <c r="BM802" i="1"/>
  <c r="BN802" i="1"/>
  <c r="BO802" i="1" s="1"/>
  <c r="BP802" i="1" s="1"/>
  <c r="BS802" i="1"/>
  <c r="BR802" i="1" s="1"/>
  <c r="BK803" i="1"/>
  <c r="BL803" i="1" s="1"/>
  <c r="BM803" i="1"/>
  <c r="BN803" i="1"/>
  <c r="BO803" i="1" s="1"/>
  <c r="BP803" i="1" s="1"/>
  <c r="BS803" i="1"/>
  <c r="BR803" i="1" s="1"/>
  <c r="BK804" i="1"/>
  <c r="BL804" i="1" s="1"/>
  <c r="BM804" i="1"/>
  <c r="BN804" i="1"/>
  <c r="BO804" i="1" s="1"/>
  <c r="BP804" i="1" s="1"/>
  <c r="BS804" i="1"/>
  <c r="BR804" i="1" s="1"/>
  <c r="BK805" i="1"/>
  <c r="BL805" i="1" s="1"/>
  <c r="BM805" i="1"/>
  <c r="BN805" i="1"/>
  <c r="BO805" i="1" s="1"/>
  <c r="BP805" i="1" s="1"/>
  <c r="BS805" i="1"/>
  <c r="BR805" i="1" s="1"/>
  <c r="BK806" i="1"/>
  <c r="BL806" i="1" s="1"/>
  <c r="BM806" i="1"/>
  <c r="BN806" i="1"/>
  <c r="BO806" i="1" s="1"/>
  <c r="BP806" i="1" s="1"/>
  <c r="BS806" i="1"/>
  <c r="BR806" i="1" s="1"/>
  <c r="BK807" i="1"/>
  <c r="BL807" i="1" s="1"/>
  <c r="BM807" i="1"/>
  <c r="BN807" i="1"/>
  <c r="BO807" i="1" s="1"/>
  <c r="BP807" i="1" s="1"/>
  <c r="BS807" i="1"/>
  <c r="BR807" i="1" s="1"/>
  <c r="BK808" i="1"/>
  <c r="BL808" i="1" s="1"/>
  <c r="BM808" i="1"/>
  <c r="BN808" i="1"/>
  <c r="BO808" i="1" s="1"/>
  <c r="BP808" i="1" s="1"/>
  <c r="BS808" i="1"/>
  <c r="BR808" i="1" s="1"/>
  <c r="BK809" i="1"/>
  <c r="BL809" i="1"/>
  <c r="BM809" i="1"/>
  <c r="BN809" i="1"/>
  <c r="BO809" i="1" s="1"/>
  <c r="BP809" i="1" s="1"/>
  <c r="BS809" i="1"/>
  <c r="BR809" i="1" s="1"/>
  <c r="BK810" i="1"/>
  <c r="BL810" i="1" s="1"/>
  <c r="BM810" i="1"/>
  <c r="BN810" i="1"/>
  <c r="BO810" i="1" s="1"/>
  <c r="BP810" i="1" s="1"/>
  <c r="BS810" i="1"/>
  <c r="BR810" i="1" s="1"/>
  <c r="BK811" i="1"/>
  <c r="BL811" i="1" s="1"/>
  <c r="BM811" i="1"/>
  <c r="BN811" i="1"/>
  <c r="BO811" i="1" s="1"/>
  <c r="BP811" i="1" s="1"/>
  <c r="BS811" i="1"/>
  <c r="BR811" i="1" s="1"/>
  <c r="BK812" i="1"/>
  <c r="BL812" i="1" s="1"/>
  <c r="BM812" i="1"/>
  <c r="BN812" i="1"/>
  <c r="BO812" i="1" s="1"/>
  <c r="BP812" i="1" s="1"/>
  <c r="BS812" i="1"/>
  <c r="BR812" i="1" s="1"/>
  <c r="BK813" i="1"/>
  <c r="BL813" i="1" s="1"/>
  <c r="BM813" i="1"/>
  <c r="BN813" i="1"/>
  <c r="BO813" i="1" s="1"/>
  <c r="BP813" i="1" s="1"/>
  <c r="BS813" i="1"/>
  <c r="BR813" i="1" s="1"/>
  <c r="BK814" i="1"/>
  <c r="BL814" i="1" s="1"/>
  <c r="BM814" i="1"/>
  <c r="BN814" i="1"/>
  <c r="BO814" i="1" s="1"/>
  <c r="BP814" i="1" s="1"/>
  <c r="BS814" i="1"/>
  <c r="BR814" i="1" s="1"/>
  <c r="BK815" i="1"/>
  <c r="BL815" i="1" s="1"/>
  <c r="BM815" i="1"/>
  <c r="BN815" i="1"/>
  <c r="BO815" i="1" s="1"/>
  <c r="BP815" i="1" s="1"/>
  <c r="BS815" i="1"/>
  <c r="BR815" i="1" s="1"/>
  <c r="BK816" i="1"/>
  <c r="BL816" i="1" s="1"/>
  <c r="BM816" i="1"/>
  <c r="BN816" i="1"/>
  <c r="BO816" i="1" s="1"/>
  <c r="BP816" i="1" s="1"/>
  <c r="BS816" i="1"/>
  <c r="BR816" i="1" s="1"/>
  <c r="BK817" i="1"/>
  <c r="BL817" i="1" s="1"/>
  <c r="BM817" i="1"/>
  <c r="BN817" i="1"/>
  <c r="BO817" i="1" s="1"/>
  <c r="BP817" i="1" s="1"/>
  <c r="BS817" i="1"/>
  <c r="BR817" i="1" s="1"/>
  <c r="BK818" i="1"/>
  <c r="BL818" i="1" s="1"/>
  <c r="BM818" i="1"/>
  <c r="BN818" i="1"/>
  <c r="BO818" i="1" s="1"/>
  <c r="BP818" i="1" s="1"/>
  <c r="BS818" i="1"/>
  <c r="BR818" i="1" s="1"/>
  <c r="BK819" i="1"/>
  <c r="BL819" i="1" s="1"/>
  <c r="BM819" i="1"/>
  <c r="BN819" i="1"/>
  <c r="BO819" i="1" s="1"/>
  <c r="BP819" i="1" s="1"/>
  <c r="BS819" i="1"/>
  <c r="BR819" i="1" s="1"/>
  <c r="BK820" i="1"/>
  <c r="BL820" i="1" s="1"/>
  <c r="BM820" i="1"/>
  <c r="BN820" i="1"/>
  <c r="BO820" i="1" s="1"/>
  <c r="BP820" i="1" s="1"/>
  <c r="BS820" i="1"/>
  <c r="BR820" i="1" s="1"/>
  <c r="BK821" i="1"/>
  <c r="BL821" i="1" s="1"/>
  <c r="BM821" i="1"/>
  <c r="BN821" i="1" s="1"/>
  <c r="BO821" i="1" s="1"/>
  <c r="BR821" i="1"/>
  <c r="BS821" i="1"/>
  <c r="BK822" i="1"/>
  <c r="BL822" i="1"/>
  <c r="BR822" i="1"/>
  <c r="BS822" i="1"/>
  <c r="BK823" i="1"/>
  <c r="BL823" i="1" s="1"/>
  <c r="BS823" i="1"/>
  <c r="BR823" i="1" s="1"/>
  <c r="BK824" i="1"/>
  <c r="BL824" i="1" s="1"/>
  <c r="BS824" i="1"/>
  <c r="BR824" i="1" s="1"/>
  <c r="BK825" i="1"/>
  <c r="BL825" i="1" s="1"/>
  <c r="BS825" i="1"/>
  <c r="BR825" i="1" s="1"/>
  <c r="BK826" i="1"/>
  <c r="BL826" i="1" s="1"/>
  <c r="BS826" i="1"/>
  <c r="BR826" i="1" s="1"/>
  <c r="BK827" i="1"/>
  <c r="BL827" i="1" s="1"/>
  <c r="BS827" i="1"/>
  <c r="BR827" i="1" s="1"/>
  <c r="BK828" i="1"/>
  <c r="BL828" i="1" s="1"/>
  <c r="BS828" i="1"/>
  <c r="BR828" i="1" s="1"/>
  <c r="BK829" i="1"/>
  <c r="BL829" i="1" s="1"/>
  <c r="BS829" i="1"/>
  <c r="BR829" i="1" s="1"/>
  <c r="BK830" i="1"/>
  <c r="BL830" i="1" s="1"/>
  <c r="BS830" i="1"/>
  <c r="BR830" i="1" s="1"/>
  <c r="BK831" i="1"/>
  <c r="BL831" i="1"/>
  <c r="BS831" i="1"/>
  <c r="BR831" i="1" s="1"/>
  <c r="BK832" i="1"/>
  <c r="BL832" i="1"/>
  <c r="BS832" i="1"/>
  <c r="BR832" i="1" s="1"/>
  <c r="BK833" i="1"/>
  <c r="BL833" i="1" s="1"/>
  <c r="BS833" i="1"/>
  <c r="BR833" i="1" s="1"/>
  <c r="BK834" i="1"/>
  <c r="BL834" i="1" s="1"/>
  <c r="BS834" i="1"/>
  <c r="BR834" i="1" s="1"/>
  <c r="BK835" i="1"/>
  <c r="BL835" i="1" s="1"/>
  <c r="BS835" i="1"/>
  <c r="BR835" i="1" s="1"/>
  <c r="BK836" i="1"/>
  <c r="BL836" i="1" s="1"/>
  <c r="BS836" i="1"/>
  <c r="BR836" i="1" s="1"/>
  <c r="BK837" i="1"/>
  <c r="BL837" i="1" s="1"/>
  <c r="BS837" i="1"/>
  <c r="BR837" i="1" s="1"/>
  <c r="BK838" i="1"/>
  <c r="BL838" i="1"/>
  <c r="BS838" i="1"/>
  <c r="BR838" i="1" s="1"/>
  <c r="BK839" i="1"/>
  <c r="BL839" i="1" s="1"/>
  <c r="BS839" i="1"/>
  <c r="BR839" i="1" s="1"/>
  <c r="BK840" i="1"/>
  <c r="BL840" i="1" s="1"/>
  <c r="BS840" i="1"/>
  <c r="BR840" i="1" s="1"/>
  <c r="BK841" i="1"/>
  <c r="BL841" i="1" s="1"/>
  <c r="BS841" i="1"/>
  <c r="BR841" i="1" s="1"/>
  <c r="BK842" i="1"/>
  <c r="BL842" i="1"/>
  <c r="BS842" i="1"/>
  <c r="BR842" i="1" s="1"/>
  <c r="BK843" i="1"/>
  <c r="BL843" i="1" s="1"/>
  <c r="BS843" i="1"/>
  <c r="BR843" i="1" s="1"/>
  <c r="BK844" i="1"/>
  <c r="BL844" i="1"/>
  <c r="BS844" i="1"/>
  <c r="BR844" i="1" s="1"/>
  <c r="BK845" i="1"/>
  <c r="BL845" i="1" s="1"/>
  <c r="BS845" i="1"/>
  <c r="BR845" i="1" s="1"/>
  <c r="BK846" i="1"/>
  <c r="BL846" i="1" s="1"/>
  <c r="BS846" i="1"/>
  <c r="BR846" i="1" s="1"/>
  <c r="BK847" i="1"/>
  <c r="BL847" i="1" s="1"/>
  <c r="BS847" i="1"/>
  <c r="BR847" i="1" s="1"/>
  <c r="BK848" i="1"/>
  <c r="BL848" i="1"/>
  <c r="BS848" i="1"/>
  <c r="BR848" i="1" s="1"/>
  <c r="BK849" i="1"/>
  <c r="BL849" i="1"/>
  <c r="BS849" i="1"/>
  <c r="BR849" i="1" s="1"/>
  <c r="BK850" i="1"/>
  <c r="BL850" i="1"/>
  <c r="BS850" i="1"/>
  <c r="BR850" i="1" s="1"/>
  <c r="BK851" i="1"/>
  <c r="BL851" i="1" s="1"/>
  <c r="BS851" i="1"/>
  <c r="BR851" i="1" s="1"/>
  <c r="BK852" i="1"/>
  <c r="BL852" i="1" s="1"/>
  <c r="BS852" i="1"/>
  <c r="BR852" i="1" s="1"/>
  <c r="BK853" i="1"/>
  <c r="BL853" i="1"/>
  <c r="BS853" i="1"/>
  <c r="BR853" i="1" s="1"/>
  <c r="BK854" i="1"/>
  <c r="BL854" i="1" s="1"/>
  <c r="BS854" i="1"/>
  <c r="BR854" i="1" s="1"/>
  <c r="BK855" i="1"/>
  <c r="BL855" i="1" s="1"/>
  <c r="BS855" i="1"/>
  <c r="BR855" i="1" s="1"/>
  <c r="BK856" i="1"/>
  <c r="BL856" i="1" s="1"/>
  <c r="BS856" i="1"/>
  <c r="BR856" i="1" s="1"/>
  <c r="BK857" i="1"/>
  <c r="BL857" i="1" s="1"/>
  <c r="BS857" i="1"/>
  <c r="BR857" i="1" s="1"/>
  <c r="BK858" i="1"/>
  <c r="BL858" i="1" s="1"/>
  <c r="BS858" i="1"/>
  <c r="BR858" i="1" s="1"/>
  <c r="BK859" i="1"/>
  <c r="BL859" i="1" s="1"/>
  <c r="BS859" i="1"/>
  <c r="BR859" i="1" s="1"/>
  <c r="BK860" i="1"/>
  <c r="BL860" i="1"/>
  <c r="BS860" i="1"/>
  <c r="BR860" i="1" s="1"/>
  <c r="BK861" i="1"/>
  <c r="BL861" i="1" s="1"/>
  <c r="BS861" i="1"/>
  <c r="BR861" i="1" s="1"/>
  <c r="BK862" i="1"/>
  <c r="BL862" i="1" s="1"/>
  <c r="BS862" i="1"/>
  <c r="BR862" i="1" s="1"/>
  <c r="BK863" i="1"/>
  <c r="BL863" i="1"/>
  <c r="BS863" i="1"/>
  <c r="BR863" i="1" s="1"/>
  <c r="BK864" i="1"/>
  <c r="BL864" i="1"/>
  <c r="BS864" i="1"/>
  <c r="BR864" i="1" s="1"/>
  <c r="BK865" i="1"/>
  <c r="BL865" i="1"/>
  <c r="BS865" i="1"/>
  <c r="BR865" i="1" s="1"/>
  <c r="BK866" i="1"/>
  <c r="BL866" i="1"/>
  <c r="BS866" i="1"/>
  <c r="BR866" i="1" s="1"/>
  <c r="BK867" i="1"/>
  <c r="BL867" i="1"/>
  <c r="BS867" i="1"/>
  <c r="BR867" i="1" s="1"/>
  <c r="BK868" i="1"/>
  <c r="BL868" i="1"/>
  <c r="BS868" i="1"/>
  <c r="BR868" i="1" s="1"/>
  <c r="BK869" i="1"/>
  <c r="BL869" i="1"/>
  <c r="BS869" i="1"/>
  <c r="BR869" i="1" s="1"/>
  <c r="BK870" i="1"/>
  <c r="BL870" i="1"/>
  <c r="BS870" i="1"/>
  <c r="BR870" i="1" s="1"/>
  <c r="BK871" i="1"/>
  <c r="BL871" i="1"/>
  <c r="BS871" i="1"/>
  <c r="BR871" i="1" s="1"/>
  <c r="BK872" i="1"/>
  <c r="BL872" i="1" s="1"/>
  <c r="BS872" i="1"/>
  <c r="BR872" i="1" s="1"/>
  <c r="BK873" i="1"/>
  <c r="BL873" i="1" s="1"/>
  <c r="BS873" i="1"/>
  <c r="BR873" i="1" s="1"/>
  <c r="BK874" i="1"/>
  <c r="BL874" i="1" s="1"/>
  <c r="BS874" i="1"/>
  <c r="BR874" i="1" s="1"/>
  <c r="BK875" i="1"/>
  <c r="BL875" i="1"/>
  <c r="BS875" i="1"/>
  <c r="BR875" i="1" s="1"/>
  <c r="BK876" i="1"/>
  <c r="BL876" i="1" s="1"/>
  <c r="BS876" i="1"/>
  <c r="BR876" i="1" s="1"/>
  <c r="BK877" i="1"/>
  <c r="BL877" i="1" s="1"/>
  <c r="BS877" i="1"/>
  <c r="BR877" i="1" s="1"/>
  <c r="BK878" i="1"/>
  <c r="BL878" i="1"/>
  <c r="BS878" i="1"/>
  <c r="BR878" i="1" s="1"/>
  <c r="BK879" i="1"/>
  <c r="BL879" i="1"/>
  <c r="BS879" i="1"/>
  <c r="BR879" i="1" s="1"/>
  <c r="BK880" i="1"/>
  <c r="BL880" i="1" s="1"/>
  <c r="BS880" i="1"/>
  <c r="BR880" i="1" s="1"/>
  <c r="BK881" i="1"/>
  <c r="BL881" i="1" s="1"/>
  <c r="BS881" i="1"/>
  <c r="BR881" i="1" s="1"/>
  <c r="BK882" i="1"/>
  <c r="BL882" i="1" s="1"/>
  <c r="BS882" i="1"/>
  <c r="BR882" i="1" s="1"/>
  <c r="BK883" i="1"/>
  <c r="BL883" i="1" s="1"/>
  <c r="BS883" i="1"/>
  <c r="BR883" i="1" s="1"/>
  <c r="BK884" i="1"/>
  <c r="BL884" i="1"/>
  <c r="BS884" i="1"/>
  <c r="BR884" i="1" s="1"/>
  <c r="BK885" i="1"/>
  <c r="BL885" i="1"/>
  <c r="BS885" i="1"/>
  <c r="BR885" i="1" s="1"/>
  <c r="BK886" i="1"/>
  <c r="BL886" i="1" s="1"/>
  <c r="BS886" i="1"/>
  <c r="BR886" i="1" s="1"/>
  <c r="BK887" i="1"/>
  <c r="BL887" i="1" s="1"/>
  <c r="BS887" i="1"/>
  <c r="BR887" i="1" s="1"/>
  <c r="BK888" i="1"/>
  <c r="BL888" i="1"/>
  <c r="BS888" i="1"/>
  <c r="BR888" i="1" s="1"/>
  <c r="BK889" i="1"/>
  <c r="BL889" i="1" s="1"/>
  <c r="BS889" i="1"/>
  <c r="BR889" i="1" s="1"/>
  <c r="BK890" i="1"/>
  <c r="BL890" i="1" s="1"/>
  <c r="BS890" i="1"/>
  <c r="BR890" i="1" s="1"/>
  <c r="BK891" i="1"/>
  <c r="BL891" i="1" s="1"/>
  <c r="BS891" i="1"/>
  <c r="BR891" i="1" s="1"/>
  <c r="BK892" i="1"/>
  <c r="BL892" i="1" s="1"/>
  <c r="BS892" i="1"/>
  <c r="BR892" i="1" s="1"/>
  <c r="BK893" i="1"/>
  <c r="BL893" i="1" s="1"/>
  <c r="BS893" i="1"/>
  <c r="BR893" i="1" s="1"/>
  <c r="BK894" i="1"/>
  <c r="BL894" i="1" s="1"/>
  <c r="BS894" i="1"/>
  <c r="BR894" i="1" s="1"/>
  <c r="BK895" i="1"/>
  <c r="BL895" i="1"/>
  <c r="BS895" i="1"/>
  <c r="BR895" i="1" s="1"/>
  <c r="BK896" i="1"/>
  <c r="BL896" i="1" s="1"/>
  <c r="BS896" i="1"/>
  <c r="BR896" i="1" s="1"/>
  <c r="BK897" i="1"/>
  <c r="BL897" i="1" s="1"/>
  <c r="BS897" i="1"/>
  <c r="BR897" i="1" s="1"/>
  <c r="BK898" i="1"/>
  <c r="BL898" i="1" s="1"/>
  <c r="BS898" i="1"/>
  <c r="BR898" i="1" s="1"/>
  <c r="BK899" i="1"/>
  <c r="BL899" i="1" s="1"/>
  <c r="BS899" i="1"/>
  <c r="BR899" i="1" s="1"/>
  <c r="BK900" i="1"/>
  <c r="BL900" i="1" s="1"/>
  <c r="BS900" i="1"/>
  <c r="BR900" i="1" s="1"/>
  <c r="BK901" i="1"/>
  <c r="BL901" i="1" s="1"/>
  <c r="BS901" i="1"/>
  <c r="BR901" i="1" s="1"/>
  <c r="BK902" i="1"/>
  <c r="BL902" i="1"/>
  <c r="BS902" i="1"/>
  <c r="BR902" i="1" s="1"/>
  <c r="BK903" i="1"/>
  <c r="BL903" i="1" s="1"/>
  <c r="BS903" i="1"/>
  <c r="BR903" i="1" s="1"/>
  <c r="BK904" i="1"/>
  <c r="BL904" i="1" s="1"/>
  <c r="BS904" i="1"/>
  <c r="BR904" i="1" s="1"/>
  <c r="BK905" i="1"/>
  <c r="BL905" i="1" s="1"/>
  <c r="BS905" i="1"/>
  <c r="BR905" i="1" s="1"/>
  <c r="BK906" i="1"/>
  <c r="BL906" i="1" s="1"/>
  <c r="BS906" i="1"/>
  <c r="BR906" i="1" s="1"/>
  <c r="BK907" i="1"/>
  <c r="BL907" i="1"/>
  <c r="BS907" i="1"/>
  <c r="BR907" i="1" s="1"/>
  <c r="BK908" i="1"/>
  <c r="BL908" i="1"/>
  <c r="BS908" i="1"/>
  <c r="BR908" i="1" s="1"/>
  <c r="BK909" i="1"/>
  <c r="BL909" i="1" s="1"/>
  <c r="BS909" i="1"/>
  <c r="BR909" i="1" s="1"/>
  <c r="BK910" i="1"/>
  <c r="BL910" i="1" s="1"/>
  <c r="BS910" i="1"/>
  <c r="BR910" i="1" s="1"/>
  <c r="BK911" i="1"/>
  <c r="BL911" i="1" s="1"/>
  <c r="BS911" i="1"/>
  <c r="BR911" i="1" s="1"/>
  <c r="BK912" i="1"/>
  <c r="BL912" i="1" s="1"/>
  <c r="BS912" i="1"/>
  <c r="BR912" i="1" s="1"/>
  <c r="BK913" i="1"/>
  <c r="BL913" i="1"/>
  <c r="BS913" i="1"/>
  <c r="BR913" i="1" s="1"/>
  <c r="BK914" i="1"/>
  <c r="BL914" i="1"/>
  <c r="BS914" i="1"/>
  <c r="BR914" i="1" s="1"/>
  <c r="BK915" i="1"/>
  <c r="BL915" i="1"/>
  <c r="BS915" i="1"/>
  <c r="BR915" i="1" s="1"/>
  <c r="BK916" i="1"/>
  <c r="BL916" i="1"/>
  <c r="BS916" i="1"/>
  <c r="BR916" i="1" s="1"/>
  <c r="BK917" i="1"/>
  <c r="BL917" i="1"/>
  <c r="BS917" i="1"/>
  <c r="BR917" i="1" s="1"/>
  <c r="BK918" i="1"/>
  <c r="BL918" i="1"/>
  <c r="BS918" i="1"/>
  <c r="BR918" i="1" s="1"/>
  <c r="BK919" i="1"/>
  <c r="BL919" i="1"/>
  <c r="BS919" i="1"/>
  <c r="BR919" i="1" s="1"/>
  <c r="BK920" i="1"/>
  <c r="BL920" i="1" s="1"/>
  <c r="BS920" i="1"/>
  <c r="BR920" i="1" s="1"/>
  <c r="BK921" i="1"/>
  <c r="BL921" i="1" s="1"/>
  <c r="BS921" i="1"/>
  <c r="BR921" i="1" s="1"/>
  <c r="BK922" i="1"/>
  <c r="BL922" i="1"/>
  <c r="BS922" i="1"/>
  <c r="BR922" i="1" s="1"/>
  <c r="BK923" i="1"/>
  <c r="BL923" i="1" s="1"/>
  <c r="BS923" i="1"/>
  <c r="BR923" i="1" s="1"/>
  <c r="BK924" i="1"/>
  <c r="BL924" i="1" s="1"/>
  <c r="BS924" i="1"/>
  <c r="BR924" i="1" s="1"/>
  <c r="BK925" i="1"/>
  <c r="BL925" i="1" s="1"/>
  <c r="BS925" i="1"/>
  <c r="BR925" i="1" s="1"/>
  <c r="BK926" i="1"/>
  <c r="BL926" i="1" s="1"/>
  <c r="BS926" i="1"/>
  <c r="BR926" i="1" s="1"/>
  <c r="BK927" i="1"/>
  <c r="BL927" i="1" s="1"/>
  <c r="BS927" i="1"/>
  <c r="BR927" i="1" s="1"/>
  <c r="BK928" i="1"/>
  <c r="BL928" i="1" s="1"/>
  <c r="BS928" i="1"/>
  <c r="BR928" i="1" s="1"/>
  <c r="BK929" i="1"/>
  <c r="BL929" i="1" s="1"/>
  <c r="BS929" i="1"/>
  <c r="BR929" i="1" s="1"/>
  <c r="BK930" i="1"/>
  <c r="BL930" i="1" s="1"/>
  <c r="BS930" i="1"/>
  <c r="BR930" i="1" s="1"/>
  <c r="BK931" i="1"/>
  <c r="BL931" i="1" s="1"/>
  <c r="BS931" i="1"/>
  <c r="BR931" i="1" s="1"/>
  <c r="BK932" i="1"/>
  <c r="BL932" i="1"/>
  <c r="BS932" i="1"/>
  <c r="BR932" i="1" s="1"/>
  <c r="BK933" i="1"/>
  <c r="BL933" i="1" s="1"/>
  <c r="BS933" i="1"/>
  <c r="BR933" i="1" s="1"/>
  <c r="BK934" i="1"/>
  <c r="BL934" i="1" s="1"/>
  <c r="BS934" i="1"/>
  <c r="BR934" i="1" s="1"/>
  <c r="BK935" i="1"/>
  <c r="BL935" i="1" s="1"/>
  <c r="BS935" i="1"/>
  <c r="BR935" i="1" s="1"/>
  <c r="BK936" i="1"/>
  <c r="BL936" i="1" s="1"/>
  <c r="BS936" i="1"/>
  <c r="BR936" i="1" s="1"/>
  <c r="BK937" i="1"/>
  <c r="BL937" i="1" s="1"/>
  <c r="BS937" i="1"/>
  <c r="BR937" i="1" s="1"/>
  <c r="BK938" i="1"/>
  <c r="BL938" i="1"/>
  <c r="BS938" i="1"/>
  <c r="BR938" i="1" s="1"/>
  <c r="BK939" i="1"/>
  <c r="BL939" i="1"/>
  <c r="BS939" i="1"/>
  <c r="BR939" i="1" s="1"/>
  <c r="BK940" i="1"/>
  <c r="BL940" i="1"/>
  <c r="BS940" i="1"/>
  <c r="BR940" i="1" s="1"/>
  <c r="BK941" i="1"/>
  <c r="BL941" i="1"/>
  <c r="BS941" i="1"/>
  <c r="BR941" i="1" s="1"/>
  <c r="BK942" i="1"/>
  <c r="BL942" i="1"/>
  <c r="BS942" i="1"/>
  <c r="BR942" i="1" s="1"/>
  <c r="BK943" i="1"/>
  <c r="BL943" i="1"/>
  <c r="BS943" i="1"/>
  <c r="BR943" i="1" s="1"/>
  <c r="BK944" i="1"/>
  <c r="BL944" i="1"/>
  <c r="BS944" i="1"/>
  <c r="BR944" i="1" s="1"/>
  <c r="BK945" i="1"/>
  <c r="BL945" i="1" s="1"/>
  <c r="BS945" i="1"/>
  <c r="BR945" i="1" s="1"/>
  <c r="BK946" i="1"/>
  <c r="BL946" i="1" s="1"/>
  <c r="BS946" i="1"/>
  <c r="BR946" i="1" s="1"/>
  <c r="BK947" i="1"/>
  <c r="BL947" i="1" s="1"/>
  <c r="BS947" i="1"/>
  <c r="BR947" i="1" s="1"/>
  <c r="BK948" i="1"/>
  <c r="BL948" i="1" s="1"/>
  <c r="BS948" i="1"/>
  <c r="BR948" i="1" s="1"/>
  <c r="BK949" i="1"/>
  <c r="BL949" i="1"/>
  <c r="BS949" i="1"/>
  <c r="BR949" i="1" s="1"/>
  <c r="BK950" i="1"/>
  <c r="BL950" i="1"/>
  <c r="BS950" i="1"/>
  <c r="BR950" i="1" s="1"/>
  <c r="BK951" i="1"/>
  <c r="BL951" i="1" s="1"/>
  <c r="BS951" i="1"/>
  <c r="BR951" i="1" s="1"/>
  <c r="BK952" i="1"/>
  <c r="BL952" i="1" s="1"/>
  <c r="BS952" i="1"/>
  <c r="BR952" i="1" s="1"/>
  <c r="BK953" i="1"/>
  <c r="BL953" i="1" s="1"/>
  <c r="BS953" i="1"/>
  <c r="BR953" i="1" s="1"/>
  <c r="BK954" i="1"/>
  <c r="BL954" i="1" s="1"/>
  <c r="BS954" i="1"/>
  <c r="BR954" i="1" s="1"/>
  <c r="BK955" i="1"/>
  <c r="BL955" i="1" s="1"/>
  <c r="BS955" i="1"/>
  <c r="BR955" i="1" s="1"/>
  <c r="BK956" i="1"/>
  <c r="BL956" i="1"/>
  <c r="BS956" i="1"/>
  <c r="BR956" i="1" s="1"/>
  <c r="BK957" i="1"/>
  <c r="BL957" i="1" s="1"/>
  <c r="BS957" i="1"/>
  <c r="BR957" i="1" s="1"/>
  <c r="BK958" i="1"/>
  <c r="BL958" i="1" s="1"/>
  <c r="BS958" i="1"/>
  <c r="BR958" i="1" s="1"/>
  <c r="BK959" i="1"/>
  <c r="BL959" i="1" s="1"/>
  <c r="BS959" i="1"/>
  <c r="BR959" i="1" s="1"/>
  <c r="BK960" i="1"/>
  <c r="BL960" i="1" s="1"/>
  <c r="BS960" i="1"/>
  <c r="BR960" i="1" s="1"/>
  <c r="BK961" i="1"/>
  <c r="BL961" i="1"/>
  <c r="BS961" i="1"/>
  <c r="BR961" i="1" s="1"/>
  <c r="BK962" i="1"/>
  <c r="BL962" i="1" s="1"/>
  <c r="BS962" i="1"/>
  <c r="BR962" i="1" s="1"/>
  <c r="BK963" i="1"/>
  <c r="BL963" i="1" s="1"/>
  <c r="BS963" i="1"/>
  <c r="BR963" i="1" s="1"/>
  <c r="BK964" i="1"/>
  <c r="BL964" i="1"/>
  <c r="BS964" i="1"/>
  <c r="BR964" i="1" s="1"/>
  <c r="BK965" i="1"/>
  <c r="BL965" i="1"/>
  <c r="BS965" i="1"/>
  <c r="BR965" i="1" s="1"/>
  <c r="BK966" i="1"/>
  <c r="BL966" i="1" s="1"/>
  <c r="BS966" i="1"/>
  <c r="BR966" i="1" s="1"/>
  <c r="BK967" i="1"/>
  <c r="BL967" i="1" s="1"/>
  <c r="BS967" i="1"/>
  <c r="BR967" i="1" s="1"/>
  <c r="BK968" i="1"/>
  <c r="BL968" i="1" s="1"/>
  <c r="BS968" i="1"/>
  <c r="BR968" i="1" s="1"/>
  <c r="BK969" i="1"/>
  <c r="BL969" i="1" s="1"/>
  <c r="BS969" i="1"/>
  <c r="BR969" i="1" s="1"/>
  <c r="BK970" i="1"/>
  <c r="BL970" i="1" s="1"/>
  <c r="BS970" i="1"/>
  <c r="BR970" i="1" s="1"/>
  <c r="BK971" i="1"/>
  <c r="BL971" i="1"/>
  <c r="BS971" i="1"/>
  <c r="BR971" i="1" s="1"/>
  <c r="BK972" i="1"/>
  <c r="BL972" i="1"/>
  <c r="BS972" i="1"/>
  <c r="BR972" i="1" s="1"/>
  <c r="BK973" i="1"/>
  <c r="BL973" i="1"/>
  <c r="BS973" i="1"/>
  <c r="BR973" i="1" s="1"/>
  <c r="BK974" i="1"/>
  <c r="BL974" i="1"/>
  <c r="BS974" i="1"/>
  <c r="BR974" i="1" s="1"/>
  <c r="BK975" i="1"/>
  <c r="BL975" i="1"/>
  <c r="BS975" i="1"/>
  <c r="BR975" i="1" s="1"/>
  <c r="BK976" i="1"/>
  <c r="BL976" i="1" s="1"/>
  <c r="BS976" i="1"/>
  <c r="BR976" i="1" s="1"/>
  <c r="BK977" i="1"/>
  <c r="BL977" i="1" s="1"/>
  <c r="BS977" i="1"/>
  <c r="BR977" i="1" s="1"/>
  <c r="BK978" i="1"/>
  <c r="BL978" i="1"/>
  <c r="BS978" i="1"/>
  <c r="BR978" i="1" s="1"/>
  <c r="BK979" i="1"/>
  <c r="BL979" i="1" s="1"/>
  <c r="BS979" i="1"/>
  <c r="BR979" i="1" s="1"/>
  <c r="BK980" i="1"/>
  <c r="BL980" i="1" s="1"/>
  <c r="BS980" i="1"/>
  <c r="BR980" i="1" s="1"/>
  <c r="BK981" i="1"/>
  <c r="BL981" i="1" s="1"/>
  <c r="BS981" i="1"/>
  <c r="BR981" i="1" s="1"/>
  <c r="BK982" i="1"/>
  <c r="BL982" i="1"/>
  <c r="BS982" i="1"/>
  <c r="BR982" i="1" s="1"/>
  <c r="BK983" i="1"/>
  <c r="BL983" i="1"/>
  <c r="BS983" i="1"/>
  <c r="BR983" i="1" s="1"/>
  <c r="BK984" i="1"/>
  <c r="BL984" i="1" s="1"/>
  <c r="BS984" i="1"/>
  <c r="BR984" i="1" s="1"/>
  <c r="BK985" i="1"/>
  <c r="BL985" i="1" s="1"/>
  <c r="BS985" i="1"/>
  <c r="BR985" i="1" s="1"/>
  <c r="BK986" i="1"/>
  <c r="BL986" i="1" s="1"/>
  <c r="BS986" i="1"/>
  <c r="BR986" i="1" s="1"/>
  <c r="BK987" i="1"/>
  <c r="BL987" i="1" s="1"/>
  <c r="BS987" i="1"/>
  <c r="BR987" i="1" s="1"/>
  <c r="BK988" i="1"/>
  <c r="BL988" i="1" s="1"/>
  <c r="BS988" i="1"/>
  <c r="BR988" i="1" s="1"/>
  <c r="BK989" i="1"/>
  <c r="BL989" i="1" s="1"/>
  <c r="BS989" i="1"/>
  <c r="BR989" i="1" s="1"/>
  <c r="BK990" i="1"/>
  <c r="BL990" i="1" s="1"/>
  <c r="BS990" i="1"/>
  <c r="BR990" i="1" s="1"/>
  <c r="BK991" i="1"/>
  <c r="BL991" i="1" s="1"/>
  <c r="BS991" i="1"/>
  <c r="BR991" i="1" s="1"/>
  <c r="BK992" i="1"/>
  <c r="BL992" i="1" s="1"/>
  <c r="BS992" i="1"/>
  <c r="BR992" i="1" s="1"/>
  <c r="BK993" i="1"/>
  <c r="BL993" i="1" s="1"/>
  <c r="BS993" i="1"/>
  <c r="BR993" i="1" s="1"/>
  <c r="BK994" i="1"/>
  <c r="BL994" i="1"/>
  <c r="BS994" i="1"/>
  <c r="BR994" i="1" s="1"/>
  <c r="BK995" i="1"/>
  <c r="BL995" i="1" s="1"/>
  <c r="BS995" i="1"/>
  <c r="BR995" i="1" s="1"/>
  <c r="BK996" i="1"/>
  <c r="BL996" i="1" s="1"/>
  <c r="BS996" i="1"/>
  <c r="BR996" i="1" s="1"/>
  <c r="BK997" i="1"/>
  <c r="BL997" i="1" s="1"/>
  <c r="BS997" i="1"/>
  <c r="BR997" i="1" s="1"/>
  <c r="BK998" i="1"/>
  <c r="BL998" i="1" s="1"/>
  <c r="BS998" i="1"/>
  <c r="BR998" i="1" s="1"/>
  <c r="BK999" i="1"/>
  <c r="BL999" i="1" s="1"/>
  <c r="BS999" i="1"/>
  <c r="BR999" i="1" s="1"/>
  <c r="BK1000" i="1"/>
  <c r="BL1000" i="1" s="1"/>
  <c r="BS1000" i="1"/>
  <c r="BR1000" i="1" s="1"/>
  <c r="BK1001" i="1"/>
  <c r="BL1001" i="1" s="1"/>
  <c r="BS1001" i="1"/>
  <c r="BR1001" i="1" s="1"/>
  <c r="BK1002" i="1"/>
  <c r="BL1002" i="1" s="1"/>
  <c r="BS1002" i="1"/>
  <c r="BR1002" i="1" s="1"/>
  <c r="BK1003" i="1"/>
  <c r="BL1003" i="1" s="1"/>
  <c r="BS1003" i="1"/>
  <c r="BR1003" i="1" s="1"/>
  <c r="BK1004" i="1"/>
  <c r="BL1004" i="1"/>
  <c r="BS1004" i="1"/>
  <c r="BR1004" i="1" s="1"/>
  <c r="BK1005" i="1"/>
  <c r="BL1005" i="1" s="1"/>
  <c r="BS1005" i="1"/>
  <c r="BR1005" i="1" s="1"/>
  <c r="BK1006" i="1"/>
  <c r="BL1006" i="1" s="1"/>
  <c r="BS1006" i="1"/>
  <c r="BR1006" i="1" s="1"/>
  <c r="BK1007" i="1"/>
  <c r="BL1007" i="1" s="1"/>
  <c r="BS1007" i="1"/>
  <c r="BR1007" i="1" s="1"/>
  <c r="BK1008" i="1"/>
  <c r="BL1008" i="1" s="1"/>
  <c r="BS1008" i="1"/>
  <c r="BR1008" i="1" s="1"/>
  <c r="BK1009" i="1"/>
  <c r="BL1009" i="1" s="1"/>
  <c r="BS1009" i="1"/>
  <c r="BR1009" i="1" s="1"/>
  <c r="BK1010" i="1"/>
  <c r="BL1010" i="1" s="1"/>
  <c r="BS1010" i="1"/>
  <c r="BR1010" i="1" s="1"/>
  <c r="BK1011" i="1"/>
  <c r="BL1011" i="1" s="1"/>
  <c r="BS1011" i="1"/>
  <c r="BR1011" i="1" s="1"/>
  <c r="BK1012" i="1"/>
  <c r="BL1012" i="1" s="1"/>
  <c r="BS1012" i="1"/>
  <c r="BR1012" i="1" s="1"/>
  <c r="BK1013" i="1"/>
  <c r="BL1013" i="1" s="1"/>
  <c r="BS1013" i="1"/>
  <c r="BR1013" i="1" s="1"/>
  <c r="BK1014" i="1"/>
  <c r="BL1014" i="1" s="1"/>
  <c r="BS1014" i="1"/>
  <c r="BR1014" i="1" s="1"/>
  <c r="BK1015" i="1"/>
  <c r="BL1015" i="1" s="1"/>
  <c r="BS1015" i="1"/>
  <c r="BR1015" i="1" s="1"/>
  <c r="BK1016" i="1"/>
  <c r="BL1016" i="1" s="1"/>
  <c r="BS1016" i="1"/>
  <c r="BR1016" i="1" s="1"/>
  <c r="BK1017" i="1"/>
  <c r="BL1017" i="1" s="1"/>
  <c r="BS1017" i="1"/>
  <c r="BR1017" i="1" s="1"/>
  <c r="BK1018" i="1"/>
  <c r="BL1018" i="1" s="1"/>
  <c r="BS1018" i="1"/>
  <c r="BR1018" i="1" s="1"/>
  <c r="BK1019" i="1"/>
  <c r="BL1019" i="1"/>
  <c r="BS1019" i="1"/>
  <c r="BR1019" i="1" s="1"/>
  <c r="BK1020" i="1"/>
  <c r="BL1020" i="1" s="1"/>
  <c r="BS1020" i="1"/>
  <c r="BR1020" i="1" s="1"/>
  <c r="BK1021" i="1"/>
  <c r="BL1021" i="1" s="1"/>
  <c r="BS1021" i="1"/>
  <c r="BR1021" i="1" s="1"/>
  <c r="BK1022" i="1"/>
  <c r="BL1022" i="1" s="1"/>
  <c r="BS1022" i="1"/>
  <c r="BR1022" i="1" s="1"/>
  <c r="BK1023" i="1"/>
  <c r="BL1023" i="1" s="1"/>
  <c r="BS1023" i="1"/>
  <c r="BR1023" i="1" s="1"/>
  <c r="BK1024" i="1"/>
  <c r="BL1024" i="1" s="1"/>
  <c r="BS1024" i="1"/>
  <c r="BR1024" i="1" s="1"/>
  <c r="BK1025" i="1"/>
  <c r="BL1025" i="1" s="1"/>
  <c r="BS1025" i="1"/>
  <c r="BR1025" i="1" s="1"/>
  <c r="BK1026" i="1"/>
  <c r="BL1026" i="1" s="1"/>
  <c r="BS1026" i="1"/>
  <c r="BR1026" i="1" s="1"/>
  <c r="BK1027" i="1"/>
  <c r="BL1027" i="1" s="1"/>
  <c r="BS1027" i="1"/>
  <c r="BR1027" i="1" s="1"/>
  <c r="BK1028" i="1"/>
  <c r="BL1028" i="1" s="1"/>
  <c r="BS1028" i="1"/>
  <c r="BR1028" i="1" s="1"/>
  <c r="BK1029" i="1"/>
  <c r="BL1029" i="1" s="1"/>
  <c r="BS1029" i="1"/>
  <c r="BR1029" i="1" s="1"/>
  <c r="BK1030" i="1"/>
  <c r="BL1030" i="1" s="1"/>
  <c r="BS1030" i="1"/>
  <c r="BR1030" i="1" s="1"/>
  <c r="BK1031" i="1"/>
  <c r="BL1031" i="1"/>
  <c r="BS1031" i="1"/>
  <c r="BR1031" i="1" s="1"/>
  <c r="BK1032" i="1"/>
  <c r="BL1032" i="1"/>
  <c r="BS1032" i="1"/>
  <c r="BR1032" i="1" s="1"/>
  <c r="BK1033" i="1"/>
  <c r="BL1033" i="1" s="1"/>
  <c r="BS1033" i="1"/>
  <c r="BR1033" i="1" s="1"/>
  <c r="BK1034" i="1"/>
  <c r="BL1034" i="1" s="1"/>
  <c r="BS1034" i="1"/>
  <c r="BR1034" i="1" s="1"/>
  <c r="BK1035" i="1"/>
  <c r="BL1035" i="1" s="1"/>
  <c r="BS1035" i="1"/>
  <c r="BR1035" i="1" s="1"/>
  <c r="BK1036" i="1"/>
  <c r="BL1036" i="1" s="1"/>
  <c r="BS1036" i="1"/>
  <c r="BR1036" i="1" s="1"/>
  <c r="BK1037" i="1"/>
  <c r="BL1037" i="1"/>
  <c r="BS1037" i="1"/>
  <c r="BR1037" i="1" s="1"/>
  <c r="BK1038" i="1"/>
  <c r="BL1038" i="1" s="1"/>
  <c r="BS1038" i="1"/>
  <c r="BR1038" i="1" s="1"/>
  <c r="BK1039" i="1"/>
  <c r="BL1039" i="1" s="1"/>
  <c r="BS1039" i="1"/>
  <c r="BR1039" i="1" s="1"/>
  <c r="BK1040" i="1"/>
  <c r="BL1040" i="1"/>
  <c r="BS1040" i="1"/>
  <c r="BR1040" i="1" s="1"/>
  <c r="BK1041" i="1"/>
  <c r="BL1041" i="1"/>
  <c r="BS1041" i="1"/>
  <c r="BR1041" i="1" s="1"/>
  <c r="BK1042" i="1"/>
  <c r="BL1042" i="1"/>
  <c r="BS1042" i="1"/>
  <c r="BR1042" i="1" s="1"/>
  <c r="BK1043" i="1"/>
  <c r="BL1043" i="1"/>
  <c r="BS1043" i="1"/>
  <c r="BR1043" i="1" s="1"/>
  <c r="BK1044" i="1"/>
  <c r="BL1044" i="1"/>
  <c r="BS1044" i="1"/>
  <c r="BR1044" i="1" s="1"/>
  <c r="BK1045" i="1"/>
  <c r="BL1045" i="1"/>
  <c r="BS1045" i="1"/>
  <c r="BR1045" i="1" s="1"/>
  <c r="BK1046" i="1"/>
  <c r="BL1046" i="1" s="1"/>
  <c r="BS1046" i="1"/>
  <c r="BR1046" i="1" s="1"/>
  <c r="BK1047" i="1"/>
  <c r="BL1047" i="1" s="1"/>
  <c r="BS1047" i="1"/>
  <c r="BR1047" i="1" s="1"/>
  <c r="BK1048" i="1"/>
  <c r="BL1048" i="1" s="1"/>
  <c r="BS1048" i="1"/>
  <c r="BR1048" i="1" s="1"/>
  <c r="BK1049" i="1"/>
  <c r="BL1049" i="1"/>
  <c r="BS1049" i="1"/>
  <c r="BR1049" i="1" s="1"/>
  <c r="BK1050" i="1"/>
  <c r="BL1050" i="1" s="1"/>
  <c r="BS1050" i="1"/>
  <c r="BR1050" i="1" s="1"/>
  <c r="BK1051" i="1"/>
  <c r="BL1051" i="1" s="1"/>
  <c r="BS1051" i="1"/>
  <c r="BR1051" i="1" s="1"/>
  <c r="BK1052" i="1"/>
  <c r="BL1052" i="1" s="1"/>
  <c r="BS1052" i="1"/>
  <c r="BR1052" i="1" s="1"/>
  <c r="BK1053" i="1"/>
  <c r="BL1053" i="1" s="1"/>
  <c r="BS1053" i="1"/>
  <c r="BR1053" i="1" s="1"/>
  <c r="BK1054" i="1"/>
  <c r="BL1054" i="1"/>
  <c r="BS1054" i="1"/>
  <c r="BR1054" i="1" s="1"/>
  <c r="BK1055" i="1"/>
  <c r="BL1055" i="1"/>
  <c r="BS1055" i="1"/>
  <c r="BR1055" i="1" s="1"/>
  <c r="BK1056" i="1"/>
  <c r="BL1056" i="1" s="1"/>
  <c r="BS1056" i="1"/>
  <c r="BR1056" i="1" s="1"/>
  <c r="BK1057" i="1"/>
  <c r="BL1057" i="1" s="1"/>
  <c r="BS1057" i="1"/>
  <c r="BR1057" i="1" s="1"/>
  <c r="BK1058" i="1"/>
  <c r="BL1058" i="1" s="1"/>
  <c r="BS1058" i="1"/>
  <c r="BR1058" i="1" s="1"/>
  <c r="BK1059" i="1"/>
  <c r="BL1059" i="1"/>
  <c r="BS1059" i="1"/>
  <c r="BR1059" i="1" s="1"/>
  <c r="BK1060" i="1"/>
  <c r="BL1060" i="1" s="1"/>
  <c r="BS1060" i="1"/>
  <c r="BR1060" i="1" s="1"/>
  <c r="BK1061" i="1"/>
  <c r="BL1061" i="1" s="1"/>
  <c r="BS1061" i="1"/>
  <c r="BR1061" i="1" s="1"/>
  <c r="BK1062" i="1"/>
  <c r="BL1062" i="1" s="1"/>
  <c r="BS1062" i="1"/>
  <c r="BR1062" i="1" s="1"/>
  <c r="BK1063" i="1"/>
  <c r="BL1063" i="1" s="1"/>
  <c r="BS1063" i="1"/>
  <c r="BR1063" i="1" s="1"/>
  <c r="BK1064" i="1"/>
  <c r="BL1064" i="1" s="1"/>
  <c r="BS1064" i="1"/>
  <c r="BR1064" i="1" s="1"/>
  <c r="BK1065" i="1"/>
  <c r="BL1065" i="1" s="1"/>
  <c r="BS1065" i="1"/>
  <c r="BR1065" i="1" s="1"/>
  <c r="BK1066" i="1"/>
  <c r="BL1066" i="1"/>
  <c r="BS1066" i="1"/>
  <c r="BR1066" i="1" s="1"/>
  <c r="BK1067" i="1"/>
  <c r="BL1067" i="1"/>
  <c r="BS1067" i="1"/>
  <c r="BR1067" i="1" s="1"/>
  <c r="BK1068" i="1"/>
  <c r="BL1068" i="1"/>
  <c r="BS1068" i="1"/>
  <c r="BR1068" i="1" s="1"/>
  <c r="BK1069" i="1"/>
  <c r="BL1069" i="1" s="1"/>
  <c r="BS1069" i="1"/>
  <c r="BR1069" i="1" s="1"/>
  <c r="BK1070" i="1"/>
  <c r="BL1070" i="1" s="1"/>
  <c r="BS1070" i="1"/>
  <c r="BR1070" i="1" s="1"/>
  <c r="BK1071" i="1"/>
  <c r="BL1071" i="1" s="1"/>
  <c r="BS1071" i="1"/>
  <c r="BR1071" i="1" s="1"/>
  <c r="BK1072" i="1"/>
  <c r="BL1072" i="1" s="1"/>
  <c r="BS1072" i="1"/>
  <c r="BR1072" i="1" s="1"/>
  <c r="BK1073" i="1"/>
  <c r="BL1073" i="1" s="1"/>
  <c r="BS1073" i="1"/>
  <c r="BR1073" i="1" s="1"/>
  <c r="BK1074" i="1"/>
  <c r="BL1074" i="1" s="1"/>
  <c r="BS1074" i="1"/>
  <c r="BR1074" i="1" s="1"/>
  <c r="BK1075" i="1"/>
  <c r="BL1075" i="1" s="1"/>
  <c r="BS1075" i="1"/>
  <c r="BR1075" i="1" s="1"/>
  <c r="BK1076" i="1"/>
  <c r="BL1076" i="1" s="1"/>
  <c r="BS1076" i="1"/>
  <c r="BR1076" i="1" s="1"/>
  <c r="BK1077" i="1"/>
  <c r="BL1077" i="1"/>
  <c r="BS1077" i="1"/>
  <c r="BR1077" i="1" s="1"/>
  <c r="BK1078" i="1"/>
  <c r="BL1078" i="1" s="1"/>
  <c r="BS1078" i="1"/>
  <c r="BR1078" i="1" s="1"/>
  <c r="BK1079" i="1"/>
  <c r="BL1079" i="1" s="1"/>
  <c r="BS1079" i="1"/>
  <c r="BR1079" i="1" s="1"/>
  <c r="BK1080" i="1"/>
  <c r="BL1080" i="1"/>
  <c r="BS1080" i="1"/>
  <c r="BR1080" i="1" s="1"/>
  <c r="BK1081" i="1"/>
  <c r="BL1081" i="1"/>
  <c r="BS1081" i="1"/>
  <c r="BR1081" i="1" s="1"/>
  <c r="BK1082" i="1"/>
  <c r="BL1082" i="1" s="1"/>
  <c r="BS1082" i="1"/>
  <c r="BR1082" i="1" s="1"/>
  <c r="BK1083" i="1"/>
  <c r="BL1083" i="1" s="1"/>
  <c r="BS1083" i="1"/>
  <c r="BR1083" i="1" s="1"/>
  <c r="BK1084" i="1"/>
  <c r="BL1084" i="1" s="1"/>
  <c r="BS1084" i="1"/>
  <c r="BR1084" i="1" s="1"/>
  <c r="BK1085" i="1"/>
  <c r="BL1085" i="1" s="1"/>
  <c r="BS1085" i="1"/>
  <c r="BR1085" i="1" s="1"/>
  <c r="BK1086" i="1"/>
  <c r="BL1086" i="1" s="1"/>
  <c r="BS1086" i="1"/>
  <c r="BR1086" i="1" s="1"/>
  <c r="BK1087" i="1"/>
  <c r="BL1087" i="1" s="1"/>
  <c r="BS1087" i="1"/>
  <c r="BR1087" i="1" s="1"/>
  <c r="BK1088" i="1"/>
  <c r="BL1088" i="1" s="1"/>
  <c r="BS1088" i="1"/>
  <c r="BR1088" i="1" s="1"/>
  <c r="BK1089" i="1"/>
  <c r="BL1089" i="1" s="1"/>
  <c r="BS1089" i="1"/>
  <c r="BR1089" i="1" s="1"/>
  <c r="BK1090" i="1"/>
  <c r="BL1090" i="1" s="1"/>
  <c r="BS1090" i="1"/>
  <c r="BR1090" i="1" s="1"/>
  <c r="BK1091" i="1"/>
  <c r="BL1091" i="1"/>
  <c r="BS1091" i="1"/>
  <c r="BR1091" i="1" s="1"/>
  <c r="BK1092" i="1"/>
  <c r="BL1092" i="1"/>
  <c r="BS1092" i="1"/>
  <c r="BR1092" i="1" s="1"/>
  <c r="BK1093" i="1"/>
  <c r="BL1093" i="1" s="1"/>
  <c r="BS1093" i="1"/>
  <c r="BR1093" i="1" s="1"/>
  <c r="BK1094" i="1"/>
  <c r="BL1094" i="1" s="1"/>
  <c r="BS1094" i="1"/>
  <c r="BR1094" i="1" s="1"/>
  <c r="BK1095" i="1"/>
  <c r="BL1095" i="1" s="1"/>
  <c r="BS1095" i="1"/>
  <c r="BR1095" i="1" s="1"/>
  <c r="BK1096" i="1"/>
  <c r="BL1096" i="1" s="1"/>
  <c r="BS1096" i="1"/>
  <c r="BR1096" i="1" s="1"/>
  <c r="BK1097" i="1"/>
  <c r="BL1097" i="1" s="1"/>
  <c r="BS1097" i="1"/>
  <c r="BR1097" i="1" s="1"/>
  <c r="BK1098" i="1"/>
  <c r="BL1098" i="1"/>
  <c r="BS1098" i="1"/>
  <c r="BR1098" i="1" s="1"/>
  <c r="BK1099" i="1"/>
  <c r="BL1099" i="1"/>
  <c r="BS1099" i="1"/>
  <c r="BR1099" i="1" s="1"/>
  <c r="BK1100" i="1"/>
  <c r="BL1100" i="1"/>
  <c r="BS1100" i="1"/>
  <c r="BR1100" i="1" s="1"/>
  <c r="BK1101" i="1"/>
  <c r="BL1101" i="1" s="1"/>
  <c r="BS1101" i="1"/>
  <c r="BR1101" i="1" s="1"/>
  <c r="BK1102" i="1"/>
  <c r="BL1102" i="1" s="1"/>
  <c r="BS1102" i="1"/>
  <c r="BR1102" i="1" s="1"/>
  <c r="BK1103" i="1"/>
  <c r="BL1103" i="1" s="1"/>
  <c r="BS1103" i="1"/>
  <c r="BR1103" i="1" s="1"/>
  <c r="BK1104" i="1"/>
  <c r="BL1104" i="1" s="1"/>
  <c r="BS1104" i="1"/>
  <c r="BR1104" i="1" s="1"/>
  <c r="BK1105" i="1"/>
  <c r="BL1105" i="1" s="1"/>
  <c r="BS1105" i="1"/>
  <c r="BR1105" i="1" s="1"/>
  <c r="BK1106" i="1"/>
  <c r="BL1106" i="1" s="1"/>
  <c r="BS1106" i="1"/>
  <c r="BR1106" i="1" s="1"/>
  <c r="BK1107" i="1"/>
  <c r="BL1107" i="1"/>
  <c r="BS1107" i="1"/>
  <c r="BR1107" i="1" s="1"/>
  <c r="BK1108" i="1"/>
  <c r="BL1108" i="1"/>
  <c r="BS1108" i="1"/>
  <c r="BR1108" i="1" s="1"/>
  <c r="BK1109" i="1"/>
  <c r="BL1109" i="1" s="1"/>
  <c r="BS1109" i="1"/>
  <c r="BR1109" i="1" s="1"/>
  <c r="BK1110" i="1"/>
  <c r="BL1110" i="1" s="1"/>
  <c r="BS1110" i="1"/>
  <c r="BR1110" i="1" s="1"/>
  <c r="BK1111" i="1"/>
  <c r="BL1111" i="1" s="1"/>
  <c r="BS1111" i="1"/>
  <c r="BR1111" i="1" s="1"/>
  <c r="BK1112" i="1"/>
  <c r="BL1112" i="1" s="1"/>
  <c r="BS1112" i="1"/>
  <c r="BR1112" i="1" s="1"/>
  <c r="BK1113" i="1"/>
  <c r="BL1113" i="1" s="1"/>
  <c r="BS1113" i="1"/>
  <c r="BR1113" i="1" s="1"/>
  <c r="BK1114" i="1"/>
  <c r="BL1114" i="1" s="1"/>
  <c r="BS1114" i="1"/>
  <c r="BR1114" i="1" s="1"/>
  <c r="BK1115" i="1"/>
  <c r="BL1115" i="1" s="1"/>
  <c r="BS1115" i="1"/>
  <c r="BR1115" i="1" s="1"/>
  <c r="BK1116" i="1"/>
  <c r="BL1116" i="1" s="1"/>
  <c r="BS1116" i="1"/>
  <c r="BR1116" i="1" s="1"/>
  <c r="BK1117" i="1"/>
  <c r="BL1117" i="1" s="1"/>
  <c r="BS1117" i="1"/>
  <c r="BR1117" i="1" s="1"/>
  <c r="BK1118" i="1"/>
  <c r="BL1118" i="1" s="1"/>
  <c r="BS1118" i="1"/>
  <c r="BR1118" i="1" s="1"/>
  <c r="BK1119" i="1"/>
  <c r="BL1119" i="1" s="1"/>
  <c r="BS1119" i="1"/>
  <c r="BR1119" i="1" s="1"/>
  <c r="BK1120" i="1"/>
  <c r="BL1120" i="1" s="1"/>
  <c r="BS1120" i="1"/>
  <c r="BR1120" i="1" s="1"/>
  <c r="BK1121" i="1"/>
  <c r="BL1121" i="1" s="1"/>
  <c r="BS1121" i="1"/>
  <c r="BR1121" i="1" s="1"/>
  <c r="BK1122" i="1"/>
  <c r="BL1122" i="1" s="1"/>
  <c r="BS1122" i="1"/>
  <c r="BR1122" i="1" s="1"/>
  <c r="BK1123" i="1"/>
  <c r="BL1123" i="1" s="1"/>
  <c r="BS1123" i="1"/>
  <c r="BR1123" i="1" s="1"/>
  <c r="BK1124" i="1"/>
  <c r="BL1124" i="1" s="1"/>
  <c r="BS1124" i="1"/>
  <c r="BR1124" i="1" s="1"/>
  <c r="BK1125" i="1"/>
  <c r="BL1125" i="1" s="1"/>
  <c r="BS1125" i="1"/>
  <c r="BR1125" i="1" s="1"/>
  <c r="BK1126" i="1"/>
  <c r="BL1126" i="1"/>
  <c r="BS1126" i="1"/>
  <c r="BR1126" i="1" s="1"/>
  <c r="BK1127" i="1"/>
  <c r="BL1127" i="1"/>
  <c r="BS1127" i="1"/>
  <c r="BR1127" i="1" s="1"/>
  <c r="BK1128" i="1"/>
  <c r="BL1128" i="1" s="1"/>
  <c r="BS1128" i="1"/>
  <c r="BR1128" i="1" s="1"/>
  <c r="BK1129" i="1"/>
  <c r="BL1129" i="1" s="1"/>
  <c r="BS1129" i="1"/>
  <c r="BR1129" i="1" s="1"/>
  <c r="BK1130" i="1"/>
  <c r="BL1130" i="1" s="1"/>
  <c r="BS1130" i="1"/>
  <c r="BR1130" i="1" s="1"/>
  <c r="BK1131" i="1"/>
  <c r="BL1131" i="1" s="1"/>
  <c r="BS1131" i="1"/>
  <c r="BR1131" i="1" s="1"/>
  <c r="BK1132" i="1"/>
  <c r="BL1132" i="1" s="1"/>
  <c r="BS1132" i="1"/>
  <c r="BR1132" i="1" s="1"/>
  <c r="BK1133" i="1"/>
  <c r="BL1133" i="1"/>
  <c r="BS1133" i="1"/>
  <c r="BR1133" i="1" s="1"/>
  <c r="BK1134" i="1"/>
  <c r="BL1134" i="1" s="1"/>
  <c r="BS1134" i="1"/>
  <c r="BR1134" i="1" s="1"/>
  <c r="BK1135" i="1"/>
  <c r="BL1135" i="1" s="1"/>
  <c r="BS1135" i="1"/>
  <c r="BR1135" i="1" s="1"/>
  <c r="BK1136" i="1"/>
  <c r="BL1136" i="1" s="1"/>
  <c r="BS1136" i="1"/>
  <c r="BR1136" i="1" s="1"/>
  <c r="BK1137" i="1"/>
  <c r="BL1137" i="1" s="1"/>
  <c r="BS1137" i="1"/>
  <c r="BR1137" i="1" s="1"/>
  <c r="BK1138" i="1"/>
  <c r="BL1138" i="1"/>
  <c r="BS1138" i="1"/>
  <c r="BR1138" i="1" s="1"/>
  <c r="BK1139" i="1"/>
  <c r="BL1139" i="1"/>
  <c r="BS1139" i="1"/>
  <c r="BR1139" i="1" s="1"/>
  <c r="BK1140" i="1"/>
  <c r="BL1140" i="1"/>
  <c r="BS1140" i="1"/>
  <c r="BR1140" i="1" s="1"/>
  <c r="BK1141" i="1"/>
  <c r="BL1141" i="1" s="1"/>
  <c r="BS1141" i="1"/>
  <c r="BR1141" i="1" s="1"/>
  <c r="BK1142" i="1"/>
  <c r="BL1142" i="1" s="1"/>
  <c r="BS1142" i="1"/>
  <c r="BR1142" i="1" s="1"/>
  <c r="BK1143" i="1"/>
  <c r="BL1143" i="1" s="1"/>
  <c r="BS1143" i="1"/>
  <c r="BR1143" i="1" s="1"/>
  <c r="BK1144" i="1"/>
  <c r="BL1144" i="1" s="1"/>
  <c r="BS1144" i="1"/>
  <c r="BR1144" i="1" s="1"/>
  <c r="BK1145" i="1"/>
  <c r="BL1145" i="1"/>
  <c r="BS1145" i="1"/>
  <c r="BR1145" i="1" s="1"/>
  <c r="BK1146" i="1"/>
  <c r="BL1146" i="1"/>
  <c r="BS1146" i="1"/>
  <c r="BR1146" i="1" s="1"/>
  <c r="BK1147" i="1"/>
  <c r="BL1147" i="1" s="1"/>
  <c r="BS1147" i="1"/>
  <c r="BR1147" i="1" s="1"/>
  <c r="BK1148" i="1"/>
  <c r="BL1148" i="1" s="1"/>
  <c r="BS1148" i="1"/>
  <c r="BR1148" i="1" s="1"/>
  <c r="BK1149" i="1"/>
  <c r="BL1149" i="1" s="1"/>
  <c r="BS1149" i="1"/>
  <c r="BR1149" i="1" s="1"/>
  <c r="BK1150" i="1"/>
  <c r="BL1150" i="1" s="1"/>
  <c r="BS1150" i="1"/>
  <c r="BR1150" i="1" s="1"/>
  <c r="BK1151" i="1"/>
  <c r="BL1151" i="1"/>
  <c r="BS1151" i="1"/>
  <c r="BR1151" i="1" s="1"/>
  <c r="BK1152" i="1"/>
  <c r="BL1152" i="1" s="1"/>
  <c r="BS1152" i="1"/>
  <c r="BR1152" i="1" s="1"/>
  <c r="BK1153" i="1"/>
  <c r="BL1153" i="1" s="1"/>
  <c r="BS1153" i="1"/>
  <c r="BR1153" i="1" s="1"/>
  <c r="BK1154" i="1"/>
  <c r="BL1154" i="1" s="1"/>
  <c r="BS1154" i="1"/>
  <c r="BR1154" i="1" s="1"/>
  <c r="BK1155" i="1"/>
  <c r="BL1155" i="1" s="1"/>
  <c r="BS1155" i="1"/>
  <c r="BR1155" i="1" s="1"/>
  <c r="BK1156" i="1"/>
  <c r="BL1156" i="1" s="1"/>
  <c r="BS1156" i="1"/>
  <c r="BR1156" i="1" s="1"/>
  <c r="BK1157" i="1"/>
  <c r="BL1157" i="1" s="1"/>
  <c r="BS1157" i="1"/>
  <c r="BR1157" i="1" s="1"/>
  <c r="BK1158" i="1"/>
  <c r="BL1158" i="1"/>
  <c r="BS1158" i="1"/>
  <c r="BR1158" i="1" s="1"/>
  <c r="BK1159" i="1"/>
  <c r="BL1159" i="1" s="1"/>
  <c r="BS1159" i="1"/>
  <c r="BR1159" i="1" s="1"/>
  <c r="BK1160" i="1"/>
  <c r="BL1160" i="1" s="1"/>
  <c r="BS1160" i="1"/>
  <c r="BR1160" i="1" s="1"/>
  <c r="BK1161" i="1"/>
  <c r="BL1161" i="1" s="1"/>
  <c r="BS1161" i="1"/>
  <c r="BR1161" i="1" s="1"/>
  <c r="BK1162" i="1"/>
  <c r="BL1162" i="1" s="1"/>
  <c r="BS1162" i="1"/>
  <c r="BR1162" i="1" s="1"/>
  <c r="BK1163" i="1"/>
  <c r="BL1163" i="1"/>
  <c r="BS1163" i="1"/>
  <c r="BR1163" i="1" s="1"/>
  <c r="BK1164" i="1"/>
  <c r="BL1164" i="1"/>
  <c r="BS1164" i="1"/>
  <c r="BR1164" i="1" s="1"/>
  <c r="BK1165" i="1"/>
  <c r="BL1165" i="1" s="1"/>
  <c r="BS1165" i="1"/>
  <c r="BR1165" i="1" s="1"/>
  <c r="BK1166" i="1"/>
  <c r="BL1166" i="1" s="1"/>
  <c r="BS1166" i="1"/>
  <c r="BR1166" i="1" s="1"/>
  <c r="BK1167" i="1"/>
  <c r="BL1167" i="1" s="1"/>
  <c r="BS1167" i="1"/>
  <c r="BR1167" i="1" s="1"/>
  <c r="BK1168" i="1"/>
  <c r="BL1168" i="1" s="1"/>
  <c r="BS1168" i="1"/>
  <c r="BR1168" i="1" s="1"/>
  <c r="BK1169" i="1"/>
  <c r="BL1169" i="1" s="1"/>
  <c r="BS1169" i="1"/>
  <c r="BR1169" i="1" s="1"/>
  <c r="BK1170" i="1"/>
  <c r="BL1170" i="1" s="1"/>
  <c r="BS1170" i="1"/>
  <c r="BR1170" i="1" s="1"/>
  <c r="BK1171" i="1"/>
  <c r="BL1171" i="1" s="1"/>
  <c r="BS1171" i="1"/>
  <c r="BR1171" i="1" s="1"/>
  <c r="BK1172" i="1"/>
  <c r="BL1172" i="1" s="1"/>
  <c r="BS1172" i="1"/>
  <c r="BR1172" i="1" s="1"/>
  <c r="BK1173" i="1"/>
  <c r="BL1173" i="1" s="1"/>
  <c r="BS1173" i="1"/>
  <c r="BR1173" i="1" s="1"/>
  <c r="BK1174" i="1"/>
  <c r="BL1174" i="1" s="1"/>
  <c r="BS1174" i="1"/>
  <c r="BR1174" i="1" s="1"/>
  <c r="BK1175" i="1"/>
  <c r="BL1175" i="1" s="1"/>
  <c r="BS1175" i="1"/>
  <c r="BR1175" i="1" s="1"/>
  <c r="BK1176" i="1"/>
  <c r="BL1176" i="1" s="1"/>
  <c r="BS1176" i="1"/>
  <c r="BR1176" i="1" s="1"/>
  <c r="BK1177" i="1"/>
  <c r="BL1177" i="1"/>
  <c r="BS1177" i="1"/>
  <c r="BR1177" i="1" s="1"/>
  <c r="BK1178" i="1"/>
  <c r="BL1178" i="1"/>
  <c r="BS1178" i="1"/>
  <c r="BR1178" i="1" s="1"/>
  <c r="BK1179" i="1"/>
  <c r="BL1179" i="1" s="1"/>
  <c r="BS1179" i="1"/>
  <c r="BR1179" i="1" s="1"/>
  <c r="BK1180" i="1"/>
  <c r="BL1180" i="1" s="1"/>
  <c r="BS1180" i="1"/>
  <c r="BR1180" i="1" s="1"/>
  <c r="BK1181" i="1"/>
  <c r="BL1181" i="1" s="1"/>
  <c r="BS1181" i="1"/>
  <c r="BR1181" i="1" s="1"/>
  <c r="BK1182" i="1"/>
  <c r="BL1182" i="1"/>
  <c r="BS1182" i="1"/>
  <c r="BR1182" i="1" s="1"/>
  <c r="BK1183" i="1"/>
  <c r="BL1183" i="1"/>
  <c r="BS1183" i="1"/>
  <c r="BR1183" i="1" s="1"/>
  <c r="BK1184" i="1"/>
  <c r="BL1184" i="1" s="1"/>
  <c r="BS1184" i="1"/>
  <c r="BR1184" i="1" s="1"/>
  <c r="BK1185" i="1"/>
  <c r="BL1185" i="1" s="1"/>
  <c r="BS1185" i="1"/>
  <c r="BR1185" i="1" s="1"/>
  <c r="BK1186" i="1"/>
  <c r="BL1186" i="1" s="1"/>
  <c r="BS1186" i="1"/>
  <c r="BR1186" i="1" s="1"/>
  <c r="BK1187" i="1"/>
  <c r="BL1187" i="1" s="1"/>
  <c r="BS1187" i="1"/>
  <c r="BR1187" i="1" s="1"/>
  <c r="BK1188" i="1"/>
  <c r="BL1188" i="1"/>
  <c r="BS1188" i="1"/>
  <c r="BR1188" i="1" s="1"/>
  <c r="BK1189" i="1"/>
  <c r="BL1189" i="1"/>
  <c r="BS1189" i="1"/>
  <c r="BR1189" i="1" s="1"/>
  <c r="BK1190" i="1"/>
  <c r="BL1190" i="1"/>
  <c r="BS1190" i="1"/>
  <c r="BR1190" i="1" s="1"/>
  <c r="BK1191" i="1"/>
  <c r="BL1191" i="1"/>
  <c r="BS1191" i="1"/>
  <c r="BR1191" i="1" s="1"/>
  <c r="BK1192" i="1"/>
  <c r="BL1192" i="1"/>
  <c r="BS1192" i="1"/>
  <c r="BR1192" i="1" s="1"/>
  <c r="BK1193" i="1"/>
  <c r="BL1193" i="1"/>
  <c r="BS1193" i="1"/>
  <c r="BR1193" i="1" s="1"/>
  <c r="BK1194" i="1"/>
  <c r="BL1194" i="1"/>
  <c r="BS1194" i="1"/>
  <c r="BR1194" i="1" s="1"/>
  <c r="BK1195" i="1"/>
  <c r="BL1195" i="1" s="1"/>
  <c r="BS1195" i="1"/>
  <c r="BR1195" i="1" s="1"/>
  <c r="BK1196" i="1"/>
  <c r="BL1196" i="1" s="1"/>
  <c r="BS1196" i="1"/>
  <c r="BR1196" i="1" s="1"/>
  <c r="BK1197" i="1"/>
  <c r="BL1197" i="1" s="1"/>
  <c r="BS1197" i="1"/>
  <c r="BR1197" i="1" s="1"/>
  <c r="BK1198" i="1"/>
  <c r="BL1198" i="1" s="1"/>
  <c r="BS1198" i="1"/>
  <c r="BR1198" i="1" s="1"/>
  <c r="BK1199" i="1"/>
  <c r="BL1199" i="1" s="1"/>
  <c r="BS1199" i="1"/>
  <c r="BR1199" i="1" s="1"/>
  <c r="BK1200" i="1"/>
  <c r="BL1200" i="1" s="1"/>
  <c r="BS1200" i="1"/>
  <c r="BR1200" i="1" s="1"/>
  <c r="BK1201" i="1"/>
  <c r="BL1201" i="1" s="1"/>
  <c r="BS1201" i="1"/>
  <c r="BR1201" i="1" s="1"/>
  <c r="BK1202" i="1"/>
  <c r="BL1202" i="1"/>
  <c r="BS1202" i="1"/>
  <c r="BR1202" i="1" s="1"/>
  <c r="BK1203" i="1"/>
  <c r="BL1203" i="1" s="1"/>
  <c r="BS1203" i="1"/>
  <c r="BR1203" i="1" s="1"/>
  <c r="BK1204" i="1"/>
  <c r="BL1204" i="1" s="1"/>
  <c r="BS1204" i="1"/>
  <c r="BR1204" i="1" s="1"/>
  <c r="BK1205" i="1"/>
  <c r="BL1205" i="1" s="1"/>
  <c r="BS1205" i="1"/>
  <c r="BR1205" i="1" s="1"/>
  <c r="BK1206" i="1"/>
  <c r="BL1206" i="1" s="1"/>
  <c r="BS1206" i="1"/>
  <c r="BR1206" i="1" s="1"/>
  <c r="BK1207" i="1"/>
  <c r="BL1207" i="1" s="1"/>
  <c r="BS1207" i="1"/>
  <c r="BR1207" i="1" s="1"/>
  <c r="BK1208" i="1"/>
  <c r="BL1208" i="1" s="1"/>
  <c r="BS1208" i="1"/>
  <c r="BR1208" i="1" s="1"/>
  <c r="BK1209" i="1"/>
  <c r="BL1209" i="1" s="1"/>
  <c r="BS1209" i="1"/>
  <c r="BR1209" i="1" s="1"/>
  <c r="BK1210" i="1"/>
  <c r="BL1210" i="1"/>
  <c r="BS1210" i="1"/>
  <c r="BR1210" i="1" s="1"/>
  <c r="BK1211" i="1"/>
  <c r="BL1211" i="1" s="1"/>
  <c r="BS1211" i="1"/>
  <c r="BR1211" i="1" s="1"/>
  <c r="BK1212" i="1"/>
  <c r="BL1212" i="1" s="1"/>
  <c r="BS1212" i="1"/>
  <c r="BR1212" i="1" s="1"/>
  <c r="BK1213" i="1"/>
  <c r="BL1213" i="1" s="1"/>
  <c r="BS1213" i="1"/>
  <c r="BR1213" i="1" s="1"/>
  <c r="BK1214" i="1"/>
  <c r="BL1214" i="1" s="1"/>
  <c r="BS1214" i="1"/>
  <c r="BR1214" i="1" s="1"/>
  <c r="BK1215" i="1"/>
  <c r="BL1215" i="1" s="1"/>
  <c r="BS1215" i="1"/>
  <c r="BR1215" i="1" s="1"/>
  <c r="BK1216" i="1"/>
  <c r="BL1216" i="1"/>
  <c r="BS1216" i="1"/>
  <c r="BR1216" i="1" s="1"/>
  <c r="BK1217" i="1"/>
  <c r="BL1217" i="1"/>
  <c r="BS1217" i="1"/>
  <c r="BR1217" i="1" s="1"/>
  <c r="BK1218" i="1"/>
  <c r="BL1218" i="1" s="1"/>
  <c r="BS1218" i="1"/>
  <c r="BR1218" i="1" s="1"/>
  <c r="BK1219" i="1"/>
  <c r="BL1219" i="1" s="1"/>
  <c r="BS1219" i="1"/>
  <c r="BR1219" i="1" s="1"/>
  <c r="BK1220" i="1"/>
  <c r="BL1220" i="1" s="1"/>
  <c r="BS1220" i="1"/>
  <c r="BR1220" i="1" s="1"/>
  <c r="BK1221" i="1"/>
  <c r="BL1221" i="1" s="1"/>
  <c r="BS1221" i="1"/>
  <c r="BR1221" i="1" s="1"/>
  <c r="BK1222" i="1"/>
  <c r="BL1222" i="1" s="1"/>
  <c r="BS1222" i="1"/>
  <c r="BR1222" i="1" s="1"/>
  <c r="BK1223" i="1"/>
  <c r="BL1223" i="1" s="1"/>
  <c r="BS1223" i="1"/>
  <c r="BR1223" i="1" s="1"/>
  <c r="BK1224" i="1"/>
  <c r="BL1224" i="1" s="1"/>
  <c r="BS1224" i="1"/>
  <c r="BR1224" i="1" s="1"/>
  <c r="BK1225" i="1"/>
  <c r="BL1225" i="1"/>
  <c r="BS1225" i="1"/>
  <c r="BR1225" i="1" s="1"/>
  <c r="BK1226" i="1"/>
  <c r="BL1226" i="1"/>
  <c r="BS1226" i="1"/>
  <c r="BR1226" i="1" s="1"/>
  <c r="BK1227" i="1"/>
  <c r="BL1227" i="1" s="1"/>
  <c r="BS1227" i="1"/>
  <c r="BR1227" i="1" s="1"/>
  <c r="BK1228" i="1"/>
  <c r="BL1228" i="1" s="1"/>
  <c r="BS1228" i="1"/>
  <c r="BR1228" i="1" s="1"/>
  <c r="BK1229" i="1"/>
  <c r="BL1229" i="1" s="1"/>
  <c r="BS1229" i="1"/>
  <c r="BR1229" i="1" s="1"/>
  <c r="BK1230" i="1"/>
  <c r="BL1230" i="1" s="1"/>
  <c r="BS1230" i="1"/>
  <c r="BR1230" i="1" s="1"/>
  <c r="BK1231" i="1"/>
  <c r="BL1231" i="1" s="1"/>
  <c r="BS1231" i="1"/>
  <c r="BR1231" i="1" s="1"/>
  <c r="BK1232" i="1"/>
  <c r="BL1232" i="1" s="1"/>
  <c r="BS1232" i="1"/>
  <c r="BR1232" i="1" s="1"/>
  <c r="BK1233" i="1"/>
  <c r="BL1233" i="1" s="1"/>
  <c r="BS1233" i="1"/>
  <c r="BR1233" i="1" s="1"/>
  <c r="BK1234" i="1"/>
  <c r="BL1234" i="1"/>
  <c r="BS1234" i="1"/>
  <c r="BR1234" i="1" s="1"/>
  <c r="BK1235" i="1"/>
  <c r="BL1235" i="1" s="1"/>
  <c r="BS1235" i="1"/>
  <c r="BR1235" i="1" s="1"/>
  <c r="BK1236" i="1"/>
  <c r="BL1236" i="1" s="1"/>
  <c r="BS1236" i="1"/>
  <c r="BR1236" i="1" s="1"/>
  <c r="BK1237" i="1"/>
  <c r="BL1237" i="1" s="1"/>
  <c r="BS1237" i="1"/>
  <c r="BR1237" i="1" s="1"/>
  <c r="BK1238" i="1"/>
  <c r="BL1238" i="1"/>
  <c r="BS1238" i="1"/>
  <c r="BR1238" i="1" s="1"/>
  <c r="BK1239" i="1"/>
  <c r="BL1239" i="1" s="1"/>
  <c r="BS1239" i="1"/>
  <c r="BR1239" i="1" s="1"/>
  <c r="BK1240" i="1"/>
  <c r="BL1240" i="1" s="1"/>
  <c r="BS1240" i="1"/>
  <c r="BR1240" i="1" s="1"/>
  <c r="BK1241" i="1"/>
  <c r="BL1241" i="1" s="1"/>
  <c r="BS1241" i="1"/>
  <c r="BR1241" i="1" s="1"/>
  <c r="BK1242" i="1"/>
  <c r="BL1242" i="1" s="1"/>
  <c r="BS1242" i="1"/>
  <c r="BR1242" i="1" s="1"/>
  <c r="BK1243" i="1"/>
  <c r="BL1243" i="1" s="1"/>
  <c r="BS1243" i="1"/>
  <c r="BR1243" i="1" s="1"/>
  <c r="BK1244" i="1"/>
  <c r="BL1244" i="1" s="1"/>
  <c r="BS1244" i="1"/>
  <c r="BR1244" i="1" s="1"/>
  <c r="BK1245" i="1"/>
  <c r="BL1245" i="1" s="1"/>
  <c r="BS1245" i="1"/>
  <c r="BR1245" i="1" s="1"/>
  <c r="BK1246" i="1"/>
  <c r="BL1246" i="1" s="1"/>
  <c r="BS1246" i="1"/>
  <c r="BR1246" i="1" s="1"/>
  <c r="BK1247" i="1"/>
  <c r="BL1247" i="1" s="1"/>
  <c r="BS1247" i="1"/>
  <c r="BR1247" i="1" s="1"/>
  <c r="BK1248" i="1"/>
  <c r="BL1248" i="1" s="1"/>
  <c r="BS1248" i="1"/>
  <c r="BR1248" i="1" s="1"/>
  <c r="BK1249" i="1"/>
  <c r="BL1249" i="1"/>
  <c r="BS1249" i="1"/>
  <c r="BR1249" i="1" s="1"/>
  <c r="BK1250" i="1"/>
  <c r="BL1250" i="1"/>
  <c r="BS1250" i="1"/>
  <c r="BR1250" i="1" s="1"/>
  <c r="BK1251" i="1"/>
  <c r="BL1251" i="1" s="1"/>
  <c r="BS1251" i="1"/>
  <c r="BR1251" i="1" s="1"/>
  <c r="BK1252" i="1"/>
  <c r="BL1252" i="1" s="1"/>
  <c r="BS1252" i="1"/>
  <c r="BR1252" i="1" s="1"/>
  <c r="BK1253" i="1"/>
  <c r="BL1253" i="1"/>
  <c r="BS1253" i="1"/>
  <c r="BR1253" i="1" s="1"/>
  <c r="BK1254" i="1"/>
  <c r="BL1254" i="1" s="1"/>
  <c r="BS1254" i="1"/>
  <c r="BR1254" i="1" s="1"/>
  <c r="BK1255" i="1"/>
  <c r="BL1255" i="1" s="1"/>
  <c r="BS1255" i="1"/>
  <c r="BR1255" i="1" s="1"/>
  <c r="BK1256" i="1"/>
  <c r="BL1256" i="1"/>
  <c r="BS1256" i="1"/>
  <c r="BR1256" i="1" s="1"/>
  <c r="BK1257" i="1"/>
  <c r="BL1257" i="1" s="1"/>
  <c r="BS1257" i="1"/>
  <c r="BR1257" i="1" s="1"/>
  <c r="BK1258" i="1"/>
  <c r="BL1258" i="1" s="1"/>
  <c r="BS1258" i="1"/>
  <c r="BR1258" i="1" s="1"/>
  <c r="BK1259" i="1"/>
  <c r="BL1259" i="1" s="1"/>
  <c r="BS1259" i="1"/>
  <c r="BR1259" i="1" s="1"/>
  <c r="BK1260" i="1"/>
  <c r="BL1260" i="1"/>
  <c r="BS1260" i="1"/>
  <c r="BR1260" i="1" s="1"/>
  <c r="BK1261" i="1"/>
  <c r="BL1261" i="1" s="1"/>
  <c r="BS1261" i="1"/>
  <c r="BR1261" i="1" s="1"/>
  <c r="BK1262" i="1"/>
  <c r="BL1262" i="1" s="1"/>
  <c r="BS1262" i="1"/>
  <c r="BR1262" i="1" s="1"/>
  <c r="BK1263" i="1"/>
  <c r="BL1263" i="1" s="1"/>
  <c r="BS1263" i="1"/>
  <c r="BR1263" i="1" s="1"/>
  <c r="BK1264" i="1"/>
  <c r="BL1264" i="1" s="1"/>
  <c r="BS1264" i="1"/>
  <c r="BR1264" i="1" s="1"/>
  <c r="BK1265" i="1"/>
  <c r="BL1265" i="1" s="1"/>
  <c r="BS1265" i="1"/>
  <c r="BR1265" i="1" s="1"/>
  <c r="BK1266" i="1"/>
  <c r="BL1266" i="1" s="1"/>
  <c r="BS1266" i="1"/>
  <c r="BR1266" i="1" s="1"/>
  <c r="BK1267" i="1"/>
  <c r="BL1267" i="1" s="1"/>
  <c r="BS1267" i="1"/>
  <c r="BR1267" i="1" s="1"/>
  <c r="BK1268" i="1"/>
  <c r="BL1268" i="1" s="1"/>
  <c r="BS1268" i="1"/>
  <c r="BR1268" i="1" s="1"/>
  <c r="BK1269" i="1"/>
  <c r="BL1269" i="1" s="1"/>
  <c r="BS1269" i="1"/>
  <c r="BR1269" i="1" s="1"/>
  <c r="BK1270" i="1"/>
  <c r="BL1270" i="1" s="1"/>
  <c r="BS1270" i="1"/>
  <c r="BR1270" i="1" s="1"/>
  <c r="BK1271" i="1"/>
  <c r="BL1271" i="1" s="1"/>
  <c r="BS1271" i="1"/>
  <c r="BR1271" i="1" s="1"/>
  <c r="BK1272" i="1"/>
  <c r="BL1272" i="1" s="1"/>
  <c r="BS1272" i="1"/>
  <c r="BR1272" i="1" s="1"/>
  <c r="BK1273" i="1"/>
  <c r="BL1273" i="1" s="1"/>
  <c r="BS1273" i="1"/>
  <c r="BR1273" i="1" s="1"/>
  <c r="BK1274" i="1"/>
  <c r="BL1274" i="1"/>
  <c r="BS1274" i="1"/>
  <c r="BR1274" i="1" s="1"/>
  <c r="BK1275" i="1"/>
  <c r="BL1275" i="1"/>
  <c r="BS1275" i="1"/>
  <c r="BR1275" i="1" s="1"/>
  <c r="BK1276" i="1"/>
  <c r="BL1276" i="1" s="1"/>
  <c r="BS1276" i="1"/>
  <c r="BR1276" i="1" s="1"/>
  <c r="BK1277" i="1"/>
  <c r="BL1277" i="1" s="1"/>
  <c r="BS1277" i="1"/>
  <c r="BR1277" i="1" s="1"/>
  <c r="BK1278" i="1"/>
  <c r="BL1278" i="1" s="1"/>
  <c r="BS1278" i="1"/>
  <c r="BR1278" i="1" s="1"/>
  <c r="BK1279" i="1"/>
  <c r="BL1279" i="1" s="1"/>
  <c r="BS1279" i="1"/>
  <c r="BR1279" i="1" s="1"/>
  <c r="BK1280" i="1"/>
  <c r="BL1280" i="1" s="1"/>
  <c r="BS1280" i="1"/>
  <c r="BR1280" i="1" s="1"/>
  <c r="BK1281" i="1"/>
  <c r="BL1281" i="1" s="1"/>
  <c r="BS1281" i="1"/>
  <c r="BR1281" i="1" s="1"/>
  <c r="BK1282" i="1"/>
  <c r="BL1282" i="1" s="1"/>
  <c r="BS1282" i="1"/>
  <c r="BR1282" i="1" s="1"/>
  <c r="BK1283" i="1"/>
  <c r="BL1283" i="1" s="1"/>
  <c r="BS1283" i="1"/>
  <c r="BR1283" i="1" s="1"/>
  <c r="BK1284" i="1"/>
  <c r="BL1284" i="1" s="1"/>
  <c r="BS1284" i="1"/>
  <c r="BR1284" i="1" s="1"/>
  <c r="BK1285" i="1"/>
  <c r="BL1285" i="1" s="1"/>
  <c r="BS1285" i="1"/>
  <c r="BR1285" i="1" s="1"/>
  <c r="BK1286" i="1"/>
  <c r="BL1286" i="1" s="1"/>
  <c r="BS1286" i="1"/>
  <c r="BR1286" i="1" s="1"/>
  <c r="BK1287" i="1"/>
  <c r="BL1287" i="1" s="1"/>
  <c r="BS1287" i="1"/>
  <c r="BR1287" i="1" s="1"/>
  <c r="BK1288" i="1"/>
  <c r="BL1288" i="1"/>
  <c r="BS1288" i="1"/>
  <c r="BR1288" i="1" s="1"/>
  <c r="BK1289" i="1"/>
  <c r="BL1289" i="1" s="1"/>
  <c r="BS1289" i="1"/>
  <c r="BR1289" i="1" s="1"/>
  <c r="BK1290" i="1"/>
  <c r="BL1290" i="1" s="1"/>
  <c r="BS1290" i="1"/>
  <c r="BR1290" i="1" s="1"/>
  <c r="BK1291" i="1"/>
  <c r="BL1291" i="1" s="1"/>
  <c r="BS1291" i="1"/>
  <c r="BR1291" i="1" s="1"/>
  <c r="BK1292" i="1"/>
  <c r="BL1292" i="1" s="1"/>
  <c r="BS1292" i="1"/>
  <c r="BR1292" i="1" s="1"/>
  <c r="BK1293" i="1"/>
  <c r="BL1293" i="1" s="1"/>
  <c r="BS1293" i="1"/>
  <c r="BR1293" i="1" s="1"/>
  <c r="BK1294" i="1"/>
  <c r="BL1294" i="1" s="1"/>
  <c r="BS1294" i="1"/>
  <c r="BR1294" i="1" s="1"/>
  <c r="BK1295" i="1"/>
  <c r="BL1295" i="1"/>
  <c r="BS1295" i="1"/>
  <c r="BR1295" i="1" s="1"/>
  <c r="BK1296" i="1"/>
  <c r="BL1296" i="1" s="1"/>
  <c r="BS1296" i="1"/>
  <c r="BR1296" i="1" s="1"/>
  <c r="BK1297" i="1"/>
  <c r="BL1297" i="1" s="1"/>
  <c r="BS1297" i="1"/>
  <c r="BR1297" i="1" s="1"/>
  <c r="BK1298" i="1"/>
  <c r="BL1298" i="1" s="1"/>
  <c r="BS1298" i="1"/>
  <c r="BR1298" i="1" s="1"/>
  <c r="BK1299" i="1"/>
  <c r="BL1299" i="1" s="1"/>
  <c r="BS1299" i="1"/>
  <c r="BR1299" i="1" s="1"/>
  <c r="BK1300" i="1"/>
  <c r="BL1300" i="1" s="1"/>
  <c r="BS1300" i="1"/>
  <c r="BR1300" i="1" s="1"/>
  <c r="BK1301" i="1"/>
  <c r="BL1301" i="1" s="1"/>
  <c r="BS1301" i="1"/>
  <c r="BR1301" i="1" s="1"/>
  <c r="BK1302" i="1"/>
  <c r="BL1302" i="1" s="1"/>
  <c r="BS1302" i="1"/>
  <c r="BR1302" i="1" s="1"/>
  <c r="BK1303" i="1"/>
  <c r="BL1303" i="1" s="1"/>
  <c r="BS1303" i="1"/>
  <c r="BR1303" i="1" s="1"/>
  <c r="BK1304" i="1"/>
  <c r="BL1304" i="1" s="1"/>
  <c r="BS1304" i="1"/>
  <c r="BR1304" i="1" s="1"/>
  <c r="BK1305" i="1"/>
  <c r="BL1305" i="1"/>
  <c r="BS1305" i="1"/>
  <c r="BR1305" i="1" s="1"/>
  <c r="BK1306" i="1"/>
  <c r="BL1306" i="1"/>
  <c r="BS1306" i="1"/>
  <c r="BR1306" i="1" s="1"/>
  <c r="BK1307" i="1"/>
  <c r="BL1307" i="1"/>
  <c r="BS1307" i="1"/>
  <c r="BR1307" i="1" s="1"/>
  <c r="BK1308" i="1"/>
  <c r="BL1308" i="1" s="1"/>
  <c r="BS1308" i="1"/>
  <c r="BR1308" i="1" s="1"/>
  <c r="BK1309" i="1"/>
  <c r="BL1309" i="1" s="1"/>
  <c r="BS1309" i="1"/>
  <c r="BR1309" i="1" s="1"/>
  <c r="BK1310" i="1"/>
  <c r="BL1310" i="1" s="1"/>
  <c r="BS1310" i="1"/>
  <c r="BR1310" i="1" s="1"/>
  <c r="BK1311" i="1"/>
  <c r="BL1311" i="1" s="1"/>
  <c r="BS1311" i="1"/>
  <c r="BR1311" i="1" s="1"/>
  <c r="BK1312" i="1"/>
  <c r="BL1312" i="1" s="1"/>
  <c r="BS1312" i="1"/>
  <c r="BR1312" i="1" s="1"/>
  <c r="BK1313" i="1"/>
  <c r="BL1313" i="1" s="1"/>
  <c r="BS1313" i="1"/>
  <c r="BR1313" i="1" s="1"/>
  <c r="BK1314" i="1"/>
  <c r="BL1314" i="1" s="1"/>
  <c r="BS1314" i="1"/>
  <c r="BR1314" i="1" s="1"/>
  <c r="BK1315" i="1"/>
  <c r="BL1315" i="1" s="1"/>
  <c r="BS1315" i="1"/>
  <c r="BR1315" i="1" s="1"/>
  <c r="BK1316" i="1"/>
  <c r="BL1316" i="1"/>
  <c r="BS1316" i="1"/>
  <c r="BR1316" i="1" s="1"/>
  <c r="BK1317" i="1"/>
  <c r="BL1317" i="1" s="1"/>
  <c r="BS1317" i="1"/>
  <c r="BR1317" i="1" s="1"/>
  <c r="BK1318" i="1"/>
  <c r="BL1318" i="1" s="1"/>
  <c r="BS1318" i="1"/>
  <c r="BR1318" i="1" s="1"/>
  <c r="BK1319" i="1"/>
  <c r="BL1319" i="1" s="1"/>
  <c r="BS1319" i="1"/>
  <c r="BR1319" i="1" s="1"/>
  <c r="BK1320" i="1"/>
  <c r="BL1320" i="1" s="1"/>
  <c r="BS1320" i="1"/>
  <c r="BR1320" i="1" s="1"/>
  <c r="BK1321" i="1"/>
  <c r="BL1321" i="1" s="1"/>
  <c r="BS1321" i="1"/>
  <c r="BR1321" i="1" s="1"/>
  <c r="BK1322" i="1"/>
  <c r="BL1322" i="1" s="1"/>
  <c r="BS1322" i="1"/>
  <c r="BR1322" i="1" s="1"/>
  <c r="BK1323" i="1"/>
  <c r="BL1323" i="1" s="1"/>
  <c r="BS1323" i="1"/>
  <c r="BR1323" i="1" s="1"/>
  <c r="BK1324" i="1"/>
  <c r="BL1324" i="1" s="1"/>
  <c r="BS1324" i="1"/>
  <c r="BR1324" i="1" s="1"/>
  <c r="BK1325" i="1"/>
  <c r="BL1325" i="1" s="1"/>
  <c r="BS1325" i="1"/>
  <c r="BR1325" i="1" s="1"/>
  <c r="BK1326" i="1"/>
  <c r="BL1326" i="1"/>
  <c r="BS1326" i="1"/>
  <c r="BR1326" i="1" s="1"/>
  <c r="BK1327" i="1"/>
  <c r="BL1327" i="1"/>
  <c r="BS1327" i="1"/>
  <c r="BR1327" i="1" s="1"/>
  <c r="BK1328" i="1"/>
  <c r="BL1328" i="1" s="1"/>
  <c r="BS1328" i="1"/>
  <c r="BR1328" i="1" s="1"/>
  <c r="BK1329" i="1"/>
  <c r="BL1329" i="1" s="1"/>
  <c r="BS1329" i="1"/>
  <c r="BR1329" i="1" s="1"/>
  <c r="BK1330" i="1"/>
  <c r="BL1330" i="1" s="1"/>
  <c r="BS1330" i="1"/>
  <c r="BR1330" i="1" s="1"/>
  <c r="BK1331" i="1"/>
  <c r="BL1331" i="1"/>
  <c r="BS1331" i="1"/>
  <c r="BR1331" i="1" s="1"/>
  <c r="BK1332" i="1"/>
  <c r="BL1332" i="1" s="1"/>
  <c r="BS1332" i="1"/>
  <c r="BR1332" i="1" s="1"/>
  <c r="BK1333" i="1"/>
  <c r="BL1333" i="1" s="1"/>
  <c r="BS1333" i="1"/>
  <c r="BR1333" i="1" s="1"/>
  <c r="BK1334" i="1"/>
  <c r="BL1334" i="1" s="1"/>
  <c r="BS1334" i="1"/>
  <c r="BR1334" i="1" s="1"/>
  <c r="BK1335" i="1"/>
  <c r="BL1335" i="1" s="1"/>
  <c r="BS1335" i="1"/>
  <c r="BR1335" i="1" s="1"/>
  <c r="BK1336" i="1"/>
  <c r="BL1336" i="1" s="1"/>
  <c r="BS1336" i="1"/>
  <c r="BR1336" i="1" s="1"/>
  <c r="BK1337" i="1"/>
  <c r="BL1337" i="1" s="1"/>
  <c r="BS1337" i="1"/>
  <c r="BR1337" i="1" s="1"/>
  <c r="BK1338" i="1"/>
  <c r="BL1338" i="1"/>
  <c r="BS1338" i="1"/>
  <c r="BR1338" i="1" s="1"/>
  <c r="BK1339" i="1"/>
  <c r="BL1339" i="1"/>
  <c r="BS1339" i="1"/>
  <c r="BR1339" i="1" s="1"/>
  <c r="BK1340" i="1"/>
  <c r="BL1340" i="1"/>
  <c r="BS1340" i="1"/>
  <c r="BR1340" i="1" s="1"/>
  <c r="BK1341" i="1"/>
  <c r="BL1341" i="1"/>
  <c r="BS1341" i="1"/>
  <c r="BR1341" i="1" s="1"/>
  <c r="BK1342" i="1"/>
  <c r="BL1342" i="1" s="1"/>
  <c r="BS1342" i="1"/>
  <c r="BR1342" i="1" s="1"/>
  <c r="BK1343" i="1"/>
  <c r="BL1343" i="1"/>
  <c r="BS1343" i="1"/>
  <c r="BR1343" i="1" s="1"/>
  <c r="BK1344" i="1"/>
  <c r="BL1344" i="1" s="1"/>
  <c r="BS1344" i="1"/>
  <c r="BR1344" i="1" s="1"/>
  <c r="BK1345" i="1"/>
  <c r="BL1345" i="1" s="1"/>
  <c r="BS1345" i="1"/>
  <c r="BR1345" i="1" s="1"/>
  <c r="BK1346" i="1"/>
  <c r="BL1346" i="1" s="1"/>
  <c r="BS1346" i="1"/>
  <c r="BR1346" i="1" s="1"/>
  <c r="BK1347" i="1"/>
  <c r="BL1347" i="1" s="1"/>
  <c r="BS1347" i="1"/>
  <c r="BR1347" i="1" s="1"/>
  <c r="BK1348" i="1"/>
  <c r="BL1348" i="1" s="1"/>
  <c r="BS1348" i="1"/>
  <c r="BR1348" i="1" s="1"/>
  <c r="BK1349" i="1"/>
  <c r="BL1349" i="1" s="1"/>
  <c r="BS1349" i="1"/>
  <c r="BR1349" i="1" s="1"/>
  <c r="BK1350" i="1"/>
  <c r="BL1350" i="1" s="1"/>
  <c r="BS1350" i="1"/>
  <c r="BR1350" i="1" s="1"/>
  <c r="BK1351" i="1"/>
  <c r="BL1351" i="1" s="1"/>
  <c r="BS1351" i="1"/>
  <c r="BR1351" i="1" s="1"/>
  <c r="BK1352" i="1"/>
  <c r="BL1352" i="1" s="1"/>
  <c r="BS1352" i="1"/>
  <c r="BR1352" i="1" s="1"/>
  <c r="BK1353" i="1"/>
  <c r="BL1353" i="1" s="1"/>
  <c r="BS1353" i="1"/>
  <c r="BR1353" i="1" s="1"/>
  <c r="BK1354" i="1"/>
  <c r="BL1354" i="1"/>
  <c r="BS1354" i="1"/>
  <c r="BR1354" i="1" s="1"/>
  <c r="BK1355" i="1"/>
  <c r="BL1355" i="1"/>
  <c r="BS1355" i="1"/>
  <c r="BR1355" i="1" s="1"/>
  <c r="BK1356" i="1"/>
  <c r="BL1356" i="1" s="1"/>
  <c r="BS1356" i="1"/>
  <c r="BR1356" i="1" s="1"/>
  <c r="BK1357" i="1"/>
  <c r="BL1357" i="1" s="1"/>
  <c r="BS1357" i="1"/>
  <c r="BR1357" i="1" s="1"/>
  <c r="BK1358" i="1"/>
  <c r="BL1358" i="1" s="1"/>
  <c r="BS1358" i="1"/>
  <c r="BR1358" i="1" s="1"/>
  <c r="BK1359" i="1"/>
  <c r="BL1359" i="1" s="1"/>
  <c r="BS1359" i="1"/>
  <c r="BR1359" i="1" s="1"/>
  <c r="BK1360" i="1"/>
  <c r="BL1360" i="1"/>
  <c r="BS1360" i="1"/>
  <c r="BR1360" i="1" s="1"/>
  <c r="BK1361" i="1"/>
  <c r="BL1361" i="1"/>
  <c r="BS1361" i="1"/>
  <c r="BR1361" i="1" s="1"/>
  <c r="BK1362" i="1"/>
  <c r="BL1362" i="1" s="1"/>
  <c r="BS1362" i="1"/>
  <c r="BR1362" i="1" s="1"/>
  <c r="BK1363" i="1"/>
  <c r="BL1363" i="1" s="1"/>
  <c r="BS1363" i="1"/>
  <c r="BR1363" i="1" s="1"/>
  <c r="BK1364" i="1"/>
  <c r="BL1364" i="1" s="1"/>
  <c r="BS1364" i="1"/>
  <c r="BR1364" i="1" s="1"/>
  <c r="BK1365" i="1"/>
  <c r="BL1365" i="1" s="1"/>
  <c r="BS1365" i="1"/>
  <c r="BR1365" i="1" s="1"/>
  <c r="BK1366" i="1"/>
  <c r="BL1366" i="1" s="1"/>
  <c r="BS1366" i="1"/>
  <c r="BR1366" i="1" s="1"/>
  <c r="BK1367" i="1"/>
  <c r="BL1367" i="1" s="1"/>
  <c r="BS1367" i="1"/>
  <c r="BR1367" i="1" s="1"/>
  <c r="BK1368" i="1"/>
  <c r="BL1368" i="1" s="1"/>
  <c r="BS1368" i="1"/>
  <c r="BR1368" i="1" s="1"/>
  <c r="BK1369" i="1"/>
  <c r="BL1369" i="1" s="1"/>
  <c r="BS1369" i="1"/>
  <c r="BR1369" i="1" s="1"/>
  <c r="BK1370" i="1"/>
  <c r="BL1370" i="1" s="1"/>
  <c r="BS1370" i="1"/>
  <c r="BR1370" i="1" s="1"/>
  <c r="BK1371" i="1"/>
  <c r="BL1371" i="1"/>
  <c r="BS1371" i="1"/>
  <c r="BR1371" i="1" s="1"/>
  <c r="BK1372" i="1"/>
  <c r="BL1372" i="1"/>
  <c r="BS1372" i="1"/>
  <c r="BR1372" i="1" s="1"/>
  <c r="BK1373" i="1"/>
  <c r="BL1373" i="1" s="1"/>
  <c r="BS1373" i="1"/>
  <c r="BR1373" i="1" s="1"/>
  <c r="BK1374" i="1"/>
  <c r="BL1374" i="1" s="1"/>
  <c r="BS1374" i="1"/>
  <c r="BR1374" i="1" s="1"/>
  <c r="BK1375" i="1"/>
  <c r="BL1375" i="1" s="1"/>
  <c r="BS1375" i="1"/>
  <c r="BR1375" i="1" s="1"/>
  <c r="BK1376" i="1"/>
  <c r="BL1376" i="1" s="1"/>
  <c r="BS1376" i="1"/>
  <c r="BR1376" i="1" s="1"/>
  <c r="BK1377" i="1"/>
  <c r="BL1377" i="1" s="1"/>
  <c r="BS1377" i="1"/>
  <c r="BR1377" i="1" s="1"/>
  <c r="BK1378" i="1"/>
  <c r="BL1378" i="1"/>
  <c r="BS1378" i="1"/>
  <c r="BR1378" i="1" s="1"/>
  <c r="BK1379" i="1"/>
  <c r="BL1379" i="1" s="1"/>
  <c r="BS1379" i="1"/>
  <c r="BR1379" i="1" s="1"/>
  <c r="BK1380" i="1"/>
  <c r="BL1380" i="1"/>
  <c r="BS1380" i="1"/>
  <c r="BR1380" i="1" s="1"/>
  <c r="BK1381" i="1"/>
  <c r="BL1381" i="1" s="1"/>
  <c r="BS1381" i="1"/>
  <c r="BR1381" i="1" s="1"/>
  <c r="BK1382" i="1"/>
  <c r="BL1382" i="1"/>
  <c r="BS1382" i="1"/>
  <c r="BR1382" i="1" s="1"/>
  <c r="BK1383" i="1"/>
  <c r="BL1383" i="1" s="1"/>
  <c r="BS1383" i="1"/>
  <c r="BR1383" i="1" s="1"/>
  <c r="BK1384" i="1"/>
  <c r="BL1384" i="1" s="1"/>
  <c r="BS1384" i="1"/>
  <c r="BR1384" i="1" s="1"/>
  <c r="BK1385" i="1"/>
  <c r="BL1385" i="1"/>
  <c r="BS1385" i="1"/>
  <c r="BR1385" i="1" s="1"/>
  <c r="BK1386" i="1"/>
  <c r="BL1386" i="1"/>
  <c r="BS1386" i="1"/>
  <c r="BR1386" i="1" s="1"/>
  <c r="BK1387" i="1"/>
  <c r="BL1387" i="1"/>
  <c r="BS1387" i="1"/>
  <c r="BR1387" i="1" s="1"/>
  <c r="BK1388" i="1"/>
  <c r="BL1388" i="1"/>
  <c r="BS1388" i="1"/>
  <c r="BR1388" i="1" s="1"/>
  <c r="BK1389" i="1"/>
  <c r="BL1389" i="1"/>
  <c r="BS1389" i="1"/>
  <c r="BR1389" i="1" s="1"/>
  <c r="BK1390" i="1"/>
  <c r="BL1390" i="1"/>
  <c r="BS1390" i="1"/>
  <c r="BR1390" i="1" s="1"/>
  <c r="BK1391" i="1"/>
  <c r="BL1391" i="1" s="1"/>
  <c r="BS1391" i="1"/>
  <c r="BR1391" i="1" s="1"/>
  <c r="BK1392" i="1"/>
  <c r="BL1392" i="1" s="1"/>
  <c r="BS1392" i="1"/>
  <c r="BR1392" i="1" s="1"/>
  <c r="BK1393" i="1"/>
  <c r="BL1393" i="1" s="1"/>
  <c r="BS1393" i="1"/>
  <c r="BR1393" i="1" s="1"/>
  <c r="BK1394" i="1"/>
  <c r="BL1394" i="1" s="1"/>
  <c r="BS1394" i="1"/>
  <c r="BR1394" i="1" s="1"/>
  <c r="BK1395" i="1"/>
  <c r="BL1395" i="1" s="1"/>
  <c r="BS1395" i="1"/>
  <c r="BR1395" i="1" s="1"/>
  <c r="BK1396" i="1"/>
  <c r="BL1396" i="1" s="1"/>
  <c r="BS1396" i="1"/>
  <c r="BR1396" i="1" s="1"/>
  <c r="BK1397" i="1"/>
  <c r="BL1397" i="1" s="1"/>
  <c r="BS1397" i="1"/>
  <c r="BR1397" i="1" s="1"/>
  <c r="BK1398" i="1"/>
  <c r="BL1398" i="1" s="1"/>
  <c r="BS1398" i="1"/>
  <c r="BR1398" i="1" s="1"/>
  <c r="BK1399" i="1"/>
  <c r="BL1399" i="1"/>
  <c r="BS1399" i="1"/>
  <c r="BR1399" i="1" s="1"/>
  <c r="BK1400" i="1"/>
  <c r="BL1400" i="1"/>
  <c r="BS1400" i="1"/>
  <c r="BR1400" i="1" s="1"/>
  <c r="BK1401" i="1"/>
  <c r="BL1401" i="1" s="1"/>
  <c r="BS1401" i="1"/>
  <c r="BR1401" i="1" s="1"/>
  <c r="BK1402" i="1"/>
  <c r="BL1402" i="1" s="1"/>
  <c r="BS1402" i="1"/>
  <c r="BR1402" i="1" s="1"/>
  <c r="BK1403" i="1"/>
  <c r="BL1403" i="1" s="1"/>
  <c r="BS1403" i="1"/>
  <c r="BR1403" i="1" s="1"/>
  <c r="BK1404" i="1"/>
  <c r="BL1404" i="1" s="1"/>
  <c r="BS1404" i="1"/>
  <c r="BR1404" i="1" s="1"/>
  <c r="BK1405" i="1"/>
  <c r="BL1405" i="1" s="1"/>
  <c r="BS1405" i="1"/>
  <c r="BR1405" i="1" s="1"/>
  <c r="BK1406" i="1"/>
  <c r="BL1406" i="1" s="1"/>
  <c r="BS1406" i="1"/>
  <c r="BR1406" i="1" s="1"/>
  <c r="BK1407" i="1"/>
  <c r="BL1407" i="1" s="1"/>
  <c r="BS1407" i="1"/>
  <c r="BR1407" i="1" s="1"/>
  <c r="BK1408" i="1"/>
  <c r="BL1408" i="1" s="1"/>
  <c r="BS1408" i="1"/>
  <c r="BR1408" i="1" s="1"/>
  <c r="BK1409" i="1"/>
  <c r="BL1409" i="1" s="1"/>
  <c r="BS1409" i="1"/>
  <c r="BR1409" i="1" s="1"/>
  <c r="BK1410" i="1"/>
  <c r="BL1410" i="1" s="1"/>
  <c r="BS1410" i="1"/>
  <c r="BR1410" i="1" s="1"/>
  <c r="BK1411" i="1"/>
  <c r="BL1411" i="1" s="1"/>
  <c r="BS1411" i="1"/>
  <c r="BR1411" i="1" s="1"/>
  <c r="BK1412" i="1"/>
  <c r="BL1412" i="1" s="1"/>
  <c r="BS1412" i="1"/>
  <c r="BR1412" i="1" s="1"/>
  <c r="BK1413" i="1"/>
  <c r="BL1413" i="1" s="1"/>
  <c r="BS1413" i="1"/>
  <c r="BR1413" i="1" s="1"/>
  <c r="BK1414" i="1"/>
  <c r="BL1414" i="1" s="1"/>
  <c r="BS1414" i="1"/>
  <c r="BR1414" i="1" s="1"/>
  <c r="BK1415" i="1"/>
  <c r="BL1415" i="1" s="1"/>
  <c r="BS1415" i="1"/>
  <c r="BR1415" i="1" s="1"/>
  <c r="BK1416" i="1"/>
  <c r="BL1416" i="1" s="1"/>
  <c r="BS1416" i="1"/>
  <c r="BR1416" i="1" s="1"/>
  <c r="BK1417" i="1"/>
  <c r="BL1417" i="1" s="1"/>
  <c r="BS1417" i="1"/>
  <c r="BR1417" i="1" s="1"/>
  <c r="BK1418" i="1"/>
  <c r="BL1418" i="1" s="1"/>
  <c r="BS1418" i="1"/>
  <c r="BR1418" i="1" s="1"/>
  <c r="BK1419" i="1"/>
  <c r="BL1419" i="1"/>
  <c r="BS1419" i="1"/>
  <c r="BR1419" i="1" s="1"/>
  <c r="BK1420" i="1"/>
  <c r="BL1420" i="1" s="1"/>
  <c r="BS1420" i="1"/>
  <c r="BR1420" i="1" s="1"/>
  <c r="BK1421" i="1"/>
  <c r="BL1421" i="1" s="1"/>
  <c r="BS1421" i="1"/>
  <c r="BR1421" i="1" s="1"/>
  <c r="BK1422" i="1"/>
  <c r="BL1422" i="1" s="1"/>
  <c r="BS1422" i="1"/>
  <c r="BR1422" i="1" s="1"/>
  <c r="BK1423" i="1"/>
  <c r="BL1423" i="1" s="1"/>
  <c r="BS1423" i="1"/>
  <c r="BR1423" i="1" s="1"/>
  <c r="BK1424" i="1"/>
  <c r="BL1424" i="1" s="1"/>
  <c r="BS1424" i="1"/>
  <c r="BR1424" i="1" s="1"/>
  <c r="BK1425" i="1"/>
  <c r="BL1425" i="1" s="1"/>
  <c r="BS1425" i="1"/>
  <c r="BR1425" i="1" s="1"/>
  <c r="BK1426" i="1"/>
  <c r="BL1426" i="1" s="1"/>
  <c r="BS1426" i="1"/>
  <c r="BR1426" i="1" s="1"/>
  <c r="BK1427" i="1"/>
  <c r="BL1427" i="1" s="1"/>
  <c r="BS1427" i="1"/>
  <c r="BR1427" i="1" s="1"/>
  <c r="BK1428" i="1"/>
  <c r="BL1428" i="1" s="1"/>
  <c r="BS1428" i="1"/>
  <c r="BR1428" i="1" s="1"/>
  <c r="BK1429" i="1"/>
  <c r="BL1429" i="1"/>
  <c r="BS1429" i="1"/>
  <c r="BR1429" i="1" s="1"/>
  <c r="BK1430" i="1"/>
  <c r="BL1430" i="1" s="1"/>
  <c r="BS1430" i="1"/>
  <c r="BR1430" i="1" s="1"/>
  <c r="BK1431" i="1"/>
  <c r="BL1431" i="1" s="1"/>
  <c r="BS1431" i="1"/>
  <c r="BR1431" i="1" s="1"/>
  <c r="BK1432" i="1"/>
  <c r="BL1432" i="1" s="1"/>
  <c r="BS1432" i="1"/>
  <c r="BR1432" i="1" s="1"/>
  <c r="BK1433" i="1"/>
  <c r="BL1433" i="1"/>
  <c r="BS1433" i="1"/>
  <c r="BR1433" i="1" s="1"/>
  <c r="BK1434" i="1"/>
  <c r="BL1434" i="1"/>
  <c r="BS1434" i="1"/>
  <c r="BR1434" i="1" s="1"/>
  <c r="BK1435" i="1"/>
  <c r="BL1435" i="1" s="1"/>
  <c r="BS1435" i="1"/>
  <c r="BR1435" i="1" s="1"/>
  <c r="BK1436" i="1"/>
  <c r="BL1436" i="1"/>
  <c r="BS1436" i="1"/>
  <c r="BR1436" i="1" s="1"/>
  <c r="BK1437" i="1"/>
  <c r="BL1437" i="1"/>
  <c r="BS1437" i="1"/>
  <c r="BR1437" i="1" s="1"/>
  <c r="BK1438" i="1"/>
  <c r="BL1438" i="1" s="1"/>
  <c r="BS1438" i="1"/>
  <c r="BR1438" i="1" s="1"/>
  <c r="BK1439" i="1"/>
  <c r="BL1439" i="1" s="1"/>
  <c r="BS1439" i="1"/>
  <c r="BR1439" i="1" s="1"/>
  <c r="BK1440" i="1"/>
  <c r="BL1440" i="1" s="1"/>
  <c r="BS1440" i="1"/>
  <c r="BR1440" i="1" s="1"/>
  <c r="BK1441" i="1"/>
  <c r="BL1441" i="1" s="1"/>
  <c r="BS1441" i="1"/>
  <c r="BR1441" i="1" s="1"/>
  <c r="BK1442" i="1"/>
  <c r="BL1442" i="1" s="1"/>
  <c r="BS1442" i="1"/>
  <c r="BR1442" i="1" s="1"/>
  <c r="BK1443" i="1"/>
  <c r="BL1443" i="1" s="1"/>
  <c r="BS1443" i="1"/>
  <c r="BR1443" i="1" s="1"/>
  <c r="BK1444" i="1"/>
  <c r="BL1444" i="1"/>
  <c r="BS1444" i="1"/>
  <c r="BR1444" i="1" s="1"/>
  <c r="BK1445" i="1"/>
  <c r="BL1445" i="1"/>
  <c r="BS1445" i="1"/>
  <c r="BR1445" i="1" s="1"/>
  <c r="BK1446" i="1"/>
  <c r="BL1446" i="1" s="1"/>
  <c r="BS1446" i="1"/>
  <c r="BR1446" i="1" s="1"/>
  <c r="BK1447" i="1"/>
  <c r="BL1447" i="1" s="1"/>
  <c r="BS1447" i="1"/>
  <c r="BR1447" i="1" s="1"/>
  <c r="BK1448" i="1"/>
  <c r="BL1448" i="1" s="1"/>
  <c r="BS1448" i="1"/>
  <c r="BR1448" i="1" s="1"/>
  <c r="BK1449" i="1"/>
  <c r="BL1449" i="1" s="1"/>
  <c r="BS1449" i="1"/>
  <c r="BR1449" i="1" s="1"/>
  <c r="BK1450" i="1"/>
  <c r="BL1450" i="1"/>
  <c r="BS1450" i="1"/>
  <c r="BR1450" i="1" s="1"/>
  <c r="BK1451" i="1"/>
  <c r="BL1451" i="1"/>
  <c r="BS1451" i="1"/>
  <c r="BR1451" i="1" s="1"/>
  <c r="BK1452" i="1"/>
  <c r="BL1452" i="1" s="1"/>
  <c r="BS1452" i="1"/>
  <c r="BR1452" i="1" s="1"/>
  <c r="BK1453" i="1"/>
  <c r="BL1453" i="1" s="1"/>
  <c r="BS1453" i="1"/>
  <c r="BR1453" i="1" s="1"/>
  <c r="BK1454" i="1"/>
  <c r="BL1454" i="1" s="1"/>
  <c r="BS1454" i="1"/>
  <c r="BR1454" i="1" s="1"/>
  <c r="BK1455" i="1"/>
  <c r="BL1455" i="1"/>
  <c r="BS1455" i="1"/>
  <c r="BR1455" i="1" s="1"/>
  <c r="BK1456" i="1"/>
  <c r="BL1456" i="1"/>
  <c r="BS1456" i="1"/>
  <c r="BR1456" i="1" s="1"/>
  <c r="BK1457" i="1"/>
  <c r="BL1457" i="1" s="1"/>
  <c r="BS1457" i="1"/>
  <c r="BR1457" i="1" s="1"/>
  <c r="BK1458" i="1"/>
  <c r="BL1458" i="1" s="1"/>
  <c r="BS1458" i="1"/>
  <c r="BR1458" i="1" s="1"/>
  <c r="BK1459" i="1"/>
  <c r="BL1459" i="1" s="1"/>
  <c r="BS1459" i="1"/>
  <c r="BR1459" i="1" s="1"/>
  <c r="BK1460" i="1"/>
  <c r="BL1460" i="1" s="1"/>
  <c r="BS1460" i="1"/>
  <c r="BR1460" i="1" s="1"/>
  <c r="BK1461" i="1"/>
  <c r="BL1461" i="1" s="1"/>
  <c r="BS1461" i="1"/>
  <c r="BR1461" i="1" s="1"/>
  <c r="BK1462" i="1"/>
  <c r="BL1462" i="1" s="1"/>
  <c r="BS1462" i="1"/>
  <c r="BR1462" i="1" s="1"/>
  <c r="BK1463" i="1"/>
  <c r="BL1463" i="1" s="1"/>
  <c r="BS1463" i="1"/>
  <c r="BR1463" i="1" s="1"/>
  <c r="BK1464" i="1"/>
  <c r="BL1464" i="1"/>
  <c r="BS1464" i="1"/>
  <c r="BR1464" i="1" s="1"/>
  <c r="BK1465" i="1"/>
  <c r="BL1465" i="1"/>
  <c r="BS1465" i="1"/>
  <c r="BR1465" i="1" s="1"/>
  <c r="BK1466" i="1"/>
  <c r="BL1466" i="1"/>
  <c r="BS1466" i="1"/>
  <c r="BR1466" i="1" s="1"/>
  <c r="BK1467" i="1"/>
  <c r="BL1467" i="1"/>
  <c r="BS1467" i="1"/>
  <c r="BR1467" i="1" s="1"/>
  <c r="BK1468" i="1"/>
  <c r="BL1468" i="1"/>
  <c r="BS1468" i="1"/>
  <c r="BR1468" i="1" s="1"/>
  <c r="BK1469" i="1"/>
  <c r="BL1469" i="1" s="1"/>
  <c r="BS1469" i="1"/>
  <c r="BR1469" i="1" s="1"/>
  <c r="BK1470" i="1"/>
  <c r="BL1470" i="1" s="1"/>
  <c r="BS1470" i="1"/>
  <c r="BR1470" i="1" s="1"/>
  <c r="BK1471" i="1"/>
  <c r="BL1471" i="1" s="1"/>
  <c r="BS1471" i="1"/>
  <c r="BR1471" i="1" s="1"/>
  <c r="BK1472" i="1"/>
  <c r="BL1472" i="1"/>
  <c r="BS1472" i="1"/>
  <c r="BR1472" i="1" s="1"/>
  <c r="BK1473" i="1"/>
  <c r="BL1473" i="1" s="1"/>
  <c r="BS1473" i="1"/>
  <c r="BR1473" i="1" s="1"/>
  <c r="BK1474" i="1"/>
  <c r="BL1474" i="1" s="1"/>
  <c r="BS1474" i="1"/>
  <c r="BR1474" i="1" s="1"/>
  <c r="BK1475" i="1"/>
  <c r="BL1475" i="1"/>
  <c r="BS1475" i="1"/>
  <c r="BR1475" i="1" s="1"/>
  <c r="BK1476" i="1"/>
  <c r="BL1476" i="1"/>
  <c r="BS1476" i="1"/>
  <c r="BR1476" i="1" s="1"/>
  <c r="BK1477" i="1"/>
  <c r="BL1477" i="1"/>
  <c r="BS1477" i="1"/>
  <c r="BR1477" i="1" s="1"/>
  <c r="BK1478" i="1"/>
  <c r="BL1478" i="1"/>
  <c r="BS1478" i="1"/>
  <c r="BR1478" i="1" s="1"/>
  <c r="BK1479" i="1"/>
  <c r="BL1479" i="1"/>
  <c r="BS1479" i="1"/>
  <c r="BR1479" i="1" s="1"/>
  <c r="BK1480" i="1"/>
  <c r="BL1480" i="1"/>
  <c r="BS1480" i="1"/>
  <c r="BR1480" i="1" s="1"/>
  <c r="BK1481" i="1"/>
  <c r="BL1481" i="1"/>
  <c r="BS1481" i="1"/>
  <c r="BR1481" i="1" s="1"/>
  <c r="BK1482" i="1"/>
  <c r="BL1482" i="1" s="1"/>
  <c r="BS1482" i="1"/>
  <c r="BR1482" i="1" s="1"/>
  <c r="BK1483" i="1"/>
  <c r="BL1483" i="1" s="1"/>
  <c r="BS1483" i="1"/>
  <c r="BR1483" i="1" s="1"/>
  <c r="BK1484" i="1"/>
  <c r="BL1484" i="1" s="1"/>
  <c r="BS1484" i="1"/>
  <c r="BR1484" i="1" s="1"/>
  <c r="BK1485" i="1"/>
  <c r="BL1485" i="1" s="1"/>
  <c r="BS1485" i="1"/>
  <c r="BR1485" i="1" s="1"/>
  <c r="BK1486" i="1"/>
  <c r="BL1486" i="1"/>
  <c r="BS1486" i="1"/>
  <c r="BR1486" i="1" s="1"/>
  <c r="BK1487" i="1"/>
  <c r="BL1487" i="1"/>
  <c r="BS1487" i="1"/>
  <c r="BR1487" i="1" s="1"/>
  <c r="BK1488" i="1"/>
  <c r="BL1488" i="1"/>
  <c r="BS1488" i="1"/>
  <c r="BR1488" i="1" s="1"/>
  <c r="BK1489" i="1"/>
  <c r="BL1489" i="1"/>
  <c r="BS1489" i="1"/>
  <c r="BR1489" i="1" s="1"/>
  <c r="BK1490" i="1"/>
  <c r="BL1490" i="1"/>
  <c r="BS1490" i="1"/>
  <c r="BR1490" i="1" s="1"/>
  <c r="BK1491" i="1"/>
  <c r="BL1491" i="1"/>
  <c r="BS1491" i="1"/>
  <c r="BR1491" i="1" s="1"/>
  <c r="BK1492" i="1"/>
  <c r="BL1492" i="1"/>
  <c r="BS1492" i="1"/>
  <c r="BR1492" i="1" s="1"/>
  <c r="BK1493" i="1"/>
  <c r="BL1493" i="1" s="1"/>
  <c r="BS1493" i="1"/>
  <c r="BR1493" i="1" s="1"/>
  <c r="BK1494" i="1"/>
  <c r="BL1494" i="1" s="1"/>
  <c r="BS1494" i="1"/>
  <c r="BR1494" i="1" s="1"/>
  <c r="BK1495" i="1"/>
  <c r="BL1495" i="1" s="1"/>
  <c r="BS1495" i="1"/>
  <c r="BR1495" i="1" s="1"/>
  <c r="BK1496" i="1"/>
  <c r="BL1496" i="1"/>
  <c r="BS1496" i="1"/>
  <c r="BR1496" i="1" s="1"/>
  <c r="BK1497" i="1"/>
  <c r="BL1497" i="1"/>
  <c r="BS1497" i="1"/>
  <c r="BR1497" i="1" s="1"/>
  <c r="BK1498" i="1"/>
  <c r="BL1498" i="1" s="1"/>
  <c r="BS1498" i="1"/>
  <c r="BR1498" i="1" s="1"/>
  <c r="BK1499" i="1"/>
  <c r="BL1499" i="1" s="1"/>
  <c r="BS1499" i="1"/>
  <c r="BR1499" i="1" s="1"/>
  <c r="BK1500" i="1"/>
  <c r="BL1500" i="1" s="1"/>
  <c r="BS1500" i="1"/>
  <c r="BR1500" i="1" s="1"/>
  <c r="BK1501" i="1"/>
  <c r="BL1501" i="1" s="1"/>
  <c r="BS1501" i="1"/>
  <c r="BR1501" i="1" s="1"/>
  <c r="BK1502" i="1"/>
  <c r="BL1502" i="1" s="1"/>
  <c r="BS1502" i="1"/>
  <c r="BR1502" i="1" s="1"/>
  <c r="BK1503" i="1"/>
  <c r="BL1503" i="1"/>
  <c r="BS1503" i="1"/>
  <c r="BR1503" i="1" s="1"/>
  <c r="BK1504" i="1"/>
  <c r="BL1504" i="1" s="1"/>
  <c r="BS1504" i="1"/>
  <c r="BR1504" i="1" s="1"/>
  <c r="BK1505" i="1"/>
  <c r="BL1505" i="1"/>
  <c r="BS1505" i="1"/>
  <c r="BR1505" i="1" s="1"/>
  <c r="BK1506" i="1"/>
  <c r="BL1506" i="1"/>
  <c r="BS1506" i="1"/>
  <c r="BR1506" i="1" s="1"/>
  <c r="BK1507" i="1"/>
  <c r="BL1507" i="1" s="1"/>
  <c r="BS1507" i="1"/>
  <c r="BR1507" i="1" s="1"/>
  <c r="BK1508" i="1"/>
  <c r="BL1508" i="1"/>
  <c r="BS1508" i="1"/>
  <c r="BR1508" i="1" s="1"/>
  <c r="BK1509" i="1"/>
  <c r="BL1509" i="1" s="1"/>
  <c r="BS1509" i="1"/>
  <c r="BR1509" i="1" s="1"/>
  <c r="BK1510" i="1"/>
  <c r="BL1510" i="1" s="1"/>
  <c r="BS1510" i="1"/>
  <c r="BR1510" i="1" s="1"/>
  <c r="BK1511" i="1"/>
  <c r="BL1511" i="1" s="1"/>
  <c r="BS1511" i="1"/>
  <c r="BR1511" i="1" s="1"/>
  <c r="BK1512" i="1"/>
  <c r="BL1512" i="1" s="1"/>
  <c r="BS1512" i="1"/>
  <c r="BR1512" i="1" s="1"/>
  <c r="BK1513" i="1"/>
  <c r="BL1513" i="1" s="1"/>
  <c r="BS1513" i="1"/>
  <c r="BR1513" i="1" s="1"/>
  <c r="BK1514" i="1"/>
  <c r="BL1514" i="1" s="1"/>
  <c r="BS1514" i="1"/>
  <c r="BR1514" i="1" s="1"/>
  <c r="BK1515" i="1"/>
  <c r="BL1515" i="1"/>
  <c r="BS1515" i="1"/>
  <c r="BR1515" i="1" s="1"/>
  <c r="BK1516" i="1"/>
  <c r="BL1516" i="1" s="1"/>
  <c r="BS1516" i="1"/>
  <c r="BR1516" i="1" s="1"/>
  <c r="BK1517" i="1"/>
  <c r="BL1517" i="1" s="1"/>
  <c r="BS1517" i="1"/>
  <c r="BR1517" i="1" s="1"/>
  <c r="BK1518" i="1"/>
  <c r="BL1518" i="1"/>
  <c r="BS1518" i="1"/>
  <c r="BR1518" i="1" s="1"/>
  <c r="BK1519" i="1"/>
  <c r="BL1519" i="1" s="1"/>
  <c r="BS1519" i="1"/>
  <c r="BR1519" i="1" s="1"/>
  <c r="BK1520" i="1"/>
  <c r="BL1520" i="1" s="1"/>
  <c r="BS1520" i="1"/>
  <c r="BR1520" i="1" s="1"/>
  <c r="BK1521" i="1"/>
  <c r="BL1521" i="1" s="1"/>
  <c r="BS1521" i="1"/>
  <c r="BR1521" i="1" s="1"/>
  <c r="BK1522" i="1"/>
  <c r="BL1522" i="1" s="1"/>
  <c r="BS1522" i="1"/>
  <c r="BR1522" i="1" s="1"/>
  <c r="BK1523" i="1"/>
  <c r="BL1523" i="1" s="1"/>
  <c r="BS1523" i="1"/>
  <c r="BR1523" i="1" s="1"/>
  <c r="BK1524" i="1"/>
  <c r="BL1524" i="1" s="1"/>
  <c r="BS1524" i="1"/>
  <c r="BR1524" i="1" s="1"/>
  <c r="BK1525" i="1"/>
  <c r="BL1525" i="1" s="1"/>
  <c r="BS1525" i="1"/>
  <c r="BR1525" i="1" s="1"/>
  <c r="BK1526" i="1"/>
  <c r="BL1526" i="1"/>
  <c r="BS1526" i="1"/>
  <c r="BR1526" i="1" s="1"/>
  <c r="BK1527" i="1"/>
  <c r="BL1527" i="1"/>
  <c r="BS1527" i="1"/>
  <c r="BR1527" i="1" s="1"/>
  <c r="BK1528" i="1"/>
  <c r="BL1528" i="1" s="1"/>
  <c r="BS1528" i="1"/>
  <c r="BR1528" i="1" s="1"/>
  <c r="BK1529" i="1"/>
  <c r="BL1529" i="1" s="1"/>
  <c r="BS1529" i="1"/>
  <c r="BR1529" i="1" s="1"/>
  <c r="BK1530" i="1"/>
  <c r="BL1530" i="1"/>
  <c r="BS1530" i="1"/>
  <c r="BR1530" i="1" s="1"/>
  <c r="BK1531" i="1"/>
  <c r="BL1531" i="1"/>
  <c r="BS1531" i="1"/>
  <c r="BR1531" i="1" s="1"/>
  <c r="BK1532" i="1"/>
  <c r="BL1532" i="1" s="1"/>
  <c r="BS1532" i="1"/>
  <c r="BR1532" i="1" s="1"/>
  <c r="BK1533" i="1"/>
  <c r="BL1533" i="1" s="1"/>
  <c r="BS1533" i="1"/>
  <c r="BR1533" i="1" s="1"/>
  <c r="BK1534" i="1"/>
  <c r="BL1534" i="1" s="1"/>
  <c r="BS1534" i="1"/>
  <c r="BR1534" i="1" s="1"/>
  <c r="BK1535" i="1"/>
  <c r="BL1535" i="1" s="1"/>
  <c r="BS1535" i="1"/>
  <c r="BR1535" i="1" s="1"/>
  <c r="BK1536" i="1"/>
  <c r="BL1536" i="1"/>
  <c r="BS1536" i="1"/>
  <c r="BR1536" i="1" s="1"/>
  <c r="BK1537" i="1"/>
  <c r="BL1537" i="1"/>
  <c r="BS1537" i="1"/>
  <c r="BR1537" i="1" s="1"/>
  <c r="BK1538" i="1"/>
  <c r="BL1538" i="1"/>
  <c r="BS1538" i="1"/>
  <c r="BR1538" i="1" s="1"/>
  <c r="BK1539" i="1"/>
  <c r="BL1539" i="1"/>
  <c r="BS1539" i="1"/>
  <c r="BR1539" i="1" s="1"/>
  <c r="BK1540" i="1"/>
  <c r="BL1540" i="1"/>
  <c r="BS1540" i="1"/>
  <c r="BR1540" i="1" s="1"/>
  <c r="BK1541" i="1"/>
  <c r="BL1541" i="1"/>
  <c r="BS1541" i="1"/>
  <c r="BR1541" i="1" s="1"/>
  <c r="BK1542" i="1"/>
  <c r="BL1542" i="1" s="1"/>
  <c r="BS1542" i="1"/>
  <c r="BR1542" i="1" s="1"/>
  <c r="BK1543" i="1"/>
  <c r="BL1543" i="1" s="1"/>
  <c r="BS1543" i="1"/>
  <c r="BR1543" i="1" s="1"/>
  <c r="BK1544" i="1"/>
  <c r="BL1544" i="1" s="1"/>
  <c r="BS1544" i="1"/>
  <c r="BR1544" i="1" s="1"/>
  <c r="BK1545" i="1"/>
  <c r="BL1545" i="1" s="1"/>
  <c r="BS1545" i="1"/>
  <c r="BR1545" i="1" s="1"/>
  <c r="BK1546" i="1"/>
  <c r="BL1546" i="1" s="1"/>
  <c r="BS1546" i="1"/>
  <c r="BR1546" i="1" s="1"/>
  <c r="BK1547" i="1"/>
  <c r="BL1547" i="1" s="1"/>
  <c r="BS1547" i="1"/>
  <c r="BR1547" i="1" s="1"/>
  <c r="BK1548" i="1"/>
  <c r="BL1548" i="1"/>
  <c r="BS1548" i="1"/>
  <c r="BR1548" i="1" s="1"/>
  <c r="BK1549" i="1"/>
  <c r="BL1549" i="1"/>
  <c r="BS1549" i="1"/>
  <c r="BR1549" i="1" s="1"/>
  <c r="BK1550" i="1"/>
  <c r="BL1550" i="1" s="1"/>
  <c r="BS1550" i="1"/>
  <c r="BR1550" i="1" s="1"/>
  <c r="BK1551" i="1"/>
  <c r="BL1551" i="1" s="1"/>
  <c r="BS1551" i="1"/>
  <c r="BR1551" i="1" s="1"/>
  <c r="BK1552" i="1"/>
  <c r="BL1552" i="1" s="1"/>
  <c r="BS1552" i="1"/>
  <c r="BR1552" i="1" s="1"/>
  <c r="BK1553" i="1"/>
  <c r="BL1553" i="1" s="1"/>
  <c r="BS1553" i="1"/>
  <c r="BR1553" i="1" s="1"/>
  <c r="BK1554" i="1"/>
  <c r="BL1554" i="1" s="1"/>
  <c r="BS1554" i="1"/>
  <c r="BR1554" i="1" s="1"/>
  <c r="BK1555" i="1"/>
  <c r="BL1555" i="1" s="1"/>
  <c r="BS1555" i="1"/>
  <c r="BR1555" i="1" s="1"/>
  <c r="BK1556" i="1"/>
  <c r="BL1556" i="1" s="1"/>
  <c r="BS1556" i="1"/>
  <c r="BR1556" i="1" s="1"/>
  <c r="BK1557" i="1"/>
  <c r="BL1557" i="1" s="1"/>
  <c r="BS1557" i="1"/>
  <c r="BR1557" i="1" s="1"/>
  <c r="BK1558" i="1"/>
  <c r="BL1558" i="1"/>
  <c r="BS1558" i="1"/>
  <c r="BR1558" i="1" s="1"/>
  <c r="BK1559" i="1"/>
  <c r="BL1559" i="1" s="1"/>
  <c r="BS1559" i="1"/>
  <c r="BR1559" i="1" s="1"/>
  <c r="BK1560" i="1"/>
  <c r="BL1560" i="1" s="1"/>
  <c r="BS1560" i="1"/>
  <c r="BR1560" i="1" s="1"/>
  <c r="BK1561" i="1"/>
  <c r="BL1561" i="1" s="1"/>
  <c r="BS1561" i="1"/>
  <c r="BR1561" i="1" s="1"/>
  <c r="BK1562" i="1"/>
  <c r="BL1562" i="1" s="1"/>
  <c r="BS1562" i="1"/>
  <c r="BR1562" i="1" s="1"/>
  <c r="BK1563" i="1"/>
  <c r="BL1563" i="1" s="1"/>
  <c r="BS1563" i="1"/>
  <c r="BR1563" i="1" s="1"/>
  <c r="BK1564" i="1"/>
  <c r="BL1564" i="1" s="1"/>
  <c r="BS1564" i="1"/>
  <c r="BR1564" i="1" s="1"/>
  <c r="BK1565" i="1"/>
  <c r="BL1565" i="1"/>
  <c r="BS1565" i="1"/>
  <c r="BR1565" i="1" s="1"/>
  <c r="BK1566" i="1"/>
  <c r="BL1566" i="1" s="1"/>
  <c r="BS1566" i="1"/>
  <c r="BR1566" i="1" s="1"/>
  <c r="BK1567" i="1"/>
  <c r="BL1567" i="1" s="1"/>
  <c r="BS1567" i="1"/>
  <c r="BR1567" i="1" s="1"/>
  <c r="BK1568" i="1"/>
  <c r="BL1568" i="1" s="1"/>
  <c r="BS1568" i="1"/>
  <c r="BR1568" i="1" s="1"/>
  <c r="BK1569" i="1"/>
  <c r="BL1569" i="1" s="1"/>
  <c r="BS1569" i="1"/>
  <c r="BR1569" i="1" s="1"/>
  <c r="BK1570" i="1"/>
  <c r="BL1570" i="1"/>
  <c r="BS1570" i="1"/>
  <c r="BR1570" i="1" s="1"/>
  <c r="BK1571" i="1"/>
  <c r="BL1571" i="1"/>
  <c r="BS1571" i="1"/>
  <c r="BR1571" i="1" s="1"/>
  <c r="BK1572" i="1"/>
  <c r="BL1572" i="1"/>
  <c r="BS1572" i="1"/>
  <c r="BR1572" i="1" s="1"/>
  <c r="BK1573" i="1"/>
  <c r="BL1573" i="1"/>
  <c r="BS1573" i="1"/>
  <c r="BR1573" i="1" s="1"/>
  <c r="BK1574" i="1"/>
  <c r="BL1574" i="1"/>
  <c r="BS1574" i="1"/>
  <c r="BR1574" i="1" s="1"/>
  <c r="BK1575" i="1"/>
  <c r="BL1575" i="1"/>
  <c r="BS1575" i="1"/>
  <c r="BR1575" i="1" s="1"/>
  <c r="BK1576" i="1"/>
  <c r="BL1576" i="1"/>
  <c r="BS1576" i="1"/>
  <c r="BR1576" i="1" s="1"/>
  <c r="BK1577" i="1"/>
  <c r="BL1577" i="1" s="1"/>
  <c r="BS1577" i="1"/>
  <c r="BR1577" i="1" s="1"/>
  <c r="BK1578" i="1"/>
  <c r="BL1578" i="1" s="1"/>
  <c r="BS1578" i="1"/>
  <c r="BR1578" i="1" s="1"/>
  <c r="BK1579" i="1"/>
  <c r="BL1579" i="1"/>
  <c r="BS1579" i="1"/>
  <c r="BR1579" i="1" s="1"/>
  <c r="BK1580" i="1"/>
  <c r="BL1580" i="1" s="1"/>
  <c r="BS1580" i="1"/>
  <c r="BR1580" i="1" s="1"/>
  <c r="BK1581" i="1"/>
  <c r="BL1581" i="1" s="1"/>
  <c r="BS1581" i="1"/>
  <c r="BR1581" i="1" s="1"/>
  <c r="BK1582" i="1"/>
  <c r="BL1582" i="1" s="1"/>
  <c r="BS1582" i="1"/>
  <c r="BR1582" i="1" s="1"/>
  <c r="BK1583" i="1"/>
  <c r="BL1583" i="1" s="1"/>
  <c r="BS1583" i="1"/>
  <c r="BR1583" i="1" s="1"/>
  <c r="BK1584" i="1"/>
  <c r="BL1584" i="1" s="1"/>
  <c r="BS1584" i="1"/>
  <c r="BR1584" i="1" s="1"/>
  <c r="BK1585" i="1"/>
  <c r="BL1585" i="1" s="1"/>
  <c r="BS1585" i="1"/>
  <c r="BR1585" i="1" s="1"/>
  <c r="BK1586" i="1"/>
  <c r="BL1586" i="1" s="1"/>
  <c r="BS1586" i="1"/>
  <c r="BR1586" i="1" s="1"/>
  <c r="BK1587" i="1"/>
  <c r="BL1587" i="1" s="1"/>
  <c r="BS1587" i="1"/>
  <c r="BR1587" i="1" s="1"/>
  <c r="BK1588" i="1"/>
  <c r="BL1588" i="1" s="1"/>
  <c r="BS1588" i="1"/>
  <c r="BR1588" i="1" s="1"/>
  <c r="BK1589" i="1"/>
  <c r="BL1589" i="1"/>
  <c r="BS1589" i="1"/>
  <c r="BR1589" i="1" s="1"/>
  <c r="BK1590" i="1"/>
  <c r="BL1590" i="1"/>
  <c r="BS1590" i="1"/>
  <c r="BR1590" i="1" s="1"/>
  <c r="BK1591" i="1"/>
  <c r="BL1591" i="1" s="1"/>
  <c r="BS1591" i="1"/>
  <c r="BR1591" i="1" s="1"/>
  <c r="BK1592" i="1"/>
  <c r="BL1592" i="1" s="1"/>
  <c r="BS1592" i="1"/>
  <c r="BR1592" i="1" s="1"/>
  <c r="BK1593" i="1"/>
  <c r="BL1593" i="1" s="1"/>
  <c r="BS1593" i="1"/>
  <c r="BR1593" i="1" s="1"/>
  <c r="BK1594" i="1"/>
  <c r="BL1594" i="1" s="1"/>
  <c r="BS1594" i="1"/>
  <c r="BR1594" i="1" s="1"/>
  <c r="BK1595" i="1"/>
  <c r="BL1595" i="1" s="1"/>
  <c r="BS1595" i="1"/>
  <c r="BR1595" i="1" s="1"/>
  <c r="BK1596" i="1"/>
  <c r="BL1596" i="1" s="1"/>
  <c r="BS1596" i="1"/>
  <c r="BR1596" i="1" s="1"/>
  <c r="BK1597" i="1"/>
  <c r="BL1597" i="1" s="1"/>
  <c r="BS1597" i="1"/>
  <c r="BR1597" i="1" s="1"/>
  <c r="BK1598" i="1"/>
  <c r="BL1598" i="1"/>
  <c r="BS1598" i="1"/>
  <c r="BR1598" i="1" s="1"/>
  <c r="BK1599" i="1"/>
  <c r="BL1599" i="1" s="1"/>
  <c r="BS1599" i="1"/>
  <c r="BR1599" i="1" s="1"/>
  <c r="BK1600" i="1"/>
  <c r="BL1600" i="1" s="1"/>
  <c r="BS1600" i="1"/>
  <c r="BR1600" i="1" s="1"/>
  <c r="BK1601" i="1"/>
  <c r="BL1601" i="1" s="1"/>
  <c r="BS1601" i="1"/>
  <c r="BR1601" i="1" s="1"/>
  <c r="BK1602" i="1"/>
  <c r="BL1602" i="1" s="1"/>
  <c r="BS1602" i="1"/>
  <c r="BR1602" i="1" s="1"/>
  <c r="BK1603" i="1"/>
  <c r="BL1603" i="1" s="1"/>
  <c r="BS1603" i="1"/>
  <c r="BR1603" i="1" s="1"/>
  <c r="BK1604" i="1"/>
  <c r="BL1604" i="1" s="1"/>
  <c r="BS1604" i="1"/>
  <c r="BR1604" i="1" s="1"/>
  <c r="BK1605" i="1"/>
  <c r="BL1605" i="1"/>
  <c r="BS1605" i="1"/>
  <c r="BR1605" i="1" s="1"/>
  <c r="BK1606" i="1"/>
  <c r="BL1606" i="1" s="1"/>
  <c r="BS1606" i="1"/>
  <c r="BR1606" i="1" s="1"/>
  <c r="BK1607" i="1"/>
  <c r="BL1607" i="1" s="1"/>
  <c r="BS1607" i="1"/>
  <c r="BR1607" i="1" s="1"/>
  <c r="BK1608" i="1"/>
  <c r="BL1608" i="1" s="1"/>
  <c r="BS1608" i="1"/>
  <c r="BR1608" i="1" s="1"/>
  <c r="BK1609" i="1"/>
  <c r="BL1609" i="1" s="1"/>
  <c r="BS1609" i="1"/>
  <c r="BR1609" i="1" s="1"/>
  <c r="BK1610" i="1"/>
  <c r="BL1610" i="1" s="1"/>
  <c r="BS1610" i="1"/>
  <c r="BR1610" i="1" s="1"/>
  <c r="BK1611" i="1"/>
  <c r="BL1611" i="1" s="1"/>
  <c r="BS1611" i="1"/>
  <c r="BR1611" i="1" s="1"/>
  <c r="BK1612" i="1"/>
  <c r="BL1612" i="1" s="1"/>
  <c r="BS1612" i="1"/>
  <c r="BR1612" i="1" s="1"/>
  <c r="BK1613" i="1"/>
  <c r="BL1613" i="1" s="1"/>
  <c r="BS1613" i="1"/>
  <c r="BR1613" i="1" s="1"/>
  <c r="BK1614" i="1"/>
  <c r="BL1614" i="1" s="1"/>
  <c r="BS1614" i="1"/>
  <c r="BR1614" i="1" s="1"/>
  <c r="BK1615" i="1"/>
  <c r="BL1615" i="1" s="1"/>
  <c r="BS1615" i="1"/>
  <c r="BR1615" i="1" s="1"/>
  <c r="BK1616" i="1"/>
  <c r="BL1616" i="1" s="1"/>
  <c r="BS1616" i="1"/>
  <c r="BR1616" i="1" s="1"/>
  <c r="BK1617" i="1"/>
  <c r="BL1617" i="1" s="1"/>
  <c r="BS1617" i="1"/>
  <c r="BR1617" i="1" s="1"/>
  <c r="BK1618" i="1"/>
  <c r="BL1618" i="1" s="1"/>
  <c r="BS1618" i="1"/>
  <c r="BR1618" i="1" s="1"/>
  <c r="BK1619" i="1"/>
  <c r="BL1619" i="1" s="1"/>
  <c r="BS1619" i="1"/>
  <c r="BR1619" i="1" s="1"/>
  <c r="BK1620" i="1"/>
  <c r="BL1620" i="1" s="1"/>
  <c r="BS1620" i="1"/>
  <c r="BR1620" i="1" s="1"/>
  <c r="BK1621" i="1"/>
  <c r="BL1621" i="1" s="1"/>
  <c r="BS1621" i="1"/>
  <c r="BR1621" i="1" s="1"/>
  <c r="BK1622" i="1"/>
  <c r="BL1622" i="1" s="1"/>
  <c r="BS1622" i="1"/>
  <c r="BR1622" i="1" s="1"/>
  <c r="BK1623" i="1"/>
  <c r="BL1623" i="1" s="1"/>
  <c r="BS1623" i="1"/>
  <c r="BR1623" i="1" s="1"/>
  <c r="BK1624" i="1"/>
  <c r="BL1624" i="1" s="1"/>
  <c r="BS1624" i="1"/>
  <c r="BR1624" i="1" s="1"/>
  <c r="BK1625" i="1"/>
  <c r="BL1625" i="1" s="1"/>
  <c r="BS1625" i="1"/>
  <c r="BR1625" i="1" s="1"/>
  <c r="BK1626" i="1"/>
  <c r="BL1626" i="1" s="1"/>
  <c r="BS1626" i="1"/>
  <c r="BR1626" i="1" s="1"/>
  <c r="BK1627" i="1"/>
  <c r="BL1627" i="1" s="1"/>
  <c r="BS1627" i="1"/>
  <c r="BR1627" i="1" s="1"/>
  <c r="BK1628" i="1"/>
  <c r="BL1628" i="1" s="1"/>
  <c r="BS1628" i="1"/>
  <c r="BR1628" i="1" s="1"/>
  <c r="BK1629" i="1"/>
  <c r="BL1629" i="1"/>
  <c r="BS1629" i="1"/>
  <c r="BR1629" i="1" s="1"/>
  <c r="BK1630" i="1"/>
  <c r="BL1630" i="1" s="1"/>
  <c r="BS1630" i="1"/>
  <c r="BR1630" i="1" s="1"/>
  <c r="BK1631" i="1"/>
  <c r="BL1631" i="1" s="1"/>
  <c r="BS1631" i="1"/>
  <c r="BR1631" i="1" s="1"/>
  <c r="BK1632" i="1"/>
  <c r="BL1632" i="1" s="1"/>
  <c r="BS1632" i="1"/>
  <c r="BR1632" i="1" s="1"/>
  <c r="BK1633" i="1"/>
  <c r="BL1633" i="1"/>
  <c r="BS1633" i="1"/>
  <c r="BR1633" i="1" s="1"/>
  <c r="BK1634" i="1"/>
  <c r="BL1634" i="1" s="1"/>
  <c r="BR1634" i="1"/>
  <c r="BS1634" i="1"/>
  <c r="BK1635" i="1"/>
  <c r="BL1635" i="1"/>
  <c r="BR1635" i="1"/>
  <c r="BS1635" i="1"/>
  <c r="BK1636" i="1"/>
  <c r="BL1636" i="1" s="1"/>
  <c r="BS1636" i="1"/>
  <c r="BR1636" i="1" s="1"/>
  <c r="BK1637" i="1"/>
  <c r="BL1637" i="1" s="1"/>
  <c r="BS1637" i="1"/>
  <c r="BR1637" i="1" s="1"/>
  <c r="BK1638" i="1"/>
  <c r="BL1638" i="1" s="1"/>
  <c r="BS1638" i="1"/>
  <c r="BR1638" i="1" s="1"/>
  <c r="BK1639" i="1"/>
  <c r="BL1639" i="1" s="1"/>
  <c r="BS1639" i="1"/>
  <c r="BR1639" i="1" s="1"/>
  <c r="BK1640" i="1"/>
  <c r="BL1640" i="1" s="1"/>
  <c r="BS1640" i="1"/>
  <c r="BR1640" i="1" s="1"/>
  <c r="BK1641" i="1"/>
  <c r="BL1641" i="1" s="1"/>
  <c r="BS1641" i="1"/>
  <c r="BR1641" i="1" s="1"/>
  <c r="BK1642" i="1"/>
  <c r="BL1642" i="1" s="1"/>
  <c r="BS1642" i="1"/>
  <c r="BR1642" i="1" s="1"/>
  <c r="BK1643" i="1"/>
  <c r="BL1643" i="1"/>
  <c r="BS1643" i="1"/>
  <c r="BR1643" i="1" s="1"/>
  <c r="BK1644" i="1"/>
  <c r="BL1644" i="1"/>
  <c r="BS1644" i="1"/>
  <c r="BR1644" i="1" s="1"/>
  <c r="BK1645" i="1"/>
  <c r="BL1645" i="1"/>
  <c r="BS1645" i="1"/>
  <c r="BR1645" i="1" s="1"/>
  <c r="BK1646" i="1"/>
  <c r="BL1646" i="1"/>
  <c r="BS1646" i="1"/>
  <c r="BR1646" i="1" s="1"/>
  <c r="BK1647" i="1"/>
  <c r="BL1647" i="1"/>
  <c r="BS1647" i="1"/>
  <c r="BR1647" i="1" s="1"/>
  <c r="BK1648" i="1"/>
  <c r="BL1648" i="1"/>
  <c r="BS1648" i="1"/>
  <c r="BR1648" i="1" s="1"/>
  <c r="BK1649" i="1"/>
  <c r="BL1649" i="1" s="1"/>
  <c r="BS1649" i="1"/>
  <c r="BR1649" i="1" s="1"/>
  <c r="BK1650" i="1"/>
  <c r="BL1650" i="1" s="1"/>
  <c r="BS1650" i="1"/>
  <c r="BR1650" i="1" s="1"/>
  <c r="BK1651" i="1"/>
  <c r="BL1651" i="1" s="1"/>
  <c r="BS1651" i="1"/>
  <c r="BR1651" i="1" s="1"/>
  <c r="BK1652" i="1"/>
  <c r="BL1652" i="1" s="1"/>
  <c r="BS1652" i="1"/>
  <c r="BR1652" i="1" s="1"/>
  <c r="BK1653" i="1"/>
  <c r="BL1653" i="1"/>
  <c r="BS1653" i="1"/>
  <c r="BR1653" i="1" s="1"/>
  <c r="BK1654" i="1"/>
  <c r="BL1654" i="1"/>
  <c r="BS1654" i="1"/>
  <c r="BR1654" i="1" s="1"/>
  <c r="BK1655" i="1"/>
  <c r="BL1655" i="1" s="1"/>
  <c r="BS1655" i="1"/>
  <c r="BR1655" i="1" s="1"/>
  <c r="BK1656" i="1"/>
  <c r="BL1656" i="1" s="1"/>
  <c r="BS1656" i="1"/>
  <c r="BR1656" i="1" s="1"/>
  <c r="BK1657" i="1"/>
  <c r="BL1657" i="1" s="1"/>
  <c r="BS1657" i="1"/>
  <c r="BR1657" i="1" s="1"/>
  <c r="BK1658" i="1"/>
  <c r="BL1658" i="1" s="1"/>
  <c r="BS1658" i="1"/>
  <c r="BR1658" i="1" s="1"/>
  <c r="BK1659" i="1"/>
  <c r="BL1659" i="1" s="1"/>
  <c r="BS1659" i="1"/>
  <c r="BR1659" i="1" s="1"/>
  <c r="BK1660" i="1"/>
  <c r="BL1660" i="1" s="1"/>
  <c r="BS1660" i="1"/>
  <c r="BR1660" i="1" s="1"/>
  <c r="BK1661" i="1"/>
  <c r="BL1661" i="1"/>
  <c r="BS1661" i="1"/>
  <c r="BR1661" i="1" s="1"/>
  <c r="BK1662" i="1"/>
  <c r="BL1662" i="1" s="1"/>
  <c r="BS1662" i="1"/>
  <c r="BR1662" i="1" s="1"/>
  <c r="BK1663" i="1"/>
  <c r="BL1663" i="1" s="1"/>
  <c r="BS1663" i="1"/>
  <c r="BR1663" i="1" s="1"/>
  <c r="BK1664" i="1"/>
  <c r="BL1664" i="1"/>
  <c r="BS1664" i="1"/>
  <c r="BR1664" i="1" s="1"/>
  <c r="BK1665" i="1"/>
  <c r="BL1665" i="1"/>
  <c r="BS1665" i="1"/>
  <c r="BR1665" i="1" s="1"/>
  <c r="BK1666" i="1"/>
  <c r="BL1666" i="1" s="1"/>
  <c r="BS1666" i="1"/>
  <c r="BR1666" i="1" s="1"/>
  <c r="BK1667" i="1"/>
  <c r="BL1667" i="1" s="1"/>
  <c r="BS1667" i="1"/>
  <c r="BR1667" i="1" s="1"/>
  <c r="BK1668" i="1"/>
  <c r="BL1668" i="1" s="1"/>
  <c r="BS1668" i="1"/>
  <c r="BR1668" i="1" s="1"/>
  <c r="BK1669" i="1"/>
  <c r="BL1669" i="1" s="1"/>
  <c r="BS1669" i="1"/>
  <c r="BR1669" i="1" s="1"/>
  <c r="BK1670" i="1"/>
  <c r="BL1670" i="1" s="1"/>
  <c r="BS1670" i="1"/>
  <c r="BR1670" i="1" s="1"/>
  <c r="BK1671" i="1"/>
  <c r="BL1671" i="1" s="1"/>
  <c r="BS1671" i="1"/>
  <c r="BR1671" i="1" s="1"/>
  <c r="BK1672" i="1"/>
  <c r="BL1672" i="1" s="1"/>
  <c r="BS1672" i="1"/>
  <c r="BR1672" i="1" s="1"/>
  <c r="BK1673" i="1"/>
  <c r="BL1673" i="1" s="1"/>
  <c r="BS1673" i="1"/>
  <c r="BR1673" i="1" s="1"/>
  <c r="BK1674" i="1"/>
  <c r="BL1674" i="1" s="1"/>
  <c r="BS1674" i="1"/>
  <c r="BR1674" i="1" s="1"/>
  <c r="BK1675" i="1"/>
  <c r="BL1675" i="1" s="1"/>
  <c r="BS1675" i="1"/>
  <c r="BR1675" i="1" s="1"/>
  <c r="BK1676" i="1"/>
  <c r="BL1676" i="1" s="1"/>
  <c r="BS1676" i="1"/>
  <c r="BR1676" i="1" s="1"/>
  <c r="BK1677" i="1"/>
  <c r="BL1677" i="1" s="1"/>
  <c r="BS1677" i="1"/>
  <c r="BR1677" i="1" s="1"/>
  <c r="BK1678" i="1"/>
  <c r="BL1678" i="1"/>
  <c r="BS1678" i="1"/>
  <c r="BR1678" i="1" s="1"/>
  <c r="BK1679" i="1"/>
  <c r="BL1679" i="1"/>
  <c r="BS1679" i="1"/>
  <c r="BR1679" i="1" s="1"/>
  <c r="BK1680" i="1"/>
  <c r="BL1680" i="1" s="1"/>
  <c r="BS1680" i="1"/>
  <c r="BR1680" i="1" s="1"/>
  <c r="BK1681" i="1"/>
  <c r="BL1681" i="1" s="1"/>
  <c r="BS1681" i="1"/>
  <c r="BR1681" i="1" s="1"/>
  <c r="BK1682" i="1"/>
  <c r="BL1682" i="1" s="1"/>
  <c r="BS1682" i="1"/>
  <c r="BR1682" i="1" s="1"/>
  <c r="BK1683" i="1"/>
  <c r="BL1683" i="1" s="1"/>
  <c r="BS1683" i="1"/>
  <c r="BR1683" i="1" s="1"/>
  <c r="BK1684" i="1"/>
  <c r="BL1684" i="1" s="1"/>
  <c r="BS1684" i="1"/>
  <c r="BR1684" i="1" s="1"/>
  <c r="BK1685" i="1"/>
  <c r="BL1685" i="1" s="1"/>
  <c r="BS1685" i="1"/>
  <c r="BR1685" i="1" s="1"/>
  <c r="BK1686" i="1"/>
  <c r="BL1686" i="1"/>
  <c r="BS1686" i="1"/>
  <c r="BR1686" i="1" s="1"/>
  <c r="BK1687" i="1"/>
  <c r="BL1687" i="1" s="1"/>
  <c r="BS1687" i="1"/>
  <c r="BR1687" i="1" s="1"/>
  <c r="BK1688" i="1"/>
  <c r="BL1688" i="1" s="1"/>
  <c r="BS1688" i="1"/>
  <c r="BR1688" i="1" s="1"/>
  <c r="BK1689" i="1"/>
  <c r="BL1689" i="1"/>
  <c r="BS1689" i="1"/>
  <c r="BR1689" i="1" s="1"/>
  <c r="BK1690" i="1"/>
  <c r="BL1690" i="1"/>
  <c r="BS1690" i="1"/>
  <c r="BR1690" i="1" s="1"/>
  <c r="BK1691" i="1"/>
  <c r="BL1691" i="1"/>
  <c r="BS1691" i="1"/>
  <c r="BR1691" i="1" s="1"/>
  <c r="BK1692" i="1"/>
  <c r="BL1692" i="1"/>
  <c r="BS1692" i="1"/>
  <c r="BR1692" i="1" s="1"/>
  <c r="BK1693" i="1"/>
  <c r="BL1693" i="1" s="1"/>
  <c r="BS1693" i="1"/>
  <c r="BR1693" i="1" s="1"/>
  <c r="BK1694" i="1"/>
  <c r="BL1694" i="1" s="1"/>
  <c r="BS1694" i="1"/>
  <c r="BR1694" i="1" s="1"/>
  <c r="BK1695" i="1"/>
  <c r="BL1695" i="1" s="1"/>
  <c r="BS1695" i="1"/>
  <c r="BR1695" i="1" s="1"/>
  <c r="BK1696" i="1"/>
  <c r="BL1696" i="1" s="1"/>
  <c r="BS1696" i="1"/>
  <c r="BR1696" i="1" s="1"/>
  <c r="BK1697" i="1"/>
  <c r="BL1697" i="1" s="1"/>
  <c r="BS1697" i="1"/>
  <c r="BR1697" i="1" s="1"/>
  <c r="BK1698" i="1"/>
  <c r="BL1698" i="1" s="1"/>
  <c r="BS1698" i="1"/>
  <c r="BR1698" i="1" s="1"/>
  <c r="BK1699" i="1"/>
  <c r="BL1699" i="1" s="1"/>
  <c r="BS1699" i="1"/>
  <c r="BR1699" i="1" s="1"/>
  <c r="BK1700" i="1"/>
  <c r="BL1700" i="1" s="1"/>
  <c r="BS1700" i="1"/>
  <c r="BR1700" i="1" s="1"/>
  <c r="BK1701" i="1"/>
  <c r="BL1701" i="1" s="1"/>
  <c r="BS1701" i="1"/>
  <c r="BR1701" i="1" s="1"/>
  <c r="BK1702" i="1"/>
  <c r="BL1702" i="1" s="1"/>
  <c r="BS1702" i="1"/>
  <c r="BR1702" i="1" s="1"/>
  <c r="BK1703" i="1"/>
  <c r="BL1703" i="1"/>
  <c r="BS1703" i="1"/>
  <c r="BR1703" i="1" s="1"/>
  <c r="BK1704" i="1"/>
  <c r="BL1704" i="1"/>
  <c r="BS1704" i="1"/>
  <c r="BR1704" i="1" s="1"/>
  <c r="BK1705" i="1"/>
  <c r="BL1705" i="1"/>
  <c r="BS1705" i="1"/>
  <c r="BR1705" i="1" s="1"/>
  <c r="BK1706" i="1"/>
  <c r="BL1706" i="1"/>
  <c r="BS1706" i="1"/>
  <c r="BR1706" i="1" s="1"/>
  <c r="BK1707" i="1"/>
  <c r="BL1707" i="1"/>
  <c r="BS1707" i="1"/>
  <c r="BR1707" i="1" s="1"/>
  <c r="BK1708" i="1"/>
  <c r="BL1708" i="1"/>
  <c r="BS1708" i="1"/>
  <c r="BR1708" i="1" s="1"/>
  <c r="BK1709" i="1"/>
  <c r="BL1709" i="1"/>
  <c r="BS1709" i="1"/>
  <c r="BR1709" i="1" s="1"/>
  <c r="BK1710" i="1"/>
  <c r="BL1710" i="1" s="1"/>
  <c r="BS1710" i="1"/>
  <c r="BR1710" i="1" s="1"/>
  <c r="BK1711" i="1"/>
  <c r="BL1711" i="1" s="1"/>
  <c r="BS1711" i="1"/>
  <c r="BR1711" i="1" s="1"/>
  <c r="BK1712" i="1"/>
  <c r="BL1712" i="1" s="1"/>
  <c r="BS1712" i="1"/>
  <c r="BR1712" i="1" s="1"/>
  <c r="BK1713" i="1"/>
  <c r="BL1713" i="1" s="1"/>
  <c r="BS1713" i="1"/>
  <c r="BR1713" i="1" s="1"/>
  <c r="BK1714" i="1"/>
  <c r="BL1714" i="1"/>
  <c r="BS1714" i="1"/>
  <c r="BR1714" i="1" s="1"/>
  <c r="BK1715" i="1"/>
  <c r="BL1715" i="1"/>
  <c r="BS1715" i="1"/>
  <c r="BR1715" i="1" s="1"/>
  <c r="BK1716" i="1"/>
  <c r="BL1716" i="1"/>
  <c r="BS1716" i="1"/>
  <c r="BR1716" i="1" s="1"/>
  <c r="BK1717" i="1"/>
  <c r="BL1717" i="1"/>
  <c r="BS1717" i="1"/>
  <c r="BR1717" i="1" s="1"/>
  <c r="BK1718" i="1"/>
  <c r="BL1718" i="1" s="1"/>
  <c r="BS1718" i="1"/>
  <c r="BR1718" i="1" s="1"/>
  <c r="BK1719" i="1"/>
  <c r="BL1719" i="1" s="1"/>
  <c r="BS1719" i="1"/>
  <c r="BR1719" i="1" s="1"/>
  <c r="BK1720" i="1"/>
  <c r="BL1720" i="1" s="1"/>
  <c r="BS1720" i="1"/>
  <c r="BR1720" i="1" s="1"/>
  <c r="BK1721" i="1"/>
  <c r="BL1721" i="1" s="1"/>
  <c r="BS1721" i="1"/>
  <c r="BR1721" i="1" s="1"/>
  <c r="BK1722" i="1"/>
  <c r="BL1722" i="1"/>
  <c r="BS1722" i="1"/>
  <c r="BR1722" i="1" s="1"/>
  <c r="BK1723" i="1"/>
  <c r="BL1723" i="1"/>
  <c r="BS1723" i="1"/>
  <c r="BR1723" i="1" s="1"/>
  <c r="BK1724" i="1"/>
  <c r="BL1724" i="1"/>
  <c r="BS1724" i="1"/>
  <c r="BR1724" i="1" s="1"/>
  <c r="BK1725" i="1"/>
  <c r="BL1725" i="1"/>
  <c r="BS1725" i="1"/>
  <c r="BR1725" i="1" s="1"/>
  <c r="BK1726" i="1"/>
  <c r="BL1726" i="1"/>
  <c r="BS1726" i="1"/>
  <c r="BR1726" i="1" s="1"/>
  <c r="BK1727" i="1"/>
  <c r="BL1727" i="1"/>
  <c r="BS1727" i="1"/>
  <c r="BR1727" i="1" s="1"/>
  <c r="BK1728" i="1"/>
  <c r="BL1728" i="1"/>
  <c r="BS1728" i="1"/>
  <c r="BR1728" i="1" s="1"/>
  <c r="BK1729" i="1"/>
  <c r="BL1729" i="1"/>
  <c r="BS1729" i="1"/>
  <c r="BR1729" i="1" s="1"/>
  <c r="BK1730" i="1"/>
  <c r="BL1730" i="1"/>
  <c r="BS1730" i="1"/>
  <c r="BR1730" i="1" s="1"/>
  <c r="BK1731" i="1"/>
  <c r="BL1731" i="1"/>
  <c r="BS1731" i="1"/>
  <c r="BR1731" i="1" s="1"/>
  <c r="BK1732" i="1"/>
  <c r="BL1732" i="1"/>
  <c r="BS1732" i="1"/>
  <c r="BR1732" i="1" s="1"/>
  <c r="BK1733" i="1"/>
  <c r="BL1733" i="1" s="1"/>
  <c r="BS1733" i="1"/>
  <c r="BR1733" i="1" s="1"/>
  <c r="BK1734" i="1"/>
  <c r="BL1734" i="1" s="1"/>
  <c r="BS1734" i="1"/>
  <c r="BR1734" i="1" s="1"/>
  <c r="BK1735" i="1"/>
  <c r="BL1735" i="1" s="1"/>
  <c r="BS1735" i="1"/>
  <c r="BR1735" i="1" s="1"/>
  <c r="BK1736" i="1"/>
  <c r="BL1736" i="1" s="1"/>
  <c r="BS1736" i="1"/>
  <c r="BR1736" i="1" s="1"/>
  <c r="BK1737" i="1"/>
  <c r="BL1737" i="1"/>
  <c r="BS1737" i="1"/>
  <c r="BR1737" i="1" s="1"/>
  <c r="BK1738" i="1"/>
  <c r="BL1738" i="1" s="1"/>
  <c r="BS1738" i="1"/>
  <c r="BR1738" i="1" s="1"/>
  <c r="BK1739" i="1"/>
  <c r="BL1739" i="1" s="1"/>
  <c r="BS1739" i="1"/>
  <c r="BR1739" i="1" s="1"/>
  <c r="BK1740" i="1"/>
  <c r="BL1740" i="1"/>
  <c r="BS1740" i="1"/>
  <c r="BR1740" i="1" s="1"/>
  <c r="BK1741" i="1"/>
  <c r="BL1741" i="1"/>
  <c r="BS1741" i="1"/>
  <c r="BR1741" i="1" s="1"/>
  <c r="BK1742" i="1"/>
  <c r="BL1742" i="1"/>
  <c r="BS1742" i="1"/>
  <c r="BR1742" i="1" s="1"/>
  <c r="BK1743" i="1"/>
  <c r="BL1743" i="1" s="1"/>
  <c r="BS1743" i="1"/>
  <c r="BR1743" i="1" s="1"/>
  <c r="BK1744" i="1"/>
  <c r="BL1744" i="1" s="1"/>
  <c r="BS1744" i="1"/>
  <c r="BR1744" i="1" s="1"/>
  <c r="BK1745" i="1"/>
  <c r="BL1745" i="1"/>
  <c r="BS1745" i="1"/>
  <c r="BR1745" i="1" s="1"/>
  <c r="BK1746" i="1"/>
  <c r="BL1746" i="1"/>
  <c r="BS1746" i="1"/>
  <c r="BR1746" i="1" s="1"/>
  <c r="BK1747" i="1"/>
  <c r="BL1747" i="1"/>
  <c r="BS1747" i="1"/>
  <c r="BR1747" i="1" s="1"/>
  <c r="BK1748" i="1"/>
  <c r="BL1748" i="1"/>
  <c r="BS1748" i="1"/>
  <c r="BR1748" i="1" s="1"/>
  <c r="BK1749" i="1"/>
  <c r="BL1749" i="1"/>
  <c r="BS1749" i="1"/>
  <c r="BR1749" i="1" s="1"/>
  <c r="BK1750" i="1"/>
  <c r="BL1750" i="1" s="1"/>
  <c r="BS1750" i="1"/>
  <c r="BR1750" i="1" s="1"/>
  <c r="BK1751" i="1"/>
  <c r="BL1751" i="1" s="1"/>
  <c r="BS1751" i="1"/>
  <c r="BR1751" i="1" s="1"/>
  <c r="BK1752" i="1"/>
  <c r="BL1752" i="1" s="1"/>
  <c r="BS1752" i="1"/>
  <c r="BR1752" i="1" s="1"/>
  <c r="BK1753" i="1"/>
  <c r="BL1753" i="1" s="1"/>
  <c r="BS1753" i="1"/>
  <c r="BR1753" i="1" s="1"/>
  <c r="BK1754" i="1"/>
  <c r="BL1754" i="1" s="1"/>
  <c r="BS1754" i="1"/>
  <c r="BR1754" i="1" s="1"/>
  <c r="BK1755" i="1"/>
  <c r="BL1755" i="1" s="1"/>
  <c r="BS1755" i="1"/>
  <c r="BR1755" i="1" s="1"/>
  <c r="BK1756" i="1"/>
  <c r="BL1756" i="1" s="1"/>
  <c r="BS1756" i="1"/>
  <c r="BR1756" i="1" s="1"/>
  <c r="BK1757" i="1"/>
  <c r="BL1757" i="1" s="1"/>
  <c r="BS1757" i="1"/>
  <c r="BR1757" i="1" s="1"/>
  <c r="BK1758" i="1"/>
  <c r="BL1758" i="1" s="1"/>
  <c r="BS1758" i="1"/>
  <c r="BR1758" i="1" s="1"/>
  <c r="BK1759" i="1"/>
  <c r="BL1759" i="1" s="1"/>
  <c r="BS1759" i="1"/>
  <c r="BR1759" i="1" s="1"/>
  <c r="BK1760" i="1"/>
  <c r="BL1760" i="1"/>
  <c r="BS1760" i="1"/>
  <c r="BR1760" i="1" s="1"/>
  <c r="BK1761" i="1"/>
  <c r="BL1761" i="1"/>
  <c r="BS1761" i="1"/>
  <c r="BR1761" i="1" s="1"/>
  <c r="BK1762" i="1"/>
  <c r="BL1762" i="1"/>
  <c r="BS1762" i="1"/>
  <c r="BR1762" i="1" s="1"/>
  <c r="BK1763" i="1"/>
  <c r="BL1763" i="1"/>
  <c r="BS1763" i="1"/>
  <c r="BR1763" i="1" s="1"/>
  <c r="BK1764" i="1"/>
  <c r="BL1764" i="1"/>
  <c r="BS1764" i="1"/>
  <c r="BR1764" i="1" s="1"/>
  <c r="BK1765" i="1"/>
  <c r="BL1765" i="1" s="1"/>
  <c r="BS1765" i="1"/>
  <c r="BR1765" i="1" s="1"/>
  <c r="BK1766" i="1"/>
  <c r="BL1766" i="1" s="1"/>
  <c r="BS1766" i="1"/>
  <c r="BR1766" i="1" s="1"/>
  <c r="BK1767" i="1"/>
  <c r="BL1767" i="1" s="1"/>
  <c r="BS1767" i="1"/>
  <c r="BR1767" i="1" s="1"/>
  <c r="BK1768" i="1"/>
  <c r="BL1768" i="1"/>
  <c r="BS1768" i="1"/>
  <c r="BR1768" i="1" s="1"/>
  <c r="BK1769" i="1"/>
  <c r="BL1769" i="1"/>
  <c r="BS1769" i="1"/>
  <c r="BR1769" i="1" s="1"/>
  <c r="BK1770" i="1"/>
  <c r="BL1770" i="1"/>
  <c r="BS1770" i="1"/>
  <c r="BR1770" i="1" s="1"/>
  <c r="BK1771" i="1"/>
  <c r="BL1771" i="1"/>
  <c r="BS1771" i="1"/>
  <c r="BR1771" i="1" s="1"/>
  <c r="BK1772" i="1"/>
  <c r="BL1772" i="1"/>
  <c r="BS1772" i="1"/>
  <c r="BR1772" i="1" s="1"/>
  <c r="BK1773" i="1"/>
  <c r="BL1773" i="1" s="1"/>
  <c r="BS1773" i="1"/>
  <c r="BR1773" i="1" s="1"/>
  <c r="BK1774" i="1"/>
  <c r="BL1774" i="1" s="1"/>
  <c r="BS1774" i="1"/>
  <c r="BR1774" i="1" s="1"/>
  <c r="BK1775" i="1"/>
  <c r="BL1775" i="1" s="1"/>
  <c r="BS1775" i="1"/>
  <c r="BR1775" i="1" s="1"/>
  <c r="BK1776" i="1"/>
  <c r="BL1776" i="1"/>
  <c r="BS1776" i="1"/>
  <c r="BR1776" i="1" s="1"/>
  <c r="BK1777" i="1"/>
  <c r="BL1777" i="1"/>
  <c r="BS1777" i="1"/>
  <c r="BR1777" i="1" s="1"/>
  <c r="BK1778" i="1"/>
  <c r="BL1778" i="1" s="1"/>
  <c r="BS1778" i="1"/>
  <c r="BR1778" i="1" s="1"/>
  <c r="BK1779" i="1"/>
  <c r="BL1779" i="1" s="1"/>
  <c r="BS1779" i="1"/>
  <c r="BR1779" i="1" s="1"/>
  <c r="BK1780" i="1"/>
  <c r="BL1780" i="1" s="1"/>
  <c r="BS1780" i="1"/>
  <c r="BR1780" i="1" s="1"/>
  <c r="BK1781" i="1"/>
  <c r="BL1781" i="1" s="1"/>
  <c r="BS1781" i="1"/>
  <c r="BR1781" i="1" s="1"/>
  <c r="BK1782" i="1"/>
  <c r="BL1782" i="1" s="1"/>
  <c r="BS1782" i="1"/>
  <c r="BR1782" i="1" s="1"/>
  <c r="BK1783" i="1"/>
  <c r="BL1783" i="1" s="1"/>
  <c r="BS1783" i="1"/>
  <c r="BR1783" i="1" s="1"/>
  <c r="BK1784" i="1"/>
  <c r="BL1784" i="1" s="1"/>
  <c r="BS1784" i="1"/>
  <c r="BR1784" i="1" s="1"/>
  <c r="BK1785" i="1"/>
  <c r="BL1785" i="1" s="1"/>
  <c r="BS1785" i="1"/>
  <c r="BR1785" i="1" s="1"/>
  <c r="BK1786" i="1"/>
  <c r="BL1786" i="1" s="1"/>
  <c r="BS1786" i="1"/>
  <c r="BR1786" i="1" s="1"/>
  <c r="BK1787" i="1"/>
  <c r="BL1787" i="1" s="1"/>
  <c r="BS1787" i="1"/>
  <c r="BR1787" i="1" s="1"/>
  <c r="BK1788" i="1"/>
  <c r="BL1788" i="1" s="1"/>
  <c r="BS1788" i="1"/>
  <c r="BR1788" i="1" s="1"/>
  <c r="BK1789" i="1"/>
  <c r="BL1789" i="1"/>
  <c r="BS1789" i="1"/>
  <c r="BR1789" i="1" s="1"/>
  <c r="BK1790" i="1"/>
  <c r="BL1790" i="1" s="1"/>
  <c r="BS1790" i="1"/>
  <c r="BR1790" i="1" s="1"/>
  <c r="BK1791" i="1"/>
  <c r="BL1791" i="1"/>
  <c r="BS1791" i="1"/>
  <c r="BR1791" i="1" s="1"/>
  <c r="BK1792" i="1"/>
  <c r="BL1792" i="1" s="1"/>
  <c r="BS1792" i="1"/>
  <c r="BR1792" i="1" s="1"/>
  <c r="BK1793" i="1"/>
  <c r="BL1793" i="1" s="1"/>
  <c r="BS1793" i="1"/>
  <c r="BR1793" i="1" s="1"/>
  <c r="BK1794" i="1"/>
  <c r="BL1794" i="1" s="1"/>
  <c r="BS1794" i="1"/>
  <c r="BR1794" i="1" s="1"/>
  <c r="BK1795" i="1"/>
  <c r="BL1795" i="1"/>
  <c r="BS1795" i="1"/>
  <c r="BR1795" i="1" s="1"/>
  <c r="BK1796" i="1"/>
  <c r="BL1796" i="1" s="1"/>
  <c r="BS1796" i="1"/>
  <c r="BR1796" i="1" s="1"/>
  <c r="BK1797" i="1"/>
  <c r="BL1797" i="1" s="1"/>
  <c r="BS1797" i="1"/>
  <c r="BR1797" i="1" s="1"/>
  <c r="BK1798" i="1"/>
  <c r="BL1798" i="1" s="1"/>
  <c r="BS1798" i="1"/>
  <c r="BR1798" i="1" s="1"/>
  <c r="BK1799" i="1"/>
  <c r="BL1799" i="1" s="1"/>
  <c r="BS1799" i="1"/>
  <c r="BR1799" i="1" s="1"/>
  <c r="BK1800" i="1"/>
  <c r="BL1800" i="1" s="1"/>
  <c r="BS1800" i="1"/>
  <c r="BR1800" i="1" s="1"/>
  <c r="BK1801" i="1"/>
  <c r="BL1801" i="1" s="1"/>
  <c r="BS1801" i="1"/>
  <c r="BR1801" i="1" s="1"/>
  <c r="BK1802" i="1"/>
  <c r="BL1802" i="1"/>
  <c r="BS1802" i="1"/>
  <c r="BR1802" i="1" s="1"/>
  <c r="BK1803" i="1"/>
  <c r="BL1803" i="1"/>
  <c r="BS1803" i="1"/>
  <c r="BR1803" i="1" s="1"/>
  <c r="BK1804" i="1"/>
  <c r="BL1804" i="1"/>
  <c r="BS1804" i="1"/>
  <c r="BR1804" i="1" s="1"/>
  <c r="BK1805" i="1"/>
  <c r="BL1805" i="1"/>
  <c r="BS1805" i="1"/>
  <c r="BR1805" i="1" s="1"/>
  <c r="BK1806" i="1"/>
  <c r="BL1806" i="1"/>
  <c r="BS1806" i="1"/>
  <c r="BR1806" i="1" s="1"/>
  <c r="BK1807" i="1"/>
  <c r="BL1807" i="1"/>
  <c r="BS1807" i="1"/>
  <c r="BR1807" i="1" s="1"/>
  <c r="BK1808" i="1"/>
  <c r="BL1808" i="1"/>
  <c r="BS1808" i="1"/>
  <c r="BR1808" i="1" s="1"/>
  <c r="BK1809" i="1"/>
  <c r="BL1809" i="1" s="1"/>
  <c r="BS1809" i="1"/>
  <c r="BR1809" i="1" s="1"/>
  <c r="BK1810" i="1"/>
  <c r="BL1810" i="1" s="1"/>
  <c r="BS1810" i="1"/>
  <c r="BR1810" i="1" s="1"/>
  <c r="BK1811" i="1"/>
  <c r="BL1811" i="1"/>
  <c r="BS1811" i="1"/>
  <c r="BR1811" i="1" s="1"/>
  <c r="BK1812" i="1"/>
  <c r="BL1812" i="1" s="1"/>
  <c r="BS1812" i="1"/>
  <c r="BR1812" i="1" s="1"/>
  <c r="BK1813" i="1"/>
  <c r="BL1813" i="1" s="1"/>
  <c r="BS1813" i="1"/>
  <c r="BR1813" i="1" s="1"/>
  <c r="BK1814" i="1"/>
  <c r="BL1814" i="1" s="1"/>
  <c r="BS1814" i="1"/>
  <c r="BR1814" i="1" s="1"/>
  <c r="BK1815" i="1"/>
  <c r="BL1815" i="1"/>
  <c r="BS1815" i="1"/>
  <c r="BR1815" i="1" s="1"/>
  <c r="BK1816" i="1"/>
  <c r="BL1816" i="1" s="1"/>
  <c r="BS1816" i="1"/>
  <c r="BR1816" i="1" s="1"/>
  <c r="BK1817" i="1"/>
  <c r="BL1817" i="1" s="1"/>
  <c r="BS1817" i="1"/>
  <c r="BR1817" i="1" s="1"/>
  <c r="BK1818" i="1"/>
  <c r="BL1818" i="1" s="1"/>
  <c r="BS1818" i="1"/>
  <c r="BR1818" i="1" s="1"/>
  <c r="BK1819" i="1"/>
  <c r="BL1819" i="1" s="1"/>
  <c r="BS1819" i="1"/>
  <c r="BR1819" i="1" s="1"/>
  <c r="BK1820" i="1"/>
  <c r="BL1820" i="1"/>
  <c r="BS1820" i="1"/>
  <c r="BR1820" i="1" s="1"/>
  <c r="BK1821" i="1"/>
  <c r="BL1821" i="1" s="1"/>
  <c r="BS1821" i="1"/>
  <c r="BR1821" i="1" s="1"/>
  <c r="BK1822" i="1"/>
  <c r="BL1822" i="1" s="1"/>
  <c r="BS1822" i="1"/>
  <c r="BR1822" i="1" s="1"/>
  <c r="BK1823" i="1"/>
  <c r="BL1823" i="1" s="1"/>
  <c r="BS1823" i="1"/>
  <c r="BR1823" i="1" s="1"/>
  <c r="BK1824" i="1"/>
  <c r="BL1824" i="1" s="1"/>
  <c r="BS1824" i="1"/>
  <c r="BR1824" i="1" s="1"/>
  <c r="BK1825" i="1"/>
  <c r="BL1825" i="1" s="1"/>
  <c r="BS1825" i="1"/>
  <c r="BR1825" i="1" s="1"/>
  <c r="BK1826" i="1"/>
  <c r="BL1826" i="1"/>
  <c r="BS1826" i="1"/>
  <c r="BR1826" i="1" s="1"/>
  <c r="BK1827" i="1"/>
  <c r="BL1827" i="1" s="1"/>
  <c r="BS1827" i="1"/>
  <c r="BR1827" i="1" s="1"/>
  <c r="BK1828" i="1"/>
  <c r="BL1828" i="1" s="1"/>
  <c r="BS1828" i="1"/>
  <c r="BR1828" i="1" s="1"/>
  <c r="BK1829" i="1"/>
  <c r="BL1829" i="1" s="1"/>
  <c r="BS1829" i="1"/>
  <c r="BR1829" i="1" s="1"/>
  <c r="BK1830" i="1"/>
  <c r="BL1830" i="1" s="1"/>
  <c r="BS1830" i="1"/>
  <c r="BR1830" i="1" s="1"/>
  <c r="BK1831" i="1"/>
  <c r="BL1831" i="1"/>
  <c r="BS1831" i="1"/>
  <c r="BR1831" i="1" s="1"/>
  <c r="BK1832" i="1"/>
  <c r="BL1832" i="1" s="1"/>
  <c r="BS1832" i="1"/>
  <c r="BR1832" i="1" s="1"/>
  <c r="BK1833" i="1"/>
  <c r="BL1833" i="1" s="1"/>
  <c r="BS1833" i="1"/>
  <c r="BR1833" i="1" s="1"/>
  <c r="BK1834" i="1"/>
  <c r="BL1834" i="1" s="1"/>
  <c r="BS1834" i="1"/>
  <c r="BR1834" i="1" s="1"/>
  <c r="BK1835" i="1"/>
  <c r="BL1835" i="1" s="1"/>
  <c r="BS1835" i="1"/>
  <c r="BR1835" i="1" s="1"/>
  <c r="BK1836" i="1"/>
  <c r="BL1836" i="1"/>
  <c r="BS1836" i="1"/>
  <c r="BR1836" i="1" s="1"/>
  <c r="BK1837" i="1"/>
  <c r="BL1837" i="1" s="1"/>
  <c r="BS1837" i="1"/>
  <c r="BR1837" i="1" s="1"/>
  <c r="BK1838" i="1"/>
  <c r="BL1838" i="1" s="1"/>
  <c r="BS1838" i="1"/>
  <c r="BR1838" i="1" s="1"/>
  <c r="BK1839" i="1"/>
  <c r="BL1839" i="1" s="1"/>
  <c r="BS1839" i="1"/>
  <c r="BR1839" i="1" s="1"/>
  <c r="BK1840" i="1"/>
  <c r="BL1840" i="1" s="1"/>
  <c r="BS1840" i="1"/>
  <c r="BR1840" i="1" s="1"/>
  <c r="BK1841" i="1"/>
  <c r="BL1841" i="1" s="1"/>
  <c r="BS1841" i="1"/>
  <c r="BR1841" i="1" s="1"/>
  <c r="BK1842" i="1"/>
  <c r="BL1842" i="1" s="1"/>
  <c r="BS1842" i="1"/>
  <c r="BR1842" i="1" s="1"/>
  <c r="BK1843" i="1"/>
  <c r="BL1843" i="1"/>
  <c r="BS1843" i="1"/>
  <c r="BR1843" i="1" s="1"/>
  <c r="BK1844" i="1"/>
  <c r="BL1844" i="1" s="1"/>
  <c r="BS1844" i="1"/>
  <c r="BR1844" i="1" s="1"/>
  <c r="BK1845" i="1"/>
  <c r="BL1845" i="1" s="1"/>
  <c r="BS1845" i="1"/>
  <c r="BR1845" i="1" s="1"/>
  <c r="BK1846" i="1"/>
  <c r="BL1846" i="1" s="1"/>
  <c r="BS1846" i="1"/>
  <c r="BR1846" i="1" s="1"/>
  <c r="BK1847" i="1"/>
  <c r="BL1847" i="1" s="1"/>
  <c r="BS1847" i="1"/>
  <c r="BR1847" i="1" s="1"/>
  <c r="BK1848" i="1"/>
  <c r="BL1848" i="1" s="1"/>
  <c r="BS1848" i="1"/>
  <c r="BR1848" i="1" s="1"/>
  <c r="BK1849" i="1"/>
  <c r="BL1849" i="1" s="1"/>
  <c r="BS1849" i="1"/>
  <c r="BR1849" i="1" s="1"/>
  <c r="BK1850" i="1"/>
  <c r="BL1850" i="1"/>
  <c r="BS1850" i="1"/>
  <c r="BR1850" i="1" s="1"/>
  <c r="BK1851" i="1"/>
  <c r="BL1851" i="1"/>
  <c r="BS1851" i="1"/>
  <c r="BR1851" i="1" s="1"/>
  <c r="BK1852" i="1"/>
  <c r="BL1852" i="1" s="1"/>
  <c r="BS1852" i="1"/>
  <c r="BR1852" i="1" s="1"/>
  <c r="BK1853" i="1"/>
  <c r="BL1853" i="1" s="1"/>
  <c r="BS1853" i="1"/>
  <c r="BR1853" i="1" s="1"/>
  <c r="BK1854" i="1"/>
  <c r="BL1854" i="1" s="1"/>
  <c r="BS1854" i="1"/>
  <c r="BR1854" i="1" s="1"/>
  <c r="BK1855" i="1"/>
  <c r="BL1855" i="1" s="1"/>
  <c r="BS1855" i="1"/>
  <c r="BR1855" i="1" s="1"/>
  <c r="BK1856" i="1"/>
  <c r="BL1856" i="1" s="1"/>
  <c r="BS1856" i="1"/>
  <c r="BR1856" i="1" s="1"/>
  <c r="BK1857" i="1"/>
  <c r="BL1857" i="1" s="1"/>
  <c r="BS1857" i="1"/>
  <c r="BR1857" i="1" s="1"/>
  <c r="BK1858" i="1"/>
  <c r="BL1858" i="1" s="1"/>
  <c r="BS1858" i="1"/>
  <c r="BR1858" i="1" s="1"/>
  <c r="BK1859" i="1"/>
  <c r="BL1859" i="1" s="1"/>
  <c r="BS1859" i="1"/>
  <c r="BR1859" i="1" s="1"/>
  <c r="BK1860" i="1"/>
  <c r="BL1860" i="1"/>
  <c r="BS1860" i="1"/>
  <c r="BR1860" i="1" s="1"/>
  <c r="BK1861" i="1"/>
  <c r="BL1861" i="1"/>
  <c r="BS1861" i="1"/>
  <c r="BR1861" i="1" s="1"/>
  <c r="BK1862" i="1"/>
  <c r="BL1862" i="1"/>
  <c r="BS1862" i="1"/>
  <c r="BR1862" i="1" s="1"/>
  <c r="BK1863" i="1"/>
  <c r="BL1863" i="1"/>
  <c r="BS1863" i="1"/>
  <c r="BR1863" i="1" s="1"/>
  <c r="BK1864" i="1"/>
  <c r="BL1864" i="1"/>
  <c r="BS1864" i="1"/>
  <c r="BR1864" i="1" s="1"/>
  <c r="BK1865" i="1"/>
  <c r="BL1865" i="1"/>
  <c r="BS1865" i="1"/>
  <c r="BR1865" i="1" s="1"/>
  <c r="BK1866" i="1"/>
  <c r="BL1866" i="1" s="1"/>
  <c r="BS1866" i="1"/>
  <c r="BR1866" i="1" s="1"/>
  <c r="BK1867" i="1"/>
  <c r="BL1867" i="1" s="1"/>
  <c r="BS1867" i="1"/>
  <c r="BR1867" i="1" s="1"/>
  <c r="BK1868" i="1"/>
  <c r="BL1868" i="1"/>
  <c r="BS1868" i="1"/>
  <c r="BR1868" i="1" s="1"/>
  <c r="BK1869" i="1"/>
  <c r="BL1869" i="1"/>
  <c r="BS1869" i="1"/>
  <c r="BR1869" i="1" s="1"/>
  <c r="BK1870" i="1"/>
  <c r="BL1870" i="1" s="1"/>
  <c r="BS1870" i="1"/>
  <c r="BR1870" i="1" s="1"/>
  <c r="BK1871" i="1"/>
  <c r="BL1871" i="1" s="1"/>
  <c r="BS1871" i="1"/>
  <c r="BR1871" i="1" s="1"/>
  <c r="BK1872" i="1"/>
  <c r="BL1872" i="1" s="1"/>
  <c r="BS1872" i="1"/>
  <c r="BR1872" i="1" s="1"/>
  <c r="BK1873" i="1"/>
  <c r="BL1873" i="1"/>
  <c r="BS1873" i="1"/>
  <c r="BR1873" i="1" s="1"/>
  <c r="BK1874" i="1"/>
  <c r="BL1874" i="1"/>
  <c r="BS1874" i="1"/>
  <c r="BR1874" i="1" s="1"/>
  <c r="BK1875" i="1"/>
  <c r="BL1875" i="1" s="1"/>
  <c r="BS1875" i="1"/>
  <c r="BR1875" i="1" s="1"/>
  <c r="BK1876" i="1"/>
  <c r="BL1876" i="1" s="1"/>
  <c r="BS1876" i="1"/>
  <c r="BR1876" i="1" s="1"/>
  <c r="BK1877" i="1"/>
  <c r="BL1877" i="1"/>
  <c r="BS1877" i="1"/>
  <c r="BR1877" i="1" s="1"/>
  <c r="BK1878" i="1"/>
  <c r="BL1878" i="1"/>
  <c r="BS1878" i="1"/>
  <c r="BR1878" i="1" s="1"/>
  <c r="BK1879" i="1"/>
  <c r="BL1879" i="1" s="1"/>
  <c r="BS1879" i="1"/>
  <c r="BR1879" i="1" s="1"/>
  <c r="BK1880" i="1"/>
  <c r="BL1880" i="1" s="1"/>
  <c r="BS1880" i="1"/>
  <c r="BR1880" i="1" s="1"/>
  <c r="BK1881" i="1"/>
  <c r="BL1881" i="1" s="1"/>
  <c r="BS1881" i="1"/>
  <c r="BR1881" i="1" s="1"/>
  <c r="BK1882" i="1"/>
  <c r="BL1882" i="1"/>
  <c r="BS1882" i="1"/>
  <c r="BR1882" i="1" s="1"/>
  <c r="BK1883" i="1"/>
  <c r="BL1883" i="1" s="1"/>
  <c r="BS1883" i="1"/>
  <c r="BR1883" i="1" s="1"/>
  <c r="BK1884" i="1"/>
  <c r="BL1884" i="1" s="1"/>
  <c r="BS1884" i="1"/>
  <c r="BR1884" i="1" s="1"/>
  <c r="BK1885" i="1"/>
  <c r="BL1885" i="1" s="1"/>
  <c r="BS1885" i="1"/>
  <c r="BR1885" i="1" s="1"/>
  <c r="BK1886" i="1"/>
  <c r="BL1886" i="1" s="1"/>
  <c r="BS1886" i="1"/>
  <c r="BR1886" i="1" s="1"/>
  <c r="BK1887" i="1"/>
  <c r="BL1887" i="1"/>
  <c r="BS1887" i="1"/>
  <c r="BR1887" i="1" s="1"/>
  <c r="BK1888" i="1"/>
  <c r="BL1888" i="1"/>
  <c r="BS1888" i="1"/>
  <c r="BR1888" i="1" s="1"/>
  <c r="BK1889" i="1"/>
  <c r="BL1889" i="1" s="1"/>
  <c r="BS1889" i="1"/>
  <c r="BR1889" i="1" s="1"/>
  <c r="BK1890" i="1"/>
  <c r="BL1890" i="1" s="1"/>
  <c r="BS1890" i="1"/>
  <c r="BR1890" i="1" s="1"/>
  <c r="BK1891" i="1"/>
  <c r="BL1891" i="1" s="1"/>
  <c r="BS1891" i="1"/>
  <c r="BR1891" i="1" s="1"/>
  <c r="BK1892" i="1"/>
  <c r="BL1892" i="1" s="1"/>
  <c r="BS1892" i="1"/>
  <c r="BR1892" i="1" s="1"/>
  <c r="BK1893" i="1"/>
  <c r="BL1893" i="1"/>
  <c r="BS1893" i="1"/>
  <c r="BR1893" i="1" s="1"/>
  <c r="BK1894" i="1"/>
  <c r="BL1894" i="1" s="1"/>
  <c r="BS1894" i="1"/>
  <c r="BR1894" i="1" s="1"/>
  <c r="BK1895" i="1"/>
  <c r="BL1895" i="1" s="1"/>
  <c r="BS1895" i="1"/>
  <c r="BR1895" i="1" s="1"/>
  <c r="BK1896" i="1"/>
  <c r="BL1896" i="1" s="1"/>
  <c r="BS1896" i="1"/>
  <c r="BR1896" i="1" s="1"/>
  <c r="BK1897" i="1"/>
  <c r="BL1897" i="1" s="1"/>
  <c r="BS1897" i="1"/>
  <c r="BR1897" i="1" s="1"/>
  <c r="BK1898" i="1"/>
  <c r="BL1898" i="1" s="1"/>
  <c r="BS1898" i="1"/>
  <c r="BR1898" i="1" s="1"/>
  <c r="BK1899" i="1"/>
  <c r="BL1899" i="1" s="1"/>
  <c r="BS1899" i="1"/>
  <c r="BR1899" i="1" s="1"/>
  <c r="BK1900" i="1"/>
  <c r="BL1900" i="1"/>
  <c r="BS1900" i="1"/>
  <c r="BR1900" i="1" s="1"/>
  <c r="BK1901" i="1"/>
  <c r="BL1901" i="1"/>
  <c r="BS1901" i="1"/>
  <c r="BR1901" i="1" s="1"/>
  <c r="BK1902" i="1"/>
  <c r="BL1902" i="1"/>
  <c r="BS1902" i="1"/>
  <c r="BR1902" i="1" s="1"/>
  <c r="BK1903" i="1"/>
  <c r="BL1903" i="1"/>
  <c r="BS1903" i="1"/>
  <c r="BR1903" i="1" s="1"/>
  <c r="BK1904" i="1"/>
  <c r="BL1904" i="1" s="1"/>
  <c r="BS1904" i="1"/>
  <c r="BR1904" i="1" s="1"/>
  <c r="BK1905" i="1"/>
  <c r="BL1905" i="1" s="1"/>
  <c r="BS1905" i="1"/>
  <c r="BR1905" i="1" s="1"/>
  <c r="BK1906" i="1"/>
  <c r="BL1906" i="1" s="1"/>
  <c r="BS1906" i="1"/>
  <c r="BR1906" i="1" s="1"/>
  <c r="BK1907" i="1"/>
  <c r="BL1907" i="1" s="1"/>
  <c r="BS1907" i="1"/>
  <c r="BR1907" i="1" s="1"/>
  <c r="BK1908" i="1"/>
  <c r="BL1908" i="1" s="1"/>
  <c r="BS1908" i="1"/>
  <c r="BR1908" i="1" s="1"/>
  <c r="BK1909" i="1"/>
  <c r="BL1909" i="1" s="1"/>
  <c r="BS1909" i="1"/>
  <c r="BR1909" i="1" s="1"/>
  <c r="BK1910" i="1"/>
  <c r="BL1910" i="1" s="1"/>
  <c r="BS1910" i="1"/>
  <c r="BR1910" i="1" s="1"/>
  <c r="BK1911" i="1"/>
  <c r="BL1911" i="1"/>
  <c r="BS1911" i="1"/>
  <c r="BR1911" i="1" s="1"/>
  <c r="BK1912" i="1"/>
  <c r="BL1912" i="1" s="1"/>
  <c r="BS1912" i="1"/>
  <c r="BR1912" i="1" s="1"/>
  <c r="BK1913" i="1"/>
  <c r="BL1913" i="1" s="1"/>
  <c r="BS1913" i="1"/>
  <c r="BR1913" i="1" s="1"/>
  <c r="BK1914" i="1"/>
  <c r="BL1914" i="1" s="1"/>
  <c r="BS1914" i="1"/>
  <c r="BR1914" i="1" s="1"/>
  <c r="BK1915" i="1"/>
  <c r="BL1915" i="1"/>
  <c r="BS1915" i="1"/>
  <c r="BR1915" i="1" s="1"/>
  <c r="BK1916" i="1"/>
  <c r="BL1916" i="1" s="1"/>
  <c r="BS1916" i="1"/>
  <c r="BR1916" i="1" s="1"/>
  <c r="BK1917" i="1"/>
  <c r="BL1917" i="1" s="1"/>
  <c r="BS1917" i="1"/>
  <c r="BR1917" i="1" s="1"/>
  <c r="BK1918" i="1"/>
  <c r="BL1918" i="1" s="1"/>
  <c r="BS1918" i="1"/>
  <c r="BR1918" i="1" s="1"/>
  <c r="BK1919" i="1"/>
  <c r="BL1919" i="1" s="1"/>
  <c r="BS1919" i="1"/>
  <c r="BR1919" i="1" s="1"/>
  <c r="BK1920" i="1"/>
  <c r="BL1920" i="1" s="1"/>
  <c r="BS1920" i="1"/>
  <c r="BR1920" i="1" s="1"/>
  <c r="BK1921" i="1"/>
  <c r="BL1921" i="1" s="1"/>
  <c r="BS1921" i="1"/>
  <c r="BR1921" i="1" s="1"/>
  <c r="BK1922" i="1"/>
  <c r="BL1922" i="1" s="1"/>
  <c r="BS1922" i="1"/>
  <c r="BR1922" i="1" s="1"/>
  <c r="BK1923" i="1"/>
  <c r="BL1923" i="1"/>
  <c r="BS1923" i="1"/>
  <c r="BR1923" i="1" s="1"/>
  <c r="BK1924" i="1"/>
  <c r="BL1924" i="1" s="1"/>
  <c r="BS1924" i="1"/>
  <c r="BR1924" i="1" s="1"/>
  <c r="BK1925" i="1"/>
  <c r="BL1925" i="1" s="1"/>
  <c r="BS1925" i="1"/>
  <c r="BR1925" i="1" s="1"/>
  <c r="BK1926" i="1"/>
  <c r="BL1926" i="1" s="1"/>
  <c r="BS1926" i="1"/>
  <c r="BR1926" i="1" s="1"/>
  <c r="BK1927" i="1"/>
  <c r="BL1927" i="1" s="1"/>
  <c r="BS1927" i="1"/>
  <c r="BR1927" i="1" s="1"/>
  <c r="BK1928" i="1"/>
  <c r="BL1928" i="1" s="1"/>
  <c r="BS1928" i="1"/>
  <c r="BR1928" i="1" s="1"/>
  <c r="BK1929" i="1"/>
  <c r="BL1929" i="1"/>
  <c r="BS1929" i="1"/>
  <c r="BR1929" i="1" s="1"/>
  <c r="BK1930" i="1"/>
  <c r="BL1930" i="1" s="1"/>
  <c r="BS1930" i="1"/>
  <c r="BR1930" i="1" s="1"/>
  <c r="BK1931" i="1"/>
  <c r="BL1931" i="1" s="1"/>
  <c r="BS1931" i="1"/>
  <c r="BR1931" i="1" s="1"/>
  <c r="BK1932" i="1"/>
  <c r="BL1932" i="1" s="1"/>
  <c r="BS1932" i="1"/>
  <c r="BR1932" i="1" s="1"/>
  <c r="BK1933" i="1"/>
  <c r="BL1933" i="1" s="1"/>
  <c r="BS1933" i="1"/>
  <c r="BR1933" i="1" s="1"/>
  <c r="BK1934" i="1"/>
  <c r="BL1934" i="1" s="1"/>
  <c r="BS1934" i="1"/>
  <c r="BR1934" i="1" s="1"/>
  <c r="BK1935" i="1"/>
  <c r="BL1935" i="1" s="1"/>
  <c r="BS1935" i="1"/>
  <c r="BR1935" i="1" s="1"/>
  <c r="BK1936" i="1"/>
  <c r="BL1936" i="1" s="1"/>
  <c r="BS1936" i="1"/>
  <c r="BR1936" i="1" s="1"/>
  <c r="BK1937" i="1"/>
  <c r="BL1937" i="1"/>
  <c r="BS1937" i="1"/>
  <c r="BR1937" i="1" s="1"/>
  <c r="BK1938" i="1"/>
  <c r="BL1938" i="1" s="1"/>
  <c r="BS1938" i="1"/>
  <c r="BR1938" i="1" s="1"/>
  <c r="BK1939" i="1"/>
  <c r="BL1939" i="1" s="1"/>
  <c r="BS1939" i="1"/>
  <c r="BR1939" i="1" s="1"/>
  <c r="BK1940" i="1"/>
  <c r="BL1940" i="1" s="1"/>
  <c r="BS1940" i="1"/>
  <c r="BR1940" i="1" s="1"/>
  <c r="BK1941" i="1"/>
  <c r="BL1941" i="1" s="1"/>
  <c r="BS1941" i="1"/>
  <c r="BR1941" i="1" s="1"/>
  <c r="BK1942" i="1"/>
  <c r="BL1942" i="1" s="1"/>
  <c r="BS1942" i="1"/>
  <c r="BR1942" i="1" s="1"/>
  <c r="BK1943" i="1"/>
  <c r="BL1943" i="1" s="1"/>
  <c r="BS1943" i="1"/>
  <c r="BR1943" i="1" s="1"/>
  <c r="BK1944" i="1"/>
  <c r="BL1944" i="1"/>
  <c r="BS1944" i="1"/>
  <c r="BR1944" i="1" s="1"/>
  <c r="BK1945" i="1"/>
  <c r="BL1945" i="1"/>
  <c r="BS1945" i="1"/>
  <c r="BR1945" i="1" s="1"/>
  <c r="BK1946" i="1"/>
  <c r="BL1946" i="1"/>
  <c r="BS1946" i="1"/>
  <c r="BR1946" i="1" s="1"/>
  <c r="BK1947" i="1"/>
  <c r="BL1947" i="1"/>
  <c r="BS1947" i="1"/>
  <c r="BR1947" i="1" s="1"/>
  <c r="BK1948" i="1"/>
  <c r="BL1948" i="1"/>
  <c r="BS1948" i="1"/>
  <c r="BR1948" i="1" s="1"/>
  <c r="BK1949" i="1"/>
  <c r="BL1949" i="1" s="1"/>
  <c r="BS1949" i="1"/>
  <c r="BR1949" i="1" s="1"/>
  <c r="BK1950" i="1"/>
  <c r="BL1950" i="1" s="1"/>
  <c r="BS1950" i="1"/>
  <c r="BR1950" i="1" s="1"/>
  <c r="BK1951" i="1"/>
  <c r="BL1951" i="1" s="1"/>
  <c r="BS1951" i="1"/>
  <c r="BR1951" i="1" s="1"/>
  <c r="BK1952" i="1"/>
  <c r="BL1952" i="1" s="1"/>
  <c r="BS1952" i="1"/>
  <c r="BR1952" i="1" s="1"/>
  <c r="BK1953" i="1"/>
  <c r="BL1953" i="1" s="1"/>
  <c r="BS1953" i="1"/>
  <c r="BR1953" i="1" s="1"/>
  <c r="BK1954" i="1"/>
  <c r="BL1954" i="1" s="1"/>
  <c r="BS1954" i="1"/>
  <c r="BR1954" i="1" s="1"/>
  <c r="BK1955" i="1"/>
  <c r="BL1955" i="1" s="1"/>
  <c r="BS1955" i="1"/>
  <c r="BR1955" i="1" s="1"/>
  <c r="BK1956" i="1"/>
  <c r="BL1956" i="1" s="1"/>
  <c r="BS1956" i="1"/>
  <c r="BR1956" i="1" s="1"/>
  <c r="BK1957" i="1"/>
  <c r="BL1957" i="1"/>
  <c r="BS1957" i="1"/>
  <c r="BR1957" i="1" s="1"/>
  <c r="BK1958" i="1"/>
  <c r="BL1958" i="1" s="1"/>
  <c r="BS1958" i="1"/>
  <c r="BR1958" i="1" s="1"/>
  <c r="BK1959" i="1"/>
  <c r="BL1959" i="1" s="1"/>
  <c r="BS1959" i="1"/>
  <c r="BR1959" i="1" s="1"/>
  <c r="BK1960" i="1"/>
  <c r="BL1960" i="1" s="1"/>
  <c r="BS1960" i="1"/>
  <c r="BR1960" i="1" s="1"/>
  <c r="BK1961" i="1"/>
  <c r="BL1961" i="1" s="1"/>
  <c r="BS1961" i="1"/>
  <c r="BR1961" i="1" s="1"/>
  <c r="BK1962" i="1"/>
  <c r="BL1962" i="1" s="1"/>
  <c r="BS1962" i="1"/>
  <c r="BR1962" i="1" s="1"/>
  <c r="BK1963" i="1"/>
  <c r="BL1963" i="1" s="1"/>
  <c r="BS1963" i="1"/>
  <c r="BR1963" i="1" s="1"/>
  <c r="BK1964" i="1"/>
  <c r="BL1964" i="1" s="1"/>
  <c r="BS1964" i="1"/>
  <c r="BR1964" i="1" s="1"/>
  <c r="BK1965" i="1"/>
  <c r="BL1965" i="1" s="1"/>
  <c r="BS1965" i="1"/>
  <c r="BR1965" i="1" s="1"/>
  <c r="BK1966" i="1"/>
  <c r="BL1966" i="1" s="1"/>
  <c r="BS1966" i="1"/>
  <c r="BR1966" i="1" s="1"/>
  <c r="BK1967" i="1"/>
  <c r="BL1967" i="1" s="1"/>
  <c r="BS1967" i="1"/>
  <c r="BR1967" i="1" s="1"/>
  <c r="BK1968" i="1"/>
  <c r="BL1968" i="1"/>
  <c r="BS1968" i="1"/>
  <c r="BR1968" i="1" s="1"/>
  <c r="BK1969" i="1"/>
  <c r="BL1969" i="1" s="1"/>
  <c r="BS1969" i="1"/>
  <c r="BR1969" i="1" s="1"/>
  <c r="BK1970" i="1"/>
  <c r="BL1970" i="1" s="1"/>
  <c r="BS1970" i="1"/>
  <c r="BR1970" i="1" s="1"/>
  <c r="BK1971" i="1"/>
  <c r="BL1971" i="1" s="1"/>
  <c r="BS1971" i="1"/>
  <c r="BR1971" i="1" s="1"/>
  <c r="BK1972" i="1"/>
  <c r="BL1972" i="1" s="1"/>
  <c r="BS1972" i="1"/>
  <c r="BR1972" i="1" s="1"/>
  <c r="BK1973" i="1"/>
  <c r="BL1973" i="1" s="1"/>
  <c r="BS1973" i="1"/>
  <c r="BR1973" i="1" s="1"/>
  <c r="BK1974" i="1"/>
  <c r="BL1974" i="1" s="1"/>
  <c r="BS1974" i="1"/>
  <c r="BR1974" i="1" s="1"/>
  <c r="BK1975" i="1"/>
  <c r="BL1975" i="1" s="1"/>
  <c r="BS1975" i="1"/>
  <c r="BR1975" i="1" s="1"/>
  <c r="BK1976" i="1"/>
  <c r="BL1976" i="1"/>
  <c r="BS1976" i="1"/>
  <c r="BR1976" i="1" s="1"/>
  <c r="BK1977" i="1"/>
  <c r="BL1977" i="1"/>
  <c r="BS1977" i="1"/>
  <c r="BR1977" i="1" s="1"/>
  <c r="BK1978" i="1"/>
  <c r="BL1978" i="1"/>
  <c r="BS1978" i="1"/>
  <c r="BR1978" i="1" s="1"/>
  <c r="BK1979" i="1"/>
  <c r="BL1979" i="1"/>
  <c r="BS1979" i="1"/>
  <c r="BR1979" i="1" s="1"/>
  <c r="BK1980" i="1"/>
  <c r="BL1980" i="1"/>
  <c r="BS1980" i="1"/>
  <c r="BR1980" i="1" s="1"/>
  <c r="BK1981" i="1"/>
  <c r="BL1981" i="1"/>
  <c r="BS1981" i="1"/>
  <c r="BR1981" i="1" s="1"/>
  <c r="BK1982" i="1"/>
  <c r="BL1982" i="1"/>
  <c r="BS1982" i="1"/>
  <c r="BR1982" i="1" s="1"/>
  <c r="BK1983" i="1"/>
  <c r="BL1983" i="1" s="1"/>
  <c r="BS1983" i="1"/>
  <c r="BR1983" i="1" s="1"/>
  <c r="BK1984" i="1"/>
  <c r="BL1984" i="1" s="1"/>
  <c r="BS1984" i="1"/>
  <c r="BR1984" i="1" s="1"/>
  <c r="BK1985" i="1"/>
  <c r="BL1985" i="1" s="1"/>
  <c r="BS1985" i="1"/>
  <c r="BR1985" i="1" s="1"/>
  <c r="BK1986" i="1"/>
  <c r="BL1986" i="1" s="1"/>
  <c r="BS1986" i="1"/>
  <c r="BR1986" i="1" s="1"/>
  <c r="BK1987" i="1"/>
  <c r="BL1987" i="1" s="1"/>
  <c r="BS1987" i="1"/>
  <c r="BR1987" i="1" s="1"/>
  <c r="BK1988" i="1"/>
  <c r="BL1988" i="1" s="1"/>
  <c r="BS1988" i="1"/>
  <c r="BR1988" i="1" s="1"/>
  <c r="BK1989" i="1"/>
  <c r="BL1989" i="1"/>
  <c r="BS1989" i="1"/>
  <c r="BR1989" i="1" s="1"/>
  <c r="BK1990" i="1"/>
  <c r="BL1990" i="1"/>
  <c r="BS1990" i="1"/>
  <c r="BR1990" i="1" s="1"/>
  <c r="BK1991" i="1"/>
  <c r="BL1991" i="1" s="1"/>
  <c r="BS1991" i="1"/>
  <c r="BR1991" i="1" s="1"/>
  <c r="BK1992" i="1"/>
  <c r="BL1992" i="1" s="1"/>
  <c r="BS1992" i="1"/>
  <c r="BR1992" i="1" s="1"/>
  <c r="BK1993" i="1"/>
  <c r="BL1993" i="1" s="1"/>
  <c r="BS1993" i="1"/>
  <c r="BR1993" i="1" s="1"/>
  <c r="BK1994" i="1"/>
  <c r="BL1994" i="1" s="1"/>
  <c r="BS1994" i="1"/>
  <c r="BR1994" i="1" s="1"/>
  <c r="BK1995" i="1"/>
  <c r="BL1995" i="1"/>
  <c r="BS1995" i="1"/>
  <c r="BR1995" i="1" s="1"/>
  <c r="BK1996" i="1"/>
  <c r="BL1996" i="1"/>
  <c r="BS1996" i="1"/>
  <c r="BR1996" i="1" s="1"/>
  <c r="BK1997" i="1"/>
  <c r="BL1997" i="1" s="1"/>
  <c r="BS1997" i="1"/>
  <c r="BR1997" i="1" s="1"/>
  <c r="BK1998" i="1"/>
  <c r="BL1998" i="1" s="1"/>
  <c r="BS1998" i="1"/>
  <c r="BR1998" i="1" s="1"/>
  <c r="BK1999" i="1"/>
  <c r="BL1999" i="1" s="1"/>
  <c r="BS1999" i="1"/>
  <c r="BR1999" i="1" s="1"/>
  <c r="BK2000" i="1"/>
  <c r="BL2000" i="1" s="1"/>
  <c r="BS2000" i="1"/>
  <c r="BR2000" i="1" s="1"/>
  <c r="BK2001" i="1"/>
  <c r="BL2001" i="1" s="1"/>
  <c r="BS2001" i="1"/>
  <c r="BR2001" i="1" s="1"/>
  <c r="BK2002" i="1"/>
  <c r="BL2002" i="1" s="1"/>
  <c r="BS2002" i="1"/>
  <c r="BR2002" i="1" s="1"/>
  <c r="BK2003" i="1"/>
  <c r="BL2003" i="1" s="1"/>
  <c r="BS2003" i="1"/>
  <c r="BR2003" i="1" s="1"/>
  <c r="BK2004" i="1"/>
  <c r="BL2004" i="1"/>
  <c r="BS2004" i="1"/>
  <c r="BR2004" i="1" s="1"/>
  <c r="BK2005" i="1"/>
  <c r="BL2005" i="1" s="1"/>
  <c r="BS2005" i="1"/>
  <c r="BR2005" i="1" s="1"/>
  <c r="BK2006" i="1"/>
  <c r="BL2006" i="1" s="1"/>
  <c r="BS2006" i="1"/>
  <c r="BR2006" i="1" s="1"/>
  <c r="BK2007" i="1"/>
  <c r="BL2007" i="1" s="1"/>
  <c r="BS2007" i="1"/>
  <c r="BR2007" i="1" s="1"/>
  <c r="BK2008" i="1"/>
  <c r="BL2008" i="1" s="1"/>
  <c r="BS2008" i="1"/>
  <c r="BR2008" i="1" s="1"/>
  <c r="BK2009" i="1"/>
  <c r="BL2009" i="1" s="1"/>
  <c r="BS2009" i="1"/>
  <c r="BR2009" i="1" s="1"/>
  <c r="BK2010" i="1"/>
  <c r="BL2010" i="1" s="1"/>
  <c r="BS2010" i="1"/>
  <c r="BR2010" i="1" s="1"/>
  <c r="BK2011" i="1"/>
  <c r="BL2011" i="1"/>
  <c r="BS2011" i="1"/>
  <c r="BR2011" i="1" s="1"/>
  <c r="BK2012" i="1"/>
  <c r="BL2012" i="1"/>
  <c r="BS2012" i="1"/>
  <c r="BR2012" i="1" s="1"/>
  <c r="BK2013" i="1"/>
  <c r="BL2013" i="1"/>
  <c r="BS2013" i="1"/>
  <c r="BR2013" i="1" s="1"/>
  <c r="BK2014" i="1"/>
  <c r="BL2014" i="1" s="1"/>
  <c r="BS2014" i="1"/>
  <c r="BR2014" i="1" s="1"/>
  <c r="BK2015" i="1"/>
  <c r="BL2015" i="1" s="1"/>
  <c r="BS2015" i="1"/>
  <c r="BR2015" i="1" s="1"/>
  <c r="BK2016" i="1"/>
  <c r="BL2016" i="1"/>
  <c r="BS2016" i="1"/>
  <c r="BR2016" i="1" s="1"/>
  <c r="BK2017" i="1"/>
  <c r="BL2017" i="1" s="1"/>
  <c r="BS2017" i="1"/>
  <c r="BR2017" i="1" s="1"/>
  <c r="BK2018" i="1"/>
  <c r="BL2018" i="1" s="1"/>
  <c r="BS2018" i="1"/>
  <c r="BR2018" i="1" s="1"/>
  <c r="BK2019" i="1"/>
  <c r="BL2019" i="1"/>
  <c r="BS2019" i="1"/>
  <c r="BR2019" i="1" s="1"/>
  <c r="BK2020" i="1"/>
  <c r="BL2020" i="1"/>
  <c r="BS2020" i="1"/>
  <c r="BR2020" i="1" s="1"/>
  <c r="BK2021" i="1"/>
  <c r="BL2021" i="1"/>
  <c r="BS2021" i="1"/>
  <c r="BR2021" i="1" s="1"/>
  <c r="BK2022" i="1"/>
  <c r="BL2022" i="1"/>
  <c r="BS2022" i="1"/>
  <c r="BR2022" i="1" s="1"/>
  <c r="BK2023" i="1"/>
  <c r="BL2023" i="1"/>
  <c r="BS2023" i="1"/>
  <c r="BR2023" i="1" s="1"/>
  <c r="BK2024" i="1"/>
  <c r="BL2024" i="1"/>
  <c r="BS2024" i="1"/>
  <c r="BR2024" i="1" s="1"/>
  <c r="BK2025" i="1"/>
  <c r="BL2025" i="1" s="1"/>
  <c r="BS2025" i="1"/>
  <c r="BR2025" i="1" s="1"/>
  <c r="BK2026" i="1"/>
  <c r="BL2026" i="1" s="1"/>
  <c r="BS2026" i="1"/>
  <c r="BR2026" i="1" s="1"/>
  <c r="BK2027" i="1"/>
  <c r="BL2027" i="1" s="1"/>
  <c r="BS2027" i="1"/>
  <c r="BR2027" i="1" s="1"/>
  <c r="BK2028" i="1"/>
  <c r="BL2028" i="1" s="1"/>
  <c r="BS2028" i="1"/>
  <c r="BR2028" i="1" s="1"/>
  <c r="BK2029" i="1"/>
  <c r="BL2029" i="1"/>
  <c r="BS2029" i="1"/>
  <c r="BR2029" i="1" s="1"/>
  <c r="BK2030" i="1"/>
  <c r="BL2030" i="1" s="1"/>
  <c r="BS2030" i="1"/>
  <c r="BR2030" i="1" s="1"/>
  <c r="BK2031" i="1"/>
  <c r="BL2031" i="1" s="1"/>
  <c r="BS2031" i="1"/>
  <c r="BR2031" i="1" s="1"/>
  <c r="BK2032" i="1"/>
  <c r="BL2032" i="1" s="1"/>
  <c r="BS2032" i="1"/>
  <c r="BR2032" i="1" s="1"/>
  <c r="BK2033" i="1"/>
  <c r="BL2033" i="1"/>
  <c r="BS2033" i="1"/>
  <c r="BR2033" i="1" s="1"/>
  <c r="BK2034" i="1"/>
  <c r="BL2034" i="1" s="1"/>
  <c r="BS2034" i="1"/>
  <c r="BR2034" i="1" s="1"/>
  <c r="BK2035" i="1"/>
  <c r="BL2035" i="1" s="1"/>
  <c r="BS2035" i="1"/>
  <c r="BR2035" i="1" s="1"/>
  <c r="BK2036" i="1"/>
  <c r="BL2036" i="1" s="1"/>
  <c r="BS2036" i="1"/>
  <c r="BR2036" i="1" s="1"/>
  <c r="BK2037" i="1"/>
  <c r="BL2037" i="1" s="1"/>
  <c r="BS2037" i="1"/>
  <c r="BR2037" i="1" s="1"/>
  <c r="BK2038" i="1"/>
  <c r="BL2038" i="1" s="1"/>
  <c r="BS2038" i="1"/>
  <c r="BR2038" i="1" s="1"/>
  <c r="BK2039" i="1"/>
  <c r="BL2039" i="1" s="1"/>
  <c r="BS2039" i="1"/>
  <c r="BR2039" i="1" s="1"/>
  <c r="BK2040" i="1"/>
  <c r="BL2040" i="1" s="1"/>
  <c r="BS2040" i="1"/>
  <c r="BR2040" i="1" s="1"/>
  <c r="BK2041" i="1"/>
  <c r="BL2041" i="1"/>
  <c r="BS2041" i="1"/>
  <c r="BR2041" i="1" s="1"/>
  <c r="BK2042" i="1"/>
  <c r="BL2042" i="1"/>
  <c r="BS2042" i="1"/>
  <c r="BR2042" i="1" s="1"/>
  <c r="BK2043" i="1"/>
  <c r="BL2043" i="1" s="1"/>
  <c r="BS2043" i="1"/>
  <c r="BR2043" i="1" s="1"/>
  <c r="BK2044" i="1"/>
  <c r="BL2044" i="1" s="1"/>
  <c r="BS2044" i="1"/>
  <c r="BR2044" i="1" s="1"/>
  <c r="BK2045" i="1"/>
  <c r="BL2045" i="1" s="1"/>
  <c r="BS2045" i="1"/>
  <c r="BR2045" i="1" s="1"/>
  <c r="BK2046" i="1"/>
  <c r="BL2046" i="1" s="1"/>
  <c r="BS2046" i="1"/>
  <c r="BR2046" i="1" s="1"/>
  <c r="BK2047" i="1"/>
  <c r="BL2047" i="1"/>
  <c r="BS2047" i="1"/>
  <c r="BR2047" i="1" s="1"/>
  <c r="BK2048" i="1"/>
  <c r="BL2048" i="1"/>
  <c r="BS2048" i="1"/>
  <c r="BR2048" i="1" s="1"/>
  <c r="BK2049" i="1"/>
  <c r="BL2049" i="1" s="1"/>
  <c r="BS2049" i="1"/>
  <c r="BR2049" i="1" s="1"/>
  <c r="BK2050" i="1"/>
  <c r="BL2050" i="1" s="1"/>
  <c r="BS2050" i="1"/>
  <c r="BR2050" i="1" s="1"/>
  <c r="BK2051" i="1"/>
  <c r="BL2051" i="1" s="1"/>
  <c r="BS2051" i="1"/>
  <c r="BR2051" i="1" s="1"/>
  <c r="BK2052" i="1"/>
  <c r="BL2052" i="1" s="1"/>
  <c r="BS2052" i="1"/>
  <c r="BR2052" i="1" s="1"/>
  <c r="BK2053" i="1"/>
  <c r="BL2053" i="1" s="1"/>
  <c r="BS2053" i="1"/>
  <c r="BR2053" i="1" s="1"/>
  <c r="BK2054" i="1"/>
  <c r="BL2054" i="1" s="1"/>
  <c r="BS2054" i="1"/>
  <c r="BR2054" i="1" s="1"/>
  <c r="BK2055" i="1"/>
  <c r="BL2055" i="1" s="1"/>
  <c r="BS2055" i="1"/>
  <c r="BR2055" i="1" s="1"/>
  <c r="BK2056" i="1"/>
  <c r="BL2056" i="1" s="1"/>
  <c r="BS2056" i="1"/>
  <c r="BR2056" i="1" s="1"/>
  <c r="BK2057" i="1"/>
  <c r="BL2057" i="1" s="1"/>
  <c r="BS2057" i="1"/>
  <c r="BR2057" i="1" s="1"/>
  <c r="BK2058" i="1"/>
  <c r="BL2058" i="1"/>
  <c r="BS2058" i="1"/>
  <c r="BR2058" i="1" s="1"/>
  <c r="BK2059" i="1"/>
  <c r="BL2059" i="1" s="1"/>
  <c r="BS2059" i="1"/>
  <c r="BR2059" i="1" s="1"/>
  <c r="BK2060" i="1"/>
  <c r="BL2060" i="1" s="1"/>
  <c r="BS2060" i="1"/>
  <c r="BR2060" i="1" s="1"/>
  <c r="BK2061" i="1"/>
  <c r="BL2061" i="1" s="1"/>
  <c r="BS2061" i="1"/>
  <c r="BR2061" i="1" s="1"/>
  <c r="BK2062" i="1"/>
  <c r="BL2062" i="1" s="1"/>
  <c r="BS2062" i="1"/>
  <c r="BR2062" i="1" s="1"/>
  <c r="BK2063" i="1"/>
  <c r="BL2063" i="1" s="1"/>
  <c r="BS2063" i="1"/>
  <c r="BR2063" i="1" s="1"/>
  <c r="BK2064" i="1"/>
  <c r="BL2064" i="1" s="1"/>
  <c r="BS2064" i="1"/>
  <c r="BR2064" i="1" s="1"/>
  <c r="BK2065" i="1"/>
  <c r="BL2065" i="1" s="1"/>
  <c r="BS2065" i="1"/>
  <c r="BR2065" i="1" s="1"/>
  <c r="BK2066" i="1"/>
  <c r="BL2066" i="1" s="1"/>
  <c r="BS2066" i="1"/>
  <c r="BR2066" i="1" s="1"/>
  <c r="BK2067" i="1"/>
  <c r="BL2067" i="1" s="1"/>
  <c r="BS2067" i="1"/>
  <c r="BR2067" i="1" s="1"/>
  <c r="BK2068" i="1"/>
  <c r="BL2068" i="1" s="1"/>
  <c r="BS2068" i="1"/>
  <c r="BR2068" i="1" s="1"/>
  <c r="BK2069" i="1"/>
  <c r="BL2069" i="1"/>
  <c r="BS2069" i="1"/>
  <c r="BR2069" i="1" s="1"/>
  <c r="BK2070" i="1"/>
  <c r="BL2070" i="1"/>
  <c r="BS2070" i="1"/>
  <c r="BR2070" i="1" s="1"/>
  <c r="BK2071" i="1"/>
  <c r="BL2071" i="1"/>
  <c r="BS2071" i="1"/>
  <c r="BR2071" i="1" s="1"/>
  <c r="BK2072" i="1"/>
  <c r="BL2072" i="1"/>
  <c r="BS2072" i="1"/>
  <c r="BR2072" i="1" s="1"/>
  <c r="BK2073" i="1"/>
  <c r="BL2073" i="1"/>
  <c r="BS2073" i="1"/>
  <c r="BR2073" i="1" s="1"/>
  <c r="BK2074" i="1"/>
  <c r="BL2074" i="1" s="1"/>
  <c r="BS2074" i="1"/>
  <c r="BR2074" i="1" s="1"/>
  <c r="BK2075" i="1"/>
  <c r="BL2075" i="1" s="1"/>
  <c r="BS2075" i="1"/>
  <c r="BR2075" i="1" s="1"/>
  <c r="BK2076" i="1"/>
  <c r="BL2076" i="1"/>
  <c r="BS2076" i="1"/>
  <c r="BR2076" i="1" s="1"/>
  <c r="BK2077" i="1"/>
  <c r="BL2077" i="1"/>
  <c r="BS2077" i="1"/>
  <c r="BR2077" i="1" s="1"/>
  <c r="BK2078" i="1"/>
  <c r="BL2078" i="1"/>
  <c r="BS2078" i="1"/>
  <c r="BR2078" i="1" s="1"/>
  <c r="BK2079" i="1"/>
  <c r="BL2079" i="1" s="1"/>
  <c r="BS2079" i="1"/>
  <c r="BR2079" i="1" s="1"/>
  <c r="BK2080" i="1"/>
  <c r="BL2080" i="1" s="1"/>
  <c r="BS2080" i="1"/>
  <c r="BR2080" i="1" s="1"/>
  <c r="BK2081" i="1"/>
  <c r="BL2081" i="1" s="1"/>
  <c r="BS2081" i="1"/>
  <c r="BR2081" i="1" s="1"/>
  <c r="BK2082" i="1"/>
  <c r="BL2082" i="1" s="1"/>
  <c r="BS2082" i="1"/>
  <c r="BR2082" i="1" s="1"/>
  <c r="BK2083" i="1"/>
  <c r="BL2083" i="1" s="1"/>
  <c r="BS2083" i="1"/>
  <c r="BR2083" i="1" s="1"/>
  <c r="BK2084" i="1"/>
  <c r="BL2084" i="1" s="1"/>
  <c r="BS2084" i="1"/>
  <c r="BR2084" i="1" s="1"/>
  <c r="BK2085" i="1"/>
  <c r="BL2085" i="1" s="1"/>
  <c r="BS2085" i="1"/>
  <c r="BR2085" i="1" s="1"/>
  <c r="BK2086" i="1"/>
  <c r="BL2086" i="1" s="1"/>
  <c r="BS2086" i="1"/>
  <c r="BR2086" i="1" s="1"/>
  <c r="BK2087" i="1"/>
  <c r="BL2087" i="1" s="1"/>
  <c r="BS2087" i="1"/>
  <c r="BR2087" i="1" s="1"/>
  <c r="BK2088" i="1"/>
  <c r="BL2088" i="1" s="1"/>
  <c r="BS2088" i="1"/>
  <c r="BR2088" i="1" s="1"/>
  <c r="BK2089" i="1"/>
  <c r="BL2089" i="1" s="1"/>
  <c r="BS2089" i="1"/>
  <c r="BR2089" i="1" s="1"/>
  <c r="BK2090" i="1"/>
  <c r="BL2090" i="1" s="1"/>
  <c r="BS2090" i="1"/>
  <c r="BR2090" i="1" s="1"/>
  <c r="BK2091" i="1"/>
  <c r="BL2091" i="1"/>
  <c r="BS2091" i="1"/>
  <c r="BR2091" i="1" s="1"/>
  <c r="BK2092" i="1"/>
  <c r="BL2092" i="1"/>
  <c r="BS2092" i="1"/>
  <c r="BR2092" i="1" s="1"/>
  <c r="BK2093" i="1"/>
  <c r="BL2093" i="1"/>
  <c r="BS2093" i="1"/>
  <c r="BR2093" i="1" s="1"/>
  <c r="BK2094" i="1"/>
  <c r="BL2094" i="1"/>
  <c r="BS2094" i="1"/>
  <c r="BR2094" i="1" s="1"/>
  <c r="BK2095" i="1"/>
  <c r="BL2095" i="1"/>
  <c r="BS2095" i="1"/>
  <c r="BR2095" i="1" s="1"/>
  <c r="BK2096" i="1"/>
  <c r="BL2096" i="1"/>
  <c r="BS2096" i="1"/>
  <c r="BR2096" i="1" s="1"/>
  <c r="BK2097" i="1"/>
  <c r="BL2097" i="1" s="1"/>
  <c r="BS2097" i="1"/>
  <c r="BR2097" i="1" s="1"/>
  <c r="BK2098" i="1"/>
  <c r="BL2098" i="1" s="1"/>
  <c r="BS2098" i="1"/>
  <c r="BR2098" i="1" s="1"/>
  <c r="BK2099" i="1"/>
  <c r="BL2099" i="1" s="1"/>
  <c r="BS2099" i="1"/>
  <c r="BR2099" i="1" s="1"/>
  <c r="BK2100" i="1"/>
  <c r="BL2100" i="1" s="1"/>
  <c r="BS2100" i="1"/>
  <c r="BR2100" i="1" s="1"/>
  <c r="BK2101" i="1"/>
  <c r="BL2101" i="1" s="1"/>
  <c r="BS2101" i="1"/>
  <c r="BR2101" i="1" s="1"/>
  <c r="BK2102" i="1"/>
  <c r="BL2102" i="1"/>
  <c r="BS2102" i="1"/>
  <c r="BR2102" i="1" s="1"/>
  <c r="BK2103" i="1"/>
  <c r="BL2103" i="1"/>
  <c r="BS2103" i="1"/>
  <c r="BR2103" i="1" s="1"/>
  <c r="BK2104" i="1"/>
  <c r="BL2104" i="1"/>
  <c r="BS2104" i="1"/>
  <c r="BR2104" i="1" s="1"/>
  <c r="BK2105" i="1"/>
  <c r="BL2105" i="1" s="1"/>
  <c r="BS2105" i="1"/>
  <c r="BR2105" i="1" s="1"/>
  <c r="BK2106" i="1"/>
  <c r="BL2106" i="1" s="1"/>
  <c r="BS2106" i="1"/>
  <c r="BR2106" i="1" s="1"/>
  <c r="BK2107" i="1"/>
  <c r="BL2107" i="1" s="1"/>
  <c r="BS2107" i="1"/>
  <c r="BR2107" i="1" s="1"/>
  <c r="BK2108" i="1"/>
  <c r="BL2108" i="1" s="1"/>
  <c r="BS2108" i="1"/>
  <c r="BR2108" i="1" s="1"/>
  <c r="BK2109" i="1"/>
  <c r="BL2109" i="1" s="1"/>
  <c r="BS2109" i="1"/>
  <c r="BR2109" i="1" s="1"/>
  <c r="BK2110" i="1"/>
  <c r="BL2110" i="1"/>
  <c r="BS2110" i="1"/>
  <c r="BR2110" i="1" s="1"/>
  <c r="BK2111" i="1"/>
  <c r="BL2111" i="1"/>
  <c r="BS2111" i="1"/>
  <c r="BR2111" i="1" s="1"/>
  <c r="BK2112" i="1"/>
  <c r="BL2112" i="1" s="1"/>
  <c r="BS2112" i="1"/>
  <c r="BR2112" i="1" s="1"/>
  <c r="BK2113" i="1"/>
  <c r="BL2113" i="1" s="1"/>
  <c r="BS2113" i="1"/>
  <c r="BR2113" i="1" s="1"/>
  <c r="BK2114" i="1"/>
  <c r="BL2114" i="1" s="1"/>
  <c r="BS2114" i="1"/>
  <c r="BR2114" i="1" s="1"/>
  <c r="BK2115" i="1"/>
  <c r="BL2115" i="1" s="1"/>
  <c r="BS2115" i="1"/>
  <c r="BR2115" i="1" s="1"/>
  <c r="BK2116" i="1"/>
  <c r="BL2116" i="1" s="1"/>
  <c r="BS2116" i="1"/>
  <c r="BR2116" i="1" s="1"/>
  <c r="BK2117" i="1"/>
  <c r="BL2117" i="1" s="1"/>
  <c r="BS2117" i="1"/>
  <c r="BR2117" i="1" s="1"/>
  <c r="BK2118" i="1"/>
  <c r="BL2118" i="1" s="1"/>
  <c r="BS2118" i="1"/>
  <c r="BR2118" i="1" s="1"/>
  <c r="BK2119" i="1"/>
  <c r="BL2119" i="1"/>
  <c r="BS2119" i="1"/>
  <c r="BR2119" i="1" s="1"/>
  <c r="BK2120" i="1"/>
  <c r="BL2120" i="1" s="1"/>
  <c r="BS2120" i="1"/>
  <c r="BR2120" i="1" s="1"/>
  <c r="BK2121" i="1"/>
  <c r="BL2121" i="1" s="1"/>
  <c r="BS2121" i="1"/>
  <c r="BR2121" i="1" s="1"/>
  <c r="BK2122" i="1"/>
  <c r="BL2122" i="1" s="1"/>
  <c r="BS2122" i="1"/>
  <c r="BR2122" i="1" s="1"/>
  <c r="BK2123" i="1"/>
  <c r="BL2123" i="1" s="1"/>
  <c r="BS2123" i="1"/>
  <c r="BR2123" i="1" s="1"/>
  <c r="BK2124" i="1"/>
  <c r="BL2124" i="1"/>
  <c r="BS2124" i="1"/>
  <c r="BR2124" i="1" s="1"/>
  <c r="BK2125" i="1"/>
  <c r="BL2125" i="1"/>
  <c r="BS2125" i="1"/>
  <c r="BR2125" i="1" s="1"/>
  <c r="BK2126" i="1"/>
  <c r="BL2126" i="1" s="1"/>
  <c r="BS2126" i="1"/>
  <c r="BR2126" i="1" s="1"/>
  <c r="BK2127" i="1"/>
  <c r="BL2127" i="1" s="1"/>
  <c r="BS2127" i="1"/>
  <c r="BR2127" i="1" s="1"/>
  <c r="BK2128" i="1"/>
  <c r="BL2128" i="1" s="1"/>
  <c r="BS2128" i="1"/>
  <c r="BR2128" i="1" s="1"/>
  <c r="BK2129" i="1"/>
  <c r="BL2129" i="1" s="1"/>
  <c r="BS2129" i="1"/>
  <c r="BR2129" i="1" s="1"/>
  <c r="BK2130" i="1"/>
  <c r="BL2130" i="1" s="1"/>
  <c r="BS2130" i="1"/>
  <c r="BR2130" i="1" s="1"/>
  <c r="BK2131" i="1"/>
  <c r="BL2131" i="1"/>
  <c r="BS2131" i="1"/>
  <c r="BR2131" i="1" s="1"/>
  <c r="BK2132" i="1"/>
  <c r="BL2132" i="1"/>
  <c r="BS2132" i="1"/>
  <c r="BR2132" i="1" s="1"/>
  <c r="BK2133" i="1"/>
  <c r="BL2133" i="1"/>
  <c r="BS2133" i="1"/>
  <c r="BR2133" i="1" s="1"/>
  <c r="BK2134" i="1"/>
  <c r="BL2134" i="1"/>
  <c r="BS2134" i="1"/>
  <c r="BR2134" i="1" s="1"/>
  <c r="BK2135" i="1"/>
  <c r="BL2135" i="1"/>
  <c r="BS2135" i="1"/>
  <c r="BR2135" i="1" s="1"/>
  <c r="BK2136" i="1"/>
  <c r="BL2136" i="1" s="1"/>
  <c r="BS2136" i="1"/>
  <c r="BR2136" i="1" s="1"/>
  <c r="BK2137" i="1"/>
  <c r="BL2137" i="1" s="1"/>
  <c r="BS2137" i="1"/>
  <c r="BR2137" i="1" s="1"/>
  <c r="BK2138" i="1"/>
  <c r="BL2138" i="1"/>
  <c r="BS2138" i="1"/>
  <c r="BR2138" i="1" s="1"/>
  <c r="BK2139" i="1"/>
  <c r="BL2139" i="1" s="1"/>
  <c r="BS2139" i="1"/>
  <c r="BR2139" i="1" s="1"/>
  <c r="BK2140" i="1"/>
  <c r="BL2140" i="1" s="1"/>
  <c r="BS2140" i="1"/>
  <c r="BR2140" i="1" s="1"/>
  <c r="BK2141" i="1"/>
  <c r="BL2141" i="1" s="1"/>
  <c r="BS2141" i="1"/>
  <c r="BR2141" i="1" s="1"/>
  <c r="BK2142" i="1"/>
  <c r="BL2142" i="1" s="1"/>
  <c r="BS2142" i="1"/>
  <c r="BR2142" i="1" s="1"/>
  <c r="BK2143" i="1"/>
  <c r="BL2143" i="1" s="1"/>
  <c r="BS2143" i="1"/>
  <c r="BR2143" i="1" s="1"/>
  <c r="BK2144" i="1"/>
  <c r="BL2144" i="1" s="1"/>
  <c r="BS2144" i="1"/>
  <c r="BR2144" i="1" s="1"/>
  <c r="BK2145" i="1"/>
  <c r="BL2145" i="1" s="1"/>
  <c r="BS2145" i="1"/>
  <c r="BR2145" i="1" s="1"/>
  <c r="BK2146" i="1"/>
  <c r="BL2146" i="1" s="1"/>
  <c r="BS2146" i="1"/>
  <c r="BR2146" i="1" s="1"/>
  <c r="BK2147" i="1"/>
  <c r="BL2147" i="1"/>
  <c r="BS2147" i="1"/>
  <c r="BR2147" i="1" s="1"/>
  <c r="BK2148" i="1"/>
  <c r="BL2148" i="1" s="1"/>
  <c r="BS2148" i="1"/>
  <c r="BR2148" i="1" s="1"/>
  <c r="BK2149" i="1"/>
  <c r="BL2149" i="1" s="1"/>
  <c r="BS2149" i="1"/>
  <c r="BR2149" i="1" s="1"/>
  <c r="BK2150" i="1"/>
  <c r="BL2150" i="1" s="1"/>
  <c r="BS2150" i="1"/>
  <c r="BR2150" i="1" s="1"/>
  <c r="BK2151" i="1"/>
  <c r="BL2151" i="1" s="1"/>
  <c r="BS2151" i="1"/>
  <c r="BR2151" i="1" s="1"/>
  <c r="BK2152" i="1"/>
  <c r="BL2152" i="1" s="1"/>
  <c r="BS2152" i="1"/>
  <c r="BR2152" i="1" s="1"/>
  <c r="BK2153" i="1"/>
  <c r="BL2153" i="1"/>
  <c r="BS2153" i="1"/>
  <c r="BR2153" i="1" s="1"/>
  <c r="BK2154" i="1"/>
  <c r="BL2154" i="1" s="1"/>
  <c r="BS2154" i="1"/>
  <c r="BR2154" i="1" s="1"/>
  <c r="BK2155" i="1"/>
  <c r="BL2155" i="1" s="1"/>
  <c r="BS2155" i="1"/>
  <c r="BR2155" i="1" s="1"/>
  <c r="BK2156" i="1"/>
  <c r="BL2156" i="1" s="1"/>
  <c r="BS2156" i="1"/>
  <c r="BR2156" i="1" s="1"/>
  <c r="BK2157" i="1"/>
  <c r="BL2157" i="1" s="1"/>
  <c r="BS2157" i="1"/>
  <c r="BR2157" i="1" s="1"/>
  <c r="BK2158" i="1"/>
  <c r="BL2158" i="1" s="1"/>
  <c r="BS2158" i="1"/>
  <c r="BR2158" i="1" s="1"/>
  <c r="BK2159" i="1"/>
  <c r="BL2159" i="1" s="1"/>
  <c r="BS2159" i="1"/>
  <c r="BR2159" i="1" s="1"/>
  <c r="BK2160" i="1"/>
  <c r="BL2160" i="1"/>
  <c r="BS2160" i="1"/>
  <c r="BR2160" i="1" s="1"/>
  <c r="BK2161" i="1"/>
  <c r="BL2161" i="1"/>
  <c r="BS2161" i="1"/>
  <c r="BR2161" i="1" s="1"/>
  <c r="BK2162" i="1"/>
  <c r="BL2162" i="1" s="1"/>
  <c r="BS2162" i="1"/>
  <c r="BR2162" i="1" s="1"/>
  <c r="BK2163" i="1"/>
  <c r="BL2163" i="1" s="1"/>
  <c r="BS2163" i="1"/>
  <c r="BR2163" i="1" s="1"/>
  <c r="BK2164" i="1"/>
  <c r="BL2164" i="1" s="1"/>
  <c r="BS2164" i="1"/>
  <c r="BR2164" i="1" s="1"/>
  <c r="BK2165" i="1"/>
  <c r="BL2165" i="1" s="1"/>
  <c r="BS2165" i="1"/>
  <c r="BR2165" i="1" s="1"/>
  <c r="BK2166" i="1"/>
  <c r="BL2166" i="1" s="1"/>
  <c r="BS2166" i="1"/>
  <c r="BR2166" i="1" s="1"/>
  <c r="BK2167" i="1"/>
  <c r="BL2167" i="1" s="1"/>
  <c r="BS2167" i="1"/>
  <c r="BR2167" i="1" s="1"/>
  <c r="BK2168" i="1"/>
  <c r="BL2168" i="1"/>
  <c r="BS2168" i="1"/>
  <c r="BR2168" i="1" s="1"/>
  <c r="BK2169" i="1"/>
  <c r="BL2169" i="1"/>
  <c r="BS2169" i="1"/>
  <c r="BR2169" i="1" s="1"/>
  <c r="BK2170" i="1"/>
  <c r="BL2170" i="1"/>
  <c r="BS2170" i="1"/>
  <c r="BR2170" i="1" s="1"/>
  <c r="BK2171" i="1"/>
  <c r="BL2171" i="1"/>
  <c r="BS2171" i="1"/>
  <c r="BR2171" i="1" s="1"/>
  <c r="BK2172" i="1"/>
  <c r="BL2172" i="1"/>
  <c r="BS2172" i="1"/>
  <c r="BR2172" i="1" s="1"/>
  <c r="BK2173" i="1"/>
  <c r="BL2173" i="1" s="1"/>
  <c r="BS2173" i="1"/>
  <c r="BR2173" i="1" s="1"/>
  <c r="BK2174" i="1"/>
  <c r="BL2174" i="1" s="1"/>
  <c r="BS2174" i="1"/>
  <c r="BR2174" i="1" s="1"/>
  <c r="BK2175" i="1"/>
  <c r="BL2175" i="1" s="1"/>
  <c r="BS2175" i="1"/>
  <c r="BR2175" i="1" s="1"/>
  <c r="BK2176" i="1"/>
  <c r="BL2176" i="1" s="1"/>
  <c r="BS2176" i="1"/>
  <c r="BR2176" i="1" s="1"/>
  <c r="BK2177" i="1"/>
  <c r="BL2177" i="1" s="1"/>
  <c r="BS2177" i="1"/>
  <c r="BR2177" i="1" s="1"/>
  <c r="BK2178" i="1"/>
  <c r="BL2178" i="1" s="1"/>
  <c r="BS2178" i="1"/>
  <c r="BR2178" i="1" s="1"/>
  <c r="BK2179" i="1"/>
  <c r="BL2179" i="1"/>
  <c r="BS2179" i="1"/>
  <c r="BR2179" i="1" s="1"/>
  <c r="BK2180" i="1"/>
  <c r="BL2180" i="1" s="1"/>
  <c r="BS2180" i="1"/>
  <c r="BR2180" i="1" s="1"/>
  <c r="BK2181" i="1"/>
  <c r="BL2181" i="1" s="1"/>
  <c r="BS2181" i="1"/>
  <c r="BR2181" i="1" s="1"/>
  <c r="BK2182" i="1"/>
  <c r="BL2182" i="1" s="1"/>
  <c r="BS2182" i="1"/>
  <c r="BR2182" i="1" s="1"/>
  <c r="BK2183" i="1"/>
  <c r="BL2183" i="1" s="1"/>
  <c r="BS2183" i="1"/>
  <c r="BR2183" i="1" s="1"/>
  <c r="BK2184" i="1"/>
  <c r="BL2184" i="1" s="1"/>
  <c r="BS2184" i="1"/>
  <c r="BR2184" i="1" s="1"/>
  <c r="BK2185" i="1"/>
  <c r="BL2185" i="1" s="1"/>
  <c r="BS2185" i="1"/>
  <c r="BR2185" i="1" s="1"/>
  <c r="BK2186" i="1"/>
  <c r="BL2186" i="1" s="1"/>
  <c r="BS2186" i="1"/>
  <c r="BR2186" i="1" s="1"/>
  <c r="BK2187" i="1"/>
  <c r="BL2187" i="1" s="1"/>
  <c r="BS2187" i="1"/>
  <c r="BR2187" i="1" s="1"/>
  <c r="BK2188" i="1"/>
  <c r="BL2188" i="1" s="1"/>
  <c r="BS2188" i="1"/>
  <c r="BR2188" i="1" s="1"/>
  <c r="BK2189" i="1"/>
  <c r="BL2189" i="1" s="1"/>
  <c r="BS2189" i="1"/>
  <c r="BR2189" i="1" s="1"/>
  <c r="BK2190" i="1"/>
  <c r="BL2190" i="1"/>
  <c r="BS2190" i="1"/>
  <c r="BR2190" i="1" s="1"/>
  <c r="BK2191" i="1"/>
  <c r="BL2191" i="1" s="1"/>
  <c r="BS2191" i="1"/>
  <c r="BR2191" i="1" s="1"/>
  <c r="BK2192" i="1"/>
  <c r="BL2192" i="1"/>
  <c r="BS2192" i="1"/>
  <c r="BR2192" i="1" s="1"/>
  <c r="BK2193" i="1"/>
  <c r="BL2193" i="1" s="1"/>
  <c r="BS2193" i="1"/>
  <c r="BR2193" i="1" s="1"/>
  <c r="BK2194" i="1"/>
  <c r="BL2194" i="1" s="1"/>
  <c r="BS2194" i="1"/>
  <c r="BR2194" i="1" s="1"/>
  <c r="BK2195" i="1"/>
  <c r="BL2195" i="1"/>
  <c r="BS2195" i="1"/>
  <c r="BR2195" i="1" s="1"/>
  <c r="BK2196" i="1"/>
  <c r="BL2196" i="1"/>
  <c r="BS2196" i="1"/>
  <c r="BR2196" i="1" s="1"/>
  <c r="BK2197" i="1"/>
  <c r="BL2197" i="1"/>
  <c r="BS2197" i="1"/>
  <c r="BR2197" i="1" s="1"/>
  <c r="BK2198" i="1"/>
  <c r="BL2198" i="1"/>
  <c r="BS2198" i="1"/>
  <c r="BR2198" i="1" s="1"/>
  <c r="BK2199" i="1"/>
  <c r="BL2199" i="1"/>
  <c r="BS2199" i="1"/>
  <c r="BR2199" i="1" s="1"/>
  <c r="BK2200" i="1"/>
  <c r="BL2200" i="1"/>
  <c r="BS2200" i="1"/>
  <c r="BR2200" i="1" s="1"/>
  <c r="BK2201" i="1"/>
  <c r="BL2201" i="1"/>
  <c r="BS2201" i="1"/>
  <c r="BR2201" i="1" s="1"/>
  <c r="BK2202" i="1"/>
  <c r="BL2202" i="1"/>
  <c r="BS2202" i="1"/>
  <c r="BR2202" i="1" s="1"/>
  <c r="BK2203" i="1"/>
  <c r="BL2203" i="1" s="1"/>
  <c r="BS2203" i="1"/>
  <c r="BR2203" i="1" s="1"/>
  <c r="BK2204" i="1"/>
  <c r="BL2204" i="1" s="1"/>
  <c r="BS2204" i="1"/>
  <c r="BR2204" i="1" s="1"/>
  <c r="BK2205" i="1"/>
  <c r="BL2205" i="1" s="1"/>
  <c r="BS2205" i="1"/>
  <c r="BR2205" i="1" s="1"/>
  <c r="BK2206" i="1"/>
  <c r="BL2206" i="1" s="1"/>
  <c r="BS2206" i="1"/>
  <c r="BR2206" i="1" s="1"/>
  <c r="BK2207" i="1"/>
  <c r="BL2207" i="1" s="1"/>
  <c r="BS2207" i="1"/>
  <c r="BR2207" i="1" s="1"/>
  <c r="BK2208" i="1"/>
  <c r="BL2208" i="1"/>
  <c r="BS2208" i="1"/>
  <c r="BR2208" i="1" s="1"/>
  <c r="BK2209" i="1"/>
  <c r="BL2209" i="1" s="1"/>
  <c r="BS2209" i="1"/>
  <c r="BR2209" i="1" s="1"/>
  <c r="BK2210" i="1"/>
  <c r="BL2210" i="1" s="1"/>
  <c r="BS2210" i="1"/>
  <c r="BR2210" i="1" s="1"/>
  <c r="BK2211" i="1"/>
  <c r="BL2211" i="1" s="1"/>
  <c r="BS2211" i="1"/>
  <c r="BR2211" i="1" s="1"/>
  <c r="BK2212" i="1"/>
  <c r="BL2212" i="1" s="1"/>
  <c r="BS2212" i="1"/>
  <c r="BR2212" i="1" s="1"/>
  <c r="BK2213" i="1"/>
  <c r="BL2213" i="1" s="1"/>
  <c r="BS2213" i="1"/>
  <c r="BR2213" i="1" s="1"/>
  <c r="BK2214" i="1"/>
  <c r="BL2214" i="1" s="1"/>
  <c r="BS2214" i="1"/>
  <c r="BR2214" i="1" s="1"/>
  <c r="BK2215" i="1"/>
  <c r="BL2215" i="1" s="1"/>
  <c r="BS2215" i="1"/>
  <c r="BR2215" i="1" s="1"/>
  <c r="BK2216" i="1"/>
  <c r="BL2216" i="1"/>
  <c r="BS2216" i="1"/>
  <c r="BR2216" i="1" s="1"/>
  <c r="BK2217" i="1"/>
  <c r="BL2217" i="1" s="1"/>
  <c r="BS2217" i="1"/>
  <c r="BR2217" i="1" s="1"/>
  <c r="BK2218" i="1"/>
  <c r="BL2218" i="1" s="1"/>
  <c r="BS2218" i="1"/>
  <c r="BR2218" i="1" s="1"/>
  <c r="BK2219" i="1"/>
  <c r="BL2219" i="1"/>
  <c r="BS2219" i="1"/>
  <c r="BR2219" i="1" s="1"/>
  <c r="BK2220" i="1"/>
  <c r="BL2220" i="1" s="1"/>
  <c r="BS2220" i="1"/>
  <c r="BR2220" i="1" s="1"/>
  <c r="BK2221" i="1"/>
  <c r="BL2221" i="1" s="1"/>
  <c r="BS2221" i="1"/>
  <c r="BR2221" i="1" s="1"/>
  <c r="BK2222" i="1"/>
  <c r="BL2222" i="1" s="1"/>
  <c r="BS2222" i="1"/>
  <c r="BR2222" i="1" s="1"/>
  <c r="BK2223" i="1"/>
  <c r="BL2223" i="1" s="1"/>
  <c r="BS2223" i="1"/>
  <c r="BR2223" i="1" s="1"/>
  <c r="BK2224" i="1"/>
  <c r="BL2224" i="1" s="1"/>
  <c r="BS2224" i="1"/>
  <c r="BR2224" i="1" s="1"/>
  <c r="BK2225" i="1"/>
  <c r="BL2225" i="1" s="1"/>
  <c r="BS2225" i="1"/>
  <c r="BR2225" i="1" s="1"/>
  <c r="BK2226" i="1"/>
  <c r="BL2226" i="1"/>
  <c r="BS2226" i="1"/>
  <c r="BR2226" i="1" s="1"/>
  <c r="BK2227" i="1"/>
  <c r="BL2227" i="1"/>
  <c r="BS2227" i="1"/>
  <c r="BR2227" i="1" s="1"/>
  <c r="BK2228" i="1"/>
  <c r="BL2228" i="1"/>
  <c r="BS2228" i="1"/>
  <c r="BR2228" i="1" s="1"/>
  <c r="BK2229" i="1"/>
  <c r="BL2229" i="1"/>
  <c r="BS2229" i="1"/>
  <c r="BR2229" i="1" s="1"/>
  <c r="BK2230" i="1"/>
  <c r="BL2230" i="1" s="1"/>
  <c r="BS2230" i="1"/>
  <c r="BR2230" i="1" s="1"/>
  <c r="BK2231" i="1"/>
  <c r="BL2231" i="1" s="1"/>
  <c r="BS2231" i="1"/>
  <c r="BR2231" i="1" s="1"/>
  <c r="BK2232" i="1"/>
  <c r="BL2232" i="1"/>
  <c r="BS2232" i="1"/>
  <c r="BR2232" i="1" s="1"/>
  <c r="BK2233" i="1"/>
  <c r="BL2233" i="1"/>
  <c r="BS2233" i="1"/>
  <c r="BR2233" i="1" s="1"/>
  <c r="BK2234" i="1"/>
  <c r="BL2234" i="1" s="1"/>
  <c r="BS2234" i="1"/>
  <c r="BR2234" i="1" s="1"/>
  <c r="BK2235" i="1"/>
  <c r="BL2235" i="1" s="1"/>
  <c r="BS2235" i="1"/>
  <c r="BR2235" i="1" s="1"/>
  <c r="BK2236" i="1"/>
  <c r="BL2236" i="1"/>
  <c r="BS2236" i="1"/>
  <c r="BR2236" i="1" s="1"/>
  <c r="BK2237" i="1"/>
  <c r="BL2237" i="1"/>
  <c r="BS2237" i="1"/>
  <c r="BR2237" i="1" s="1"/>
  <c r="BK2238" i="1"/>
  <c r="BL2238" i="1" s="1"/>
  <c r="BS2238" i="1"/>
  <c r="BR2238" i="1" s="1"/>
  <c r="BK2239" i="1"/>
  <c r="BL2239" i="1" s="1"/>
  <c r="BS2239" i="1"/>
  <c r="BR2239" i="1" s="1"/>
  <c r="BK2240" i="1"/>
  <c r="BL2240" i="1" s="1"/>
  <c r="BS2240" i="1"/>
  <c r="BR2240" i="1" s="1"/>
  <c r="BK2241" i="1"/>
  <c r="BL2241" i="1" s="1"/>
  <c r="BS2241" i="1"/>
  <c r="BR2241" i="1" s="1"/>
  <c r="BK2242" i="1"/>
  <c r="BL2242" i="1" s="1"/>
  <c r="BS2242" i="1"/>
  <c r="BR2242" i="1" s="1"/>
  <c r="BK2243" i="1"/>
  <c r="BL2243" i="1"/>
  <c r="BS2243" i="1"/>
  <c r="BR2243" i="1" s="1"/>
  <c r="BK2244" i="1"/>
  <c r="BL2244" i="1" s="1"/>
  <c r="BS2244" i="1"/>
  <c r="BR2244" i="1" s="1"/>
  <c r="BK2245" i="1"/>
  <c r="BL2245" i="1" s="1"/>
  <c r="BS2245" i="1"/>
  <c r="BR2245" i="1" s="1"/>
  <c r="BK2246" i="1"/>
  <c r="BL2246" i="1" s="1"/>
  <c r="BS2246" i="1"/>
  <c r="BR2246" i="1" s="1"/>
  <c r="BK2247" i="1"/>
  <c r="BL2247" i="1" s="1"/>
  <c r="BS2247" i="1"/>
  <c r="BR2247" i="1" s="1"/>
  <c r="BK2248" i="1"/>
  <c r="BL2248" i="1" s="1"/>
  <c r="BS2248" i="1"/>
  <c r="BR2248" i="1" s="1"/>
  <c r="BK2249" i="1"/>
  <c r="BL2249" i="1" s="1"/>
  <c r="BS2249" i="1"/>
  <c r="BR2249" i="1" s="1"/>
  <c r="BK2250" i="1"/>
  <c r="BL2250" i="1"/>
  <c r="BS2250" i="1"/>
  <c r="BR2250" i="1" s="1"/>
  <c r="BK2251" i="1"/>
  <c r="BL2251" i="1"/>
  <c r="BS2251" i="1"/>
  <c r="BR2251" i="1" s="1"/>
  <c r="BK2252" i="1"/>
  <c r="BL2252" i="1" s="1"/>
  <c r="BS2252" i="1"/>
  <c r="BR2252" i="1" s="1"/>
  <c r="BK2253" i="1"/>
  <c r="BL2253" i="1" s="1"/>
  <c r="BS2253" i="1"/>
  <c r="BR2253" i="1" s="1"/>
  <c r="BK2254" i="1"/>
  <c r="BL2254" i="1" s="1"/>
  <c r="BS2254" i="1"/>
  <c r="BR2254" i="1" s="1"/>
  <c r="BK2255" i="1"/>
  <c r="BL2255" i="1" s="1"/>
  <c r="BS2255" i="1"/>
  <c r="BR2255" i="1" s="1"/>
  <c r="BK2256" i="1"/>
  <c r="BL2256" i="1" s="1"/>
  <c r="BS2256" i="1"/>
  <c r="BR2256" i="1" s="1"/>
  <c r="BK2257" i="1"/>
  <c r="BL2257" i="1"/>
  <c r="BS2257" i="1"/>
  <c r="BR2257" i="1" s="1"/>
  <c r="BK2258" i="1"/>
  <c r="BL2258" i="1" s="1"/>
  <c r="BS2258" i="1"/>
  <c r="BR2258" i="1" s="1"/>
  <c r="BK2259" i="1"/>
  <c r="BL2259" i="1" s="1"/>
  <c r="BS2259" i="1"/>
  <c r="BR2259" i="1" s="1"/>
  <c r="BK2260" i="1"/>
  <c r="BL2260" i="1" s="1"/>
  <c r="BS2260" i="1"/>
  <c r="BR2260" i="1" s="1"/>
  <c r="BK2261" i="1"/>
  <c r="BL2261" i="1" s="1"/>
  <c r="BS2261" i="1"/>
  <c r="BR2261" i="1" s="1"/>
  <c r="BK2262" i="1"/>
  <c r="BL2262" i="1" s="1"/>
  <c r="BS2262" i="1"/>
  <c r="BR2262" i="1" s="1"/>
  <c r="BK2263" i="1"/>
  <c r="BL2263" i="1"/>
  <c r="BS2263" i="1"/>
  <c r="BR2263" i="1" s="1"/>
  <c r="BK2264" i="1"/>
  <c r="BL2264" i="1" s="1"/>
  <c r="BS2264" i="1"/>
  <c r="BR2264" i="1" s="1"/>
  <c r="BK2265" i="1"/>
  <c r="BL2265" i="1" s="1"/>
  <c r="BS2265" i="1"/>
  <c r="BR2265" i="1" s="1"/>
  <c r="BK2266" i="1"/>
  <c r="BL2266" i="1" s="1"/>
  <c r="BS2266" i="1"/>
  <c r="BR2266" i="1" s="1"/>
  <c r="BK2267" i="1"/>
  <c r="BL2267" i="1" s="1"/>
  <c r="BS2267" i="1"/>
  <c r="BR2267" i="1" s="1"/>
  <c r="BK2268" i="1"/>
  <c r="BL2268" i="1"/>
  <c r="BS2268" i="1"/>
  <c r="BR2268" i="1" s="1"/>
  <c r="BK2269" i="1"/>
  <c r="BL2269" i="1"/>
  <c r="BS2269" i="1"/>
  <c r="BR2269" i="1" s="1"/>
  <c r="BK2270" i="1"/>
  <c r="BL2270" i="1"/>
  <c r="BS2270" i="1"/>
  <c r="BR2270" i="1" s="1"/>
  <c r="BK2271" i="1"/>
  <c r="BL2271" i="1"/>
  <c r="BS2271" i="1"/>
  <c r="BR2271" i="1" s="1"/>
  <c r="BK2272" i="1"/>
  <c r="BL2272" i="1"/>
  <c r="BS2272" i="1"/>
  <c r="BR2272" i="1" s="1"/>
  <c r="BK2273" i="1"/>
  <c r="BL2273" i="1" s="1"/>
  <c r="BS2273" i="1"/>
  <c r="BR2273" i="1" s="1"/>
  <c r="BK2274" i="1"/>
  <c r="BL2274" i="1" s="1"/>
  <c r="BS2274" i="1"/>
  <c r="BR2274" i="1" s="1"/>
  <c r="BK2275" i="1"/>
  <c r="BL2275" i="1"/>
  <c r="BS2275" i="1"/>
  <c r="BR2275" i="1" s="1"/>
  <c r="BK2276" i="1"/>
  <c r="BL2276" i="1"/>
  <c r="BS2276" i="1"/>
  <c r="BR2276" i="1" s="1"/>
  <c r="BK2277" i="1"/>
  <c r="BL2277" i="1" s="1"/>
  <c r="BS2277" i="1"/>
  <c r="BR2277" i="1" s="1"/>
  <c r="BK2278" i="1"/>
  <c r="BL2278" i="1" s="1"/>
  <c r="BS2278" i="1"/>
  <c r="BR2278" i="1" s="1"/>
  <c r="BK2279" i="1"/>
  <c r="BL2279" i="1"/>
  <c r="BS2279" i="1"/>
  <c r="BR2279" i="1" s="1"/>
  <c r="BK2280" i="1"/>
  <c r="BL2280" i="1"/>
  <c r="BS2280" i="1"/>
  <c r="BR2280" i="1" s="1"/>
  <c r="BK2281" i="1"/>
  <c r="BL2281" i="1"/>
  <c r="BS2281" i="1"/>
  <c r="BR2281" i="1" s="1"/>
  <c r="BK2282" i="1"/>
  <c r="BL2282" i="1"/>
  <c r="BS2282" i="1"/>
  <c r="BR2282" i="1" s="1"/>
  <c r="BK2283" i="1"/>
  <c r="BL2283" i="1" s="1"/>
  <c r="BS2283" i="1"/>
  <c r="BR2283" i="1" s="1"/>
  <c r="BK2284" i="1"/>
  <c r="BL2284" i="1" s="1"/>
  <c r="BS2284" i="1"/>
  <c r="BR2284" i="1" s="1"/>
  <c r="BK2285" i="1"/>
  <c r="BL2285" i="1"/>
  <c r="BS2285" i="1"/>
  <c r="BR2285" i="1" s="1"/>
  <c r="BK2286" i="1"/>
  <c r="BL2286" i="1" s="1"/>
  <c r="BS2286" i="1"/>
  <c r="BR2286" i="1" s="1"/>
  <c r="BK2287" i="1"/>
  <c r="BL2287" i="1" s="1"/>
  <c r="BS2287" i="1"/>
  <c r="BR2287" i="1" s="1"/>
  <c r="BK2288" i="1"/>
  <c r="BL2288" i="1" s="1"/>
  <c r="BS2288" i="1"/>
  <c r="BR2288" i="1" s="1"/>
  <c r="BK2289" i="1"/>
  <c r="BL2289" i="1" s="1"/>
  <c r="BS2289" i="1"/>
  <c r="BR2289" i="1" s="1"/>
  <c r="BK2290" i="1"/>
  <c r="BL2290" i="1"/>
  <c r="BS2290" i="1"/>
  <c r="BR2290" i="1" s="1"/>
  <c r="BK2291" i="1"/>
  <c r="BL2291" i="1"/>
  <c r="BS2291" i="1"/>
  <c r="BR2291" i="1" s="1"/>
  <c r="BK2292" i="1"/>
  <c r="BL2292" i="1" s="1"/>
  <c r="BS2292" i="1"/>
  <c r="BR2292" i="1" s="1"/>
  <c r="BK2293" i="1"/>
  <c r="BL2293" i="1" s="1"/>
  <c r="BS2293" i="1"/>
  <c r="BR2293" i="1" s="1"/>
  <c r="BK2294" i="1"/>
  <c r="BL2294" i="1" s="1"/>
  <c r="BS2294" i="1"/>
  <c r="BR2294" i="1" s="1"/>
  <c r="BK2295" i="1"/>
  <c r="BL2295" i="1" s="1"/>
  <c r="BS2295" i="1"/>
  <c r="BR2295" i="1" s="1"/>
  <c r="BK2296" i="1"/>
  <c r="BL2296" i="1" s="1"/>
  <c r="BS2296" i="1"/>
  <c r="BR2296" i="1" s="1"/>
  <c r="BK2297" i="1"/>
  <c r="BL2297" i="1" s="1"/>
  <c r="BS2297" i="1"/>
  <c r="BR2297" i="1" s="1"/>
  <c r="BK2298" i="1"/>
  <c r="BL2298" i="1" s="1"/>
  <c r="BS2298" i="1"/>
  <c r="BR2298" i="1" s="1"/>
  <c r="BK2299" i="1"/>
  <c r="BL2299" i="1"/>
  <c r="BS2299" i="1"/>
  <c r="BR2299" i="1" s="1"/>
  <c r="BK2300" i="1"/>
  <c r="BL2300" i="1" s="1"/>
  <c r="BS2300" i="1"/>
  <c r="BR2300" i="1" s="1"/>
  <c r="BK2301" i="1"/>
  <c r="BL2301" i="1" s="1"/>
  <c r="BS2301" i="1"/>
  <c r="BR2301" i="1" s="1"/>
  <c r="BK2302" i="1"/>
  <c r="BL2302" i="1" s="1"/>
  <c r="BS2302" i="1"/>
  <c r="BR2302" i="1" s="1"/>
  <c r="BK2303" i="1"/>
  <c r="BL2303" i="1" s="1"/>
  <c r="BS2303" i="1"/>
  <c r="BR2303" i="1" s="1"/>
  <c r="BK2304" i="1"/>
  <c r="BL2304" i="1" s="1"/>
  <c r="BS2304" i="1"/>
  <c r="BR2304" i="1" s="1"/>
  <c r="BK2305" i="1"/>
  <c r="BL2305" i="1"/>
  <c r="BS2305" i="1"/>
  <c r="BR2305" i="1" s="1"/>
  <c r="BK2306" i="1"/>
  <c r="BL2306" i="1"/>
  <c r="BS2306" i="1"/>
  <c r="BR2306" i="1" s="1"/>
  <c r="BK2307" i="1"/>
  <c r="BL2307" i="1"/>
  <c r="BS2307" i="1"/>
  <c r="BR2307" i="1" s="1"/>
  <c r="BK2308" i="1"/>
  <c r="BL2308" i="1" s="1"/>
  <c r="BS2308" i="1"/>
  <c r="BR2308" i="1" s="1"/>
  <c r="BK2309" i="1"/>
  <c r="BL2309" i="1" s="1"/>
  <c r="BS2309" i="1"/>
  <c r="BR2309" i="1" s="1"/>
  <c r="BK2310" i="1"/>
  <c r="BL2310" i="1" s="1"/>
  <c r="BS2310" i="1"/>
  <c r="BR2310" i="1" s="1"/>
  <c r="BK2311" i="1"/>
  <c r="BL2311" i="1"/>
  <c r="BS2311" i="1"/>
  <c r="BR2311" i="1" s="1"/>
  <c r="BK2312" i="1"/>
  <c r="BL2312" i="1" s="1"/>
  <c r="BS2312" i="1"/>
  <c r="BR2312" i="1" s="1"/>
  <c r="BK2313" i="1"/>
  <c r="BL2313" i="1" s="1"/>
  <c r="BS2313" i="1"/>
  <c r="BR2313" i="1" s="1"/>
  <c r="BK2314" i="1"/>
  <c r="BL2314" i="1" s="1"/>
  <c r="BS2314" i="1"/>
  <c r="BR2314" i="1" s="1"/>
  <c r="BK2315" i="1"/>
  <c r="BL2315" i="1" s="1"/>
  <c r="BS2315" i="1"/>
  <c r="BR2315" i="1" s="1"/>
  <c r="BK2316" i="1"/>
  <c r="BL2316" i="1" s="1"/>
  <c r="BS2316" i="1"/>
  <c r="BR2316" i="1" s="1"/>
  <c r="BK2317" i="1"/>
  <c r="BL2317" i="1" s="1"/>
  <c r="BS2317" i="1"/>
  <c r="BR2317" i="1" s="1"/>
  <c r="BK2318" i="1"/>
  <c r="BL2318" i="1" s="1"/>
  <c r="BS2318" i="1"/>
  <c r="BR2318" i="1" s="1"/>
  <c r="BK2319" i="1"/>
  <c r="BL2319" i="1" s="1"/>
  <c r="BS2319" i="1"/>
  <c r="BR2319" i="1" s="1"/>
  <c r="BK2320" i="1"/>
  <c r="BL2320" i="1" s="1"/>
  <c r="BS2320" i="1"/>
  <c r="BR2320" i="1" s="1"/>
  <c r="BK2321" i="1"/>
  <c r="BL2321" i="1" s="1"/>
  <c r="BS2321" i="1"/>
  <c r="BR2321" i="1" s="1"/>
  <c r="BK2322" i="1"/>
  <c r="BL2322" i="1"/>
  <c r="BS2322" i="1"/>
  <c r="BR2322" i="1" s="1"/>
  <c r="BK2323" i="1"/>
  <c r="BL2323" i="1" s="1"/>
  <c r="BS2323" i="1"/>
  <c r="BR2323" i="1" s="1"/>
  <c r="BK2324" i="1"/>
  <c r="BL2324" i="1" s="1"/>
  <c r="BS2324" i="1"/>
  <c r="BR2324" i="1" s="1"/>
  <c r="BK2325" i="1"/>
  <c r="BL2325" i="1" s="1"/>
  <c r="BS2325" i="1"/>
  <c r="BR2325" i="1" s="1"/>
  <c r="BK2326" i="1"/>
  <c r="BL2326" i="1" s="1"/>
  <c r="BS2326" i="1"/>
  <c r="BR2326" i="1" s="1"/>
  <c r="BK2327" i="1"/>
  <c r="BL2327" i="1" s="1"/>
  <c r="BS2327" i="1"/>
  <c r="BR2327" i="1" s="1"/>
  <c r="BK2328" i="1"/>
  <c r="BL2328" i="1" s="1"/>
  <c r="BS2328" i="1"/>
  <c r="BR2328" i="1" s="1"/>
  <c r="BK2329" i="1"/>
  <c r="BL2329" i="1" s="1"/>
  <c r="BS2329" i="1"/>
  <c r="BR2329" i="1" s="1"/>
  <c r="BK2330" i="1"/>
  <c r="BL2330" i="1" s="1"/>
  <c r="BS2330" i="1"/>
  <c r="BR2330" i="1" s="1"/>
  <c r="BK2331" i="1"/>
  <c r="BL2331" i="1" s="1"/>
  <c r="BS2331" i="1"/>
  <c r="BR2331" i="1" s="1"/>
  <c r="BK2332" i="1"/>
  <c r="BL2332" i="1" s="1"/>
  <c r="BS2332" i="1"/>
  <c r="BR2332" i="1" s="1"/>
  <c r="BK2333" i="1"/>
  <c r="BL2333" i="1" s="1"/>
  <c r="BS2333" i="1"/>
  <c r="BR2333" i="1" s="1"/>
  <c r="BK2334" i="1"/>
  <c r="BL2334" i="1" s="1"/>
  <c r="BS2334" i="1"/>
  <c r="BR2334" i="1" s="1"/>
  <c r="BK2335" i="1"/>
  <c r="BL2335" i="1" s="1"/>
  <c r="BS2335" i="1"/>
  <c r="BR2335" i="1" s="1"/>
  <c r="BK2336" i="1"/>
  <c r="BL2336" i="1" s="1"/>
  <c r="BS2336" i="1"/>
  <c r="BR2336" i="1" s="1"/>
  <c r="BK2337" i="1"/>
  <c r="BL2337" i="1"/>
  <c r="BS2337" i="1"/>
  <c r="BR2337" i="1" s="1"/>
  <c r="BK2338" i="1"/>
  <c r="BL2338" i="1" s="1"/>
  <c r="BS2338" i="1"/>
  <c r="BR2338" i="1" s="1"/>
  <c r="BK2339" i="1"/>
  <c r="BL2339" i="1" s="1"/>
  <c r="BS2339" i="1"/>
  <c r="BR2339" i="1" s="1"/>
  <c r="BK2340" i="1"/>
  <c r="BL2340" i="1"/>
  <c r="BS2340" i="1"/>
  <c r="BR2340" i="1" s="1"/>
  <c r="BK2341" i="1"/>
  <c r="BL2341" i="1" s="1"/>
  <c r="BS2341" i="1"/>
  <c r="BR2341" i="1" s="1"/>
  <c r="BK2342" i="1"/>
  <c r="BL2342" i="1" s="1"/>
  <c r="BS2342" i="1"/>
  <c r="BR2342" i="1" s="1"/>
  <c r="BK2343" i="1"/>
  <c r="BL2343" i="1" s="1"/>
  <c r="BS2343" i="1"/>
  <c r="BR2343" i="1" s="1"/>
  <c r="BK2344" i="1"/>
  <c r="BL2344" i="1" s="1"/>
  <c r="BS2344" i="1"/>
  <c r="BR2344" i="1" s="1"/>
  <c r="BK2345" i="1"/>
  <c r="BL2345" i="1" s="1"/>
  <c r="BS2345" i="1"/>
  <c r="BR2345" i="1" s="1"/>
  <c r="BK2346" i="1"/>
  <c r="BL2346" i="1"/>
  <c r="BS2346" i="1"/>
  <c r="BR2346" i="1" s="1"/>
  <c r="BK2347" i="1"/>
  <c r="BL2347" i="1"/>
  <c r="BS2347" i="1"/>
  <c r="BR2347" i="1" s="1"/>
  <c r="BK2348" i="1"/>
  <c r="BL2348" i="1"/>
  <c r="BS2348" i="1"/>
  <c r="BR2348" i="1" s="1"/>
  <c r="BK2349" i="1"/>
  <c r="BL2349" i="1"/>
  <c r="BS2349" i="1"/>
  <c r="BR2349" i="1" s="1"/>
  <c r="BK2350" i="1"/>
  <c r="BL2350" i="1"/>
  <c r="BS2350" i="1"/>
  <c r="BR2350" i="1" s="1"/>
  <c r="BK2351" i="1"/>
  <c r="BL2351" i="1"/>
  <c r="BS2351" i="1"/>
  <c r="BR2351" i="1" s="1"/>
  <c r="BK2352" i="1"/>
  <c r="BL2352" i="1" s="1"/>
  <c r="BS2352" i="1"/>
  <c r="BR2352" i="1" s="1"/>
  <c r="BK2353" i="1"/>
  <c r="BL2353" i="1" s="1"/>
  <c r="BS2353" i="1"/>
  <c r="BR2353" i="1" s="1"/>
  <c r="BK2354" i="1"/>
  <c r="BL2354" i="1" s="1"/>
  <c r="BS2354" i="1"/>
  <c r="BR2354" i="1" s="1"/>
  <c r="BK2355" i="1"/>
  <c r="BL2355" i="1"/>
  <c r="BS2355" i="1"/>
  <c r="BR2355" i="1" s="1"/>
  <c r="BK2356" i="1"/>
  <c r="BL2356" i="1" s="1"/>
  <c r="BS2356" i="1"/>
  <c r="BR2356" i="1" s="1"/>
  <c r="BK2357" i="1"/>
  <c r="BL2357" i="1"/>
  <c r="BS2357" i="1"/>
  <c r="BR2357" i="1" s="1"/>
  <c r="BK2358" i="1"/>
  <c r="BL2358" i="1" s="1"/>
  <c r="BS2358" i="1"/>
  <c r="BR2358" i="1" s="1"/>
  <c r="BK2359" i="1"/>
  <c r="BL2359" i="1" s="1"/>
  <c r="BS2359" i="1"/>
  <c r="BR2359" i="1" s="1"/>
  <c r="BK2360" i="1"/>
  <c r="BL2360" i="1" s="1"/>
  <c r="BS2360" i="1"/>
  <c r="BR2360" i="1" s="1"/>
  <c r="BK2361" i="1"/>
  <c r="BL2361" i="1"/>
  <c r="BS2361" i="1"/>
  <c r="BR2361" i="1" s="1"/>
  <c r="BK2362" i="1"/>
  <c r="BL2362" i="1" s="1"/>
  <c r="BS2362" i="1"/>
  <c r="BR2362" i="1" s="1"/>
  <c r="BK2363" i="1"/>
  <c r="BL2363" i="1" s="1"/>
  <c r="BS2363" i="1"/>
  <c r="BR2363" i="1" s="1"/>
  <c r="BK2364" i="1"/>
  <c r="BL2364" i="1" s="1"/>
  <c r="BS2364" i="1"/>
  <c r="BR2364" i="1" s="1"/>
  <c r="BK2365" i="1"/>
  <c r="BL2365" i="1"/>
  <c r="BS2365" i="1"/>
  <c r="BR2365" i="1" s="1"/>
  <c r="BK2366" i="1"/>
  <c r="BL2366" i="1" s="1"/>
  <c r="BS2366" i="1"/>
  <c r="BR2366" i="1" s="1"/>
  <c r="BK2367" i="1"/>
  <c r="BL2367" i="1" s="1"/>
  <c r="BS2367" i="1"/>
  <c r="BR2367" i="1" s="1"/>
  <c r="BK2368" i="1"/>
  <c r="BL2368" i="1"/>
  <c r="BS2368" i="1"/>
  <c r="BR2368" i="1" s="1"/>
  <c r="BK2369" i="1"/>
  <c r="BL2369" i="1"/>
  <c r="BS2369" i="1"/>
  <c r="BR2369" i="1" s="1"/>
  <c r="BK2370" i="1"/>
  <c r="BL2370" i="1"/>
  <c r="BS2370" i="1"/>
  <c r="BR2370" i="1" s="1"/>
  <c r="BK2371" i="1"/>
  <c r="BL2371" i="1"/>
  <c r="BS2371" i="1"/>
  <c r="BR2371" i="1" s="1"/>
  <c r="BK2372" i="1"/>
  <c r="BL2372" i="1" s="1"/>
  <c r="BS2372" i="1"/>
  <c r="BR2372" i="1" s="1"/>
  <c r="BK2373" i="1"/>
  <c r="BL2373" i="1" s="1"/>
  <c r="BS2373" i="1"/>
  <c r="BR2373" i="1" s="1"/>
  <c r="BK2374" i="1"/>
  <c r="BL2374" i="1" s="1"/>
  <c r="BS2374" i="1"/>
  <c r="BR2374" i="1" s="1"/>
  <c r="BK2375" i="1"/>
  <c r="BL2375" i="1" s="1"/>
  <c r="BS2375" i="1"/>
  <c r="BR2375" i="1" s="1"/>
  <c r="BK2376" i="1"/>
  <c r="BL2376" i="1" s="1"/>
  <c r="BS2376" i="1"/>
  <c r="BR2376" i="1" s="1"/>
  <c r="BK2377" i="1"/>
  <c r="BL2377" i="1" s="1"/>
  <c r="BS2377" i="1"/>
  <c r="BR2377" i="1" s="1"/>
  <c r="BK2378" i="1"/>
  <c r="BL2378" i="1" s="1"/>
  <c r="BS2378" i="1"/>
  <c r="BR2378" i="1" s="1"/>
  <c r="BK2379" i="1"/>
  <c r="BL2379" i="1"/>
  <c r="BS2379" i="1"/>
  <c r="BR2379" i="1" s="1"/>
  <c r="BK2380" i="1"/>
  <c r="BL2380" i="1" s="1"/>
  <c r="BS2380" i="1"/>
  <c r="BR2380" i="1" s="1"/>
  <c r="BK2381" i="1"/>
  <c r="BL2381" i="1" s="1"/>
  <c r="BS2381" i="1"/>
  <c r="BR2381" i="1" s="1"/>
  <c r="BK2382" i="1"/>
  <c r="BL2382" i="1" s="1"/>
  <c r="BS2382" i="1"/>
  <c r="BR2382" i="1" s="1"/>
  <c r="BK2383" i="1"/>
  <c r="BL2383" i="1" s="1"/>
  <c r="BS2383" i="1"/>
  <c r="BR2383" i="1" s="1"/>
  <c r="BK2384" i="1"/>
  <c r="BL2384" i="1"/>
  <c r="BR2384" i="1"/>
  <c r="BS2384" i="1"/>
  <c r="BK2385" i="1"/>
  <c r="BL2385" i="1" s="1"/>
  <c r="BS2385" i="1"/>
  <c r="BR2385" i="1" s="1"/>
  <c r="BK2386" i="1"/>
  <c r="BL2386" i="1"/>
  <c r="BS2386" i="1"/>
  <c r="BR2386" i="1" s="1"/>
  <c r="BK2387" i="1"/>
  <c r="BL2387" i="1" s="1"/>
  <c r="BS2387" i="1"/>
  <c r="BR2387" i="1" s="1"/>
  <c r="BK2388" i="1"/>
  <c r="BL2388" i="1" s="1"/>
  <c r="BS2388" i="1"/>
  <c r="BR2388" i="1" s="1"/>
  <c r="BK2389" i="1"/>
  <c r="BL2389" i="1" s="1"/>
  <c r="BS2389" i="1"/>
  <c r="BR2389" i="1" s="1"/>
  <c r="BK2390" i="1"/>
  <c r="BL2390" i="1" s="1"/>
  <c r="BS2390" i="1"/>
  <c r="BR2390" i="1" s="1"/>
  <c r="BK2391" i="1"/>
  <c r="BL2391" i="1" s="1"/>
  <c r="BS2391" i="1"/>
  <c r="BR2391" i="1" s="1"/>
  <c r="BK2392" i="1"/>
  <c r="BL2392" i="1" s="1"/>
  <c r="BS2392" i="1"/>
  <c r="BR2392" i="1" s="1"/>
  <c r="BK2393" i="1"/>
  <c r="BL2393" i="1"/>
  <c r="BS2393" i="1"/>
  <c r="BR2393" i="1" s="1"/>
  <c r="BK2394" i="1"/>
  <c r="BL2394" i="1"/>
  <c r="BS2394" i="1"/>
  <c r="BR2394" i="1" s="1"/>
  <c r="BK2395" i="1"/>
  <c r="BL2395" i="1" s="1"/>
  <c r="BS2395" i="1"/>
  <c r="BR2395" i="1" s="1"/>
  <c r="BK2396" i="1"/>
  <c r="BL2396" i="1" s="1"/>
  <c r="BS2396" i="1"/>
  <c r="BR2396" i="1" s="1"/>
  <c r="BK2397" i="1"/>
  <c r="BL2397" i="1"/>
  <c r="BS2397" i="1"/>
  <c r="BR2397" i="1" s="1"/>
  <c r="BK2398" i="1"/>
  <c r="BL2398" i="1" s="1"/>
  <c r="BS2398" i="1"/>
  <c r="BR2398" i="1" s="1"/>
  <c r="BK2399" i="1"/>
  <c r="BL2399" i="1" s="1"/>
  <c r="BS2399" i="1"/>
  <c r="BR2399" i="1" s="1"/>
  <c r="BK2400" i="1"/>
  <c r="BL2400" i="1" s="1"/>
  <c r="BS2400" i="1"/>
  <c r="BR2400" i="1" s="1"/>
  <c r="BK2401" i="1"/>
  <c r="BL2401" i="1" s="1"/>
  <c r="BS2401" i="1"/>
  <c r="BR2401" i="1" s="1"/>
  <c r="BK2402" i="1"/>
  <c r="BL2402" i="1" s="1"/>
  <c r="BS2402" i="1"/>
  <c r="BR2402" i="1" s="1"/>
  <c r="BK2403" i="1"/>
  <c r="BL2403" i="1" s="1"/>
  <c r="BS2403" i="1"/>
  <c r="BR2403" i="1" s="1"/>
  <c r="BK2404" i="1"/>
  <c r="BL2404" i="1" s="1"/>
  <c r="BS2404" i="1"/>
  <c r="BR2404" i="1" s="1"/>
  <c r="BK2405" i="1"/>
  <c r="BL2405" i="1" s="1"/>
  <c r="BS2405" i="1"/>
  <c r="BR2405" i="1" s="1"/>
  <c r="BK2406" i="1"/>
  <c r="BL2406" i="1" s="1"/>
  <c r="BS2406" i="1"/>
  <c r="BR2406" i="1" s="1"/>
  <c r="BK2407" i="1"/>
  <c r="BL2407" i="1"/>
  <c r="BS2407" i="1"/>
  <c r="BR2407" i="1" s="1"/>
  <c r="BK2408" i="1"/>
  <c r="BL2408" i="1" s="1"/>
  <c r="BS2408" i="1"/>
  <c r="BR2408" i="1" s="1"/>
  <c r="BK2409" i="1"/>
  <c r="BL2409" i="1" s="1"/>
  <c r="BS2409" i="1"/>
  <c r="BR2409" i="1" s="1"/>
  <c r="BK2410" i="1"/>
  <c r="BL2410" i="1" s="1"/>
  <c r="BS2410" i="1"/>
  <c r="BR2410" i="1" s="1"/>
  <c r="BK2411" i="1"/>
  <c r="BL2411" i="1" s="1"/>
  <c r="BS2411" i="1"/>
  <c r="BR2411" i="1" s="1"/>
  <c r="BK2412" i="1"/>
  <c r="BL2412" i="1"/>
  <c r="BS2412" i="1"/>
  <c r="BR2412" i="1" s="1"/>
  <c r="BK2413" i="1"/>
  <c r="BL2413" i="1"/>
  <c r="BS2413" i="1"/>
  <c r="BR2413" i="1" s="1"/>
  <c r="BK2414" i="1"/>
  <c r="BL2414" i="1"/>
  <c r="BS2414" i="1"/>
  <c r="BR2414" i="1" s="1"/>
  <c r="BK2415" i="1"/>
  <c r="BL2415" i="1"/>
  <c r="BS2415" i="1"/>
  <c r="BR2415" i="1" s="1"/>
  <c r="BK2416" i="1"/>
  <c r="BL2416" i="1"/>
  <c r="BS2416" i="1"/>
  <c r="BR2416" i="1" s="1"/>
  <c r="BK2417" i="1"/>
  <c r="BL2417" i="1"/>
  <c r="BS2417" i="1"/>
  <c r="BR2417" i="1" s="1"/>
  <c r="BK2418" i="1"/>
  <c r="BL2418" i="1" s="1"/>
  <c r="BS2418" i="1"/>
  <c r="BR2418" i="1" s="1"/>
  <c r="BK2419" i="1"/>
  <c r="BL2419" i="1" s="1"/>
  <c r="BS2419" i="1"/>
  <c r="BR2419" i="1" s="1"/>
  <c r="BK2420" i="1"/>
  <c r="BL2420" i="1" s="1"/>
  <c r="BS2420" i="1"/>
  <c r="BR2420" i="1" s="1"/>
  <c r="BK2421" i="1"/>
  <c r="BL2421" i="1" s="1"/>
  <c r="BS2421" i="1"/>
  <c r="BR2421" i="1" s="1"/>
  <c r="BK2422" i="1"/>
  <c r="BL2422" i="1" s="1"/>
  <c r="BS2422" i="1"/>
  <c r="BR2422" i="1" s="1"/>
  <c r="BK2423" i="1"/>
  <c r="BL2423" i="1" s="1"/>
  <c r="BS2423" i="1"/>
  <c r="BR2423" i="1" s="1"/>
  <c r="BK2424" i="1"/>
  <c r="BL2424" i="1" s="1"/>
  <c r="BS2424" i="1"/>
  <c r="BR2424" i="1" s="1"/>
  <c r="BK2425" i="1"/>
  <c r="BL2425" i="1" s="1"/>
  <c r="BS2425" i="1"/>
  <c r="BR2425" i="1" s="1"/>
  <c r="BK2426" i="1"/>
  <c r="BL2426" i="1" s="1"/>
  <c r="BS2426" i="1"/>
  <c r="BR2426" i="1" s="1"/>
  <c r="BK2427" i="1"/>
  <c r="BL2427" i="1" s="1"/>
  <c r="BS2427" i="1"/>
  <c r="BR2427" i="1" s="1"/>
  <c r="BK2428" i="1"/>
  <c r="BL2428" i="1" s="1"/>
  <c r="BR2428" i="1"/>
  <c r="BS2428" i="1"/>
  <c r="BK2429" i="1"/>
  <c r="BL2429" i="1" s="1"/>
  <c r="BR2429" i="1"/>
  <c r="BS2429" i="1"/>
  <c r="BJ5" i="1"/>
  <c r="BQ5" i="1" s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Q65" i="1" s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Q85" i="1" s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Q149" i="1" s="1"/>
  <c r="BJ150" i="1"/>
  <c r="BJ151" i="1"/>
  <c r="BJ152" i="1"/>
  <c r="BJ153" i="1"/>
  <c r="BJ154" i="1"/>
  <c r="BQ154" i="1" s="1"/>
  <c r="BJ155" i="1"/>
  <c r="BJ156" i="1"/>
  <c r="BJ157" i="1"/>
  <c r="BJ158" i="1"/>
  <c r="BJ159" i="1"/>
  <c r="BJ160" i="1"/>
  <c r="BJ161" i="1"/>
  <c r="BJ162" i="1"/>
  <c r="BJ163" i="1"/>
  <c r="BJ164" i="1"/>
  <c r="BJ165" i="1"/>
  <c r="BQ165" i="1" s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2" i="1"/>
  <c r="BJ213" i="1"/>
  <c r="BJ214" i="1"/>
  <c r="BJ215" i="1"/>
  <c r="BJ216" i="1"/>
  <c r="BQ216" i="1" s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Q267" i="1" s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Q299" i="1" s="1"/>
  <c r="BJ300" i="1"/>
  <c r="BJ301" i="1"/>
  <c r="BJ302" i="1"/>
  <c r="BJ303" i="1"/>
  <c r="BJ304" i="1"/>
  <c r="BJ305" i="1"/>
  <c r="BJ306" i="1"/>
  <c r="BJ307" i="1"/>
  <c r="BJ308" i="1"/>
  <c r="BJ309" i="1"/>
  <c r="BJ310" i="1"/>
  <c r="BQ310" i="1" s="1"/>
  <c r="BJ311" i="1"/>
  <c r="BJ312" i="1"/>
  <c r="BJ313" i="1"/>
  <c r="BJ314" i="1"/>
  <c r="BQ314" i="1" s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Q330" i="1" s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Q342" i="1" s="1"/>
  <c r="BJ343" i="1"/>
  <c r="BQ343" i="1" s="1"/>
  <c r="BJ344" i="1"/>
  <c r="BQ344" i="1" s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Q363" i="1" s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Q409" i="1" s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Q473" i="1" s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Q514" i="1" s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Q537" i="1" s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Q598" i="1" s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Q630" i="1" s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J723" i="1"/>
  <c r="BJ724" i="1"/>
  <c r="BJ725" i="1"/>
  <c r="BJ726" i="1"/>
  <c r="BJ727" i="1"/>
  <c r="BJ728" i="1"/>
  <c r="BJ729" i="1"/>
  <c r="BJ730" i="1"/>
  <c r="BJ731" i="1"/>
  <c r="BJ732" i="1"/>
  <c r="BQ732" i="1" s="1"/>
  <c r="BJ733" i="1"/>
  <c r="BJ734" i="1"/>
  <c r="BJ735" i="1"/>
  <c r="BJ736" i="1"/>
  <c r="BJ737" i="1"/>
  <c r="BJ738" i="1"/>
  <c r="BJ739" i="1"/>
  <c r="BJ740" i="1"/>
  <c r="BJ741" i="1"/>
  <c r="BJ742" i="1"/>
  <c r="BJ743" i="1"/>
  <c r="BJ744" i="1"/>
  <c r="BJ745" i="1"/>
  <c r="BJ746" i="1"/>
  <c r="BJ747" i="1"/>
  <c r="BJ748" i="1"/>
  <c r="BQ748" i="1" s="1"/>
  <c r="BJ749" i="1"/>
  <c r="BJ750" i="1"/>
  <c r="BJ751" i="1"/>
  <c r="BJ752" i="1"/>
  <c r="BJ753" i="1"/>
  <c r="BJ754" i="1"/>
  <c r="BJ755" i="1"/>
  <c r="BJ756" i="1"/>
  <c r="BJ757" i="1"/>
  <c r="BJ758" i="1"/>
  <c r="BJ759" i="1"/>
  <c r="BJ760" i="1"/>
  <c r="BJ761" i="1"/>
  <c r="BJ762" i="1"/>
  <c r="BJ763" i="1"/>
  <c r="BJ764" i="1"/>
  <c r="BJ765" i="1"/>
  <c r="BJ766" i="1"/>
  <c r="BJ767" i="1"/>
  <c r="BJ768" i="1"/>
  <c r="BJ769" i="1"/>
  <c r="BJ770" i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BJ785" i="1"/>
  <c r="BJ786" i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J803" i="1"/>
  <c r="BJ804" i="1"/>
  <c r="BJ805" i="1"/>
  <c r="BJ806" i="1"/>
  <c r="BJ807" i="1"/>
  <c r="BJ808" i="1"/>
  <c r="BJ809" i="1"/>
  <c r="BJ810" i="1"/>
  <c r="BJ811" i="1"/>
  <c r="BJ812" i="1"/>
  <c r="BJ813" i="1"/>
  <c r="BJ814" i="1"/>
  <c r="BJ815" i="1"/>
  <c r="BQ815" i="1" s="1"/>
  <c r="BJ816" i="1"/>
  <c r="BJ817" i="1"/>
  <c r="BJ818" i="1"/>
  <c r="BJ819" i="1"/>
  <c r="BJ820" i="1"/>
  <c r="BJ821" i="1"/>
  <c r="BJ822" i="1"/>
  <c r="BJ823" i="1"/>
  <c r="BJ824" i="1"/>
  <c r="BJ825" i="1"/>
  <c r="BJ826" i="1"/>
  <c r="BJ827" i="1"/>
  <c r="BJ828" i="1"/>
  <c r="BJ829" i="1"/>
  <c r="BJ830" i="1"/>
  <c r="BJ831" i="1"/>
  <c r="BJ832" i="1"/>
  <c r="BJ833" i="1"/>
  <c r="BJ834" i="1"/>
  <c r="BJ835" i="1"/>
  <c r="BJ836" i="1"/>
  <c r="BJ837" i="1"/>
  <c r="BJ838" i="1"/>
  <c r="BJ839" i="1"/>
  <c r="BJ840" i="1"/>
  <c r="BJ841" i="1"/>
  <c r="BJ842" i="1"/>
  <c r="BJ843" i="1"/>
  <c r="BJ844" i="1"/>
  <c r="BJ845" i="1"/>
  <c r="BJ846" i="1"/>
  <c r="BJ847" i="1"/>
  <c r="BJ848" i="1"/>
  <c r="BJ849" i="1"/>
  <c r="BJ850" i="1"/>
  <c r="BJ851" i="1"/>
  <c r="BJ852" i="1"/>
  <c r="BJ853" i="1"/>
  <c r="BJ854" i="1"/>
  <c r="BJ855" i="1"/>
  <c r="BJ856" i="1"/>
  <c r="BJ857" i="1"/>
  <c r="BJ858" i="1"/>
  <c r="BJ859" i="1"/>
  <c r="BJ860" i="1"/>
  <c r="BJ861" i="1"/>
  <c r="BJ862" i="1"/>
  <c r="BJ863" i="1"/>
  <c r="BJ864" i="1"/>
  <c r="BJ865" i="1"/>
  <c r="BJ866" i="1"/>
  <c r="BJ867" i="1"/>
  <c r="BJ868" i="1"/>
  <c r="BJ869" i="1"/>
  <c r="BJ870" i="1"/>
  <c r="BJ871" i="1"/>
  <c r="BJ872" i="1"/>
  <c r="BJ873" i="1"/>
  <c r="BJ874" i="1"/>
  <c r="BJ875" i="1"/>
  <c r="BJ876" i="1"/>
  <c r="BJ877" i="1"/>
  <c r="BJ878" i="1"/>
  <c r="BJ879" i="1"/>
  <c r="BJ880" i="1"/>
  <c r="BJ881" i="1"/>
  <c r="BJ882" i="1"/>
  <c r="BJ883" i="1"/>
  <c r="BJ884" i="1"/>
  <c r="BJ885" i="1"/>
  <c r="BJ886" i="1"/>
  <c r="BJ887" i="1"/>
  <c r="BJ888" i="1"/>
  <c r="BJ889" i="1"/>
  <c r="BJ890" i="1"/>
  <c r="BJ891" i="1"/>
  <c r="BJ892" i="1"/>
  <c r="BJ893" i="1"/>
  <c r="BJ894" i="1"/>
  <c r="BJ895" i="1"/>
  <c r="BJ896" i="1"/>
  <c r="BJ897" i="1"/>
  <c r="BJ898" i="1"/>
  <c r="BJ899" i="1"/>
  <c r="BJ900" i="1"/>
  <c r="BJ901" i="1"/>
  <c r="BJ902" i="1"/>
  <c r="BJ903" i="1"/>
  <c r="BJ904" i="1"/>
  <c r="BJ905" i="1"/>
  <c r="BJ906" i="1"/>
  <c r="BJ907" i="1"/>
  <c r="BJ908" i="1"/>
  <c r="BJ909" i="1"/>
  <c r="BJ910" i="1"/>
  <c r="BJ911" i="1"/>
  <c r="BJ912" i="1"/>
  <c r="BJ913" i="1"/>
  <c r="BJ914" i="1"/>
  <c r="BJ915" i="1"/>
  <c r="BJ916" i="1"/>
  <c r="BJ917" i="1"/>
  <c r="BJ918" i="1"/>
  <c r="BJ919" i="1"/>
  <c r="BJ920" i="1"/>
  <c r="BJ921" i="1"/>
  <c r="BJ922" i="1"/>
  <c r="BJ923" i="1"/>
  <c r="BJ924" i="1"/>
  <c r="BJ925" i="1"/>
  <c r="BJ926" i="1"/>
  <c r="BJ927" i="1"/>
  <c r="BJ928" i="1"/>
  <c r="BJ929" i="1"/>
  <c r="BJ930" i="1"/>
  <c r="BJ931" i="1"/>
  <c r="BJ932" i="1"/>
  <c r="BJ933" i="1"/>
  <c r="BJ934" i="1"/>
  <c r="BJ935" i="1"/>
  <c r="BJ936" i="1"/>
  <c r="BJ937" i="1"/>
  <c r="BJ938" i="1"/>
  <c r="BJ939" i="1"/>
  <c r="BJ940" i="1"/>
  <c r="BJ941" i="1"/>
  <c r="BJ942" i="1"/>
  <c r="BJ943" i="1"/>
  <c r="BJ944" i="1"/>
  <c r="BJ945" i="1"/>
  <c r="BJ946" i="1"/>
  <c r="BJ947" i="1"/>
  <c r="BJ948" i="1"/>
  <c r="BJ949" i="1"/>
  <c r="BJ950" i="1"/>
  <c r="BJ951" i="1"/>
  <c r="BJ952" i="1"/>
  <c r="BJ953" i="1"/>
  <c r="BJ954" i="1"/>
  <c r="BJ955" i="1"/>
  <c r="BJ956" i="1"/>
  <c r="BJ957" i="1"/>
  <c r="BJ958" i="1"/>
  <c r="BJ959" i="1"/>
  <c r="BJ960" i="1"/>
  <c r="BJ961" i="1"/>
  <c r="BJ962" i="1"/>
  <c r="BJ963" i="1"/>
  <c r="BJ964" i="1"/>
  <c r="BJ965" i="1"/>
  <c r="BJ966" i="1"/>
  <c r="BJ967" i="1"/>
  <c r="BJ968" i="1"/>
  <c r="BJ969" i="1"/>
  <c r="BJ970" i="1"/>
  <c r="BJ971" i="1"/>
  <c r="BJ972" i="1"/>
  <c r="BJ973" i="1"/>
  <c r="BJ974" i="1"/>
  <c r="BJ975" i="1"/>
  <c r="BJ976" i="1"/>
  <c r="BJ977" i="1"/>
  <c r="BJ978" i="1"/>
  <c r="BJ979" i="1"/>
  <c r="BJ980" i="1"/>
  <c r="BJ981" i="1"/>
  <c r="BJ982" i="1"/>
  <c r="BJ983" i="1"/>
  <c r="BJ984" i="1"/>
  <c r="BJ985" i="1"/>
  <c r="BJ986" i="1"/>
  <c r="BJ987" i="1"/>
  <c r="BJ988" i="1"/>
  <c r="BJ989" i="1"/>
  <c r="BJ990" i="1"/>
  <c r="BJ991" i="1"/>
  <c r="BJ992" i="1"/>
  <c r="BJ993" i="1"/>
  <c r="BJ994" i="1"/>
  <c r="BJ995" i="1"/>
  <c r="BJ996" i="1"/>
  <c r="BJ997" i="1"/>
  <c r="BJ998" i="1"/>
  <c r="BJ999" i="1"/>
  <c r="BJ1000" i="1"/>
  <c r="BJ1001" i="1"/>
  <c r="BJ1002" i="1"/>
  <c r="BJ1003" i="1"/>
  <c r="BJ1004" i="1"/>
  <c r="BJ1005" i="1"/>
  <c r="BJ1006" i="1"/>
  <c r="BJ1007" i="1"/>
  <c r="BJ1008" i="1"/>
  <c r="BJ1009" i="1"/>
  <c r="BJ1010" i="1"/>
  <c r="BJ1011" i="1"/>
  <c r="BJ1012" i="1"/>
  <c r="BJ1013" i="1"/>
  <c r="BJ1014" i="1"/>
  <c r="BJ1015" i="1"/>
  <c r="BJ1016" i="1"/>
  <c r="BJ1017" i="1"/>
  <c r="BJ1018" i="1"/>
  <c r="BJ1019" i="1"/>
  <c r="BJ1020" i="1"/>
  <c r="BJ1021" i="1"/>
  <c r="BJ1022" i="1"/>
  <c r="BJ1023" i="1"/>
  <c r="BJ1024" i="1"/>
  <c r="BJ1025" i="1"/>
  <c r="BJ1026" i="1"/>
  <c r="BJ1027" i="1"/>
  <c r="BJ1028" i="1"/>
  <c r="BJ1029" i="1"/>
  <c r="BJ1030" i="1"/>
  <c r="BJ1031" i="1"/>
  <c r="BJ1032" i="1"/>
  <c r="BJ1033" i="1"/>
  <c r="BJ1034" i="1"/>
  <c r="BJ1035" i="1"/>
  <c r="BJ1036" i="1"/>
  <c r="BJ1037" i="1"/>
  <c r="BJ1038" i="1"/>
  <c r="BJ1039" i="1"/>
  <c r="BJ1040" i="1"/>
  <c r="BJ1041" i="1"/>
  <c r="BJ1042" i="1"/>
  <c r="BJ1043" i="1"/>
  <c r="BJ1044" i="1"/>
  <c r="BJ1045" i="1"/>
  <c r="BJ1046" i="1"/>
  <c r="BJ1047" i="1"/>
  <c r="BJ1048" i="1"/>
  <c r="BJ1049" i="1"/>
  <c r="BJ1050" i="1"/>
  <c r="BJ1051" i="1"/>
  <c r="BJ1052" i="1"/>
  <c r="BJ1053" i="1"/>
  <c r="BJ1054" i="1"/>
  <c r="BJ1055" i="1"/>
  <c r="BJ1056" i="1"/>
  <c r="BJ1057" i="1"/>
  <c r="BJ1058" i="1"/>
  <c r="BJ1059" i="1"/>
  <c r="BJ1060" i="1"/>
  <c r="BJ1061" i="1"/>
  <c r="BJ1062" i="1"/>
  <c r="BJ1063" i="1"/>
  <c r="BJ1064" i="1"/>
  <c r="BJ1065" i="1"/>
  <c r="BJ1066" i="1"/>
  <c r="BJ1067" i="1"/>
  <c r="BJ1068" i="1"/>
  <c r="BJ1069" i="1"/>
  <c r="BJ1070" i="1"/>
  <c r="BJ1071" i="1"/>
  <c r="BJ1072" i="1"/>
  <c r="BJ1073" i="1"/>
  <c r="BJ1074" i="1"/>
  <c r="BJ1075" i="1"/>
  <c r="BJ1076" i="1"/>
  <c r="BJ1077" i="1"/>
  <c r="BJ1078" i="1"/>
  <c r="BJ1079" i="1"/>
  <c r="BJ1080" i="1"/>
  <c r="BJ1081" i="1"/>
  <c r="BJ1082" i="1"/>
  <c r="BJ1083" i="1"/>
  <c r="BJ1084" i="1"/>
  <c r="BJ1085" i="1"/>
  <c r="BJ1086" i="1"/>
  <c r="BJ1087" i="1"/>
  <c r="BJ1088" i="1"/>
  <c r="BJ1089" i="1"/>
  <c r="BJ1090" i="1"/>
  <c r="BJ1091" i="1"/>
  <c r="BJ1092" i="1"/>
  <c r="BJ1093" i="1"/>
  <c r="BJ1094" i="1"/>
  <c r="BJ1095" i="1"/>
  <c r="BJ1096" i="1"/>
  <c r="BJ1097" i="1"/>
  <c r="BJ1098" i="1"/>
  <c r="BJ1099" i="1"/>
  <c r="BJ1100" i="1"/>
  <c r="BJ1101" i="1"/>
  <c r="BJ1102" i="1"/>
  <c r="BJ1103" i="1"/>
  <c r="BJ1104" i="1"/>
  <c r="BJ1105" i="1"/>
  <c r="BJ1106" i="1"/>
  <c r="BJ1107" i="1"/>
  <c r="BJ1108" i="1"/>
  <c r="BJ1109" i="1"/>
  <c r="BJ1110" i="1"/>
  <c r="BJ1111" i="1"/>
  <c r="BJ1112" i="1"/>
  <c r="BJ1113" i="1"/>
  <c r="BJ1114" i="1"/>
  <c r="BJ1115" i="1"/>
  <c r="BJ1116" i="1"/>
  <c r="BJ1117" i="1"/>
  <c r="BJ1118" i="1"/>
  <c r="BJ1119" i="1"/>
  <c r="BJ1120" i="1"/>
  <c r="BJ1121" i="1"/>
  <c r="BJ1122" i="1"/>
  <c r="BJ1123" i="1"/>
  <c r="BJ1124" i="1"/>
  <c r="BJ1125" i="1"/>
  <c r="BJ1126" i="1"/>
  <c r="BJ1127" i="1"/>
  <c r="BJ1128" i="1"/>
  <c r="BJ1129" i="1"/>
  <c r="BJ1130" i="1"/>
  <c r="BJ1131" i="1"/>
  <c r="BJ1132" i="1"/>
  <c r="BJ1133" i="1"/>
  <c r="BJ1134" i="1"/>
  <c r="BJ1135" i="1"/>
  <c r="BJ1136" i="1"/>
  <c r="BJ1137" i="1"/>
  <c r="BJ1138" i="1"/>
  <c r="BJ1139" i="1"/>
  <c r="BJ1140" i="1"/>
  <c r="BJ1141" i="1"/>
  <c r="BJ1142" i="1"/>
  <c r="BJ1143" i="1"/>
  <c r="BJ1144" i="1"/>
  <c r="BJ1145" i="1"/>
  <c r="BJ1146" i="1"/>
  <c r="BJ1147" i="1"/>
  <c r="BJ1148" i="1"/>
  <c r="BJ1149" i="1"/>
  <c r="BJ1150" i="1"/>
  <c r="BJ1151" i="1"/>
  <c r="BJ1152" i="1"/>
  <c r="BJ1153" i="1"/>
  <c r="BJ1154" i="1"/>
  <c r="BJ1155" i="1"/>
  <c r="BJ1156" i="1"/>
  <c r="BJ1157" i="1"/>
  <c r="BJ1158" i="1"/>
  <c r="BJ1159" i="1"/>
  <c r="BJ1160" i="1"/>
  <c r="BJ1161" i="1"/>
  <c r="BJ1162" i="1"/>
  <c r="BJ1163" i="1"/>
  <c r="BJ1164" i="1"/>
  <c r="BJ1165" i="1"/>
  <c r="BJ1166" i="1"/>
  <c r="BJ1167" i="1"/>
  <c r="BJ1168" i="1"/>
  <c r="BJ1169" i="1"/>
  <c r="BJ1170" i="1"/>
  <c r="BJ1171" i="1"/>
  <c r="BJ1172" i="1"/>
  <c r="BJ1173" i="1"/>
  <c r="BJ1174" i="1"/>
  <c r="BJ1175" i="1"/>
  <c r="BJ1176" i="1"/>
  <c r="BJ1177" i="1"/>
  <c r="BJ1178" i="1"/>
  <c r="BJ1179" i="1"/>
  <c r="BJ1180" i="1"/>
  <c r="BJ1181" i="1"/>
  <c r="BJ1182" i="1"/>
  <c r="BJ1183" i="1"/>
  <c r="BJ1184" i="1"/>
  <c r="BJ1185" i="1"/>
  <c r="BJ1186" i="1"/>
  <c r="BJ1187" i="1"/>
  <c r="BJ1188" i="1"/>
  <c r="BJ1189" i="1"/>
  <c r="BJ1190" i="1"/>
  <c r="BJ1191" i="1"/>
  <c r="BJ1192" i="1"/>
  <c r="BJ1193" i="1"/>
  <c r="BJ1194" i="1"/>
  <c r="BJ1195" i="1"/>
  <c r="BJ1196" i="1"/>
  <c r="BJ1197" i="1"/>
  <c r="BJ1198" i="1"/>
  <c r="BJ1199" i="1"/>
  <c r="BJ1200" i="1"/>
  <c r="BJ1201" i="1"/>
  <c r="BJ1202" i="1"/>
  <c r="BJ1203" i="1"/>
  <c r="BJ1204" i="1"/>
  <c r="BJ1205" i="1"/>
  <c r="BJ1206" i="1"/>
  <c r="BJ1207" i="1"/>
  <c r="BJ1208" i="1"/>
  <c r="BJ1209" i="1"/>
  <c r="BJ1210" i="1"/>
  <c r="BJ1211" i="1"/>
  <c r="BJ1212" i="1"/>
  <c r="BJ1213" i="1"/>
  <c r="BJ1214" i="1"/>
  <c r="BJ1215" i="1"/>
  <c r="BJ1216" i="1"/>
  <c r="BJ1217" i="1"/>
  <c r="BJ1218" i="1"/>
  <c r="BJ1219" i="1"/>
  <c r="BJ1220" i="1"/>
  <c r="BJ1221" i="1"/>
  <c r="BJ1222" i="1"/>
  <c r="BJ1223" i="1"/>
  <c r="BJ1224" i="1"/>
  <c r="BJ1225" i="1"/>
  <c r="BJ1226" i="1"/>
  <c r="BJ1227" i="1"/>
  <c r="BJ1228" i="1"/>
  <c r="BJ1229" i="1"/>
  <c r="BJ1230" i="1"/>
  <c r="BJ1231" i="1"/>
  <c r="BJ1232" i="1"/>
  <c r="BJ1233" i="1"/>
  <c r="BJ1234" i="1"/>
  <c r="BJ1235" i="1"/>
  <c r="BJ1236" i="1"/>
  <c r="BJ1237" i="1"/>
  <c r="BJ1238" i="1"/>
  <c r="BJ1239" i="1"/>
  <c r="BJ1240" i="1"/>
  <c r="BJ1241" i="1"/>
  <c r="BJ1242" i="1"/>
  <c r="BJ1243" i="1"/>
  <c r="BJ1244" i="1"/>
  <c r="BJ1245" i="1"/>
  <c r="BJ1246" i="1"/>
  <c r="BJ1247" i="1"/>
  <c r="BJ1248" i="1"/>
  <c r="BJ1249" i="1"/>
  <c r="BJ1250" i="1"/>
  <c r="BJ1251" i="1"/>
  <c r="BJ1252" i="1"/>
  <c r="BJ1253" i="1"/>
  <c r="BJ1254" i="1"/>
  <c r="BJ1255" i="1"/>
  <c r="BJ1256" i="1"/>
  <c r="BJ1257" i="1"/>
  <c r="BJ1258" i="1"/>
  <c r="BJ1259" i="1"/>
  <c r="BJ1260" i="1"/>
  <c r="BJ1261" i="1"/>
  <c r="BJ1262" i="1"/>
  <c r="BJ1263" i="1"/>
  <c r="BJ1264" i="1"/>
  <c r="BJ1265" i="1"/>
  <c r="BJ1266" i="1"/>
  <c r="BJ1267" i="1"/>
  <c r="BJ1268" i="1"/>
  <c r="BJ1269" i="1"/>
  <c r="BJ1270" i="1"/>
  <c r="BJ1271" i="1"/>
  <c r="BJ1272" i="1"/>
  <c r="BJ1273" i="1"/>
  <c r="BJ1274" i="1"/>
  <c r="BJ1275" i="1"/>
  <c r="BJ1276" i="1"/>
  <c r="BJ1277" i="1"/>
  <c r="BJ1278" i="1"/>
  <c r="BJ1279" i="1"/>
  <c r="BJ1280" i="1"/>
  <c r="BJ1281" i="1"/>
  <c r="BJ1282" i="1"/>
  <c r="BJ1283" i="1"/>
  <c r="BJ1284" i="1"/>
  <c r="BJ1285" i="1"/>
  <c r="BJ1286" i="1"/>
  <c r="BJ1287" i="1"/>
  <c r="BJ1288" i="1"/>
  <c r="BJ1289" i="1"/>
  <c r="BJ1290" i="1"/>
  <c r="BJ1291" i="1"/>
  <c r="BJ1292" i="1"/>
  <c r="BJ1293" i="1"/>
  <c r="BJ1294" i="1"/>
  <c r="BJ1295" i="1"/>
  <c r="BJ1296" i="1"/>
  <c r="BJ1297" i="1"/>
  <c r="BJ1298" i="1"/>
  <c r="BJ1299" i="1"/>
  <c r="BJ1300" i="1"/>
  <c r="BJ1301" i="1"/>
  <c r="BJ1302" i="1"/>
  <c r="BJ1303" i="1"/>
  <c r="BJ1304" i="1"/>
  <c r="BJ1305" i="1"/>
  <c r="BJ1306" i="1"/>
  <c r="BJ1307" i="1"/>
  <c r="BJ1308" i="1"/>
  <c r="BJ1309" i="1"/>
  <c r="BJ1310" i="1"/>
  <c r="BJ1311" i="1"/>
  <c r="BJ1312" i="1"/>
  <c r="BJ1313" i="1"/>
  <c r="BJ1314" i="1"/>
  <c r="BJ1315" i="1"/>
  <c r="BJ1316" i="1"/>
  <c r="BJ1317" i="1"/>
  <c r="BJ1318" i="1"/>
  <c r="BJ1319" i="1"/>
  <c r="BJ1320" i="1"/>
  <c r="BJ1321" i="1"/>
  <c r="BJ1322" i="1"/>
  <c r="BJ1323" i="1"/>
  <c r="BJ1324" i="1"/>
  <c r="BJ1325" i="1"/>
  <c r="BJ1326" i="1"/>
  <c r="BJ1327" i="1"/>
  <c r="BJ1328" i="1"/>
  <c r="BJ1329" i="1"/>
  <c r="BJ1330" i="1"/>
  <c r="BJ1331" i="1"/>
  <c r="BJ1332" i="1"/>
  <c r="BJ1333" i="1"/>
  <c r="BJ1334" i="1"/>
  <c r="BJ1335" i="1"/>
  <c r="BJ1336" i="1"/>
  <c r="BJ1337" i="1"/>
  <c r="BJ1338" i="1"/>
  <c r="BJ1339" i="1"/>
  <c r="BJ1340" i="1"/>
  <c r="BJ1341" i="1"/>
  <c r="BJ1342" i="1"/>
  <c r="BJ1343" i="1"/>
  <c r="BJ1344" i="1"/>
  <c r="BJ1345" i="1"/>
  <c r="BJ1346" i="1"/>
  <c r="BJ1347" i="1"/>
  <c r="BJ1348" i="1"/>
  <c r="BJ1349" i="1"/>
  <c r="BJ1350" i="1"/>
  <c r="BJ1351" i="1"/>
  <c r="BJ1352" i="1"/>
  <c r="BJ1353" i="1"/>
  <c r="BJ1354" i="1"/>
  <c r="BJ1355" i="1"/>
  <c r="BJ1356" i="1"/>
  <c r="BJ1357" i="1"/>
  <c r="BJ1358" i="1"/>
  <c r="BJ1359" i="1"/>
  <c r="BJ1360" i="1"/>
  <c r="BJ1361" i="1"/>
  <c r="BJ1362" i="1"/>
  <c r="BJ1363" i="1"/>
  <c r="BJ1364" i="1"/>
  <c r="BJ1365" i="1"/>
  <c r="BJ1366" i="1"/>
  <c r="BJ1367" i="1"/>
  <c r="BJ1368" i="1"/>
  <c r="BJ1369" i="1"/>
  <c r="BJ1370" i="1"/>
  <c r="BJ1371" i="1"/>
  <c r="BJ1372" i="1"/>
  <c r="BJ1373" i="1"/>
  <c r="BJ1374" i="1"/>
  <c r="BJ1375" i="1"/>
  <c r="BJ1376" i="1"/>
  <c r="BJ1377" i="1"/>
  <c r="BJ1378" i="1"/>
  <c r="BJ1379" i="1"/>
  <c r="BJ1380" i="1"/>
  <c r="BJ1381" i="1"/>
  <c r="BJ1382" i="1"/>
  <c r="BJ1383" i="1"/>
  <c r="BJ1384" i="1"/>
  <c r="BJ1385" i="1"/>
  <c r="BJ1386" i="1"/>
  <c r="BJ1387" i="1"/>
  <c r="BJ1388" i="1"/>
  <c r="BJ1389" i="1"/>
  <c r="BJ1390" i="1"/>
  <c r="BJ1391" i="1"/>
  <c r="BJ1392" i="1"/>
  <c r="BJ1393" i="1"/>
  <c r="BJ1394" i="1"/>
  <c r="BJ1395" i="1"/>
  <c r="BJ1396" i="1"/>
  <c r="BJ1397" i="1"/>
  <c r="BJ1398" i="1"/>
  <c r="BJ1399" i="1"/>
  <c r="BJ1400" i="1"/>
  <c r="BJ1401" i="1"/>
  <c r="BJ1402" i="1"/>
  <c r="BJ1403" i="1"/>
  <c r="BJ1404" i="1"/>
  <c r="BJ1405" i="1"/>
  <c r="BJ1406" i="1"/>
  <c r="BJ1407" i="1"/>
  <c r="BJ1408" i="1"/>
  <c r="BJ1409" i="1"/>
  <c r="BJ1410" i="1"/>
  <c r="BJ1411" i="1"/>
  <c r="BJ1412" i="1"/>
  <c r="BJ1413" i="1"/>
  <c r="BJ1414" i="1"/>
  <c r="BJ1415" i="1"/>
  <c r="BJ1416" i="1"/>
  <c r="BJ1417" i="1"/>
  <c r="BJ1418" i="1"/>
  <c r="BJ1419" i="1"/>
  <c r="BJ1420" i="1"/>
  <c r="BJ1421" i="1"/>
  <c r="BJ1422" i="1"/>
  <c r="BJ1423" i="1"/>
  <c r="BJ1424" i="1"/>
  <c r="BJ1425" i="1"/>
  <c r="BJ1426" i="1"/>
  <c r="BJ1427" i="1"/>
  <c r="BJ1428" i="1"/>
  <c r="BJ1429" i="1"/>
  <c r="BJ1430" i="1"/>
  <c r="BJ1431" i="1"/>
  <c r="BJ1432" i="1"/>
  <c r="BJ1433" i="1"/>
  <c r="BJ1434" i="1"/>
  <c r="BJ1435" i="1"/>
  <c r="BJ1436" i="1"/>
  <c r="BJ1437" i="1"/>
  <c r="BJ1438" i="1"/>
  <c r="BJ1439" i="1"/>
  <c r="BJ1440" i="1"/>
  <c r="BJ1441" i="1"/>
  <c r="BJ1442" i="1"/>
  <c r="BJ1443" i="1"/>
  <c r="BJ1444" i="1"/>
  <c r="BJ1445" i="1"/>
  <c r="BJ1446" i="1"/>
  <c r="BJ1447" i="1"/>
  <c r="BJ1448" i="1"/>
  <c r="BJ1449" i="1"/>
  <c r="BJ1450" i="1"/>
  <c r="BJ1451" i="1"/>
  <c r="BJ1452" i="1"/>
  <c r="BJ1453" i="1"/>
  <c r="BJ1454" i="1"/>
  <c r="BJ1455" i="1"/>
  <c r="BJ1456" i="1"/>
  <c r="BJ1457" i="1"/>
  <c r="BJ1458" i="1"/>
  <c r="BJ1459" i="1"/>
  <c r="BJ1460" i="1"/>
  <c r="BJ1461" i="1"/>
  <c r="BJ1462" i="1"/>
  <c r="BJ1463" i="1"/>
  <c r="BJ1464" i="1"/>
  <c r="BJ1465" i="1"/>
  <c r="BJ1466" i="1"/>
  <c r="BJ1467" i="1"/>
  <c r="BJ1468" i="1"/>
  <c r="BJ1469" i="1"/>
  <c r="BJ1470" i="1"/>
  <c r="BJ1471" i="1"/>
  <c r="BJ1472" i="1"/>
  <c r="BJ1473" i="1"/>
  <c r="BJ1474" i="1"/>
  <c r="BJ1475" i="1"/>
  <c r="BJ1476" i="1"/>
  <c r="BJ1477" i="1"/>
  <c r="BJ1478" i="1"/>
  <c r="BJ1479" i="1"/>
  <c r="BJ1480" i="1"/>
  <c r="BJ1481" i="1"/>
  <c r="BJ1482" i="1"/>
  <c r="BJ1483" i="1"/>
  <c r="BJ1484" i="1"/>
  <c r="BJ1485" i="1"/>
  <c r="BJ1486" i="1"/>
  <c r="BJ1487" i="1"/>
  <c r="BJ1488" i="1"/>
  <c r="BJ1489" i="1"/>
  <c r="BJ1490" i="1"/>
  <c r="BJ1491" i="1"/>
  <c r="BJ1492" i="1"/>
  <c r="BJ1493" i="1"/>
  <c r="BJ1494" i="1"/>
  <c r="BJ1495" i="1"/>
  <c r="BJ1496" i="1"/>
  <c r="BJ1497" i="1"/>
  <c r="BJ1498" i="1"/>
  <c r="BJ1499" i="1"/>
  <c r="BJ1500" i="1"/>
  <c r="BJ1501" i="1"/>
  <c r="BJ1502" i="1"/>
  <c r="BJ1503" i="1"/>
  <c r="BJ1504" i="1"/>
  <c r="BJ1505" i="1"/>
  <c r="BJ1506" i="1"/>
  <c r="BJ1507" i="1"/>
  <c r="BJ1508" i="1"/>
  <c r="BJ1509" i="1"/>
  <c r="BJ1510" i="1"/>
  <c r="BJ1511" i="1"/>
  <c r="BJ1512" i="1"/>
  <c r="BJ1513" i="1"/>
  <c r="BJ1514" i="1"/>
  <c r="BJ1515" i="1"/>
  <c r="BJ1516" i="1"/>
  <c r="BJ1517" i="1"/>
  <c r="BJ1518" i="1"/>
  <c r="BJ1519" i="1"/>
  <c r="BJ1520" i="1"/>
  <c r="BJ1521" i="1"/>
  <c r="BJ1522" i="1"/>
  <c r="BJ1523" i="1"/>
  <c r="BJ1524" i="1"/>
  <c r="BJ1525" i="1"/>
  <c r="BJ1526" i="1"/>
  <c r="BJ1527" i="1"/>
  <c r="BJ1528" i="1"/>
  <c r="BJ1529" i="1"/>
  <c r="BJ1530" i="1"/>
  <c r="BJ1531" i="1"/>
  <c r="BJ1532" i="1"/>
  <c r="BJ1533" i="1"/>
  <c r="BJ1534" i="1"/>
  <c r="BJ1535" i="1"/>
  <c r="BJ1536" i="1"/>
  <c r="BJ1537" i="1"/>
  <c r="BJ1538" i="1"/>
  <c r="BJ1539" i="1"/>
  <c r="BJ1540" i="1"/>
  <c r="BJ1541" i="1"/>
  <c r="BJ1542" i="1"/>
  <c r="BJ1543" i="1"/>
  <c r="BJ1544" i="1"/>
  <c r="BJ1545" i="1"/>
  <c r="BJ1546" i="1"/>
  <c r="BJ1547" i="1"/>
  <c r="BJ1548" i="1"/>
  <c r="BJ1549" i="1"/>
  <c r="BJ1550" i="1"/>
  <c r="BJ1551" i="1"/>
  <c r="BJ1552" i="1"/>
  <c r="BJ1553" i="1"/>
  <c r="BJ1554" i="1"/>
  <c r="BJ1555" i="1"/>
  <c r="BJ1556" i="1"/>
  <c r="BJ1557" i="1"/>
  <c r="BJ1558" i="1"/>
  <c r="BJ1559" i="1"/>
  <c r="BJ1560" i="1"/>
  <c r="BJ1561" i="1"/>
  <c r="BJ1562" i="1"/>
  <c r="BJ1563" i="1"/>
  <c r="BJ1564" i="1"/>
  <c r="BJ1565" i="1"/>
  <c r="BJ1566" i="1"/>
  <c r="BJ1567" i="1"/>
  <c r="BJ1568" i="1"/>
  <c r="BJ1569" i="1"/>
  <c r="BJ1570" i="1"/>
  <c r="BJ1571" i="1"/>
  <c r="BJ1572" i="1"/>
  <c r="BJ1573" i="1"/>
  <c r="BJ1574" i="1"/>
  <c r="BJ1575" i="1"/>
  <c r="BJ1576" i="1"/>
  <c r="BJ1577" i="1"/>
  <c r="BJ1578" i="1"/>
  <c r="BJ1579" i="1"/>
  <c r="BJ1580" i="1"/>
  <c r="BJ1581" i="1"/>
  <c r="BJ1582" i="1"/>
  <c r="BJ1583" i="1"/>
  <c r="BJ1584" i="1"/>
  <c r="BJ1585" i="1"/>
  <c r="BJ1586" i="1"/>
  <c r="BJ1587" i="1"/>
  <c r="BJ1588" i="1"/>
  <c r="BJ1589" i="1"/>
  <c r="BJ1590" i="1"/>
  <c r="BJ1591" i="1"/>
  <c r="BJ1592" i="1"/>
  <c r="BJ1593" i="1"/>
  <c r="BJ1594" i="1"/>
  <c r="BJ1595" i="1"/>
  <c r="BJ1596" i="1"/>
  <c r="BJ1597" i="1"/>
  <c r="BJ1598" i="1"/>
  <c r="BJ1599" i="1"/>
  <c r="BJ1600" i="1"/>
  <c r="BJ1601" i="1"/>
  <c r="BJ1602" i="1"/>
  <c r="BJ1603" i="1"/>
  <c r="BJ1604" i="1"/>
  <c r="BJ1605" i="1"/>
  <c r="BJ1606" i="1"/>
  <c r="BJ1607" i="1"/>
  <c r="BJ1608" i="1"/>
  <c r="BJ1609" i="1"/>
  <c r="BJ1610" i="1"/>
  <c r="BJ1611" i="1"/>
  <c r="BJ1612" i="1"/>
  <c r="BJ1613" i="1"/>
  <c r="BJ1614" i="1"/>
  <c r="BJ1615" i="1"/>
  <c r="BJ1616" i="1"/>
  <c r="BJ1617" i="1"/>
  <c r="BJ1618" i="1"/>
  <c r="BJ1619" i="1"/>
  <c r="BJ1620" i="1"/>
  <c r="BJ1621" i="1"/>
  <c r="BJ1622" i="1"/>
  <c r="BJ1623" i="1"/>
  <c r="BJ1624" i="1"/>
  <c r="BJ1625" i="1"/>
  <c r="BJ1626" i="1"/>
  <c r="BJ1627" i="1"/>
  <c r="BJ1628" i="1"/>
  <c r="BJ1629" i="1"/>
  <c r="BJ1630" i="1"/>
  <c r="BJ1631" i="1"/>
  <c r="BJ1632" i="1"/>
  <c r="BJ1633" i="1"/>
  <c r="BJ1634" i="1"/>
  <c r="BJ1635" i="1"/>
  <c r="BJ1636" i="1"/>
  <c r="BJ1637" i="1"/>
  <c r="BJ1638" i="1"/>
  <c r="BJ1639" i="1"/>
  <c r="BJ1640" i="1"/>
  <c r="BJ1641" i="1"/>
  <c r="BJ1642" i="1"/>
  <c r="BJ1643" i="1"/>
  <c r="BJ1644" i="1"/>
  <c r="BJ1645" i="1"/>
  <c r="BJ1646" i="1"/>
  <c r="BJ1647" i="1"/>
  <c r="BJ1648" i="1"/>
  <c r="BJ1649" i="1"/>
  <c r="BJ1650" i="1"/>
  <c r="BJ1651" i="1"/>
  <c r="BJ1652" i="1"/>
  <c r="BJ1653" i="1"/>
  <c r="BJ1654" i="1"/>
  <c r="BJ1655" i="1"/>
  <c r="BJ1656" i="1"/>
  <c r="BJ1657" i="1"/>
  <c r="BJ1658" i="1"/>
  <c r="BJ1659" i="1"/>
  <c r="BJ1660" i="1"/>
  <c r="BJ1661" i="1"/>
  <c r="BJ1662" i="1"/>
  <c r="BJ1663" i="1"/>
  <c r="BJ1664" i="1"/>
  <c r="BJ1665" i="1"/>
  <c r="BJ1666" i="1"/>
  <c r="BJ1667" i="1"/>
  <c r="BJ1668" i="1"/>
  <c r="BJ1669" i="1"/>
  <c r="BJ1670" i="1"/>
  <c r="BJ1671" i="1"/>
  <c r="BJ1672" i="1"/>
  <c r="BJ1673" i="1"/>
  <c r="BJ1674" i="1"/>
  <c r="BJ1675" i="1"/>
  <c r="BJ1676" i="1"/>
  <c r="BJ1677" i="1"/>
  <c r="BJ1678" i="1"/>
  <c r="BJ1679" i="1"/>
  <c r="BJ1680" i="1"/>
  <c r="BJ1681" i="1"/>
  <c r="BJ1682" i="1"/>
  <c r="BJ1683" i="1"/>
  <c r="BJ1684" i="1"/>
  <c r="BJ1685" i="1"/>
  <c r="BJ1686" i="1"/>
  <c r="BJ1687" i="1"/>
  <c r="BJ1688" i="1"/>
  <c r="BJ1689" i="1"/>
  <c r="BJ1690" i="1"/>
  <c r="BJ1691" i="1"/>
  <c r="BJ1692" i="1"/>
  <c r="BJ1693" i="1"/>
  <c r="BJ1694" i="1"/>
  <c r="BJ1695" i="1"/>
  <c r="BJ1696" i="1"/>
  <c r="BJ1697" i="1"/>
  <c r="BJ1698" i="1"/>
  <c r="BJ1699" i="1"/>
  <c r="BJ1700" i="1"/>
  <c r="BJ1701" i="1"/>
  <c r="BJ1702" i="1"/>
  <c r="BJ1703" i="1"/>
  <c r="BJ1704" i="1"/>
  <c r="BJ1705" i="1"/>
  <c r="BJ1706" i="1"/>
  <c r="BJ1707" i="1"/>
  <c r="BJ1708" i="1"/>
  <c r="BJ1709" i="1"/>
  <c r="BJ1710" i="1"/>
  <c r="BJ1711" i="1"/>
  <c r="BJ1712" i="1"/>
  <c r="BJ1713" i="1"/>
  <c r="BJ1714" i="1"/>
  <c r="BJ1715" i="1"/>
  <c r="BJ1716" i="1"/>
  <c r="BJ1717" i="1"/>
  <c r="BJ1718" i="1"/>
  <c r="BJ1719" i="1"/>
  <c r="BJ1720" i="1"/>
  <c r="BJ1721" i="1"/>
  <c r="BJ1722" i="1"/>
  <c r="BJ1723" i="1"/>
  <c r="BJ1724" i="1"/>
  <c r="BJ1725" i="1"/>
  <c r="BJ1726" i="1"/>
  <c r="BJ1727" i="1"/>
  <c r="BJ1728" i="1"/>
  <c r="BJ1729" i="1"/>
  <c r="BJ1730" i="1"/>
  <c r="BJ1731" i="1"/>
  <c r="BJ1732" i="1"/>
  <c r="BJ1733" i="1"/>
  <c r="BJ1734" i="1"/>
  <c r="BJ1735" i="1"/>
  <c r="BJ1736" i="1"/>
  <c r="BJ1737" i="1"/>
  <c r="BJ1738" i="1"/>
  <c r="BJ1739" i="1"/>
  <c r="BJ1740" i="1"/>
  <c r="BJ1741" i="1"/>
  <c r="BJ1742" i="1"/>
  <c r="BJ1743" i="1"/>
  <c r="BJ1744" i="1"/>
  <c r="BJ1745" i="1"/>
  <c r="BJ1746" i="1"/>
  <c r="BJ1747" i="1"/>
  <c r="BJ1748" i="1"/>
  <c r="BJ1749" i="1"/>
  <c r="BJ1750" i="1"/>
  <c r="BJ1751" i="1"/>
  <c r="BJ1752" i="1"/>
  <c r="BJ1753" i="1"/>
  <c r="BJ1754" i="1"/>
  <c r="BJ1755" i="1"/>
  <c r="BJ1756" i="1"/>
  <c r="BJ1757" i="1"/>
  <c r="BJ1758" i="1"/>
  <c r="BJ1759" i="1"/>
  <c r="BJ1760" i="1"/>
  <c r="BJ1761" i="1"/>
  <c r="BJ1762" i="1"/>
  <c r="BJ1763" i="1"/>
  <c r="BJ1764" i="1"/>
  <c r="BJ1765" i="1"/>
  <c r="BJ1766" i="1"/>
  <c r="BJ1767" i="1"/>
  <c r="BJ1768" i="1"/>
  <c r="BJ1769" i="1"/>
  <c r="BJ1770" i="1"/>
  <c r="BJ1771" i="1"/>
  <c r="BJ1772" i="1"/>
  <c r="BJ1773" i="1"/>
  <c r="BJ1774" i="1"/>
  <c r="BJ1775" i="1"/>
  <c r="BJ1776" i="1"/>
  <c r="BJ1777" i="1"/>
  <c r="BJ1778" i="1"/>
  <c r="BJ1779" i="1"/>
  <c r="BJ1780" i="1"/>
  <c r="BJ1781" i="1"/>
  <c r="BJ1782" i="1"/>
  <c r="BJ1783" i="1"/>
  <c r="BJ1784" i="1"/>
  <c r="BJ1785" i="1"/>
  <c r="BJ1786" i="1"/>
  <c r="BJ1787" i="1"/>
  <c r="BJ1788" i="1"/>
  <c r="BJ1789" i="1"/>
  <c r="BJ1790" i="1"/>
  <c r="BJ1791" i="1"/>
  <c r="BJ1792" i="1"/>
  <c r="BJ1793" i="1"/>
  <c r="BJ1794" i="1"/>
  <c r="BJ1795" i="1"/>
  <c r="BJ1796" i="1"/>
  <c r="BJ1797" i="1"/>
  <c r="BJ1798" i="1"/>
  <c r="BJ1799" i="1"/>
  <c r="BJ1800" i="1"/>
  <c r="BJ1801" i="1"/>
  <c r="BJ1802" i="1"/>
  <c r="BJ1803" i="1"/>
  <c r="BJ1804" i="1"/>
  <c r="BJ1805" i="1"/>
  <c r="BJ1806" i="1"/>
  <c r="BJ1807" i="1"/>
  <c r="BJ1808" i="1"/>
  <c r="BJ1809" i="1"/>
  <c r="BJ1810" i="1"/>
  <c r="BJ1811" i="1"/>
  <c r="BJ1812" i="1"/>
  <c r="BJ1813" i="1"/>
  <c r="BJ1814" i="1"/>
  <c r="BJ1815" i="1"/>
  <c r="BJ1816" i="1"/>
  <c r="BJ1817" i="1"/>
  <c r="BJ1818" i="1"/>
  <c r="BJ1819" i="1"/>
  <c r="BJ1820" i="1"/>
  <c r="BJ1821" i="1"/>
  <c r="BJ1822" i="1"/>
  <c r="BJ1823" i="1"/>
  <c r="BJ1824" i="1"/>
  <c r="BJ1825" i="1"/>
  <c r="BJ1826" i="1"/>
  <c r="BJ1827" i="1"/>
  <c r="BJ1828" i="1"/>
  <c r="BJ1829" i="1"/>
  <c r="BJ1830" i="1"/>
  <c r="BJ1831" i="1"/>
  <c r="BJ1832" i="1"/>
  <c r="BJ1833" i="1"/>
  <c r="BJ1834" i="1"/>
  <c r="BJ1835" i="1"/>
  <c r="BJ1836" i="1"/>
  <c r="BJ1837" i="1"/>
  <c r="BJ1838" i="1"/>
  <c r="BJ1839" i="1"/>
  <c r="BJ1840" i="1"/>
  <c r="BJ1841" i="1"/>
  <c r="BJ1842" i="1"/>
  <c r="BJ1843" i="1"/>
  <c r="BJ1844" i="1"/>
  <c r="BJ1845" i="1"/>
  <c r="BJ1846" i="1"/>
  <c r="BJ1847" i="1"/>
  <c r="BJ1848" i="1"/>
  <c r="BJ1849" i="1"/>
  <c r="BJ1850" i="1"/>
  <c r="BJ1851" i="1"/>
  <c r="BJ1852" i="1"/>
  <c r="BJ1853" i="1"/>
  <c r="BJ1854" i="1"/>
  <c r="BJ1855" i="1"/>
  <c r="BJ1856" i="1"/>
  <c r="BJ1857" i="1"/>
  <c r="BJ1858" i="1"/>
  <c r="BJ1859" i="1"/>
  <c r="BJ1860" i="1"/>
  <c r="BJ1861" i="1"/>
  <c r="BJ1862" i="1"/>
  <c r="BJ1863" i="1"/>
  <c r="BJ1864" i="1"/>
  <c r="BJ1865" i="1"/>
  <c r="BJ1866" i="1"/>
  <c r="BJ1867" i="1"/>
  <c r="BJ1868" i="1"/>
  <c r="BJ1869" i="1"/>
  <c r="BJ1870" i="1"/>
  <c r="BJ1871" i="1"/>
  <c r="BJ1872" i="1"/>
  <c r="BJ1873" i="1"/>
  <c r="BJ1874" i="1"/>
  <c r="BJ1875" i="1"/>
  <c r="BJ1876" i="1"/>
  <c r="BJ1877" i="1"/>
  <c r="BJ1878" i="1"/>
  <c r="BJ1879" i="1"/>
  <c r="BJ1880" i="1"/>
  <c r="BJ1881" i="1"/>
  <c r="BJ1882" i="1"/>
  <c r="BJ1883" i="1"/>
  <c r="BJ1884" i="1"/>
  <c r="BJ1885" i="1"/>
  <c r="BJ1886" i="1"/>
  <c r="BJ1887" i="1"/>
  <c r="BJ1888" i="1"/>
  <c r="BJ1889" i="1"/>
  <c r="BJ1890" i="1"/>
  <c r="BJ1891" i="1"/>
  <c r="BJ1892" i="1"/>
  <c r="BJ1893" i="1"/>
  <c r="BJ1894" i="1"/>
  <c r="BJ1895" i="1"/>
  <c r="BJ1896" i="1"/>
  <c r="BJ1897" i="1"/>
  <c r="BJ1898" i="1"/>
  <c r="BJ1899" i="1"/>
  <c r="BJ1900" i="1"/>
  <c r="BJ1901" i="1"/>
  <c r="BJ1902" i="1"/>
  <c r="BJ1903" i="1"/>
  <c r="BJ1904" i="1"/>
  <c r="BJ1905" i="1"/>
  <c r="BJ1906" i="1"/>
  <c r="BJ1907" i="1"/>
  <c r="BJ1908" i="1"/>
  <c r="BJ1909" i="1"/>
  <c r="BJ1910" i="1"/>
  <c r="BJ1911" i="1"/>
  <c r="BJ1912" i="1"/>
  <c r="BJ1913" i="1"/>
  <c r="BJ1914" i="1"/>
  <c r="BJ1915" i="1"/>
  <c r="BJ1916" i="1"/>
  <c r="BJ1917" i="1"/>
  <c r="BJ1918" i="1"/>
  <c r="BJ1919" i="1"/>
  <c r="BJ1920" i="1"/>
  <c r="BJ1921" i="1"/>
  <c r="BJ1922" i="1"/>
  <c r="BJ1923" i="1"/>
  <c r="BJ1924" i="1"/>
  <c r="BJ1925" i="1"/>
  <c r="BJ1926" i="1"/>
  <c r="BJ1927" i="1"/>
  <c r="BJ1928" i="1"/>
  <c r="BJ1929" i="1"/>
  <c r="BJ1930" i="1"/>
  <c r="BJ1931" i="1"/>
  <c r="BJ1932" i="1"/>
  <c r="BJ1933" i="1"/>
  <c r="BJ1934" i="1"/>
  <c r="BJ1935" i="1"/>
  <c r="BJ1936" i="1"/>
  <c r="BJ1937" i="1"/>
  <c r="BJ1938" i="1"/>
  <c r="BJ1939" i="1"/>
  <c r="BJ1940" i="1"/>
  <c r="BJ1941" i="1"/>
  <c r="BJ1942" i="1"/>
  <c r="BJ1943" i="1"/>
  <c r="BJ1944" i="1"/>
  <c r="BJ1945" i="1"/>
  <c r="BJ1946" i="1"/>
  <c r="BJ1947" i="1"/>
  <c r="BJ1948" i="1"/>
  <c r="BJ1949" i="1"/>
  <c r="BJ1950" i="1"/>
  <c r="BJ1951" i="1"/>
  <c r="BJ1952" i="1"/>
  <c r="BJ1953" i="1"/>
  <c r="BJ1954" i="1"/>
  <c r="BJ1955" i="1"/>
  <c r="BJ1956" i="1"/>
  <c r="BJ1957" i="1"/>
  <c r="BJ1958" i="1"/>
  <c r="BJ1959" i="1"/>
  <c r="BJ1960" i="1"/>
  <c r="BJ1961" i="1"/>
  <c r="BJ1962" i="1"/>
  <c r="BJ1963" i="1"/>
  <c r="BJ1964" i="1"/>
  <c r="BJ1965" i="1"/>
  <c r="BJ1966" i="1"/>
  <c r="BJ1967" i="1"/>
  <c r="BJ1968" i="1"/>
  <c r="BJ1969" i="1"/>
  <c r="BJ1970" i="1"/>
  <c r="BJ1971" i="1"/>
  <c r="BJ1972" i="1"/>
  <c r="BJ1973" i="1"/>
  <c r="BJ1974" i="1"/>
  <c r="BJ1975" i="1"/>
  <c r="BJ1976" i="1"/>
  <c r="BJ1977" i="1"/>
  <c r="BJ1978" i="1"/>
  <c r="BJ1979" i="1"/>
  <c r="BJ1980" i="1"/>
  <c r="BJ1981" i="1"/>
  <c r="BJ1982" i="1"/>
  <c r="BJ1983" i="1"/>
  <c r="BJ1984" i="1"/>
  <c r="BJ1985" i="1"/>
  <c r="BJ1986" i="1"/>
  <c r="BJ1987" i="1"/>
  <c r="BJ1988" i="1"/>
  <c r="BJ1989" i="1"/>
  <c r="BJ1990" i="1"/>
  <c r="BJ1991" i="1"/>
  <c r="BJ1992" i="1"/>
  <c r="BJ1993" i="1"/>
  <c r="BJ1994" i="1"/>
  <c r="BJ1995" i="1"/>
  <c r="BJ1996" i="1"/>
  <c r="BJ1997" i="1"/>
  <c r="BJ1998" i="1"/>
  <c r="BJ1999" i="1"/>
  <c r="BJ2000" i="1"/>
  <c r="BJ2001" i="1"/>
  <c r="BJ2002" i="1"/>
  <c r="BJ2003" i="1"/>
  <c r="BJ2004" i="1"/>
  <c r="BJ2005" i="1"/>
  <c r="BJ2006" i="1"/>
  <c r="BJ2007" i="1"/>
  <c r="BJ2008" i="1"/>
  <c r="BJ2009" i="1"/>
  <c r="BJ2010" i="1"/>
  <c r="BJ2011" i="1"/>
  <c r="BJ2012" i="1"/>
  <c r="BJ2013" i="1"/>
  <c r="BJ2014" i="1"/>
  <c r="BJ2015" i="1"/>
  <c r="BJ2016" i="1"/>
  <c r="BJ2017" i="1"/>
  <c r="BJ2018" i="1"/>
  <c r="BJ2019" i="1"/>
  <c r="BJ2020" i="1"/>
  <c r="BJ2021" i="1"/>
  <c r="BJ2022" i="1"/>
  <c r="BJ2023" i="1"/>
  <c r="BJ2024" i="1"/>
  <c r="BJ2025" i="1"/>
  <c r="BJ2026" i="1"/>
  <c r="BJ2027" i="1"/>
  <c r="BJ2028" i="1"/>
  <c r="BJ2029" i="1"/>
  <c r="BJ2030" i="1"/>
  <c r="BJ2031" i="1"/>
  <c r="BJ2032" i="1"/>
  <c r="BJ2033" i="1"/>
  <c r="BJ2034" i="1"/>
  <c r="BJ2035" i="1"/>
  <c r="BJ2036" i="1"/>
  <c r="BJ2037" i="1"/>
  <c r="BJ2038" i="1"/>
  <c r="BJ2039" i="1"/>
  <c r="BJ2040" i="1"/>
  <c r="BJ2041" i="1"/>
  <c r="BJ2042" i="1"/>
  <c r="BJ2043" i="1"/>
  <c r="BJ2044" i="1"/>
  <c r="BJ2045" i="1"/>
  <c r="BJ2046" i="1"/>
  <c r="BJ2047" i="1"/>
  <c r="BJ2048" i="1"/>
  <c r="BJ2049" i="1"/>
  <c r="BJ2050" i="1"/>
  <c r="BJ2051" i="1"/>
  <c r="BJ2052" i="1"/>
  <c r="BJ2053" i="1"/>
  <c r="BJ2054" i="1"/>
  <c r="BJ2055" i="1"/>
  <c r="BJ2056" i="1"/>
  <c r="BJ2057" i="1"/>
  <c r="BJ2058" i="1"/>
  <c r="BJ2059" i="1"/>
  <c r="BJ2060" i="1"/>
  <c r="BJ2061" i="1"/>
  <c r="BJ2062" i="1"/>
  <c r="BJ2063" i="1"/>
  <c r="BJ2064" i="1"/>
  <c r="BJ2065" i="1"/>
  <c r="BJ2066" i="1"/>
  <c r="BJ2067" i="1"/>
  <c r="BJ2068" i="1"/>
  <c r="BJ2069" i="1"/>
  <c r="BJ2070" i="1"/>
  <c r="BJ2071" i="1"/>
  <c r="BJ2072" i="1"/>
  <c r="BJ2073" i="1"/>
  <c r="BJ2074" i="1"/>
  <c r="BJ2075" i="1"/>
  <c r="BJ2076" i="1"/>
  <c r="BJ2077" i="1"/>
  <c r="BJ2078" i="1"/>
  <c r="BJ2079" i="1"/>
  <c r="BJ2080" i="1"/>
  <c r="BJ2081" i="1"/>
  <c r="BJ2082" i="1"/>
  <c r="BJ2083" i="1"/>
  <c r="BJ2084" i="1"/>
  <c r="BJ2085" i="1"/>
  <c r="BJ2086" i="1"/>
  <c r="BJ2087" i="1"/>
  <c r="BJ2088" i="1"/>
  <c r="BJ2089" i="1"/>
  <c r="BJ2090" i="1"/>
  <c r="BJ2091" i="1"/>
  <c r="BJ2092" i="1"/>
  <c r="BJ2093" i="1"/>
  <c r="BJ2094" i="1"/>
  <c r="BJ2095" i="1"/>
  <c r="BJ2096" i="1"/>
  <c r="BJ2098" i="1"/>
  <c r="BJ2099" i="1"/>
  <c r="BJ2100" i="1"/>
  <c r="BJ2101" i="1"/>
  <c r="BJ2102" i="1"/>
  <c r="BJ2103" i="1"/>
  <c r="BJ2104" i="1"/>
  <c r="BJ2105" i="1"/>
  <c r="BJ2106" i="1"/>
  <c r="BJ2107" i="1"/>
  <c r="BJ2108" i="1"/>
  <c r="BJ2109" i="1"/>
  <c r="BJ2110" i="1"/>
  <c r="BJ2111" i="1"/>
  <c r="BJ2112" i="1"/>
  <c r="BJ2113" i="1"/>
  <c r="BJ2114" i="1"/>
  <c r="BJ2115" i="1"/>
  <c r="BJ2116" i="1"/>
  <c r="BJ2117" i="1"/>
  <c r="BJ2118" i="1"/>
  <c r="BJ2119" i="1"/>
  <c r="BJ2120" i="1"/>
  <c r="BJ2121" i="1"/>
  <c r="BJ2122" i="1"/>
  <c r="BJ2123" i="1"/>
  <c r="BJ2124" i="1"/>
  <c r="BJ2125" i="1"/>
  <c r="BJ2126" i="1"/>
  <c r="BJ2127" i="1"/>
  <c r="BJ2128" i="1"/>
  <c r="BJ2129" i="1"/>
  <c r="BJ2130" i="1"/>
  <c r="BJ2131" i="1"/>
  <c r="BJ2132" i="1"/>
  <c r="BJ2133" i="1"/>
  <c r="BJ2134" i="1"/>
  <c r="BJ2135" i="1"/>
  <c r="BJ2136" i="1"/>
  <c r="BJ2137" i="1"/>
  <c r="BJ2138" i="1"/>
  <c r="BJ2139" i="1"/>
  <c r="BJ2140" i="1"/>
  <c r="BJ2141" i="1"/>
  <c r="BJ2142" i="1"/>
  <c r="BJ2143" i="1"/>
  <c r="BJ2144" i="1"/>
  <c r="BJ2145" i="1"/>
  <c r="BJ2146" i="1"/>
  <c r="BJ2147" i="1"/>
  <c r="BJ2148" i="1"/>
  <c r="BJ2149" i="1"/>
  <c r="BJ2150" i="1"/>
  <c r="BJ2151" i="1"/>
  <c r="BJ2152" i="1"/>
  <c r="BJ2153" i="1"/>
  <c r="BJ2154" i="1"/>
  <c r="BJ2155" i="1"/>
  <c r="BJ2156" i="1"/>
  <c r="BJ2157" i="1"/>
  <c r="BJ2158" i="1"/>
  <c r="BJ2159" i="1"/>
  <c r="BJ2160" i="1"/>
  <c r="BJ2161" i="1"/>
  <c r="BJ2162" i="1"/>
  <c r="BJ2163" i="1"/>
  <c r="BJ2164" i="1"/>
  <c r="BJ2165" i="1"/>
  <c r="BJ2166" i="1"/>
  <c r="BJ2167" i="1"/>
  <c r="BJ2168" i="1"/>
  <c r="BJ2169" i="1"/>
  <c r="BJ2170" i="1"/>
  <c r="BJ2171" i="1"/>
  <c r="BJ2172" i="1"/>
  <c r="BJ2173" i="1"/>
  <c r="BJ2174" i="1"/>
  <c r="BJ2175" i="1"/>
  <c r="BJ2176" i="1"/>
  <c r="BJ2177" i="1"/>
  <c r="BJ2178" i="1"/>
  <c r="BJ2179" i="1"/>
  <c r="BJ2180" i="1"/>
  <c r="BJ2181" i="1"/>
  <c r="BJ2182" i="1"/>
  <c r="BJ2183" i="1"/>
  <c r="BJ2184" i="1"/>
  <c r="BJ2185" i="1"/>
  <c r="BJ2186" i="1"/>
  <c r="BJ2187" i="1"/>
  <c r="BJ2188" i="1"/>
  <c r="BJ2189" i="1"/>
  <c r="BJ2190" i="1"/>
  <c r="BJ2191" i="1"/>
  <c r="BJ2192" i="1"/>
  <c r="BJ2193" i="1"/>
  <c r="BJ2194" i="1"/>
  <c r="BJ2195" i="1"/>
  <c r="BJ2196" i="1"/>
  <c r="BJ2197" i="1"/>
  <c r="BJ2198" i="1"/>
  <c r="BJ2199" i="1"/>
  <c r="BJ2200" i="1"/>
  <c r="BJ2201" i="1"/>
  <c r="BJ2202" i="1"/>
  <c r="BJ2203" i="1"/>
  <c r="BJ2204" i="1"/>
  <c r="BJ2205" i="1"/>
  <c r="BJ2206" i="1"/>
  <c r="BJ2207" i="1"/>
  <c r="BJ2208" i="1"/>
  <c r="BJ2209" i="1"/>
  <c r="BJ2210" i="1"/>
  <c r="BJ2211" i="1"/>
  <c r="BJ2212" i="1"/>
  <c r="BJ2213" i="1"/>
  <c r="BJ2214" i="1"/>
  <c r="BJ2215" i="1"/>
  <c r="BJ2216" i="1"/>
  <c r="BJ2217" i="1"/>
  <c r="BJ2218" i="1"/>
  <c r="BJ2219" i="1"/>
  <c r="BJ2220" i="1"/>
  <c r="BJ2221" i="1"/>
  <c r="BJ2222" i="1"/>
  <c r="BJ2223" i="1"/>
  <c r="BJ2224" i="1"/>
  <c r="BJ2225" i="1"/>
  <c r="BJ2226" i="1"/>
  <c r="BJ2227" i="1"/>
  <c r="BJ2228" i="1"/>
  <c r="BJ2229" i="1"/>
  <c r="BJ2230" i="1"/>
  <c r="BJ2231" i="1"/>
  <c r="BJ2232" i="1"/>
  <c r="BJ2233" i="1"/>
  <c r="BJ2234" i="1"/>
  <c r="BJ2235" i="1"/>
  <c r="BJ2236" i="1"/>
  <c r="BJ2237" i="1"/>
  <c r="BJ2238" i="1"/>
  <c r="BJ2239" i="1"/>
  <c r="BJ2240" i="1"/>
  <c r="BJ2241" i="1"/>
  <c r="BJ2242" i="1"/>
  <c r="BJ2243" i="1"/>
  <c r="BJ2244" i="1"/>
  <c r="BJ2245" i="1"/>
  <c r="BJ2246" i="1"/>
  <c r="BJ2247" i="1"/>
  <c r="BJ2248" i="1"/>
  <c r="BJ2249" i="1"/>
  <c r="BJ2250" i="1"/>
  <c r="BJ2251" i="1"/>
  <c r="BJ2252" i="1"/>
  <c r="BJ2253" i="1"/>
  <c r="BJ2254" i="1"/>
  <c r="BJ2255" i="1"/>
  <c r="BJ2256" i="1"/>
  <c r="BJ2257" i="1"/>
  <c r="BJ2258" i="1"/>
  <c r="BJ2259" i="1"/>
  <c r="BJ2260" i="1"/>
  <c r="BJ2261" i="1"/>
  <c r="BJ2262" i="1"/>
  <c r="BJ2263" i="1"/>
  <c r="BJ2264" i="1"/>
  <c r="BJ2265" i="1"/>
  <c r="BJ2266" i="1"/>
  <c r="BJ2267" i="1"/>
  <c r="BJ2268" i="1"/>
  <c r="BJ2269" i="1"/>
  <c r="BJ2270" i="1"/>
  <c r="BJ2271" i="1"/>
  <c r="BJ2272" i="1"/>
  <c r="BJ2273" i="1"/>
  <c r="BJ2274" i="1"/>
  <c r="BJ2275" i="1"/>
  <c r="BJ2276" i="1"/>
  <c r="BJ2277" i="1"/>
  <c r="BJ2278" i="1"/>
  <c r="BJ2279" i="1"/>
  <c r="BJ2280" i="1"/>
  <c r="BJ2281" i="1"/>
  <c r="BJ2282" i="1"/>
  <c r="BJ2283" i="1"/>
  <c r="BJ2284" i="1"/>
  <c r="BJ2285" i="1"/>
  <c r="BJ2286" i="1"/>
  <c r="BJ2287" i="1"/>
  <c r="BJ2288" i="1"/>
  <c r="BJ2289" i="1"/>
  <c r="BJ2290" i="1"/>
  <c r="BJ2291" i="1"/>
  <c r="BJ2292" i="1"/>
  <c r="BJ2293" i="1"/>
  <c r="BJ2294" i="1"/>
  <c r="BJ2295" i="1"/>
  <c r="BJ2296" i="1"/>
  <c r="BJ2297" i="1"/>
  <c r="BJ2298" i="1"/>
  <c r="BJ2299" i="1"/>
  <c r="BJ2300" i="1"/>
  <c r="BJ2301" i="1"/>
  <c r="BJ2302" i="1"/>
  <c r="BJ2303" i="1"/>
  <c r="BJ2304" i="1"/>
  <c r="BJ2305" i="1"/>
  <c r="BJ2306" i="1"/>
  <c r="BJ2307" i="1"/>
  <c r="BJ2308" i="1"/>
  <c r="BJ2309" i="1"/>
  <c r="BJ2310" i="1"/>
  <c r="BJ2311" i="1"/>
  <c r="BJ2312" i="1"/>
  <c r="BJ2313" i="1"/>
  <c r="BJ2314" i="1"/>
  <c r="BJ2315" i="1"/>
  <c r="BJ2316" i="1"/>
  <c r="BJ2317" i="1"/>
  <c r="BJ2318" i="1"/>
  <c r="BJ2319" i="1"/>
  <c r="BJ2320" i="1"/>
  <c r="BJ2321" i="1"/>
  <c r="BJ2322" i="1"/>
  <c r="BJ2323" i="1"/>
  <c r="BJ2324" i="1"/>
  <c r="BJ2325" i="1"/>
  <c r="BJ2326" i="1"/>
  <c r="BJ2327" i="1"/>
  <c r="BJ2328" i="1"/>
  <c r="BJ2329" i="1"/>
  <c r="BJ2330" i="1"/>
  <c r="BJ2331" i="1"/>
  <c r="BJ2332" i="1"/>
  <c r="BJ2333" i="1"/>
  <c r="BJ2334" i="1"/>
  <c r="BJ2335" i="1"/>
  <c r="BJ2336" i="1"/>
  <c r="BJ2337" i="1"/>
  <c r="BJ2338" i="1"/>
  <c r="BJ2339" i="1"/>
  <c r="BJ2340" i="1"/>
  <c r="BJ2341" i="1"/>
  <c r="BJ2342" i="1"/>
  <c r="BJ2343" i="1"/>
  <c r="BJ2344" i="1"/>
  <c r="BJ2345" i="1"/>
  <c r="BJ2346" i="1"/>
  <c r="BJ2347" i="1"/>
  <c r="BJ2348" i="1"/>
  <c r="BJ2349" i="1"/>
  <c r="BJ2350" i="1"/>
  <c r="BJ2351" i="1"/>
  <c r="BJ2352" i="1"/>
  <c r="BJ2353" i="1"/>
  <c r="BJ2354" i="1"/>
  <c r="BJ2355" i="1"/>
  <c r="BJ2356" i="1"/>
  <c r="BJ2357" i="1"/>
  <c r="BJ2358" i="1"/>
  <c r="BJ2359" i="1"/>
  <c r="BJ2360" i="1"/>
  <c r="BJ2361" i="1"/>
  <c r="BJ2362" i="1"/>
  <c r="BJ2363" i="1"/>
  <c r="BJ2364" i="1"/>
  <c r="BJ2365" i="1"/>
  <c r="BJ2366" i="1"/>
  <c r="BJ2367" i="1"/>
  <c r="BJ2368" i="1"/>
  <c r="BJ2369" i="1"/>
  <c r="BJ2370" i="1"/>
  <c r="BJ2371" i="1"/>
  <c r="BJ2372" i="1"/>
  <c r="BJ2373" i="1"/>
  <c r="BJ2374" i="1"/>
  <c r="BJ2375" i="1"/>
  <c r="BJ2376" i="1"/>
  <c r="BJ2377" i="1"/>
  <c r="BJ2378" i="1"/>
  <c r="BJ2379" i="1"/>
  <c r="BJ2380" i="1"/>
  <c r="BJ2381" i="1"/>
  <c r="BJ2382" i="1"/>
  <c r="BJ2383" i="1"/>
  <c r="BJ2384" i="1"/>
  <c r="BJ2385" i="1"/>
  <c r="BJ2386" i="1"/>
  <c r="BJ2387" i="1"/>
  <c r="BJ2388" i="1"/>
  <c r="BJ2389" i="1"/>
  <c r="BJ2390" i="1"/>
  <c r="BJ2391" i="1"/>
  <c r="BJ2392" i="1"/>
  <c r="BJ2393" i="1"/>
  <c r="BJ2394" i="1"/>
  <c r="BJ2395" i="1"/>
  <c r="BJ2396" i="1"/>
  <c r="BJ2397" i="1"/>
  <c r="BJ2398" i="1"/>
  <c r="BJ2399" i="1"/>
  <c r="BJ2400" i="1"/>
  <c r="BJ2401" i="1"/>
  <c r="BJ2402" i="1"/>
  <c r="BJ2403" i="1"/>
  <c r="BJ2404" i="1"/>
  <c r="BJ2405" i="1"/>
  <c r="BJ2406" i="1"/>
  <c r="BJ2407" i="1"/>
  <c r="BJ2408" i="1"/>
  <c r="BJ2409" i="1"/>
  <c r="BJ2410" i="1"/>
  <c r="BJ2411" i="1"/>
  <c r="BJ2412" i="1"/>
  <c r="BJ2413" i="1"/>
  <c r="BJ2414" i="1"/>
  <c r="BJ2415" i="1"/>
  <c r="BJ2416" i="1"/>
  <c r="BJ2417" i="1"/>
  <c r="BJ2418" i="1"/>
  <c r="BJ2419" i="1"/>
  <c r="BJ2420" i="1"/>
  <c r="BJ2421" i="1"/>
  <c r="BJ2422" i="1"/>
  <c r="BJ2423" i="1"/>
  <c r="BJ2424" i="1"/>
  <c r="BJ2425" i="1"/>
  <c r="BJ2426" i="1"/>
  <c r="BJ2427" i="1"/>
  <c r="BJ2428" i="1"/>
  <c r="BJ2429" i="1"/>
  <c r="BD3" i="1"/>
  <c r="BD4" i="1" s="1"/>
  <c r="BD5" i="1" s="1"/>
  <c r="BD6" i="1" s="1"/>
  <c r="BD7" i="1" s="1"/>
  <c r="BD8" i="1" s="1"/>
  <c r="BD9" i="1" s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BD61" i="1" s="1"/>
  <c r="BD62" i="1" s="1"/>
  <c r="BD63" i="1" s="1"/>
  <c r="BD64" i="1" s="1"/>
  <c r="BD65" i="1" s="1"/>
  <c r="BD66" i="1" s="1"/>
  <c r="BD67" i="1" s="1"/>
  <c r="BD68" i="1" s="1"/>
  <c r="BD69" i="1" s="1"/>
  <c r="BD70" i="1" s="1"/>
  <c r="BD71" i="1" s="1"/>
  <c r="BD72" i="1" s="1"/>
  <c r="BD73" i="1" s="1"/>
  <c r="BD74" i="1" s="1"/>
  <c r="BD75" i="1" s="1"/>
  <c r="BD76" i="1" s="1"/>
  <c r="BD77" i="1" s="1"/>
  <c r="BD78" i="1" s="1"/>
  <c r="BD79" i="1" s="1"/>
  <c r="BD80" i="1" s="1"/>
  <c r="BD81" i="1" s="1"/>
  <c r="BD82" i="1" s="1"/>
  <c r="BD83" i="1" s="1"/>
  <c r="BD84" i="1" s="1"/>
  <c r="BD85" i="1" s="1"/>
  <c r="BD86" i="1" s="1"/>
  <c r="BD87" i="1" s="1"/>
  <c r="BD88" i="1" s="1"/>
  <c r="BD89" i="1" s="1"/>
  <c r="BD90" i="1" s="1"/>
  <c r="BD91" i="1" s="1"/>
  <c r="BD92" i="1" s="1"/>
  <c r="BD93" i="1" s="1"/>
  <c r="BD94" i="1" s="1"/>
  <c r="BD95" i="1" s="1"/>
  <c r="BD96" i="1" s="1"/>
  <c r="BD97" i="1" s="1"/>
  <c r="BD98" i="1" s="1"/>
  <c r="BD99" i="1" s="1"/>
  <c r="BD100" i="1" s="1"/>
  <c r="BD101" i="1" s="1"/>
  <c r="BD102" i="1" s="1"/>
  <c r="BD103" i="1" s="1"/>
  <c r="BD104" i="1" s="1"/>
  <c r="BD105" i="1" s="1"/>
  <c r="BD106" i="1" s="1"/>
  <c r="BD107" i="1" s="1"/>
  <c r="BD108" i="1" s="1"/>
  <c r="BD109" i="1" s="1"/>
  <c r="BD110" i="1" s="1"/>
  <c r="BD111" i="1" s="1"/>
  <c r="BD112" i="1" s="1"/>
  <c r="BD113" i="1" s="1"/>
  <c r="BD114" i="1" s="1"/>
  <c r="BD115" i="1" s="1"/>
  <c r="BD116" i="1" s="1"/>
  <c r="BD117" i="1" s="1"/>
  <c r="BD118" i="1" s="1"/>
  <c r="BD119" i="1" s="1"/>
  <c r="BD120" i="1" s="1"/>
  <c r="BD121" i="1" s="1"/>
  <c r="BD122" i="1" s="1"/>
  <c r="BD123" i="1" s="1"/>
  <c r="BD124" i="1" s="1"/>
  <c r="BD125" i="1" s="1"/>
  <c r="BD126" i="1" s="1"/>
  <c r="BD127" i="1" s="1"/>
  <c r="BD128" i="1" s="1"/>
  <c r="BD129" i="1" s="1"/>
  <c r="BD130" i="1" s="1"/>
  <c r="BD131" i="1" s="1"/>
  <c r="BD132" i="1" s="1"/>
  <c r="BD133" i="1" s="1"/>
  <c r="BD134" i="1" s="1"/>
  <c r="BD135" i="1" s="1"/>
  <c r="BD136" i="1" s="1"/>
  <c r="BD137" i="1" s="1"/>
  <c r="BD138" i="1" s="1"/>
  <c r="BD139" i="1" s="1"/>
  <c r="BD140" i="1" s="1"/>
  <c r="BD141" i="1" s="1"/>
  <c r="BD142" i="1" s="1"/>
  <c r="BD143" i="1" s="1"/>
  <c r="BD144" i="1" s="1"/>
  <c r="BD145" i="1" s="1"/>
  <c r="BD146" i="1" s="1"/>
  <c r="BD147" i="1" s="1"/>
  <c r="BD148" i="1" s="1"/>
  <c r="BD149" i="1" s="1"/>
  <c r="BD150" i="1" s="1"/>
  <c r="BD151" i="1" s="1"/>
  <c r="BD152" i="1" s="1"/>
  <c r="BD153" i="1" s="1"/>
  <c r="BD154" i="1" s="1"/>
  <c r="BD155" i="1" s="1"/>
  <c r="BD156" i="1" s="1"/>
  <c r="BD157" i="1" s="1"/>
  <c r="BD158" i="1" s="1"/>
  <c r="BD159" i="1" s="1"/>
  <c r="BD160" i="1" s="1"/>
  <c r="BD161" i="1" s="1"/>
  <c r="BD162" i="1" s="1"/>
  <c r="BD163" i="1" s="1"/>
  <c r="BD164" i="1" s="1"/>
  <c r="BD165" i="1" s="1"/>
  <c r="BD166" i="1" s="1"/>
  <c r="BD167" i="1" s="1"/>
  <c r="BD168" i="1" s="1"/>
  <c r="BD169" i="1" s="1"/>
  <c r="BD170" i="1" s="1"/>
  <c r="BD171" i="1" s="1"/>
  <c r="BD172" i="1" s="1"/>
  <c r="BD173" i="1" s="1"/>
  <c r="BD174" i="1" s="1"/>
  <c r="BD175" i="1" s="1"/>
  <c r="BD176" i="1" s="1"/>
  <c r="BD177" i="1" s="1"/>
  <c r="BD178" i="1" s="1"/>
  <c r="BD179" i="1" s="1"/>
  <c r="BD180" i="1" s="1"/>
  <c r="BD181" i="1" s="1"/>
  <c r="BD182" i="1" s="1"/>
  <c r="BD183" i="1" s="1"/>
  <c r="BD184" i="1" s="1"/>
  <c r="BD185" i="1" s="1"/>
  <c r="BD186" i="1" s="1"/>
  <c r="BD187" i="1" s="1"/>
  <c r="BD188" i="1" s="1"/>
  <c r="BD189" i="1" s="1"/>
  <c r="BD190" i="1" s="1"/>
  <c r="BD191" i="1" s="1"/>
  <c r="BD192" i="1" s="1"/>
  <c r="BD193" i="1" s="1"/>
  <c r="BD194" i="1" s="1"/>
  <c r="BD195" i="1" s="1"/>
  <c r="BD196" i="1" s="1"/>
  <c r="BD197" i="1" s="1"/>
  <c r="BD198" i="1" s="1"/>
  <c r="BD199" i="1" s="1"/>
  <c r="BD200" i="1" s="1"/>
  <c r="BD201" i="1" s="1"/>
  <c r="BD202" i="1" s="1"/>
  <c r="BD203" i="1" s="1"/>
  <c r="BD204" i="1" s="1"/>
  <c r="BD205" i="1" s="1"/>
  <c r="BD206" i="1" s="1"/>
  <c r="BD207" i="1" s="1"/>
  <c r="BD208" i="1" s="1"/>
  <c r="BD209" i="1" s="1"/>
  <c r="BD210" i="1" s="1"/>
  <c r="BD211" i="1" s="1"/>
  <c r="BD212" i="1" s="1"/>
  <c r="BD213" i="1" s="1"/>
  <c r="BD214" i="1" s="1"/>
  <c r="BD215" i="1" s="1"/>
  <c r="BD216" i="1" s="1"/>
  <c r="BD217" i="1" s="1"/>
  <c r="BD218" i="1" s="1"/>
  <c r="BD219" i="1" s="1"/>
  <c r="BD220" i="1" s="1"/>
  <c r="BD221" i="1" s="1"/>
  <c r="BD222" i="1" s="1"/>
  <c r="BD223" i="1" s="1"/>
  <c r="BD224" i="1" s="1"/>
  <c r="BD225" i="1" s="1"/>
  <c r="BD226" i="1" s="1"/>
  <c r="BD227" i="1" s="1"/>
  <c r="BD228" i="1" s="1"/>
  <c r="BD229" i="1" s="1"/>
  <c r="BD230" i="1" s="1"/>
  <c r="BD231" i="1" s="1"/>
  <c r="BD232" i="1" s="1"/>
  <c r="BD233" i="1" s="1"/>
  <c r="BD234" i="1" s="1"/>
  <c r="BD235" i="1" s="1"/>
  <c r="BD236" i="1" s="1"/>
  <c r="BD237" i="1" s="1"/>
  <c r="BD238" i="1" s="1"/>
  <c r="BD239" i="1" s="1"/>
  <c r="BD240" i="1" s="1"/>
  <c r="BD241" i="1" s="1"/>
  <c r="BD242" i="1" s="1"/>
  <c r="BD243" i="1" s="1"/>
  <c r="BD244" i="1" s="1"/>
  <c r="BD245" i="1" s="1"/>
  <c r="BD246" i="1" s="1"/>
  <c r="BD247" i="1" s="1"/>
  <c r="BD248" i="1" s="1"/>
  <c r="BD249" i="1" s="1"/>
  <c r="BD250" i="1" s="1"/>
  <c r="BD251" i="1" s="1"/>
  <c r="BD252" i="1" s="1"/>
  <c r="BD253" i="1" s="1"/>
  <c r="BD254" i="1" s="1"/>
  <c r="BD255" i="1" s="1"/>
  <c r="BD256" i="1" s="1"/>
  <c r="BD257" i="1" s="1"/>
  <c r="BD258" i="1" s="1"/>
  <c r="BD259" i="1" s="1"/>
  <c r="BD260" i="1" s="1"/>
  <c r="BD261" i="1" s="1"/>
  <c r="BD262" i="1" s="1"/>
  <c r="BD263" i="1" s="1"/>
  <c r="BD264" i="1" s="1"/>
  <c r="BD265" i="1" s="1"/>
  <c r="BD266" i="1" s="1"/>
  <c r="BD267" i="1" s="1"/>
  <c r="BD268" i="1" s="1"/>
  <c r="BD269" i="1" s="1"/>
  <c r="BD270" i="1" s="1"/>
  <c r="BD271" i="1" s="1"/>
  <c r="BD272" i="1" s="1"/>
  <c r="BD273" i="1" s="1"/>
  <c r="BD274" i="1" s="1"/>
  <c r="BD275" i="1" s="1"/>
  <c r="BD276" i="1" s="1"/>
  <c r="BD277" i="1" s="1"/>
  <c r="BD278" i="1" s="1"/>
  <c r="BD279" i="1" s="1"/>
  <c r="BD280" i="1" s="1"/>
  <c r="BD281" i="1" s="1"/>
  <c r="BD282" i="1" s="1"/>
  <c r="BD283" i="1" s="1"/>
  <c r="BD284" i="1" s="1"/>
  <c r="BD285" i="1" s="1"/>
  <c r="BD286" i="1" s="1"/>
  <c r="BD287" i="1" s="1"/>
  <c r="BD288" i="1" s="1"/>
  <c r="BD289" i="1" s="1"/>
  <c r="BD290" i="1" s="1"/>
  <c r="BD291" i="1" s="1"/>
  <c r="BD292" i="1" s="1"/>
  <c r="BD293" i="1" s="1"/>
  <c r="BD294" i="1" s="1"/>
  <c r="BD295" i="1" s="1"/>
  <c r="BD296" i="1" s="1"/>
  <c r="BD297" i="1" s="1"/>
  <c r="BD298" i="1" s="1"/>
  <c r="BD299" i="1" s="1"/>
  <c r="BD300" i="1" s="1"/>
  <c r="BD301" i="1" s="1"/>
  <c r="BD302" i="1" s="1"/>
  <c r="BD303" i="1" s="1"/>
  <c r="BD304" i="1" s="1"/>
  <c r="BD305" i="1" s="1"/>
  <c r="BD306" i="1" s="1"/>
  <c r="BD307" i="1" s="1"/>
  <c r="BD308" i="1" s="1"/>
  <c r="BD309" i="1" s="1"/>
  <c r="BD310" i="1" s="1"/>
  <c r="BD311" i="1" s="1"/>
  <c r="BD312" i="1" s="1"/>
  <c r="BD313" i="1" s="1"/>
  <c r="BD314" i="1" s="1"/>
  <c r="BD315" i="1" s="1"/>
  <c r="BD316" i="1" s="1"/>
  <c r="BD317" i="1" s="1"/>
  <c r="BD318" i="1" s="1"/>
  <c r="BD319" i="1" s="1"/>
  <c r="BD320" i="1" s="1"/>
  <c r="BD321" i="1" s="1"/>
  <c r="BD322" i="1" s="1"/>
  <c r="BD323" i="1" s="1"/>
  <c r="BD324" i="1" s="1"/>
  <c r="BD325" i="1" s="1"/>
  <c r="BD326" i="1" s="1"/>
  <c r="BD327" i="1" s="1"/>
  <c r="BD328" i="1" s="1"/>
  <c r="BD329" i="1" s="1"/>
  <c r="BD330" i="1" s="1"/>
  <c r="BD331" i="1" s="1"/>
  <c r="BD332" i="1" s="1"/>
  <c r="BD333" i="1" s="1"/>
  <c r="BD334" i="1" s="1"/>
  <c r="BD335" i="1" s="1"/>
  <c r="BD336" i="1" s="1"/>
  <c r="BD337" i="1" s="1"/>
  <c r="BD338" i="1" s="1"/>
  <c r="BD339" i="1" s="1"/>
  <c r="BD340" i="1" s="1"/>
  <c r="BD341" i="1" s="1"/>
  <c r="BD342" i="1" s="1"/>
  <c r="BD343" i="1" s="1"/>
  <c r="BD344" i="1" s="1"/>
  <c r="BD345" i="1" s="1"/>
  <c r="BD346" i="1" s="1"/>
  <c r="BD347" i="1" s="1"/>
  <c r="BD348" i="1" s="1"/>
  <c r="BD349" i="1" s="1"/>
  <c r="BD350" i="1" s="1"/>
  <c r="BD351" i="1" s="1"/>
  <c r="BD352" i="1" s="1"/>
  <c r="BD353" i="1" s="1"/>
  <c r="BD354" i="1" s="1"/>
  <c r="BD355" i="1" s="1"/>
  <c r="BD356" i="1" s="1"/>
  <c r="BD357" i="1" s="1"/>
  <c r="BD358" i="1" s="1"/>
  <c r="BD359" i="1" s="1"/>
  <c r="BD360" i="1" s="1"/>
  <c r="BD361" i="1" s="1"/>
  <c r="BD362" i="1" s="1"/>
  <c r="BD363" i="1" s="1"/>
  <c r="BD364" i="1" s="1"/>
  <c r="BD365" i="1" s="1"/>
  <c r="BD366" i="1" s="1"/>
  <c r="BD367" i="1" s="1"/>
  <c r="BD368" i="1" s="1"/>
  <c r="BD369" i="1" s="1"/>
  <c r="BD370" i="1" s="1"/>
  <c r="BD371" i="1" s="1"/>
  <c r="BD372" i="1" s="1"/>
  <c r="BD373" i="1" s="1"/>
  <c r="BD374" i="1" s="1"/>
  <c r="BD375" i="1" s="1"/>
  <c r="BD376" i="1" s="1"/>
  <c r="BD377" i="1" s="1"/>
  <c r="BD378" i="1" s="1"/>
  <c r="BD379" i="1" s="1"/>
  <c r="BD380" i="1" s="1"/>
  <c r="BD381" i="1" s="1"/>
  <c r="BD382" i="1" s="1"/>
  <c r="BD383" i="1" s="1"/>
  <c r="BD384" i="1" s="1"/>
  <c r="BD385" i="1" s="1"/>
  <c r="BD386" i="1" s="1"/>
  <c r="BD387" i="1" s="1"/>
  <c r="BD388" i="1" s="1"/>
  <c r="BD389" i="1" s="1"/>
  <c r="BD390" i="1" s="1"/>
  <c r="BD391" i="1" s="1"/>
  <c r="BD392" i="1" s="1"/>
  <c r="BD393" i="1" s="1"/>
  <c r="BD394" i="1" s="1"/>
  <c r="BD395" i="1" s="1"/>
  <c r="BD396" i="1" s="1"/>
  <c r="BD397" i="1" s="1"/>
  <c r="BD398" i="1" s="1"/>
  <c r="BD399" i="1" s="1"/>
  <c r="BD400" i="1" s="1"/>
  <c r="BD401" i="1" s="1"/>
  <c r="BD402" i="1" s="1"/>
  <c r="BD403" i="1" s="1"/>
  <c r="BD404" i="1" s="1"/>
  <c r="BD405" i="1" s="1"/>
  <c r="BD406" i="1" s="1"/>
  <c r="BD407" i="1" s="1"/>
  <c r="BD408" i="1" s="1"/>
  <c r="BD409" i="1" s="1"/>
  <c r="BD410" i="1" s="1"/>
  <c r="BD411" i="1" s="1"/>
  <c r="BD412" i="1" s="1"/>
  <c r="BD413" i="1" s="1"/>
  <c r="BD414" i="1" s="1"/>
  <c r="BD415" i="1" s="1"/>
  <c r="BD416" i="1" s="1"/>
  <c r="BD417" i="1" s="1"/>
  <c r="BD418" i="1" s="1"/>
  <c r="BD419" i="1" s="1"/>
  <c r="BD420" i="1" s="1"/>
  <c r="BD421" i="1" s="1"/>
  <c r="BD422" i="1" s="1"/>
  <c r="BD423" i="1" s="1"/>
  <c r="BD424" i="1" s="1"/>
  <c r="BD425" i="1" s="1"/>
  <c r="BD426" i="1" s="1"/>
  <c r="BD427" i="1" s="1"/>
  <c r="BD428" i="1" s="1"/>
  <c r="BD429" i="1" s="1"/>
  <c r="BD430" i="1" s="1"/>
  <c r="BD431" i="1" s="1"/>
  <c r="BD432" i="1" s="1"/>
  <c r="BD433" i="1" s="1"/>
  <c r="BD434" i="1" s="1"/>
  <c r="BD435" i="1" s="1"/>
  <c r="BD436" i="1" s="1"/>
  <c r="BD437" i="1" s="1"/>
  <c r="BD438" i="1" s="1"/>
  <c r="BD439" i="1" s="1"/>
  <c r="BD440" i="1" s="1"/>
  <c r="BD441" i="1" s="1"/>
  <c r="BD442" i="1" s="1"/>
  <c r="BD443" i="1" s="1"/>
  <c r="BD444" i="1" s="1"/>
  <c r="BD445" i="1" s="1"/>
  <c r="BD446" i="1" s="1"/>
  <c r="BD447" i="1" s="1"/>
  <c r="BD448" i="1" s="1"/>
  <c r="BD449" i="1" s="1"/>
  <c r="BD450" i="1" s="1"/>
  <c r="BD451" i="1" s="1"/>
  <c r="BD452" i="1" s="1"/>
  <c r="BD453" i="1" s="1"/>
  <c r="BD454" i="1" s="1"/>
  <c r="BD455" i="1" s="1"/>
  <c r="BD456" i="1" s="1"/>
  <c r="BD457" i="1" s="1"/>
  <c r="BD458" i="1" s="1"/>
  <c r="BD459" i="1" s="1"/>
  <c r="BD460" i="1" s="1"/>
  <c r="BD461" i="1" s="1"/>
  <c r="BD462" i="1" s="1"/>
  <c r="BD463" i="1" s="1"/>
  <c r="BD464" i="1" s="1"/>
  <c r="BD465" i="1" s="1"/>
  <c r="BD466" i="1" s="1"/>
  <c r="BD467" i="1" s="1"/>
  <c r="BD468" i="1" s="1"/>
  <c r="BD469" i="1" s="1"/>
  <c r="BD470" i="1" s="1"/>
  <c r="BD471" i="1" s="1"/>
  <c r="BD472" i="1" s="1"/>
  <c r="BD473" i="1" s="1"/>
  <c r="BD474" i="1" s="1"/>
  <c r="BD475" i="1" s="1"/>
  <c r="BD476" i="1" s="1"/>
  <c r="BD477" i="1" s="1"/>
  <c r="BD478" i="1" s="1"/>
  <c r="BD479" i="1" s="1"/>
  <c r="BD480" i="1" s="1"/>
  <c r="BD481" i="1" s="1"/>
  <c r="BD482" i="1" s="1"/>
  <c r="BD483" i="1" s="1"/>
  <c r="BD484" i="1" s="1"/>
  <c r="BD485" i="1" s="1"/>
  <c r="BD486" i="1" s="1"/>
  <c r="BD487" i="1" s="1"/>
  <c r="BD488" i="1" s="1"/>
  <c r="BD489" i="1" s="1"/>
  <c r="BD490" i="1" s="1"/>
  <c r="BD491" i="1" s="1"/>
  <c r="BD492" i="1" s="1"/>
  <c r="BD493" i="1" s="1"/>
  <c r="BD494" i="1" s="1"/>
  <c r="BD495" i="1" s="1"/>
  <c r="BD496" i="1" s="1"/>
  <c r="BD497" i="1" s="1"/>
  <c r="BD498" i="1" s="1"/>
  <c r="BD499" i="1" s="1"/>
  <c r="BD500" i="1" s="1"/>
  <c r="BD501" i="1" s="1"/>
  <c r="BD502" i="1" s="1"/>
  <c r="BD503" i="1" s="1"/>
  <c r="BD504" i="1" s="1"/>
  <c r="BD505" i="1" s="1"/>
  <c r="BD506" i="1" s="1"/>
  <c r="BD507" i="1" s="1"/>
  <c r="BD508" i="1" s="1"/>
  <c r="BD509" i="1" s="1"/>
  <c r="BD510" i="1" s="1"/>
  <c r="BD511" i="1" s="1"/>
  <c r="BD512" i="1" s="1"/>
  <c r="BD513" i="1" s="1"/>
  <c r="BD514" i="1" s="1"/>
  <c r="BD515" i="1" s="1"/>
  <c r="BD516" i="1" s="1"/>
  <c r="BD517" i="1" s="1"/>
  <c r="BD518" i="1" s="1"/>
  <c r="BD519" i="1" s="1"/>
  <c r="BD520" i="1" s="1"/>
  <c r="BD521" i="1" s="1"/>
  <c r="BD522" i="1" s="1"/>
  <c r="BD523" i="1" s="1"/>
  <c r="BD524" i="1" s="1"/>
  <c r="BD525" i="1" s="1"/>
  <c r="BD526" i="1" s="1"/>
  <c r="BD527" i="1" s="1"/>
  <c r="BD528" i="1" s="1"/>
  <c r="BD529" i="1" s="1"/>
  <c r="BD530" i="1" s="1"/>
  <c r="BD531" i="1" s="1"/>
  <c r="BD532" i="1" s="1"/>
  <c r="BD533" i="1" s="1"/>
  <c r="BD534" i="1" s="1"/>
  <c r="BD535" i="1" s="1"/>
  <c r="BD536" i="1" s="1"/>
  <c r="BD537" i="1" s="1"/>
  <c r="BD538" i="1" s="1"/>
  <c r="BD539" i="1" s="1"/>
  <c r="BD540" i="1" s="1"/>
  <c r="BD541" i="1" s="1"/>
  <c r="BD542" i="1" s="1"/>
  <c r="BD543" i="1" s="1"/>
  <c r="BD544" i="1" s="1"/>
  <c r="BD545" i="1" s="1"/>
  <c r="BD546" i="1" s="1"/>
  <c r="BD547" i="1" s="1"/>
  <c r="BD548" i="1" s="1"/>
  <c r="BD549" i="1" s="1"/>
  <c r="BD550" i="1" s="1"/>
  <c r="BD551" i="1" s="1"/>
  <c r="BD552" i="1" s="1"/>
  <c r="BD553" i="1" s="1"/>
  <c r="BD554" i="1" s="1"/>
  <c r="BD555" i="1" s="1"/>
  <c r="BD556" i="1" s="1"/>
  <c r="BD557" i="1" s="1"/>
  <c r="BD558" i="1" s="1"/>
  <c r="BD559" i="1" s="1"/>
  <c r="BD560" i="1" s="1"/>
  <c r="BD561" i="1" s="1"/>
  <c r="BD562" i="1" s="1"/>
  <c r="BD563" i="1" s="1"/>
  <c r="BD564" i="1" s="1"/>
  <c r="BD565" i="1" s="1"/>
  <c r="BD566" i="1" s="1"/>
  <c r="BD567" i="1" s="1"/>
  <c r="BD568" i="1" s="1"/>
  <c r="BD569" i="1" s="1"/>
  <c r="BD570" i="1" s="1"/>
  <c r="BD571" i="1" s="1"/>
  <c r="BD572" i="1" s="1"/>
  <c r="BD573" i="1" s="1"/>
  <c r="BD574" i="1" s="1"/>
  <c r="BD575" i="1" s="1"/>
  <c r="BD576" i="1" s="1"/>
  <c r="BD577" i="1" s="1"/>
  <c r="BD578" i="1" s="1"/>
  <c r="BD579" i="1" s="1"/>
  <c r="BD580" i="1" s="1"/>
  <c r="BD581" i="1" s="1"/>
  <c r="BD582" i="1" s="1"/>
  <c r="BD583" i="1" s="1"/>
  <c r="BD584" i="1" s="1"/>
  <c r="BD585" i="1" s="1"/>
  <c r="BD586" i="1" s="1"/>
  <c r="BD587" i="1" s="1"/>
  <c r="BD588" i="1" s="1"/>
  <c r="BD589" i="1" s="1"/>
  <c r="BD590" i="1" s="1"/>
  <c r="BD591" i="1" s="1"/>
  <c r="BD592" i="1" s="1"/>
  <c r="BD593" i="1" s="1"/>
  <c r="BD594" i="1" s="1"/>
  <c r="BD595" i="1" s="1"/>
  <c r="BD596" i="1" s="1"/>
  <c r="BD597" i="1" s="1"/>
  <c r="BD598" i="1" s="1"/>
  <c r="BD599" i="1" s="1"/>
  <c r="BD600" i="1" s="1"/>
  <c r="BD601" i="1" s="1"/>
  <c r="BD602" i="1" s="1"/>
  <c r="BD603" i="1" s="1"/>
  <c r="BD604" i="1" s="1"/>
  <c r="BD605" i="1" s="1"/>
  <c r="BD606" i="1" s="1"/>
  <c r="BD607" i="1" s="1"/>
  <c r="BD608" i="1" s="1"/>
  <c r="BD609" i="1" s="1"/>
  <c r="BD610" i="1" s="1"/>
  <c r="BD611" i="1" s="1"/>
  <c r="BD612" i="1" s="1"/>
  <c r="BD613" i="1" s="1"/>
  <c r="BD614" i="1" s="1"/>
  <c r="BD615" i="1" s="1"/>
  <c r="BD616" i="1" s="1"/>
  <c r="BD617" i="1" s="1"/>
  <c r="BD618" i="1" s="1"/>
  <c r="BD619" i="1" s="1"/>
  <c r="BD620" i="1" s="1"/>
  <c r="BD621" i="1" s="1"/>
  <c r="BD622" i="1" s="1"/>
  <c r="BD623" i="1" s="1"/>
  <c r="BD624" i="1" s="1"/>
  <c r="BD625" i="1" s="1"/>
  <c r="BD626" i="1" s="1"/>
  <c r="BD627" i="1" s="1"/>
  <c r="BD628" i="1" s="1"/>
  <c r="BD629" i="1" s="1"/>
  <c r="BD630" i="1" s="1"/>
  <c r="BD631" i="1" s="1"/>
  <c r="BD632" i="1" s="1"/>
  <c r="BD633" i="1" s="1"/>
  <c r="BD634" i="1" s="1"/>
  <c r="BD635" i="1" s="1"/>
  <c r="BD636" i="1" s="1"/>
  <c r="BD637" i="1" s="1"/>
  <c r="BD638" i="1" s="1"/>
  <c r="BD639" i="1" s="1"/>
  <c r="BD640" i="1" s="1"/>
  <c r="BD641" i="1" s="1"/>
  <c r="BD642" i="1" s="1"/>
  <c r="BD643" i="1" s="1"/>
  <c r="BD644" i="1" s="1"/>
  <c r="BD645" i="1" s="1"/>
  <c r="BD646" i="1" s="1"/>
  <c r="BD647" i="1" s="1"/>
  <c r="BD648" i="1" s="1"/>
  <c r="BD649" i="1" s="1"/>
  <c r="BD650" i="1" s="1"/>
  <c r="BD651" i="1" s="1"/>
  <c r="BD652" i="1" s="1"/>
  <c r="BD653" i="1" s="1"/>
  <c r="BD654" i="1" s="1"/>
  <c r="BD655" i="1" s="1"/>
  <c r="BD656" i="1" s="1"/>
  <c r="BD657" i="1" s="1"/>
  <c r="BD658" i="1" s="1"/>
  <c r="BD659" i="1" s="1"/>
  <c r="BD660" i="1" s="1"/>
  <c r="BD661" i="1" s="1"/>
  <c r="BD662" i="1" s="1"/>
  <c r="BD663" i="1" s="1"/>
  <c r="BD664" i="1" s="1"/>
  <c r="BD665" i="1" s="1"/>
  <c r="BD666" i="1" s="1"/>
  <c r="BD667" i="1" s="1"/>
  <c r="BD668" i="1" s="1"/>
  <c r="BD669" i="1" s="1"/>
  <c r="BD670" i="1" s="1"/>
  <c r="BD671" i="1" s="1"/>
  <c r="BD672" i="1" s="1"/>
  <c r="BD673" i="1" s="1"/>
  <c r="BD674" i="1" s="1"/>
  <c r="BD675" i="1" s="1"/>
  <c r="BD676" i="1" s="1"/>
  <c r="BD677" i="1" s="1"/>
  <c r="BD678" i="1" s="1"/>
  <c r="BD679" i="1" s="1"/>
  <c r="BD680" i="1" s="1"/>
  <c r="BD681" i="1" s="1"/>
  <c r="BD682" i="1" s="1"/>
  <c r="BD683" i="1" s="1"/>
  <c r="BD684" i="1" s="1"/>
  <c r="BD685" i="1" s="1"/>
  <c r="BD686" i="1" s="1"/>
  <c r="BD687" i="1" s="1"/>
  <c r="BD688" i="1" s="1"/>
  <c r="BD689" i="1" s="1"/>
  <c r="BD690" i="1" s="1"/>
  <c r="BD691" i="1" s="1"/>
  <c r="BD692" i="1" s="1"/>
  <c r="BD693" i="1" s="1"/>
  <c r="BD694" i="1" s="1"/>
  <c r="BD695" i="1" s="1"/>
  <c r="BD696" i="1" s="1"/>
  <c r="BD697" i="1" s="1"/>
  <c r="BD698" i="1" s="1"/>
  <c r="BD699" i="1" s="1"/>
  <c r="BD700" i="1" s="1"/>
  <c r="BD701" i="1" s="1"/>
  <c r="BD702" i="1" s="1"/>
  <c r="BD703" i="1" s="1"/>
  <c r="BD704" i="1" s="1"/>
  <c r="BD705" i="1" s="1"/>
  <c r="BD706" i="1" s="1"/>
  <c r="BD707" i="1" s="1"/>
  <c r="BD708" i="1" s="1"/>
  <c r="BD709" i="1" s="1"/>
  <c r="BD710" i="1" s="1"/>
  <c r="BD711" i="1" s="1"/>
  <c r="BD712" i="1" s="1"/>
  <c r="BD713" i="1" s="1"/>
  <c r="BD714" i="1" s="1"/>
  <c r="BD715" i="1" s="1"/>
  <c r="BD716" i="1" s="1"/>
  <c r="BD717" i="1" s="1"/>
  <c r="BD718" i="1" s="1"/>
  <c r="BD719" i="1" s="1"/>
  <c r="BD720" i="1" s="1"/>
  <c r="BD721" i="1" s="1"/>
  <c r="BD722" i="1" s="1"/>
  <c r="BD723" i="1" s="1"/>
  <c r="BD724" i="1" s="1"/>
  <c r="BD725" i="1" s="1"/>
  <c r="BD726" i="1" s="1"/>
  <c r="BD727" i="1" s="1"/>
  <c r="BD728" i="1" s="1"/>
  <c r="BD729" i="1" s="1"/>
  <c r="BD730" i="1" s="1"/>
  <c r="BD731" i="1" s="1"/>
  <c r="BD732" i="1" s="1"/>
  <c r="BD733" i="1" s="1"/>
  <c r="BD734" i="1" s="1"/>
  <c r="BD735" i="1" s="1"/>
  <c r="BD736" i="1" s="1"/>
  <c r="BD737" i="1" s="1"/>
  <c r="BD738" i="1" s="1"/>
  <c r="BD739" i="1" s="1"/>
  <c r="BD740" i="1" s="1"/>
  <c r="BD741" i="1" s="1"/>
  <c r="BD742" i="1" s="1"/>
  <c r="BD743" i="1" s="1"/>
  <c r="BD744" i="1" s="1"/>
  <c r="BD745" i="1" s="1"/>
  <c r="BD746" i="1" s="1"/>
  <c r="BD747" i="1" s="1"/>
  <c r="BD748" i="1" s="1"/>
  <c r="BD749" i="1" s="1"/>
  <c r="BD750" i="1" s="1"/>
  <c r="BD751" i="1" s="1"/>
  <c r="BD752" i="1" s="1"/>
  <c r="BD753" i="1" s="1"/>
  <c r="BD754" i="1" s="1"/>
  <c r="BD755" i="1" s="1"/>
  <c r="BD756" i="1" s="1"/>
  <c r="BD757" i="1" s="1"/>
  <c r="BD758" i="1" s="1"/>
  <c r="BD759" i="1" s="1"/>
  <c r="BD760" i="1" s="1"/>
  <c r="BD761" i="1" s="1"/>
  <c r="BD762" i="1" s="1"/>
  <c r="BD763" i="1" s="1"/>
  <c r="BD764" i="1" s="1"/>
  <c r="BD765" i="1" s="1"/>
  <c r="BD766" i="1" s="1"/>
  <c r="BD767" i="1" s="1"/>
  <c r="BD768" i="1" s="1"/>
  <c r="BD769" i="1" s="1"/>
  <c r="BD770" i="1" s="1"/>
  <c r="BD771" i="1" s="1"/>
  <c r="BD772" i="1" s="1"/>
  <c r="BD773" i="1" s="1"/>
  <c r="BD774" i="1" s="1"/>
  <c r="BD775" i="1" s="1"/>
  <c r="BD776" i="1" s="1"/>
  <c r="BD777" i="1" s="1"/>
  <c r="BD778" i="1" s="1"/>
  <c r="BD779" i="1" s="1"/>
  <c r="BD780" i="1" s="1"/>
  <c r="BD781" i="1" s="1"/>
  <c r="BD782" i="1" s="1"/>
  <c r="BD783" i="1" s="1"/>
  <c r="BD784" i="1" s="1"/>
  <c r="BD785" i="1" s="1"/>
  <c r="BD786" i="1" s="1"/>
  <c r="BD787" i="1" s="1"/>
  <c r="BD788" i="1" s="1"/>
  <c r="BD789" i="1" s="1"/>
  <c r="BD790" i="1" s="1"/>
  <c r="BD791" i="1" s="1"/>
  <c r="BD792" i="1" s="1"/>
  <c r="BD793" i="1" s="1"/>
  <c r="BD794" i="1" s="1"/>
  <c r="BD795" i="1" s="1"/>
  <c r="BD796" i="1" s="1"/>
  <c r="BD797" i="1" s="1"/>
  <c r="BD798" i="1" s="1"/>
  <c r="BD799" i="1" s="1"/>
  <c r="BD800" i="1" s="1"/>
  <c r="BD801" i="1" s="1"/>
  <c r="BD802" i="1" s="1"/>
  <c r="BD803" i="1" s="1"/>
  <c r="BD804" i="1" s="1"/>
  <c r="BD805" i="1" s="1"/>
  <c r="BD806" i="1" s="1"/>
  <c r="BD807" i="1" s="1"/>
  <c r="BD808" i="1" s="1"/>
  <c r="BD809" i="1" s="1"/>
  <c r="BD810" i="1" s="1"/>
  <c r="BD811" i="1" s="1"/>
  <c r="BD812" i="1" s="1"/>
  <c r="BD813" i="1" s="1"/>
  <c r="BD814" i="1" s="1"/>
  <c r="BD815" i="1" s="1"/>
  <c r="BD816" i="1" s="1"/>
  <c r="BD817" i="1" s="1"/>
  <c r="BD818" i="1" s="1"/>
  <c r="BD819" i="1" s="1"/>
  <c r="BD820" i="1" s="1"/>
  <c r="BD821" i="1" s="1"/>
  <c r="BD822" i="1" s="1"/>
  <c r="BD823" i="1" s="1"/>
  <c r="BD824" i="1" s="1"/>
  <c r="BD825" i="1" s="1"/>
  <c r="BD826" i="1" s="1"/>
  <c r="BD827" i="1" s="1"/>
  <c r="BD828" i="1" s="1"/>
  <c r="BD829" i="1" s="1"/>
  <c r="BD830" i="1" s="1"/>
  <c r="BD831" i="1" s="1"/>
  <c r="BD832" i="1" s="1"/>
  <c r="BD833" i="1" s="1"/>
  <c r="BD834" i="1" s="1"/>
  <c r="BD835" i="1" s="1"/>
  <c r="BD836" i="1" s="1"/>
  <c r="BD837" i="1" s="1"/>
  <c r="BD838" i="1" s="1"/>
  <c r="BD839" i="1" s="1"/>
  <c r="BD840" i="1" s="1"/>
  <c r="BD841" i="1" s="1"/>
  <c r="BD842" i="1" s="1"/>
  <c r="BD843" i="1" s="1"/>
  <c r="BD844" i="1" s="1"/>
  <c r="BD845" i="1" s="1"/>
  <c r="BD846" i="1" s="1"/>
  <c r="BD847" i="1" s="1"/>
  <c r="BD848" i="1" s="1"/>
  <c r="BD849" i="1" s="1"/>
  <c r="BD850" i="1" s="1"/>
  <c r="BD851" i="1" s="1"/>
  <c r="BD852" i="1" s="1"/>
  <c r="BD853" i="1" s="1"/>
  <c r="BD854" i="1" s="1"/>
  <c r="BD855" i="1" s="1"/>
  <c r="BD856" i="1" s="1"/>
  <c r="BD857" i="1" s="1"/>
  <c r="BD858" i="1" s="1"/>
  <c r="BD859" i="1" s="1"/>
  <c r="BD860" i="1" s="1"/>
  <c r="BD861" i="1" s="1"/>
  <c r="BD862" i="1" s="1"/>
  <c r="BD863" i="1" s="1"/>
  <c r="BD864" i="1" s="1"/>
  <c r="BD865" i="1" s="1"/>
  <c r="BD866" i="1" s="1"/>
  <c r="BD867" i="1" s="1"/>
  <c r="BD868" i="1" s="1"/>
  <c r="BD869" i="1" s="1"/>
  <c r="BD870" i="1" s="1"/>
  <c r="BD871" i="1" s="1"/>
  <c r="BD872" i="1" s="1"/>
  <c r="BD873" i="1" s="1"/>
  <c r="BD874" i="1" s="1"/>
  <c r="BD875" i="1" s="1"/>
  <c r="BD876" i="1" s="1"/>
  <c r="BD877" i="1" s="1"/>
  <c r="BD878" i="1" s="1"/>
  <c r="BD879" i="1" s="1"/>
  <c r="BD880" i="1" s="1"/>
  <c r="BD881" i="1" s="1"/>
  <c r="BD882" i="1" s="1"/>
  <c r="BD883" i="1" s="1"/>
  <c r="BD884" i="1" s="1"/>
  <c r="BD885" i="1" s="1"/>
  <c r="BD886" i="1" s="1"/>
  <c r="BD887" i="1" s="1"/>
  <c r="BD888" i="1" s="1"/>
  <c r="BD889" i="1" s="1"/>
  <c r="BD890" i="1" s="1"/>
  <c r="BD891" i="1" s="1"/>
  <c r="BD892" i="1" s="1"/>
  <c r="BD893" i="1" s="1"/>
  <c r="BD894" i="1" s="1"/>
  <c r="BD895" i="1" s="1"/>
  <c r="BD896" i="1" s="1"/>
  <c r="BD897" i="1" s="1"/>
  <c r="BD898" i="1" s="1"/>
  <c r="BD899" i="1" s="1"/>
  <c r="BD900" i="1" s="1"/>
  <c r="BD901" i="1" s="1"/>
  <c r="BD902" i="1" s="1"/>
  <c r="BD903" i="1" s="1"/>
  <c r="BD904" i="1" s="1"/>
  <c r="BD905" i="1" s="1"/>
  <c r="BD906" i="1" s="1"/>
  <c r="BD907" i="1" s="1"/>
  <c r="BD908" i="1" s="1"/>
  <c r="BD909" i="1" s="1"/>
  <c r="BD910" i="1" s="1"/>
  <c r="BD911" i="1" s="1"/>
  <c r="BD912" i="1" s="1"/>
  <c r="BD913" i="1" s="1"/>
  <c r="BD914" i="1" s="1"/>
  <c r="BD915" i="1" s="1"/>
  <c r="BD916" i="1" s="1"/>
  <c r="BD917" i="1" s="1"/>
  <c r="BD918" i="1" s="1"/>
  <c r="BD919" i="1" s="1"/>
  <c r="BD920" i="1" s="1"/>
  <c r="BD921" i="1" s="1"/>
  <c r="BD922" i="1" s="1"/>
  <c r="BD923" i="1" s="1"/>
  <c r="BD924" i="1" s="1"/>
  <c r="BD925" i="1" s="1"/>
  <c r="BD926" i="1" s="1"/>
  <c r="BD927" i="1" s="1"/>
  <c r="BD928" i="1" s="1"/>
  <c r="BD929" i="1" s="1"/>
  <c r="BD930" i="1" s="1"/>
  <c r="BD931" i="1" s="1"/>
  <c r="BD932" i="1" s="1"/>
  <c r="BD933" i="1" s="1"/>
  <c r="BD934" i="1" s="1"/>
  <c r="BD935" i="1" s="1"/>
  <c r="BD936" i="1" s="1"/>
  <c r="BD937" i="1" s="1"/>
  <c r="BD938" i="1" s="1"/>
  <c r="BD939" i="1" s="1"/>
  <c r="BD940" i="1" s="1"/>
  <c r="BD941" i="1" s="1"/>
  <c r="BD942" i="1" s="1"/>
  <c r="BD943" i="1" s="1"/>
  <c r="BD944" i="1" s="1"/>
  <c r="BD945" i="1" s="1"/>
  <c r="BD946" i="1" s="1"/>
  <c r="BD947" i="1" s="1"/>
  <c r="BD948" i="1" s="1"/>
  <c r="BD949" i="1" s="1"/>
  <c r="BD950" i="1" s="1"/>
  <c r="BD951" i="1" s="1"/>
  <c r="BD952" i="1" s="1"/>
  <c r="BD953" i="1" s="1"/>
  <c r="BD954" i="1" s="1"/>
  <c r="BD955" i="1" s="1"/>
  <c r="BD956" i="1" s="1"/>
  <c r="BD957" i="1" s="1"/>
  <c r="BD958" i="1" s="1"/>
  <c r="BD959" i="1" s="1"/>
  <c r="BD960" i="1" s="1"/>
  <c r="BD961" i="1" s="1"/>
  <c r="BD962" i="1" s="1"/>
  <c r="BD963" i="1" s="1"/>
  <c r="BD964" i="1" s="1"/>
  <c r="BD965" i="1" s="1"/>
  <c r="BD966" i="1" s="1"/>
  <c r="BD967" i="1" s="1"/>
  <c r="BD968" i="1" s="1"/>
  <c r="BD969" i="1" s="1"/>
  <c r="BD970" i="1" s="1"/>
  <c r="BD971" i="1" s="1"/>
  <c r="BD972" i="1" s="1"/>
  <c r="BD973" i="1" s="1"/>
  <c r="BD974" i="1" s="1"/>
  <c r="BD975" i="1" s="1"/>
  <c r="BD976" i="1" s="1"/>
  <c r="BD977" i="1" s="1"/>
  <c r="BD978" i="1" s="1"/>
  <c r="BD979" i="1" s="1"/>
  <c r="BD980" i="1" s="1"/>
  <c r="BD981" i="1" s="1"/>
  <c r="BD982" i="1" s="1"/>
  <c r="BD983" i="1" s="1"/>
  <c r="BD984" i="1" s="1"/>
  <c r="BD985" i="1" s="1"/>
  <c r="BD986" i="1" s="1"/>
  <c r="BD987" i="1" s="1"/>
  <c r="BD988" i="1" s="1"/>
  <c r="BD989" i="1" s="1"/>
  <c r="BD990" i="1" s="1"/>
  <c r="BD991" i="1" s="1"/>
  <c r="BD992" i="1" s="1"/>
  <c r="BD993" i="1" s="1"/>
  <c r="BD994" i="1" s="1"/>
  <c r="BD995" i="1" s="1"/>
  <c r="BD996" i="1" s="1"/>
  <c r="BD997" i="1" s="1"/>
  <c r="BD998" i="1" s="1"/>
  <c r="BD999" i="1" s="1"/>
  <c r="BD1000" i="1" s="1"/>
  <c r="BD1001" i="1" s="1"/>
  <c r="BD1002" i="1" s="1"/>
  <c r="BD1003" i="1" s="1"/>
  <c r="BD1004" i="1" s="1"/>
  <c r="BD1005" i="1" s="1"/>
  <c r="BD1006" i="1" s="1"/>
  <c r="BD1007" i="1" s="1"/>
  <c r="BD1008" i="1" s="1"/>
  <c r="BD1009" i="1" s="1"/>
  <c r="BD1010" i="1" s="1"/>
  <c r="BD1011" i="1" s="1"/>
  <c r="BD1012" i="1" s="1"/>
  <c r="BD1013" i="1" s="1"/>
  <c r="BD1014" i="1" s="1"/>
  <c r="BD1015" i="1" s="1"/>
  <c r="BD1016" i="1" s="1"/>
  <c r="BD1017" i="1" s="1"/>
  <c r="BD1018" i="1" s="1"/>
  <c r="BD1019" i="1" s="1"/>
  <c r="BD1020" i="1" s="1"/>
  <c r="BD1021" i="1" s="1"/>
  <c r="BD1022" i="1" s="1"/>
  <c r="BD1023" i="1" s="1"/>
  <c r="BD1024" i="1" s="1"/>
  <c r="BD1025" i="1" s="1"/>
  <c r="BD1026" i="1" s="1"/>
  <c r="BD1027" i="1" s="1"/>
  <c r="BD1028" i="1" s="1"/>
  <c r="BD1029" i="1" s="1"/>
  <c r="BD1030" i="1" s="1"/>
  <c r="BD1031" i="1" s="1"/>
  <c r="BD1032" i="1" s="1"/>
  <c r="BD1033" i="1" s="1"/>
  <c r="BD1034" i="1" s="1"/>
  <c r="BD1035" i="1" s="1"/>
  <c r="BD1036" i="1" s="1"/>
  <c r="BD1037" i="1" s="1"/>
  <c r="BD1038" i="1" s="1"/>
  <c r="BD1039" i="1" s="1"/>
  <c r="BD1040" i="1" s="1"/>
  <c r="BD1041" i="1" s="1"/>
  <c r="BD1042" i="1" s="1"/>
  <c r="BD1043" i="1" s="1"/>
  <c r="BD1044" i="1" s="1"/>
  <c r="BD1045" i="1" s="1"/>
  <c r="BD1046" i="1" s="1"/>
  <c r="BD1047" i="1" s="1"/>
  <c r="BD1048" i="1" s="1"/>
  <c r="BD1049" i="1" s="1"/>
  <c r="BD1050" i="1" s="1"/>
  <c r="BD1051" i="1" s="1"/>
  <c r="BD1052" i="1" s="1"/>
  <c r="BD1053" i="1" s="1"/>
  <c r="BD1054" i="1" s="1"/>
  <c r="BD1055" i="1" s="1"/>
  <c r="BD1056" i="1" s="1"/>
  <c r="BD1057" i="1" s="1"/>
  <c r="BD1058" i="1" s="1"/>
  <c r="BD1059" i="1" s="1"/>
  <c r="BD1060" i="1" s="1"/>
  <c r="BD1061" i="1" s="1"/>
  <c r="BD1062" i="1" s="1"/>
  <c r="BD1063" i="1" s="1"/>
  <c r="BD1064" i="1" s="1"/>
  <c r="BD1065" i="1" s="1"/>
  <c r="BD1066" i="1" s="1"/>
  <c r="BD1067" i="1" s="1"/>
  <c r="BD1068" i="1" s="1"/>
  <c r="BD1069" i="1" s="1"/>
  <c r="BD1070" i="1" s="1"/>
  <c r="BD1071" i="1" s="1"/>
  <c r="BD1072" i="1" s="1"/>
  <c r="BD1073" i="1" s="1"/>
  <c r="BD1074" i="1" s="1"/>
  <c r="BD1075" i="1" s="1"/>
  <c r="BD1076" i="1" s="1"/>
  <c r="BD1077" i="1" s="1"/>
  <c r="BD1078" i="1" s="1"/>
  <c r="BD1079" i="1" s="1"/>
  <c r="BD1080" i="1" s="1"/>
  <c r="BD1081" i="1" s="1"/>
  <c r="BD1082" i="1" s="1"/>
  <c r="BD1083" i="1" s="1"/>
  <c r="BD1084" i="1" s="1"/>
  <c r="BD1085" i="1" s="1"/>
  <c r="BD1086" i="1" s="1"/>
  <c r="BD1087" i="1" s="1"/>
  <c r="BD1088" i="1" s="1"/>
  <c r="BD1089" i="1" s="1"/>
  <c r="BD1090" i="1" s="1"/>
  <c r="BD1091" i="1" s="1"/>
  <c r="BD1092" i="1" s="1"/>
  <c r="BD1093" i="1" s="1"/>
  <c r="BD1094" i="1" s="1"/>
  <c r="BD1095" i="1" s="1"/>
  <c r="BD1096" i="1" s="1"/>
  <c r="BD1097" i="1" s="1"/>
  <c r="BD1098" i="1" s="1"/>
  <c r="BD1099" i="1" s="1"/>
  <c r="BD1100" i="1" s="1"/>
  <c r="BD1101" i="1" s="1"/>
  <c r="BD1102" i="1" s="1"/>
  <c r="BD1103" i="1" s="1"/>
  <c r="BD1104" i="1" s="1"/>
  <c r="BD1105" i="1" s="1"/>
  <c r="BD1106" i="1" s="1"/>
  <c r="BD1107" i="1" s="1"/>
  <c r="BD1108" i="1" s="1"/>
  <c r="BD1109" i="1" s="1"/>
  <c r="BD1110" i="1" s="1"/>
  <c r="BD1111" i="1" s="1"/>
  <c r="BD1112" i="1" s="1"/>
  <c r="BD1113" i="1" s="1"/>
  <c r="BD1114" i="1" s="1"/>
  <c r="BD1115" i="1" s="1"/>
  <c r="BD1116" i="1" s="1"/>
  <c r="BD1117" i="1" s="1"/>
  <c r="BD1118" i="1" s="1"/>
  <c r="BD1119" i="1" s="1"/>
  <c r="BD1120" i="1" s="1"/>
  <c r="BD1121" i="1" s="1"/>
  <c r="BD1122" i="1" s="1"/>
  <c r="BD1123" i="1" s="1"/>
  <c r="BD1124" i="1" s="1"/>
  <c r="BD1125" i="1" s="1"/>
  <c r="BD1126" i="1" s="1"/>
  <c r="BD1127" i="1" s="1"/>
  <c r="BD1128" i="1" s="1"/>
  <c r="BD1129" i="1" s="1"/>
  <c r="BD1130" i="1" s="1"/>
  <c r="BD1131" i="1" s="1"/>
  <c r="BD1132" i="1" s="1"/>
  <c r="BD1133" i="1" s="1"/>
  <c r="BD1134" i="1" s="1"/>
  <c r="BD1135" i="1" s="1"/>
  <c r="BD1136" i="1" s="1"/>
  <c r="BD1137" i="1" s="1"/>
  <c r="BD1138" i="1" s="1"/>
  <c r="BD1139" i="1" s="1"/>
  <c r="BD1140" i="1" s="1"/>
  <c r="BD1141" i="1" s="1"/>
  <c r="BD1142" i="1" s="1"/>
  <c r="BD1143" i="1" s="1"/>
  <c r="BD1144" i="1" s="1"/>
  <c r="BD1145" i="1" s="1"/>
  <c r="BD1146" i="1" s="1"/>
  <c r="BD1147" i="1" s="1"/>
  <c r="BD1148" i="1" s="1"/>
  <c r="BD1149" i="1" s="1"/>
  <c r="BD1150" i="1" s="1"/>
  <c r="BD1151" i="1" s="1"/>
  <c r="BD1152" i="1" s="1"/>
  <c r="BD1153" i="1" s="1"/>
  <c r="BD1154" i="1" s="1"/>
  <c r="BD1155" i="1" s="1"/>
  <c r="BD1156" i="1" s="1"/>
  <c r="BD1157" i="1" s="1"/>
  <c r="BD1158" i="1" s="1"/>
  <c r="BD1159" i="1" s="1"/>
  <c r="BD1160" i="1" s="1"/>
  <c r="BD1161" i="1" s="1"/>
  <c r="BD1162" i="1" s="1"/>
  <c r="BD1163" i="1" s="1"/>
  <c r="BD1164" i="1" s="1"/>
  <c r="BD1165" i="1" s="1"/>
  <c r="BD1166" i="1" s="1"/>
  <c r="BD1167" i="1" s="1"/>
  <c r="BD1168" i="1" s="1"/>
  <c r="BD1169" i="1" s="1"/>
  <c r="BD1170" i="1" s="1"/>
  <c r="BD1171" i="1" s="1"/>
  <c r="BD1172" i="1" s="1"/>
  <c r="BD1173" i="1" s="1"/>
  <c r="BD1174" i="1" s="1"/>
  <c r="BD1175" i="1" s="1"/>
  <c r="BD1176" i="1" s="1"/>
  <c r="BD1177" i="1" s="1"/>
  <c r="BD1178" i="1" s="1"/>
  <c r="BD1179" i="1" s="1"/>
  <c r="BD1180" i="1" s="1"/>
  <c r="BD1181" i="1" s="1"/>
  <c r="BD1182" i="1" s="1"/>
  <c r="BD1183" i="1" s="1"/>
  <c r="BD1184" i="1" s="1"/>
  <c r="BD1185" i="1" s="1"/>
  <c r="BD1186" i="1" s="1"/>
  <c r="BD1187" i="1" s="1"/>
  <c r="BD1188" i="1" s="1"/>
  <c r="BD1189" i="1" s="1"/>
  <c r="BD1190" i="1" s="1"/>
  <c r="BD1191" i="1" s="1"/>
  <c r="BD1192" i="1" s="1"/>
  <c r="BD1193" i="1" s="1"/>
  <c r="BD1194" i="1" s="1"/>
  <c r="BD1195" i="1" s="1"/>
  <c r="BD1196" i="1" s="1"/>
  <c r="BD1197" i="1" s="1"/>
  <c r="BD1198" i="1" s="1"/>
  <c r="BD1199" i="1" s="1"/>
  <c r="BD1200" i="1" s="1"/>
  <c r="BD1201" i="1" s="1"/>
  <c r="BD1202" i="1" s="1"/>
  <c r="BD1203" i="1" s="1"/>
  <c r="BD1204" i="1" s="1"/>
  <c r="BD1205" i="1" s="1"/>
  <c r="BD1206" i="1" s="1"/>
  <c r="BD1207" i="1" s="1"/>
  <c r="BD1208" i="1" s="1"/>
  <c r="BD1209" i="1" s="1"/>
  <c r="BD1210" i="1" s="1"/>
  <c r="BD1211" i="1" s="1"/>
  <c r="BD1212" i="1" s="1"/>
  <c r="BD1213" i="1" s="1"/>
  <c r="BD1214" i="1" s="1"/>
  <c r="BD1215" i="1" s="1"/>
  <c r="BD1216" i="1" s="1"/>
  <c r="BD1217" i="1" s="1"/>
  <c r="BD1218" i="1" s="1"/>
  <c r="BD1219" i="1" s="1"/>
  <c r="BD1220" i="1" s="1"/>
  <c r="BD1221" i="1" s="1"/>
  <c r="BD1222" i="1" s="1"/>
  <c r="BD1223" i="1" s="1"/>
  <c r="BD1224" i="1" s="1"/>
  <c r="BD1225" i="1" s="1"/>
  <c r="BD1226" i="1" s="1"/>
  <c r="BD1227" i="1" s="1"/>
  <c r="BD1228" i="1" s="1"/>
  <c r="BD1229" i="1" s="1"/>
  <c r="BD1230" i="1" s="1"/>
  <c r="BD1231" i="1" s="1"/>
  <c r="BD1232" i="1" s="1"/>
  <c r="BD1233" i="1" s="1"/>
  <c r="BD1234" i="1" s="1"/>
  <c r="BD1235" i="1" s="1"/>
  <c r="BD1236" i="1" s="1"/>
  <c r="BD1237" i="1" s="1"/>
  <c r="BD1238" i="1" s="1"/>
  <c r="BD1239" i="1" s="1"/>
  <c r="BD1240" i="1" s="1"/>
  <c r="BD1241" i="1" s="1"/>
  <c r="BD1242" i="1" s="1"/>
  <c r="BD1243" i="1" s="1"/>
  <c r="BD1244" i="1" s="1"/>
  <c r="BD1245" i="1" s="1"/>
  <c r="BD1246" i="1" s="1"/>
  <c r="BD1247" i="1" s="1"/>
  <c r="BD1248" i="1" s="1"/>
  <c r="BD1249" i="1" s="1"/>
  <c r="BD1250" i="1" s="1"/>
  <c r="BD1251" i="1" s="1"/>
  <c r="BD1252" i="1" s="1"/>
  <c r="BD1253" i="1" s="1"/>
  <c r="BD1254" i="1" s="1"/>
  <c r="BD1255" i="1" s="1"/>
  <c r="BD1256" i="1" s="1"/>
  <c r="BD1257" i="1" s="1"/>
  <c r="BD1258" i="1" s="1"/>
  <c r="BD1259" i="1" s="1"/>
  <c r="BD1260" i="1" s="1"/>
  <c r="BD1261" i="1" s="1"/>
  <c r="BD1262" i="1" s="1"/>
  <c r="BD1263" i="1" s="1"/>
  <c r="BD1264" i="1" s="1"/>
  <c r="BD1265" i="1" s="1"/>
  <c r="BD1266" i="1" s="1"/>
  <c r="BD1267" i="1" s="1"/>
  <c r="BD1268" i="1" s="1"/>
  <c r="BD1269" i="1" s="1"/>
  <c r="BD1270" i="1" s="1"/>
  <c r="BD1271" i="1" s="1"/>
  <c r="BD1272" i="1" s="1"/>
  <c r="BD1273" i="1" s="1"/>
  <c r="BD1274" i="1" s="1"/>
  <c r="BD1275" i="1" s="1"/>
  <c r="BD1276" i="1" s="1"/>
  <c r="BD1277" i="1" s="1"/>
  <c r="BD1278" i="1" s="1"/>
  <c r="BD1279" i="1" s="1"/>
  <c r="BD1280" i="1" s="1"/>
  <c r="BD1281" i="1" s="1"/>
  <c r="BD1282" i="1" s="1"/>
  <c r="BD1283" i="1" s="1"/>
  <c r="BD1284" i="1" s="1"/>
  <c r="BD1285" i="1" s="1"/>
  <c r="BD1286" i="1" s="1"/>
  <c r="BD1287" i="1" s="1"/>
  <c r="BD1288" i="1" s="1"/>
  <c r="BD1289" i="1" s="1"/>
  <c r="BD1290" i="1" s="1"/>
  <c r="BD1291" i="1" s="1"/>
  <c r="BD1292" i="1" s="1"/>
  <c r="BD1293" i="1" s="1"/>
  <c r="BD1294" i="1" s="1"/>
  <c r="BD1295" i="1" s="1"/>
  <c r="BD1296" i="1" s="1"/>
  <c r="BD1297" i="1" s="1"/>
  <c r="BD1298" i="1" s="1"/>
  <c r="BD1299" i="1" s="1"/>
  <c r="BD1300" i="1" s="1"/>
  <c r="BD1301" i="1" s="1"/>
  <c r="BD1302" i="1" s="1"/>
  <c r="BD1303" i="1" s="1"/>
  <c r="BD1304" i="1" s="1"/>
  <c r="BD1305" i="1" s="1"/>
  <c r="BD1306" i="1" s="1"/>
  <c r="BD1307" i="1" s="1"/>
  <c r="BD1308" i="1" s="1"/>
  <c r="BD1309" i="1" s="1"/>
  <c r="BD1310" i="1" s="1"/>
  <c r="BD1311" i="1" s="1"/>
  <c r="BD1312" i="1" s="1"/>
  <c r="BD1313" i="1" s="1"/>
  <c r="BD1314" i="1" s="1"/>
  <c r="BD1315" i="1" s="1"/>
  <c r="BD1316" i="1" s="1"/>
  <c r="BD1317" i="1" s="1"/>
  <c r="BD1318" i="1" s="1"/>
  <c r="BD1319" i="1" s="1"/>
  <c r="BD1320" i="1" s="1"/>
  <c r="BD1321" i="1" s="1"/>
  <c r="BD1322" i="1" s="1"/>
  <c r="BD1323" i="1" s="1"/>
  <c r="BD1324" i="1" s="1"/>
  <c r="BD1325" i="1" s="1"/>
  <c r="BD1326" i="1" s="1"/>
  <c r="BD1327" i="1" s="1"/>
  <c r="BD1328" i="1" s="1"/>
  <c r="BD1329" i="1" s="1"/>
  <c r="BD1330" i="1" s="1"/>
  <c r="BD1331" i="1" s="1"/>
  <c r="BD1332" i="1" s="1"/>
  <c r="BD1333" i="1" s="1"/>
  <c r="BD1334" i="1" s="1"/>
  <c r="BD1335" i="1" s="1"/>
  <c r="BD1336" i="1" s="1"/>
  <c r="BD1337" i="1" s="1"/>
  <c r="BD1338" i="1" s="1"/>
  <c r="BD1339" i="1" s="1"/>
  <c r="BD1340" i="1" s="1"/>
  <c r="BD1341" i="1" s="1"/>
  <c r="BD1342" i="1" s="1"/>
  <c r="BD1343" i="1" s="1"/>
  <c r="BD1344" i="1" s="1"/>
  <c r="BD1345" i="1" s="1"/>
  <c r="BD1346" i="1" s="1"/>
  <c r="BD1347" i="1" s="1"/>
  <c r="BD1348" i="1" s="1"/>
  <c r="BD1349" i="1" s="1"/>
  <c r="BD1350" i="1" s="1"/>
  <c r="BD1351" i="1" s="1"/>
  <c r="BD1352" i="1" s="1"/>
  <c r="BD1353" i="1" s="1"/>
  <c r="BD1354" i="1" s="1"/>
  <c r="BD1355" i="1" s="1"/>
  <c r="BD1356" i="1" s="1"/>
  <c r="BD1357" i="1" s="1"/>
  <c r="BD1358" i="1" s="1"/>
  <c r="BD1359" i="1" s="1"/>
  <c r="BD1360" i="1" s="1"/>
  <c r="BD1361" i="1" s="1"/>
  <c r="BD1362" i="1" s="1"/>
  <c r="BD1363" i="1" s="1"/>
  <c r="BD1364" i="1" s="1"/>
  <c r="BD1365" i="1" s="1"/>
  <c r="BD1366" i="1" s="1"/>
  <c r="BD1367" i="1" s="1"/>
  <c r="BD1368" i="1" s="1"/>
  <c r="BD1369" i="1" s="1"/>
  <c r="BD1370" i="1" s="1"/>
  <c r="BD1371" i="1" s="1"/>
  <c r="BD1372" i="1" s="1"/>
  <c r="BD1373" i="1" s="1"/>
  <c r="BD1374" i="1" s="1"/>
  <c r="BD1375" i="1" s="1"/>
  <c r="BD1376" i="1" s="1"/>
  <c r="BD1377" i="1" s="1"/>
  <c r="BD1378" i="1" s="1"/>
  <c r="BD1379" i="1" s="1"/>
  <c r="BD1380" i="1" s="1"/>
  <c r="BD1381" i="1" s="1"/>
  <c r="BD1382" i="1" s="1"/>
  <c r="BD1383" i="1" s="1"/>
  <c r="BD1384" i="1" s="1"/>
  <c r="BD1385" i="1" s="1"/>
  <c r="BD1386" i="1" s="1"/>
  <c r="BD1387" i="1" s="1"/>
  <c r="BD1388" i="1" s="1"/>
  <c r="BD1389" i="1" s="1"/>
  <c r="BD1390" i="1" s="1"/>
  <c r="BD1391" i="1" s="1"/>
  <c r="BD1392" i="1" s="1"/>
  <c r="BD1393" i="1" s="1"/>
  <c r="BD1394" i="1" s="1"/>
  <c r="BD1395" i="1" s="1"/>
  <c r="BD1396" i="1" s="1"/>
  <c r="BD1397" i="1" s="1"/>
  <c r="BD1398" i="1" s="1"/>
  <c r="BD1399" i="1" s="1"/>
  <c r="BD1400" i="1" s="1"/>
  <c r="BD1401" i="1" s="1"/>
  <c r="BD1402" i="1" s="1"/>
  <c r="BD1403" i="1" s="1"/>
  <c r="BD1404" i="1" s="1"/>
  <c r="BD1405" i="1" s="1"/>
  <c r="BD1406" i="1" s="1"/>
  <c r="BD1407" i="1" s="1"/>
  <c r="BD1408" i="1" s="1"/>
  <c r="BD1409" i="1" s="1"/>
  <c r="BD1410" i="1" s="1"/>
  <c r="BD1411" i="1" s="1"/>
  <c r="BD1412" i="1" s="1"/>
  <c r="BD1413" i="1" s="1"/>
  <c r="BD1414" i="1" s="1"/>
  <c r="BD1415" i="1" s="1"/>
  <c r="BD1416" i="1" s="1"/>
  <c r="BD1417" i="1" s="1"/>
  <c r="BD1418" i="1" s="1"/>
  <c r="BD1419" i="1" s="1"/>
  <c r="BD1420" i="1" s="1"/>
  <c r="BD1421" i="1" s="1"/>
  <c r="BD1422" i="1" s="1"/>
  <c r="BD1423" i="1" s="1"/>
  <c r="BD1424" i="1" s="1"/>
  <c r="BD1425" i="1" s="1"/>
  <c r="BD1426" i="1" s="1"/>
  <c r="BD1427" i="1" s="1"/>
  <c r="BD1428" i="1" s="1"/>
  <c r="BD1429" i="1" s="1"/>
  <c r="BD1430" i="1" s="1"/>
  <c r="BD1431" i="1" s="1"/>
  <c r="BD1432" i="1" s="1"/>
  <c r="BD1433" i="1" s="1"/>
  <c r="BD1434" i="1" s="1"/>
  <c r="BD1435" i="1" s="1"/>
  <c r="BD1436" i="1" s="1"/>
  <c r="BD1437" i="1" s="1"/>
  <c r="BD1438" i="1" s="1"/>
  <c r="BD1439" i="1" s="1"/>
  <c r="BD1440" i="1" s="1"/>
  <c r="BD1441" i="1" s="1"/>
  <c r="BD1442" i="1" s="1"/>
  <c r="BD1443" i="1" s="1"/>
  <c r="BD1444" i="1" s="1"/>
  <c r="BD1445" i="1" s="1"/>
  <c r="BD1446" i="1" s="1"/>
  <c r="BD1447" i="1" s="1"/>
  <c r="BD1448" i="1" s="1"/>
  <c r="BD1449" i="1" s="1"/>
  <c r="BD1450" i="1" s="1"/>
  <c r="BD1451" i="1" s="1"/>
  <c r="BD1452" i="1" s="1"/>
  <c r="BD1453" i="1" s="1"/>
  <c r="BD1454" i="1" s="1"/>
  <c r="BD1455" i="1" s="1"/>
  <c r="BD1456" i="1" s="1"/>
  <c r="BD1457" i="1" s="1"/>
  <c r="BD1458" i="1" s="1"/>
  <c r="BD1459" i="1" s="1"/>
  <c r="BD1460" i="1" s="1"/>
  <c r="BD1461" i="1" s="1"/>
  <c r="BD1462" i="1" s="1"/>
  <c r="BD1463" i="1" s="1"/>
  <c r="BD1464" i="1" s="1"/>
  <c r="BD1465" i="1" s="1"/>
  <c r="BD1466" i="1" s="1"/>
  <c r="BD1467" i="1" s="1"/>
  <c r="BD1468" i="1" s="1"/>
  <c r="BD1469" i="1" s="1"/>
  <c r="BD1470" i="1" s="1"/>
  <c r="BD1471" i="1" s="1"/>
  <c r="BD1472" i="1" s="1"/>
  <c r="BD1473" i="1" s="1"/>
  <c r="BD1474" i="1" s="1"/>
  <c r="BD1475" i="1" s="1"/>
  <c r="BD1476" i="1" s="1"/>
  <c r="BD1477" i="1" s="1"/>
  <c r="BD1478" i="1" s="1"/>
  <c r="BD1479" i="1" s="1"/>
  <c r="BD1480" i="1" s="1"/>
  <c r="BD1481" i="1" s="1"/>
  <c r="BD1482" i="1" s="1"/>
  <c r="BD1483" i="1" s="1"/>
  <c r="BD1484" i="1" s="1"/>
  <c r="BD1485" i="1" s="1"/>
  <c r="BD1486" i="1" s="1"/>
  <c r="BD1487" i="1" s="1"/>
  <c r="BD1488" i="1" s="1"/>
  <c r="BD1489" i="1" s="1"/>
  <c r="BD1490" i="1" s="1"/>
  <c r="BD1491" i="1" s="1"/>
  <c r="BD1492" i="1" s="1"/>
  <c r="BD1493" i="1" s="1"/>
  <c r="BD1494" i="1" s="1"/>
  <c r="BD1495" i="1" s="1"/>
  <c r="BD1496" i="1" s="1"/>
  <c r="BD1497" i="1" s="1"/>
  <c r="BD1498" i="1" s="1"/>
  <c r="BD1499" i="1" s="1"/>
  <c r="BD1500" i="1" s="1"/>
  <c r="BD1501" i="1" s="1"/>
  <c r="BD1502" i="1" s="1"/>
  <c r="BD1503" i="1" s="1"/>
  <c r="BD1504" i="1" s="1"/>
  <c r="BD1505" i="1" s="1"/>
  <c r="BD1506" i="1" s="1"/>
  <c r="BD1507" i="1" s="1"/>
  <c r="BD1508" i="1" s="1"/>
  <c r="BD1509" i="1" s="1"/>
  <c r="BD1510" i="1" s="1"/>
  <c r="BD1511" i="1" s="1"/>
  <c r="BD1512" i="1" s="1"/>
  <c r="BD1513" i="1" s="1"/>
  <c r="BD1514" i="1" s="1"/>
  <c r="BD1515" i="1" s="1"/>
  <c r="BD1516" i="1" s="1"/>
  <c r="BD1517" i="1" s="1"/>
  <c r="BD1518" i="1" s="1"/>
  <c r="BD1519" i="1" s="1"/>
  <c r="BD1520" i="1" s="1"/>
  <c r="BD1521" i="1" s="1"/>
  <c r="BD1522" i="1" s="1"/>
  <c r="BD1523" i="1" s="1"/>
  <c r="BD1524" i="1" s="1"/>
  <c r="BD1525" i="1" s="1"/>
  <c r="BD1526" i="1" s="1"/>
  <c r="BD1527" i="1" s="1"/>
  <c r="BD1528" i="1" s="1"/>
  <c r="BD1529" i="1" s="1"/>
  <c r="BD1530" i="1" s="1"/>
  <c r="BD1531" i="1" s="1"/>
  <c r="BD1532" i="1" s="1"/>
  <c r="BD1533" i="1" s="1"/>
  <c r="BD1534" i="1" s="1"/>
  <c r="BD1535" i="1" s="1"/>
  <c r="BD1536" i="1" s="1"/>
  <c r="BD1537" i="1" s="1"/>
  <c r="BD1538" i="1" s="1"/>
  <c r="BD1539" i="1" s="1"/>
  <c r="BD1540" i="1" s="1"/>
  <c r="BD1541" i="1" s="1"/>
  <c r="BD1542" i="1" s="1"/>
  <c r="BD1543" i="1" s="1"/>
  <c r="BD1544" i="1" s="1"/>
  <c r="BD1545" i="1" s="1"/>
  <c r="BD1546" i="1" s="1"/>
  <c r="BD1547" i="1" s="1"/>
  <c r="BD1548" i="1" s="1"/>
  <c r="BD1549" i="1" s="1"/>
  <c r="BD1550" i="1" s="1"/>
  <c r="BD1551" i="1" s="1"/>
  <c r="BD1552" i="1" s="1"/>
  <c r="BD1553" i="1" s="1"/>
  <c r="BD1554" i="1" s="1"/>
  <c r="BD1555" i="1" s="1"/>
  <c r="BD1556" i="1" s="1"/>
  <c r="BD1557" i="1" s="1"/>
  <c r="BD1558" i="1" s="1"/>
  <c r="BD1559" i="1" s="1"/>
  <c r="BD1560" i="1" s="1"/>
  <c r="BD1561" i="1" s="1"/>
  <c r="BD1562" i="1" s="1"/>
  <c r="BD1563" i="1" s="1"/>
  <c r="BD1564" i="1" s="1"/>
  <c r="BD1565" i="1" s="1"/>
  <c r="BD1566" i="1" s="1"/>
  <c r="BD1567" i="1" s="1"/>
  <c r="BD1568" i="1" s="1"/>
  <c r="BD1569" i="1" s="1"/>
  <c r="BD1570" i="1" s="1"/>
  <c r="BD1571" i="1" s="1"/>
  <c r="BD1572" i="1" s="1"/>
  <c r="BD1573" i="1" s="1"/>
  <c r="BD1574" i="1" s="1"/>
  <c r="BD1575" i="1" s="1"/>
  <c r="BD1576" i="1" s="1"/>
  <c r="BD1577" i="1" s="1"/>
  <c r="BD1578" i="1" s="1"/>
  <c r="BD1579" i="1" s="1"/>
  <c r="BD1580" i="1" s="1"/>
  <c r="BD1581" i="1" s="1"/>
  <c r="BD1582" i="1" s="1"/>
  <c r="BD1583" i="1" s="1"/>
  <c r="BD1584" i="1" s="1"/>
  <c r="BD1585" i="1" s="1"/>
  <c r="BD1586" i="1" s="1"/>
  <c r="BD1587" i="1" s="1"/>
  <c r="BD1588" i="1" s="1"/>
  <c r="BD1589" i="1" s="1"/>
  <c r="BD1590" i="1" s="1"/>
  <c r="BD1591" i="1" s="1"/>
  <c r="BD1592" i="1" s="1"/>
  <c r="BD1593" i="1" s="1"/>
  <c r="BD1594" i="1" s="1"/>
  <c r="BD1595" i="1" s="1"/>
  <c r="BD1596" i="1" s="1"/>
  <c r="BD1597" i="1" s="1"/>
  <c r="BD1598" i="1" s="1"/>
  <c r="BD1599" i="1" s="1"/>
  <c r="BD1600" i="1" s="1"/>
  <c r="BD1601" i="1" s="1"/>
  <c r="BD1602" i="1" s="1"/>
  <c r="BD1603" i="1" s="1"/>
  <c r="BD1604" i="1" s="1"/>
  <c r="BD1605" i="1" s="1"/>
  <c r="BD1606" i="1" s="1"/>
  <c r="BD1607" i="1" s="1"/>
  <c r="BD1608" i="1" s="1"/>
  <c r="BD1609" i="1" s="1"/>
  <c r="BD1610" i="1" s="1"/>
  <c r="BD1611" i="1" s="1"/>
  <c r="BD1612" i="1" s="1"/>
  <c r="BD1613" i="1" s="1"/>
  <c r="BD1614" i="1" s="1"/>
  <c r="BD1615" i="1" s="1"/>
  <c r="BD1616" i="1" s="1"/>
  <c r="BD1617" i="1" s="1"/>
  <c r="BD1618" i="1" s="1"/>
  <c r="BD1619" i="1" s="1"/>
  <c r="BD1620" i="1" s="1"/>
  <c r="BD1621" i="1" s="1"/>
  <c r="BD1622" i="1" s="1"/>
  <c r="BD1623" i="1" s="1"/>
  <c r="BD1624" i="1" s="1"/>
  <c r="BD1625" i="1" s="1"/>
  <c r="BD1626" i="1" s="1"/>
  <c r="BD1627" i="1" s="1"/>
  <c r="BD1628" i="1" s="1"/>
  <c r="BD1629" i="1" s="1"/>
  <c r="BD1630" i="1" s="1"/>
  <c r="BD1631" i="1" s="1"/>
  <c r="BD1632" i="1" s="1"/>
  <c r="BD1633" i="1" s="1"/>
  <c r="BD1634" i="1" s="1"/>
  <c r="BD1635" i="1" s="1"/>
  <c r="BD1636" i="1" s="1"/>
  <c r="BD1637" i="1" s="1"/>
  <c r="BD1638" i="1" s="1"/>
  <c r="BD1639" i="1" s="1"/>
  <c r="BD1640" i="1" s="1"/>
  <c r="BD1641" i="1" s="1"/>
  <c r="BD1642" i="1" s="1"/>
  <c r="BD1643" i="1" s="1"/>
  <c r="BD1644" i="1" s="1"/>
  <c r="BD1645" i="1" s="1"/>
  <c r="BD1646" i="1" s="1"/>
  <c r="BD1647" i="1" s="1"/>
  <c r="BD1648" i="1" s="1"/>
  <c r="BD1649" i="1" s="1"/>
  <c r="BD1650" i="1" s="1"/>
  <c r="BD1651" i="1" s="1"/>
  <c r="BD1652" i="1" s="1"/>
  <c r="BD1653" i="1" s="1"/>
  <c r="BD1654" i="1" s="1"/>
  <c r="BD1655" i="1" s="1"/>
  <c r="BD1656" i="1" s="1"/>
  <c r="BD1657" i="1" s="1"/>
  <c r="BD1658" i="1" s="1"/>
  <c r="BD1659" i="1" s="1"/>
  <c r="BD1660" i="1" s="1"/>
  <c r="BD1661" i="1" s="1"/>
  <c r="BD1662" i="1" s="1"/>
  <c r="BD1663" i="1" s="1"/>
  <c r="BD1664" i="1" s="1"/>
  <c r="BD1665" i="1" s="1"/>
  <c r="BD1666" i="1" s="1"/>
  <c r="BD1667" i="1" s="1"/>
  <c r="BD1668" i="1" s="1"/>
  <c r="BD1669" i="1" s="1"/>
  <c r="BD1670" i="1" s="1"/>
  <c r="BD1671" i="1" s="1"/>
  <c r="BD1672" i="1" s="1"/>
  <c r="BD1673" i="1" s="1"/>
  <c r="BD1674" i="1" s="1"/>
  <c r="BD1675" i="1" s="1"/>
  <c r="BD1676" i="1" s="1"/>
  <c r="BD1677" i="1" s="1"/>
  <c r="BD1678" i="1" s="1"/>
  <c r="BD1679" i="1" s="1"/>
  <c r="BD1680" i="1" s="1"/>
  <c r="BD1681" i="1" s="1"/>
  <c r="BD1682" i="1" s="1"/>
  <c r="BD1683" i="1" s="1"/>
  <c r="BD1684" i="1" s="1"/>
  <c r="BD1685" i="1" s="1"/>
  <c r="BD1686" i="1" s="1"/>
  <c r="BD1687" i="1" s="1"/>
  <c r="BD1688" i="1" s="1"/>
  <c r="BD1689" i="1" s="1"/>
  <c r="BD1690" i="1" s="1"/>
  <c r="BD1691" i="1" s="1"/>
  <c r="BD1692" i="1" s="1"/>
  <c r="BD1693" i="1" s="1"/>
  <c r="BD1694" i="1" s="1"/>
  <c r="BD1695" i="1" s="1"/>
  <c r="BD1696" i="1" s="1"/>
  <c r="BD1697" i="1" s="1"/>
  <c r="BD1698" i="1" s="1"/>
  <c r="BD1699" i="1" s="1"/>
  <c r="BD1700" i="1" s="1"/>
  <c r="BD1701" i="1" s="1"/>
  <c r="BD1702" i="1" s="1"/>
  <c r="BD1703" i="1" s="1"/>
  <c r="BD1704" i="1" s="1"/>
  <c r="BD1705" i="1" s="1"/>
  <c r="BD1706" i="1" s="1"/>
  <c r="BD1707" i="1" s="1"/>
  <c r="BD1708" i="1" s="1"/>
  <c r="BD1709" i="1" s="1"/>
  <c r="BD1710" i="1" s="1"/>
  <c r="BD1711" i="1" s="1"/>
  <c r="BD1712" i="1" s="1"/>
  <c r="BD1713" i="1" s="1"/>
  <c r="BD1714" i="1" s="1"/>
  <c r="BD1715" i="1" s="1"/>
  <c r="BD1716" i="1" s="1"/>
  <c r="BD1717" i="1" s="1"/>
  <c r="BD1718" i="1" s="1"/>
  <c r="BD1719" i="1" s="1"/>
  <c r="BD1720" i="1" s="1"/>
  <c r="BD1721" i="1" s="1"/>
  <c r="BD1722" i="1" s="1"/>
  <c r="BD1723" i="1" s="1"/>
  <c r="BD1724" i="1" s="1"/>
  <c r="BD1725" i="1" s="1"/>
  <c r="BD1726" i="1" s="1"/>
  <c r="BD1727" i="1" s="1"/>
  <c r="BD1728" i="1" s="1"/>
  <c r="BD1729" i="1" s="1"/>
  <c r="BD1730" i="1" s="1"/>
  <c r="BD1731" i="1" s="1"/>
  <c r="BD1732" i="1" s="1"/>
  <c r="BD1733" i="1" s="1"/>
  <c r="BD1734" i="1" s="1"/>
  <c r="BD1735" i="1" s="1"/>
  <c r="BD1736" i="1" s="1"/>
  <c r="BD1737" i="1" s="1"/>
  <c r="BD1738" i="1" s="1"/>
  <c r="BD1739" i="1" s="1"/>
  <c r="BD1740" i="1" s="1"/>
  <c r="BD1741" i="1" s="1"/>
  <c r="BD1742" i="1" s="1"/>
  <c r="BD1743" i="1" s="1"/>
  <c r="BD1744" i="1" s="1"/>
  <c r="BD1745" i="1" s="1"/>
  <c r="BD1746" i="1" s="1"/>
  <c r="BD1747" i="1" s="1"/>
  <c r="BD1748" i="1" s="1"/>
  <c r="BD1749" i="1" s="1"/>
  <c r="BD1750" i="1" s="1"/>
  <c r="BD1751" i="1" s="1"/>
  <c r="BD1752" i="1" s="1"/>
  <c r="BD1753" i="1" s="1"/>
  <c r="BD1754" i="1" s="1"/>
  <c r="BD1755" i="1" s="1"/>
  <c r="BD1756" i="1" s="1"/>
  <c r="BD1757" i="1" s="1"/>
  <c r="BD1758" i="1" s="1"/>
  <c r="BD1759" i="1" s="1"/>
  <c r="BD1760" i="1" s="1"/>
  <c r="BD1761" i="1" s="1"/>
  <c r="BD1762" i="1" s="1"/>
  <c r="BD1763" i="1" s="1"/>
  <c r="BD1764" i="1" s="1"/>
  <c r="BD1765" i="1" s="1"/>
  <c r="BD1766" i="1" s="1"/>
  <c r="BD1767" i="1" s="1"/>
  <c r="BD1768" i="1" s="1"/>
  <c r="BD1769" i="1" s="1"/>
  <c r="BD1770" i="1" s="1"/>
  <c r="BD1771" i="1" s="1"/>
  <c r="BD1772" i="1" s="1"/>
  <c r="BD1773" i="1" s="1"/>
  <c r="BD1774" i="1" s="1"/>
  <c r="BD1775" i="1" s="1"/>
  <c r="BD1776" i="1" s="1"/>
  <c r="BD1777" i="1" s="1"/>
  <c r="BD1778" i="1" s="1"/>
  <c r="BD1779" i="1" s="1"/>
  <c r="BD1780" i="1" s="1"/>
  <c r="BD1781" i="1" s="1"/>
  <c r="BD1782" i="1" s="1"/>
  <c r="BD1783" i="1" s="1"/>
  <c r="BD1784" i="1" s="1"/>
  <c r="BD1785" i="1" s="1"/>
  <c r="BD1786" i="1" s="1"/>
  <c r="BD1787" i="1" s="1"/>
  <c r="BD1788" i="1" s="1"/>
  <c r="BD1789" i="1" s="1"/>
  <c r="BD1790" i="1" s="1"/>
  <c r="BD1791" i="1" s="1"/>
  <c r="BD1792" i="1" s="1"/>
  <c r="BD1793" i="1" s="1"/>
  <c r="BD1794" i="1" s="1"/>
  <c r="BD1795" i="1" s="1"/>
  <c r="BD1796" i="1" s="1"/>
  <c r="BD1797" i="1" s="1"/>
  <c r="BD1798" i="1" s="1"/>
  <c r="BD1799" i="1" s="1"/>
  <c r="BD1800" i="1" s="1"/>
  <c r="BD1801" i="1" s="1"/>
  <c r="BD1802" i="1" s="1"/>
  <c r="BD1803" i="1" s="1"/>
  <c r="BD1804" i="1" s="1"/>
  <c r="BD1805" i="1" s="1"/>
  <c r="BD1806" i="1" s="1"/>
  <c r="BD1807" i="1" s="1"/>
  <c r="BD1808" i="1" s="1"/>
  <c r="BD1809" i="1" s="1"/>
  <c r="BD1810" i="1" s="1"/>
  <c r="BD1811" i="1" s="1"/>
  <c r="BD1812" i="1" s="1"/>
  <c r="BD1813" i="1" s="1"/>
  <c r="BD1814" i="1" s="1"/>
  <c r="BD1815" i="1" s="1"/>
  <c r="BD1816" i="1" s="1"/>
  <c r="BD1817" i="1" s="1"/>
  <c r="BD1818" i="1" s="1"/>
  <c r="BD1819" i="1" s="1"/>
  <c r="BD1820" i="1" s="1"/>
  <c r="BD1821" i="1" s="1"/>
  <c r="BD1822" i="1" s="1"/>
  <c r="BD1823" i="1" s="1"/>
  <c r="BD1824" i="1" s="1"/>
  <c r="BD1825" i="1" s="1"/>
  <c r="BD1826" i="1" s="1"/>
  <c r="BD1827" i="1" s="1"/>
  <c r="BD1828" i="1" s="1"/>
  <c r="BD1829" i="1" s="1"/>
  <c r="BD1830" i="1" s="1"/>
  <c r="BD1831" i="1" s="1"/>
  <c r="BD1832" i="1" s="1"/>
  <c r="BD1833" i="1" s="1"/>
  <c r="BD1834" i="1" s="1"/>
  <c r="BD1835" i="1" s="1"/>
  <c r="BD1836" i="1" s="1"/>
  <c r="BD1837" i="1" s="1"/>
  <c r="BD1838" i="1" s="1"/>
  <c r="BD1839" i="1" s="1"/>
  <c r="BD1840" i="1" s="1"/>
  <c r="BD1841" i="1" s="1"/>
  <c r="BD1842" i="1" s="1"/>
  <c r="BD1843" i="1" s="1"/>
  <c r="BD1844" i="1" s="1"/>
  <c r="BD1845" i="1" s="1"/>
  <c r="BD1846" i="1" s="1"/>
  <c r="BD1847" i="1" s="1"/>
  <c r="BD1848" i="1" s="1"/>
  <c r="BD1849" i="1" s="1"/>
  <c r="BD1850" i="1" s="1"/>
  <c r="BD1851" i="1" s="1"/>
  <c r="BD1852" i="1" s="1"/>
  <c r="BD1853" i="1" s="1"/>
  <c r="BD1854" i="1" s="1"/>
  <c r="BD1855" i="1" s="1"/>
  <c r="BD1856" i="1" s="1"/>
  <c r="BD1857" i="1" s="1"/>
  <c r="BD1858" i="1" s="1"/>
  <c r="BD1859" i="1" s="1"/>
  <c r="BD1860" i="1" s="1"/>
  <c r="BD1861" i="1" s="1"/>
  <c r="BD1862" i="1" s="1"/>
  <c r="BD1863" i="1" s="1"/>
  <c r="BD1864" i="1" s="1"/>
  <c r="BD1865" i="1" s="1"/>
  <c r="BD1866" i="1" s="1"/>
  <c r="BD1867" i="1" s="1"/>
  <c r="BD1868" i="1" s="1"/>
  <c r="BD1869" i="1" s="1"/>
  <c r="BD1870" i="1" s="1"/>
  <c r="BD1871" i="1" s="1"/>
  <c r="BD1872" i="1" s="1"/>
  <c r="BD1873" i="1" s="1"/>
  <c r="BD1874" i="1" s="1"/>
  <c r="BD1875" i="1" s="1"/>
  <c r="BD1876" i="1" s="1"/>
  <c r="BD1877" i="1" s="1"/>
  <c r="BD1878" i="1" s="1"/>
  <c r="BD1879" i="1" s="1"/>
  <c r="BD1880" i="1" s="1"/>
  <c r="BD1881" i="1" s="1"/>
  <c r="BD1882" i="1" s="1"/>
  <c r="BD1883" i="1" s="1"/>
  <c r="BD1884" i="1" s="1"/>
  <c r="BD1885" i="1" s="1"/>
  <c r="BD1886" i="1" s="1"/>
  <c r="BD1887" i="1" s="1"/>
  <c r="BD1888" i="1" s="1"/>
  <c r="BD1889" i="1" s="1"/>
  <c r="BD1890" i="1" s="1"/>
  <c r="BD1891" i="1" s="1"/>
  <c r="BD1892" i="1" s="1"/>
  <c r="BD1893" i="1" s="1"/>
  <c r="BD1894" i="1" s="1"/>
  <c r="BD1895" i="1" s="1"/>
  <c r="BD1896" i="1" s="1"/>
  <c r="BD1897" i="1" s="1"/>
  <c r="BD1898" i="1" s="1"/>
  <c r="BD1899" i="1" s="1"/>
  <c r="BD1900" i="1" s="1"/>
  <c r="BD1901" i="1" s="1"/>
  <c r="BD1902" i="1" s="1"/>
  <c r="BD1903" i="1" s="1"/>
  <c r="BD1904" i="1" s="1"/>
  <c r="BD1905" i="1" s="1"/>
  <c r="BD1906" i="1" s="1"/>
  <c r="BD1907" i="1" s="1"/>
  <c r="BD1908" i="1" s="1"/>
  <c r="BD1909" i="1" s="1"/>
  <c r="BD1910" i="1" s="1"/>
  <c r="BD1911" i="1" s="1"/>
  <c r="BD1912" i="1" s="1"/>
  <c r="BD1913" i="1" s="1"/>
  <c r="BD1914" i="1" s="1"/>
  <c r="BD1915" i="1" s="1"/>
  <c r="BD1916" i="1" s="1"/>
  <c r="BD1917" i="1" s="1"/>
  <c r="BD1918" i="1" s="1"/>
  <c r="BD1919" i="1" s="1"/>
  <c r="BD1920" i="1" s="1"/>
  <c r="BD1921" i="1" s="1"/>
  <c r="BD1922" i="1" s="1"/>
  <c r="BD1923" i="1" s="1"/>
  <c r="BD1924" i="1" s="1"/>
  <c r="BD1925" i="1" s="1"/>
  <c r="BD1926" i="1" s="1"/>
  <c r="BD1927" i="1" s="1"/>
  <c r="BD1928" i="1" s="1"/>
  <c r="BD1929" i="1" s="1"/>
  <c r="BD1930" i="1" s="1"/>
  <c r="BD1931" i="1" s="1"/>
  <c r="BD1932" i="1" s="1"/>
  <c r="BD1933" i="1" s="1"/>
  <c r="BD1934" i="1" s="1"/>
  <c r="BD1935" i="1" s="1"/>
  <c r="BD1936" i="1" s="1"/>
  <c r="BD1937" i="1" s="1"/>
  <c r="BD1938" i="1" s="1"/>
  <c r="BD1939" i="1" s="1"/>
  <c r="BD1940" i="1" s="1"/>
  <c r="BD1941" i="1" s="1"/>
  <c r="BD1942" i="1" s="1"/>
  <c r="BD1943" i="1" s="1"/>
  <c r="BD1944" i="1" s="1"/>
  <c r="BD1945" i="1" s="1"/>
  <c r="BD1946" i="1" s="1"/>
  <c r="BD1947" i="1" s="1"/>
  <c r="BD1948" i="1" s="1"/>
  <c r="BD1949" i="1" s="1"/>
  <c r="BD1950" i="1" s="1"/>
  <c r="BD1951" i="1" s="1"/>
  <c r="BD1952" i="1" s="1"/>
  <c r="BD1953" i="1" s="1"/>
  <c r="BD1954" i="1" s="1"/>
  <c r="BD1955" i="1" s="1"/>
  <c r="BD1956" i="1" s="1"/>
  <c r="BD1957" i="1" s="1"/>
  <c r="BD1958" i="1" s="1"/>
  <c r="BD1959" i="1" s="1"/>
  <c r="BD1960" i="1" s="1"/>
  <c r="BD1961" i="1" s="1"/>
  <c r="BD1962" i="1" s="1"/>
  <c r="BD1963" i="1" s="1"/>
  <c r="BD1964" i="1" s="1"/>
  <c r="BD1965" i="1" s="1"/>
  <c r="BD1966" i="1" s="1"/>
  <c r="BD1967" i="1" s="1"/>
  <c r="BD1968" i="1" s="1"/>
  <c r="BD1969" i="1" s="1"/>
  <c r="BD1970" i="1" s="1"/>
  <c r="BD1971" i="1" s="1"/>
  <c r="BD1972" i="1" s="1"/>
  <c r="BD1973" i="1" s="1"/>
  <c r="BD1974" i="1" s="1"/>
  <c r="BD1975" i="1" s="1"/>
  <c r="BD1976" i="1" s="1"/>
  <c r="BD1977" i="1" s="1"/>
  <c r="BD1978" i="1" s="1"/>
  <c r="BD1979" i="1" s="1"/>
  <c r="BD1980" i="1" s="1"/>
  <c r="BD1981" i="1" s="1"/>
  <c r="BD1982" i="1" s="1"/>
  <c r="BD1983" i="1" s="1"/>
  <c r="BD1984" i="1" s="1"/>
  <c r="BD1985" i="1" s="1"/>
  <c r="BD1986" i="1" s="1"/>
  <c r="BD1987" i="1" s="1"/>
  <c r="BD1988" i="1" s="1"/>
  <c r="BD1989" i="1" s="1"/>
  <c r="BD1990" i="1" s="1"/>
  <c r="BD1991" i="1" s="1"/>
  <c r="BD1992" i="1" s="1"/>
  <c r="BD1993" i="1" s="1"/>
  <c r="BD1994" i="1" s="1"/>
  <c r="BD1995" i="1" s="1"/>
  <c r="BD1996" i="1" s="1"/>
  <c r="BD1997" i="1" s="1"/>
  <c r="BD1998" i="1" s="1"/>
  <c r="BD1999" i="1" s="1"/>
  <c r="BD2000" i="1" s="1"/>
  <c r="BD2001" i="1" s="1"/>
  <c r="BD2002" i="1" s="1"/>
  <c r="BD2003" i="1" s="1"/>
  <c r="BD2004" i="1" s="1"/>
  <c r="BD2005" i="1" s="1"/>
  <c r="BD2006" i="1" s="1"/>
  <c r="BD2007" i="1" s="1"/>
  <c r="BD2008" i="1" s="1"/>
  <c r="BD2009" i="1" s="1"/>
  <c r="BD2010" i="1" s="1"/>
  <c r="BD2011" i="1" s="1"/>
  <c r="BD2012" i="1" s="1"/>
  <c r="BD2013" i="1" s="1"/>
  <c r="BD2014" i="1" s="1"/>
  <c r="BD2015" i="1" s="1"/>
  <c r="BD2016" i="1" s="1"/>
  <c r="BD2017" i="1" s="1"/>
  <c r="BD2018" i="1" s="1"/>
  <c r="BD2019" i="1" s="1"/>
  <c r="BD2020" i="1" s="1"/>
  <c r="BD2021" i="1" s="1"/>
  <c r="BD2022" i="1" s="1"/>
  <c r="BD2023" i="1" s="1"/>
  <c r="BD2024" i="1" s="1"/>
  <c r="BD2025" i="1" s="1"/>
  <c r="BD2026" i="1" s="1"/>
  <c r="BD2027" i="1" s="1"/>
  <c r="BD2028" i="1" s="1"/>
  <c r="BD2029" i="1" s="1"/>
  <c r="BD2030" i="1" s="1"/>
  <c r="BD2031" i="1" s="1"/>
  <c r="BD2032" i="1" s="1"/>
  <c r="BD2033" i="1" s="1"/>
  <c r="BD2034" i="1" s="1"/>
  <c r="BD2035" i="1" s="1"/>
  <c r="BD2036" i="1" s="1"/>
  <c r="BD2037" i="1" s="1"/>
  <c r="BD2038" i="1" s="1"/>
  <c r="BD2039" i="1" s="1"/>
  <c r="BD2040" i="1" s="1"/>
  <c r="BD2041" i="1" s="1"/>
  <c r="BD2042" i="1" s="1"/>
  <c r="BD2043" i="1" s="1"/>
  <c r="BD2044" i="1" s="1"/>
  <c r="BD2045" i="1" s="1"/>
  <c r="BD2046" i="1" s="1"/>
  <c r="BD2047" i="1" s="1"/>
  <c r="BD2048" i="1" s="1"/>
  <c r="BD2049" i="1" s="1"/>
  <c r="BD2050" i="1" s="1"/>
  <c r="BD2051" i="1" s="1"/>
  <c r="BD2052" i="1" s="1"/>
  <c r="BD2053" i="1" s="1"/>
  <c r="BD2054" i="1" s="1"/>
  <c r="BD2055" i="1" s="1"/>
  <c r="BD2056" i="1" s="1"/>
  <c r="BD2057" i="1" s="1"/>
  <c r="BD2058" i="1" s="1"/>
  <c r="BD2059" i="1" s="1"/>
  <c r="BD2060" i="1" s="1"/>
  <c r="BD2061" i="1" s="1"/>
  <c r="BD2062" i="1" s="1"/>
  <c r="BD2063" i="1" s="1"/>
  <c r="BD2064" i="1" s="1"/>
  <c r="BD2065" i="1" s="1"/>
  <c r="BD2066" i="1" s="1"/>
  <c r="BD2067" i="1" s="1"/>
  <c r="BD2068" i="1" s="1"/>
  <c r="BD2069" i="1" s="1"/>
  <c r="BD2070" i="1" s="1"/>
  <c r="BD2071" i="1" s="1"/>
  <c r="BD2072" i="1" s="1"/>
  <c r="BD2073" i="1" s="1"/>
  <c r="BD2074" i="1" s="1"/>
  <c r="BD2075" i="1" s="1"/>
  <c r="BD2076" i="1" s="1"/>
  <c r="BD2077" i="1" s="1"/>
  <c r="BD2078" i="1" s="1"/>
  <c r="BD2079" i="1" s="1"/>
  <c r="BD2080" i="1" s="1"/>
  <c r="BD2081" i="1" s="1"/>
  <c r="BD2082" i="1" s="1"/>
  <c r="BD2083" i="1" s="1"/>
  <c r="BD2084" i="1" s="1"/>
  <c r="BD2085" i="1" s="1"/>
  <c r="BD2086" i="1" s="1"/>
  <c r="BD2087" i="1" s="1"/>
  <c r="BD2088" i="1" s="1"/>
  <c r="BD2089" i="1" s="1"/>
  <c r="BD2090" i="1" s="1"/>
  <c r="BD2091" i="1" s="1"/>
  <c r="BD2092" i="1" s="1"/>
  <c r="BD2093" i="1" s="1"/>
  <c r="BD2094" i="1" s="1"/>
  <c r="BD2095" i="1" s="1"/>
  <c r="BD2096" i="1" s="1"/>
  <c r="BD2097" i="1" s="1"/>
  <c r="BD2098" i="1" s="1"/>
  <c r="BD2099" i="1" s="1"/>
  <c r="BD2100" i="1" s="1"/>
  <c r="BD2101" i="1" s="1"/>
  <c r="BD2102" i="1" s="1"/>
  <c r="BD2103" i="1" s="1"/>
  <c r="BD2104" i="1" s="1"/>
  <c r="BD2105" i="1" s="1"/>
  <c r="BD2106" i="1" s="1"/>
  <c r="BD2107" i="1" s="1"/>
  <c r="BD2108" i="1" s="1"/>
  <c r="BD2109" i="1" s="1"/>
  <c r="BD2110" i="1" s="1"/>
  <c r="BD2111" i="1" s="1"/>
  <c r="BD2112" i="1" s="1"/>
  <c r="BD2113" i="1" s="1"/>
  <c r="BD2114" i="1" s="1"/>
  <c r="BD2115" i="1" s="1"/>
  <c r="BD2116" i="1" s="1"/>
  <c r="BD2117" i="1" s="1"/>
  <c r="BD2118" i="1" s="1"/>
  <c r="BD2119" i="1" s="1"/>
  <c r="BD2120" i="1" s="1"/>
  <c r="BD2121" i="1" s="1"/>
  <c r="BD2122" i="1" s="1"/>
  <c r="BD2123" i="1" s="1"/>
  <c r="BD2124" i="1" s="1"/>
  <c r="BD2125" i="1" s="1"/>
  <c r="BD2126" i="1" s="1"/>
  <c r="BD2127" i="1" s="1"/>
  <c r="BD2128" i="1" s="1"/>
  <c r="BD2129" i="1" s="1"/>
  <c r="BD2130" i="1" s="1"/>
  <c r="BD2131" i="1" s="1"/>
  <c r="BD2132" i="1" s="1"/>
  <c r="BD2133" i="1" s="1"/>
  <c r="BD2134" i="1" s="1"/>
  <c r="BD2135" i="1" s="1"/>
  <c r="BD2136" i="1" s="1"/>
  <c r="BD2137" i="1" s="1"/>
  <c r="BD2138" i="1" s="1"/>
  <c r="BD2139" i="1" s="1"/>
  <c r="BD2140" i="1" s="1"/>
  <c r="BD2141" i="1" s="1"/>
  <c r="BD2142" i="1" s="1"/>
  <c r="BD2143" i="1" s="1"/>
  <c r="BD2144" i="1" s="1"/>
  <c r="BD2145" i="1" s="1"/>
  <c r="BD2146" i="1" s="1"/>
  <c r="BD2147" i="1" s="1"/>
  <c r="BD2148" i="1" s="1"/>
  <c r="BD2149" i="1" s="1"/>
  <c r="BD2150" i="1" s="1"/>
  <c r="BD2151" i="1" s="1"/>
  <c r="BD2152" i="1" s="1"/>
  <c r="BD2153" i="1" s="1"/>
  <c r="BD2154" i="1" s="1"/>
  <c r="BD2155" i="1" s="1"/>
  <c r="BD2156" i="1" s="1"/>
  <c r="BD2157" i="1" s="1"/>
  <c r="BD2158" i="1" s="1"/>
  <c r="BD2159" i="1" s="1"/>
  <c r="BD2160" i="1" s="1"/>
  <c r="BD2161" i="1" s="1"/>
  <c r="BD2162" i="1" s="1"/>
  <c r="BD2163" i="1" s="1"/>
  <c r="BD2164" i="1" s="1"/>
  <c r="BD2165" i="1" s="1"/>
  <c r="BD2166" i="1" s="1"/>
  <c r="BD2167" i="1" s="1"/>
  <c r="BD2168" i="1" s="1"/>
  <c r="BD2169" i="1" s="1"/>
  <c r="BD2170" i="1" s="1"/>
  <c r="BD2171" i="1" s="1"/>
  <c r="BD2172" i="1" s="1"/>
  <c r="BD2173" i="1" s="1"/>
  <c r="BD2174" i="1" s="1"/>
  <c r="BD2175" i="1" s="1"/>
  <c r="BD2176" i="1" s="1"/>
  <c r="BD2177" i="1" s="1"/>
  <c r="BD2178" i="1" s="1"/>
  <c r="BD2179" i="1" s="1"/>
  <c r="BD2180" i="1" s="1"/>
  <c r="BD2181" i="1" s="1"/>
  <c r="BD2182" i="1" s="1"/>
  <c r="BD2183" i="1" s="1"/>
  <c r="BD2184" i="1" s="1"/>
  <c r="BD2185" i="1" s="1"/>
  <c r="BD2186" i="1" s="1"/>
  <c r="BD2187" i="1" s="1"/>
  <c r="BD2188" i="1" s="1"/>
  <c r="BD2189" i="1" s="1"/>
  <c r="BD2190" i="1" s="1"/>
  <c r="BD2191" i="1" s="1"/>
  <c r="BD2192" i="1" s="1"/>
  <c r="BD2193" i="1" s="1"/>
  <c r="BD2194" i="1" s="1"/>
  <c r="BD2195" i="1" s="1"/>
  <c r="BD2196" i="1" s="1"/>
  <c r="BD2197" i="1" s="1"/>
  <c r="BD2198" i="1" s="1"/>
  <c r="BD2199" i="1" s="1"/>
  <c r="BD2200" i="1" s="1"/>
  <c r="BD2201" i="1" s="1"/>
  <c r="BD2202" i="1" s="1"/>
  <c r="BD2203" i="1" s="1"/>
  <c r="BD2204" i="1" s="1"/>
  <c r="BD2205" i="1" s="1"/>
  <c r="BD2206" i="1" s="1"/>
  <c r="BD2207" i="1" s="1"/>
  <c r="BD2208" i="1" s="1"/>
  <c r="BD2209" i="1" s="1"/>
  <c r="BD2210" i="1" s="1"/>
  <c r="BD2211" i="1" s="1"/>
  <c r="BD2212" i="1" s="1"/>
  <c r="BD2213" i="1" s="1"/>
  <c r="BD2214" i="1" s="1"/>
  <c r="BD2215" i="1" s="1"/>
  <c r="BD2216" i="1" s="1"/>
  <c r="BD2217" i="1" s="1"/>
  <c r="BD2218" i="1" s="1"/>
  <c r="BD2219" i="1" s="1"/>
  <c r="BD2220" i="1" s="1"/>
  <c r="BD2221" i="1" s="1"/>
  <c r="BD2222" i="1" s="1"/>
  <c r="BD2223" i="1" s="1"/>
  <c r="BD2224" i="1" s="1"/>
  <c r="BD2225" i="1" s="1"/>
  <c r="BD2226" i="1" s="1"/>
  <c r="BD2227" i="1" s="1"/>
  <c r="BD2228" i="1" s="1"/>
  <c r="BD2229" i="1" s="1"/>
  <c r="BD2230" i="1" s="1"/>
  <c r="BD2231" i="1" s="1"/>
  <c r="BD2232" i="1" s="1"/>
  <c r="BD2233" i="1" s="1"/>
  <c r="BD2234" i="1" s="1"/>
  <c r="BD2235" i="1" s="1"/>
  <c r="BD2236" i="1" s="1"/>
  <c r="BD2237" i="1" s="1"/>
  <c r="BD2238" i="1" s="1"/>
  <c r="BD2239" i="1" s="1"/>
  <c r="BD2240" i="1" s="1"/>
  <c r="BD2241" i="1" s="1"/>
  <c r="BD2242" i="1" s="1"/>
  <c r="BD2243" i="1" s="1"/>
  <c r="BD2244" i="1" s="1"/>
  <c r="BD2245" i="1" s="1"/>
  <c r="BD2246" i="1" s="1"/>
  <c r="BD2247" i="1" s="1"/>
  <c r="BD2248" i="1" s="1"/>
  <c r="BD2249" i="1" s="1"/>
  <c r="BD2250" i="1" s="1"/>
  <c r="BD2251" i="1" s="1"/>
  <c r="BD2252" i="1" s="1"/>
  <c r="BD2253" i="1" s="1"/>
  <c r="BD2254" i="1" s="1"/>
  <c r="BD2255" i="1" s="1"/>
  <c r="BD2256" i="1" s="1"/>
  <c r="BD2257" i="1" s="1"/>
  <c r="BD2258" i="1" s="1"/>
  <c r="BD2259" i="1" s="1"/>
  <c r="BD2260" i="1" s="1"/>
  <c r="BD2261" i="1" s="1"/>
  <c r="BD2262" i="1" s="1"/>
  <c r="BD2263" i="1" s="1"/>
  <c r="BD2264" i="1" s="1"/>
  <c r="BD2265" i="1" s="1"/>
  <c r="BD2266" i="1" s="1"/>
  <c r="BD2267" i="1" s="1"/>
  <c r="BD2268" i="1" s="1"/>
  <c r="BD2269" i="1" s="1"/>
  <c r="BD2270" i="1" s="1"/>
  <c r="BD2271" i="1" s="1"/>
  <c r="BD2272" i="1" s="1"/>
  <c r="BD2273" i="1" s="1"/>
  <c r="BD2274" i="1" s="1"/>
  <c r="BD2275" i="1" s="1"/>
  <c r="BD2276" i="1" s="1"/>
  <c r="BD2277" i="1" s="1"/>
  <c r="BD2278" i="1" s="1"/>
  <c r="BD2279" i="1" s="1"/>
  <c r="BD2280" i="1" s="1"/>
  <c r="BD2281" i="1" s="1"/>
  <c r="BD2282" i="1" s="1"/>
  <c r="BD2283" i="1" s="1"/>
  <c r="BD2284" i="1" s="1"/>
  <c r="BD2285" i="1" s="1"/>
  <c r="BD2286" i="1" s="1"/>
  <c r="BD2287" i="1" s="1"/>
  <c r="BD2288" i="1" s="1"/>
  <c r="BD2289" i="1" s="1"/>
  <c r="BD2290" i="1" s="1"/>
  <c r="BD2291" i="1" s="1"/>
  <c r="BD2292" i="1" s="1"/>
  <c r="BD2293" i="1" s="1"/>
  <c r="BD2294" i="1" s="1"/>
  <c r="BD2295" i="1" s="1"/>
  <c r="BD2296" i="1" s="1"/>
  <c r="BD2297" i="1" s="1"/>
  <c r="BD2298" i="1" s="1"/>
  <c r="BD2299" i="1" s="1"/>
  <c r="BD2300" i="1" s="1"/>
  <c r="BD2301" i="1" s="1"/>
  <c r="BD2302" i="1" s="1"/>
  <c r="BD2303" i="1" s="1"/>
  <c r="BD2304" i="1" s="1"/>
  <c r="BD2305" i="1" s="1"/>
  <c r="BD2306" i="1" s="1"/>
  <c r="BD2307" i="1" s="1"/>
  <c r="BD2308" i="1" s="1"/>
  <c r="BD2309" i="1" s="1"/>
  <c r="BD2310" i="1" s="1"/>
  <c r="BD2311" i="1" s="1"/>
  <c r="BD2312" i="1" s="1"/>
  <c r="BD2313" i="1" s="1"/>
  <c r="BD2314" i="1" s="1"/>
  <c r="BD2315" i="1" s="1"/>
  <c r="BD2316" i="1" s="1"/>
  <c r="BD2317" i="1" s="1"/>
  <c r="BD2318" i="1" s="1"/>
  <c r="BD2319" i="1" s="1"/>
  <c r="BD2320" i="1" s="1"/>
  <c r="BD2321" i="1" s="1"/>
  <c r="BD2322" i="1" s="1"/>
  <c r="BD2323" i="1" s="1"/>
  <c r="BD2324" i="1" s="1"/>
  <c r="BD2325" i="1" s="1"/>
  <c r="BD2326" i="1" s="1"/>
  <c r="BD2327" i="1" s="1"/>
  <c r="BD2328" i="1" s="1"/>
  <c r="BD2329" i="1" s="1"/>
  <c r="BD2330" i="1" s="1"/>
  <c r="BD2331" i="1" s="1"/>
  <c r="BD2332" i="1" s="1"/>
  <c r="BD2333" i="1" s="1"/>
  <c r="BD2334" i="1" s="1"/>
  <c r="BD2335" i="1" s="1"/>
  <c r="BD2336" i="1" s="1"/>
  <c r="BD2337" i="1" s="1"/>
  <c r="BD2338" i="1" s="1"/>
  <c r="BD2339" i="1" s="1"/>
  <c r="BD2340" i="1" s="1"/>
  <c r="BD2341" i="1" s="1"/>
  <c r="BD2342" i="1" s="1"/>
  <c r="BD2343" i="1" s="1"/>
  <c r="BD2344" i="1" s="1"/>
  <c r="BD2345" i="1" s="1"/>
  <c r="BD2346" i="1" s="1"/>
  <c r="BD2347" i="1" s="1"/>
  <c r="BD2348" i="1" s="1"/>
  <c r="BD2349" i="1" s="1"/>
  <c r="BD2350" i="1" s="1"/>
  <c r="BD2351" i="1" s="1"/>
  <c r="BD2352" i="1" s="1"/>
  <c r="BD2353" i="1" s="1"/>
  <c r="BD2354" i="1" s="1"/>
  <c r="BD2355" i="1" s="1"/>
  <c r="BD2356" i="1" s="1"/>
  <c r="BD2357" i="1" s="1"/>
  <c r="BD2358" i="1" s="1"/>
  <c r="BD2359" i="1" s="1"/>
  <c r="BD2360" i="1" s="1"/>
  <c r="BD2361" i="1" s="1"/>
  <c r="BD2362" i="1" s="1"/>
  <c r="BD2363" i="1" s="1"/>
  <c r="BD2364" i="1" s="1"/>
  <c r="BD2365" i="1" s="1"/>
  <c r="BD2366" i="1" s="1"/>
  <c r="BD2367" i="1" s="1"/>
  <c r="BD2368" i="1" s="1"/>
  <c r="BD2369" i="1" s="1"/>
  <c r="BD2370" i="1" s="1"/>
  <c r="BD2371" i="1" s="1"/>
  <c r="BD2372" i="1" s="1"/>
  <c r="BD2373" i="1" s="1"/>
  <c r="BD2374" i="1" s="1"/>
  <c r="BD2375" i="1" s="1"/>
  <c r="BD2376" i="1" s="1"/>
  <c r="BD2377" i="1" s="1"/>
  <c r="BD2378" i="1" s="1"/>
  <c r="BD2379" i="1" s="1"/>
  <c r="BD2380" i="1" s="1"/>
  <c r="BD2381" i="1" s="1"/>
  <c r="BD2382" i="1" s="1"/>
  <c r="BD2383" i="1" s="1"/>
  <c r="BD2384" i="1" s="1"/>
  <c r="BD2385" i="1" s="1"/>
  <c r="BD2386" i="1" s="1"/>
  <c r="BD2387" i="1" s="1"/>
  <c r="BD2388" i="1" s="1"/>
  <c r="BD2389" i="1" s="1"/>
  <c r="BD2390" i="1" s="1"/>
  <c r="BD2391" i="1" s="1"/>
  <c r="BD2392" i="1" s="1"/>
  <c r="BD2393" i="1" s="1"/>
  <c r="BD2394" i="1" s="1"/>
  <c r="BD2395" i="1" s="1"/>
  <c r="BD2396" i="1" s="1"/>
  <c r="BD2397" i="1" s="1"/>
  <c r="BD2398" i="1" s="1"/>
  <c r="BD2399" i="1" s="1"/>
  <c r="BD2400" i="1" s="1"/>
  <c r="BD2401" i="1" s="1"/>
  <c r="BD2402" i="1" s="1"/>
  <c r="BD2403" i="1" s="1"/>
  <c r="BD2404" i="1" s="1"/>
  <c r="BD2405" i="1" s="1"/>
  <c r="BD2406" i="1" s="1"/>
  <c r="BD2407" i="1" s="1"/>
  <c r="BD2408" i="1" s="1"/>
  <c r="BD2409" i="1" s="1"/>
  <c r="BD2410" i="1" s="1"/>
  <c r="BD2411" i="1" s="1"/>
  <c r="BD2412" i="1" s="1"/>
  <c r="BD2413" i="1" s="1"/>
  <c r="BD2414" i="1" s="1"/>
  <c r="BD2415" i="1" s="1"/>
  <c r="BD2416" i="1" s="1"/>
  <c r="BD2417" i="1" s="1"/>
  <c r="BD2418" i="1" s="1"/>
  <c r="BD2419" i="1" s="1"/>
  <c r="BD2420" i="1" s="1"/>
  <c r="BD2421" i="1" s="1"/>
  <c r="BD2422" i="1" s="1"/>
  <c r="BD2423" i="1" s="1"/>
  <c r="BD2424" i="1" s="1"/>
  <c r="BD2425" i="1" s="1"/>
  <c r="BD2426" i="1" s="1"/>
  <c r="BD2427" i="1" s="1"/>
  <c r="BD2428" i="1" s="1"/>
  <c r="BD2429" i="1" s="1"/>
  <c r="BC3" i="1"/>
  <c r="BC4" i="1" s="1"/>
  <c r="BC5" i="1" s="1"/>
  <c r="BC6" i="1" s="1"/>
  <c r="BC7" i="1" s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87" i="1" s="1"/>
  <c r="BC188" i="1" s="1"/>
  <c r="BC189" i="1" s="1"/>
  <c r="BC190" i="1" s="1"/>
  <c r="BC191" i="1" s="1"/>
  <c r="BC192" i="1" s="1"/>
  <c r="BC193" i="1" s="1"/>
  <c r="BC194" i="1" s="1"/>
  <c r="BC195" i="1" s="1"/>
  <c r="BC196" i="1" s="1"/>
  <c r="BC197" i="1" s="1"/>
  <c r="BC198" i="1" s="1"/>
  <c r="BC199" i="1" s="1"/>
  <c r="BC200" i="1" s="1"/>
  <c r="BC201" i="1" s="1"/>
  <c r="BC202" i="1" s="1"/>
  <c r="BC203" i="1" s="1"/>
  <c r="BC204" i="1" s="1"/>
  <c r="BC205" i="1" s="1"/>
  <c r="BC206" i="1" s="1"/>
  <c r="BC207" i="1" s="1"/>
  <c r="BC208" i="1" s="1"/>
  <c r="BC209" i="1" s="1"/>
  <c r="BC210" i="1" s="1"/>
  <c r="BC211" i="1" s="1"/>
  <c r="BC212" i="1" s="1"/>
  <c r="BC213" i="1" s="1"/>
  <c r="BC214" i="1" s="1"/>
  <c r="BC215" i="1" s="1"/>
  <c r="BC216" i="1" s="1"/>
  <c r="BC217" i="1" s="1"/>
  <c r="BC218" i="1" s="1"/>
  <c r="BC219" i="1" s="1"/>
  <c r="BC220" i="1" s="1"/>
  <c r="BC221" i="1" s="1"/>
  <c r="BC222" i="1" s="1"/>
  <c r="BC223" i="1" s="1"/>
  <c r="BC224" i="1" s="1"/>
  <c r="BC225" i="1" s="1"/>
  <c r="BC226" i="1" s="1"/>
  <c r="BC227" i="1" s="1"/>
  <c r="BC228" i="1" s="1"/>
  <c r="BC229" i="1" s="1"/>
  <c r="BC230" i="1" s="1"/>
  <c r="BC231" i="1" s="1"/>
  <c r="BC232" i="1" s="1"/>
  <c r="BC233" i="1" s="1"/>
  <c r="BC234" i="1" s="1"/>
  <c r="BC235" i="1" s="1"/>
  <c r="BC236" i="1" s="1"/>
  <c r="BC237" i="1" s="1"/>
  <c r="BC238" i="1" s="1"/>
  <c r="BC239" i="1" s="1"/>
  <c r="BC240" i="1" s="1"/>
  <c r="BC241" i="1" s="1"/>
  <c r="BC242" i="1" s="1"/>
  <c r="BC243" i="1" s="1"/>
  <c r="BC244" i="1" s="1"/>
  <c r="BC245" i="1" s="1"/>
  <c r="BC246" i="1" s="1"/>
  <c r="BC247" i="1" s="1"/>
  <c r="BC248" i="1" s="1"/>
  <c r="BC249" i="1" s="1"/>
  <c r="BC250" i="1" s="1"/>
  <c r="BC251" i="1" s="1"/>
  <c r="BC252" i="1" s="1"/>
  <c r="BC253" i="1" s="1"/>
  <c r="BC254" i="1" s="1"/>
  <c r="BC255" i="1" s="1"/>
  <c r="BC256" i="1" s="1"/>
  <c r="BC257" i="1" s="1"/>
  <c r="BC258" i="1" s="1"/>
  <c r="BC259" i="1" s="1"/>
  <c r="BC260" i="1" s="1"/>
  <c r="BC261" i="1" s="1"/>
  <c r="BC262" i="1" s="1"/>
  <c r="BC263" i="1" s="1"/>
  <c r="BC264" i="1" s="1"/>
  <c r="BC265" i="1" s="1"/>
  <c r="BC266" i="1" s="1"/>
  <c r="BC267" i="1" s="1"/>
  <c r="BC268" i="1" s="1"/>
  <c r="BC269" i="1" s="1"/>
  <c r="BC270" i="1" s="1"/>
  <c r="BC271" i="1" s="1"/>
  <c r="BC272" i="1" s="1"/>
  <c r="BC273" i="1" s="1"/>
  <c r="BC274" i="1" s="1"/>
  <c r="BC275" i="1" s="1"/>
  <c r="BC276" i="1" s="1"/>
  <c r="BC277" i="1" s="1"/>
  <c r="BC278" i="1" s="1"/>
  <c r="BC279" i="1" s="1"/>
  <c r="BC280" i="1" s="1"/>
  <c r="BC281" i="1" s="1"/>
  <c r="BC282" i="1" s="1"/>
  <c r="BC283" i="1" s="1"/>
  <c r="BC284" i="1" s="1"/>
  <c r="BC285" i="1" s="1"/>
  <c r="BC286" i="1" s="1"/>
  <c r="BC287" i="1" s="1"/>
  <c r="BC288" i="1" s="1"/>
  <c r="BC289" i="1" s="1"/>
  <c r="BC290" i="1" s="1"/>
  <c r="BC291" i="1" s="1"/>
  <c r="BC292" i="1" s="1"/>
  <c r="BC293" i="1" s="1"/>
  <c r="BC294" i="1" s="1"/>
  <c r="BC295" i="1" s="1"/>
  <c r="BC296" i="1" s="1"/>
  <c r="BC297" i="1" s="1"/>
  <c r="BC298" i="1" s="1"/>
  <c r="BC299" i="1" s="1"/>
  <c r="BC300" i="1" s="1"/>
  <c r="BC301" i="1" s="1"/>
  <c r="BC302" i="1" s="1"/>
  <c r="BC303" i="1" s="1"/>
  <c r="BC304" i="1" s="1"/>
  <c r="BC305" i="1" s="1"/>
  <c r="BC306" i="1" s="1"/>
  <c r="BC307" i="1" s="1"/>
  <c r="BC308" i="1" s="1"/>
  <c r="BC309" i="1" s="1"/>
  <c r="BC310" i="1" s="1"/>
  <c r="BC311" i="1" s="1"/>
  <c r="BC312" i="1" s="1"/>
  <c r="BC313" i="1" s="1"/>
  <c r="BC314" i="1" s="1"/>
  <c r="BC315" i="1" s="1"/>
  <c r="BC316" i="1" s="1"/>
  <c r="BC317" i="1" s="1"/>
  <c r="BC318" i="1" s="1"/>
  <c r="BC319" i="1" s="1"/>
  <c r="BC320" i="1" s="1"/>
  <c r="BC321" i="1" s="1"/>
  <c r="BC322" i="1" s="1"/>
  <c r="BC323" i="1" s="1"/>
  <c r="BC324" i="1" s="1"/>
  <c r="BC325" i="1" s="1"/>
  <c r="BC326" i="1" s="1"/>
  <c r="BC327" i="1" s="1"/>
  <c r="BC328" i="1" s="1"/>
  <c r="BC329" i="1" s="1"/>
  <c r="BC330" i="1" s="1"/>
  <c r="BC331" i="1" s="1"/>
  <c r="BC332" i="1" s="1"/>
  <c r="BC333" i="1" s="1"/>
  <c r="BC334" i="1" s="1"/>
  <c r="BC335" i="1" s="1"/>
  <c r="BC336" i="1" s="1"/>
  <c r="BC337" i="1" s="1"/>
  <c r="BC338" i="1" s="1"/>
  <c r="BC339" i="1" s="1"/>
  <c r="BC340" i="1" s="1"/>
  <c r="BC341" i="1" s="1"/>
  <c r="BC342" i="1" s="1"/>
  <c r="BC343" i="1" s="1"/>
  <c r="BC344" i="1" s="1"/>
  <c r="BC345" i="1" s="1"/>
  <c r="BC346" i="1" s="1"/>
  <c r="BC347" i="1" s="1"/>
  <c r="BC348" i="1" s="1"/>
  <c r="BC349" i="1" s="1"/>
  <c r="BC350" i="1" s="1"/>
  <c r="BC351" i="1" s="1"/>
  <c r="BC352" i="1" s="1"/>
  <c r="BC353" i="1" s="1"/>
  <c r="BC354" i="1" s="1"/>
  <c r="BC355" i="1" s="1"/>
  <c r="BC356" i="1" s="1"/>
  <c r="BC357" i="1" s="1"/>
  <c r="BC358" i="1" s="1"/>
  <c r="BC359" i="1" s="1"/>
  <c r="BC360" i="1" s="1"/>
  <c r="BC361" i="1" s="1"/>
  <c r="BC362" i="1" s="1"/>
  <c r="BC363" i="1" s="1"/>
  <c r="BC364" i="1" s="1"/>
  <c r="BC365" i="1" s="1"/>
  <c r="BC366" i="1" s="1"/>
  <c r="BC367" i="1" s="1"/>
  <c r="BC368" i="1" s="1"/>
  <c r="BC369" i="1" s="1"/>
  <c r="BC370" i="1" s="1"/>
  <c r="BC371" i="1" s="1"/>
  <c r="BC372" i="1" s="1"/>
  <c r="BC373" i="1" s="1"/>
  <c r="BC374" i="1" s="1"/>
  <c r="BC375" i="1" s="1"/>
  <c r="BC376" i="1" s="1"/>
  <c r="BC377" i="1" s="1"/>
  <c r="BC378" i="1" s="1"/>
  <c r="BC379" i="1" s="1"/>
  <c r="BC380" i="1" s="1"/>
  <c r="BC381" i="1" s="1"/>
  <c r="BC382" i="1" s="1"/>
  <c r="BC383" i="1" s="1"/>
  <c r="BC384" i="1" s="1"/>
  <c r="BC385" i="1" s="1"/>
  <c r="BC386" i="1" s="1"/>
  <c r="BC387" i="1" s="1"/>
  <c r="BC388" i="1" s="1"/>
  <c r="BC389" i="1" s="1"/>
  <c r="BC390" i="1" s="1"/>
  <c r="BC391" i="1" s="1"/>
  <c r="BC392" i="1" s="1"/>
  <c r="BC393" i="1" s="1"/>
  <c r="BC394" i="1" s="1"/>
  <c r="BC395" i="1" s="1"/>
  <c r="BC396" i="1" s="1"/>
  <c r="BC397" i="1" s="1"/>
  <c r="BC398" i="1" s="1"/>
  <c r="BC399" i="1" s="1"/>
  <c r="BC400" i="1" s="1"/>
  <c r="BC401" i="1" s="1"/>
  <c r="BC402" i="1" s="1"/>
  <c r="BC403" i="1" s="1"/>
  <c r="BC404" i="1" s="1"/>
  <c r="BC405" i="1" s="1"/>
  <c r="BC406" i="1" s="1"/>
  <c r="BC407" i="1" s="1"/>
  <c r="BC408" i="1" s="1"/>
  <c r="BC409" i="1" s="1"/>
  <c r="BC410" i="1" s="1"/>
  <c r="BC411" i="1" s="1"/>
  <c r="BC412" i="1" s="1"/>
  <c r="BC413" i="1" s="1"/>
  <c r="BC414" i="1" s="1"/>
  <c r="BC415" i="1" s="1"/>
  <c r="BC416" i="1" s="1"/>
  <c r="BC417" i="1" s="1"/>
  <c r="BC418" i="1" s="1"/>
  <c r="BC419" i="1" s="1"/>
  <c r="BC420" i="1" s="1"/>
  <c r="BC421" i="1" s="1"/>
  <c r="BC422" i="1" s="1"/>
  <c r="BC423" i="1" s="1"/>
  <c r="BC424" i="1" s="1"/>
  <c r="BC425" i="1" s="1"/>
  <c r="BC426" i="1" s="1"/>
  <c r="BC427" i="1" s="1"/>
  <c r="BC428" i="1" s="1"/>
  <c r="BC429" i="1" s="1"/>
  <c r="BC430" i="1" s="1"/>
  <c r="BC431" i="1" s="1"/>
  <c r="BC432" i="1" s="1"/>
  <c r="BC433" i="1" s="1"/>
  <c r="BC434" i="1" s="1"/>
  <c r="BC435" i="1" s="1"/>
  <c r="BC436" i="1" s="1"/>
  <c r="BC437" i="1" s="1"/>
  <c r="BC438" i="1" s="1"/>
  <c r="BC439" i="1" s="1"/>
  <c r="BC440" i="1" s="1"/>
  <c r="BC441" i="1" s="1"/>
  <c r="BC442" i="1" s="1"/>
  <c r="BC443" i="1" s="1"/>
  <c r="BC444" i="1" s="1"/>
  <c r="BC445" i="1" s="1"/>
  <c r="BC446" i="1" s="1"/>
  <c r="BC447" i="1" s="1"/>
  <c r="BC448" i="1" s="1"/>
  <c r="BC449" i="1" s="1"/>
  <c r="BC450" i="1" s="1"/>
  <c r="BC451" i="1" s="1"/>
  <c r="BC452" i="1" s="1"/>
  <c r="BC453" i="1" s="1"/>
  <c r="BC454" i="1" s="1"/>
  <c r="BC455" i="1" s="1"/>
  <c r="BC456" i="1" s="1"/>
  <c r="BC457" i="1" s="1"/>
  <c r="BC458" i="1" s="1"/>
  <c r="BC459" i="1" s="1"/>
  <c r="BC460" i="1" s="1"/>
  <c r="BC461" i="1" s="1"/>
  <c r="BC462" i="1" s="1"/>
  <c r="BC463" i="1" s="1"/>
  <c r="BC464" i="1" s="1"/>
  <c r="BC465" i="1" s="1"/>
  <c r="BC466" i="1" s="1"/>
  <c r="BC467" i="1" s="1"/>
  <c r="BC468" i="1" s="1"/>
  <c r="BC469" i="1" s="1"/>
  <c r="BC470" i="1" s="1"/>
  <c r="BC471" i="1" s="1"/>
  <c r="BC472" i="1" s="1"/>
  <c r="BC473" i="1" s="1"/>
  <c r="BC474" i="1" s="1"/>
  <c r="BC475" i="1" s="1"/>
  <c r="BC476" i="1" s="1"/>
  <c r="BC477" i="1" s="1"/>
  <c r="BC478" i="1" s="1"/>
  <c r="BC479" i="1" s="1"/>
  <c r="BC480" i="1" s="1"/>
  <c r="BC481" i="1" s="1"/>
  <c r="BC482" i="1" s="1"/>
  <c r="BC483" i="1" s="1"/>
  <c r="BC484" i="1" s="1"/>
  <c r="BC485" i="1" s="1"/>
  <c r="BC486" i="1" s="1"/>
  <c r="BC487" i="1" s="1"/>
  <c r="BC488" i="1" s="1"/>
  <c r="BC489" i="1" s="1"/>
  <c r="BC490" i="1" s="1"/>
  <c r="BC491" i="1" s="1"/>
  <c r="BC492" i="1" s="1"/>
  <c r="BC493" i="1" s="1"/>
  <c r="BC494" i="1" s="1"/>
  <c r="BC495" i="1" s="1"/>
  <c r="BC496" i="1" s="1"/>
  <c r="BC497" i="1" s="1"/>
  <c r="BC498" i="1" s="1"/>
  <c r="BC499" i="1" s="1"/>
  <c r="BC500" i="1" s="1"/>
  <c r="BC501" i="1" s="1"/>
  <c r="BC502" i="1" s="1"/>
  <c r="BC503" i="1" s="1"/>
  <c r="BC504" i="1" s="1"/>
  <c r="BC505" i="1" s="1"/>
  <c r="BC506" i="1" s="1"/>
  <c r="BC507" i="1" s="1"/>
  <c r="BC508" i="1" s="1"/>
  <c r="BC509" i="1" s="1"/>
  <c r="BC510" i="1" s="1"/>
  <c r="BC511" i="1" s="1"/>
  <c r="BC512" i="1" s="1"/>
  <c r="BC513" i="1" s="1"/>
  <c r="BC514" i="1" s="1"/>
  <c r="BC515" i="1" s="1"/>
  <c r="BC516" i="1" s="1"/>
  <c r="BC517" i="1" s="1"/>
  <c r="BC518" i="1" s="1"/>
  <c r="BC519" i="1" s="1"/>
  <c r="BC520" i="1" s="1"/>
  <c r="BC521" i="1" s="1"/>
  <c r="BC522" i="1" s="1"/>
  <c r="BC523" i="1" s="1"/>
  <c r="BC524" i="1" s="1"/>
  <c r="BC525" i="1" s="1"/>
  <c r="BC526" i="1" s="1"/>
  <c r="BC527" i="1" s="1"/>
  <c r="BC528" i="1" s="1"/>
  <c r="BC529" i="1" s="1"/>
  <c r="BC530" i="1" s="1"/>
  <c r="BC531" i="1" s="1"/>
  <c r="BC532" i="1" s="1"/>
  <c r="BC533" i="1" s="1"/>
  <c r="BC534" i="1" s="1"/>
  <c r="BC535" i="1" s="1"/>
  <c r="BC536" i="1" s="1"/>
  <c r="BC537" i="1" s="1"/>
  <c r="BC538" i="1" s="1"/>
  <c r="BC539" i="1" s="1"/>
  <c r="BC540" i="1" s="1"/>
  <c r="BC541" i="1" s="1"/>
  <c r="BC542" i="1" s="1"/>
  <c r="BC543" i="1" s="1"/>
  <c r="BC544" i="1" s="1"/>
  <c r="BC545" i="1" s="1"/>
  <c r="BC546" i="1" s="1"/>
  <c r="BC547" i="1" s="1"/>
  <c r="BC548" i="1" s="1"/>
  <c r="BC549" i="1" s="1"/>
  <c r="BC550" i="1" s="1"/>
  <c r="BC551" i="1" s="1"/>
  <c r="BC552" i="1" s="1"/>
  <c r="BC553" i="1" s="1"/>
  <c r="BC554" i="1" s="1"/>
  <c r="BC555" i="1" s="1"/>
  <c r="BC556" i="1" s="1"/>
  <c r="BC557" i="1" s="1"/>
  <c r="BC558" i="1" s="1"/>
  <c r="BC559" i="1" s="1"/>
  <c r="BC560" i="1" s="1"/>
  <c r="BC561" i="1" s="1"/>
  <c r="BC562" i="1" s="1"/>
  <c r="BC563" i="1" s="1"/>
  <c r="BC564" i="1" s="1"/>
  <c r="BC565" i="1" s="1"/>
  <c r="BC566" i="1" s="1"/>
  <c r="BC567" i="1" s="1"/>
  <c r="BC568" i="1" s="1"/>
  <c r="BC569" i="1" s="1"/>
  <c r="BC570" i="1" s="1"/>
  <c r="BC571" i="1" s="1"/>
  <c r="BC572" i="1" s="1"/>
  <c r="BC573" i="1" s="1"/>
  <c r="BC574" i="1" s="1"/>
  <c r="BC575" i="1" s="1"/>
  <c r="BC576" i="1" s="1"/>
  <c r="BC577" i="1" s="1"/>
  <c r="BC578" i="1" s="1"/>
  <c r="BC579" i="1" s="1"/>
  <c r="BC580" i="1" s="1"/>
  <c r="BC581" i="1" s="1"/>
  <c r="BC582" i="1" s="1"/>
  <c r="BC583" i="1" s="1"/>
  <c r="BC584" i="1" s="1"/>
  <c r="BC585" i="1" s="1"/>
  <c r="BC586" i="1" s="1"/>
  <c r="BC587" i="1" s="1"/>
  <c r="BC588" i="1" s="1"/>
  <c r="BC589" i="1" s="1"/>
  <c r="BC590" i="1" s="1"/>
  <c r="BC591" i="1" s="1"/>
  <c r="BC592" i="1" s="1"/>
  <c r="BC593" i="1" s="1"/>
  <c r="BC594" i="1" s="1"/>
  <c r="BC595" i="1" s="1"/>
  <c r="BC596" i="1" s="1"/>
  <c r="BC597" i="1" s="1"/>
  <c r="BC598" i="1" s="1"/>
  <c r="BC599" i="1" s="1"/>
  <c r="BC600" i="1" s="1"/>
  <c r="BC601" i="1" s="1"/>
  <c r="BC602" i="1" s="1"/>
  <c r="BC603" i="1" s="1"/>
  <c r="BC604" i="1" s="1"/>
  <c r="BC605" i="1" s="1"/>
  <c r="BC606" i="1" s="1"/>
  <c r="BC607" i="1" s="1"/>
  <c r="BC608" i="1" s="1"/>
  <c r="BC609" i="1" s="1"/>
  <c r="BC610" i="1" s="1"/>
  <c r="BC611" i="1" s="1"/>
  <c r="BC612" i="1" s="1"/>
  <c r="BC613" i="1" s="1"/>
  <c r="BC614" i="1" s="1"/>
  <c r="BC615" i="1" s="1"/>
  <c r="BC616" i="1" s="1"/>
  <c r="BC617" i="1" s="1"/>
  <c r="BC618" i="1" s="1"/>
  <c r="BC619" i="1" s="1"/>
  <c r="BC620" i="1" s="1"/>
  <c r="BC621" i="1" s="1"/>
  <c r="BC622" i="1" s="1"/>
  <c r="BC623" i="1" s="1"/>
  <c r="BC624" i="1" s="1"/>
  <c r="BC625" i="1" s="1"/>
  <c r="BC626" i="1" s="1"/>
  <c r="BC627" i="1" s="1"/>
  <c r="BC628" i="1" s="1"/>
  <c r="BC629" i="1" s="1"/>
  <c r="BC630" i="1" s="1"/>
  <c r="BC631" i="1" s="1"/>
  <c r="BC632" i="1" s="1"/>
  <c r="BC633" i="1" s="1"/>
  <c r="BC634" i="1" s="1"/>
  <c r="BC635" i="1" s="1"/>
  <c r="BC636" i="1" s="1"/>
  <c r="BC637" i="1" s="1"/>
  <c r="BC638" i="1" s="1"/>
  <c r="BC639" i="1" s="1"/>
  <c r="BC640" i="1" s="1"/>
  <c r="BC641" i="1" s="1"/>
  <c r="BC642" i="1" s="1"/>
  <c r="BC643" i="1" s="1"/>
  <c r="BC644" i="1" s="1"/>
  <c r="BC645" i="1" s="1"/>
  <c r="BC646" i="1" s="1"/>
  <c r="BC647" i="1" s="1"/>
  <c r="BC648" i="1" s="1"/>
  <c r="BC649" i="1" s="1"/>
  <c r="BC650" i="1" s="1"/>
  <c r="BC651" i="1" s="1"/>
  <c r="BC652" i="1" s="1"/>
  <c r="BC653" i="1" s="1"/>
  <c r="BC654" i="1" s="1"/>
  <c r="BC655" i="1" s="1"/>
  <c r="BC656" i="1" s="1"/>
  <c r="BC657" i="1" s="1"/>
  <c r="BC658" i="1" s="1"/>
  <c r="BC659" i="1" s="1"/>
  <c r="BC660" i="1" s="1"/>
  <c r="BC661" i="1" s="1"/>
  <c r="BC662" i="1" s="1"/>
  <c r="BC663" i="1" s="1"/>
  <c r="BC664" i="1" s="1"/>
  <c r="BC665" i="1" s="1"/>
  <c r="BC666" i="1" s="1"/>
  <c r="BC667" i="1" s="1"/>
  <c r="BC668" i="1" s="1"/>
  <c r="BC669" i="1" s="1"/>
  <c r="BC670" i="1" s="1"/>
  <c r="BC671" i="1" s="1"/>
  <c r="BC672" i="1" s="1"/>
  <c r="BC673" i="1" s="1"/>
  <c r="BC674" i="1" s="1"/>
  <c r="BC675" i="1" s="1"/>
  <c r="BC676" i="1" s="1"/>
  <c r="BC677" i="1" s="1"/>
  <c r="BC678" i="1" s="1"/>
  <c r="BC679" i="1" s="1"/>
  <c r="BC680" i="1" s="1"/>
  <c r="BC681" i="1" s="1"/>
  <c r="BC682" i="1" s="1"/>
  <c r="BC683" i="1" s="1"/>
  <c r="BC684" i="1" s="1"/>
  <c r="BC685" i="1" s="1"/>
  <c r="BC686" i="1" s="1"/>
  <c r="BC687" i="1" s="1"/>
  <c r="BC688" i="1" s="1"/>
  <c r="BC689" i="1" s="1"/>
  <c r="BC690" i="1" s="1"/>
  <c r="BC691" i="1" s="1"/>
  <c r="BC692" i="1" s="1"/>
  <c r="BC693" i="1" s="1"/>
  <c r="BC694" i="1" s="1"/>
  <c r="BC695" i="1" s="1"/>
  <c r="BC696" i="1" s="1"/>
  <c r="BC697" i="1" s="1"/>
  <c r="BC698" i="1" s="1"/>
  <c r="BC699" i="1" s="1"/>
  <c r="BC700" i="1" s="1"/>
  <c r="BC701" i="1" s="1"/>
  <c r="BC702" i="1" s="1"/>
  <c r="BC703" i="1" s="1"/>
  <c r="BC704" i="1" s="1"/>
  <c r="BC705" i="1" s="1"/>
  <c r="BC706" i="1" s="1"/>
  <c r="BC707" i="1" s="1"/>
  <c r="BC708" i="1" s="1"/>
  <c r="BC709" i="1" s="1"/>
  <c r="BC710" i="1" s="1"/>
  <c r="BC711" i="1" s="1"/>
  <c r="BC712" i="1" s="1"/>
  <c r="BC713" i="1" s="1"/>
  <c r="BC714" i="1" s="1"/>
  <c r="BC715" i="1" s="1"/>
  <c r="BC716" i="1" s="1"/>
  <c r="BC717" i="1" s="1"/>
  <c r="BC718" i="1" s="1"/>
  <c r="BC719" i="1" s="1"/>
  <c r="BC720" i="1" s="1"/>
  <c r="BC721" i="1" s="1"/>
  <c r="BC722" i="1" s="1"/>
  <c r="BC723" i="1" s="1"/>
  <c r="BC724" i="1" s="1"/>
  <c r="BC725" i="1" s="1"/>
  <c r="BC726" i="1" s="1"/>
  <c r="BC727" i="1" s="1"/>
  <c r="BC728" i="1" s="1"/>
  <c r="BC729" i="1" s="1"/>
  <c r="BC730" i="1" s="1"/>
  <c r="BC731" i="1" s="1"/>
  <c r="BC732" i="1" s="1"/>
  <c r="BC733" i="1" s="1"/>
  <c r="BC734" i="1" s="1"/>
  <c r="BC735" i="1" s="1"/>
  <c r="BC736" i="1" s="1"/>
  <c r="BC737" i="1" s="1"/>
  <c r="BC738" i="1" s="1"/>
  <c r="BC739" i="1" s="1"/>
  <c r="BC740" i="1" s="1"/>
  <c r="BC741" i="1" s="1"/>
  <c r="BC742" i="1" s="1"/>
  <c r="BC743" i="1" s="1"/>
  <c r="BC744" i="1" s="1"/>
  <c r="BC745" i="1" s="1"/>
  <c r="BC746" i="1" s="1"/>
  <c r="BC747" i="1" s="1"/>
  <c r="BC748" i="1" s="1"/>
  <c r="BC749" i="1" s="1"/>
  <c r="BC750" i="1" s="1"/>
  <c r="BC751" i="1" s="1"/>
  <c r="BC752" i="1" s="1"/>
  <c r="BC753" i="1" s="1"/>
  <c r="BC754" i="1" s="1"/>
  <c r="BC755" i="1" s="1"/>
  <c r="BC756" i="1" s="1"/>
  <c r="BC757" i="1" s="1"/>
  <c r="BC758" i="1" s="1"/>
  <c r="BC759" i="1" s="1"/>
  <c r="BC760" i="1" s="1"/>
  <c r="BC761" i="1" s="1"/>
  <c r="BC762" i="1" s="1"/>
  <c r="BC763" i="1" s="1"/>
  <c r="BC764" i="1" s="1"/>
  <c r="BC765" i="1" s="1"/>
  <c r="BC766" i="1" s="1"/>
  <c r="BC767" i="1" s="1"/>
  <c r="BC768" i="1" s="1"/>
  <c r="BC769" i="1" s="1"/>
  <c r="BC770" i="1" s="1"/>
  <c r="BC771" i="1" s="1"/>
  <c r="BC772" i="1" s="1"/>
  <c r="BC773" i="1" s="1"/>
  <c r="BC774" i="1" s="1"/>
  <c r="BC775" i="1" s="1"/>
  <c r="BC776" i="1" s="1"/>
  <c r="BC777" i="1" s="1"/>
  <c r="BC778" i="1" s="1"/>
  <c r="BC779" i="1" s="1"/>
  <c r="BC780" i="1" s="1"/>
  <c r="BC781" i="1" s="1"/>
  <c r="BC782" i="1" s="1"/>
  <c r="BC783" i="1" s="1"/>
  <c r="BC784" i="1" s="1"/>
  <c r="BC785" i="1" s="1"/>
  <c r="BC786" i="1" s="1"/>
  <c r="BC787" i="1" s="1"/>
  <c r="BC788" i="1" s="1"/>
  <c r="BC789" i="1" s="1"/>
  <c r="BC790" i="1" s="1"/>
  <c r="BC791" i="1" s="1"/>
  <c r="BC792" i="1" s="1"/>
  <c r="BC793" i="1" s="1"/>
  <c r="BC794" i="1" s="1"/>
  <c r="BC795" i="1" s="1"/>
  <c r="BC796" i="1" s="1"/>
  <c r="BC797" i="1" s="1"/>
  <c r="BC798" i="1" s="1"/>
  <c r="BC799" i="1" s="1"/>
  <c r="BC800" i="1" s="1"/>
  <c r="BC801" i="1" s="1"/>
  <c r="BC802" i="1" s="1"/>
  <c r="BC803" i="1" s="1"/>
  <c r="BC804" i="1" s="1"/>
  <c r="BC805" i="1" s="1"/>
  <c r="BC806" i="1" s="1"/>
  <c r="BC807" i="1" s="1"/>
  <c r="BC808" i="1" s="1"/>
  <c r="BC809" i="1" s="1"/>
  <c r="BC810" i="1" s="1"/>
  <c r="BC811" i="1" s="1"/>
  <c r="BC812" i="1" s="1"/>
  <c r="BC813" i="1" s="1"/>
  <c r="BC814" i="1" s="1"/>
  <c r="BC815" i="1" s="1"/>
  <c r="BC816" i="1" s="1"/>
  <c r="BC817" i="1" s="1"/>
  <c r="BC818" i="1" s="1"/>
  <c r="BC819" i="1" s="1"/>
  <c r="BC820" i="1" s="1"/>
  <c r="BC821" i="1" s="1"/>
  <c r="BC822" i="1" s="1"/>
  <c r="BC823" i="1" s="1"/>
  <c r="BC824" i="1" s="1"/>
  <c r="BC825" i="1" s="1"/>
  <c r="BC826" i="1" s="1"/>
  <c r="BC827" i="1" s="1"/>
  <c r="BC828" i="1" s="1"/>
  <c r="BC829" i="1" s="1"/>
  <c r="BC830" i="1" s="1"/>
  <c r="BC831" i="1" s="1"/>
  <c r="BC832" i="1" s="1"/>
  <c r="BC833" i="1" s="1"/>
  <c r="BC834" i="1" s="1"/>
  <c r="BC835" i="1" s="1"/>
  <c r="BC836" i="1" s="1"/>
  <c r="BC837" i="1" s="1"/>
  <c r="BC838" i="1" s="1"/>
  <c r="BC839" i="1" s="1"/>
  <c r="BC840" i="1" s="1"/>
  <c r="BC841" i="1" s="1"/>
  <c r="BC842" i="1" s="1"/>
  <c r="BC843" i="1" s="1"/>
  <c r="BC844" i="1" s="1"/>
  <c r="BC845" i="1" s="1"/>
  <c r="BC846" i="1" s="1"/>
  <c r="BC847" i="1" s="1"/>
  <c r="BC848" i="1" s="1"/>
  <c r="BC849" i="1" s="1"/>
  <c r="BC850" i="1" s="1"/>
  <c r="BC851" i="1" s="1"/>
  <c r="BC852" i="1" s="1"/>
  <c r="BC853" i="1" s="1"/>
  <c r="BC854" i="1" s="1"/>
  <c r="BC855" i="1" s="1"/>
  <c r="BC856" i="1" s="1"/>
  <c r="BC857" i="1" s="1"/>
  <c r="BC858" i="1" s="1"/>
  <c r="BC859" i="1" s="1"/>
  <c r="BC860" i="1" s="1"/>
  <c r="BC861" i="1" s="1"/>
  <c r="BC862" i="1" s="1"/>
  <c r="BC863" i="1" s="1"/>
  <c r="BC864" i="1" s="1"/>
  <c r="BC865" i="1" s="1"/>
  <c r="BC866" i="1" s="1"/>
  <c r="BC867" i="1" s="1"/>
  <c r="BC868" i="1" s="1"/>
  <c r="BC869" i="1" s="1"/>
  <c r="BC870" i="1" s="1"/>
  <c r="BC871" i="1" s="1"/>
  <c r="BC872" i="1" s="1"/>
  <c r="BC873" i="1" s="1"/>
  <c r="BC874" i="1" s="1"/>
  <c r="BC875" i="1" s="1"/>
  <c r="BC876" i="1" s="1"/>
  <c r="BC877" i="1" s="1"/>
  <c r="BC878" i="1" s="1"/>
  <c r="BC879" i="1" s="1"/>
  <c r="BC880" i="1" s="1"/>
  <c r="BC881" i="1" s="1"/>
  <c r="BC882" i="1" s="1"/>
  <c r="BC883" i="1" s="1"/>
  <c r="BC884" i="1" s="1"/>
  <c r="BC885" i="1" s="1"/>
  <c r="BC886" i="1" s="1"/>
  <c r="BC887" i="1" s="1"/>
  <c r="BC888" i="1" s="1"/>
  <c r="BC889" i="1" s="1"/>
  <c r="BC890" i="1" s="1"/>
  <c r="BC891" i="1" s="1"/>
  <c r="BC892" i="1" s="1"/>
  <c r="BC893" i="1" s="1"/>
  <c r="BC894" i="1" s="1"/>
  <c r="BC895" i="1" s="1"/>
  <c r="BC896" i="1" s="1"/>
  <c r="BC897" i="1" s="1"/>
  <c r="BC898" i="1" s="1"/>
  <c r="BC899" i="1" s="1"/>
  <c r="BC900" i="1" s="1"/>
  <c r="BC901" i="1" s="1"/>
  <c r="BC902" i="1" s="1"/>
  <c r="BC903" i="1" s="1"/>
  <c r="BC904" i="1" s="1"/>
  <c r="BC905" i="1" s="1"/>
  <c r="BC906" i="1" s="1"/>
  <c r="BC907" i="1" s="1"/>
  <c r="BC908" i="1" s="1"/>
  <c r="BC909" i="1" s="1"/>
  <c r="BC910" i="1" s="1"/>
  <c r="BC911" i="1" s="1"/>
  <c r="BC912" i="1" s="1"/>
  <c r="BC913" i="1" s="1"/>
  <c r="BC914" i="1" s="1"/>
  <c r="BC915" i="1" s="1"/>
  <c r="BC916" i="1" s="1"/>
  <c r="BC917" i="1" s="1"/>
  <c r="BC918" i="1" s="1"/>
  <c r="BC919" i="1" s="1"/>
  <c r="BC920" i="1" s="1"/>
  <c r="BC921" i="1" s="1"/>
  <c r="BC922" i="1" s="1"/>
  <c r="BC923" i="1" s="1"/>
  <c r="BC924" i="1" s="1"/>
  <c r="BC925" i="1" s="1"/>
  <c r="BC926" i="1" s="1"/>
  <c r="BC927" i="1" s="1"/>
  <c r="BC928" i="1" s="1"/>
  <c r="BC929" i="1" s="1"/>
  <c r="BC930" i="1" s="1"/>
  <c r="BC931" i="1" s="1"/>
  <c r="BC932" i="1" s="1"/>
  <c r="BC933" i="1" s="1"/>
  <c r="BC934" i="1" s="1"/>
  <c r="BC935" i="1" s="1"/>
  <c r="BC936" i="1" s="1"/>
  <c r="BC937" i="1" s="1"/>
  <c r="BC938" i="1" s="1"/>
  <c r="BC939" i="1" s="1"/>
  <c r="BC940" i="1" s="1"/>
  <c r="BC941" i="1" s="1"/>
  <c r="BC942" i="1" s="1"/>
  <c r="BC943" i="1" s="1"/>
  <c r="BC944" i="1" s="1"/>
  <c r="BC945" i="1" s="1"/>
  <c r="BC946" i="1" s="1"/>
  <c r="BC947" i="1" s="1"/>
  <c r="BC948" i="1" s="1"/>
  <c r="BC949" i="1" s="1"/>
  <c r="BC950" i="1" s="1"/>
  <c r="BC951" i="1" s="1"/>
  <c r="BC952" i="1" s="1"/>
  <c r="BC953" i="1" s="1"/>
  <c r="BC954" i="1" s="1"/>
  <c r="BC955" i="1" s="1"/>
  <c r="BC956" i="1" s="1"/>
  <c r="BC957" i="1" s="1"/>
  <c r="BC958" i="1" s="1"/>
  <c r="BC959" i="1" s="1"/>
  <c r="BC960" i="1" s="1"/>
  <c r="BC961" i="1" s="1"/>
  <c r="BC962" i="1" s="1"/>
  <c r="BC963" i="1" s="1"/>
  <c r="BC964" i="1" s="1"/>
  <c r="BC965" i="1" s="1"/>
  <c r="BC966" i="1" s="1"/>
  <c r="BC967" i="1" s="1"/>
  <c r="BC968" i="1" s="1"/>
  <c r="BC969" i="1" s="1"/>
  <c r="BC970" i="1" s="1"/>
  <c r="BC971" i="1" s="1"/>
  <c r="BC972" i="1" s="1"/>
  <c r="BC973" i="1" s="1"/>
  <c r="BC974" i="1" s="1"/>
  <c r="BC975" i="1" s="1"/>
  <c r="BC976" i="1" s="1"/>
  <c r="BC977" i="1" s="1"/>
  <c r="BC978" i="1" s="1"/>
  <c r="BC979" i="1" s="1"/>
  <c r="BC980" i="1" s="1"/>
  <c r="BC981" i="1" s="1"/>
  <c r="BC982" i="1" s="1"/>
  <c r="BC983" i="1" s="1"/>
  <c r="BC984" i="1" s="1"/>
  <c r="BC985" i="1" s="1"/>
  <c r="BC986" i="1" s="1"/>
  <c r="BC987" i="1" s="1"/>
  <c r="BC988" i="1" s="1"/>
  <c r="BC989" i="1" s="1"/>
  <c r="BC990" i="1" s="1"/>
  <c r="BC991" i="1" s="1"/>
  <c r="BC992" i="1" s="1"/>
  <c r="BC993" i="1" s="1"/>
  <c r="BC994" i="1" s="1"/>
  <c r="BC995" i="1" s="1"/>
  <c r="BC996" i="1" s="1"/>
  <c r="BC997" i="1" s="1"/>
  <c r="BC998" i="1" s="1"/>
  <c r="BC999" i="1" s="1"/>
  <c r="BC1000" i="1" s="1"/>
  <c r="BC1001" i="1" s="1"/>
  <c r="BC1002" i="1" s="1"/>
  <c r="BC1003" i="1" s="1"/>
  <c r="BC1004" i="1" s="1"/>
  <c r="BC1005" i="1" s="1"/>
  <c r="BC1006" i="1" s="1"/>
  <c r="BC1007" i="1" s="1"/>
  <c r="BC1008" i="1" s="1"/>
  <c r="BC1009" i="1" s="1"/>
  <c r="BC1010" i="1" s="1"/>
  <c r="BC1011" i="1" s="1"/>
  <c r="BC1012" i="1" s="1"/>
  <c r="BC1013" i="1" s="1"/>
  <c r="BC1014" i="1" s="1"/>
  <c r="BC1015" i="1" s="1"/>
  <c r="BC1016" i="1" s="1"/>
  <c r="BC1017" i="1" s="1"/>
  <c r="BC1018" i="1" s="1"/>
  <c r="BC1019" i="1" s="1"/>
  <c r="BC1020" i="1" s="1"/>
  <c r="BC1021" i="1" s="1"/>
  <c r="BC1022" i="1" s="1"/>
  <c r="BC1023" i="1" s="1"/>
  <c r="BC1024" i="1" s="1"/>
  <c r="BC1025" i="1" s="1"/>
  <c r="BC1026" i="1" s="1"/>
  <c r="BC1027" i="1" s="1"/>
  <c r="BC1028" i="1" s="1"/>
  <c r="BC1029" i="1" s="1"/>
  <c r="BC1030" i="1" s="1"/>
  <c r="BC1031" i="1" s="1"/>
  <c r="BC1032" i="1" s="1"/>
  <c r="BC1033" i="1" s="1"/>
  <c r="BC1034" i="1" s="1"/>
  <c r="BC1035" i="1" s="1"/>
  <c r="BC1036" i="1" s="1"/>
  <c r="BC1037" i="1" s="1"/>
  <c r="BC1038" i="1" s="1"/>
  <c r="BC1039" i="1" s="1"/>
  <c r="BC1040" i="1" s="1"/>
  <c r="BC1041" i="1" s="1"/>
  <c r="BC1042" i="1" s="1"/>
  <c r="BC1043" i="1" s="1"/>
  <c r="BC1044" i="1" s="1"/>
  <c r="BC1045" i="1" s="1"/>
  <c r="BC1046" i="1" s="1"/>
  <c r="BC1047" i="1" s="1"/>
  <c r="BC1048" i="1" s="1"/>
  <c r="BC1049" i="1" s="1"/>
  <c r="BC1050" i="1" s="1"/>
  <c r="BC1051" i="1" s="1"/>
  <c r="BC1052" i="1" s="1"/>
  <c r="BC1053" i="1" s="1"/>
  <c r="BC1054" i="1" s="1"/>
  <c r="BC1055" i="1" s="1"/>
  <c r="BC1056" i="1" s="1"/>
  <c r="BC1057" i="1" s="1"/>
  <c r="BC1058" i="1" s="1"/>
  <c r="BC1059" i="1" s="1"/>
  <c r="BC1060" i="1" s="1"/>
  <c r="BC1061" i="1" s="1"/>
  <c r="BC1062" i="1" s="1"/>
  <c r="BC1063" i="1" s="1"/>
  <c r="BC1064" i="1" s="1"/>
  <c r="BC1065" i="1" s="1"/>
  <c r="BC1066" i="1" s="1"/>
  <c r="BC1067" i="1" s="1"/>
  <c r="BC1068" i="1" s="1"/>
  <c r="BC1069" i="1" s="1"/>
  <c r="BC1070" i="1" s="1"/>
  <c r="BC1071" i="1" s="1"/>
  <c r="BC1072" i="1" s="1"/>
  <c r="BC1073" i="1" s="1"/>
  <c r="BC1074" i="1" s="1"/>
  <c r="BC1075" i="1" s="1"/>
  <c r="BC1076" i="1" s="1"/>
  <c r="BC1077" i="1" s="1"/>
  <c r="BC1078" i="1" s="1"/>
  <c r="BC1079" i="1" s="1"/>
  <c r="BC1080" i="1" s="1"/>
  <c r="BC1081" i="1" s="1"/>
  <c r="BC1082" i="1" s="1"/>
  <c r="BC1083" i="1" s="1"/>
  <c r="BC1084" i="1" s="1"/>
  <c r="BC1085" i="1" s="1"/>
  <c r="BC1086" i="1" s="1"/>
  <c r="BC1087" i="1" s="1"/>
  <c r="BC1088" i="1" s="1"/>
  <c r="BC1089" i="1" s="1"/>
  <c r="BC1090" i="1" s="1"/>
  <c r="BC1091" i="1" s="1"/>
  <c r="BC1092" i="1" s="1"/>
  <c r="BC1093" i="1" s="1"/>
  <c r="BC1094" i="1" s="1"/>
  <c r="BC1095" i="1" s="1"/>
  <c r="BC1096" i="1" s="1"/>
  <c r="BC1097" i="1" s="1"/>
  <c r="BC1098" i="1" s="1"/>
  <c r="BC1099" i="1" s="1"/>
  <c r="BC1100" i="1" s="1"/>
  <c r="BC1101" i="1" s="1"/>
  <c r="BC1102" i="1" s="1"/>
  <c r="BC1103" i="1" s="1"/>
  <c r="BC1104" i="1" s="1"/>
  <c r="BC1105" i="1" s="1"/>
  <c r="BC1106" i="1" s="1"/>
  <c r="BC1107" i="1" s="1"/>
  <c r="BC1108" i="1" s="1"/>
  <c r="BC1109" i="1" s="1"/>
  <c r="BC1110" i="1" s="1"/>
  <c r="BC1111" i="1" s="1"/>
  <c r="BC1112" i="1" s="1"/>
  <c r="BC1113" i="1" s="1"/>
  <c r="BC1114" i="1" s="1"/>
  <c r="BC1115" i="1" s="1"/>
  <c r="BC1116" i="1" s="1"/>
  <c r="BC1117" i="1" s="1"/>
  <c r="BC1118" i="1" s="1"/>
  <c r="BC1119" i="1" s="1"/>
  <c r="BC1120" i="1" s="1"/>
  <c r="BC1121" i="1" s="1"/>
  <c r="BC1122" i="1" s="1"/>
  <c r="BC1123" i="1" s="1"/>
  <c r="BC1124" i="1" s="1"/>
  <c r="BC1125" i="1" s="1"/>
  <c r="BC1126" i="1" s="1"/>
  <c r="BC1127" i="1" s="1"/>
  <c r="BC1128" i="1" s="1"/>
  <c r="BC1129" i="1" s="1"/>
  <c r="BC1130" i="1" s="1"/>
  <c r="BC1131" i="1" s="1"/>
  <c r="BC1132" i="1" s="1"/>
  <c r="BC1133" i="1" s="1"/>
  <c r="BC1134" i="1" s="1"/>
  <c r="BC1135" i="1" s="1"/>
  <c r="BC1136" i="1" s="1"/>
  <c r="BC1137" i="1" s="1"/>
  <c r="BC1138" i="1" s="1"/>
  <c r="BC1139" i="1" s="1"/>
  <c r="BC1140" i="1" s="1"/>
  <c r="BC1141" i="1" s="1"/>
  <c r="BC1142" i="1" s="1"/>
  <c r="BC1143" i="1" s="1"/>
  <c r="BC1144" i="1" s="1"/>
  <c r="BC1145" i="1" s="1"/>
  <c r="BC1146" i="1" s="1"/>
  <c r="BC1147" i="1" s="1"/>
  <c r="BC1148" i="1" s="1"/>
  <c r="BC1149" i="1" s="1"/>
  <c r="BC1150" i="1" s="1"/>
  <c r="BC1151" i="1" s="1"/>
  <c r="BC1152" i="1" s="1"/>
  <c r="BC1153" i="1" s="1"/>
  <c r="BC1154" i="1" s="1"/>
  <c r="BC1155" i="1" s="1"/>
  <c r="BC1156" i="1" s="1"/>
  <c r="BC1157" i="1" s="1"/>
  <c r="BC1158" i="1" s="1"/>
  <c r="BC1159" i="1" s="1"/>
  <c r="BC1160" i="1" s="1"/>
  <c r="BC1161" i="1" s="1"/>
  <c r="BC1162" i="1" s="1"/>
  <c r="BC1163" i="1" s="1"/>
  <c r="BC1164" i="1" s="1"/>
  <c r="BC1165" i="1" s="1"/>
  <c r="BC1166" i="1" s="1"/>
  <c r="BC1167" i="1" s="1"/>
  <c r="BC1168" i="1" s="1"/>
  <c r="BC1169" i="1" s="1"/>
  <c r="BC1170" i="1" s="1"/>
  <c r="BC1171" i="1" s="1"/>
  <c r="BC1172" i="1" s="1"/>
  <c r="BC1173" i="1" s="1"/>
  <c r="BC1174" i="1" s="1"/>
  <c r="BC1175" i="1" s="1"/>
  <c r="BC1176" i="1" s="1"/>
  <c r="BC1177" i="1" s="1"/>
  <c r="BC1178" i="1" s="1"/>
  <c r="BC1179" i="1" s="1"/>
  <c r="BC1180" i="1" s="1"/>
  <c r="BC1181" i="1" s="1"/>
  <c r="BC1182" i="1" s="1"/>
  <c r="BC1183" i="1" s="1"/>
  <c r="BC1184" i="1" s="1"/>
  <c r="BC1185" i="1" s="1"/>
  <c r="BC1186" i="1" s="1"/>
  <c r="BC1187" i="1" s="1"/>
  <c r="BC1188" i="1" s="1"/>
  <c r="BC1189" i="1" s="1"/>
  <c r="BC1190" i="1" s="1"/>
  <c r="BC1191" i="1" s="1"/>
  <c r="BC1192" i="1" s="1"/>
  <c r="BC1193" i="1" s="1"/>
  <c r="BC1194" i="1" s="1"/>
  <c r="BC1195" i="1" s="1"/>
  <c r="BC1196" i="1" s="1"/>
  <c r="BC1197" i="1" s="1"/>
  <c r="BC1198" i="1" s="1"/>
  <c r="BC1199" i="1" s="1"/>
  <c r="BC1200" i="1" s="1"/>
  <c r="BC1201" i="1" s="1"/>
  <c r="BC1202" i="1" s="1"/>
  <c r="BC1203" i="1" s="1"/>
  <c r="BC1204" i="1" s="1"/>
  <c r="BC1205" i="1" s="1"/>
  <c r="BC1206" i="1" s="1"/>
  <c r="BC1207" i="1" s="1"/>
  <c r="BC1208" i="1" s="1"/>
  <c r="BC1209" i="1" s="1"/>
  <c r="BC1210" i="1" s="1"/>
  <c r="BC1211" i="1" s="1"/>
  <c r="BC1212" i="1" s="1"/>
  <c r="BC1213" i="1" s="1"/>
  <c r="BC1214" i="1" s="1"/>
  <c r="BC1215" i="1" s="1"/>
  <c r="BC1216" i="1" s="1"/>
  <c r="BC1217" i="1" s="1"/>
  <c r="BC1218" i="1" s="1"/>
  <c r="BC1219" i="1" s="1"/>
  <c r="BC1220" i="1" s="1"/>
  <c r="BC1221" i="1" s="1"/>
  <c r="BC1222" i="1" s="1"/>
  <c r="BC1223" i="1" s="1"/>
  <c r="BC1224" i="1" s="1"/>
  <c r="BC1225" i="1" s="1"/>
  <c r="BC1226" i="1" s="1"/>
  <c r="BC1227" i="1" s="1"/>
  <c r="BC1228" i="1" s="1"/>
  <c r="BC1229" i="1" s="1"/>
  <c r="BC1230" i="1" s="1"/>
  <c r="BC1231" i="1" s="1"/>
  <c r="BC1232" i="1" s="1"/>
  <c r="BC1233" i="1" s="1"/>
  <c r="BC1234" i="1" s="1"/>
  <c r="BC1235" i="1" s="1"/>
  <c r="BC1236" i="1" s="1"/>
  <c r="BC1237" i="1" s="1"/>
  <c r="BC1238" i="1" s="1"/>
  <c r="BC1239" i="1" s="1"/>
  <c r="BC1240" i="1" s="1"/>
  <c r="BC1241" i="1" s="1"/>
  <c r="BC1242" i="1" s="1"/>
  <c r="BC1243" i="1" s="1"/>
  <c r="BC1244" i="1" s="1"/>
  <c r="BC1245" i="1" s="1"/>
  <c r="BC1246" i="1" s="1"/>
  <c r="BC1247" i="1" s="1"/>
  <c r="BC1248" i="1" s="1"/>
  <c r="BC1249" i="1" s="1"/>
  <c r="BC1250" i="1" s="1"/>
  <c r="BC1251" i="1" s="1"/>
  <c r="BC1252" i="1" s="1"/>
  <c r="BC1253" i="1" s="1"/>
  <c r="BC1254" i="1" s="1"/>
  <c r="BC1255" i="1" s="1"/>
  <c r="BC1256" i="1" s="1"/>
  <c r="BC1257" i="1" s="1"/>
  <c r="BC1258" i="1" s="1"/>
  <c r="BC1259" i="1" s="1"/>
  <c r="BC1260" i="1" s="1"/>
  <c r="BC1261" i="1" s="1"/>
  <c r="BC1262" i="1" s="1"/>
  <c r="BC1263" i="1" s="1"/>
  <c r="BC1264" i="1" s="1"/>
  <c r="BC1265" i="1" s="1"/>
  <c r="BC1266" i="1" s="1"/>
  <c r="BC1267" i="1" s="1"/>
  <c r="BC1268" i="1" s="1"/>
  <c r="BC1269" i="1" s="1"/>
  <c r="BC1270" i="1" s="1"/>
  <c r="BC1271" i="1" s="1"/>
  <c r="BC1272" i="1" s="1"/>
  <c r="BC1273" i="1" s="1"/>
  <c r="BC1274" i="1" s="1"/>
  <c r="BC1275" i="1" s="1"/>
  <c r="BC1276" i="1" s="1"/>
  <c r="BC1277" i="1" s="1"/>
  <c r="BC1278" i="1" s="1"/>
  <c r="BC1279" i="1" s="1"/>
  <c r="BC1280" i="1" s="1"/>
  <c r="BC1281" i="1" s="1"/>
  <c r="BC1282" i="1" s="1"/>
  <c r="BC1283" i="1" s="1"/>
  <c r="BC1284" i="1" s="1"/>
  <c r="BC1285" i="1" s="1"/>
  <c r="BC1286" i="1" s="1"/>
  <c r="BC1287" i="1" s="1"/>
  <c r="BC1288" i="1" s="1"/>
  <c r="BC1289" i="1" s="1"/>
  <c r="BC1290" i="1" s="1"/>
  <c r="BC1291" i="1" s="1"/>
  <c r="BC1292" i="1" s="1"/>
  <c r="BC1293" i="1" s="1"/>
  <c r="BC1294" i="1" s="1"/>
  <c r="BC1295" i="1" s="1"/>
  <c r="BC1296" i="1" s="1"/>
  <c r="BC1297" i="1" s="1"/>
  <c r="BC1298" i="1" s="1"/>
  <c r="BC1299" i="1" s="1"/>
  <c r="BC1300" i="1" s="1"/>
  <c r="BC1301" i="1" s="1"/>
  <c r="BC1302" i="1" s="1"/>
  <c r="BC1303" i="1" s="1"/>
  <c r="BC1304" i="1" s="1"/>
  <c r="BC1305" i="1" s="1"/>
  <c r="BC1306" i="1" s="1"/>
  <c r="BC1307" i="1" s="1"/>
  <c r="BC1308" i="1" s="1"/>
  <c r="BC1309" i="1" s="1"/>
  <c r="BC1310" i="1" s="1"/>
  <c r="BC1311" i="1" s="1"/>
  <c r="BC1312" i="1" s="1"/>
  <c r="BC1313" i="1" s="1"/>
  <c r="BC1314" i="1" s="1"/>
  <c r="BC1315" i="1" s="1"/>
  <c r="BC1316" i="1" s="1"/>
  <c r="BC1317" i="1" s="1"/>
  <c r="BC1318" i="1" s="1"/>
  <c r="BC1319" i="1" s="1"/>
  <c r="BC1320" i="1" s="1"/>
  <c r="BC1321" i="1" s="1"/>
  <c r="BC1322" i="1" s="1"/>
  <c r="BC1323" i="1" s="1"/>
  <c r="BC1324" i="1" s="1"/>
  <c r="BC1325" i="1" s="1"/>
  <c r="BC1326" i="1" s="1"/>
  <c r="BC1327" i="1" s="1"/>
  <c r="BC1328" i="1" s="1"/>
  <c r="BC1329" i="1" s="1"/>
  <c r="BC1330" i="1" s="1"/>
  <c r="BC1331" i="1" s="1"/>
  <c r="BC1332" i="1" s="1"/>
  <c r="BC1333" i="1" s="1"/>
  <c r="BC1334" i="1" s="1"/>
  <c r="BC1335" i="1" s="1"/>
  <c r="BC1336" i="1" s="1"/>
  <c r="BC1337" i="1" s="1"/>
  <c r="BC1338" i="1" s="1"/>
  <c r="BC1339" i="1" s="1"/>
  <c r="BC1340" i="1" s="1"/>
  <c r="BC1341" i="1" s="1"/>
  <c r="BC1342" i="1" s="1"/>
  <c r="BC1343" i="1" s="1"/>
  <c r="BC1344" i="1" s="1"/>
  <c r="BC1345" i="1" s="1"/>
  <c r="BC1346" i="1" s="1"/>
  <c r="BC1347" i="1" s="1"/>
  <c r="BC1348" i="1" s="1"/>
  <c r="BC1349" i="1" s="1"/>
  <c r="BC1350" i="1" s="1"/>
  <c r="BC1351" i="1" s="1"/>
  <c r="BC1352" i="1" s="1"/>
  <c r="BC1353" i="1" s="1"/>
  <c r="BC1354" i="1" s="1"/>
  <c r="BC1355" i="1" s="1"/>
  <c r="BC1356" i="1" s="1"/>
  <c r="BC1357" i="1" s="1"/>
  <c r="BC1358" i="1" s="1"/>
  <c r="BC1359" i="1" s="1"/>
  <c r="BC1360" i="1" s="1"/>
  <c r="BC1361" i="1" s="1"/>
  <c r="BC1362" i="1" s="1"/>
  <c r="BC1363" i="1" s="1"/>
  <c r="BC1364" i="1" s="1"/>
  <c r="BC1365" i="1" s="1"/>
  <c r="BC1366" i="1" s="1"/>
  <c r="BC1367" i="1" s="1"/>
  <c r="BC1368" i="1" s="1"/>
  <c r="BC1369" i="1" s="1"/>
  <c r="BC1370" i="1" s="1"/>
  <c r="BC1371" i="1" s="1"/>
  <c r="BC1372" i="1" s="1"/>
  <c r="BC1373" i="1" s="1"/>
  <c r="BC1374" i="1" s="1"/>
  <c r="BC1375" i="1" s="1"/>
  <c r="BC1376" i="1" s="1"/>
  <c r="BC1377" i="1" s="1"/>
  <c r="BC1378" i="1" s="1"/>
  <c r="BC1379" i="1" s="1"/>
  <c r="BC1380" i="1" s="1"/>
  <c r="BC1381" i="1" s="1"/>
  <c r="BC1382" i="1" s="1"/>
  <c r="BC1383" i="1" s="1"/>
  <c r="BC1384" i="1" s="1"/>
  <c r="BC1385" i="1" s="1"/>
  <c r="BC1386" i="1" s="1"/>
  <c r="BC1387" i="1" s="1"/>
  <c r="BC1388" i="1" s="1"/>
  <c r="BC1389" i="1" s="1"/>
  <c r="BC1390" i="1" s="1"/>
  <c r="BC1391" i="1" s="1"/>
  <c r="BC1392" i="1" s="1"/>
  <c r="BC1393" i="1" s="1"/>
  <c r="BC1394" i="1" s="1"/>
  <c r="BC1395" i="1" s="1"/>
  <c r="BC1396" i="1" s="1"/>
  <c r="BC1397" i="1" s="1"/>
  <c r="BC1398" i="1" s="1"/>
  <c r="BC1399" i="1" s="1"/>
  <c r="BC1400" i="1" s="1"/>
  <c r="BC1401" i="1" s="1"/>
  <c r="BC1402" i="1" s="1"/>
  <c r="BC1403" i="1" s="1"/>
  <c r="BC1404" i="1" s="1"/>
  <c r="BC1405" i="1" s="1"/>
  <c r="BC1406" i="1" s="1"/>
  <c r="BC1407" i="1" s="1"/>
  <c r="BC1408" i="1" s="1"/>
  <c r="BC1409" i="1" s="1"/>
  <c r="BC1410" i="1" s="1"/>
  <c r="BC1411" i="1" s="1"/>
  <c r="BC1412" i="1" s="1"/>
  <c r="BC1413" i="1" s="1"/>
  <c r="BC1414" i="1" s="1"/>
  <c r="BC1415" i="1" s="1"/>
  <c r="BC1416" i="1" s="1"/>
  <c r="BC1417" i="1" s="1"/>
  <c r="BC1418" i="1" s="1"/>
  <c r="BC1419" i="1" s="1"/>
  <c r="BC1420" i="1" s="1"/>
  <c r="BC1421" i="1" s="1"/>
  <c r="BC1422" i="1" s="1"/>
  <c r="BC1423" i="1" s="1"/>
  <c r="BC1424" i="1" s="1"/>
  <c r="BC1425" i="1" s="1"/>
  <c r="BC1426" i="1" s="1"/>
  <c r="BC1427" i="1" s="1"/>
  <c r="BC1428" i="1" s="1"/>
  <c r="BC1429" i="1" s="1"/>
  <c r="BC1430" i="1" s="1"/>
  <c r="BC1431" i="1" s="1"/>
  <c r="BC1432" i="1" s="1"/>
  <c r="BC1433" i="1" s="1"/>
  <c r="BC1434" i="1" s="1"/>
  <c r="BC1435" i="1" s="1"/>
  <c r="BC1436" i="1" s="1"/>
  <c r="BC1437" i="1" s="1"/>
  <c r="BC1438" i="1" s="1"/>
  <c r="BC1439" i="1" s="1"/>
  <c r="BC1440" i="1" s="1"/>
  <c r="BC1441" i="1" s="1"/>
  <c r="BC1442" i="1" s="1"/>
  <c r="BC1443" i="1" s="1"/>
  <c r="BC1444" i="1" s="1"/>
  <c r="BC1445" i="1" s="1"/>
  <c r="BC1446" i="1" s="1"/>
  <c r="BC1447" i="1" s="1"/>
  <c r="BC1448" i="1" s="1"/>
  <c r="BC1449" i="1" s="1"/>
  <c r="BC1450" i="1" s="1"/>
  <c r="BC1451" i="1" s="1"/>
  <c r="BC1452" i="1" s="1"/>
  <c r="BC1453" i="1" s="1"/>
  <c r="BC1454" i="1" s="1"/>
  <c r="BC1455" i="1" s="1"/>
  <c r="BC1456" i="1" s="1"/>
  <c r="BC1457" i="1" s="1"/>
  <c r="BC1458" i="1" s="1"/>
  <c r="BC1459" i="1" s="1"/>
  <c r="BC1460" i="1" s="1"/>
  <c r="BC1461" i="1" s="1"/>
  <c r="BC1462" i="1" s="1"/>
  <c r="BC1463" i="1" s="1"/>
  <c r="BC1464" i="1" s="1"/>
  <c r="BC1465" i="1" s="1"/>
  <c r="BC1466" i="1" s="1"/>
  <c r="BC1467" i="1" s="1"/>
  <c r="BC1468" i="1" s="1"/>
  <c r="BC1469" i="1" s="1"/>
  <c r="BC1470" i="1" s="1"/>
  <c r="BC1471" i="1" s="1"/>
  <c r="BC1472" i="1" s="1"/>
  <c r="BC1473" i="1" s="1"/>
  <c r="BC1474" i="1" s="1"/>
  <c r="BC1475" i="1" s="1"/>
  <c r="BC1476" i="1" s="1"/>
  <c r="BC1477" i="1" s="1"/>
  <c r="BC1478" i="1" s="1"/>
  <c r="BC1479" i="1" s="1"/>
  <c r="BC1480" i="1" s="1"/>
  <c r="BC1481" i="1" s="1"/>
  <c r="BC1482" i="1" s="1"/>
  <c r="BC1483" i="1" s="1"/>
  <c r="BC1484" i="1" s="1"/>
  <c r="BC1485" i="1" s="1"/>
  <c r="BC1486" i="1" s="1"/>
  <c r="BC1487" i="1" s="1"/>
  <c r="BC1488" i="1" s="1"/>
  <c r="BC1489" i="1" s="1"/>
  <c r="BC1490" i="1" s="1"/>
  <c r="BC1491" i="1" s="1"/>
  <c r="BC1492" i="1" s="1"/>
  <c r="BC1493" i="1" s="1"/>
  <c r="BC1494" i="1" s="1"/>
  <c r="BC1495" i="1" s="1"/>
  <c r="BC1496" i="1" s="1"/>
  <c r="BC1497" i="1" s="1"/>
  <c r="BC1498" i="1" s="1"/>
  <c r="BC1499" i="1" s="1"/>
  <c r="BC1500" i="1" s="1"/>
  <c r="BC1501" i="1" s="1"/>
  <c r="BC1502" i="1" s="1"/>
  <c r="BC1503" i="1" s="1"/>
  <c r="BC1504" i="1" s="1"/>
  <c r="BC1505" i="1" s="1"/>
  <c r="BC1506" i="1" s="1"/>
  <c r="BC1507" i="1" s="1"/>
  <c r="BC1508" i="1" s="1"/>
  <c r="BC1509" i="1" s="1"/>
  <c r="BC1510" i="1" s="1"/>
  <c r="BC1511" i="1" s="1"/>
  <c r="BC1512" i="1" s="1"/>
  <c r="BC1513" i="1" s="1"/>
  <c r="BC1514" i="1" s="1"/>
  <c r="BC1515" i="1" s="1"/>
  <c r="BC1516" i="1" s="1"/>
  <c r="BC1517" i="1" s="1"/>
  <c r="BC1518" i="1" s="1"/>
  <c r="BC1519" i="1" s="1"/>
  <c r="BC1520" i="1" s="1"/>
  <c r="BC1521" i="1" s="1"/>
  <c r="BC1522" i="1" s="1"/>
  <c r="BC1523" i="1" s="1"/>
  <c r="BC1524" i="1" s="1"/>
  <c r="BC1525" i="1" s="1"/>
  <c r="BC1526" i="1" s="1"/>
  <c r="BC1527" i="1" s="1"/>
  <c r="BC1528" i="1" s="1"/>
  <c r="BC1529" i="1" s="1"/>
  <c r="BC1530" i="1" s="1"/>
  <c r="BC1531" i="1" s="1"/>
  <c r="BC1532" i="1" s="1"/>
  <c r="BC1533" i="1" s="1"/>
  <c r="BC1534" i="1" s="1"/>
  <c r="BC1535" i="1" s="1"/>
  <c r="BC1536" i="1" s="1"/>
  <c r="BC1537" i="1" s="1"/>
  <c r="BC1538" i="1" s="1"/>
  <c r="BC1539" i="1" s="1"/>
  <c r="BC1540" i="1" s="1"/>
  <c r="BC1541" i="1" s="1"/>
  <c r="BC1542" i="1" s="1"/>
  <c r="BC1543" i="1" s="1"/>
  <c r="BC1544" i="1" s="1"/>
  <c r="BC1545" i="1" s="1"/>
  <c r="BC1546" i="1" s="1"/>
  <c r="BC1547" i="1" s="1"/>
  <c r="BC1548" i="1" s="1"/>
  <c r="BC1549" i="1" s="1"/>
  <c r="BC1550" i="1" s="1"/>
  <c r="BC1551" i="1" s="1"/>
  <c r="BC1552" i="1" s="1"/>
  <c r="BC1553" i="1" s="1"/>
  <c r="BC1554" i="1" s="1"/>
  <c r="BC1555" i="1" s="1"/>
  <c r="BC1556" i="1" s="1"/>
  <c r="BC1557" i="1" s="1"/>
  <c r="BC1558" i="1" s="1"/>
  <c r="BC1559" i="1" s="1"/>
  <c r="BC1560" i="1" s="1"/>
  <c r="BC1561" i="1" s="1"/>
  <c r="BC1562" i="1" s="1"/>
  <c r="BC1563" i="1" s="1"/>
  <c r="BC1564" i="1" s="1"/>
  <c r="BC1565" i="1" s="1"/>
  <c r="BC1566" i="1" s="1"/>
  <c r="BC1567" i="1" s="1"/>
  <c r="BC1568" i="1" s="1"/>
  <c r="BC1569" i="1" s="1"/>
  <c r="BC1570" i="1" s="1"/>
  <c r="BC1571" i="1" s="1"/>
  <c r="BC1572" i="1" s="1"/>
  <c r="BC1573" i="1" s="1"/>
  <c r="BC1574" i="1" s="1"/>
  <c r="BC1575" i="1" s="1"/>
  <c r="BC1576" i="1" s="1"/>
  <c r="BC1577" i="1" s="1"/>
  <c r="BC1578" i="1" s="1"/>
  <c r="BC1579" i="1" s="1"/>
  <c r="BC1580" i="1" s="1"/>
  <c r="BC1581" i="1" s="1"/>
  <c r="BC1582" i="1" s="1"/>
  <c r="BC1583" i="1" s="1"/>
  <c r="BC1584" i="1" s="1"/>
  <c r="BC1585" i="1" s="1"/>
  <c r="BC1586" i="1" s="1"/>
  <c r="BC1587" i="1" s="1"/>
  <c r="BC1588" i="1" s="1"/>
  <c r="BC1589" i="1" s="1"/>
  <c r="BC1590" i="1" s="1"/>
  <c r="BC1591" i="1" s="1"/>
  <c r="BC1592" i="1" s="1"/>
  <c r="BC1593" i="1" s="1"/>
  <c r="BC1594" i="1" s="1"/>
  <c r="BC1595" i="1" s="1"/>
  <c r="BC1596" i="1" s="1"/>
  <c r="BC1597" i="1" s="1"/>
  <c r="BC1598" i="1" s="1"/>
  <c r="BC1599" i="1" s="1"/>
  <c r="BC1600" i="1" s="1"/>
  <c r="BC1601" i="1" s="1"/>
  <c r="BC1602" i="1" s="1"/>
  <c r="BC1603" i="1" s="1"/>
  <c r="BC1604" i="1" s="1"/>
  <c r="BC1605" i="1" s="1"/>
  <c r="BC1606" i="1" s="1"/>
  <c r="BC1607" i="1" s="1"/>
  <c r="BC1608" i="1" s="1"/>
  <c r="BC1609" i="1" s="1"/>
  <c r="BC1610" i="1" s="1"/>
  <c r="BC1611" i="1" s="1"/>
  <c r="BC1612" i="1" s="1"/>
  <c r="BC1613" i="1" s="1"/>
  <c r="BC1614" i="1" s="1"/>
  <c r="BC1615" i="1" s="1"/>
  <c r="BC1616" i="1" s="1"/>
  <c r="BC1617" i="1" s="1"/>
  <c r="BC1618" i="1" s="1"/>
  <c r="BC1619" i="1" s="1"/>
  <c r="BC1620" i="1" s="1"/>
  <c r="BC1621" i="1" s="1"/>
  <c r="BC1622" i="1" s="1"/>
  <c r="BC1623" i="1" s="1"/>
  <c r="BC1624" i="1" s="1"/>
  <c r="BC1625" i="1" s="1"/>
  <c r="BC1626" i="1" s="1"/>
  <c r="BC1627" i="1" s="1"/>
  <c r="BC1628" i="1" s="1"/>
  <c r="BC1629" i="1" s="1"/>
  <c r="BC1630" i="1" s="1"/>
  <c r="BC1631" i="1" s="1"/>
  <c r="BC1632" i="1" s="1"/>
  <c r="BC1633" i="1" s="1"/>
  <c r="BC1634" i="1" s="1"/>
  <c r="BC1635" i="1" s="1"/>
  <c r="BC1636" i="1" s="1"/>
  <c r="BC1637" i="1" s="1"/>
  <c r="BC1638" i="1" s="1"/>
  <c r="BC1639" i="1" s="1"/>
  <c r="BC1640" i="1" s="1"/>
  <c r="BC1641" i="1" s="1"/>
  <c r="BC1642" i="1" s="1"/>
  <c r="BC1643" i="1" s="1"/>
  <c r="BC1644" i="1" s="1"/>
  <c r="BC1645" i="1" s="1"/>
  <c r="BC1646" i="1" s="1"/>
  <c r="BC1647" i="1" s="1"/>
  <c r="BC1648" i="1" s="1"/>
  <c r="BC1649" i="1" s="1"/>
  <c r="BC1650" i="1" s="1"/>
  <c r="BC1651" i="1" s="1"/>
  <c r="BC1652" i="1" s="1"/>
  <c r="BC1653" i="1" s="1"/>
  <c r="BC1654" i="1" s="1"/>
  <c r="BC1655" i="1" s="1"/>
  <c r="BC1656" i="1" s="1"/>
  <c r="BC1657" i="1" s="1"/>
  <c r="BC1658" i="1" s="1"/>
  <c r="BC1659" i="1" s="1"/>
  <c r="BC1660" i="1" s="1"/>
  <c r="BC1661" i="1" s="1"/>
  <c r="BC1662" i="1" s="1"/>
  <c r="BC1663" i="1" s="1"/>
  <c r="BC1664" i="1" s="1"/>
  <c r="BC1665" i="1" s="1"/>
  <c r="BC1666" i="1" s="1"/>
  <c r="BC1667" i="1" s="1"/>
  <c r="BC1668" i="1" s="1"/>
  <c r="BC1669" i="1" s="1"/>
  <c r="BC1670" i="1" s="1"/>
  <c r="BC1671" i="1" s="1"/>
  <c r="BC1672" i="1" s="1"/>
  <c r="BC1673" i="1" s="1"/>
  <c r="BC1674" i="1" s="1"/>
  <c r="BC1675" i="1" s="1"/>
  <c r="BC1676" i="1" s="1"/>
  <c r="BC1677" i="1" s="1"/>
  <c r="BC1678" i="1" s="1"/>
  <c r="BC1679" i="1" s="1"/>
  <c r="BC1680" i="1" s="1"/>
  <c r="BC1681" i="1" s="1"/>
  <c r="BC1682" i="1" s="1"/>
  <c r="BC1683" i="1" s="1"/>
  <c r="BC1684" i="1" s="1"/>
  <c r="BC1685" i="1" s="1"/>
  <c r="BC1686" i="1" s="1"/>
  <c r="BC1687" i="1" s="1"/>
  <c r="BC1688" i="1" s="1"/>
  <c r="BC1689" i="1" s="1"/>
  <c r="BC1690" i="1" s="1"/>
  <c r="BC1691" i="1" s="1"/>
  <c r="BC1692" i="1" s="1"/>
  <c r="BC1693" i="1" s="1"/>
  <c r="BC1694" i="1" s="1"/>
  <c r="BC1695" i="1" s="1"/>
  <c r="BC1696" i="1" s="1"/>
  <c r="BC1697" i="1" s="1"/>
  <c r="BC1698" i="1" s="1"/>
  <c r="BC1699" i="1" s="1"/>
  <c r="BC1700" i="1" s="1"/>
  <c r="BC1701" i="1" s="1"/>
  <c r="BC1702" i="1" s="1"/>
  <c r="BC1703" i="1" s="1"/>
  <c r="BC1704" i="1" s="1"/>
  <c r="BC1705" i="1" s="1"/>
  <c r="BC1706" i="1" s="1"/>
  <c r="BC1707" i="1" s="1"/>
  <c r="BC1708" i="1" s="1"/>
  <c r="BC1709" i="1" s="1"/>
  <c r="BC1710" i="1" s="1"/>
  <c r="BC1711" i="1" s="1"/>
  <c r="BC1712" i="1" s="1"/>
  <c r="BC1713" i="1" s="1"/>
  <c r="BC1714" i="1" s="1"/>
  <c r="BC1715" i="1" s="1"/>
  <c r="BC1716" i="1" s="1"/>
  <c r="BC1717" i="1" s="1"/>
  <c r="BC1718" i="1" s="1"/>
  <c r="BC1719" i="1" s="1"/>
  <c r="BC1720" i="1" s="1"/>
  <c r="BC1721" i="1" s="1"/>
  <c r="BC1722" i="1" s="1"/>
  <c r="BC1723" i="1" s="1"/>
  <c r="BC1724" i="1" s="1"/>
  <c r="BC1725" i="1" s="1"/>
  <c r="BC1726" i="1" s="1"/>
  <c r="BC1727" i="1" s="1"/>
  <c r="BC1728" i="1" s="1"/>
  <c r="BC1729" i="1" s="1"/>
  <c r="BC1730" i="1" s="1"/>
  <c r="BC1731" i="1" s="1"/>
  <c r="BC1732" i="1" s="1"/>
  <c r="BC1733" i="1" s="1"/>
  <c r="BC1734" i="1" s="1"/>
  <c r="BC1735" i="1" s="1"/>
  <c r="BC1736" i="1" s="1"/>
  <c r="BC1737" i="1" s="1"/>
  <c r="BC1738" i="1" s="1"/>
  <c r="BC1739" i="1" s="1"/>
  <c r="BC1740" i="1" s="1"/>
  <c r="BC1741" i="1" s="1"/>
  <c r="BC1742" i="1" s="1"/>
  <c r="BC1743" i="1" s="1"/>
  <c r="BC1744" i="1" s="1"/>
  <c r="BC1745" i="1" s="1"/>
  <c r="BC1746" i="1" s="1"/>
  <c r="BC1747" i="1" s="1"/>
  <c r="BC1748" i="1" s="1"/>
  <c r="BC1749" i="1" s="1"/>
  <c r="BC1750" i="1" s="1"/>
  <c r="BC1751" i="1" s="1"/>
  <c r="BC1752" i="1" s="1"/>
  <c r="BC1753" i="1" s="1"/>
  <c r="BC1754" i="1" s="1"/>
  <c r="BC1755" i="1" s="1"/>
  <c r="BC1756" i="1" s="1"/>
  <c r="BC1757" i="1" s="1"/>
  <c r="BC1758" i="1" s="1"/>
  <c r="BC1759" i="1" s="1"/>
  <c r="BC1760" i="1" s="1"/>
  <c r="BC1761" i="1" s="1"/>
  <c r="BC1762" i="1" s="1"/>
  <c r="BC1763" i="1" s="1"/>
  <c r="BC1764" i="1" s="1"/>
  <c r="BC1765" i="1" s="1"/>
  <c r="BC1766" i="1" s="1"/>
  <c r="BC1767" i="1" s="1"/>
  <c r="BC1768" i="1" s="1"/>
  <c r="BC1769" i="1" s="1"/>
  <c r="BC1770" i="1" s="1"/>
  <c r="BC1771" i="1" s="1"/>
  <c r="BC1772" i="1" s="1"/>
  <c r="BC1773" i="1" s="1"/>
  <c r="BC1774" i="1" s="1"/>
  <c r="BC1775" i="1" s="1"/>
  <c r="BC1776" i="1" s="1"/>
  <c r="BC1777" i="1" s="1"/>
  <c r="BC1778" i="1" s="1"/>
  <c r="BC1779" i="1" s="1"/>
  <c r="BC1780" i="1" s="1"/>
  <c r="BC1781" i="1" s="1"/>
  <c r="BC1782" i="1" s="1"/>
  <c r="BC1783" i="1" s="1"/>
  <c r="BC1784" i="1" s="1"/>
  <c r="BC1785" i="1" s="1"/>
  <c r="BC1786" i="1" s="1"/>
  <c r="BC1787" i="1" s="1"/>
  <c r="BC1788" i="1" s="1"/>
  <c r="BC1789" i="1" s="1"/>
  <c r="BC1790" i="1" s="1"/>
  <c r="BC1791" i="1" s="1"/>
  <c r="BC1792" i="1" s="1"/>
  <c r="BC1793" i="1" s="1"/>
  <c r="BC1794" i="1" s="1"/>
  <c r="BC1795" i="1" s="1"/>
  <c r="BC1796" i="1" s="1"/>
  <c r="BC1797" i="1" s="1"/>
  <c r="BC1798" i="1" s="1"/>
  <c r="BC1799" i="1" s="1"/>
  <c r="BC1800" i="1" s="1"/>
  <c r="BC1801" i="1" s="1"/>
  <c r="BC1802" i="1" s="1"/>
  <c r="BC1803" i="1" s="1"/>
  <c r="BC1804" i="1" s="1"/>
  <c r="BC1805" i="1" s="1"/>
  <c r="BC1806" i="1" s="1"/>
  <c r="BC1807" i="1" s="1"/>
  <c r="BC1808" i="1" s="1"/>
  <c r="BC1809" i="1" s="1"/>
  <c r="BC1810" i="1" s="1"/>
  <c r="BC1811" i="1" s="1"/>
  <c r="BC1812" i="1" s="1"/>
  <c r="BC1813" i="1" s="1"/>
  <c r="BC1814" i="1" s="1"/>
  <c r="BC1815" i="1" s="1"/>
  <c r="BC1816" i="1" s="1"/>
  <c r="BC1817" i="1" s="1"/>
  <c r="BC1818" i="1" s="1"/>
  <c r="BC1819" i="1" s="1"/>
  <c r="BC1820" i="1" s="1"/>
  <c r="BC1821" i="1" s="1"/>
  <c r="BC1822" i="1" s="1"/>
  <c r="BC1823" i="1" s="1"/>
  <c r="BC1824" i="1" s="1"/>
  <c r="BC1825" i="1" s="1"/>
  <c r="BC1826" i="1" s="1"/>
  <c r="BC1827" i="1" s="1"/>
  <c r="BC1828" i="1" s="1"/>
  <c r="BC1829" i="1" s="1"/>
  <c r="BC1830" i="1" s="1"/>
  <c r="BC1831" i="1" s="1"/>
  <c r="BC1832" i="1" s="1"/>
  <c r="BC1833" i="1" s="1"/>
  <c r="BC1834" i="1" s="1"/>
  <c r="BC1835" i="1" s="1"/>
  <c r="BC1836" i="1" s="1"/>
  <c r="BC1837" i="1" s="1"/>
  <c r="BC1838" i="1" s="1"/>
  <c r="BC1839" i="1" s="1"/>
  <c r="BC1840" i="1" s="1"/>
  <c r="BC1841" i="1" s="1"/>
  <c r="BC1842" i="1" s="1"/>
  <c r="BC1843" i="1" s="1"/>
  <c r="BC1844" i="1" s="1"/>
  <c r="BC1845" i="1" s="1"/>
  <c r="BC1846" i="1" s="1"/>
  <c r="BC1847" i="1" s="1"/>
  <c r="BC1848" i="1" s="1"/>
  <c r="BC1849" i="1" s="1"/>
  <c r="BC1850" i="1" s="1"/>
  <c r="BC1851" i="1" s="1"/>
  <c r="BC1852" i="1" s="1"/>
  <c r="BC1853" i="1" s="1"/>
  <c r="BC1854" i="1" s="1"/>
  <c r="BC1855" i="1" s="1"/>
  <c r="BC1856" i="1" s="1"/>
  <c r="BC1857" i="1" s="1"/>
  <c r="BC1858" i="1" s="1"/>
  <c r="BC1859" i="1" s="1"/>
  <c r="BC1860" i="1" s="1"/>
  <c r="BC1861" i="1" s="1"/>
  <c r="BC1862" i="1" s="1"/>
  <c r="BC1863" i="1" s="1"/>
  <c r="BC1864" i="1" s="1"/>
  <c r="BC1865" i="1" s="1"/>
  <c r="BC1866" i="1" s="1"/>
  <c r="BC1867" i="1" s="1"/>
  <c r="BC1868" i="1" s="1"/>
  <c r="BC1869" i="1" s="1"/>
  <c r="BC1870" i="1" s="1"/>
  <c r="BC1871" i="1" s="1"/>
  <c r="BC1872" i="1" s="1"/>
  <c r="BC1873" i="1" s="1"/>
  <c r="BC1874" i="1" s="1"/>
  <c r="BC1875" i="1" s="1"/>
  <c r="BC1876" i="1" s="1"/>
  <c r="BC1877" i="1" s="1"/>
  <c r="BC1878" i="1" s="1"/>
  <c r="BC1879" i="1" s="1"/>
  <c r="BC1880" i="1" s="1"/>
  <c r="BC1881" i="1" s="1"/>
  <c r="BC1882" i="1" s="1"/>
  <c r="BC1883" i="1" s="1"/>
  <c r="BC1884" i="1" s="1"/>
  <c r="BC1885" i="1" s="1"/>
  <c r="BC1886" i="1" s="1"/>
  <c r="BC1887" i="1" s="1"/>
  <c r="BC1888" i="1" s="1"/>
  <c r="BC1889" i="1" s="1"/>
  <c r="BC1890" i="1" s="1"/>
  <c r="BC1891" i="1" s="1"/>
  <c r="BC1892" i="1" s="1"/>
  <c r="BC1893" i="1" s="1"/>
  <c r="BC1894" i="1" s="1"/>
  <c r="BC1895" i="1" s="1"/>
  <c r="BC1896" i="1" s="1"/>
  <c r="BC1897" i="1" s="1"/>
  <c r="BC1898" i="1" s="1"/>
  <c r="BC1899" i="1" s="1"/>
  <c r="BC1900" i="1" s="1"/>
  <c r="BC1901" i="1" s="1"/>
  <c r="BC1902" i="1" s="1"/>
  <c r="BC1903" i="1" s="1"/>
  <c r="BC1904" i="1" s="1"/>
  <c r="BC1905" i="1" s="1"/>
  <c r="BC1906" i="1" s="1"/>
  <c r="BC1907" i="1" s="1"/>
  <c r="BC1908" i="1" s="1"/>
  <c r="BC1909" i="1" s="1"/>
  <c r="BC1910" i="1" s="1"/>
  <c r="BC1911" i="1" s="1"/>
  <c r="BC1912" i="1" s="1"/>
  <c r="BC1913" i="1" s="1"/>
  <c r="BC1914" i="1" s="1"/>
  <c r="BC1915" i="1" s="1"/>
  <c r="BC1916" i="1" s="1"/>
  <c r="BC1917" i="1" s="1"/>
  <c r="BC1918" i="1" s="1"/>
  <c r="BC1919" i="1" s="1"/>
  <c r="BC1920" i="1" s="1"/>
  <c r="BC1921" i="1" s="1"/>
  <c r="BC1922" i="1" s="1"/>
  <c r="BC1923" i="1" s="1"/>
  <c r="BC1924" i="1" s="1"/>
  <c r="BC1925" i="1" s="1"/>
  <c r="BC1926" i="1" s="1"/>
  <c r="BC1927" i="1" s="1"/>
  <c r="BC1928" i="1" s="1"/>
  <c r="BC1929" i="1" s="1"/>
  <c r="BC1930" i="1" s="1"/>
  <c r="BC1931" i="1" s="1"/>
  <c r="BC1932" i="1" s="1"/>
  <c r="BC1933" i="1" s="1"/>
  <c r="BC1934" i="1" s="1"/>
  <c r="BC1935" i="1" s="1"/>
  <c r="BC1936" i="1" s="1"/>
  <c r="BC1937" i="1" s="1"/>
  <c r="BC1938" i="1" s="1"/>
  <c r="BC1939" i="1" s="1"/>
  <c r="BC1940" i="1" s="1"/>
  <c r="BC1941" i="1" s="1"/>
  <c r="BC1942" i="1" s="1"/>
  <c r="BC1943" i="1" s="1"/>
  <c r="BC1944" i="1" s="1"/>
  <c r="BC1945" i="1" s="1"/>
  <c r="BC1946" i="1" s="1"/>
  <c r="BC1947" i="1" s="1"/>
  <c r="BC1948" i="1" s="1"/>
  <c r="BC1949" i="1" s="1"/>
  <c r="BC1950" i="1" s="1"/>
  <c r="BC1951" i="1" s="1"/>
  <c r="BC1952" i="1" s="1"/>
  <c r="BC1953" i="1" s="1"/>
  <c r="BC1954" i="1" s="1"/>
  <c r="BC1955" i="1" s="1"/>
  <c r="BC1956" i="1" s="1"/>
  <c r="BC1957" i="1" s="1"/>
  <c r="BC1958" i="1" s="1"/>
  <c r="BC1959" i="1" s="1"/>
  <c r="BC1960" i="1" s="1"/>
  <c r="BC1961" i="1" s="1"/>
  <c r="BC1962" i="1" s="1"/>
  <c r="BC1963" i="1" s="1"/>
  <c r="BC1964" i="1" s="1"/>
  <c r="BC1965" i="1" s="1"/>
  <c r="BC1966" i="1" s="1"/>
  <c r="BC1967" i="1" s="1"/>
  <c r="BC1968" i="1" s="1"/>
  <c r="BC1969" i="1" s="1"/>
  <c r="BC1970" i="1" s="1"/>
  <c r="BC1971" i="1" s="1"/>
  <c r="BC1972" i="1" s="1"/>
  <c r="BC1973" i="1" s="1"/>
  <c r="BC1974" i="1" s="1"/>
  <c r="BC1975" i="1" s="1"/>
  <c r="BC1976" i="1" s="1"/>
  <c r="BC1977" i="1" s="1"/>
  <c r="BC1978" i="1" s="1"/>
  <c r="BC1979" i="1" s="1"/>
  <c r="BC1980" i="1" s="1"/>
  <c r="BC1981" i="1" s="1"/>
  <c r="BC1982" i="1" s="1"/>
  <c r="BC1983" i="1" s="1"/>
  <c r="BC1984" i="1" s="1"/>
  <c r="BC1985" i="1" s="1"/>
  <c r="BC1986" i="1" s="1"/>
  <c r="BC1987" i="1" s="1"/>
  <c r="BC1988" i="1" s="1"/>
  <c r="BC1989" i="1" s="1"/>
  <c r="BC1990" i="1" s="1"/>
  <c r="BC1991" i="1" s="1"/>
  <c r="BC1992" i="1" s="1"/>
  <c r="BC1993" i="1" s="1"/>
  <c r="BC1994" i="1" s="1"/>
  <c r="BC1995" i="1" s="1"/>
  <c r="BC1996" i="1" s="1"/>
  <c r="BC1997" i="1" s="1"/>
  <c r="BC1998" i="1" s="1"/>
  <c r="BC1999" i="1" s="1"/>
  <c r="BC2000" i="1" s="1"/>
  <c r="BC2001" i="1" s="1"/>
  <c r="BC2002" i="1" s="1"/>
  <c r="BC2003" i="1" s="1"/>
  <c r="BC2004" i="1" s="1"/>
  <c r="BC2005" i="1" s="1"/>
  <c r="BC2006" i="1" s="1"/>
  <c r="BC2007" i="1" s="1"/>
  <c r="BC2008" i="1" s="1"/>
  <c r="BC2009" i="1" s="1"/>
  <c r="BC2010" i="1" s="1"/>
  <c r="BC2011" i="1" s="1"/>
  <c r="BC2012" i="1" s="1"/>
  <c r="BC2013" i="1" s="1"/>
  <c r="BC2014" i="1" s="1"/>
  <c r="BC2015" i="1" s="1"/>
  <c r="BC2016" i="1" s="1"/>
  <c r="BC2017" i="1" s="1"/>
  <c r="BC2018" i="1" s="1"/>
  <c r="BC2019" i="1" s="1"/>
  <c r="BC2020" i="1" s="1"/>
  <c r="BC2021" i="1" s="1"/>
  <c r="BC2022" i="1" s="1"/>
  <c r="BC2023" i="1" s="1"/>
  <c r="BC2024" i="1" s="1"/>
  <c r="BC2025" i="1" s="1"/>
  <c r="BC2026" i="1" s="1"/>
  <c r="BC2027" i="1" s="1"/>
  <c r="BC2028" i="1" s="1"/>
  <c r="BC2029" i="1" s="1"/>
  <c r="BC2030" i="1" s="1"/>
  <c r="BC2031" i="1" s="1"/>
  <c r="BC2032" i="1" s="1"/>
  <c r="BC2033" i="1" s="1"/>
  <c r="BC2034" i="1" s="1"/>
  <c r="BC2035" i="1" s="1"/>
  <c r="BC2036" i="1" s="1"/>
  <c r="BC2037" i="1" s="1"/>
  <c r="BC2038" i="1" s="1"/>
  <c r="BC2039" i="1" s="1"/>
  <c r="BC2040" i="1" s="1"/>
  <c r="BC2041" i="1" s="1"/>
  <c r="BC2042" i="1" s="1"/>
  <c r="BC2043" i="1" s="1"/>
  <c r="BC2044" i="1" s="1"/>
  <c r="BC2045" i="1" s="1"/>
  <c r="BC2046" i="1" s="1"/>
  <c r="BC2047" i="1" s="1"/>
  <c r="BC2048" i="1" s="1"/>
  <c r="BC2049" i="1" s="1"/>
  <c r="BC2050" i="1" s="1"/>
  <c r="BC2051" i="1" s="1"/>
  <c r="BC2052" i="1" s="1"/>
  <c r="BC2053" i="1" s="1"/>
  <c r="BC2054" i="1" s="1"/>
  <c r="BC2055" i="1" s="1"/>
  <c r="BC2056" i="1" s="1"/>
  <c r="BC2057" i="1" s="1"/>
  <c r="BC2058" i="1" s="1"/>
  <c r="BC2059" i="1" s="1"/>
  <c r="BC2060" i="1" s="1"/>
  <c r="BC2061" i="1" s="1"/>
  <c r="BC2062" i="1" s="1"/>
  <c r="BC2063" i="1" s="1"/>
  <c r="BC2064" i="1" s="1"/>
  <c r="BC2065" i="1" s="1"/>
  <c r="BC2066" i="1" s="1"/>
  <c r="BC2067" i="1" s="1"/>
  <c r="BC2068" i="1" s="1"/>
  <c r="BC2069" i="1" s="1"/>
  <c r="BC2070" i="1" s="1"/>
  <c r="BC2071" i="1" s="1"/>
  <c r="BC2072" i="1" s="1"/>
  <c r="BC2073" i="1" s="1"/>
  <c r="BC2074" i="1" s="1"/>
  <c r="BC2075" i="1" s="1"/>
  <c r="BC2076" i="1" s="1"/>
  <c r="BC2077" i="1" s="1"/>
  <c r="BC2078" i="1" s="1"/>
  <c r="BC2079" i="1" s="1"/>
  <c r="BC2080" i="1" s="1"/>
  <c r="BC2081" i="1" s="1"/>
  <c r="BC2082" i="1" s="1"/>
  <c r="BC2083" i="1" s="1"/>
  <c r="BC2084" i="1" s="1"/>
  <c r="BC2085" i="1" s="1"/>
  <c r="BC2086" i="1" s="1"/>
  <c r="BC2087" i="1" s="1"/>
  <c r="BC2088" i="1" s="1"/>
  <c r="BC2089" i="1" s="1"/>
  <c r="BC2090" i="1" s="1"/>
  <c r="BC2091" i="1" s="1"/>
  <c r="BC2092" i="1" s="1"/>
  <c r="BC2093" i="1" s="1"/>
  <c r="BC2094" i="1" s="1"/>
  <c r="BC2095" i="1" s="1"/>
  <c r="BC2096" i="1" s="1"/>
  <c r="BC2097" i="1" s="1"/>
  <c r="BC2098" i="1" s="1"/>
  <c r="BC2099" i="1" s="1"/>
  <c r="BC2100" i="1" s="1"/>
  <c r="BC2101" i="1" s="1"/>
  <c r="BC2102" i="1" s="1"/>
  <c r="BC2103" i="1" s="1"/>
  <c r="BC2104" i="1" s="1"/>
  <c r="BC2105" i="1" s="1"/>
  <c r="BC2106" i="1" s="1"/>
  <c r="BC2107" i="1" s="1"/>
  <c r="BC2108" i="1" s="1"/>
  <c r="BC2109" i="1" s="1"/>
  <c r="BC2110" i="1" s="1"/>
  <c r="BC2111" i="1" s="1"/>
  <c r="BC2112" i="1" s="1"/>
  <c r="BC2113" i="1" s="1"/>
  <c r="BC2114" i="1" s="1"/>
  <c r="BC2115" i="1" s="1"/>
  <c r="BC2116" i="1" s="1"/>
  <c r="BC2117" i="1" s="1"/>
  <c r="BC2118" i="1" s="1"/>
  <c r="BC2119" i="1" s="1"/>
  <c r="BC2120" i="1" s="1"/>
  <c r="BC2121" i="1" s="1"/>
  <c r="BC2122" i="1" s="1"/>
  <c r="BC2123" i="1" s="1"/>
  <c r="BC2124" i="1" s="1"/>
  <c r="BC2125" i="1" s="1"/>
  <c r="BC2126" i="1" s="1"/>
  <c r="BC2127" i="1" s="1"/>
  <c r="BC2128" i="1" s="1"/>
  <c r="BC2129" i="1" s="1"/>
  <c r="BC2130" i="1" s="1"/>
  <c r="BC2131" i="1" s="1"/>
  <c r="BC2132" i="1" s="1"/>
  <c r="BC2133" i="1" s="1"/>
  <c r="BC2134" i="1" s="1"/>
  <c r="BC2135" i="1" s="1"/>
  <c r="BC2136" i="1" s="1"/>
  <c r="BC2137" i="1" s="1"/>
  <c r="BC2138" i="1" s="1"/>
  <c r="BC2139" i="1" s="1"/>
  <c r="BC2140" i="1" s="1"/>
  <c r="BC2141" i="1" s="1"/>
  <c r="BC2142" i="1" s="1"/>
  <c r="BC2143" i="1" s="1"/>
  <c r="BC2144" i="1" s="1"/>
  <c r="BC2145" i="1" s="1"/>
  <c r="BC2146" i="1" s="1"/>
  <c r="BC2147" i="1" s="1"/>
  <c r="BC2148" i="1" s="1"/>
  <c r="BC2149" i="1" s="1"/>
  <c r="BC2150" i="1" s="1"/>
  <c r="BC2151" i="1" s="1"/>
  <c r="BC2152" i="1" s="1"/>
  <c r="BC2153" i="1" s="1"/>
  <c r="BC2154" i="1" s="1"/>
  <c r="BC2155" i="1" s="1"/>
  <c r="BC2156" i="1" s="1"/>
  <c r="BC2157" i="1" s="1"/>
  <c r="BC2158" i="1" s="1"/>
  <c r="BC2159" i="1" s="1"/>
  <c r="BC2160" i="1" s="1"/>
  <c r="BC2161" i="1" s="1"/>
  <c r="BC2162" i="1" s="1"/>
  <c r="BC2163" i="1" s="1"/>
  <c r="BC2164" i="1" s="1"/>
  <c r="BC2165" i="1" s="1"/>
  <c r="BC2166" i="1" s="1"/>
  <c r="BC2167" i="1" s="1"/>
  <c r="BC2168" i="1" s="1"/>
  <c r="BC2169" i="1" s="1"/>
  <c r="BC2170" i="1" s="1"/>
  <c r="BC2171" i="1" s="1"/>
  <c r="BC2172" i="1" s="1"/>
  <c r="BC2173" i="1" s="1"/>
  <c r="BC2174" i="1" s="1"/>
  <c r="BC2175" i="1" s="1"/>
  <c r="BC2176" i="1" s="1"/>
  <c r="BC2177" i="1" s="1"/>
  <c r="BC2178" i="1" s="1"/>
  <c r="BC2179" i="1" s="1"/>
  <c r="BC2180" i="1" s="1"/>
  <c r="BC2181" i="1" s="1"/>
  <c r="BC2182" i="1" s="1"/>
  <c r="BC2183" i="1" s="1"/>
  <c r="BC2184" i="1" s="1"/>
  <c r="BC2185" i="1" s="1"/>
  <c r="BC2186" i="1" s="1"/>
  <c r="BC2187" i="1" s="1"/>
  <c r="BC2188" i="1" s="1"/>
  <c r="BC2189" i="1" s="1"/>
  <c r="BC2190" i="1" s="1"/>
  <c r="BC2191" i="1" s="1"/>
  <c r="BC2192" i="1" s="1"/>
  <c r="BC2193" i="1" s="1"/>
  <c r="BC2194" i="1" s="1"/>
  <c r="BC2195" i="1" s="1"/>
  <c r="BC2196" i="1" s="1"/>
  <c r="BC2197" i="1" s="1"/>
  <c r="BC2198" i="1" s="1"/>
  <c r="BC2199" i="1" s="1"/>
  <c r="BC2200" i="1" s="1"/>
  <c r="BC2201" i="1" s="1"/>
  <c r="BC2202" i="1" s="1"/>
  <c r="BC2203" i="1" s="1"/>
  <c r="BC2204" i="1" s="1"/>
  <c r="BC2205" i="1" s="1"/>
  <c r="BC2206" i="1" s="1"/>
  <c r="BC2207" i="1" s="1"/>
  <c r="BC2208" i="1" s="1"/>
  <c r="BC2209" i="1" s="1"/>
  <c r="BC2210" i="1" s="1"/>
  <c r="BC2211" i="1" s="1"/>
  <c r="BC2212" i="1" s="1"/>
  <c r="BC2213" i="1" s="1"/>
  <c r="BC2214" i="1" s="1"/>
  <c r="BC2215" i="1" s="1"/>
  <c r="BC2216" i="1" s="1"/>
  <c r="BC2217" i="1" s="1"/>
  <c r="BC2218" i="1" s="1"/>
  <c r="BC2219" i="1" s="1"/>
  <c r="BC2220" i="1" s="1"/>
  <c r="BC2221" i="1" s="1"/>
  <c r="BC2222" i="1" s="1"/>
  <c r="BC2223" i="1" s="1"/>
  <c r="BC2224" i="1" s="1"/>
  <c r="BC2225" i="1" s="1"/>
  <c r="BC2226" i="1" s="1"/>
  <c r="BC2227" i="1" s="1"/>
  <c r="BC2228" i="1" s="1"/>
  <c r="BC2229" i="1" s="1"/>
  <c r="BC2230" i="1" s="1"/>
  <c r="BC2231" i="1" s="1"/>
  <c r="BC2232" i="1" s="1"/>
  <c r="BC2233" i="1" s="1"/>
  <c r="BC2234" i="1" s="1"/>
  <c r="BC2235" i="1" s="1"/>
  <c r="BC2236" i="1" s="1"/>
  <c r="BC2237" i="1" s="1"/>
  <c r="BC2238" i="1" s="1"/>
  <c r="BC2239" i="1" s="1"/>
  <c r="BC2240" i="1" s="1"/>
  <c r="BC2241" i="1" s="1"/>
  <c r="BC2242" i="1" s="1"/>
  <c r="BC2243" i="1" s="1"/>
  <c r="BC2244" i="1" s="1"/>
  <c r="BC2245" i="1" s="1"/>
  <c r="BC2246" i="1" s="1"/>
  <c r="BC2247" i="1" s="1"/>
  <c r="BC2248" i="1" s="1"/>
  <c r="BC2249" i="1" s="1"/>
  <c r="BC2250" i="1" s="1"/>
  <c r="BC2251" i="1" s="1"/>
  <c r="BC2252" i="1" s="1"/>
  <c r="BC2253" i="1" s="1"/>
  <c r="BC2254" i="1" s="1"/>
  <c r="BC2255" i="1" s="1"/>
  <c r="BC2256" i="1" s="1"/>
  <c r="BC2257" i="1" s="1"/>
  <c r="BC2258" i="1" s="1"/>
  <c r="BC2259" i="1" s="1"/>
  <c r="BC2260" i="1" s="1"/>
  <c r="BC2261" i="1" s="1"/>
  <c r="BC2262" i="1" s="1"/>
  <c r="BC2263" i="1" s="1"/>
  <c r="BC2264" i="1" s="1"/>
  <c r="BC2265" i="1" s="1"/>
  <c r="BC2266" i="1" s="1"/>
  <c r="BC2267" i="1" s="1"/>
  <c r="BC2268" i="1" s="1"/>
  <c r="BC2269" i="1" s="1"/>
  <c r="BC2270" i="1" s="1"/>
  <c r="BC2271" i="1" s="1"/>
  <c r="BC2272" i="1" s="1"/>
  <c r="BC2273" i="1" s="1"/>
  <c r="BC2274" i="1" s="1"/>
  <c r="BC2275" i="1" s="1"/>
  <c r="BC2276" i="1" s="1"/>
  <c r="BC2277" i="1" s="1"/>
  <c r="BC2278" i="1" s="1"/>
  <c r="BC2279" i="1" s="1"/>
  <c r="BC2280" i="1" s="1"/>
  <c r="BC2281" i="1" s="1"/>
  <c r="BC2282" i="1" s="1"/>
  <c r="BC2283" i="1" s="1"/>
  <c r="BC2284" i="1" s="1"/>
  <c r="BC2285" i="1" s="1"/>
  <c r="BC2286" i="1" s="1"/>
  <c r="BC2287" i="1" s="1"/>
  <c r="BC2288" i="1" s="1"/>
  <c r="BC2289" i="1" s="1"/>
  <c r="BC2290" i="1" s="1"/>
  <c r="BC2291" i="1" s="1"/>
  <c r="BC2292" i="1" s="1"/>
  <c r="BC2293" i="1" s="1"/>
  <c r="BC2294" i="1" s="1"/>
  <c r="BC2295" i="1" s="1"/>
  <c r="BC2296" i="1" s="1"/>
  <c r="BC2297" i="1" s="1"/>
  <c r="BC2298" i="1" s="1"/>
  <c r="BC2299" i="1" s="1"/>
  <c r="BC2300" i="1" s="1"/>
  <c r="BC2301" i="1" s="1"/>
  <c r="BC2302" i="1" s="1"/>
  <c r="BC2303" i="1" s="1"/>
  <c r="BC2304" i="1" s="1"/>
  <c r="BC2305" i="1" s="1"/>
  <c r="BC2306" i="1" s="1"/>
  <c r="BC2307" i="1" s="1"/>
  <c r="BC2308" i="1" s="1"/>
  <c r="BC2309" i="1" s="1"/>
  <c r="BC2310" i="1" s="1"/>
  <c r="BC2311" i="1" s="1"/>
  <c r="BC2312" i="1" s="1"/>
  <c r="BC2313" i="1" s="1"/>
  <c r="BC2314" i="1" s="1"/>
  <c r="BC2315" i="1" s="1"/>
  <c r="BC2316" i="1" s="1"/>
  <c r="BC2317" i="1" s="1"/>
  <c r="BC2318" i="1" s="1"/>
  <c r="BC2319" i="1" s="1"/>
  <c r="BC2320" i="1" s="1"/>
  <c r="BC2321" i="1" s="1"/>
  <c r="BC2322" i="1" s="1"/>
  <c r="BC2323" i="1" s="1"/>
  <c r="BC2324" i="1" s="1"/>
  <c r="BC2325" i="1" s="1"/>
  <c r="BC2326" i="1" s="1"/>
  <c r="BC2327" i="1" s="1"/>
  <c r="BC2328" i="1" s="1"/>
  <c r="BC2329" i="1" s="1"/>
  <c r="BC2330" i="1" s="1"/>
  <c r="BC2331" i="1" s="1"/>
  <c r="BC2332" i="1" s="1"/>
  <c r="BC2333" i="1" s="1"/>
  <c r="BC2334" i="1" s="1"/>
  <c r="BC2335" i="1" s="1"/>
  <c r="BC2336" i="1" s="1"/>
  <c r="BC2337" i="1" s="1"/>
  <c r="BC2338" i="1" s="1"/>
  <c r="BC2339" i="1" s="1"/>
  <c r="BC2340" i="1" s="1"/>
  <c r="BC2341" i="1" s="1"/>
  <c r="BC2342" i="1" s="1"/>
  <c r="BC2343" i="1" s="1"/>
  <c r="BC2344" i="1" s="1"/>
  <c r="BC2345" i="1" s="1"/>
  <c r="BC2346" i="1" s="1"/>
  <c r="BC2347" i="1" s="1"/>
  <c r="BC2348" i="1" s="1"/>
  <c r="BC2349" i="1" s="1"/>
  <c r="BC2350" i="1" s="1"/>
  <c r="BC2351" i="1" s="1"/>
  <c r="BC2352" i="1" s="1"/>
  <c r="BC2353" i="1" s="1"/>
  <c r="BC2354" i="1" s="1"/>
  <c r="BC2355" i="1" s="1"/>
  <c r="BC2356" i="1" s="1"/>
  <c r="BC2357" i="1" s="1"/>
  <c r="BC2358" i="1" s="1"/>
  <c r="BC2359" i="1" s="1"/>
  <c r="BC2360" i="1" s="1"/>
  <c r="BC2361" i="1" s="1"/>
  <c r="BC2362" i="1" s="1"/>
  <c r="BC2363" i="1" s="1"/>
  <c r="BC2364" i="1" s="1"/>
  <c r="BC2365" i="1" s="1"/>
  <c r="BC2366" i="1" s="1"/>
  <c r="BC2367" i="1" s="1"/>
  <c r="BC2368" i="1" s="1"/>
  <c r="BC2369" i="1" s="1"/>
  <c r="BC2370" i="1" s="1"/>
  <c r="BC2371" i="1" s="1"/>
  <c r="BC2372" i="1" s="1"/>
  <c r="BC2373" i="1" s="1"/>
  <c r="BC2374" i="1" s="1"/>
  <c r="BC2375" i="1" s="1"/>
  <c r="BC2376" i="1" s="1"/>
  <c r="BC2377" i="1" s="1"/>
  <c r="BC2378" i="1" s="1"/>
  <c r="BC2379" i="1" s="1"/>
  <c r="BC2380" i="1" s="1"/>
  <c r="BC2381" i="1" s="1"/>
  <c r="BC2382" i="1" s="1"/>
  <c r="BC2383" i="1" s="1"/>
  <c r="BC2384" i="1" s="1"/>
  <c r="BC2385" i="1" s="1"/>
  <c r="BC2386" i="1" s="1"/>
  <c r="BC2387" i="1" s="1"/>
  <c r="BC2388" i="1" s="1"/>
  <c r="BC2389" i="1" s="1"/>
  <c r="BC2390" i="1" s="1"/>
  <c r="BC2391" i="1" s="1"/>
  <c r="BC2392" i="1" s="1"/>
  <c r="BC2393" i="1" s="1"/>
  <c r="BC2394" i="1" s="1"/>
  <c r="BC2395" i="1" s="1"/>
  <c r="BC2396" i="1" s="1"/>
  <c r="BC2397" i="1" s="1"/>
  <c r="BC2398" i="1" s="1"/>
  <c r="BC2399" i="1" s="1"/>
  <c r="BC2400" i="1" s="1"/>
  <c r="BC2401" i="1" s="1"/>
  <c r="BC2402" i="1" s="1"/>
  <c r="BC2403" i="1" s="1"/>
  <c r="BC2404" i="1" s="1"/>
  <c r="BC2405" i="1" s="1"/>
  <c r="BC2406" i="1" s="1"/>
  <c r="BC2407" i="1" s="1"/>
  <c r="BC2408" i="1" s="1"/>
  <c r="BC2409" i="1" s="1"/>
  <c r="BC2410" i="1" s="1"/>
  <c r="BC2411" i="1" s="1"/>
  <c r="BC2412" i="1" s="1"/>
  <c r="BC2413" i="1" s="1"/>
  <c r="BC2414" i="1" s="1"/>
  <c r="BC2415" i="1" s="1"/>
  <c r="BC2416" i="1" s="1"/>
  <c r="BC2417" i="1" s="1"/>
  <c r="BC2418" i="1" s="1"/>
  <c r="BC2419" i="1" s="1"/>
  <c r="BC2420" i="1" s="1"/>
  <c r="BC2421" i="1" s="1"/>
  <c r="BC2422" i="1" s="1"/>
  <c r="BC2423" i="1" s="1"/>
  <c r="BC2424" i="1" s="1"/>
  <c r="BC2425" i="1" s="1"/>
  <c r="BC2426" i="1" s="1"/>
  <c r="BC2427" i="1" s="1"/>
  <c r="BB3" i="1"/>
  <c r="BB4" i="1" s="1"/>
  <c r="BB5" i="1" s="1"/>
  <c r="BB6" i="1" s="1"/>
  <c r="BB7" i="1" s="1"/>
  <c r="AR5" i="1"/>
  <c r="AT5" i="1"/>
  <c r="AR6" i="1"/>
  <c r="AT6" i="1"/>
  <c r="AR7" i="1"/>
  <c r="AT7" i="1"/>
  <c r="AR8" i="1"/>
  <c r="AT8" i="1"/>
  <c r="AR9" i="1"/>
  <c r="AT9" i="1"/>
  <c r="AR10" i="1"/>
  <c r="AT10" i="1"/>
  <c r="AR11" i="1"/>
  <c r="AT11" i="1"/>
  <c r="AR12" i="1"/>
  <c r="AT12" i="1"/>
  <c r="AR13" i="1"/>
  <c r="AT13" i="1"/>
  <c r="AR14" i="1"/>
  <c r="AT14" i="1"/>
  <c r="AR15" i="1"/>
  <c r="AT15" i="1"/>
  <c r="AR16" i="1"/>
  <c r="AT16" i="1"/>
  <c r="AR17" i="1"/>
  <c r="AT17" i="1"/>
  <c r="AR18" i="1"/>
  <c r="AT18" i="1"/>
  <c r="AR19" i="1"/>
  <c r="AT19" i="1"/>
  <c r="AR20" i="1"/>
  <c r="AT20" i="1"/>
  <c r="AR21" i="1"/>
  <c r="AT21" i="1"/>
  <c r="AR22" i="1"/>
  <c r="AT22" i="1"/>
  <c r="AR23" i="1"/>
  <c r="AT23" i="1"/>
  <c r="AR24" i="1"/>
  <c r="AT24" i="1"/>
  <c r="AR25" i="1"/>
  <c r="AT25" i="1"/>
  <c r="AR26" i="1"/>
  <c r="AT26" i="1"/>
  <c r="AR27" i="1"/>
  <c r="AT27" i="1"/>
  <c r="AR28" i="1"/>
  <c r="AT28" i="1"/>
  <c r="AR29" i="1"/>
  <c r="AT29" i="1"/>
  <c r="AR30" i="1"/>
  <c r="AT30" i="1"/>
  <c r="AR31" i="1"/>
  <c r="AT31" i="1"/>
  <c r="AR32" i="1"/>
  <c r="AT32" i="1"/>
  <c r="AR33" i="1"/>
  <c r="AT33" i="1"/>
  <c r="AR34" i="1"/>
  <c r="AT34" i="1"/>
  <c r="AR35" i="1"/>
  <c r="AT35" i="1"/>
  <c r="AR36" i="1"/>
  <c r="AT36" i="1"/>
  <c r="AR37" i="1"/>
  <c r="AT37" i="1"/>
  <c r="AR38" i="1"/>
  <c r="AT38" i="1"/>
  <c r="AR39" i="1"/>
  <c r="AT39" i="1"/>
  <c r="AR40" i="1"/>
  <c r="AT40" i="1"/>
  <c r="AR41" i="1"/>
  <c r="AT41" i="1"/>
  <c r="AR42" i="1"/>
  <c r="AT42" i="1"/>
  <c r="AR43" i="1"/>
  <c r="AT43" i="1"/>
  <c r="AR44" i="1"/>
  <c r="AT44" i="1"/>
  <c r="AR45" i="1"/>
  <c r="AT45" i="1"/>
  <c r="AR46" i="1"/>
  <c r="AT46" i="1"/>
  <c r="AR47" i="1"/>
  <c r="AT47" i="1"/>
  <c r="AR48" i="1"/>
  <c r="AT48" i="1"/>
  <c r="AR49" i="1"/>
  <c r="AT49" i="1"/>
  <c r="AR50" i="1"/>
  <c r="AT50" i="1"/>
  <c r="AR51" i="1"/>
  <c r="AT51" i="1"/>
  <c r="AR52" i="1"/>
  <c r="AT52" i="1"/>
  <c r="AR53" i="1"/>
  <c r="AT53" i="1"/>
  <c r="AR54" i="1"/>
  <c r="AT54" i="1"/>
  <c r="AR55" i="1"/>
  <c r="AT55" i="1"/>
  <c r="AR56" i="1"/>
  <c r="AT56" i="1"/>
  <c r="AR57" i="1"/>
  <c r="AT57" i="1"/>
  <c r="AR58" i="1"/>
  <c r="AT58" i="1"/>
  <c r="AR59" i="1"/>
  <c r="AT59" i="1"/>
  <c r="AR60" i="1"/>
  <c r="AT60" i="1"/>
  <c r="AR61" i="1"/>
  <c r="AT61" i="1"/>
  <c r="AR62" i="1"/>
  <c r="AT62" i="1"/>
  <c r="AR63" i="1"/>
  <c r="AT63" i="1"/>
  <c r="AR64" i="1"/>
  <c r="AT64" i="1"/>
  <c r="AR65" i="1"/>
  <c r="AT65" i="1"/>
  <c r="AR66" i="1"/>
  <c r="AT66" i="1"/>
  <c r="AR67" i="1"/>
  <c r="AT67" i="1"/>
  <c r="AR68" i="1"/>
  <c r="AT68" i="1"/>
  <c r="AR69" i="1"/>
  <c r="AT69" i="1"/>
  <c r="AR70" i="1"/>
  <c r="AT70" i="1"/>
  <c r="AR71" i="1"/>
  <c r="AT71" i="1"/>
  <c r="AR72" i="1"/>
  <c r="AT72" i="1"/>
  <c r="AR73" i="1"/>
  <c r="AT73" i="1"/>
  <c r="AR74" i="1"/>
  <c r="AT74" i="1"/>
  <c r="AR75" i="1"/>
  <c r="AT75" i="1"/>
  <c r="AR76" i="1"/>
  <c r="AT76" i="1"/>
  <c r="AR77" i="1"/>
  <c r="AT77" i="1"/>
  <c r="AR78" i="1"/>
  <c r="AT78" i="1"/>
  <c r="AR79" i="1"/>
  <c r="AT79" i="1"/>
  <c r="AR80" i="1"/>
  <c r="AT80" i="1"/>
  <c r="AR81" i="1"/>
  <c r="AT81" i="1"/>
  <c r="AR82" i="1"/>
  <c r="AT82" i="1"/>
  <c r="AR83" i="1"/>
  <c r="AT83" i="1"/>
  <c r="AR84" i="1"/>
  <c r="AT84" i="1"/>
  <c r="AR85" i="1"/>
  <c r="AT85" i="1"/>
  <c r="AR86" i="1"/>
  <c r="AT86" i="1"/>
  <c r="AR87" i="1"/>
  <c r="AT87" i="1"/>
  <c r="AR88" i="1"/>
  <c r="AT88" i="1"/>
  <c r="AR89" i="1"/>
  <c r="AT89" i="1"/>
  <c r="AR90" i="1"/>
  <c r="AT90" i="1"/>
  <c r="AR91" i="1"/>
  <c r="AT91" i="1"/>
  <c r="AR92" i="1"/>
  <c r="AT92" i="1"/>
  <c r="AR93" i="1"/>
  <c r="AT93" i="1"/>
  <c r="AR94" i="1"/>
  <c r="AT94" i="1"/>
  <c r="AR95" i="1"/>
  <c r="AT95" i="1"/>
  <c r="AR96" i="1"/>
  <c r="AT96" i="1"/>
  <c r="AR97" i="1"/>
  <c r="AT97" i="1"/>
  <c r="AR98" i="1"/>
  <c r="AT98" i="1"/>
  <c r="AR99" i="1"/>
  <c r="AT99" i="1"/>
  <c r="AR100" i="1"/>
  <c r="AT100" i="1"/>
  <c r="AR101" i="1"/>
  <c r="AT101" i="1"/>
  <c r="AR102" i="1"/>
  <c r="AT102" i="1"/>
  <c r="AR103" i="1"/>
  <c r="AT103" i="1"/>
  <c r="AR104" i="1"/>
  <c r="AT104" i="1"/>
  <c r="AR105" i="1"/>
  <c r="AT105" i="1"/>
  <c r="AR106" i="1"/>
  <c r="AT106" i="1"/>
  <c r="AR107" i="1"/>
  <c r="AT107" i="1"/>
  <c r="AR108" i="1"/>
  <c r="AT108" i="1"/>
  <c r="AR109" i="1"/>
  <c r="AT109" i="1"/>
  <c r="AR110" i="1"/>
  <c r="AT110" i="1"/>
  <c r="AR111" i="1"/>
  <c r="AT111" i="1"/>
  <c r="AR112" i="1"/>
  <c r="AT112" i="1"/>
  <c r="AR113" i="1"/>
  <c r="AT113" i="1"/>
  <c r="AR114" i="1"/>
  <c r="AT114" i="1"/>
  <c r="AR115" i="1"/>
  <c r="AT115" i="1"/>
  <c r="AR116" i="1"/>
  <c r="AT116" i="1"/>
  <c r="AR117" i="1"/>
  <c r="AT117" i="1"/>
  <c r="AR118" i="1"/>
  <c r="AT118" i="1"/>
  <c r="AR119" i="1"/>
  <c r="AT119" i="1"/>
  <c r="AR120" i="1"/>
  <c r="AT120" i="1"/>
  <c r="AR121" i="1"/>
  <c r="AT121" i="1"/>
  <c r="AR122" i="1"/>
  <c r="AT122" i="1"/>
  <c r="AR123" i="1"/>
  <c r="AT123" i="1"/>
  <c r="AR124" i="1"/>
  <c r="AT124" i="1"/>
  <c r="AR125" i="1"/>
  <c r="AT125" i="1"/>
  <c r="AR126" i="1"/>
  <c r="AT126" i="1"/>
  <c r="AR127" i="1"/>
  <c r="AT127" i="1"/>
  <c r="AR128" i="1"/>
  <c r="AT128" i="1"/>
  <c r="AR129" i="1"/>
  <c r="AT129" i="1"/>
  <c r="AR130" i="1"/>
  <c r="AT130" i="1"/>
  <c r="AR131" i="1"/>
  <c r="AT131" i="1"/>
  <c r="AR132" i="1"/>
  <c r="AT132" i="1"/>
  <c r="AR133" i="1"/>
  <c r="AT133" i="1"/>
  <c r="AR134" i="1"/>
  <c r="AT134" i="1"/>
  <c r="AR135" i="1"/>
  <c r="AT135" i="1"/>
  <c r="AR136" i="1"/>
  <c r="AT136" i="1"/>
  <c r="AR137" i="1"/>
  <c r="AT137" i="1"/>
  <c r="AR138" i="1"/>
  <c r="AT138" i="1"/>
  <c r="AR139" i="1"/>
  <c r="AT139" i="1"/>
  <c r="AR140" i="1"/>
  <c r="AT140" i="1"/>
  <c r="AR141" i="1"/>
  <c r="AT141" i="1"/>
  <c r="AR142" i="1"/>
  <c r="AT142" i="1"/>
  <c r="AR143" i="1"/>
  <c r="AT143" i="1"/>
  <c r="AR144" i="1"/>
  <c r="AT144" i="1"/>
  <c r="AR145" i="1"/>
  <c r="AT145" i="1"/>
  <c r="AR146" i="1"/>
  <c r="AT146" i="1"/>
  <c r="AR147" i="1"/>
  <c r="AT147" i="1"/>
  <c r="AR148" i="1"/>
  <c r="AT148" i="1"/>
  <c r="AR149" i="1"/>
  <c r="AT149" i="1"/>
  <c r="AR150" i="1"/>
  <c r="AT150" i="1"/>
  <c r="AR151" i="1"/>
  <c r="AT151" i="1"/>
  <c r="AR152" i="1"/>
  <c r="AT152" i="1"/>
  <c r="AR153" i="1"/>
  <c r="AT153" i="1"/>
  <c r="AR154" i="1"/>
  <c r="AT154" i="1"/>
  <c r="AR155" i="1"/>
  <c r="AT155" i="1"/>
  <c r="AR156" i="1"/>
  <c r="AT156" i="1"/>
  <c r="AR157" i="1"/>
  <c r="AT157" i="1"/>
  <c r="AR158" i="1"/>
  <c r="AT158" i="1"/>
  <c r="AR159" i="1"/>
  <c r="AT159" i="1"/>
  <c r="AR160" i="1"/>
  <c r="AT160" i="1"/>
  <c r="AR161" i="1"/>
  <c r="AT161" i="1"/>
  <c r="AR162" i="1"/>
  <c r="AT162" i="1"/>
  <c r="AR163" i="1"/>
  <c r="AT163" i="1"/>
  <c r="AR164" i="1"/>
  <c r="AT164" i="1"/>
  <c r="AR165" i="1"/>
  <c r="AT165" i="1"/>
  <c r="AR166" i="1"/>
  <c r="AT166" i="1"/>
  <c r="AR167" i="1"/>
  <c r="AT167" i="1"/>
  <c r="AR168" i="1"/>
  <c r="AT168" i="1"/>
  <c r="AR169" i="1"/>
  <c r="AT169" i="1"/>
  <c r="AR170" i="1"/>
  <c r="AT170" i="1"/>
  <c r="AR171" i="1"/>
  <c r="AT171" i="1"/>
  <c r="AR172" i="1"/>
  <c r="AT172" i="1"/>
  <c r="AR173" i="1"/>
  <c r="AT173" i="1"/>
  <c r="AR174" i="1"/>
  <c r="AT174" i="1"/>
  <c r="AR175" i="1"/>
  <c r="AT175" i="1"/>
  <c r="AR176" i="1"/>
  <c r="AT176" i="1"/>
  <c r="AR177" i="1"/>
  <c r="AT177" i="1"/>
  <c r="AR178" i="1"/>
  <c r="AT178" i="1"/>
  <c r="AR179" i="1"/>
  <c r="AT179" i="1"/>
  <c r="AR180" i="1"/>
  <c r="AT180" i="1"/>
  <c r="AR181" i="1"/>
  <c r="AT181" i="1"/>
  <c r="AR182" i="1"/>
  <c r="AT182" i="1"/>
  <c r="AR183" i="1"/>
  <c r="AT183" i="1"/>
  <c r="AR184" i="1"/>
  <c r="AT184" i="1"/>
  <c r="AR185" i="1"/>
  <c r="AT185" i="1"/>
  <c r="AR186" i="1"/>
  <c r="AT186" i="1"/>
  <c r="AR187" i="1"/>
  <c r="AT187" i="1"/>
  <c r="AR188" i="1"/>
  <c r="AT188" i="1"/>
  <c r="AR189" i="1"/>
  <c r="AT189" i="1"/>
  <c r="AR190" i="1"/>
  <c r="AT190" i="1"/>
  <c r="AR191" i="1"/>
  <c r="AT191" i="1"/>
  <c r="AR192" i="1"/>
  <c r="AT192" i="1"/>
  <c r="AR193" i="1"/>
  <c r="AT193" i="1"/>
  <c r="AR194" i="1"/>
  <c r="AT194" i="1"/>
  <c r="AR195" i="1"/>
  <c r="AT195" i="1"/>
  <c r="AR196" i="1"/>
  <c r="AT196" i="1"/>
  <c r="AR197" i="1"/>
  <c r="AT197" i="1"/>
  <c r="AR198" i="1"/>
  <c r="AT198" i="1"/>
  <c r="AR199" i="1"/>
  <c r="AT199" i="1"/>
  <c r="AR200" i="1"/>
  <c r="AT200" i="1"/>
  <c r="AR201" i="1"/>
  <c r="AT201" i="1"/>
  <c r="AR202" i="1"/>
  <c r="AT202" i="1"/>
  <c r="AR203" i="1"/>
  <c r="AT203" i="1"/>
  <c r="AR204" i="1"/>
  <c r="AT204" i="1"/>
  <c r="AR205" i="1"/>
  <c r="AT205" i="1"/>
  <c r="AR206" i="1"/>
  <c r="AT206" i="1"/>
  <c r="AR207" i="1"/>
  <c r="AT207" i="1"/>
  <c r="AR208" i="1"/>
  <c r="AT208" i="1"/>
  <c r="AR209" i="1"/>
  <c r="AT209" i="1"/>
  <c r="AR210" i="1"/>
  <c r="AT210" i="1"/>
  <c r="AR211" i="1"/>
  <c r="AT211" i="1"/>
  <c r="AR212" i="1"/>
  <c r="AT212" i="1"/>
  <c r="AR213" i="1"/>
  <c r="AT213" i="1"/>
  <c r="AR214" i="1"/>
  <c r="AT214" i="1"/>
  <c r="AR215" i="1"/>
  <c r="AT215" i="1"/>
  <c r="AR216" i="1"/>
  <c r="AT216" i="1"/>
  <c r="AR217" i="1"/>
  <c r="AT217" i="1"/>
  <c r="AR218" i="1"/>
  <c r="AT218" i="1"/>
  <c r="AR219" i="1"/>
  <c r="AT219" i="1"/>
  <c r="AR220" i="1"/>
  <c r="AT220" i="1"/>
  <c r="AR221" i="1"/>
  <c r="AT221" i="1"/>
  <c r="AR222" i="1"/>
  <c r="AT222" i="1"/>
  <c r="AR223" i="1"/>
  <c r="AT223" i="1"/>
  <c r="AR224" i="1"/>
  <c r="AT224" i="1"/>
  <c r="AR225" i="1"/>
  <c r="AT225" i="1"/>
  <c r="AR226" i="1"/>
  <c r="AT226" i="1"/>
  <c r="AR227" i="1"/>
  <c r="AT227" i="1"/>
  <c r="AR228" i="1"/>
  <c r="AT228" i="1"/>
  <c r="AR229" i="1"/>
  <c r="AT229" i="1"/>
  <c r="AR230" i="1"/>
  <c r="AT230" i="1"/>
  <c r="AR231" i="1"/>
  <c r="AT231" i="1"/>
  <c r="AR232" i="1"/>
  <c r="AT232" i="1"/>
  <c r="AR233" i="1"/>
  <c r="AT233" i="1"/>
  <c r="AR234" i="1"/>
  <c r="AT234" i="1"/>
  <c r="AR235" i="1"/>
  <c r="AT235" i="1"/>
  <c r="AR236" i="1"/>
  <c r="AT236" i="1"/>
  <c r="AR237" i="1"/>
  <c r="AT237" i="1"/>
  <c r="AR238" i="1"/>
  <c r="AT238" i="1"/>
  <c r="AR239" i="1"/>
  <c r="AT239" i="1"/>
  <c r="AR240" i="1"/>
  <c r="AT240" i="1"/>
  <c r="AR241" i="1"/>
  <c r="AT241" i="1"/>
  <c r="AR242" i="1"/>
  <c r="AT242" i="1"/>
  <c r="AR243" i="1"/>
  <c r="AT243" i="1"/>
  <c r="AR244" i="1"/>
  <c r="AT244" i="1"/>
  <c r="AR245" i="1"/>
  <c r="AT245" i="1"/>
  <c r="AR246" i="1"/>
  <c r="AT246" i="1"/>
  <c r="AR247" i="1"/>
  <c r="AT247" i="1"/>
  <c r="AR248" i="1"/>
  <c r="AT248" i="1"/>
  <c r="AR249" i="1"/>
  <c r="AT249" i="1"/>
  <c r="AR250" i="1"/>
  <c r="AT250" i="1"/>
  <c r="AR251" i="1"/>
  <c r="AT251" i="1"/>
  <c r="AR252" i="1"/>
  <c r="AT252" i="1"/>
  <c r="AR253" i="1"/>
  <c r="AT253" i="1"/>
  <c r="AR254" i="1"/>
  <c r="AT254" i="1"/>
  <c r="AR255" i="1"/>
  <c r="AT255" i="1"/>
  <c r="AR256" i="1"/>
  <c r="AT256" i="1"/>
  <c r="AR257" i="1"/>
  <c r="AT257" i="1"/>
  <c r="AR258" i="1"/>
  <c r="AT258" i="1"/>
  <c r="AR259" i="1"/>
  <c r="AT259" i="1"/>
  <c r="AR260" i="1"/>
  <c r="AT260" i="1"/>
  <c r="AR261" i="1"/>
  <c r="AT261" i="1"/>
  <c r="AR262" i="1"/>
  <c r="AT262" i="1"/>
  <c r="AR263" i="1"/>
  <c r="AT263" i="1"/>
  <c r="AR264" i="1"/>
  <c r="AT264" i="1"/>
  <c r="AR265" i="1"/>
  <c r="AT265" i="1"/>
  <c r="AR266" i="1"/>
  <c r="AT266" i="1"/>
  <c r="AR267" i="1"/>
  <c r="AT267" i="1"/>
  <c r="AR268" i="1"/>
  <c r="AT268" i="1"/>
  <c r="AR269" i="1"/>
  <c r="AT269" i="1"/>
  <c r="AR270" i="1"/>
  <c r="AT270" i="1"/>
  <c r="AR271" i="1"/>
  <c r="AT271" i="1"/>
  <c r="AR272" i="1"/>
  <c r="AT272" i="1"/>
  <c r="AR273" i="1"/>
  <c r="AT273" i="1"/>
  <c r="AR274" i="1"/>
  <c r="AT274" i="1"/>
  <c r="AR275" i="1"/>
  <c r="AT275" i="1"/>
  <c r="AR276" i="1"/>
  <c r="AT276" i="1"/>
  <c r="AR277" i="1"/>
  <c r="AT277" i="1"/>
  <c r="AR278" i="1"/>
  <c r="AT278" i="1"/>
  <c r="AR279" i="1"/>
  <c r="AT279" i="1"/>
  <c r="AR280" i="1"/>
  <c r="AT280" i="1"/>
  <c r="AR281" i="1"/>
  <c r="AT281" i="1"/>
  <c r="AR282" i="1"/>
  <c r="AT282" i="1"/>
  <c r="AR283" i="1"/>
  <c r="AT283" i="1"/>
  <c r="AR284" i="1"/>
  <c r="AT284" i="1"/>
  <c r="AR285" i="1"/>
  <c r="AT285" i="1"/>
  <c r="AR286" i="1"/>
  <c r="AT286" i="1"/>
  <c r="AR287" i="1"/>
  <c r="AT287" i="1"/>
  <c r="AR288" i="1"/>
  <c r="AT288" i="1"/>
  <c r="AR289" i="1"/>
  <c r="AT289" i="1"/>
  <c r="AR290" i="1"/>
  <c r="AT290" i="1"/>
  <c r="AR291" i="1"/>
  <c r="AT291" i="1"/>
  <c r="AR292" i="1"/>
  <c r="AT292" i="1"/>
  <c r="AR293" i="1"/>
  <c r="AT293" i="1"/>
  <c r="AR294" i="1"/>
  <c r="AT294" i="1"/>
  <c r="AR295" i="1"/>
  <c r="AT295" i="1"/>
  <c r="AR296" i="1"/>
  <c r="AT296" i="1"/>
  <c r="AR297" i="1"/>
  <c r="AT297" i="1"/>
  <c r="AR298" i="1"/>
  <c r="AT298" i="1"/>
  <c r="AR299" i="1"/>
  <c r="AT299" i="1"/>
  <c r="AR300" i="1"/>
  <c r="AT300" i="1"/>
  <c r="AR301" i="1"/>
  <c r="AT301" i="1"/>
  <c r="AR302" i="1"/>
  <c r="AT302" i="1"/>
  <c r="AR303" i="1"/>
  <c r="AT303" i="1"/>
  <c r="AR304" i="1"/>
  <c r="AT304" i="1"/>
  <c r="AR305" i="1"/>
  <c r="AT305" i="1"/>
  <c r="AR306" i="1"/>
  <c r="AT306" i="1"/>
  <c r="AR307" i="1"/>
  <c r="AT307" i="1"/>
  <c r="AR308" i="1"/>
  <c r="AT308" i="1"/>
  <c r="AR309" i="1"/>
  <c r="AT309" i="1"/>
  <c r="AR310" i="1"/>
  <c r="AT310" i="1"/>
  <c r="AR311" i="1"/>
  <c r="AT311" i="1"/>
  <c r="AR312" i="1"/>
  <c r="AT312" i="1"/>
  <c r="AR313" i="1"/>
  <c r="AT313" i="1"/>
  <c r="AR314" i="1"/>
  <c r="AT314" i="1"/>
  <c r="AR315" i="1"/>
  <c r="AT315" i="1"/>
  <c r="AR316" i="1"/>
  <c r="AT316" i="1"/>
  <c r="AR317" i="1"/>
  <c r="AT317" i="1"/>
  <c r="AR318" i="1"/>
  <c r="AT318" i="1"/>
  <c r="AR319" i="1"/>
  <c r="AT319" i="1"/>
  <c r="AR320" i="1"/>
  <c r="AT320" i="1"/>
  <c r="AR321" i="1"/>
  <c r="AT321" i="1"/>
  <c r="AR322" i="1"/>
  <c r="AT322" i="1"/>
  <c r="AR323" i="1"/>
  <c r="AT323" i="1"/>
  <c r="AR324" i="1"/>
  <c r="AT324" i="1"/>
  <c r="AR325" i="1"/>
  <c r="AT325" i="1"/>
  <c r="AR326" i="1"/>
  <c r="AT326" i="1"/>
  <c r="AR327" i="1"/>
  <c r="AT327" i="1"/>
  <c r="AR328" i="1"/>
  <c r="AT328" i="1"/>
  <c r="AR329" i="1"/>
  <c r="AT329" i="1"/>
  <c r="AR330" i="1"/>
  <c r="AT330" i="1"/>
  <c r="AR331" i="1"/>
  <c r="AT331" i="1"/>
  <c r="AR332" i="1"/>
  <c r="AT332" i="1"/>
  <c r="AR333" i="1"/>
  <c r="AT333" i="1"/>
  <c r="AR334" i="1"/>
  <c r="AT334" i="1"/>
  <c r="AR335" i="1"/>
  <c r="AT335" i="1"/>
  <c r="AR336" i="1"/>
  <c r="AT336" i="1"/>
  <c r="AR337" i="1"/>
  <c r="AT337" i="1"/>
  <c r="AR338" i="1"/>
  <c r="AT338" i="1"/>
  <c r="AR339" i="1"/>
  <c r="AT339" i="1"/>
  <c r="AR340" i="1"/>
  <c r="AT340" i="1"/>
  <c r="AR341" i="1"/>
  <c r="AT341" i="1"/>
  <c r="AR342" i="1"/>
  <c r="AT342" i="1"/>
  <c r="AR343" i="1"/>
  <c r="AT343" i="1"/>
  <c r="AR344" i="1"/>
  <c r="AT344" i="1"/>
  <c r="AR345" i="1"/>
  <c r="AT345" i="1"/>
  <c r="AR346" i="1"/>
  <c r="AT346" i="1"/>
  <c r="AR347" i="1"/>
  <c r="AT347" i="1"/>
  <c r="AR348" i="1"/>
  <c r="AT348" i="1"/>
  <c r="AR349" i="1"/>
  <c r="AT349" i="1"/>
  <c r="AR350" i="1"/>
  <c r="AT350" i="1"/>
  <c r="AR351" i="1"/>
  <c r="AT351" i="1"/>
  <c r="AR352" i="1"/>
  <c r="AT352" i="1"/>
  <c r="AR353" i="1"/>
  <c r="AT353" i="1"/>
  <c r="AR354" i="1"/>
  <c r="AT354" i="1"/>
  <c r="AR355" i="1"/>
  <c r="AT355" i="1"/>
  <c r="AR356" i="1"/>
  <c r="AT356" i="1"/>
  <c r="AR357" i="1"/>
  <c r="AT357" i="1"/>
  <c r="AR358" i="1"/>
  <c r="AT358" i="1"/>
  <c r="AR359" i="1"/>
  <c r="AT359" i="1"/>
  <c r="AR360" i="1"/>
  <c r="AT360" i="1"/>
  <c r="AR361" i="1"/>
  <c r="AT361" i="1"/>
  <c r="AR362" i="1"/>
  <c r="AT362" i="1"/>
  <c r="AR363" i="1"/>
  <c r="AT363" i="1"/>
  <c r="AR364" i="1"/>
  <c r="AT364" i="1"/>
  <c r="AR365" i="1"/>
  <c r="AT365" i="1"/>
  <c r="AR366" i="1"/>
  <c r="AT366" i="1"/>
  <c r="AR367" i="1"/>
  <c r="AT367" i="1"/>
  <c r="AR368" i="1"/>
  <c r="AT368" i="1"/>
  <c r="AR369" i="1"/>
  <c r="AT369" i="1"/>
  <c r="AR370" i="1"/>
  <c r="AT370" i="1"/>
  <c r="AR371" i="1"/>
  <c r="AT371" i="1"/>
  <c r="AR372" i="1"/>
  <c r="AT372" i="1"/>
  <c r="AR373" i="1"/>
  <c r="AT373" i="1"/>
  <c r="AR374" i="1"/>
  <c r="AT374" i="1"/>
  <c r="AR375" i="1"/>
  <c r="AT375" i="1"/>
  <c r="AR376" i="1"/>
  <c r="AT376" i="1"/>
  <c r="AR377" i="1"/>
  <c r="AT377" i="1"/>
  <c r="AR378" i="1"/>
  <c r="AT378" i="1"/>
  <c r="AR379" i="1"/>
  <c r="AT379" i="1"/>
  <c r="AR380" i="1"/>
  <c r="AT380" i="1"/>
  <c r="AR381" i="1"/>
  <c r="AT381" i="1"/>
  <c r="AR382" i="1"/>
  <c r="AT382" i="1"/>
  <c r="AR383" i="1"/>
  <c r="AT383" i="1"/>
  <c r="AR384" i="1"/>
  <c r="AT384" i="1"/>
  <c r="AR385" i="1"/>
  <c r="AT385" i="1"/>
  <c r="AR386" i="1"/>
  <c r="AT386" i="1"/>
  <c r="AR387" i="1"/>
  <c r="AT387" i="1"/>
  <c r="AR388" i="1"/>
  <c r="AT388" i="1"/>
  <c r="AR389" i="1"/>
  <c r="AT389" i="1"/>
  <c r="AR390" i="1"/>
  <c r="AT390" i="1"/>
  <c r="AR391" i="1"/>
  <c r="AT391" i="1"/>
  <c r="AR392" i="1"/>
  <c r="AT392" i="1"/>
  <c r="AR393" i="1"/>
  <c r="AT393" i="1"/>
  <c r="AR394" i="1"/>
  <c r="AT394" i="1"/>
  <c r="AR395" i="1"/>
  <c r="AT395" i="1"/>
  <c r="AR396" i="1"/>
  <c r="AT396" i="1"/>
  <c r="AR397" i="1"/>
  <c r="AT397" i="1"/>
  <c r="AR398" i="1"/>
  <c r="AT398" i="1"/>
  <c r="AR399" i="1"/>
  <c r="AT399" i="1"/>
  <c r="AR400" i="1"/>
  <c r="AT400" i="1"/>
  <c r="AR401" i="1"/>
  <c r="AT401" i="1"/>
  <c r="AR402" i="1"/>
  <c r="AT402" i="1"/>
  <c r="AR403" i="1"/>
  <c r="AT403" i="1"/>
  <c r="AR404" i="1"/>
  <c r="AT404" i="1"/>
  <c r="AR405" i="1"/>
  <c r="AT405" i="1"/>
  <c r="AR406" i="1"/>
  <c r="AT406" i="1"/>
  <c r="AR407" i="1"/>
  <c r="AT407" i="1"/>
  <c r="AR408" i="1"/>
  <c r="AT408" i="1"/>
  <c r="AR409" i="1"/>
  <c r="AT409" i="1"/>
  <c r="AR410" i="1"/>
  <c r="AT410" i="1"/>
  <c r="AR411" i="1"/>
  <c r="AT411" i="1"/>
  <c r="AR412" i="1"/>
  <c r="AT412" i="1"/>
  <c r="AR413" i="1"/>
  <c r="AT413" i="1"/>
  <c r="AR414" i="1"/>
  <c r="AT414" i="1"/>
  <c r="AR415" i="1"/>
  <c r="AT415" i="1"/>
  <c r="AR416" i="1"/>
  <c r="AT416" i="1"/>
  <c r="AR417" i="1"/>
  <c r="AT417" i="1"/>
  <c r="AR418" i="1"/>
  <c r="AT418" i="1"/>
  <c r="AR419" i="1"/>
  <c r="AT419" i="1"/>
  <c r="AR420" i="1"/>
  <c r="AT420" i="1"/>
  <c r="AR421" i="1"/>
  <c r="AT421" i="1"/>
  <c r="AR422" i="1"/>
  <c r="AT422" i="1"/>
  <c r="AR423" i="1"/>
  <c r="AT423" i="1"/>
  <c r="AR424" i="1"/>
  <c r="AT424" i="1"/>
  <c r="AR425" i="1"/>
  <c r="AT425" i="1"/>
  <c r="AR426" i="1"/>
  <c r="AT426" i="1"/>
  <c r="AR427" i="1"/>
  <c r="AT427" i="1"/>
  <c r="AR428" i="1"/>
  <c r="AT428" i="1"/>
  <c r="AR429" i="1"/>
  <c r="AT429" i="1"/>
  <c r="AR430" i="1"/>
  <c r="AT430" i="1"/>
  <c r="AR431" i="1"/>
  <c r="AT431" i="1"/>
  <c r="AR432" i="1"/>
  <c r="AT432" i="1"/>
  <c r="AR433" i="1"/>
  <c r="AT433" i="1"/>
  <c r="AR434" i="1"/>
  <c r="AT434" i="1"/>
  <c r="AR435" i="1"/>
  <c r="AT435" i="1"/>
  <c r="AR436" i="1"/>
  <c r="AT436" i="1"/>
  <c r="AR437" i="1"/>
  <c r="AT437" i="1"/>
  <c r="AR438" i="1"/>
  <c r="AT438" i="1"/>
  <c r="AR439" i="1"/>
  <c r="AT439" i="1"/>
  <c r="AR440" i="1"/>
  <c r="AT440" i="1"/>
  <c r="AR441" i="1"/>
  <c r="AT441" i="1"/>
  <c r="AR442" i="1"/>
  <c r="AT442" i="1"/>
  <c r="AR443" i="1"/>
  <c r="AT443" i="1"/>
  <c r="AR444" i="1"/>
  <c r="AT444" i="1"/>
  <c r="AR445" i="1"/>
  <c r="AT445" i="1"/>
  <c r="AR446" i="1"/>
  <c r="AT446" i="1"/>
  <c r="AR447" i="1"/>
  <c r="AT447" i="1"/>
  <c r="AR448" i="1"/>
  <c r="AT448" i="1"/>
  <c r="AR449" i="1"/>
  <c r="AT449" i="1"/>
  <c r="AR450" i="1"/>
  <c r="AT450" i="1"/>
  <c r="AR451" i="1"/>
  <c r="AT451" i="1"/>
  <c r="AR452" i="1"/>
  <c r="AT452" i="1"/>
  <c r="AR453" i="1"/>
  <c r="AT453" i="1"/>
  <c r="AR454" i="1"/>
  <c r="AT454" i="1"/>
  <c r="AR455" i="1"/>
  <c r="AT455" i="1"/>
  <c r="AR456" i="1"/>
  <c r="AT456" i="1"/>
  <c r="AR457" i="1"/>
  <c r="AT457" i="1"/>
  <c r="AR458" i="1"/>
  <c r="AT458" i="1"/>
  <c r="AR459" i="1"/>
  <c r="AT459" i="1"/>
  <c r="AR460" i="1"/>
  <c r="AT460" i="1"/>
  <c r="AR461" i="1"/>
  <c r="AT461" i="1"/>
  <c r="AR462" i="1"/>
  <c r="AT462" i="1"/>
  <c r="AR463" i="1"/>
  <c r="AT463" i="1"/>
  <c r="AR464" i="1"/>
  <c r="AT464" i="1"/>
  <c r="AR465" i="1"/>
  <c r="AT465" i="1"/>
  <c r="AR466" i="1"/>
  <c r="AT466" i="1"/>
  <c r="AR467" i="1"/>
  <c r="AT467" i="1"/>
  <c r="AR468" i="1"/>
  <c r="AT468" i="1"/>
  <c r="AR469" i="1"/>
  <c r="AT469" i="1"/>
  <c r="AR470" i="1"/>
  <c r="AT470" i="1"/>
  <c r="AR471" i="1"/>
  <c r="AT471" i="1"/>
  <c r="AR472" i="1"/>
  <c r="AT472" i="1"/>
  <c r="AR473" i="1"/>
  <c r="AT473" i="1"/>
  <c r="AR474" i="1"/>
  <c r="AT474" i="1"/>
  <c r="AR475" i="1"/>
  <c r="AT475" i="1"/>
  <c r="AR476" i="1"/>
  <c r="AT476" i="1"/>
  <c r="AR477" i="1"/>
  <c r="AT477" i="1"/>
  <c r="AR478" i="1"/>
  <c r="AT478" i="1"/>
  <c r="AR479" i="1"/>
  <c r="AT479" i="1"/>
  <c r="AR480" i="1"/>
  <c r="AT480" i="1"/>
  <c r="AR481" i="1"/>
  <c r="AT481" i="1"/>
  <c r="AR482" i="1"/>
  <c r="AT482" i="1"/>
  <c r="AR483" i="1"/>
  <c r="AT483" i="1"/>
  <c r="AR484" i="1"/>
  <c r="AT484" i="1"/>
  <c r="AR485" i="1"/>
  <c r="AT485" i="1"/>
  <c r="AR486" i="1"/>
  <c r="AT486" i="1"/>
  <c r="AR487" i="1"/>
  <c r="AT487" i="1"/>
  <c r="AR488" i="1"/>
  <c r="AT488" i="1"/>
  <c r="AR489" i="1"/>
  <c r="AT489" i="1"/>
  <c r="AR490" i="1"/>
  <c r="AT490" i="1"/>
  <c r="AR491" i="1"/>
  <c r="AT491" i="1"/>
  <c r="AR492" i="1"/>
  <c r="AT492" i="1"/>
  <c r="AR493" i="1"/>
  <c r="AT493" i="1"/>
  <c r="AR494" i="1"/>
  <c r="AT494" i="1"/>
  <c r="AR495" i="1"/>
  <c r="AT495" i="1"/>
  <c r="AR496" i="1"/>
  <c r="AT496" i="1"/>
  <c r="AR497" i="1"/>
  <c r="AT497" i="1"/>
  <c r="AR498" i="1"/>
  <c r="AT498" i="1"/>
  <c r="AR499" i="1"/>
  <c r="AT499" i="1"/>
  <c r="AR500" i="1"/>
  <c r="AT500" i="1"/>
  <c r="AR501" i="1"/>
  <c r="AT501" i="1"/>
  <c r="AR502" i="1"/>
  <c r="AT502" i="1"/>
  <c r="AR503" i="1"/>
  <c r="AT503" i="1"/>
  <c r="AR504" i="1"/>
  <c r="AT504" i="1"/>
  <c r="AR505" i="1"/>
  <c r="AT505" i="1"/>
  <c r="AR506" i="1"/>
  <c r="AT506" i="1"/>
  <c r="AR507" i="1"/>
  <c r="AT507" i="1"/>
  <c r="AR508" i="1"/>
  <c r="AT508" i="1"/>
  <c r="AR509" i="1"/>
  <c r="AT509" i="1"/>
  <c r="AR510" i="1"/>
  <c r="AT510" i="1"/>
  <c r="AR511" i="1"/>
  <c r="AT511" i="1"/>
  <c r="AR512" i="1"/>
  <c r="AT512" i="1"/>
  <c r="AR513" i="1"/>
  <c r="AT513" i="1"/>
  <c r="AR514" i="1"/>
  <c r="AT514" i="1"/>
  <c r="AR515" i="1"/>
  <c r="AT515" i="1"/>
  <c r="AR516" i="1"/>
  <c r="AT516" i="1"/>
  <c r="AR517" i="1"/>
  <c r="AT517" i="1"/>
  <c r="AR518" i="1"/>
  <c r="AT518" i="1"/>
  <c r="AR519" i="1"/>
  <c r="AT519" i="1"/>
  <c r="AR520" i="1"/>
  <c r="AT520" i="1"/>
  <c r="AR521" i="1"/>
  <c r="AT521" i="1"/>
  <c r="AR522" i="1"/>
  <c r="AT522" i="1"/>
  <c r="AR523" i="1"/>
  <c r="AT523" i="1"/>
  <c r="AR524" i="1"/>
  <c r="AT524" i="1"/>
  <c r="AR525" i="1"/>
  <c r="AT525" i="1"/>
  <c r="AR526" i="1"/>
  <c r="AT526" i="1"/>
  <c r="AR527" i="1"/>
  <c r="AT527" i="1"/>
  <c r="AR528" i="1"/>
  <c r="AT528" i="1"/>
  <c r="AR529" i="1"/>
  <c r="AT529" i="1"/>
  <c r="AR530" i="1"/>
  <c r="AT530" i="1"/>
  <c r="AR531" i="1"/>
  <c r="AT531" i="1"/>
  <c r="AR532" i="1"/>
  <c r="AT532" i="1"/>
  <c r="AR533" i="1"/>
  <c r="AT533" i="1"/>
  <c r="AR534" i="1"/>
  <c r="AT534" i="1"/>
  <c r="AR535" i="1"/>
  <c r="AT535" i="1"/>
  <c r="AR536" i="1"/>
  <c r="AT536" i="1"/>
  <c r="AR537" i="1"/>
  <c r="AT537" i="1"/>
  <c r="AR538" i="1"/>
  <c r="AT538" i="1"/>
  <c r="AR539" i="1"/>
  <c r="AT539" i="1"/>
  <c r="AR540" i="1"/>
  <c r="AT540" i="1"/>
  <c r="AR541" i="1"/>
  <c r="AT541" i="1"/>
  <c r="AR542" i="1"/>
  <c r="AT542" i="1"/>
  <c r="AR543" i="1"/>
  <c r="AT543" i="1"/>
  <c r="AR544" i="1"/>
  <c r="AT544" i="1"/>
  <c r="AR545" i="1"/>
  <c r="AT545" i="1"/>
  <c r="AR546" i="1"/>
  <c r="AT546" i="1"/>
  <c r="AR547" i="1"/>
  <c r="AT547" i="1"/>
  <c r="AR548" i="1"/>
  <c r="AT548" i="1"/>
  <c r="AR549" i="1"/>
  <c r="AT549" i="1"/>
  <c r="AR550" i="1"/>
  <c r="AT550" i="1"/>
  <c r="AR551" i="1"/>
  <c r="AT551" i="1"/>
  <c r="AR552" i="1"/>
  <c r="AT552" i="1"/>
  <c r="AR553" i="1"/>
  <c r="AT553" i="1"/>
  <c r="AR554" i="1"/>
  <c r="AT554" i="1"/>
  <c r="AR555" i="1"/>
  <c r="AT555" i="1"/>
  <c r="AR556" i="1"/>
  <c r="AT556" i="1"/>
  <c r="AR557" i="1"/>
  <c r="AT557" i="1"/>
  <c r="AR558" i="1"/>
  <c r="AT558" i="1"/>
  <c r="AR559" i="1"/>
  <c r="AT559" i="1"/>
  <c r="AR560" i="1"/>
  <c r="AT560" i="1"/>
  <c r="AR561" i="1"/>
  <c r="AT561" i="1"/>
  <c r="AR562" i="1"/>
  <c r="AT562" i="1"/>
  <c r="AR563" i="1"/>
  <c r="AT563" i="1"/>
  <c r="AR564" i="1"/>
  <c r="AT564" i="1"/>
  <c r="AR565" i="1"/>
  <c r="AT565" i="1"/>
  <c r="AR566" i="1"/>
  <c r="AT566" i="1"/>
  <c r="AR567" i="1"/>
  <c r="AT567" i="1"/>
  <c r="AR568" i="1"/>
  <c r="AT568" i="1"/>
  <c r="AR569" i="1"/>
  <c r="AT569" i="1"/>
  <c r="AR570" i="1"/>
  <c r="AT570" i="1"/>
  <c r="AR571" i="1"/>
  <c r="AT571" i="1"/>
  <c r="AR572" i="1"/>
  <c r="AT572" i="1"/>
  <c r="AR573" i="1"/>
  <c r="AT573" i="1"/>
  <c r="AR574" i="1"/>
  <c r="AT574" i="1"/>
  <c r="AR575" i="1"/>
  <c r="AT575" i="1"/>
  <c r="AR576" i="1"/>
  <c r="AT576" i="1"/>
  <c r="AR577" i="1"/>
  <c r="AT577" i="1"/>
  <c r="AR578" i="1"/>
  <c r="AT578" i="1"/>
  <c r="AR579" i="1"/>
  <c r="AT579" i="1"/>
  <c r="AR580" i="1"/>
  <c r="AT580" i="1"/>
  <c r="AR581" i="1"/>
  <c r="AT581" i="1"/>
  <c r="AR582" i="1"/>
  <c r="AT582" i="1"/>
  <c r="AR583" i="1"/>
  <c r="AT583" i="1"/>
  <c r="AR584" i="1"/>
  <c r="AT584" i="1"/>
  <c r="AR585" i="1"/>
  <c r="AT585" i="1"/>
  <c r="AR586" i="1"/>
  <c r="AT586" i="1"/>
  <c r="AR587" i="1"/>
  <c r="AT587" i="1"/>
  <c r="AR588" i="1"/>
  <c r="AT588" i="1"/>
  <c r="AR589" i="1"/>
  <c r="AT589" i="1"/>
  <c r="AR590" i="1"/>
  <c r="AT590" i="1"/>
  <c r="AR591" i="1"/>
  <c r="AT591" i="1"/>
  <c r="AR592" i="1"/>
  <c r="AT592" i="1"/>
  <c r="AR593" i="1"/>
  <c r="AT593" i="1"/>
  <c r="AR594" i="1"/>
  <c r="AT594" i="1"/>
  <c r="AR595" i="1"/>
  <c r="AT595" i="1"/>
  <c r="AR596" i="1"/>
  <c r="AT596" i="1"/>
  <c r="AR597" i="1"/>
  <c r="AT597" i="1"/>
  <c r="AR598" i="1"/>
  <c r="AT598" i="1"/>
  <c r="AR599" i="1"/>
  <c r="AT599" i="1"/>
  <c r="AR600" i="1"/>
  <c r="AT600" i="1"/>
  <c r="AR601" i="1"/>
  <c r="AT601" i="1"/>
  <c r="AR602" i="1"/>
  <c r="AT602" i="1"/>
  <c r="AR603" i="1"/>
  <c r="AT603" i="1"/>
  <c r="AR604" i="1"/>
  <c r="AT604" i="1"/>
  <c r="AR605" i="1"/>
  <c r="AT605" i="1"/>
  <c r="AR606" i="1"/>
  <c r="AT606" i="1"/>
  <c r="AR607" i="1"/>
  <c r="AT607" i="1"/>
  <c r="AR608" i="1"/>
  <c r="AT608" i="1"/>
  <c r="AR609" i="1"/>
  <c r="AT609" i="1"/>
  <c r="AR610" i="1"/>
  <c r="AT610" i="1"/>
  <c r="AR611" i="1"/>
  <c r="AT611" i="1"/>
  <c r="AR612" i="1"/>
  <c r="AT612" i="1"/>
  <c r="AR613" i="1"/>
  <c r="AT613" i="1"/>
  <c r="AR614" i="1"/>
  <c r="AT614" i="1"/>
  <c r="AR615" i="1"/>
  <c r="AT615" i="1"/>
  <c r="AR616" i="1"/>
  <c r="AT616" i="1"/>
  <c r="AR617" i="1"/>
  <c r="AT617" i="1"/>
  <c r="AR618" i="1"/>
  <c r="AT618" i="1"/>
  <c r="AR619" i="1"/>
  <c r="AT619" i="1"/>
  <c r="AR620" i="1"/>
  <c r="AT620" i="1"/>
  <c r="AR621" i="1"/>
  <c r="AT621" i="1"/>
  <c r="AR622" i="1"/>
  <c r="AT622" i="1"/>
  <c r="AR623" i="1"/>
  <c r="AT623" i="1"/>
  <c r="AR624" i="1"/>
  <c r="AT624" i="1"/>
  <c r="AR625" i="1"/>
  <c r="AT625" i="1"/>
  <c r="AR626" i="1"/>
  <c r="AT626" i="1"/>
  <c r="AR627" i="1"/>
  <c r="AT627" i="1"/>
  <c r="AR628" i="1"/>
  <c r="AT628" i="1"/>
  <c r="AR629" i="1"/>
  <c r="AT629" i="1"/>
  <c r="AR630" i="1"/>
  <c r="AT630" i="1"/>
  <c r="AR631" i="1"/>
  <c r="AT631" i="1"/>
  <c r="AR632" i="1"/>
  <c r="AT632" i="1"/>
  <c r="AR633" i="1"/>
  <c r="AT633" i="1"/>
  <c r="AR634" i="1"/>
  <c r="AT634" i="1"/>
  <c r="AR635" i="1"/>
  <c r="AT635" i="1"/>
  <c r="AR636" i="1"/>
  <c r="AT636" i="1"/>
  <c r="AR637" i="1"/>
  <c r="AT637" i="1"/>
  <c r="AR638" i="1"/>
  <c r="AT638" i="1"/>
  <c r="AR639" i="1"/>
  <c r="AT639" i="1"/>
  <c r="AR640" i="1"/>
  <c r="AT640" i="1"/>
  <c r="AR641" i="1"/>
  <c r="AT641" i="1"/>
  <c r="AR642" i="1"/>
  <c r="AT642" i="1"/>
  <c r="AR643" i="1"/>
  <c r="AT643" i="1"/>
  <c r="AR644" i="1"/>
  <c r="AT644" i="1"/>
  <c r="AR645" i="1"/>
  <c r="AT645" i="1"/>
  <c r="AR646" i="1"/>
  <c r="AT646" i="1"/>
  <c r="AR647" i="1"/>
  <c r="AT647" i="1"/>
  <c r="AR648" i="1"/>
  <c r="AT648" i="1"/>
  <c r="AR649" i="1"/>
  <c r="AT649" i="1"/>
  <c r="AR650" i="1"/>
  <c r="AT650" i="1"/>
  <c r="AR651" i="1"/>
  <c r="AT651" i="1"/>
  <c r="AR652" i="1"/>
  <c r="AT652" i="1"/>
  <c r="AR653" i="1"/>
  <c r="AT653" i="1"/>
  <c r="AR654" i="1"/>
  <c r="AT654" i="1"/>
  <c r="AR655" i="1"/>
  <c r="AT655" i="1"/>
  <c r="AR656" i="1"/>
  <c r="AT656" i="1"/>
  <c r="AR657" i="1"/>
  <c r="AT657" i="1"/>
  <c r="AR658" i="1"/>
  <c r="AT658" i="1"/>
  <c r="AR659" i="1"/>
  <c r="AT659" i="1"/>
  <c r="AR660" i="1"/>
  <c r="AT660" i="1"/>
  <c r="AR661" i="1"/>
  <c r="AT661" i="1"/>
  <c r="AR662" i="1"/>
  <c r="AT662" i="1"/>
  <c r="AR663" i="1"/>
  <c r="AT663" i="1"/>
  <c r="AR664" i="1"/>
  <c r="AT664" i="1"/>
  <c r="AR665" i="1"/>
  <c r="AT665" i="1"/>
  <c r="AR666" i="1"/>
  <c r="AT666" i="1"/>
  <c r="AR667" i="1"/>
  <c r="AT667" i="1"/>
  <c r="AR668" i="1"/>
  <c r="AT668" i="1"/>
  <c r="AR669" i="1"/>
  <c r="AT669" i="1"/>
  <c r="AR670" i="1"/>
  <c r="AT670" i="1"/>
  <c r="AR671" i="1"/>
  <c r="AT671" i="1"/>
  <c r="AR672" i="1"/>
  <c r="AT672" i="1"/>
  <c r="AR673" i="1"/>
  <c r="AT673" i="1"/>
  <c r="AR674" i="1"/>
  <c r="AT674" i="1"/>
  <c r="AR675" i="1"/>
  <c r="AT675" i="1"/>
  <c r="AR676" i="1"/>
  <c r="AT676" i="1"/>
  <c r="AR677" i="1"/>
  <c r="AT677" i="1"/>
  <c r="AR678" i="1"/>
  <c r="AT678" i="1"/>
  <c r="AR679" i="1"/>
  <c r="AT679" i="1"/>
  <c r="AR680" i="1"/>
  <c r="AT680" i="1"/>
  <c r="AR681" i="1"/>
  <c r="AT681" i="1"/>
  <c r="AR682" i="1"/>
  <c r="AT682" i="1"/>
  <c r="AR683" i="1"/>
  <c r="AT683" i="1"/>
  <c r="AR684" i="1"/>
  <c r="AT684" i="1"/>
  <c r="AR685" i="1"/>
  <c r="AT685" i="1"/>
  <c r="AR686" i="1"/>
  <c r="AT686" i="1"/>
  <c r="AR687" i="1"/>
  <c r="AT687" i="1"/>
  <c r="AR688" i="1"/>
  <c r="AT688" i="1"/>
  <c r="AR689" i="1"/>
  <c r="AT689" i="1"/>
  <c r="AR690" i="1"/>
  <c r="AT690" i="1"/>
  <c r="AR691" i="1"/>
  <c r="AT691" i="1"/>
  <c r="AR692" i="1"/>
  <c r="AT692" i="1"/>
  <c r="AR693" i="1"/>
  <c r="AT693" i="1"/>
  <c r="AR694" i="1"/>
  <c r="AT694" i="1"/>
  <c r="AR695" i="1"/>
  <c r="AT695" i="1"/>
  <c r="AR696" i="1"/>
  <c r="AT696" i="1"/>
  <c r="AR697" i="1"/>
  <c r="AT697" i="1"/>
  <c r="AR698" i="1"/>
  <c r="AT698" i="1"/>
  <c r="AR699" i="1"/>
  <c r="AT699" i="1"/>
  <c r="AR700" i="1"/>
  <c r="AT700" i="1"/>
  <c r="AR701" i="1"/>
  <c r="AT701" i="1"/>
  <c r="AR702" i="1"/>
  <c r="AT702" i="1"/>
  <c r="AR703" i="1"/>
  <c r="AT703" i="1"/>
  <c r="AR704" i="1"/>
  <c r="AT704" i="1"/>
  <c r="AR705" i="1"/>
  <c r="AT705" i="1"/>
  <c r="AR706" i="1"/>
  <c r="AT706" i="1"/>
  <c r="AR707" i="1"/>
  <c r="AT707" i="1"/>
  <c r="AR708" i="1"/>
  <c r="AT708" i="1"/>
  <c r="AR709" i="1"/>
  <c r="AT709" i="1"/>
  <c r="AR710" i="1"/>
  <c r="AT710" i="1"/>
  <c r="AR711" i="1"/>
  <c r="AT711" i="1"/>
  <c r="AR712" i="1"/>
  <c r="AT712" i="1"/>
  <c r="AR713" i="1"/>
  <c r="AT713" i="1"/>
  <c r="AR714" i="1"/>
  <c r="AT714" i="1"/>
  <c r="AR715" i="1"/>
  <c r="AT715" i="1"/>
  <c r="AR716" i="1"/>
  <c r="AT716" i="1"/>
  <c r="AR717" i="1"/>
  <c r="AT717" i="1"/>
  <c r="AR718" i="1"/>
  <c r="AT718" i="1"/>
  <c r="AR719" i="1"/>
  <c r="AT719" i="1"/>
  <c r="AR720" i="1"/>
  <c r="AT720" i="1"/>
  <c r="AR721" i="1"/>
  <c r="AT721" i="1"/>
  <c r="AR722" i="1"/>
  <c r="AT722" i="1"/>
  <c r="AR723" i="1"/>
  <c r="AT723" i="1"/>
  <c r="AR724" i="1"/>
  <c r="AT724" i="1"/>
  <c r="AR725" i="1"/>
  <c r="AT725" i="1"/>
  <c r="AR726" i="1"/>
  <c r="AT726" i="1"/>
  <c r="AR727" i="1"/>
  <c r="AT727" i="1"/>
  <c r="AR728" i="1"/>
  <c r="AT728" i="1"/>
  <c r="AR729" i="1"/>
  <c r="AT729" i="1"/>
  <c r="AR730" i="1"/>
  <c r="AT730" i="1"/>
  <c r="AR731" i="1"/>
  <c r="AT731" i="1"/>
  <c r="AR732" i="1"/>
  <c r="AT732" i="1"/>
  <c r="AR733" i="1"/>
  <c r="AT733" i="1"/>
  <c r="AR734" i="1"/>
  <c r="AT734" i="1"/>
  <c r="AR735" i="1"/>
  <c r="AT735" i="1"/>
  <c r="AR736" i="1"/>
  <c r="AT736" i="1"/>
  <c r="AR737" i="1"/>
  <c r="AT737" i="1"/>
  <c r="AR738" i="1"/>
  <c r="AT738" i="1"/>
  <c r="AR739" i="1"/>
  <c r="AT739" i="1"/>
  <c r="AR740" i="1"/>
  <c r="AT740" i="1"/>
  <c r="AR741" i="1"/>
  <c r="AT741" i="1"/>
  <c r="AR742" i="1"/>
  <c r="AT742" i="1"/>
  <c r="AR743" i="1"/>
  <c r="AT743" i="1"/>
  <c r="AR744" i="1"/>
  <c r="AT744" i="1"/>
  <c r="AR745" i="1"/>
  <c r="AT745" i="1"/>
  <c r="AR746" i="1"/>
  <c r="AT746" i="1"/>
  <c r="AR747" i="1"/>
  <c r="AT747" i="1"/>
  <c r="AR748" i="1"/>
  <c r="AT748" i="1"/>
  <c r="AR749" i="1"/>
  <c r="AT749" i="1"/>
  <c r="AR750" i="1"/>
  <c r="AT750" i="1"/>
  <c r="AR751" i="1"/>
  <c r="AT751" i="1"/>
  <c r="AR752" i="1"/>
  <c r="AT752" i="1"/>
  <c r="AR753" i="1"/>
  <c r="AT753" i="1"/>
  <c r="AR754" i="1"/>
  <c r="AT754" i="1"/>
  <c r="AR755" i="1"/>
  <c r="AT755" i="1"/>
  <c r="AR756" i="1"/>
  <c r="AT756" i="1"/>
  <c r="AR757" i="1"/>
  <c r="AT757" i="1"/>
  <c r="AR758" i="1"/>
  <c r="AT758" i="1"/>
  <c r="AR759" i="1"/>
  <c r="AT759" i="1"/>
  <c r="AR760" i="1"/>
  <c r="AT760" i="1"/>
  <c r="AR761" i="1"/>
  <c r="AT761" i="1"/>
  <c r="AR762" i="1"/>
  <c r="AT762" i="1"/>
  <c r="AR763" i="1"/>
  <c r="AT763" i="1"/>
  <c r="AR764" i="1"/>
  <c r="AT764" i="1"/>
  <c r="AR765" i="1"/>
  <c r="AT765" i="1"/>
  <c r="AR766" i="1"/>
  <c r="AT766" i="1"/>
  <c r="AR767" i="1"/>
  <c r="AT767" i="1"/>
  <c r="AR768" i="1"/>
  <c r="AT768" i="1"/>
  <c r="AR769" i="1"/>
  <c r="AT769" i="1"/>
  <c r="AR770" i="1"/>
  <c r="AT770" i="1"/>
  <c r="AR771" i="1"/>
  <c r="AT771" i="1"/>
  <c r="AR772" i="1"/>
  <c r="AT772" i="1"/>
  <c r="AR773" i="1"/>
  <c r="AT773" i="1"/>
  <c r="AR774" i="1"/>
  <c r="AT774" i="1"/>
  <c r="AR775" i="1"/>
  <c r="AT775" i="1"/>
  <c r="AR776" i="1"/>
  <c r="AT776" i="1"/>
  <c r="AR777" i="1"/>
  <c r="AT777" i="1"/>
  <c r="AR778" i="1"/>
  <c r="AT778" i="1"/>
  <c r="AR779" i="1"/>
  <c r="AT779" i="1"/>
  <c r="AR780" i="1"/>
  <c r="AT780" i="1"/>
  <c r="AR781" i="1"/>
  <c r="AT781" i="1"/>
  <c r="AR782" i="1"/>
  <c r="AT782" i="1"/>
  <c r="AR783" i="1"/>
  <c r="AT783" i="1"/>
  <c r="AR784" i="1"/>
  <c r="AT784" i="1"/>
  <c r="AR785" i="1"/>
  <c r="AT785" i="1"/>
  <c r="AR786" i="1"/>
  <c r="AT786" i="1"/>
  <c r="AR787" i="1"/>
  <c r="AT787" i="1"/>
  <c r="AR788" i="1"/>
  <c r="AT788" i="1"/>
  <c r="AR789" i="1"/>
  <c r="AT789" i="1"/>
  <c r="AR790" i="1"/>
  <c r="AT790" i="1"/>
  <c r="AR791" i="1"/>
  <c r="AT791" i="1"/>
  <c r="AR792" i="1"/>
  <c r="AT792" i="1"/>
  <c r="AR793" i="1"/>
  <c r="AT793" i="1"/>
  <c r="AR794" i="1"/>
  <c r="AT794" i="1"/>
  <c r="AR795" i="1"/>
  <c r="AT795" i="1"/>
  <c r="AR796" i="1"/>
  <c r="AT796" i="1"/>
  <c r="AR797" i="1"/>
  <c r="AT797" i="1"/>
  <c r="AR798" i="1"/>
  <c r="AT798" i="1"/>
  <c r="AR799" i="1"/>
  <c r="AT799" i="1"/>
  <c r="AR800" i="1"/>
  <c r="AT800" i="1"/>
  <c r="AR801" i="1"/>
  <c r="AT801" i="1"/>
  <c r="AR802" i="1"/>
  <c r="AT802" i="1"/>
  <c r="AR803" i="1"/>
  <c r="AT803" i="1"/>
  <c r="AR804" i="1"/>
  <c r="AT804" i="1"/>
  <c r="AR805" i="1"/>
  <c r="AT805" i="1"/>
  <c r="AR806" i="1"/>
  <c r="AT806" i="1"/>
  <c r="AR807" i="1"/>
  <c r="AT807" i="1"/>
  <c r="AR808" i="1"/>
  <c r="AT808" i="1"/>
  <c r="AR809" i="1"/>
  <c r="AT809" i="1"/>
  <c r="AR810" i="1"/>
  <c r="AT810" i="1"/>
  <c r="AR811" i="1"/>
  <c r="AT811" i="1"/>
  <c r="AR812" i="1"/>
  <c r="AT812" i="1"/>
  <c r="AR813" i="1"/>
  <c r="AT813" i="1"/>
  <c r="AR814" i="1"/>
  <c r="AT814" i="1"/>
  <c r="AR815" i="1"/>
  <c r="AT815" i="1"/>
  <c r="AR816" i="1"/>
  <c r="AT816" i="1"/>
  <c r="AR817" i="1"/>
  <c r="AT817" i="1"/>
  <c r="AR818" i="1"/>
  <c r="AT818" i="1"/>
  <c r="AR819" i="1"/>
  <c r="AT819" i="1"/>
  <c r="AR820" i="1"/>
  <c r="AT820" i="1"/>
  <c r="AT821" i="1"/>
  <c r="AT822" i="1"/>
  <c r="AR823" i="1"/>
  <c r="AT823" i="1"/>
  <c r="AR824" i="1"/>
  <c r="AT824" i="1"/>
  <c r="AR825" i="1"/>
  <c r="AT825" i="1"/>
  <c r="AR826" i="1"/>
  <c r="AT826" i="1"/>
  <c r="AR827" i="1"/>
  <c r="AT827" i="1"/>
  <c r="AR828" i="1"/>
  <c r="AT828" i="1"/>
  <c r="AR829" i="1"/>
  <c r="AT829" i="1"/>
  <c r="AR830" i="1"/>
  <c r="AT830" i="1"/>
  <c r="AR831" i="1"/>
  <c r="AT831" i="1"/>
  <c r="AR832" i="1"/>
  <c r="AT832" i="1"/>
  <c r="AR833" i="1"/>
  <c r="AT833" i="1"/>
  <c r="AR834" i="1"/>
  <c r="AT834" i="1"/>
  <c r="AR835" i="1"/>
  <c r="AT835" i="1"/>
  <c r="AR836" i="1"/>
  <c r="AT836" i="1"/>
  <c r="AR837" i="1"/>
  <c r="AT837" i="1"/>
  <c r="AR838" i="1"/>
  <c r="AT838" i="1"/>
  <c r="AR839" i="1"/>
  <c r="AT839" i="1"/>
  <c r="AR840" i="1"/>
  <c r="AT840" i="1"/>
  <c r="AR841" i="1"/>
  <c r="AT841" i="1"/>
  <c r="AR842" i="1"/>
  <c r="AT842" i="1"/>
  <c r="AR843" i="1"/>
  <c r="AT843" i="1"/>
  <c r="AR844" i="1"/>
  <c r="AT844" i="1"/>
  <c r="AR845" i="1"/>
  <c r="AT845" i="1"/>
  <c r="AR846" i="1"/>
  <c r="AT846" i="1"/>
  <c r="AR847" i="1"/>
  <c r="AT847" i="1"/>
  <c r="AR848" i="1"/>
  <c r="AT848" i="1"/>
  <c r="AR849" i="1"/>
  <c r="AT849" i="1"/>
  <c r="AR850" i="1"/>
  <c r="AT850" i="1"/>
  <c r="AR851" i="1"/>
  <c r="AT851" i="1"/>
  <c r="AR852" i="1"/>
  <c r="AT852" i="1"/>
  <c r="AR853" i="1"/>
  <c r="AT853" i="1"/>
  <c r="AR854" i="1"/>
  <c r="AT854" i="1"/>
  <c r="AR855" i="1"/>
  <c r="AT855" i="1"/>
  <c r="AR856" i="1"/>
  <c r="AT856" i="1"/>
  <c r="AR857" i="1"/>
  <c r="AT857" i="1"/>
  <c r="AR858" i="1"/>
  <c r="AT858" i="1"/>
  <c r="AR859" i="1"/>
  <c r="AT859" i="1"/>
  <c r="AR860" i="1"/>
  <c r="AT860" i="1"/>
  <c r="AR861" i="1"/>
  <c r="AT861" i="1"/>
  <c r="AR862" i="1"/>
  <c r="AT862" i="1"/>
  <c r="AR863" i="1"/>
  <c r="AT863" i="1"/>
  <c r="AR864" i="1"/>
  <c r="AT864" i="1"/>
  <c r="AR865" i="1"/>
  <c r="AT865" i="1"/>
  <c r="AR866" i="1"/>
  <c r="AT866" i="1"/>
  <c r="AR867" i="1"/>
  <c r="AT867" i="1"/>
  <c r="AR868" i="1"/>
  <c r="AT868" i="1"/>
  <c r="AR869" i="1"/>
  <c r="AT869" i="1"/>
  <c r="AR870" i="1"/>
  <c r="AT870" i="1"/>
  <c r="AR871" i="1"/>
  <c r="AT871" i="1"/>
  <c r="AR872" i="1"/>
  <c r="AT872" i="1"/>
  <c r="AR873" i="1"/>
  <c r="AT873" i="1"/>
  <c r="AR874" i="1"/>
  <c r="AT874" i="1"/>
  <c r="AR875" i="1"/>
  <c r="AT875" i="1"/>
  <c r="AR876" i="1"/>
  <c r="AT876" i="1"/>
  <c r="AR877" i="1"/>
  <c r="AT877" i="1"/>
  <c r="AR878" i="1"/>
  <c r="AT878" i="1"/>
  <c r="AR879" i="1"/>
  <c r="AT879" i="1"/>
  <c r="AR880" i="1"/>
  <c r="AT880" i="1"/>
  <c r="AR881" i="1"/>
  <c r="AT881" i="1"/>
  <c r="AR882" i="1"/>
  <c r="AT882" i="1"/>
  <c r="AR883" i="1"/>
  <c r="AT883" i="1"/>
  <c r="AR884" i="1"/>
  <c r="AT884" i="1"/>
  <c r="AR885" i="1"/>
  <c r="AT885" i="1"/>
  <c r="AR886" i="1"/>
  <c r="AT886" i="1"/>
  <c r="AR887" i="1"/>
  <c r="AT887" i="1"/>
  <c r="AR888" i="1"/>
  <c r="AT888" i="1"/>
  <c r="AR889" i="1"/>
  <c r="AT889" i="1"/>
  <c r="AR890" i="1"/>
  <c r="AT890" i="1"/>
  <c r="AR891" i="1"/>
  <c r="AT891" i="1"/>
  <c r="AR892" i="1"/>
  <c r="AT892" i="1"/>
  <c r="AR893" i="1"/>
  <c r="AT893" i="1"/>
  <c r="AR894" i="1"/>
  <c r="AT894" i="1"/>
  <c r="AR895" i="1"/>
  <c r="AT895" i="1"/>
  <c r="AR896" i="1"/>
  <c r="AT896" i="1"/>
  <c r="AR897" i="1"/>
  <c r="AT897" i="1"/>
  <c r="AR898" i="1"/>
  <c r="AT898" i="1"/>
  <c r="AR899" i="1"/>
  <c r="AT899" i="1"/>
  <c r="AR900" i="1"/>
  <c r="AT900" i="1"/>
  <c r="AR901" i="1"/>
  <c r="AT901" i="1"/>
  <c r="AR902" i="1"/>
  <c r="AT902" i="1"/>
  <c r="AR903" i="1"/>
  <c r="AT903" i="1"/>
  <c r="AR904" i="1"/>
  <c r="AT904" i="1"/>
  <c r="AR905" i="1"/>
  <c r="AT905" i="1"/>
  <c r="AR906" i="1"/>
  <c r="AT906" i="1"/>
  <c r="AR907" i="1"/>
  <c r="AT907" i="1"/>
  <c r="AR908" i="1"/>
  <c r="AT908" i="1"/>
  <c r="AR909" i="1"/>
  <c r="AT909" i="1"/>
  <c r="AR910" i="1"/>
  <c r="AT910" i="1"/>
  <c r="AR911" i="1"/>
  <c r="AT911" i="1"/>
  <c r="AR912" i="1"/>
  <c r="AT912" i="1"/>
  <c r="AR913" i="1"/>
  <c r="AT913" i="1"/>
  <c r="AR914" i="1"/>
  <c r="AT914" i="1"/>
  <c r="AR915" i="1"/>
  <c r="AT915" i="1"/>
  <c r="AR916" i="1"/>
  <c r="AT916" i="1"/>
  <c r="AR917" i="1"/>
  <c r="AT917" i="1"/>
  <c r="AR918" i="1"/>
  <c r="AT918" i="1"/>
  <c r="AR919" i="1"/>
  <c r="AT919" i="1"/>
  <c r="AR920" i="1"/>
  <c r="AT920" i="1"/>
  <c r="AR921" i="1"/>
  <c r="AT921" i="1"/>
  <c r="AR922" i="1"/>
  <c r="AT922" i="1"/>
  <c r="AR923" i="1"/>
  <c r="AT923" i="1"/>
  <c r="AR924" i="1"/>
  <c r="AT924" i="1"/>
  <c r="AR925" i="1"/>
  <c r="AT925" i="1"/>
  <c r="AR926" i="1"/>
  <c r="AT926" i="1"/>
  <c r="AR927" i="1"/>
  <c r="AT927" i="1"/>
  <c r="AR928" i="1"/>
  <c r="AT928" i="1"/>
  <c r="AR929" i="1"/>
  <c r="AT929" i="1"/>
  <c r="AR930" i="1"/>
  <c r="AT930" i="1"/>
  <c r="AR931" i="1"/>
  <c r="AT931" i="1"/>
  <c r="AR932" i="1"/>
  <c r="AT932" i="1"/>
  <c r="AR933" i="1"/>
  <c r="AT933" i="1"/>
  <c r="AR934" i="1"/>
  <c r="AT934" i="1"/>
  <c r="AR935" i="1"/>
  <c r="AT935" i="1"/>
  <c r="AR936" i="1"/>
  <c r="AT936" i="1"/>
  <c r="AR937" i="1"/>
  <c r="AT937" i="1"/>
  <c r="AR938" i="1"/>
  <c r="AT938" i="1"/>
  <c r="AR939" i="1"/>
  <c r="AT939" i="1"/>
  <c r="AR940" i="1"/>
  <c r="AT940" i="1"/>
  <c r="AR941" i="1"/>
  <c r="AT941" i="1"/>
  <c r="AR942" i="1"/>
  <c r="AT942" i="1"/>
  <c r="AR943" i="1"/>
  <c r="AT943" i="1"/>
  <c r="AR944" i="1"/>
  <c r="AT944" i="1"/>
  <c r="AR945" i="1"/>
  <c r="AT945" i="1"/>
  <c r="AR946" i="1"/>
  <c r="AT946" i="1"/>
  <c r="AR947" i="1"/>
  <c r="AT947" i="1"/>
  <c r="AR948" i="1"/>
  <c r="AT948" i="1"/>
  <c r="AR949" i="1"/>
  <c r="AT949" i="1"/>
  <c r="AR950" i="1"/>
  <c r="AT950" i="1"/>
  <c r="AR951" i="1"/>
  <c r="AT951" i="1"/>
  <c r="AR952" i="1"/>
  <c r="AT952" i="1"/>
  <c r="AR953" i="1"/>
  <c r="AT953" i="1"/>
  <c r="AR954" i="1"/>
  <c r="AT954" i="1"/>
  <c r="AR955" i="1"/>
  <c r="AT955" i="1"/>
  <c r="AR956" i="1"/>
  <c r="AT956" i="1"/>
  <c r="AR957" i="1"/>
  <c r="AT957" i="1"/>
  <c r="AR958" i="1"/>
  <c r="AT958" i="1"/>
  <c r="AR959" i="1"/>
  <c r="AT959" i="1"/>
  <c r="AR960" i="1"/>
  <c r="AT960" i="1"/>
  <c r="AR961" i="1"/>
  <c r="AT961" i="1"/>
  <c r="AR962" i="1"/>
  <c r="AT962" i="1"/>
  <c r="AR963" i="1"/>
  <c r="AT963" i="1"/>
  <c r="AR964" i="1"/>
  <c r="AT964" i="1"/>
  <c r="AR965" i="1"/>
  <c r="AT965" i="1"/>
  <c r="AR966" i="1"/>
  <c r="AT966" i="1"/>
  <c r="AR967" i="1"/>
  <c r="AT967" i="1"/>
  <c r="AR968" i="1"/>
  <c r="AT968" i="1"/>
  <c r="AR969" i="1"/>
  <c r="AT969" i="1"/>
  <c r="AR970" i="1"/>
  <c r="AT970" i="1"/>
  <c r="AR971" i="1"/>
  <c r="AT971" i="1"/>
  <c r="AR972" i="1"/>
  <c r="AT972" i="1"/>
  <c r="AR973" i="1"/>
  <c r="AT973" i="1"/>
  <c r="AR974" i="1"/>
  <c r="AT974" i="1"/>
  <c r="AR975" i="1"/>
  <c r="AT975" i="1"/>
  <c r="AR976" i="1"/>
  <c r="AT976" i="1"/>
  <c r="AR977" i="1"/>
  <c r="AT977" i="1"/>
  <c r="AR978" i="1"/>
  <c r="AT978" i="1"/>
  <c r="AR979" i="1"/>
  <c r="AT979" i="1"/>
  <c r="AR980" i="1"/>
  <c r="AT980" i="1"/>
  <c r="AR981" i="1"/>
  <c r="AT981" i="1"/>
  <c r="AR982" i="1"/>
  <c r="AT982" i="1"/>
  <c r="AR983" i="1"/>
  <c r="AT983" i="1"/>
  <c r="AR984" i="1"/>
  <c r="AT984" i="1"/>
  <c r="AR985" i="1"/>
  <c r="AT985" i="1"/>
  <c r="AR986" i="1"/>
  <c r="AT986" i="1"/>
  <c r="AR987" i="1"/>
  <c r="AT987" i="1"/>
  <c r="AR988" i="1"/>
  <c r="AT988" i="1"/>
  <c r="AR989" i="1"/>
  <c r="AT989" i="1"/>
  <c r="AR990" i="1"/>
  <c r="AT990" i="1"/>
  <c r="AR991" i="1"/>
  <c r="AT991" i="1"/>
  <c r="AR992" i="1"/>
  <c r="AT992" i="1"/>
  <c r="AR993" i="1"/>
  <c r="AT993" i="1"/>
  <c r="AR994" i="1"/>
  <c r="AT994" i="1"/>
  <c r="AR995" i="1"/>
  <c r="AT995" i="1"/>
  <c r="AR996" i="1"/>
  <c r="AT996" i="1"/>
  <c r="AR997" i="1"/>
  <c r="AT997" i="1"/>
  <c r="AR998" i="1"/>
  <c r="AT998" i="1"/>
  <c r="AR999" i="1"/>
  <c r="AT999" i="1"/>
  <c r="AR1000" i="1"/>
  <c r="AT1000" i="1"/>
  <c r="AR1001" i="1"/>
  <c r="AT1001" i="1"/>
  <c r="AR1002" i="1"/>
  <c r="AT1002" i="1"/>
  <c r="AR1003" i="1"/>
  <c r="AT1003" i="1"/>
  <c r="AR1004" i="1"/>
  <c r="AT1004" i="1"/>
  <c r="AR1005" i="1"/>
  <c r="AT1005" i="1"/>
  <c r="AR1006" i="1"/>
  <c r="AT1006" i="1"/>
  <c r="AR1007" i="1"/>
  <c r="AT1007" i="1"/>
  <c r="AR1008" i="1"/>
  <c r="AT1008" i="1"/>
  <c r="AR1009" i="1"/>
  <c r="AT1009" i="1"/>
  <c r="AR1010" i="1"/>
  <c r="AT1010" i="1"/>
  <c r="AR1011" i="1"/>
  <c r="AT1011" i="1"/>
  <c r="AR1012" i="1"/>
  <c r="AT1012" i="1"/>
  <c r="AR1013" i="1"/>
  <c r="AT1013" i="1"/>
  <c r="AR1014" i="1"/>
  <c r="AT1014" i="1"/>
  <c r="AR1015" i="1"/>
  <c r="AT1015" i="1"/>
  <c r="AR1016" i="1"/>
  <c r="AT1016" i="1"/>
  <c r="AR1017" i="1"/>
  <c r="AT1017" i="1"/>
  <c r="AR1018" i="1"/>
  <c r="AT1018" i="1"/>
  <c r="AR1019" i="1"/>
  <c r="AT1019" i="1"/>
  <c r="AR1020" i="1"/>
  <c r="AT1020" i="1"/>
  <c r="AR1021" i="1"/>
  <c r="AT1021" i="1"/>
  <c r="AR1022" i="1"/>
  <c r="AT1022" i="1"/>
  <c r="AR1023" i="1"/>
  <c r="AT1023" i="1"/>
  <c r="AR1024" i="1"/>
  <c r="AT1024" i="1"/>
  <c r="AR1025" i="1"/>
  <c r="AT1025" i="1"/>
  <c r="AR1026" i="1"/>
  <c r="AT1026" i="1"/>
  <c r="AR1027" i="1"/>
  <c r="AT1027" i="1"/>
  <c r="AR1028" i="1"/>
  <c r="AT1028" i="1"/>
  <c r="AR1029" i="1"/>
  <c r="AT1029" i="1"/>
  <c r="AR1030" i="1"/>
  <c r="AT1030" i="1"/>
  <c r="AR1031" i="1"/>
  <c r="AT1031" i="1"/>
  <c r="AR1032" i="1"/>
  <c r="AT1032" i="1"/>
  <c r="AR1033" i="1"/>
  <c r="AT1033" i="1"/>
  <c r="AR1034" i="1"/>
  <c r="AT1034" i="1"/>
  <c r="AR1035" i="1"/>
  <c r="AT1035" i="1"/>
  <c r="AR1036" i="1"/>
  <c r="AT1036" i="1"/>
  <c r="AR1037" i="1"/>
  <c r="AT1037" i="1"/>
  <c r="AR1038" i="1"/>
  <c r="AT1038" i="1"/>
  <c r="AR1039" i="1"/>
  <c r="AT1039" i="1"/>
  <c r="AR1040" i="1"/>
  <c r="AT1040" i="1"/>
  <c r="AR1041" i="1"/>
  <c r="AT1041" i="1"/>
  <c r="AR1042" i="1"/>
  <c r="AT1042" i="1"/>
  <c r="AR1043" i="1"/>
  <c r="AT1043" i="1"/>
  <c r="AR1044" i="1"/>
  <c r="AT1044" i="1"/>
  <c r="AR1045" i="1"/>
  <c r="AT1045" i="1"/>
  <c r="AR1046" i="1"/>
  <c r="AT1046" i="1"/>
  <c r="AR1047" i="1"/>
  <c r="AT1047" i="1"/>
  <c r="AR1048" i="1"/>
  <c r="AT1048" i="1"/>
  <c r="AR1049" i="1"/>
  <c r="AT1049" i="1"/>
  <c r="AR1050" i="1"/>
  <c r="AT1050" i="1"/>
  <c r="AR1051" i="1"/>
  <c r="AT1051" i="1"/>
  <c r="AR1052" i="1"/>
  <c r="AT1052" i="1"/>
  <c r="AR1053" i="1"/>
  <c r="AT1053" i="1"/>
  <c r="AR1054" i="1"/>
  <c r="AT1054" i="1"/>
  <c r="AR1055" i="1"/>
  <c r="AT1055" i="1"/>
  <c r="AR1056" i="1"/>
  <c r="AT1056" i="1"/>
  <c r="AR1057" i="1"/>
  <c r="AT1057" i="1"/>
  <c r="AR1058" i="1"/>
  <c r="AT1058" i="1"/>
  <c r="AR1059" i="1"/>
  <c r="AT1059" i="1"/>
  <c r="AR1060" i="1"/>
  <c r="AT1060" i="1"/>
  <c r="AR1061" i="1"/>
  <c r="AT1061" i="1"/>
  <c r="AR1062" i="1"/>
  <c r="AT1062" i="1"/>
  <c r="AR1063" i="1"/>
  <c r="AT1063" i="1"/>
  <c r="AR1064" i="1"/>
  <c r="AT1064" i="1"/>
  <c r="AR1065" i="1"/>
  <c r="AT1065" i="1"/>
  <c r="AR1066" i="1"/>
  <c r="AT1066" i="1"/>
  <c r="AR1067" i="1"/>
  <c r="AT1067" i="1"/>
  <c r="AR1068" i="1"/>
  <c r="AT1068" i="1"/>
  <c r="AR1069" i="1"/>
  <c r="AT1069" i="1"/>
  <c r="AR1070" i="1"/>
  <c r="AT1070" i="1"/>
  <c r="AR1071" i="1"/>
  <c r="AT1071" i="1"/>
  <c r="AR1072" i="1"/>
  <c r="AT1072" i="1"/>
  <c r="AR1073" i="1"/>
  <c r="AT1073" i="1"/>
  <c r="AR1074" i="1"/>
  <c r="AT1074" i="1"/>
  <c r="AR1075" i="1"/>
  <c r="AT1075" i="1"/>
  <c r="AR1076" i="1"/>
  <c r="AT1076" i="1"/>
  <c r="AR1077" i="1"/>
  <c r="AT1077" i="1"/>
  <c r="AR1078" i="1"/>
  <c r="AT1078" i="1"/>
  <c r="AR1079" i="1"/>
  <c r="AT1079" i="1"/>
  <c r="AR1080" i="1"/>
  <c r="AT1080" i="1"/>
  <c r="AR1081" i="1"/>
  <c r="AT1081" i="1"/>
  <c r="AR1082" i="1"/>
  <c r="AT1082" i="1"/>
  <c r="AR1083" i="1"/>
  <c r="AT1083" i="1"/>
  <c r="AR1084" i="1"/>
  <c r="AT1084" i="1"/>
  <c r="AR1085" i="1"/>
  <c r="AT1085" i="1"/>
  <c r="AR1086" i="1"/>
  <c r="AT1086" i="1"/>
  <c r="AR1087" i="1"/>
  <c r="AT1087" i="1"/>
  <c r="AR1088" i="1"/>
  <c r="AT1088" i="1"/>
  <c r="AR1089" i="1"/>
  <c r="AT1089" i="1"/>
  <c r="AR1090" i="1"/>
  <c r="AT1090" i="1"/>
  <c r="AR1091" i="1"/>
  <c r="AT1091" i="1"/>
  <c r="AR1092" i="1"/>
  <c r="AT1092" i="1"/>
  <c r="AR1093" i="1"/>
  <c r="AT1093" i="1"/>
  <c r="AR1094" i="1"/>
  <c r="AT1094" i="1"/>
  <c r="AR1095" i="1"/>
  <c r="AT1095" i="1"/>
  <c r="AR1096" i="1"/>
  <c r="AT1096" i="1"/>
  <c r="AR1097" i="1"/>
  <c r="AT1097" i="1"/>
  <c r="AR1098" i="1"/>
  <c r="AT1098" i="1"/>
  <c r="AR1099" i="1"/>
  <c r="AT1099" i="1"/>
  <c r="AR1100" i="1"/>
  <c r="AT1100" i="1"/>
  <c r="AR1101" i="1"/>
  <c r="AT1101" i="1"/>
  <c r="AR1102" i="1"/>
  <c r="AT1102" i="1"/>
  <c r="AR1103" i="1"/>
  <c r="AT1103" i="1"/>
  <c r="AR1104" i="1"/>
  <c r="AT1104" i="1"/>
  <c r="AR1105" i="1"/>
  <c r="AT1105" i="1"/>
  <c r="AR1106" i="1"/>
  <c r="AT1106" i="1"/>
  <c r="AR1107" i="1"/>
  <c r="AT1107" i="1"/>
  <c r="AR1108" i="1"/>
  <c r="AT1108" i="1"/>
  <c r="AR1109" i="1"/>
  <c r="AT1109" i="1"/>
  <c r="AR1110" i="1"/>
  <c r="AT1110" i="1"/>
  <c r="AR1111" i="1"/>
  <c r="AT1111" i="1"/>
  <c r="AR1112" i="1"/>
  <c r="AT1112" i="1"/>
  <c r="AR1113" i="1"/>
  <c r="AT1113" i="1"/>
  <c r="AR1114" i="1"/>
  <c r="AT1114" i="1"/>
  <c r="AR1115" i="1"/>
  <c r="AT1115" i="1"/>
  <c r="AR1116" i="1"/>
  <c r="AT1116" i="1"/>
  <c r="AR1117" i="1"/>
  <c r="AT1117" i="1"/>
  <c r="AR1118" i="1"/>
  <c r="AT1118" i="1"/>
  <c r="AR1119" i="1"/>
  <c r="AT1119" i="1"/>
  <c r="AR1120" i="1"/>
  <c r="AT1120" i="1"/>
  <c r="AR1121" i="1"/>
  <c r="AT1121" i="1"/>
  <c r="AR1122" i="1"/>
  <c r="AT1122" i="1"/>
  <c r="AR1123" i="1"/>
  <c r="AT1123" i="1"/>
  <c r="AR1124" i="1"/>
  <c r="AT1124" i="1"/>
  <c r="AR1125" i="1"/>
  <c r="AT1125" i="1"/>
  <c r="AR1126" i="1"/>
  <c r="AT1126" i="1"/>
  <c r="AR1127" i="1"/>
  <c r="AT1127" i="1"/>
  <c r="AR1128" i="1"/>
  <c r="AT1128" i="1"/>
  <c r="AR1129" i="1"/>
  <c r="AT1129" i="1"/>
  <c r="AR1130" i="1"/>
  <c r="AT1130" i="1"/>
  <c r="AR1131" i="1"/>
  <c r="AT1131" i="1"/>
  <c r="AR1132" i="1"/>
  <c r="AT1132" i="1"/>
  <c r="AR1133" i="1"/>
  <c r="AT1133" i="1"/>
  <c r="AR1134" i="1"/>
  <c r="AT1134" i="1"/>
  <c r="AR1135" i="1"/>
  <c r="AT1135" i="1"/>
  <c r="AR1136" i="1"/>
  <c r="AT1136" i="1"/>
  <c r="AR1137" i="1"/>
  <c r="AT1137" i="1"/>
  <c r="AR1138" i="1"/>
  <c r="AT1138" i="1"/>
  <c r="AR1139" i="1"/>
  <c r="AT1139" i="1"/>
  <c r="AR1140" i="1"/>
  <c r="AT1140" i="1"/>
  <c r="AR1141" i="1"/>
  <c r="AT1141" i="1"/>
  <c r="AR1142" i="1"/>
  <c r="AT1142" i="1"/>
  <c r="AR1143" i="1"/>
  <c r="AT1143" i="1"/>
  <c r="AR1144" i="1"/>
  <c r="AT1144" i="1"/>
  <c r="AR1145" i="1"/>
  <c r="AT1145" i="1"/>
  <c r="AR1146" i="1"/>
  <c r="AT1146" i="1"/>
  <c r="AR1147" i="1"/>
  <c r="AT1147" i="1"/>
  <c r="AR1148" i="1"/>
  <c r="AT1148" i="1"/>
  <c r="AR1149" i="1"/>
  <c r="AT1149" i="1"/>
  <c r="AR1150" i="1"/>
  <c r="AT1150" i="1"/>
  <c r="AR1151" i="1"/>
  <c r="AT1151" i="1"/>
  <c r="AR1152" i="1"/>
  <c r="AT1152" i="1"/>
  <c r="AR1153" i="1"/>
  <c r="AT1153" i="1"/>
  <c r="AR1154" i="1"/>
  <c r="AT1154" i="1"/>
  <c r="AR1155" i="1"/>
  <c r="AT1155" i="1"/>
  <c r="AR1156" i="1"/>
  <c r="AT1156" i="1"/>
  <c r="AR1157" i="1"/>
  <c r="AT1157" i="1"/>
  <c r="AR1158" i="1"/>
  <c r="AT1158" i="1"/>
  <c r="AR1159" i="1"/>
  <c r="AT1159" i="1"/>
  <c r="AR1160" i="1"/>
  <c r="AT1160" i="1"/>
  <c r="AR1161" i="1"/>
  <c r="AT1161" i="1"/>
  <c r="AR1162" i="1"/>
  <c r="AT1162" i="1"/>
  <c r="AR1163" i="1"/>
  <c r="AT1163" i="1"/>
  <c r="AR1164" i="1"/>
  <c r="AT1164" i="1"/>
  <c r="AR1165" i="1"/>
  <c r="AT1165" i="1"/>
  <c r="AR1166" i="1"/>
  <c r="AT1166" i="1"/>
  <c r="AR1167" i="1"/>
  <c r="AT1167" i="1"/>
  <c r="AR1168" i="1"/>
  <c r="AT1168" i="1"/>
  <c r="AR1169" i="1"/>
  <c r="AT1169" i="1"/>
  <c r="AR1170" i="1"/>
  <c r="AT1170" i="1"/>
  <c r="AR1171" i="1"/>
  <c r="AT1171" i="1"/>
  <c r="AR1172" i="1"/>
  <c r="AT1172" i="1"/>
  <c r="AR1173" i="1"/>
  <c r="AT1173" i="1"/>
  <c r="AR1174" i="1"/>
  <c r="AT1174" i="1"/>
  <c r="AR1175" i="1"/>
  <c r="AT1175" i="1"/>
  <c r="AR1176" i="1"/>
  <c r="AT1176" i="1"/>
  <c r="AR1177" i="1"/>
  <c r="AT1177" i="1"/>
  <c r="AR1178" i="1"/>
  <c r="AT1178" i="1"/>
  <c r="AR1179" i="1"/>
  <c r="AT1179" i="1"/>
  <c r="AR1180" i="1"/>
  <c r="AT1180" i="1"/>
  <c r="AR1181" i="1"/>
  <c r="AT1181" i="1"/>
  <c r="AR1182" i="1"/>
  <c r="AT1182" i="1"/>
  <c r="AR1183" i="1"/>
  <c r="AT1183" i="1"/>
  <c r="AR1184" i="1"/>
  <c r="AT1184" i="1"/>
  <c r="AR1185" i="1"/>
  <c r="AT1185" i="1"/>
  <c r="AR1186" i="1"/>
  <c r="AT1186" i="1"/>
  <c r="AR1187" i="1"/>
  <c r="AT1187" i="1"/>
  <c r="AR1188" i="1"/>
  <c r="AT1188" i="1"/>
  <c r="AR1189" i="1"/>
  <c r="AT1189" i="1"/>
  <c r="AR1190" i="1"/>
  <c r="AT1190" i="1"/>
  <c r="AR1191" i="1"/>
  <c r="AT1191" i="1"/>
  <c r="AR1192" i="1"/>
  <c r="AT1192" i="1"/>
  <c r="AR1193" i="1"/>
  <c r="AT1193" i="1"/>
  <c r="AR1194" i="1"/>
  <c r="AT1194" i="1"/>
  <c r="AR1195" i="1"/>
  <c r="AT1195" i="1"/>
  <c r="AR1196" i="1"/>
  <c r="AT1196" i="1"/>
  <c r="AR1197" i="1"/>
  <c r="AT1197" i="1"/>
  <c r="AR1198" i="1"/>
  <c r="AT1198" i="1"/>
  <c r="AR1199" i="1"/>
  <c r="AT1199" i="1"/>
  <c r="AR1200" i="1"/>
  <c r="AT1200" i="1"/>
  <c r="AR1201" i="1"/>
  <c r="AT1201" i="1"/>
  <c r="AR1202" i="1"/>
  <c r="AT1202" i="1"/>
  <c r="AR1203" i="1"/>
  <c r="AT1203" i="1"/>
  <c r="AR1204" i="1"/>
  <c r="AT1204" i="1"/>
  <c r="AR1205" i="1"/>
  <c r="AT1205" i="1"/>
  <c r="AR1206" i="1"/>
  <c r="AT1206" i="1"/>
  <c r="AR1207" i="1"/>
  <c r="AT1207" i="1"/>
  <c r="AR1208" i="1"/>
  <c r="AT1208" i="1"/>
  <c r="AR1209" i="1"/>
  <c r="AT1209" i="1"/>
  <c r="AR1210" i="1"/>
  <c r="AT1210" i="1"/>
  <c r="AR1211" i="1"/>
  <c r="AT1211" i="1"/>
  <c r="AR1212" i="1"/>
  <c r="AT1212" i="1"/>
  <c r="AR1213" i="1"/>
  <c r="AT1213" i="1"/>
  <c r="AR1214" i="1"/>
  <c r="AT1214" i="1"/>
  <c r="AR1215" i="1"/>
  <c r="AT1215" i="1"/>
  <c r="AR1216" i="1"/>
  <c r="AT1216" i="1"/>
  <c r="AR1217" i="1"/>
  <c r="AT1217" i="1"/>
  <c r="AR1218" i="1"/>
  <c r="AT1218" i="1"/>
  <c r="AR1219" i="1"/>
  <c r="AT1219" i="1"/>
  <c r="AR1220" i="1"/>
  <c r="AT1220" i="1"/>
  <c r="AR1221" i="1"/>
  <c r="AT1221" i="1"/>
  <c r="AR1222" i="1"/>
  <c r="AT1222" i="1"/>
  <c r="AR1223" i="1"/>
  <c r="AT1223" i="1"/>
  <c r="AR1224" i="1"/>
  <c r="AT1224" i="1"/>
  <c r="AR1225" i="1"/>
  <c r="AT1225" i="1"/>
  <c r="AR1226" i="1"/>
  <c r="AT1226" i="1"/>
  <c r="AR1227" i="1"/>
  <c r="AT1227" i="1"/>
  <c r="AR1228" i="1"/>
  <c r="AT1228" i="1"/>
  <c r="AR1229" i="1"/>
  <c r="AT1229" i="1"/>
  <c r="AR1230" i="1"/>
  <c r="AT1230" i="1"/>
  <c r="AR1231" i="1"/>
  <c r="AT1231" i="1"/>
  <c r="AR1232" i="1"/>
  <c r="AT1232" i="1"/>
  <c r="AR1233" i="1"/>
  <c r="AT1233" i="1"/>
  <c r="AR1234" i="1"/>
  <c r="AT1234" i="1"/>
  <c r="AR1235" i="1"/>
  <c r="AT1235" i="1"/>
  <c r="AR1236" i="1"/>
  <c r="AT1236" i="1"/>
  <c r="AR1237" i="1"/>
  <c r="AT1237" i="1"/>
  <c r="AR1238" i="1"/>
  <c r="AT1238" i="1"/>
  <c r="AR1239" i="1"/>
  <c r="AT1239" i="1"/>
  <c r="AR1240" i="1"/>
  <c r="AT1240" i="1"/>
  <c r="AR1241" i="1"/>
  <c r="AT1241" i="1"/>
  <c r="AR1242" i="1"/>
  <c r="AT1242" i="1"/>
  <c r="AR1243" i="1"/>
  <c r="AT1243" i="1"/>
  <c r="AR1244" i="1"/>
  <c r="AT1244" i="1"/>
  <c r="AR1245" i="1"/>
  <c r="AT1245" i="1"/>
  <c r="AR1246" i="1"/>
  <c r="AT1246" i="1"/>
  <c r="AR1247" i="1"/>
  <c r="AT1247" i="1"/>
  <c r="AR1248" i="1"/>
  <c r="AT1248" i="1"/>
  <c r="AR1249" i="1"/>
  <c r="AT1249" i="1"/>
  <c r="AR1250" i="1"/>
  <c r="AT1250" i="1"/>
  <c r="AR1251" i="1"/>
  <c r="AT1251" i="1"/>
  <c r="AR1252" i="1"/>
  <c r="AT1252" i="1"/>
  <c r="AR1253" i="1"/>
  <c r="AT1253" i="1"/>
  <c r="AR1254" i="1"/>
  <c r="AT1254" i="1"/>
  <c r="AR1255" i="1"/>
  <c r="AT1255" i="1"/>
  <c r="AR1256" i="1"/>
  <c r="AT1256" i="1"/>
  <c r="AR1257" i="1"/>
  <c r="AT1257" i="1"/>
  <c r="AR1258" i="1"/>
  <c r="AT1258" i="1"/>
  <c r="AR1259" i="1"/>
  <c r="AT1259" i="1"/>
  <c r="AR1260" i="1"/>
  <c r="AT1260" i="1"/>
  <c r="AR1261" i="1"/>
  <c r="AT1261" i="1"/>
  <c r="AR1262" i="1"/>
  <c r="AT1262" i="1"/>
  <c r="AR1263" i="1"/>
  <c r="AT1263" i="1"/>
  <c r="AR1264" i="1"/>
  <c r="AT1264" i="1"/>
  <c r="AR1265" i="1"/>
  <c r="AT1265" i="1"/>
  <c r="AR1266" i="1"/>
  <c r="AT1266" i="1"/>
  <c r="AR1267" i="1"/>
  <c r="AT1267" i="1"/>
  <c r="AR1268" i="1"/>
  <c r="AT1268" i="1"/>
  <c r="AR1269" i="1"/>
  <c r="AT1269" i="1"/>
  <c r="AR1270" i="1"/>
  <c r="AT1270" i="1"/>
  <c r="AR1271" i="1"/>
  <c r="AT1271" i="1"/>
  <c r="AR1272" i="1"/>
  <c r="AT1272" i="1"/>
  <c r="AR1273" i="1"/>
  <c r="AT1273" i="1"/>
  <c r="AR1274" i="1"/>
  <c r="AT1274" i="1"/>
  <c r="AR1275" i="1"/>
  <c r="AT1275" i="1"/>
  <c r="AR1276" i="1"/>
  <c r="AT1276" i="1"/>
  <c r="AR1277" i="1"/>
  <c r="AT1277" i="1"/>
  <c r="AR1278" i="1"/>
  <c r="AT1278" i="1"/>
  <c r="AR1279" i="1"/>
  <c r="AT1279" i="1"/>
  <c r="AR1280" i="1"/>
  <c r="AT1280" i="1"/>
  <c r="AR1281" i="1"/>
  <c r="AT1281" i="1"/>
  <c r="AR1282" i="1"/>
  <c r="AT1282" i="1"/>
  <c r="AR1283" i="1"/>
  <c r="AT1283" i="1"/>
  <c r="AR1284" i="1"/>
  <c r="AT1284" i="1"/>
  <c r="AR1285" i="1"/>
  <c r="AT1285" i="1"/>
  <c r="AR1286" i="1"/>
  <c r="AT1286" i="1"/>
  <c r="AR1287" i="1"/>
  <c r="AT1287" i="1"/>
  <c r="AR1288" i="1"/>
  <c r="AT1288" i="1"/>
  <c r="AR1289" i="1"/>
  <c r="AT1289" i="1"/>
  <c r="AR1290" i="1"/>
  <c r="AT1290" i="1"/>
  <c r="AR1291" i="1"/>
  <c r="AT1291" i="1"/>
  <c r="AR1292" i="1"/>
  <c r="AT1292" i="1"/>
  <c r="AR1293" i="1"/>
  <c r="AT1293" i="1"/>
  <c r="AR1294" i="1"/>
  <c r="AT1294" i="1"/>
  <c r="AR1295" i="1"/>
  <c r="AT1295" i="1"/>
  <c r="AR1296" i="1"/>
  <c r="AT1296" i="1"/>
  <c r="AR1297" i="1"/>
  <c r="AT1297" i="1"/>
  <c r="AR1298" i="1"/>
  <c r="AT1298" i="1"/>
  <c r="AR1299" i="1"/>
  <c r="AT1299" i="1"/>
  <c r="AR1300" i="1"/>
  <c r="AT1300" i="1"/>
  <c r="AR1301" i="1"/>
  <c r="AT1301" i="1"/>
  <c r="AR1302" i="1"/>
  <c r="AT1302" i="1"/>
  <c r="AR1303" i="1"/>
  <c r="AT1303" i="1"/>
  <c r="AR1304" i="1"/>
  <c r="AT1304" i="1"/>
  <c r="AR1305" i="1"/>
  <c r="AT1305" i="1"/>
  <c r="AR1306" i="1"/>
  <c r="AT1306" i="1"/>
  <c r="AR1307" i="1"/>
  <c r="AT1307" i="1"/>
  <c r="AR1308" i="1"/>
  <c r="AT1308" i="1"/>
  <c r="AR1309" i="1"/>
  <c r="AT1309" i="1"/>
  <c r="AR1310" i="1"/>
  <c r="AT1310" i="1"/>
  <c r="AR1311" i="1"/>
  <c r="AT1311" i="1"/>
  <c r="AR1312" i="1"/>
  <c r="AT1312" i="1"/>
  <c r="AR1313" i="1"/>
  <c r="AT1313" i="1"/>
  <c r="AR1314" i="1"/>
  <c r="AT1314" i="1"/>
  <c r="AR1315" i="1"/>
  <c r="AT1315" i="1"/>
  <c r="AR1316" i="1"/>
  <c r="AT1316" i="1"/>
  <c r="AR1317" i="1"/>
  <c r="AT1317" i="1"/>
  <c r="AR1318" i="1"/>
  <c r="AT1318" i="1"/>
  <c r="AR1319" i="1"/>
  <c r="AT1319" i="1"/>
  <c r="AR1320" i="1"/>
  <c r="AT1320" i="1"/>
  <c r="AR1321" i="1"/>
  <c r="AT1321" i="1"/>
  <c r="AR1322" i="1"/>
  <c r="AT1322" i="1"/>
  <c r="AR1323" i="1"/>
  <c r="AT1323" i="1"/>
  <c r="AR1324" i="1"/>
  <c r="AT1324" i="1"/>
  <c r="AR1325" i="1"/>
  <c r="AT1325" i="1"/>
  <c r="AR1326" i="1"/>
  <c r="AT1326" i="1"/>
  <c r="AR1327" i="1"/>
  <c r="AT1327" i="1"/>
  <c r="AR1328" i="1"/>
  <c r="AT1328" i="1"/>
  <c r="AR1329" i="1"/>
  <c r="AT1329" i="1"/>
  <c r="AR1330" i="1"/>
  <c r="AT1330" i="1"/>
  <c r="AR1331" i="1"/>
  <c r="AT1331" i="1"/>
  <c r="AR1332" i="1"/>
  <c r="AT1332" i="1"/>
  <c r="AR1333" i="1"/>
  <c r="AT1333" i="1"/>
  <c r="AR1334" i="1"/>
  <c r="AT1334" i="1"/>
  <c r="AR1335" i="1"/>
  <c r="AT1335" i="1"/>
  <c r="AR1336" i="1"/>
  <c r="AT1336" i="1"/>
  <c r="AR1337" i="1"/>
  <c r="AT1337" i="1"/>
  <c r="AR1338" i="1"/>
  <c r="AT1338" i="1"/>
  <c r="AR1339" i="1"/>
  <c r="AT1339" i="1"/>
  <c r="AR1340" i="1"/>
  <c r="AT1340" i="1"/>
  <c r="AR1341" i="1"/>
  <c r="AT1341" i="1"/>
  <c r="AR1342" i="1"/>
  <c r="AT1342" i="1"/>
  <c r="AR1343" i="1"/>
  <c r="AT1343" i="1"/>
  <c r="AR1344" i="1"/>
  <c r="AT1344" i="1"/>
  <c r="AR1345" i="1"/>
  <c r="AT1345" i="1"/>
  <c r="AR1346" i="1"/>
  <c r="AT1346" i="1"/>
  <c r="AR1347" i="1"/>
  <c r="AT1347" i="1"/>
  <c r="AR1348" i="1"/>
  <c r="AT1348" i="1"/>
  <c r="AR1349" i="1"/>
  <c r="AT1349" i="1"/>
  <c r="AR1350" i="1"/>
  <c r="AT1350" i="1"/>
  <c r="AR1351" i="1"/>
  <c r="AT1351" i="1"/>
  <c r="AR1352" i="1"/>
  <c r="AT1352" i="1"/>
  <c r="AR1353" i="1"/>
  <c r="AT1353" i="1"/>
  <c r="AR1354" i="1"/>
  <c r="AT1354" i="1"/>
  <c r="AR1355" i="1"/>
  <c r="AT1355" i="1"/>
  <c r="AR1356" i="1"/>
  <c r="AT1356" i="1"/>
  <c r="AR1357" i="1"/>
  <c r="AT1357" i="1"/>
  <c r="AR1358" i="1"/>
  <c r="AT1358" i="1"/>
  <c r="AR1359" i="1"/>
  <c r="AT1359" i="1"/>
  <c r="AR1360" i="1"/>
  <c r="AT1360" i="1"/>
  <c r="AR1361" i="1"/>
  <c r="AT1361" i="1"/>
  <c r="AR1362" i="1"/>
  <c r="AT1362" i="1"/>
  <c r="AR1363" i="1"/>
  <c r="AT1363" i="1"/>
  <c r="AR1364" i="1"/>
  <c r="AT1364" i="1"/>
  <c r="AR1365" i="1"/>
  <c r="AT1365" i="1"/>
  <c r="AR1366" i="1"/>
  <c r="AT1366" i="1"/>
  <c r="AR1367" i="1"/>
  <c r="AT1367" i="1"/>
  <c r="AR1368" i="1"/>
  <c r="AT1368" i="1"/>
  <c r="AR1369" i="1"/>
  <c r="AT1369" i="1"/>
  <c r="AR1370" i="1"/>
  <c r="AT1370" i="1"/>
  <c r="AR1371" i="1"/>
  <c r="AT1371" i="1"/>
  <c r="AR1372" i="1"/>
  <c r="AT1372" i="1"/>
  <c r="AR1373" i="1"/>
  <c r="AT1373" i="1"/>
  <c r="AR1374" i="1"/>
  <c r="AT1374" i="1"/>
  <c r="AR1375" i="1"/>
  <c r="AT1375" i="1"/>
  <c r="AR1376" i="1"/>
  <c r="AT1376" i="1"/>
  <c r="AR1377" i="1"/>
  <c r="AT1377" i="1"/>
  <c r="AR1378" i="1"/>
  <c r="AT1378" i="1"/>
  <c r="AR1379" i="1"/>
  <c r="AT1379" i="1"/>
  <c r="AR1380" i="1"/>
  <c r="AT1380" i="1"/>
  <c r="AR1381" i="1"/>
  <c r="AT1381" i="1"/>
  <c r="AR1382" i="1"/>
  <c r="AT1382" i="1"/>
  <c r="AR1383" i="1"/>
  <c r="AT1383" i="1"/>
  <c r="AR1384" i="1"/>
  <c r="AT1384" i="1"/>
  <c r="AR1385" i="1"/>
  <c r="AT1385" i="1"/>
  <c r="AR1386" i="1"/>
  <c r="AT1386" i="1"/>
  <c r="AR1387" i="1"/>
  <c r="AT1387" i="1"/>
  <c r="AR1388" i="1"/>
  <c r="AT1388" i="1"/>
  <c r="AR1389" i="1"/>
  <c r="AT1389" i="1"/>
  <c r="AR1390" i="1"/>
  <c r="AT1390" i="1"/>
  <c r="AR1391" i="1"/>
  <c r="AT1391" i="1"/>
  <c r="AR1392" i="1"/>
  <c r="AT1392" i="1"/>
  <c r="AR1393" i="1"/>
  <c r="AT1393" i="1"/>
  <c r="AR1394" i="1"/>
  <c r="AT1394" i="1"/>
  <c r="AR1395" i="1"/>
  <c r="AT1395" i="1"/>
  <c r="AR1396" i="1"/>
  <c r="AT1396" i="1"/>
  <c r="AR1397" i="1"/>
  <c r="AT1397" i="1"/>
  <c r="AR1398" i="1"/>
  <c r="AT1398" i="1"/>
  <c r="AR1399" i="1"/>
  <c r="AT1399" i="1"/>
  <c r="AR1400" i="1"/>
  <c r="AT1400" i="1"/>
  <c r="AR1401" i="1"/>
  <c r="AT1401" i="1"/>
  <c r="AR1402" i="1"/>
  <c r="AT1402" i="1"/>
  <c r="AR1403" i="1"/>
  <c r="AT1403" i="1"/>
  <c r="AR1404" i="1"/>
  <c r="AT1404" i="1"/>
  <c r="AR1405" i="1"/>
  <c r="AT1405" i="1"/>
  <c r="AR1406" i="1"/>
  <c r="AT1406" i="1"/>
  <c r="AR1407" i="1"/>
  <c r="AT1407" i="1"/>
  <c r="AR1408" i="1"/>
  <c r="AT1408" i="1"/>
  <c r="AR1409" i="1"/>
  <c r="AT1409" i="1"/>
  <c r="AR1410" i="1"/>
  <c r="AT1410" i="1"/>
  <c r="AR1411" i="1"/>
  <c r="AT1411" i="1"/>
  <c r="AR1412" i="1"/>
  <c r="AT1412" i="1"/>
  <c r="AR1413" i="1"/>
  <c r="AT1413" i="1"/>
  <c r="AR1414" i="1"/>
  <c r="AT1414" i="1"/>
  <c r="AR1415" i="1"/>
  <c r="AT1415" i="1"/>
  <c r="AR1416" i="1"/>
  <c r="AT1416" i="1"/>
  <c r="AR1417" i="1"/>
  <c r="AT1417" i="1"/>
  <c r="AR1418" i="1"/>
  <c r="AT1418" i="1"/>
  <c r="AR1419" i="1"/>
  <c r="AT1419" i="1"/>
  <c r="AR1420" i="1"/>
  <c r="AT1420" i="1"/>
  <c r="AR1421" i="1"/>
  <c r="AT1421" i="1"/>
  <c r="AR1422" i="1"/>
  <c r="AT1422" i="1"/>
  <c r="AR1423" i="1"/>
  <c r="AT1423" i="1"/>
  <c r="AR1424" i="1"/>
  <c r="AT1424" i="1"/>
  <c r="AR1425" i="1"/>
  <c r="AT1425" i="1"/>
  <c r="AR1426" i="1"/>
  <c r="AT1426" i="1"/>
  <c r="AR1427" i="1"/>
  <c r="AT1427" i="1"/>
  <c r="AR1428" i="1"/>
  <c r="AT1428" i="1"/>
  <c r="AR1429" i="1"/>
  <c r="AT1429" i="1"/>
  <c r="AR1430" i="1"/>
  <c r="AT1430" i="1"/>
  <c r="AR1431" i="1"/>
  <c r="AT1431" i="1"/>
  <c r="AR1432" i="1"/>
  <c r="AT1432" i="1"/>
  <c r="AR1433" i="1"/>
  <c r="AT1433" i="1"/>
  <c r="AR1434" i="1"/>
  <c r="AT1434" i="1"/>
  <c r="AR1435" i="1"/>
  <c r="AT1435" i="1"/>
  <c r="AR1436" i="1"/>
  <c r="AT1436" i="1"/>
  <c r="AR1437" i="1"/>
  <c r="AT1437" i="1"/>
  <c r="AR1438" i="1"/>
  <c r="AT1438" i="1"/>
  <c r="AR1439" i="1"/>
  <c r="AT1439" i="1"/>
  <c r="AR1440" i="1"/>
  <c r="AT1440" i="1"/>
  <c r="AR1441" i="1"/>
  <c r="AT1441" i="1"/>
  <c r="AR1442" i="1"/>
  <c r="AT1442" i="1"/>
  <c r="AR1443" i="1"/>
  <c r="AT1443" i="1"/>
  <c r="AR1444" i="1"/>
  <c r="AT1444" i="1"/>
  <c r="AR1445" i="1"/>
  <c r="AT1445" i="1"/>
  <c r="AR1446" i="1"/>
  <c r="AT1446" i="1"/>
  <c r="AR1447" i="1"/>
  <c r="AT1447" i="1"/>
  <c r="AR1448" i="1"/>
  <c r="AT1448" i="1"/>
  <c r="AR1449" i="1"/>
  <c r="AT1449" i="1"/>
  <c r="AR1450" i="1"/>
  <c r="AT1450" i="1"/>
  <c r="AR1451" i="1"/>
  <c r="AT1451" i="1"/>
  <c r="AR1452" i="1"/>
  <c r="AT1452" i="1"/>
  <c r="AR1453" i="1"/>
  <c r="AT1453" i="1"/>
  <c r="AR1454" i="1"/>
  <c r="AT1454" i="1"/>
  <c r="AR1455" i="1"/>
  <c r="AT1455" i="1"/>
  <c r="AR1456" i="1"/>
  <c r="AT1456" i="1"/>
  <c r="AR1457" i="1"/>
  <c r="AT1457" i="1"/>
  <c r="AR1458" i="1"/>
  <c r="AT1458" i="1"/>
  <c r="AR1459" i="1"/>
  <c r="AT1459" i="1"/>
  <c r="AR1460" i="1"/>
  <c r="AT1460" i="1"/>
  <c r="AR1461" i="1"/>
  <c r="AT1461" i="1"/>
  <c r="AR1462" i="1"/>
  <c r="AT1462" i="1"/>
  <c r="AR1463" i="1"/>
  <c r="AT1463" i="1"/>
  <c r="AR1464" i="1"/>
  <c r="AT1464" i="1"/>
  <c r="AR1465" i="1"/>
  <c r="AT1465" i="1"/>
  <c r="AR1466" i="1"/>
  <c r="AT1466" i="1"/>
  <c r="AR1467" i="1"/>
  <c r="AT1467" i="1"/>
  <c r="AR1468" i="1"/>
  <c r="AT1468" i="1"/>
  <c r="AR1469" i="1"/>
  <c r="AT1469" i="1"/>
  <c r="AR1470" i="1"/>
  <c r="AT1470" i="1"/>
  <c r="AR1471" i="1"/>
  <c r="AT1471" i="1"/>
  <c r="AR1472" i="1"/>
  <c r="AT1472" i="1"/>
  <c r="AR1473" i="1"/>
  <c r="AT1473" i="1"/>
  <c r="AR1474" i="1"/>
  <c r="AT1474" i="1"/>
  <c r="AR1475" i="1"/>
  <c r="AT1475" i="1"/>
  <c r="AR1476" i="1"/>
  <c r="AT1476" i="1"/>
  <c r="AR1477" i="1"/>
  <c r="AT1477" i="1"/>
  <c r="AR1478" i="1"/>
  <c r="AT1478" i="1"/>
  <c r="AR1479" i="1"/>
  <c r="AT1479" i="1"/>
  <c r="AR1480" i="1"/>
  <c r="AT1480" i="1"/>
  <c r="AR1481" i="1"/>
  <c r="AT1481" i="1"/>
  <c r="AR1482" i="1"/>
  <c r="AT1482" i="1"/>
  <c r="AR1483" i="1"/>
  <c r="AT1483" i="1"/>
  <c r="AR1484" i="1"/>
  <c r="AT1484" i="1"/>
  <c r="AR1485" i="1"/>
  <c r="AT1485" i="1"/>
  <c r="AR1486" i="1"/>
  <c r="AT1486" i="1"/>
  <c r="AR1487" i="1"/>
  <c r="AT1487" i="1"/>
  <c r="AR1488" i="1"/>
  <c r="AT1488" i="1"/>
  <c r="AR1489" i="1"/>
  <c r="AT1489" i="1"/>
  <c r="AR1490" i="1"/>
  <c r="AT1490" i="1"/>
  <c r="AR1491" i="1"/>
  <c r="AT1491" i="1"/>
  <c r="AR1492" i="1"/>
  <c r="AT1492" i="1"/>
  <c r="AR1493" i="1"/>
  <c r="AT1493" i="1"/>
  <c r="AR1494" i="1"/>
  <c r="AT1494" i="1"/>
  <c r="AR1495" i="1"/>
  <c r="AT1495" i="1"/>
  <c r="AR1496" i="1"/>
  <c r="AT1496" i="1"/>
  <c r="AR1497" i="1"/>
  <c r="AT1497" i="1"/>
  <c r="AR1498" i="1"/>
  <c r="AT1498" i="1"/>
  <c r="AR1499" i="1"/>
  <c r="AT1499" i="1"/>
  <c r="AR1500" i="1"/>
  <c r="AT1500" i="1"/>
  <c r="AR1501" i="1"/>
  <c r="AT1501" i="1"/>
  <c r="AR1502" i="1"/>
  <c r="AT1502" i="1"/>
  <c r="AR1503" i="1"/>
  <c r="AT1503" i="1"/>
  <c r="AR1504" i="1"/>
  <c r="AT1504" i="1"/>
  <c r="AR1505" i="1"/>
  <c r="AT1505" i="1"/>
  <c r="AR1506" i="1"/>
  <c r="AT1506" i="1"/>
  <c r="AR1507" i="1"/>
  <c r="AT1507" i="1"/>
  <c r="AR1508" i="1"/>
  <c r="AT1508" i="1"/>
  <c r="AR1509" i="1"/>
  <c r="AT1509" i="1"/>
  <c r="AR1510" i="1"/>
  <c r="AT1510" i="1"/>
  <c r="AR1511" i="1"/>
  <c r="AT1511" i="1"/>
  <c r="AR1512" i="1"/>
  <c r="AT1512" i="1"/>
  <c r="AR1513" i="1"/>
  <c r="AT1513" i="1"/>
  <c r="AR1514" i="1"/>
  <c r="AT1514" i="1"/>
  <c r="AR1515" i="1"/>
  <c r="AT1515" i="1"/>
  <c r="AR1516" i="1"/>
  <c r="AT1516" i="1"/>
  <c r="AR1517" i="1"/>
  <c r="AT1517" i="1"/>
  <c r="AR1518" i="1"/>
  <c r="AT1518" i="1"/>
  <c r="AR1519" i="1"/>
  <c r="AT1519" i="1"/>
  <c r="AR1520" i="1"/>
  <c r="AT1520" i="1"/>
  <c r="AR1521" i="1"/>
  <c r="AT1521" i="1"/>
  <c r="AR1522" i="1"/>
  <c r="AT1522" i="1"/>
  <c r="AR1523" i="1"/>
  <c r="AT1523" i="1"/>
  <c r="AR1524" i="1"/>
  <c r="AT1524" i="1"/>
  <c r="AR1525" i="1"/>
  <c r="AT1525" i="1"/>
  <c r="AR1526" i="1"/>
  <c r="AT1526" i="1"/>
  <c r="AR1527" i="1"/>
  <c r="AT1527" i="1"/>
  <c r="AR1528" i="1"/>
  <c r="AT1528" i="1"/>
  <c r="AR1529" i="1"/>
  <c r="AT1529" i="1"/>
  <c r="AR1530" i="1"/>
  <c r="AT1530" i="1"/>
  <c r="AR1531" i="1"/>
  <c r="AT1531" i="1"/>
  <c r="AR1532" i="1"/>
  <c r="AT1532" i="1"/>
  <c r="AR1533" i="1"/>
  <c r="AT1533" i="1"/>
  <c r="AR1534" i="1"/>
  <c r="AT1534" i="1"/>
  <c r="AR1535" i="1"/>
  <c r="AT1535" i="1"/>
  <c r="AR1536" i="1"/>
  <c r="AT1536" i="1"/>
  <c r="AR1537" i="1"/>
  <c r="AT1537" i="1"/>
  <c r="AR1538" i="1"/>
  <c r="AT1538" i="1"/>
  <c r="AR1539" i="1"/>
  <c r="AT1539" i="1"/>
  <c r="AR1540" i="1"/>
  <c r="AT1540" i="1"/>
  <c r="AR1541" i="1"/>
  <c r="AT1541" i="1"/>
  <c r="AR1542" i="1"/>
  <c r="AT1542" i="1"/>
  <c r="AR1543" i="1"/>
  <c r="AT1543" i="1"/>
  <c r="AR1544" i="1"/>
  <c r="AT1544" i="1"/>
  <c r="AR1545" i="1"/>
  <c r="AT1545" i="1"/>
  <c r="AR1546" i="1"/>
  <c r="AT1546" i="1"/>
  <c r="AR1547" i="1"/>
  <c r="AT1547" i="1"/>
  <c r="AR1548" i="1"/>
  <c r="AT1548" i="1"/>
  <c r="AR1549" i="1"/>
  <c r="AT1549" i="1"/>
  <c r="AR1550" i="1"/>
  <c r="AT1550" i="1"/>
  <c r="AR1551" i="1"/>
  <c r="AT1551" i="1"/>
  <c r="AR1552" i="1"/>
  <c r="AT1552" i="1"/>
  <c r="AR1553" i="1"/>
  <c r="AT1553" i="1"/>
  <c r="AR1554" i="1"/>
  <c r="AT1554" i="1"/>
  <c r="AR1555" i="1"/>
  <c r="AT1555" i="1"/>
  <c r="AR1556" i="1"/>
  <c r="AT1556" i="1"/>
  <c r="AR1557" i="1"/>
  <c r="AT1557" i="1"/>
  <c r="AR1558" i="1"/>
  <c r="AT1558" i="1"/>
  <c r="AR1559" i="1"/>
  <c r="AT1559" i="1"/>
  <c r="AR1560" i="1"/>
  <c r="AT1560" i="1"/>
  <c r="AR1561" i="1"/>
  <c r="AT1561" i="1"/>
  <c r="AR1562" i="1"/>
  <c r="AT1562" i="1"/>
  <c r="AR1563" i="1"/>
  <c r="AT1563" i="1"/>
  <c r="AR1564" i="1"/>
  <c r="AT1564" i="1"/>
  <c r="AR1565" i="1"/>
  <c r="AT1565" i="1"/>
  <c r="AR1566" i="1"/>
  <c r="AT1566" i="1"/>
  <c r="AR1567" i="1"/>
  <c r="AT1567" i="1"/>
  <c r="AR1568" i="1"/>
  <c r="AT1568" i="1"/>
  <c r="AR1569" i="1"/>
  <c r="AT1569" i="1"/>
  <c r="AR1570" i="1"/>
  <c r="AT1570" i="1"/>
  <c r="AR1571" i="1"/>
  <c r="AT1571" i="1"/>
  <c r="AR1572" i="1"/>
  <c r="AT1572" i="1"/>
  <c r="AR1573" i="1"/>
  <c r="AT1573" i="1"/>
  <c r="AR1574" i="1"/>
  <c r="AT1574" i="1"/>
  <c r="AR1575" i="1"/>
  <c r="AT1575" i="1"/>
  <c r="AR1576" i="1"/>
  <c r="AT1576" i="1"/>
  <c r="AR1577" i="1"/>
  <c r="AT1577" i="1"/>
  <c r="AR1578" i="1"/>
  <c r="AT1578" i="1"/>
  <c r="AR1579" i="1"/>
  <c r="AT1579" i="1"/>
  <c r="AR1580" i="1"/>
  <c r="AT1580" i="1"/>
  <c r="AR1581" i="1"/>
  <c r="AT1581" i="1"/>
  <c r="AR1582" i="1"/>
  <c r="AT1582" i="1"/>
  <c r="AR1583" i="1"/>
  <c r="AT1583" i="1"/>
  <c r="AR1584" i="1"/>
  <c r="AT1584" i="1"/>
  <c r="AR1585" i="1"/>
  <c r="AT1585" i="1"/>
  <c r="AR1586" i="1"/>
  <c r="AT1586" i="1"/>
  <c r="AR1587" i="1"/>
  <c r="AT1587" i="1"/>
  <c r="AR1588" i="1"/>
  <c r="AT1588" i="1"/>
  <c r="AR1589" i="1"/>
  <c r="AT1589" i="1"/>
  <c r="AR1590" i="1"/>
  <c r="AT1590" i="1"/>
  <c r="AR1591" i="1"/>
  <c r="AT1591" i="1"/>
  <c r="AR1592" i="1"/>
  <c r="AT1592" i="1"/>
  <c r="AR1593" i="1"/>
  <c r="AT1593" i="1"/>
  <c r="AR1594" i="1"/>
  <c r="AT1594" i="1"/>
  <c r="AR1595" i="1"/>
  <c r="AT1595" i="1"/>
  <c r="AR1596" i="1"/>
  <c r="AT1596" i="1"/>
  <c r="AR1597" i="1"/>
  <c r="AT1597" i="1"/>
  <c r="AR1598" i="1"/>
  <c r="AT1598" i="1"/>
  <c r="AR1599" i="1"/>
  <c r="AT1599" i="1"/>
  <c r="AR1600" i="1"/>
  <c r="AT1600" i="1"/>
  <c r="AR1601" i="1"/>
  <c r="AT1601" i="1"/>
  <c r="AR1602" i="1"/>
  <c r="AT1602" i="1"/>
  <c r="AR1603" i="1"/>
  <c r="AT1603" i="1"/>
  <c r="AR1604" i="1"/>
  <c r="AT1604" i="1"/>
  <c r="AR1605" i="1"/>
  <c r="AT1605" i="1"/>
  <c r="AR1606" i="1"/>
  <c r="AT1606" i="1"/>
  <c r="AR1607" i="1"/>
  <c r="AT1607" i="1"/>
  <c r="AR1608" i="1"/>
  <c r="AT1608" i="1"/>
  <c r="AR1609" i="1"/>
  <c r="AT1609" i="1"/>
  <c r="AR1610" i="1"/>
  <c r="AT1610" i="1"/>
  <c r="AR1611" i="1"/>
  <c r="AT1611" i="1"/>
  <c r="AR1612" i="1"/>
  <c r="AT1612" i="1"/>
  <c r="AR1613" i="1"/>
  <c r="AT1613" i="1"/>
  <c r="AR1614" i="1"/>
  <c r="AT1614" i="1"/>
  <c r="AR1615" i="1"/>
  <c r="AT1615" i="1"/>
  <c r="AR1616" i="1"/>
  <c r="AT1616" i="1"/>
  <c r="AR1617" i="1"/>
  <c r="AT1617" i="1"/>
  <c r="AR1618" i="1"/>
  <c r="AT1618" i="1"/>
  <c r="AR1619" i="1"/>
  <c r="AT1619" i="1"/>
  <c r="AR1620" i="1"/>
  <c r="AT1620" i="1"/>
  <c r="AR1621" i="1"/>
  <c r="AT1621" i="1"/>
  <c r="AR1622" i="1"/>
  <c r="AT1622" i="1"/>
  <c r="AR1623" i="1"/>
  <c r="AT1623" i="1"/>
  <c r="AR1624" i="1"/>
  <c r="AT1624" i="1"/>
  <c r="AR1625" i="1"/>
  <c r="AT1625" i="1"/>
  <c r="AR1626" i="1"/>
  <c r="AT1626" i="1"/>
  <c r="AR1627" i="1"/>
  <c r="AT1627" i="1"/>
  <c r="AR1628" i="1"/>
  <c r="AT1628" i="1"/>
  <c r="AR1629" i="1"/>
  <c r="AT1629" i="1"/>
  <c r="AR1630" i="1"/>
  <c r="AT1630" i="1"/>
  <c r="AR1631" i="1"/>
  <c r="AT1631" i="1"/>
  <c r="AR1632" i="1"/>
  <c r="AT1632" i="1"/>
  <c r="AR1633" i="1"/>
  <c r="AT1633" i="1"/>
  <c r="AT1634" i="1"/>
  <c r="AT1635" i="1"/>
  <c r="AR1636" i="1"/>
  <c r="AT1636" i="1"/>
  <c r="AR1637" i="1"/>
  <c r="AT1637" i="1"/>
  <c r="AR1638" i="1"/>
  <c r="AT1638" i="1"/>
  <c r="AR1639" i="1"/>
  <c r="AT1639" i="1"/>
  <c r="AR1640" i="1"/>
  <c r="AT1640" i="1"/>
  <c r="AR1641" i="1"/>
  <c r="AT1641" i="1"/>
  <c r="AR1642" i="1"/>
  <c r="AT1642" i="1"/>
  <c r="AR1643" i="1"/>
  <c r="AT1643" i="1"/>
  <c r="AR1644" i="1"/>
  <c r="AT1644" i="1"/>
  <c r="AR1645" i="1"/>
  <c r="AT1645" i="1"/>
  <c r="AR1646" i="1"/>
  <c r="AT1646" i="1"/>
  <c r="AR1647" i="1"/>
  <c r="AT1647" i="1"/>
  <c r="AR1648" i="1"/>
  <c r="AT1648" i="1"/>
  <c r="AR1649" i="1"/>
  <c r="AT1649" i="1"/>
  <c r="AR1650" i="1"/>
  <c r="AT1650" i="1"/>
  <c r="AR1651" i="1"/>
  <c r="AT1651" i="1"/>
  <c r="AR1652" i="1"/>
  <c r="AT1652" i="1"/>
  <c r="AR1653" i="1"/>
  <c r="AT1653" i="1"/>
  <c r="AR1654" i="1"/>
  <c r="AT1654" i="1"/>
  <c r="AR1655" i="1"/>
  <c r="AT1655" i="1"/>
  <c r="AR1656" i="1"/>
  <c r="AT1656" i="1"/>
  <c r="AR1657" i="1"/>
  <c r="AT1657" i="1"/>
  <c r="AR1658" i="1"/>
  <c r="AT1658" i="1"/>
  <c r="AR1659" i="1"/>
  <c r="AT1659" i="1"/>
  <c r="AR1660" i="1"/>
  <c r="AT1660" i="1"/>
  <c r="AR1661" i="1"/>
  <c r="AT1661" i="1"/>
  <c r="AR1662" i="1"/>
  <c r="AT1662" i="1"/>
  <c r="AR1663" i="1"/>
  <c r="AT1663" i="1"/>
  <c r="AR1664" i="1"/>
  <c r="AT1664" i="1"/>
  <c r="AR1665" i="1"/>
  <c r="AT1665" i="1"/>
  <c r="AR1666" i="1"/>
  <c r="AT1666" i="1"/>
  <c r="AR1667" i="1"/>
  <c r="AT1667" i="1"/>
  <c r="AR1668" i="1"/>
  <c r="AT1668" i="1"/>
  <c r="AR1669" i="1"/>
  <c r="AT1669" i="1"/>
  <c r="AR1670" i="1"/>
  <c r="AT1670" i="1"/>
  <c r="AR1671" i="1"/>
  <c r="AT1671" i="1"/>
  <c r="AR1672" i="1"/>
  <c r="AT1672" i="1"/>
  <c r="AR1673" i="1"/>
  <c r="AT1673" i="1"/>
  <c r="AR1674" i="1"/>
  <c r="AT1674" i="1"/>
  <c r="AR1675" i="1"/>
  <c r="AT1675" i="1"/>
  <c r="AR1676" i="1"/>
  <c r="AT1676" i="1"/>
  <c r="AR1677" i="1"/>
  <c r="AT1677" i="1"/>
  <c r="AR1678" i="1"/>
  <c r="AT1678" i="1"/>
  <c r="AR1679" i="1"/>
  <c r="AT1679" i="1"/>
  <c r="AR1680" i="1"/>
  <c r="AT1680" i="1"/>
  <c r="AR1681" i="1"/>
  <c r="AT1681" i="1"/>
  <c r="AR1682" i="1"/>
  <c r="AT1682" i="1"/>
  <c r="AR1683" i="1"/>
  <c r="AT1683" i="1"/>
  <c r="AR1684" i="1"/>
  <c r="AT1684" i="1"/>
  <c r="AR1685" i="1"/>
  <c r="AT1685" i="1"/>
  <c r="AR1686" i="1"/>
  <c r="AT1686" i="1"/>
  <c r="AR1687" i="1"/>
  <c r="AT1687" i="1"/>
  <c r="AR1688" i="1"/>
  <c r="AT1688" i="1"/>
  <c r="AR1689" i="1"/>
  <c r="AT1689" i="1"/>
  <c r="AR1690" i="1"/>
  <c r="AT1690" i="1"/>
  <c r="AR1691" i="1"/>
  <c r="AT1691" i="1"/>
  <c r="AR1692" i="1"/>
  <c r="AT1692" i="1"/>
  <c r="AR1693" i="1"/>
  <c r="AT1693" i="1"/>
  <c r="AR1694" i="1"/>
  <c r="AT1694" i="1"/>
  <c r="AR1695" i="1"/>
  <c r="AT1695" i="1"/>
  <c r="AR1696" i="1"/>
  <c r="AT1696" i="1"/>
  <c r="AR1697" i="1"/>
  <c r="AT1697" i="1"/>
  <c r="AR1698" i="1"/>
  <c r="AT1698" i="1"/>
  <c r="AR1699" i="1"/>
  <c r="AT1699" i="1"/>
  <c r="AR1700" i="1"/>
  <c r="AT1700" i="1"/>
  <c r="AR1701" i="1"/>
  <c r="AT1701" i="1"/>
  <c r="AR1702" i="1"/>
  <c r="AT1702" i="1"/>
  <c r="AR1703" i="1"/>
  <c r="AT1703" i="1"/>
  <c r="AR1704" i="1"/>
  <c r="AT1704" i="1"/>
  <c r="AR1705" i="1"/>
  <c r="AT1705" i="1"/>
  <c r="AR1706" i="1"/>
  <c r="AT1706" i="1"/>
  <c r="AR1707" i="1"/>
  <c r="AT1707" i="1"/>
  <c r="AR1708" i="1"/>
  <c r="AT1708" i="1"/>
  <c r="AR1709" i="1"/>
  <c r="AT1709" i="1"/>
  <c r="AR1710" i="1"/>
  <c r="AT1710" i="1"/>
  <c r="AR1711" i="1"/>
  <c r="AT1711" i="1"/>
  <c r="AR1712" i="1"/>
  <c r="AT1712" i="1"/>
  <c r="AR1713" i="1"/>
  <c r="AT1713" i="1"/>
  <c r="AR1714" i="1"/>
  <c r="AT1714" i="1"/>
  <c r="AR1715" i="1"/>
  <c r="AT1715" i="1"/>
  <c r="AR1716" i="1"/>
  <c r="AT1716" i="1"/>
  <c r="AR1717" i="1"/>
  <c r="AT1717" i="1"/>
  <c r="AR1718" i="1"/>
  <c r="AT1718" i="1"/>
  <c r="AR1719" i="1"/>
  <c r="AT1719" i="1"/>
  <c r="AR1720" i="1"/>
  <c r="AT1720" i="1"/>
  <c r="AR1721" i="1"/>
  <c r="AT1721" i="1"/>
  <c r="AR1722" i="1"/>
  <c r="AT1722" i="1"/>
  <c r="AR1723" i="1"/>
  <c r="AT1723" i="1"/>
  <c r="AR1724" i="1"/>
  <c r="AT1724" i="1"/>
  <c r="AR1725" i="1"/>
  <c r="AT1725" i="1"/>
  <c r="AR1726" i="1"/>
  <c r="AT1726" i="1"/>
  <c r="AR1727" i="1"/>
  <c r="AT1727" i="1"/>
  <c r="AR1728" i="1"/>
  <c r="AT1728" i="1"/>
  <c r="AR1729" i="1"/>
  <c r="AT1729" i="1"/>
  <c r="AR1730" i="1"/>
  <c r="AT1730" i="1"/>
  <c r="AR1731" i="1"/>
  <c r="AT1731" i="1"/>
  <c r="AR1732" i="1"/>
  <c r="AT1732" i="1"/>
  <c r="AR1733" i="1"/>
  <c r="AT1733" i="1"/>
  <c r="AR1734" i="1"/>
  <c r="AT1734" i="1"/>
  <c r="AR1735" i="1"/>
  <c r="AT1735" i="1"/>
  <c r="AR1736" i="1"/>
  <c r="AT1736" i="1"/>
  <c r="AR1737" i="1"/>
  <c r="AT1737" i="1"/>
  <c r="AR1738" i="1"/>
  <c r="AT1738" i="1"/>
  <c r="AR1739" i="1"/>
  <c r="AT1739" i="1"/>
  <c r="AR1740" i="1"/>
  <c r="AT1740" i="1"/>
  <c r="AR1741" i="1"/>
  <c r="AT1741" i="1"/>
  <c r="AR1742" i="1"/>
  <c r="AT1742" i="1"/>
  <c r="AR1743" i="1"/>
  <c r="AT1743" i="1"/>
  <c r="AR1744" i="1"/>
  <c r="AT1744" i="1"/>
  <c r="AR1745" i="1"/>
  <c r="AT1745" i="1"/>
  <c r="AR1746" i="1"/>
  <c r="AT1746" i="1"/>
  <c r="AR1747" i="1"/>
  <c r="AT1747" i="1"/>
  <c r="AR1748" i="1"/>
  <c r="AT1748" i="1"/>
  <c r="AR1749" i="1"/>
  <c r="AT1749" i="1"/>
  <c r="AR1750" i="1"/>
  <c r="AT1750" i="1"/>
  <c r="AR1751" i="1"/>
  <c r="AT1751" i="1"/>
  <c r="AR1752" i="1"/>
  <c r="AT1752" i="1"/>
  <c r="AR1753" i="1"/>
  <c r="AT1753" i="1"/>
  <c r="AR1754" i="1"/>
  <c r="AT1754" i="1"/>
  <c r="AR1755" i="1"/>
  <c r="AT1755" i="1"/>
  <c r="AR1756" i="1"/>
  <c r="AT1756" i="1"/>
  <c r="AR1757" i="1"/>
  <c r="AT1757" i="1"/>
  <c r="AR1758" i="1"/>
  <c r="AT1758" i="1"/>
  <c r="AR1759" i="1"/>
  <c r="AT1759" i="1"/>
  <c r="AR1760" i="1"/>
  <c r="AT1760" i="1"/>
  <c r="AR1761" i="1"/>
  <c r="AT1761" i="1"/>
  <c r="AR1762" i="1"/>
  <c r="AT1762" i="1"/>
  <c r="AR1763" i="1"/>
  <c r="AT1763" i="1"/>
  <c r="AR1764" i="1"/>
  <c r="AT1764" i="1"/>
  <c r="AR1765" i="1"/>
  <c r="AT1765" i="1"/>
  <c r="AR1766" i="1"/>
  <c r="AT1766" i="1"/>
  <c r="AR1767" i="1"/>
  <c r="AT1767" i="1"/>
  <c r="AR1768" i="1"/>
  <c r="AT1768" i="1"/>
  <c r="AR1769" i="1"/>
  <c r="AT1769" i="1"/>
  <c r="AR1770" i="1"/>
  <c r="AT1770" i="1"/>
  <c r="AR1771" i="1"/>
  <c r="AT1771" i="1"/>
  <c r="AR1772" i="1"/>
  <c r="AT1772" i="1"/>
  <c r="AR1773" i="1"/>
  <c r="AT1773" i="1"/>
  <c r="AR1774" i="1"/>
  <c r="AT1774" i="1"/>
  <c r="AR1775" i="1"/>
  <c r="AT1775" i="1"/>
  <c r="AR1776" i="1"/>
  <c r="AT1776" i="1"/>
  <c r="AR1777" i="1"/>
  <c r="AT1777" i="1"/>
  <c r="AR1778" i="1"/>
  <c r="AT1778" i="1"/>
  <c r="AR1779" i="1"/>
  <c r="AT1779" i="1"/>
  <c r="AR1780" i="1"/>
  <c r="AT1780" i="1"/>
  <c r="AR1781" i="1"/>
  <c r="AT1781" i="1"/>
  <c r="AR1782" i="1"/>
  <c r="AT1782" i="1"/>
  <c r="AR1783" i="1"/>
  <c r="AT1783" i="1"/>
  <c r="AR1784" i="1"/>
  <c r="AT1784" i="1"/>
  <c r="AR1785" i="1"/>
  <c r="AT1785" i="1"/>
  <c r="AR1786" i="1"/>
  <c r="AT1786" i="1"/>
  <c r="AR1787" i="1"/>
  <c r="AT1787" i="1"/>
  <c r="AR1788" i="1"/>
  <c r="AT1788" i="1"/>
  <c r="AR1789" i="1"/>
  <c r="AT1789" i="1"/>
  <c r="AR1790" i="1"/>
  <c r="AT1790" i="1"/>
  <c r="AR1791" i="1"/>
  <c r="AT1791" i="1"/>
  <c r="AR1792" i="1"/>
  <c r="AT1792" i="1"/>
  <c r="AR1793" i="1"/>
  <c r="AT1793" i="1"/>
  <c r="AR1794" i="1"/>
  <c r="AT1794" i="1"/>
  <c r="AR1795" i="1"/>
  <c r="AT1795" i="1"/>
  <c r="AR1796" i="1"/>
  <c r="AT1796" i="1"/>
  <c r="AR1797" i="1"/>
  <c r="AT1797" i="1"/>
  <c r="AR1798" i="1"/>
  <c r="AT1798" i="1"/>
  <c r="AR1799" i="1"/>
  <c r="AT1799" i="1"/>
  <c r="AR1800" i="1"/>
  <c r="AT1800" i="1"/>
  <c r="AR1801" i="1"/>
  <c r="AT1801" i="1"/>
  <c r="AR1802" i="1"/>
  <c r="AT1802" i="1"/>
  <c r="AR1803" i="1"/>
  <c r="AT1803" i="1"/>
  <c r="AR1804" i="1"/>
  <c r="AT1804" i="1"/>
  <c r="AR1805" i="1"/>
  <c r="AT1805" i="1"/>
  <c r="AR1806" i="1"/>
  <c r="AT1806" i="1"/>
  <c r="AR1807" i="1"/>
  <c r="AT1807" i="1"/>
  <c r="AR1808" i="1"/>
  <c r="AT1808" i="1"/>
  <c r="AR1809" i="1"/>
  <c r="AT1809" i="1"/>
  <c r="AR1810" i="1"/>
  <c r="AT1810" i="1"/>
  <c r="AR1811" i="1"/>
  <c r="AT1811" i="1"/>
  <c r="AR1812" i="1"/>
  <c r="AT1812" i="1"/>
  <c r="AR1813" i="1"/>
  <c r="AT1813" i="1"/>
  <c r="AR1814" i="1"/>
  <c r="AT1814" i="1"/>
  <c r="AR1815" i="1"/>
  <c r="AT1815" i="1"/>
  <c r="AR1816" i="1"/>
  <c r="AT1816" i="1"/>
  <c r="AR1817" i="1"/>
  <c r="AT1817" i="1"/>
  <c r="AR1818" i="1"/>
  <c r="AT1818" i="1"/>
  <c r="AR1819" i="1"/>
  <c r="AT1819" i="1"/>
  <c r="AR1820" i="1"/>
  <c r="AT1820" i="1"/>
  <c r="AR1821" i="1"/>
  <c r="AT1821" i="1"/>
  <c r="AR1822" i="1"/>
  <c r="AT1822" i="1"/>
  <c r="AR1823" i="1"/>
  <c r="AT1823" i="1"/>
  <c r="AR1824" i="1"/>
  <c r="AT1824" i="1"/>
  <c r="AR1825" i="1"/>
  <c r="AT1825" i="1"/>
  <c r="AR1826" i="1"/>
  <c r="AT1826" i="1"/>
  <c r="AR1827" i="1"/>
  <c r="AT1827" i="1"/>
  <c r="AR1828" i="1"/>
  <c r="AT1828" i="1"/>
  <c r="AR1829" i="1"/>
  <c r="AT1829" i="1"/>
  <c r="AR1830" i="1"/>
  <c r="AT1830" i="1"/>
  <c r="AR1831" i="1"/>
  <c r="AT1831" i="1"/>
  <c r="AR1832" i="1"/>
  <c r="AT1832" i="1"/>
  <c r="AR1833" i="1"/>
  <c r="AT1833" i="1"/>
  <c r="AR1834" i="1"/>
  <c r="AT1834" i="1"/>
  <c r="AR1835" i="1"/>
  <c r="AT1835" i="1"/>
  <c r="AR1836" i="1"/>
  <c r="AT1836" i="1"/>
  <c r="AR1837" i="1"/>
  <c r="AT1837" i="1"/>
  <c r="AR1838" i="1"/>
  <c r="AT1838" i="1"/>
  <c r="AR1839" i="1"/>
  <c r="AT1839" i="1"/>
  <c r="AR1840" i="1"/>
  <c r="AT1840" i="1"/>
  <c r="AR1841" i="1"/>
  <c r="AT1841" i="1"/>
  <c r="AR1842" i="1"/>
  <c r="AT1842" i="1"/>
  <c r="AR1843" i="1"/>
  <c r="AT1843" i="1"/>
  <c r="AR1844" i="1"/>
  <c r="AT1844" i="1"/>
  <c r="AR1845" i="1"/>
  <c r="AT1845" i="1"/>
  <c r="AR1846" i="1"/>
  <c r="AT1846" i="1"/>
  <c r="AR1847" i="1"/>
  <c r="AT1847" i="1"/>
  <c r="AR1848" i="1"/>
  <c r="AT1848" i="1"/>
  <c r="AR1849" i="1"/>
  <c r="AT1849" i="1"/>
  <c r="AR1850" i="1"/>
  <c r="AT1850" i="1"/>
  <c r="AR1851" i="1"/>
  <c r="AT1851" i="1"/>
  <c r="AR1852" i="1"/>
  <c r="AT1852" i="1"/>
  <c r="AR1853" i="1"/>
  <c r="AT1853" i="1"/>
  <c r="AR1854" i="1"/>
  <c r="AT1854" i="1"/>
  <c r="AR1855" i="1"/>
  <c r="AT1855" i="1"/>
  <c r="AR1856" i="1"/>
  <c r="AT1856" i="1"/>
  <c r="AR1857" i="1"/>
  <c r="AT1857" i="1"/>
  <c r="AR1858" i="1"/>
  <c r="AT1858" i="1"/>
  <c r="AR1859" i="1"/>
  <c r="AT1859" i="1"/>
  <c r="AR1860" i="1"/>
  <c r="AT1860" i="1"/>
  <c r="AR1861" i="1"/>
  <c r="AT1861" i="1"/>
  <c r="AR1862" i="1"/>
  <c r="AT1862" i="1"/>
  <c r="AR1863" i="1"/>
  <c r="AT1863" i="1"/>
  <c r="AR1864" i="1"/>
  <c r="AT1864" i="1"/>
  <c r="AR1865" i="1"/>
  <c r="AT1865" i="1"/>
  <c r="AR1866" i="1"/>
  <c r="AT1866" i="1"/>
  <c r="AR1867" i="1"/>
  <c r="AT1867" i="1"/>
  <c r="AR1868" i="1"/>
  <c r="AT1868" i="1"/>
  <c r="AR1869" i="1"/>
  <c r="AT1869" i="1"/>
  <c r="AR1870" i="1"/>
  <c r="AT1870" i="1"/>
  <c r="AR1871" i="1"/>
  <c r="AT1871" i="1"/>
  <c r="AR1872" i="1"/>
  <c r="AT1872" i="1"/>
  <c r="AR1873" i="1"/>
  <c r="AT1873" i="1"/>
  <c r="AR1874" i="1"/>
  <c r="AT1874" i="1"/>
  <c r="AR1875" i="1"/>
  <c r="AT1875" i="1"/>
  <c r="AR1876" i="1"/>
  <c r="AT1876" i="1"/>
  <c r="AR1877" i="1"/>
  <c r="AT1877" i="1"/>
  <c r="AR1878" i="1"/>
  <c r="AT1878" i="1"/>
  <c r="AR1879" i="1"/>
  <c r="AT1879" i="1"/>
  <c r="AR1880" i="1"/>
  <c r="AT1880" i="1"/>
  <c r="AR1881" i="1"/>
  <c r="AT1881" i="1"/>
  <c r="AR1882" i="1"/>
  <c r="AT1882" i="1"/>
  <c r="AR1883" i="1"/>
  <c r="AT1883" i="1"/>
  <c r="AR1884" i="1"/>
  <c r="AT1884" i="1"/>
  <c r="AR1885" i="1"/>
  <c r="AT1885" i="1"/>
  <c r="AR1886" i="1"/>
  <c r="AT1886" i="1"/>
  <c r="AR1887" i="1"/>
  <c r="AT1887" i="1"/>
  <c r="AR1888" i="1"/>
  <c r="AT1888" i="1"/>
  <c r="AR1889" i="1"/>
  <c r="AT1889" i="1"/>
  <c r="AR1890" i="1"/>
  <c r="AT1890" i="1"/>
  <c r="AR1891" i="1"/>
  <c r="AT1891" i="1"/>
  <c r="AR1892" i="1"/>
  <c r="AT1892" i="1"/>
  <c r="AR1893" i="1"/>
  <c r="AT1893" i="1"/>
  <c r="AR1894" i="1"/>
  <c r="AT1894" i="1"/>
  <c r="AR1895" i="1"/>
  <c r="AT1895" i="1"/>
  <c r="AR1896" i="1"/>
  <c r="AT1896" i="1"/>
  <c r="AR1897" i="1"/>
  <c r="AT1897" i="1"/>
  <c r="AR1898" i="1"/>
  <c r="AT1898" i="1"/>
  <c r="AR1899" i="1"/>
  <c r="AT1899" i="1"/>
  <c r="AR1900" i="1"/>
  <c r="AT1900" i="1"/>
  <c r="AR1901" i="1"/>
  <c r="AT1901" i="1"/>
  <c r="AR1902" i="1"/>
  <c r="AT1902" i="1"/>
  <c r="AR1903" i="1"/>
  <c r="AT1903" i="1"/>
  <c r="AR1904" i="1"/>
  <c r="AT1904" i="1"/>
  <c r="AR1905" i="1"/>
  <c r="AT1905" i="1"/>
  <c r="AR1906" i="1"/>
  <c r="AT1906" i="1"/>
  <c r="AR1907" i="1"/>
  <c r="AT1907" i="1"/>
  <c r="AR1908" i="1"/>
  <c r="AT1908" i="1"/>
  <c r="AR1909" i="1"/>
  <c r="AT1909" i="1"/>
  <c r="AR1910" i="1"/>
  <c r="AT1910" i="1"/>
  <c r="AR1911" i="1"/>
  <c r="AT1911" i="1"/>
  <c r="AR1912" i="1"/>
  <c r="AT1912" i="1"/>
  <c r="AR1913" i="1"/>
  <c r="AT1913" i="1"/>
  <c r="AR1914" i="1"/>
  <c r="AT1914" i="1"/>
  <c r="AR1915" i="1"/>
  <c r="AT1915" i="1"/>
  <c r="AR1916" i="1"/>
  <c r="AT1916" i="1"/>
  <c r="AR1917" i="1"/>
  <c r="AT1917" i="1"/>
  <c r="AR1918" i="1"/>
  <c r="AT1918" i="1"/>
  <c r="AR1919" i="1"/>
  <c r="AT1919" i="1"/>
  <c r="AR1920" i="1"/>
  <c r="AT1920" i="1"/>
  <c r="AR1921" i="1"/>
  <c r="AT1921" i="1"/>
  <c r="AR1922" i="1"/>
  <c r="AT1922" i="1"/>
  <c r="AR1923" i="1"/>
  <c r="AT1923" i="1"/>
  <c r="AR1924" i="1"/>
  <c r="AT1924" i="1"/>
  <c r="AR1925" i="1"/>
  <c r="AT1925" i="1"/>
  <c r="AR1926" i="1"/>
  <c r="AT1926" i="1"/>
  <c r="AR1927" i="1"/>
  <c r="AT1927" i="1"/>
  <c r="AR1928" i="1"/>
  <c r="AT1928" i="1"/>
  <c r="AR1929" i="1"/>
  <c r="AT1929" i="1"/>
  <c r="AR1930" i="1"/>
  <c r="AT1930" i="1"/>
  <c r="AR1931" i="1"/>
  <c r="AT1931" i="1"/>
  <c r="AR1932" i="1"/>
  <c r="AT1932" i="1"/>
  <c r="AR1933" i="1"/>
  <c r="AT1933" i="1"/>
  <c r="AR1934" i="1"/>
  <c r="AT1934" i="1"/>
  <c r="AR1935" i="1"/>
  <c r="AT1935" i="1"/>
  <c r="AR1936" i="1"/>
  <c r="AT1936" i="1"/>
  <c r="AR1937" i="1"/>
  <c r="AT1937" i="1"/>
  <c r="AR1938" i="1"/>
  <c r="AT1938" i="1"/>
  <c r="AR1939" i="1"/>
  <c r="AT1939" i="1"/>
  <c r="AR1940" i="1"/>
  <c r="AT1940" i="1"/>
  <c r="AR1941" i="1"/>
  <c r="AT1941" i="1"/>
  <c r="AR1942" i="1"/>
  <c r="AT1942" i="1"/>
  <c r="AR1943" i="1"/>
  <c r="AT1943" i="1"/>
  <c r="AR1944" i="1"/>
  <c r="AT1944" i="1"/>
  <c r="AR1945" i="1"/>
  <c r="AT1945" i="1"/>
  <c r="AR1946" i="1"/>
  <c r="AT1946" i="1"/>
  <c r="AR1947" i="1"/>
  <c r="AT1947" i="1"/>
  <c r="AR1948" i="1"/>
  <c r="AT1948" i="1"/>
  <c r="AR1949" i="1"/>
  <c r="AT1949" i="1"/>
  <c r="AR1950" i="1"/>
  <c r="AT1950" i="1"/>
  <c r="AR1951" i="1"/>
  <c r="AT1951" i="1"/>
  <c r="AR1952" i="1"/>
  <c r="AT1952" i="1"/>
  <c r="AR1953" i="1"/>
  <c r="AT1953" i="1"/>
  <c r="AR1954" i="1"/>
  <c r="AT1954" i="1"/>
  <c r="AR1955" i="1"/>
  <c r="AT1955" i="1"/>
  <c r="AR1956" i="1"/>
  <c r="AT1956" i="1"/>
  <c r="AR1957" i="1"/>
  <c r="AT1957" i="1"/>
  <c r="AR1958" i="1"/>
  <c r="AT1958" i="1"/>
  <c r="AR1959" i="1"/>
  <c r="AT1959" i="1"/>
  <c r="AR1960" i="1"/>
  <c r="AT1960" i="1"/>
  <c r="AR1961" i="1"/>
  <c r="AT1961" i="1"/>
  <c r="AR1962" i="1"/>
  <c r="AT1962" i="1"/>
  <c r="AR1963" i="1"/>
  <c r="AT1963" i="1"/>
  <c r="AR1964" i="1"/>
  <c r="AT1964" i="1"/>
  <c r="AR1965" i="1"/>
  <c r="AT1965" i="1"/>
  <c r="AR1966" i="1"/>
  <c r="AT1966" i="1"/>
  <c r="AR1967" i="1"/>
  <c r="AT1967" i="1"/>
  <c r="AR1968" i="1"/>
  <c r="AT1968" i="1"/>
  <c r="AR1969" i="1"/>
  <c r="AT1969" i="1"/>
  <c r="AR1970" i="1"/>
  <c r="AT1970" i="1"/>
  <c r="AR1971" i="1"/>
  <c r="AT1971" i="1"/>
  <c r="AR1972" i="1"/>
  <c r="AT1972" i="1"/>
  <c r="AR1973" i="1"/>
  <c r="AT1973" i="1"/>
  <c r="AR1974" i="1"/>
  <c r="AT1974" i="1"/>
  <c r="AR1975" i="1"/>
  <c r="AT1975" i="1"/>
  <c r="AR1976" i="1"/>
  <c r="AT1976" i="1"/>
  <c r="AR1977" i="1"/>
  <c r="AT1977" i="1"/>
  <c r="AR1978" i="1"/>
  <c r="AT1978" i="1"/>
  <c r="AR1979" i="1"/>
  <c r="AT1979" i="1"/>
  <c r="AR1980" i="1"/>
  <c r="AT1980" i="1"/>
  <c r="AR1981" i="1"/>
  <c r="AT1981" i="1"/>
  <c r="AR1982" i="1"/>
  <c r="AT1982" i="1"/>
  <c r="AR1983" i="1"/>
  <c r="AT1983" i="1"/>
  <c r="AR1984" i="1"/>
  <c r="AT1984" i="1"/>
  <c r="AR1985" i="1"/>
  <c r="AT1985" i="1"/>
  <c r="AR1986" i="1"/>
  <c r="AT1986" i="1"/>
  <c r="AR1987" i="1"/>
  <c r="AT1987" i="1"/>
  <c r="AR1988" i="1"/>
  <c r="AT1988" i="1"/>
  <c r="AR1989" i="1"/>
  <c r="AT1989" i="1"/>
  <c r="AR1990" i="1"/>
  <c r="AT1990" i="1"/>
  <c r="AR1991" i="1"/>
  <c r="AT1991" i="1"/>
  <c r="AR1992" i="1"/>
  <c r="AT1992" i="1"/>
  <c r="AR1993" i="1"/>
  <c r="AT1993" i="1"/>
  <c r="AR1994" i="1"/>
  <c r="AT1994" i="1"/>
  <c r="AR1995" i="1"/>
  <c r="AT1995" i="1"/>
  <c r="AR1996" i="1"/>
  <c r="AT1996" i="1"/>
  <c r="AR1997" i="1"/>
  <c r="AT1997" i="1"/>
  <c r="AR1998" i="1"/>
  <c r="AT1998" i="1"/>
  <c r="AR1999" i="1"/>
  <c r="AT1999" i="1"/>
  <c r="AR2000" i="1"/>
  <c r="AT2000" i="1"/>
  <c r="AR2001" i="1"/>
  <c r="AT2001" i="1"/>
  <c r="AR2002" i="1"/>
  <c r="AT2002" i="1"/>
  <c r="AR2003" i="1"/>
  <c r="AT2003" i="1"/>
  <c r="AR2004" i="1"/>
  <c r="AT2004" i="1"/>
  <c r="AR2005" i="1"/>
  <c r="AT2005" i="1"/>
  <c r="AR2006" i="1"/>
  <c r="AT2006" i="1"/>
  <c r="AR2007" i="1"/>
  <c r="AT2007" i="1"/>
  <c r="AR2008" i="1"/>
  <c r="AT2008" i="1"/>
  <c r="AR2009" i="1"/>
  <c r="AT2009" i="1"/>
  <c r="AR2010" i="1"/>
  <c r="AT2010" i="1"/>
  <c r="AR2011" i="1"/>
  <c r="AT2011" i="1"/>
  <c r="AR2012" i="1"/>
  <c r="AT2012" i="1"/>
  <c r="AR2013" i="1"/>
  <c r="AT2013" i="1"/>
  <c r="AR2014" i="1"/>
  <c r="AT2014" i="1"/>
  <c r="AR2015" i="1"/>
  <c r="AT2015" i="1"/>
  <c r="AR2016" i="1"/>
  <c r="AT2016" i="1"/>
  <c r="AR2017" i="1"/>
  <c r="AT2017" i="1"/>
  <c r="AR2018" i="1"/>
  <c r="AT2018" i="1"/>
  <c r="AR2019" i="1"/>
  <c r="AT2019" i="1"/>
  <c r="AR2020" i="1"/>
  <c r="AT2020" i="1"/>
  <c r="AR2021" i="1"/>
  <c r="AT2021" i="1"/>
  <c r="AR2022" i="1"/>
  <c r="AT2022" i="1"/>
  <c r="AR2023" i="1"/>
  <c r="AT2023" i="1"/>
  <c r="AR2024" i="1"/>
  <c r="AT2024" i="1"/>
  <c r="AR2025" i="1"/>
  <c r="AT2025" i="1"/>
  <c r="AR2026" i="1"/>
  <c r="AT2026" i="1"/>
  <c r="AR2027" i="1"/>
  <c r="AT2027" i="1"/>
  <c r="AR2028" i="1"/>
  <c r="AT2028" i="1"/>
  <c r="AR2029" i="1"/>
  <c r="AT2029" i="1"/>
  <c r="AR2030" i="1"/>
  <c r="AT2030" i="1"/>
  <c r="AR2031" i="1"/>
  <c r="AT2031" i="1"/>
  <c r="AR2032" i="1"/>
  <c r="AT2032" i="1"/>
  <c r="AR2033" i="1"/>
  <c r="AT2033" i="1"/>
  <c r="AR2034" i="1"/>
  <c r="AT2034" i="1"/>
  <c r="AR2035" i="1"/>
  <c r="AT2035" i="1"/>
  <c r="AR2036" i="1"/>
  <c r="AT2036" i="1"/>
  <c r="AR2037" i="1"/>
  <c r="AT2037" i="1"/>
  <c r="AR2038" i="1"/>
  <c r="AT2038" i="1"/>
  <c r="AR2039" i="1"/>
  <c r="AT2039" i="1"/>
  <c r="AR2040" i="1"/>
  <c r="AT2040" i="1"/>
  <c r="AR2041" i="1"/>
  <c r="AT2041" i="1"/>
  <c r="AR2042" i="1"/>
  <c r="AT2042" i="1"/>
  <c r="AR2043" i="1"/>
  <c r="AT2043" i="1"/>
  <c r="AR2044" i="1"/>
  <c r="AT2044" i="1"/>
  <c r="AR2045" i="1"/>
  <c r="AT2045" i="1"/>
  <c r="AR2046" i="1"/>
  <c r="AT2046" i="1"/>
  <c r="AR2047" i="1"/>
  <c r="AT2047" i="1"/>
  <c r="AR2048" i="1"/>
  <c r="AT2048" i="1"/>
  <c r="AR2049" i="1"/>
  <c r="AT2049" i="1"/>
  <c r="AR2050" i="1"/>
  <c r="AT2050" i="1"/>
  <c r="AR2051" i="1"/>
  <c r="AT2051" i="1"/>
  <c r="AR2052" i="1"/>
  <c r="AT2052" i="1"/>
  <c r="AR2053" i="1"/>
  <c r="AT2053" i="1"/>
  <c r="AR2054" i="1"/>
  <c r="AT2054" i="1"/>
  <c r="AR2055" i="1"/>
  <c r="AT2055" i="1"/>
  <c r="AR2056" i="1"/>
  <c r="AT2056" i="1"/>
  <c r="AR2057" i="1"/>
  <c r="AT2057" i="1"/>
  <c r="AR2058" i="1"/>
  <c r="AT2058" i="1"/>
  <c r="AR2059" i="1"/>
  <c r="AT2059" i="1"/>
  <c r="AR2060" i="1"/>
  <c r="AT2060" i="1"/>
  <c r="AR2061" i="1"/>
  <c r="AT2061" i="1"/>
  <c r="AR2062" i="1"/>
  <c r="AT2062" i="1"/>
  <c r="AR2063" i="1"/>
  <c r="AT2063" i="1"/>
  <c r="AR2064" i="1"/>
  <c r="AT2064" i="1"/>
  <c r="AR2065" i="1"/>
  <c r="AT2065" i="1"/>
  <c r="AR2066" i="1"/>
  <c r="AT2066" i="1"/>
  <c r="AR2067" i="1"/>
  <c r="AT2067" i="1"/>
  <c r="AR2068" i="1"/>
  <c r="AT2068" i="1"/>
  <c r="AR2069" i="1"/>
  <c r="AT2069" i="1"/>
  <c r="AR2070" i="1"/>
  <c r="AT2070" i="1"/>
  <c r="AR2071" i="1"/>
  <c r="AT2071" i="1"/>
  <c r="AR2072" i="1"/>
  <c r="AT2072" i="1"/>
  <c r="AR2073" i="1"/>
  <c r="AT2073" i="1"/>
  <c r="AR2074" i="1"/>
  <c r="AT2074" i="1"/>
  <c r="AR2075" i="1"/>
  <c r="AT2075" i="1"/>
  <c r="AR2076" i="1"/>
  <c r="AT2076" i="1"/>
  <c r="AR2077" i="1"/>
  <c r="AT2077" i="1"/>
  <c r="AR2078" i="1"/>
  <c r="AT2078" i="1"/>
  <c r="AR2079" i="1"/>
  <c r="AT2079" i="1"/>
  <c r="AR2080" i="1"/>
  <c r="AT2080" i="1"/>
  <c r="AR2081" i="1"/>
  <c r="AT2081" i="1"/>
  <c r="AR2082" i="1"/>
  <c r="AT2082" i="1"/>
  <c r="AR2083" i="1"/>
  <c r="AT2083" i="1"/>
  <c r="AR2084" i="1"/>
  <c r="AT2084" i="1"/>
  <c r="AR2085" i="1"/>
  <c r="AT2085" i="1"/>
  <c r="AR2086" i="1"/>
  <c r="AT2086" i="1"/>
  <c r="AR2087" i="1"/>
  <c r="AT2087" i="1"/>
  <c r="AR2088" i="1"/>
  <c r="AT2088" i="1"/>
  <c r="AR2089" i="1"/>
  <c r="AT2089" i="1"/>
  <c r="AR2090" i="1"/>
  <c r="AT2090" i="1"/>
  <c r="AR2091" i="1"/>
  <c r="AT2091" i="1"/>
  <c r="AR2092" i="1"/>
  <c r="AT2092" i="1"/>
  <c r="AR2093" i="1"/>
  <c r="AT2093" i="1"/>
  <c r="AR2094" i="1"/>
  <c r="AT2094" i="1"/>
  <c r="AR2095" i="1"/>
  <c r="AT2095" i="1"/>
  <c r="AR2096" i="1"/>
  <c r="AT2096" i="1"/>
  <c r="AR2097" i="1"/>
  <c r="AT2097" i="1"/>
  <c r="AR2098" i="1"/>
  <c r="AT2098" i="1"/>
  <c r="AR2099" i="1"/>
  <c r="AT2099" i="1"/>
  <c r="AR2100" i="1"/>
  <c r="AT2100" i="1"/>
  <c r="AR2101" i="1"/>
  <c r="AT2101" i="1"/>
  <c r="AR2102" i="1"/>
  <c r="AT2102" i="1"/>
  <c r="AR2103" i="1"/>
  <c r="AT2103" i="1"/>
  <c r="AR2104" i="1"/>
  <c r="AT2104" i="1"/>
  <c r="AR2105" i="1"/>
  <c r="AT2105" i="1"/>
  <c r="AR2106" i="1"/>
  <c r="AT2106" i="1"/>
  <c r="AR2107" i="1"/>
  <c r="AT2107" i="1"/>
  <c r="AR2108" i="1"/>
  <c r="AT2108" i="1"/>
  <c r="AR2109" i="1"/>
  <c r="AT2109" i="1"/>
  <c r="AR2110" i="1"/>
  <c r="AT2110" i="1"/>
  <c r="AR2111" i="1"/>
  <c r="AT2111" i="1"/>
  <c r="AR2112" i="1"/>
  <c r="AT2112" i="1"/>
  <c r="AR2113" i="1"/>
  <c r="AT2113" i="1"/>
  <c r="AR2114" i="1"/>
  <c r="AT2114" i="1"/>
  <c r="AR2115" i="1"/>
  <c r="AT2115" i="1"/>
  <c r="AR2116" i="1"/>
  <c r="AT2116" i="1"/>
  <c r="AR2117" i="1"/>
  <c r="AT2117" i="1"/>
  <c r="AR2118" i="1"/>
  <c r="AT2118" i="1"/>
  <c r="AR2119" i="1"/>
  <c r="AT2119" i="1"/>
  <c r="AR2120" i="1"/>
  <c r="AT2120" i="1"/>
  <c r="AR2121" i="1"/>
  <c r="AT2121" i="1"/>
  <c r="AR2122" i="1"/>
  <c r="AT2122" i="1"/>
  <c r="AR2123" i="1"/>
  <c r="AT2123" i="1"/>
  <c r="AR2124" i="1"/>
  <c r="AT2124" i="1"/>
  <c r="AR2125" i="1"/>
  <c r="AT2125" i="1"/>
  <c r="AR2126" i="1"/>
  <c r="AT2126" i="1"/>
  <c r="AR2127" i="1"/>
  <c r="AT2127" i="1"/>
  <c r="AR2128" i="1"/>
  <c r="AT2128" i="1"/>
  <c r="AR2129" i="1"/>
  <c r="AT2129" i="1"/>
  <c r="AR2130" i="1"/>
  <c r="AT2130" i="1"/>
  <c r="AR2131" i="1"/>
  <c r="AT2131" i="1"/>
  <c r="AR2132" i="1"/>
  <c r="AT2132" i="1"/>
  <c r="AR2133" i="1"/>
  <c r="AT2133" i="1"/>
  <c r="AR2134" i="1"/>
  <c r="AT2134" i="1"/>
  <c r="AR2135" i="1"/>
  <c r="AT2135" i="1"/>
  <c r="AR2136" i="1"/>
  <c r="AT2136" i="1"/>
  <c r="AR2137" i="1"/>
  <c r="AT2137" i="1"/>
  <c r="AR2138" i="1"/>
  <c r="AT2138" i="1"/>
  <c r="AR2139" i="1"/>
  <c r="AT2139" i="1"/>
  <c r="AR2140" i="1"/>
  <c r="AT2140" i="1"/>
  <c r="AR2141" i="1"/>
  <c r="AT2141" i="1"/>
  <c r="AR2142" i="1"/>
  <c r="AT2142" i="1"/>
  <c r="AR2143" i="1"/>
  <c r="AT2143" i="1"/>
  <c r="AR2144" i="1"/>
  <c r="AT2144" i="1"/>
  <c r="AR2145" i="1"/>
  <c r="AT2145" i="1"/>
  <c r="AR2146" i="1"/>
  <c r="AT2146" i="1"/>
  <c r="AR2147" i="1"/>
  <c r="AT2147" i="1"/>
  <c r="AR2148" i="1"/>
  <c r="AT2148" i="1"/>
  <c r="AR2149" i="1"/>
  <c r="AT2149" i="1"/>
  <c r="AR2150" i="1"/>
  <c r="AT2150" i="1"/>
  <c r="AR2151" i="1"/>
  <c r="AT2151" i="1"/>
  <c r="AR2152" i="1"/>
  <c r="AT2152" i="1"/>
  <c r="AR2153" i="1"/>
  <c r="AT2153" i="1"/>
  <c r="AR2154" i="1"/>
  <c r="AT2154" i="1"/>
  <c r="AR2155" i="1"/>
  <c r="AT2155" i="1"/>
  <c r="AR2156" i="1"/>
  <c r="AT2156" i="1"/>
  <c r="AR2157" i="1"/>
  <c r="AT2157" i="1"/>
  <c r="AR2158" i="1"/>
  <c r="AT2158" i="1"/>
  <c r="AR2159" i="1"/>
  <c r="AT2159" i="1"/>
  <c r="AR2160" i="1"/>
  <c r="AT2160" i="1"/>
  <c r="AR2161" i="1"/>
  <c r="AT2161" i="1"/>
  <c r="AR2162" i="1"/>
  <c r="AT2162" i="1"/>
  <c r="AR2163" i="1"/>
  <c r="AT2163" i="1"/>
  <c r="AR2164" i="1"/>
  <c r="AT2164" i="1"/>
  <c r="AR2165" i="1"/>
  <c r="AT2165" i="1"/>
  <c r="AR2166" i="1"/>
  <c r="AT2166" i="1"/>
  <c r="AR2167" i="1"/>
  <c r="AT2167" i="1"/>
  <c r="AR2168" i="1"/>
  <c r="AT2168" i="1"/>
  <c r="AR2169" i="1"/>
  <c r="AT2169" i="1"/>
  <c r="AR2170" i="1"/>
  <c r="AT2170" i="1"/>
  <c r="AR2171" i="1"/>
  <c r="AT2171" i="1"/>
  <c r="AR2172" i="1"/>
  <c r="AT2172" i="1"/>
  <c r="AR2173" i="1"/>
  <c r="AT2173" i="1"/>
  <c r="AR2174" i="1"/>
  <c r="AT2174" i="1"/>
  <c r="AR2175" i="1"/>
  <c r="AT2175" i="1"/>
  <c r="AR2176" i="1"/>
  <c r="AT2176" i="1"/>
  <c r="AR2177" i="1"/>
  <c r="AT2177" i="1"/>
  <c r="AR2178" i="1"/>
  <c r="AT2178" i="1"/>
  <c r="AR2179" i="1"/>
  <c r="AT2179" i="1"/>
  <c r="AR2180" i="1"/>
  <c r="AT2180" i="1"/>
  <c r="AR2181" i="1"/>
  <c r="AT2181" i="1"/>
  <c r="AR2182" i="1"/>
  <c r="AT2182" i="1"/>
  <c r="AR2183" i="1"/>
  <c r="AT2183" i="1"/>
  <c r="AR2184" i="1"/>
  <c r="AT2184" i="1"/>
  <c r="AR2185" i="1"/>
  <c r="AT2185" i="1"/>
  <c r="AR2186" i="1"/>
  <c r="AT2186" i="1"/>
  <c r="AR2187" i="1"/>
  <c r="AT2187" i="1"/>
  <c r="AR2188" i="1"/>
  <c r="AT2188" i="1"/>
  <c r="AR2189" i="1"/>
  <c r="AT2189" i="1"/>
  <c r="AR2190" i="1"/>
  <c r="AT2190" i="1"/>
  <c r="AR2191" i="1"/>
  <c r="AT2191" i="1"/>
  <c r="AR2192" i="1"/>
  <c r="AT2192" i="1"/>
  <c r="AR2193" i="1"/>
  <c r="AT2193" i="1"/>
  <c r="AR2194" i="1"/>
  <c r="AT2194" i="1"/>
  <c r="AR2195" i="1"/>
  <c r="AT2195" i="1"/>
  <c r="AR2196" i="1"/>
  <c r="AT2196" i="1"/>
  <c r="AR2197" i="1"/>
  <c r="AT2197" i="1"/>
  <c r="AR2198" i="1"/>
  <c r="AT2198" i="1"/>
  <c r="AR2199" i="1"/>
  <c r="AT2199" i="1"/>
  <c r="AR2200" i="1"/>
  <c r="AT2200" i="1"/>
  <c r="AR2201" i="1"/>
  <c r="AT2201" i="1"/>
  <c r="AR2202" i="1"/>
  <c r="AT2202" i="1"/>
  <c r="AR2203" i="1"/>
  <c r="AT2203" i="1"/>
  <c r="AR2204" i="1"/>
  <c r="AT2204" i="1"/>
  <c r="AR2205" i="1"/>
  <c r="AT2205" i="1"/>
  <c r="AR2206" i="1"/>
  <c r="AT2206" i="1"/>
  <c r="AR2207" i="1"/>
  <c r="AT2207" i="1"/>
  <c r="AR2208" i="1"/>
  <c r="AT2208" i="1"/>
  <c r="AR2209" i="1"/>
  <c r="AT2209" i="1"/>
  <c r="AR2210" i="1"/>
  <c r="AT2210" i="1"/>
  <c r="AR2211" i="1"/>
  <c r="AT2211" i="1"/>
  <c r="AR2212" i="1"/>
  <c r="AT2212" i="1"/>
  <c r="AR2213" i="1"/>
  <c r="AT2213" i="1"/>
  <c r="AR2214" i="1"/>
  <c r="AT2214" i="1"/>
  <c r="AR2215" i="1"/>
  <c r="AT2215" i="1"/>
  <c r="AR2216" i="1"/>
  <c r="AT2216" i="1"/>
  <c r="AR2217" i="1"/>
  <c r="AT2217" i="1"/>
  <c r="AR2218" i="1"/>
  <c r="AT2218" i="1"/>
  <c r="AR2219" i="1"/>
  <c r="AT2219" i="1"/>
  <c r="AR2220" i="1"/>
  <c r="AT2220" i="1"/>
  <c r="AR2221" i="1"/>
  <c r="AT2221" i="1"/>
  <c r="AR2222" i="1"/>
  <c r="AT2222" i="1"/>
  <c r="AR2223" i="1"/>
  <c r="AT2223" i="1"/>
  <c r="AR2224" i="1"/>
  <c r="AT2224" i="1"/>
  <c r="AR2225" i="1"/>
  <c r="AT2225" i="1"/>
  <c r="AR2226" i="1"/>
  <c r="AT2226" i="1"/>
  <c r="AR2227" i="1"/>
  <c r="AT2227" i="1"/>
  <c r="AR2228" i="1"/>
  <c r="AT2228" i="1"/>
  <c r="AR2229" i="1"/>
  <c r="AT2229" i="1"/>
  <c r="AR2230" i="1"/>
  <c r="AT2230" i="1"/>
  <c r="AR2231" i="1"/>
  <c r="AT2231" i="1"/>
  <c r="AR2232" i="1"/>
  <c r="AT2232" i="1"/>
  <c r="AR2233" i="1"/>
  <c r="AT2233" i="1"/>
  <c r="AR2234" i="1"/>
  <c r="AT2234" i="1"/>
  <c r="AR2235" i="1"/>
  <c r="AT2235" i="1"/>
  <c r="AR2236" i="1"/>
  <c r="AT2236" i="1"/>
  <c r="AR2237" i="1"/>
  <c r="AT2237" i="1"/>
  <c r="AR2238" i="1"/>
  <c r="AT2238" i="1"/>
  <c r="AR2239" i="1"/>
  <c r="AT2239" i="1"/>
  <c r="AR2240" i="1"/>
  <c r="AT2240" i="1"/>
  <c r="AR2241" i="1"/>
  <c r="AT2241" i="1"/>
  <c r="AR2242" i="1"/>
  <c r="AT2242" i="1"/>
  <c r="AR2243" i="1"/>
  <c r="AT2243" i="1"/>
  <c r="AR2244" i="1"/>
  <c r="AT2244" i="1"/>
  <c r="AR2245" i="1"/>
  <c r="AT2245" i="1"/>
  <c r="AR2246" i="1"/>
  <c r="AT2246" i="1"/>
  <c r="AR2247" i="1"/>
  <c r="AT2247" i="1"/>
  <c r="AR2248" i="1"/>
  <c r="AT2248" i="1"/>
  <c r="AR2249" i="1"/>
  <c r="AT2249" i="1"/>
  <c r="AR2250" i="1"/>
  <c r="AT2250" i="1"/>
  <c r="AR2251" i="1"/>
  <c r="AT2251" i="1"/>
  <c r="AR2252" i="1"/>
  <c r="AT2252" i="1"/>
  <c r="AR2253" i="1"/>
  <c r="AT2253" i="1"/>
  <c r="AR2254" i="1"/>
  <c r="AT2254" i="1"/>
  <c r="AR2255" i="1"/>
  <c r="AT2255" i="1"/>
  <c r="AR2256" i="1"/>
  <c r="AT2256" i="1"/>
  <c r="AR2257" i="1"/>
  <c r="AT2257" i="1"/>
  <c r="AR2258" i="1"/>
  <c r="AT2258" i="1"/>
  <c r="AR2259" i="1"/>
  <c r="AT2259" i="1"/>
  <c r="AR2260" i="1"/>
  <c r="AT2260" i="1"/>
  <c r="AR2261" i="1"/>
  <c r="AT2261" i="1"/>
  <c r="AR2262" i="1"/>
  <c r="AT2262" i="1"/>
  <c r="AR2263" i="1"/>
  <c r="AT2263" i="1"/>
  <c r="AR2264" i="1"/>
  <c r="AT2264" i="1"/>
  <c r="AR2265" i="1"/>
  <c r="AT2265" i="1"/>
  <c r="AR2266" i="1"/>
  <c r="AT2266" i="1"/>
  <c r="AR2267" i="1"/>
  <c r="AT2267" i="1"/>
  <c r="AR2268" i="1"/>
  <c r="AT2268" i="1"/>
  <c r="AR2269" i="1"/>
  <c r="AT2269" i="1"/>
  <c r="AR2270" i="1"/>
  <c r="AT2270" i="1"/>
  <c r="AR2271" i="1"/>
  <c r="AT2271" i="1"/>
  <c r="AR2272" i="1"/>
  <c r="AT2272" i="1"/>
  <c r="AR2273" i="1"/>
  <c r="AT2273" i="1"/>
  <c r="AR2274" i="1"/>
  <c r="AT2274" i="1"/>
  <c r="AR2275" i="1"/>
  <c r="AT2275" i="1"/>
  <c r="AR2276" i="1"/>
  <c r="AT2276" i="1"/>
  <c r="AR2277" i="1"/>
  <c r="AT2277" i="1"/>
  <c r="AR2278" i="1"/>
  <c r="AT2278" i="1"/>
  <c r="AR2279" i="1"/>
  <c r="AT2279" i="1"/>
  <c r="AR2280" i="1"/>
  <c r="AT2280" i="1"/>
  <c r="AR2281" i="1"/>
  <c r="AT2281" i="1"/>
  <c r="AR2282" i="1"/>
  <c r="AT2282" i="1"/>
  <c r="AR2283" i="1"/>
  <c r="AT2283" i="1"/>
  <c r="AR2284" i="1"/>
  <c r="AT2284" i="1"/>
  <c r="AR2285" i="1"/>
  <c r="AT2285" i="1"/>
  <c r="AR2286" i="1"/>
  <c r="AT2286" i="1"/>
  <c r="AR2287" i="1"/>
  <c r="AT2287" i="1"/>
  <c r="AR2288" i="1"/>
  <c r="AT2288" i="1"/>
  <c r="AR2289" i="1"/>
  <c r="AT2289" i="1"/>
  <c r="AR2290" i="1"/>
  <c r="AT2290" i="1"/>
  <c r="AR2291" i="1"/>
  <c r="AT2291" i="1"/>
  <c r="AR2292" i="1"/>
  <c r="AT2292" i="1"/>
  <c r="AR2293" i="1"/>
  <c r="AT2293" i="1"/>
  <c r="AR2294" i="1"/>
  <c r="AT2294" i="1"/>
  <c r="AR2295" i="1"/>
  <c r="AT2295" i="1"/>
  <c r="AR2296" i="1"/>
  <c r="AT2296" i="1"/>
  <c r="AR2297" i="1"/>
  <c r="AT2297" i="1"/>
  <c r="AR2298" i="1"/>
  <c r="AT2298" i="1"/>
  <c r="AR2299" i="1"/>
  <c r="AT2299" i="1"/>
  <c r="AR2300" i="1"/>
  <c r="AT2300" i="1"/>
  <c r="AR2301" i="1"/>
  <c r="AT2301" i="1"/>
  <c r="AR2302" i="1"/>
  <c r="AT2302" i="1"/>
  <c r="AR2303" i="1"/>
  <c r="AT2303" i="1"/>
  <c r="AR2304" i="1"/>
  <c r="AT2304" i="1"/>
  <c r="AR2305" i="1"/>
  <c r="AT2305" i="1"/>
  <c r="AR2306" i="1"/>
  <c r="AT2306" i="1"/>
  <c r="AR2307" i="1"/>
  <c r="AT2307" i="1"/>
  <c r="AR2308" i="1"/>
  <c r="AT2308" i="1"/>
  <c r="AR2309" i="1"/>
  <c r="AT2309" i="1"/>
  <c r="AR2310" i="1"/>
  <c r="AT2310" i="1"/>
  <c r="AR2311" i="1"/>
  <c r="AT2311" i="1"/>
  <c r="AR2312" i="1"/>
  <c r="AT2312" i="1"/>
  <c r="AR2313" i="1"/>
  <c r="AT2313" i="1"/>
  <c r="AR2314" i="1"/>
  <c r="AT2314" i="1"/>
  <c r="AR2315" i="1"/>
  <c r="AT2315" i="1"/>
  <c r="AR2316" i="1"/>
  <c r="AT2316" i="1"/>
  <c r="AR2317" i="1"/>
  <c r="AT2317" i="1"/>
  <c r="AR2318" i="1"/>
  <c r="AT2318" i="1"/>
  <c r="AR2319" i="1"/>
  <c r="AT2319" i="1"/>
  <c r="AR2320" i="1"/>
  <c r="AT2320" i="1"/>
  <c r="AR2321" i="1"/>
  <c r="AT2321" i="1"/>
  <c r="AR2322" i="1"/>
  <c r="AT2322" i="1"/>
  <c r="AR2323" i="1"/>
  <c r="AT2323" i="1"/>
  <c r="AR2324" i="1"/>
  <c r="AT2324" i="1"/>
  <c r="AR2325" i="1"/>
  <c r="AT2325" i="1"/>
  <c r="AR2326" i="1"/>
  <c r="AT2326" i="1"/>
  <c r="AR2327" i="1"/>
  <c r="AT2327" i="1"/>
  <c r="AR2328" i="1"/>
  <c r="AT2328" i="1"/>
  <c r="AR2329" i="1"/>
  <c r="AT2329" i="1"/>
  <c r="AR2330" i="1"/>
  <c r="AT2330" i="1"/>
  <c r="AR2331" i="1"/>
  <c r="AT2331" i="1"/>
  <c r="AR2332" i="1"/>
  <c r="AT2332" i="1"/>
  <c r="AR2333" i="1"/>
  <c r="AT2333" i="1"/>
  <c r="AR2334" i="1"/>
  <c r="AT2334" i="1"/>
  <c r="AR2335" i="1"/>
  <c r="AT2335" i="1"/>
  <c r="AR2336" i="1"/>
  <c r="AT2336" i="1"/>
  <c r="AR2337" i="1"/>
  <c r="AT2337" i="1"/>
  <c r="AR2338" i="1"/>
  <c r="AT2338" i="1"/>
  <c r="AR2339" i="1"/>
  <c r="AT2339" i="1"/>
  <c r="AR2340" i="1"/>
  <c r="AT2340" i="1"/>
  <c r="AR2341" i="1"/>
  <c r="AT2341" i="1"/>
  <c r="AR2342" i="1"/>
  <c r="AT2342" i="1"/>
  <c r="AR2343" i="1"/>
  <c r="AT2343" i="1"/>
  <c r="AR2344" i="1"/>
  <c r="AT2344" i="1"/>
  <c r="AR2345" i="1"/>
  <c r="AT2345" i="1"/>
  <c r="AR2346" i="1"/>
  <c r="AT2346" i="1"/>
  <c r="AR2347" i="1"/>
  <c r="AT2347" i="1"/>
  <c r="AR2348" i="1"/>
  <c r="AT2348" i="1"/>
  <c r="AR2349" i="1"/>
  <c r="AT2349" i="1"/>
  <c r="AR2350" i="1"/>
  <c r="AT2350" i="1"/>
  <c r="AR2351" i="1"/>
  <c r="AT2351" i="1"/>
  <c r="AR2352" i="1"/>
  <c r="AT2352" i="1"/>
  <c r="AR2353" i="1"/>
  <c r="AT2353" i="1"/>
  <c r="AR2354" i="1"/>
  <c r="AT2354" i="1"/>
  <c r="AR2355" i="1"/>
  <c r="AT2355" i="1"/>
  <c r="AR2356" i="1"/>
  <c r="AT2356" i="1"/>
  <c r="AR2357" i="1"/>
  <c r="AT2357" i="1"/>
  <c r="AR2358" i="1"/>
  <c r="AT2358" i="1"/>
  <c r="AR2359" i="1"/>
  <c r="AT2359" i="1"/>
  <c r="AR2360" i="1"/>
  <c r="AT2360" i="1"/>
  <c r="AR2361" i="1"/>
  <c r="AT2361" i="1"/>
  <c r="AR2362" i="1"/>
  <c r="AT2362" i="1"/>
  <c r="AR2363" i="1"/>
  <c r="AT2363" i="1"/>
  <c r="AR2364" i="1"/>
  <c r="AT2364" i="1"/>
  <c r="AR2365" i="1"/>
  <c r="AT2365" i="1"/>
  <c r="AR2366" i="1"/>
  <c r="AT2366" i="1"/>
  <c r="AR2367" i="1"/>
  <c r="AT2367" i="1"/>
  <c r="AR2368" i="1"/>
  <c r="AT2368" i="1"/>
  <c r="AR2369" i="1"/>
  <c r="AT2369" i="1"/>
  <c r="AR2370" i="1"/>
  <c r="AT2370" i="1"/>
  <c r="AR2371" i="1"/>
  <c r="AT2371" i="1"/>
  <c r="AR2372" i="1"/>
  <c r="AT2372" i="1"/>
  <c r="AR2373" i="1"/>
  <c r="AT2373" i="1"/>
  <c r="AR2374" i="1"/>
  <c r="AT2374" i="1"/>
  <c r="AR2375" i="1"/>
  <c r="AT2375" i="1"/>
  <c r="AR2376" i="1"/>
  <c r="AT2376" i="1"/>
  <c r="AR2377" i="1"/>
  <c r="AT2377" i="1"/>
  <c r="AR2378" i="1"/>
  <c r="AT2378" i="1"/>
  <c r="AR2379" i="1"/>
  <c r="AT2379" i="1"/>
  <c r="AR2380" i="1"/>
  <c r="AT2380" i="1"/>
  <c r="AR2381" i="1"/>
  <c r="AT2381" i="1"/>
  <c r="AR2382" i="1"/>
  <c r="AT2382" i="1"/>
  <c r="AR2383" i="1"/>
  <c r="AT2383" i="1"/>
  <c r="AT2384" i="1"/>
  <c r="AR2385" i="1"/>
  <c r="AT2385" i="1"/>
  <c r="AR2386" i="1"/>
  <c r="AT2386" i="1"/>
  <c r="AR2387" i="1"/>
  <c r="AT2387" i="1"/>
  <c r="AR2388" i="1"/>
  <c r="AT2388" i="1"/>
  <c r="AR2389" i="1"/>
  <c r="AT2389" i="1"/>
  <c r="AR2390" i="1"/>
  <c r="AT2390" i="1"/>
  <c r="AR2391" i="1"/>
  <c r="AT2391" i="1"/>
  <c r="AR2392" i="1"/>
  <c r="AT2392" i="1"/>
  <c r="AR2393" i="1"/>
  <c r="AT2393" i="1"/>
  <c r="AR2394" i="1"/>
  <c r="AT2394" i="1"/>
  <c r="AR2395" i="1"/>
  <c r="AT2395" i="1"/>
  <c r="AR2396" i="1"/>
  <c r="AT2396" i="1"/>
  <c r="AR2397" i="1"/>
  <c r="AT2397" i="1"/>
  <c r="AR2398" i="1"/>
  <c r="AT2398" i="1"/>
  <c r="AR2399" i="1"/>
  <c r="AT2399" i="1"/>
  <c r="AR2400" i="1"/>
  <c r="AT2400" i="1"/>
  <c r="AR2401" i="1"/>
  <c r="AT2401" i="1"/>
  <c r="AR2402" i="1"/>
  <c r="AT2402" i="1"/>
  <c r="AR2403" i="1"/>
  <c r="AT2403" i="1"/>
  <c r="AR2404" i="1"/>
  <c r="AS2404" i="1"/>
  <c r="AT2404" i="1"/>
  <c r="AR2405" i="1"/>
  <c r="AT2405" i="1"/>
  <c r="AR2406" i="1"/>
  <c r="AT2406" i="1"/>
  <c r="AR2407" i="1"/>
  <c r="AT2407" i="1"/>
  <c r="AR2408" i="1"/>
  <c r="AT2408" i="1"/>
  <c r="AR2409" i="1"/>
  <c r="AT2409" i="1"/>
  <c r="AR2410" i="1"/>
  <c r="AT2410" i="1"/>
  <c r="AR2411" i="1"/>
  <c r="AT2411" i="1"/>
  <c r="AR2412" i="1"/>
  <c r="AT2412" i="1"/>
  <c r="AR2413" i="1"/>
  <c r="AT2413" i="1"/>
  <c r="AR2414" i="1"/>
  <c r="AT2414" i="1"/>
  <c r="AR2415" i="1"/>
  <c r="AT2415" i="1"/>
  <c r="AR2416" i="1"/>
  <c r="AT2416" i="1"/>
  <c r="AR2417" i="1"/>
  <c r="AT2417" i="1"/>
  <c r="AR2418" i="1"/>
  <c r="AT2418" i="1"/>
  <c r="AR2419" i="1"/>
  <c r="AT2419" i="1"/>
  <c r="AR2420" i="1"/>
  <c r="AT2420" i="1"/>
  <c r="AR2421" i="1"/>
  <c r="AT2421" i="1"/>
  <c r="AR2422" i="1"/>
  <c r="AT2422" i="1"/>
  <c r="AR2423" i="1"/>
  <c r="AT2423" i="1"/>
  <c r="AR2424" i="1"/>
  <c r="AT2424" i="1"/>
  <c r="AR2425" i="1"/>
  <c r="AT2425" i="1"/>
  <c r="AR2426" i="1"/>
  <c r="AT2426" i="1"/>
  <c r="AR2427" i="1"/>
  <c r="AT2427" i="1"/>
  <c r="AT2428" i="1"/>
  <c r="AT2429" i="1"/>
  <c r="AO247" i="1"/>
  <c r="AS247" i="1" s="1"/>
  <c r="AO326" i="1"/>
  <c r="AS326" i="1" s="1"/>
  <c r="AO863" i="1"/>
  <c r="AO867" i="1"/>
  <c r="AS867" i="1" s="1"/>
  <c r="AO868" i="1"/>
  <c r="AS868" i="1" s="1"/>
  <c r="AO869" i="1"/>
  <c r="AS869" i="1" s="1"/>
  <c r="AO870" i="1"/>
  <c r="AS870" i="1" s="1"/>
  <c r="AO871" i="1"/>
  <c r="AS871" i="1" s="1"/>
  <c r="AO872" i="1"/>
  <c r="AS872" i="1" s="1"/>
  <c r="AO873" i="1"/>
  <c r="AS873" i="1" s="1"/>
  <c r="AO874" i="1"/>
  <c r="AS874" i="1" s="1"/>
  <c r="AO875" i="1"/>
  <c r="AS875" i="1" s="1"/>
  <c r="AO876" i="1"/>
  <c r="AS876" i="1" s="1"/>
  <c r="AO877" i="1"/>
  <c r="AO878" i="1"/>
  <c r="AS878" i="1" s="1"/>
  <c r="AO879" i="1"/>
  <c r="AS879" i="1" s="1"/>
  <c r="AO880" i="1"/>
  <c r="AS880" i="1" s="1"/>
  <c r="AO881" i="1"/>
  <c r="AS881" i="1" s="1"/>
  <c r="AO882" i="1"/>
  <c r="AO883" i="1" s="1"/>
  <c r="AO884" i="1"/>
  <c r="AO885" i="1" s="1"/>
  <c r="AO886" i="1"/>
  <c r="AS886" i="1" s="1"/>
  <c r="AO887" i="1"/>
  <c r="AS887" i="1" s="1"/>
  <c r="AO888" i="1"/>
  <c r="AS888" i="1" s="1"/>
  <c r="AO889" i="1"/>
  <c r="AS889" i="1" s="1"/>
  <c r="AO891" i="1"/>
  <c r="AS891" i="1" s="1"/>
  <c r="AO892" i="1"/>
  <c r="AS892" i="1" s="1"/>
  <c r="AO893" i="1"/>
  <c r="AS893" i="1" s="1"/>
  <c r="AO894" i="1"/>
  <c r="AS894" i="1" s="1"/>
  <c r="AO895" i="1"/>
  <c r="AS895" i="1" s="1"/>
  <c r="AO896" i="1"/>
  <c r="AS896" i="1" s="1"/>
  <c r="AO897" i="1"/>
  <c r="AS897" i="1" s="1"/>
  <c r="AO898" i="1"/>
  <c r="AS898" i="1" s="1"/>
  <c r="AO899" i="1"/>
  <c r="AS899" i="1" s="1"/>
  <c r="AO900" i="1"/>
  <c r="AO902" i="1"/>
  <c r="AS902" i="1" s="1"/>
  <c r="AO903" i="1"/>
  <c r="AS903" i="1" s="1"/>
  <c r="AO904" i="1"/>
  <c r="AO905" i="1"/>
  <c r="AS905" i="1" s="1"/>
  <c r="AO907" i="1"/>
  <c r="AS907" i="1" s="1"/>
  <c r="AO908" i="1"/>
  <c r="AS908" i="1" s="1"/>
  <c r="AO909" i="1"/>
  <c r="AS909" i="1" s="1"/>
  <c r="AO910" i="1"/>
  <c r="AO911" i="1"/>
  <c r="AS911" i="1" s="1"/>
  <c r="AO912" i="1"/>
  <c r="AS912" i="1" s="1"/>
  <c r="AO913" i="1"/>
  <c r="AS913" i="1" s="1"/>
  <c r="AO914" i="1"/>
  <c r="AO916" i="1"/>
  <c r="AO917" i="1" s="1"/>
  <c r="AO918" i="1"/>
  <c r="AO919" i="1" s="1"/>
  <c r="AO921" i="1"/>
  <c r="AS921" i="1" s="1"/>
  <c r="AO923" i="1"/>
  <c r="AS923" i="1" s="1"/>
  <c r="AO924" i="1"/>
  <c r="AO927" i="1"/>
  <c r="AO929" i="1"/>
  <c r="AO930" i="1" s="1"/>
  <c r="AO931" i="1"/>
  <c r="AS931" i="1" s="1"/>
  <c r="AO932" i="1"/>
  <c r="AS932" i="1" s="1"/>
  <c r="AO933" i="1"/>
  <c r="AS933" i="1" s="1"/>
  <c r="AO934" i="1"/>
  <c r="AS934" i="1" s="1"/>
  <c r="AO935" i="1"/>
  <c r="AS935" i="1" s="1"/>
  <c r="AO936" i="1"/>
  <c r="AS936" i="1" s="1"/>
  <c r="AO937" i="1"/>
  <c r="AS937" i="1" s="1"/>
  <c r="AO939" i="1"/>
  <c r="AS939" i="1" s="1"/>
  <c r="AO941" i="1"/>
  <c r="AO942" i="1"/>
  <c r="AO943" i="1"/>
  <c r="AO945" i="1"/>
  <c r="AS945" i="1" s="1"/>
  <c r="AO946" i="1"/>
  <c r="AO947" i="1"/>
  <c r="AS947" i="1" s="1"/>
  <c r="AO948" i="1"/>
  <c r="AS948" i="1" s="1"/>
  <c r="AO949" i="1"/>
  <c r="AS949" i="1" s="1"/>
  <c r="AO950" i="1"/>
  <c r="AS950" i="1" s="1"/>
  <c r="AO951" i="1"/>
  <c r="AS951" i="1" s="1"/>
  <c r="AO952" i="1"/>
  <c r="AO953" i="1"/>
  <c r="AS953" i="1" s="1"/>
  <c r="AO955" i="1"/>
  <c r="AS955" i="1" s="1"/>
  <c r="AO956" i="1"/>
  <c r="AS956" i="1" s="1"/>
  <c r="AO957" i="1"/>
  <c r="AS957" i="1" s="1"/>
  <c r="AO958" i="1"/>
  <c r="AO959" i="1"/>
  <c r="AO961" i="1"/>
  <c r="AO964" i="1"/>
  <c r="AO966" i="1"/>
  <c r="AS966" i="1" s="1"/>
  <c r="AO967" i="1"/>
  <c r="AS967" i="1" s="1"/>
  <c r="AO968" i="1"/>
  <c r="AS968" i="1" s="1"/>
  <c r="AO969" i="1"/>
  <c r="AS969" i="1" s="1"/>
  <c r="AO971" i="1"/>
  <c r="AS971" i="1" s="1"/>
  <c r="AO972" i="1"/>
  <c r="AS972" i="1" s="1"/>
  <c r="AO973" i="1"/>
  <c r="AS973" i="1" s="1"/>
  <c r="AO974" i="1"/>
  <c r="AO975" i="1"/>
  <c r="AS975" i="1" s="1"/>
  <c r="AO976" i="1"/>
  <c r="AS976" i="1" s="1"/>
  <c r="AO977" i="1"/>
  <c r="AS977" i="1" s="1"/>
  <c r="AO978" i="1"/>
  <c r="AS978" i="1" s="1"/>
  <c r="AO979" i="1"/>
  <c r="AS979" i="1" s="1"/>
  <c r="AO980" i="1"/>
  <c r="AS980" i="1" s="1"/>
  <c r="AO981" i="1"/>
  <c r="AS981" i="1" s="1"/>
  <c r="AO982" i="1"/>
  <c r="AS982" i="1" s="1"/>
  <c r="AO983" i="1"/>
  <c r="AS983" i="1" s="1"/>
  <c r="AO984" i="1"/>
  <c r="AS984" i="1" s="1"/>
  <c r="AO985" i="1"/>
  <c r="AS985" i="1" s="1"/>
  <c r="AO987" i="1"/>
  <c r="AO988" i="1"/>
  <c r="AS988" i="1" s="1"/>
  <c r="AO989" i="1"/>
  <c r="AO990" i="1"/>
  <c r="AS990" i="1" s="1"/>
  <c r="AO991" i="1"/>
  <c r="AS991" i="1" s="1"/>
  <c r="AO992" i="1"/>
  <c r="AS992" i="1" s="1"/>
  <c r="AO993" i="1"/>
  <c r="AS993" i="1" s="1"/>
  <c r="AO994" i="1"/>
  <c r="AS994" i="1" s="1"/>
  <c r="AO995" i="1"/>
  <c r="AS995" i="1" s="1"/>
  <c r="AO996" i="1"/>
  <c r="AO997" i="1" s="1"/>
  <c r="AO998" i="1"/>
  <c r="AO999" i="1"/>
  <c r="AS999" i="1" s="1"/>
  <c r="AO1000" i="1"/>
  <c r="AO1001" i="1" s="1"/>
  <c r="AS1001" i="1" s="1"/>
  <c r="AO1003" i="1"/>
  <c r="AS1003" i="1" s="1"/>
  <c r="AO1004" i="1"/>
  <c r="AS1004" i="1" s="1"/>
  <c r="AO1005" i="1"/>
  <c r="AS1005" i="1" s="1"/>
  <c r="AO1006" i="1"/>
  <c r="AO1007" i="1"/>
  <c r="AO1008" i="1" s="1"/>
  <c r="AO1009" i="1"/>
  <c r="AS1009" i="1" s="1"/>
  <c r="AO1010" i="1"/>
  <c r="AO1011" i="1" s="1"/>
  <c r="AO1012" i="1" s="1"/>
  <c r="AS1012" i="1" s="1"/>
  <c r="AO1013" i="1"/>
  <c r="AS1013" i="1" s="1"/>
  <c r="AO1014" i="1"/>
  <c r="AS1014" i="1" s="1"/>
  <c r="AO1016" i="1"/>
  <c r="AS1016" i="1" s="1"/>
  <c r="AO1017" i="1"/>
  <c r="AS1017" i="1" s="1"/>
  <c r="AO1019" i="1"/>
  <c r="AS1019" i="1" s="1"/>
  <c r="AO1020" i="1"/>
  <c r="AS1020" i="1" s="1"/>
  <c r="AO1021" i="1"/>
  <c r="AO1022" i="1"/>
  <c r="AS1022" i="1" s="1"/>
  <c r="AO1023" i="1"/>
  <c r="AS1023" i="1" s="1"/>
  <c r="AO1024" i="1"/>
  <c r="AS1024" i="1" s="1"/>
  <c r="AO1025" i="1"/>
  <c r="AS1025" i="1" s="1"/>
  <c r="AO1026" i="1"/>
  <c r="AO1027" i="1" s="1"/>
  <c r="AO1028" i="1"/>
  <c r="AS1028" i="1" s="1"/>
  <c r="AO1029" i="1"/>
  <c r="AS1029" i="1" s="1"/>
  <c r="AO1030" i="1"/>
  <c r="AS1030" i="1" s="1"/>
  <c r="AO1031" i="1"/>
  <c r="AS1031" i="1" s="1"/>
  <c r="AO1033" i="1"/>
  <c r="AS1033" i="1" s="1"/>
  <c r="AO1035" i="1"/>
  <c r="AS1035" i="1" s="1"/>
  <c r="AO1036" i="1"/>
  <c r="AS1036" i="1" s="1"/>
  <c r="AO1037" i="1"/>
  <c r="AS1037" i="1" s="1"/>
  <c r="AO1038" i="1"/>
  <c r="AS1038" i="1" s="1"/>
  <c r="AO1039" i="1"/>
  <c r="AS1039" i="1" s="1"/>
  <c r="AO1040" i="1"/>
  <c r="AS1040" i="1" s="1"/>
  <c r="AO1041" i="1"/>
  <c r="AS1041" i="1" s="1"/>
  <c r="AO1042" i="1"/>
  <c r="AO1044" i="1"/>
  <c r="AO1045" i="1" s="1"/>
  <c r="AO1046" i="1"/>
  <c r="AS1046" i="1" s="1"/>
  <c r="AO1047" i="1"/>
  <c r="AS1047" i="1" s="1"/>
  <c r="AO1049" i="1"/>
  <c r="AS1049" i="1" s="1"/>
  <c r="AO1051" i="1"/>
  <c r="AS1051" i="1" s="1"/>
  <c r="AO1054" i="1"/>
  <c r="AS1054" i="1" s="1"/>
  <c r="AO1055" i="1"/>
  <c r="AS1055" i="1" s="1"/>
  <c r="AO1056" i="1"/>
  <c r="AS1056" i="1" s="1"/>
  <c r="AO1057" i="1"/>
  <c r="AS1057" i="1" s="1"/>
  <c r="AO1058" i="1"/>
  <c r="AO1059" i="1"/>
  <c r="AS1059" i="1" s="1"/>
  <c r="AO1060" i="1"/>
  <c r="AO1062" i="1"/>
  <c r="AS1062" i="1" s="1"/>
  <c r="AO1063" i="1"/>
  <c r="AS1063" i="1" s="1"/>
  <c r="AO1064" i="1"/>
  <c r="AS1064" i="1" s="1"/>
  <c r="AO1065" i="1"/>
  <c r="AS1065" i="1" s="1"/>
  <c r="AO1067" i="1"/>
  <c r="AS1067" i="1" s="1"/>
  <c r="AO1069" i="1"/>
  <c r="AS1069" i="1" s="1"/>
  <c r="AO1070" i="1"/>
  <c r="AS1070" i="1" s="1"/>
  <c r="AO1071" i="1"/>
  <c r="AS1071" i="1" s="1"/>
  <c r="AO1072" i="1"/>
  <c r="AS1072" i="1" s="1"/>
  <c r="AO1073" i="1"/>
  <c r="AO1074" i="1" s="1"/>
  <c r="AS1074" i="1" s="1"/>
  <c r="AO1075" i="1"/>
  <c r="AS1075" i="1" s="1"/>
  <c r="AO1076" i="1"/>
  <c r="AS1076" i="1" s="1"/>
  <c r="AO1077" i="1"/>
  <c r="AS1077" i="1" s="1"/>
  <c r="AO1078" i="1"/>
  <c r="AS1078" i="1" s="1"/>
  <c r="AO1079" i="1"/>
  <c r="AS1079" i="1" s="1"/>
  <c r="AO1080" i="1"/>
  <c r="AS1080" i="1" s="1"/>
  <c r="AO1081" i="1"/>
  <c r="AS1081" i="1" s="1"/>
  <c r="AO1083" i="1"/>
  <c r="AO1084" i="1"/>
  <c r="AS1084" i="1" s="1"/>
  <c r="AO1085" i="1"/>
  <c r="AO1086" i="1"/>
  <c r="AS1086" i="1" s="1"/>
  <c r="AO1087" i="1"/>
  <c r="AO1088" i="1" s="1"/>
  <c r="AO1089" i="1" s="1"/>
  <c r="AO1090" i="1" s="1"/>
  <c r="AO1091" i="1"/>
  <c r="AS1091" i="1" s="1"/>
  <c r="AO1092" i="1"/>
  <c r="AS1092" i="1" s="1"/>
  <c r="AO1093" i="1"/>
  <c r="AS1093" i="1" s="1"/>
  <c r="AO1094" i="1"/>
  <c r="AS1094" i="1" s="1"/>
  <c r="AO1095" i="1"/>
  <c r="AS1095" i="1" s="1"/>
  <c r="AO1096" i="1"/>
  <c r="AO1097" i="1"/>
  <c r="AS1097" i="1" s="1"/>
  <c r="AO1099" i="1"/>
  <c r="AO1100" i="1"/>
  <c r="AO1101" i="1"/>
  <c r="AS1101" i="1" s="1"/>
  <c r="AO1102" i="1"/>
  <c r="AO1103" i="1"/>
  <c r="AS1103" i="1" s="1"/>
  <c r="AO1104" i="1"/>
  <c r="AS1104" i="1" s="1"/>
  <c r="AO1105" i="1"/>
  <c r="AS1105" i="1" s="1"/>
  <c r="AO1106" i="1"/>
  <c r="AO1107" i="1"/>
  <c r="AS1107" i="1" s="1"/>
  <c r="AO1108" i="1"/>
  <c r="AS1108" i="1" s="1"/>
  <c r="AO1109" i="1"/>
  <c r="AS1109" i="1" s="1"/>
  <c r="AO1110" i="1"/>
  <c r="AS1110" i="1" s="1"/>
  <c r="AO1111" i="1"/>
  <c r="AO1113" i="1"/>
  <c r="AS1113" i="1" s="1"/>
  <c r="AO1115" i="1"/>
  <c r="AO1116" i="1" s="1"/>
  <c r="AO1117" i="1"/>
  <c r="AS1117" i="1" s="1"/>
  <c r="AO1118" i="1"/>
  <c r="AS1118" i="1" s="1"/>
  <c r="AO1119" i="1"/>
  <c r="AO1121" i="1"/>
  <c r="AO1122" i="1"/>
  <c r="AO1123" i="1" s="1"/>
  <c r="AO1124" i="1"/>
  <c r="AO1126" i="1"/>
  <c r="AS1126" i="1" s="1"/>
  <c r="AO1127" i="1"/>
  <c r="AS1127" i="1" s="1"/>
  <c r="AO1128" i="1"/>
  <c r="AS1128" i="1" s="1"/>
  <c r="AO1131" i="1"/>
  <c r="AS1131" i="1" s="1"/>
  <c r="AO1132" i="1"/>
  <c r="AS1132" i="1" s="1"/>
  <c r="AO1133" i="1"/>
  <c r="AS1133" i="1" s="1"/>
  <c r="AO1134" i="1"/>
  <c r="AS1134" i="1" s="1"/>
  <c r="AO1135" i="1"/>
  <c r="AS1135" i="1" s="1"/>
  <c r="AO1136" i="1"/>
  <c r="AS1136" i="1" s="1"/>
  <c r="AO1137" i="1"/>
  <c r="AS1137" i="1" s="1"/>
  <c r="AO1138" i="1"/>
  <c r="AO1140" i="1"/>
  <c r="AO1141" i="1"/>
  <c r="AS1141" i="1" s="1"/>
  <c r="AO1142" i="1"/>
  <c r="AS1142" i="1" s="1"/>
  <c r="AO1143" i="1"/>
  <c r="AS1143" i="1" s="1"/>
  <c r="AO1144" i="1"/>
  <c r="AS1144" i="1" s="1"/>
  <c r="AO1145" i="1"/>
  <c r="AS1145" i="1" s="1"/>
  <c r="AO1147" i="1"/>
  <c r="AS1147" i="1" s="1"/>
  <c r="AO1148" i="1"/>
  <c r="AS1148" i="1" s="1"/>
  <c r="AO1149" i="1"/>
  <c r="AS1149" i="1" s="1"/>
  <c r="AO1150" i="1"/>
  <c r="AS1150" i="1" s="1"/>
  <c r="AO1151" i="1"/>
  <c r="AS1151" i="1" s="1"/>
  <c r="AO1152" i="1"/>
  <c r="AS1152" i="1" s="1"/>
  <c r="AO1153" i="1"/>
  <c r="AS1153" i="1" s="1"/>
  <c r="AO1154" i="1"/>
  <c r="AO1155" i="1"/>
  <c r="AS1155" i="1" s="1"/>
  <c r="AO1156" i="1"/>
  <c r="AS1156" i="1" s="1"/>
  <c r="AO1157" i="1"/>
  <c r="AS1157" i="1" s="1"/>
  <c r="AO1158" i="1"/>
  <c r="AS1158" i="1" s="1"/>
  <c r="AO1159" i="1"/>
  <c r="AS1159" i="1" s="1"/>
  <c r="AO1160" i="1"/>
  <c r="AO1161" i="1" s="1"/>
  <c r="AS1161" i="1" s="1"/>
  <c r="AO1163" i="1"/>
  <c r="AS1163" i="1" s="1"/>
  <c r="AO1164" i="1"/>
  <c r="AS1164" i="1" s="1"/>
  <c r="AO1165" i="1"/>
  <c r="AS1165" i="1" s="1"/>
  <c r="AO1166" i="1"/>
  <c r="AO1167" i="1"/>
  <c r="AS1167" i="1" s="1"/>
  <c r="AO1168" i="1"/>
  <c r="AS1168" i="1" s="1"/>
  <c r="AO1169" i="1"/>
  <c r="AS1169" i="1" s="1"/>
  <c r="AO1170" i="1"/>
  <c r="AS1170" i="1" s="1"/>
  <c r="AO1171" i="1"/>
  <c r="AS1171" i="1" s="1"/>
  <c r="AO1172" i="1"/>
  <c r="AS1172" i="1" s="1"/>
  <c r="AO1173" i="1"/>
  <c r="AS1173" i="1" s="1"/>
  <c r="AO1174" i="1"/>
  <c r="AS1174" i="1" s="1"/>
  <c r="AO1176" i="1"/>
  <c r="AO1177" i="1"/>
  <c r="AS1177" i="1" s="1"/>
  <c r="AO1179" i="1"/>
  <c r="AS1179" i="1" s="1"/>
  <c r="AO1181" i="1"/>
  <c r="AS1181" i="1" s="1"/>
  <c r="AO1182" i="1"/>
  <c r="AS1182" i="1" s="1"/>
  <c r="AO1183" i="1"/>
  <c r="AS1183" i="1" s="1"/>
  <c r="AO1184" i="1"/>
  <c r="AS1184" i="1" s="1"/>
  <c r="AO1185" i="1"/>
  <c r="AS1185" i="1" s="1"/>
  <c r="AO1186" i="1"/>
  <c r="AO1187" i="1" s="1"/>
  <c r="AO1188" i="1"/>
  <c r="AS1188" i="1" s="1"/>
  <c r="AO1189" i="1"/>
  <c r="AS1189" i="1" s="1"/>
  <c r="AO1190" i="1"/>
  <c r="AS1190" i="1" s="1"/>
  <c r="AO1191" i="1"/>
  <c r="AO1195" i="1"/>
  <c r="AS1195" i="1" s="1"/>
  <c r="AO1196" i="1"/>
  <c r="AS1196" i="1" s="1"/>
  <c r="AO1197" i="1"/>
  <c r="AS1197" i="1" s="1"/>
  <c r="AO1198" i="1"/>
  <c r="AO1199" i="1"/>
  <c r="AS1199" i="1" s="1"/>
  <c r="AO1200" i="1"/>
  <c r="AS1200" i="1" s="1"/>
  <c r="AO1201" i="1"/>
  <c r="AS1201" i="1" s="1"/>
  <c r="AO1202" i="1"/>
  <c r="AS1202" i="1" s="1"/>
  <c r="AO1203" i="1"/>
  <c r="AS1203" i="1" s="1"/>
  <c r="AO1204" i="1"/>
  <c r="AO1206" i="1"/>
  <c r="AS1206" i="1" s="1"/>
  <c r="AO1207" i="1"/>
  <c r="AO1208" i="1" s="1"/>
  <c r="AO1211" i="1"/>
  <c r="AS1211" i="1" s="1"/>
  <c r="AO1212" i="1"/>
  <c r="AO1213" i="1" s="1"/>
  <c r="AO1214" i="1"/>
  <c r="AS1214" i="1" s="1"/>
  <c r="AO1215" i="1"/>
  <c r="AS1215" i="1" s="1"/>
  <c r="AO1216" i="1"/>
  <c r="AS1216" i="1" s="1"/>
  <c r="AO1217" i="1"/>
  <c r="AS1217" i="1" s="1"/>
  <c r="AO1218" i="1"/>
  <c r="AO1220" i="1"/>
  <c r="AO1221" i="1" s="1"/>
  <c r="AO1222" i="1"/>
  <c r="AS1222" i="1" s="1"/>
  <c r="AO1223" i="1"/>
  <c r="AS1223" i="1" s="1"/>
  <c r="AO1224" i="1"/>
  <c r="AO1225" i="1"/>
  <c r="AS1225" i="1" s="1"/>
  <c r="AO1227" i="1"/>
  <c r="AS1227" i="1" s="1"/>
  <c r="AO1229" i="1"/>
  <c r="AS1229" i="1" s="1"/>
  <c r="AO1230" i="1"/>
  <c r="AO1231" i="1"/>
  <c r="AO1233" i="1"/>
  <c r="AS1233" i="1" s="1"/>
  <c r="AO1234" i="1"/>
  <c r="AS1234" i="1" s="1"/>
  <c r="AO1235" i="1"/>
  <c r="AS1235" i="1" s="1"/>
  <c r="AO1236" i="1"/>
  <c r="AO1237" i="1" s="1"/>
  <c r="AO1238" i="1"/>
  <c r="AS1238" i="1" s="1"/>
  <c r="AO1239" i="1"/>
  <c r="AS1239" i="1" s="1"/>
  <c r="AO1243" i="1"/>
  <c r="AO1244" i="1"/>
  <c r="AS1244" i="1" s="1"/>
  <c r="AO1245" i="1"/>
  <c r="AS1245" i="1" s="1"/>
  <c r="AO1246" i="1"/>
  <c r="AO1247" i="1"/>
  <c r="AS1247" i="1" s="1"/>
  <c r="AO1248" i="1"/>
  <c r="AS1248" i="1" s="1"/>
  <c r="AO1249" i="1"/>
  <c r="AO1250" i="1" s="1"/>
  <c r="AS1250" i="1" s="1"/>
  <c r="AO1251" i="1"/>
  <c r="AS1251" i="1" s="1"/>
  <c r="AO1252" i="1"/>
  <c r="AS1252" i="1" s="1"/>
  <c r="AO1253" i="1"/>
  <c r="AS1253" i="1" s="1"/>
  <c r="AO1254" i="1"/>
  <c r="AS1254" i="1" s="1"/>
  <c r="AO1255" i="1"/>
  <c r="AS1255" i="1" s="1"/>
  <c r="AO1256" i="1"/>
  <c r="AS1256" i="1" s="1"/>
  <c r="AO1257" i="1"/>
  <c r="AS1257" i="1" s="1"/>
  <c r="AO1259" i="1"/>
  <c r="AO1260" i="1"/>
  <c r="AS1260" i="1" s="1"/>
  <c r="AO1261" i="1"/>
  <c r="AS1261" i="1" s="1"/>
  <c r="AO1262" i="1"/>
  <c r="AO1263" i="1"/>
  <c r="AS1263" i="1" s="1"/>
  <c r="AO1264" i="1"/>
  <c r="AS1264" i="1" s="1"/>
  <c r="AO1265" i="1"/>
  <c r="AO1267" i="1"/>
  <c r="AS1267" i="1" s="1"/>
  <c r="AO1268" i="1"/>
  <c r="AS1268" i="1" s="1"/>
  <c r="AO1269" i="1"/>
  <c r="AS1269" i="1" s="1"/>
  <c r="AO1270" i="1"/>
  <c r="AS1270" i="1" s="1"/>
  <c r="AO1271" i="1"/>
  <c r="AS1271" i="1" s="1"/>
  <c r="AO1272" i="1"/>
  <c r="AS1272" i="1" s="1"/>
  <c r="AO1273" i="1"/>
  <c r="AO1275" i="1"/>
  <c r="AO1276" i="1"/>
  <c r="AS1276" i="1" s="1"/>
  <c r="AO1277" i="1"/>
  <c r="AO1278" i="1"/>
  <c r="AO1279" i="1"/>
  <c r="AO1280" i="1" s="1"/>
  <c r="AO1281" i="1"/>
  <c r="AS1281" i="1" s="1"/>
  <c r="AO1282" i="1"/>
  <c r="AO1283" i="1"/>
  <c r="AS1283" i="1" s="1"/>
  <c r="AO1284" i="1"/>
  <c r="AS1284" i="1" s="1"/>
  <c r="AO1285" i="1"/>
  <c r="AS1285" i="1" s="1"/>
  <c r="AO1286" i="1"/>
  <c r="AS1286" i="1" s="1"/>
  <c r="AO1287" i="1"/>
  <c r="AS1287" i="1" s="1"/>
  <c r="AO1288" i="1"/>
  <c r="AS1288" i="1" s="1"/>
  <c r="AO1289" i="1"/>
  <c r="AS1289" i="1" s="1"/>
  <c r="AO1291" i="1"/>
  <c r="AO1293" i="1"/>
  <c r="AS1293" i="1" s="1"/>
  <c r="AO1294" i="1"/>
  <c r="AO1295" i="1"/>
  <c r="AS1295" i="1" s="1"/>
  <c r="AO1296" i="1"/>
  <c r="AS1296" i="1" s="1"/>
  <c r="AO1297" i="1"/>
  <c r="AS1297" i="1" s="1"/>
  <c r="AO1298" i="1"/>
  <c r="AS1298" i="1" s="1"/>
  <c r="AO1299" i="1"/>
  <c r="AS1299" i="1" s="1"/>
  <c r="AO1300" i="1"/>
  <c r="AO1302" i="1"/>
  <c r="AS1302" i="1" s="1"/>
  <c r="AO1303" i="1"/>
  <c r="AO1305" i="1"/>
  <c r="AS1305" i="1" s="1"/>
  <c r="AO1307" i="1"/>
  <c r="AS1307" i="1" s="1"/>
  <c r="AO1308" i="1"/>
  <c r="AS1308" i="1" s="1"/>
  <c r="AO1309" i="1"/>
  <c r="AS1309" i="1" s="1"/>
  <c r="AO1310" i="1"/>
  <c r="AS1310" i="1" s="1"/>
  <c r="AO1311" i="1"/>
  <c r="AS1311" i="1" s="1"/>
  <c r="AO1312" i="1"/>
  <c r="AS1312" i="1" s="1"/>
  <c r="AO1313" i="1"/>
  <c r="AS1313" i="1" s="1"/>
  <c r="AO1314" i="1"/>
  <c r="AO1316" i="1"/>
  <c r="AS1316" i="1" s="1"/>
  <c r="AO1317" i="1"/>
  <c r="AS1317" i="1" s="1"/>
  <c r="AO1318" i="1"/>
  <c r="AS1318" i="1" s="1"/>
  <c r="AO1320" i="1"/>
  <c r="AS1320" i="1" s="1"/>
  <c r="AO1321" i="1"/>
  <c r="AO1323" i="1"/>
  <c r="AS1323" i="1" s="1"/>
  <c r="AO1324" i="1"/>
  <c r="AS1324" i="1" s="1"/>
  <c r="AO1325" i="1"/>
  <c r="AO1326" i="1"/>
  <c r="AS1326" i="1" s="1"/>
  <c r="AO1327" i="1"/>
  <c r="AS1327" i="1" s="1"/>
  <c r="AO1328" i="1"/>
  <c r="AS1328" i="1" s="1"/>
  <c r="AO1329" i="1"/>
  <c r="AS1329" i="1" s="1"/>
  <c r="AO1330" i="1"/>
  <c r="AO1331" i="1"/>
  <c r="AS1331" i="1" s="1"/>
  <c r="AO1332" i="1"/>
  <c r="AO1334" i="1"/>
  <c r="AO1335" i="1"/>
  <c r="AS1335" i="1" s="1"/>
  <c r="AO1339" i="1"/>
  <c r="AS1339" i="1" s="1"/>
  <c r="AO1340" i="1"/>
  <c r="AS1340" i="1" s="1"/>
  <c r="AO1341" i="1"/>
  <c r="AO1342" i="1"/>
  <c r="AS1342" i="1" s="1"/>
  <c r="AO1343" i="1"/>
  <c r="AS1343" i="1" s="1"/>
  <c r="AO1344" i="1"/>
  <c r="AS1344" i="1" s="1"/>
  <c r="AO1345" i="1"/>
  <c r="AS1345" i="1" s="1"/>
  <c r="AO1346" i="1"/>
  <c r="AS1346" i="1" s="1"/>
  <c r="AO1347" i="1"/>
  <c r="AS1347" i="1" s="1"/>
  <c r="AO1348" i="1"/>
  <c r="AO1349" i="1" s="1"/>
  <c r="AO1350" i="1"/>
  <c r="AS1350" i="1" s="1"/>
  <c r="AO1351" i="1"/>
  <c r="AS1351" i="1" s="1"/>
  <c r="AO1355" i="1"/>
  <c r="AO1356" i="1"/>
  <c r="AS1356" i="1" s="1"/>
  <c r="AO1357" i="1"/>
  <c r="AS1357" i="1" s="1"/>
  <c r="AO1358" i="1"/>
  <c r="AO1359" i="1"/>
  <c r="AS1359" i="1" s="1"/>
  <c r="AO1360" i="1"/>
  <c r="AS1360" i="1" s="1"/>
  <c r="AO1361" i="1"/>
  <c r="AS1361" i="1" s="1"/>
  <c r="AO1362" i="1"/>
  <c r="AO1363" i="1" s="1"/>
  <c r="AO1364" i="1"/>
  <c r="AS1364" i="1" s="1"/>
  <c r="AO1365" i="1"/>
  <c r="AS1365" i="1" s="1"/>
  <c r="AO1366" i="1"/>
  <c r="AS1366" i="1" s="1"/>
  <c r="AO1367" i="1"/>
  <c r="AS1367" i="1" s="1"/>
  <c r="AO1368" i="1"/>
  <c r="AS1368" i="1" s="1"/>
  <c r="AO1371" i="1"/>
  <c r="AS1371" i="1" s="1"/>
  <c r="AO1372" i="1"/>
  <c r="AS1372" i="1" s="1"/>
  <c r="AO1373" i="1"/>
  <c r="AS1373" i="1" s="1"/>
  <c r="AO1374" i="1"/>
  <c r="AO1375" i="1"/>
  <c r="AO1376" i="1" s="1"/>
  <c r="AO1377" i="1"/>
  <c r="AS1377" i="1" s="1"/>
  <c r="AO1378" i="1"/>
  <c r="AS1378" i="1" s="1"/>
  <c r="AO1379" i="1"/>
  <c r="AS1379" i="1" s="1"/>
  <c r="AO1380" i="1"/>
  <c r="AS1380" i="1" s="1"/>
  <c r="AO1381" i="1"/>
  <c r="AS1381" i="1" s="1"/>
  <c r="AO1382" i="1"/>
  <c r="AS1382" i="1" s="1"/>
  <c r="AO1383" i="1"/>
  <c r="AS1383" i="1" s="1"/>
  <c r="AO1385" i="1"/>
  <c r="AS1385" i="1" s="1"/>
  <c r="AO1387" i="1"/>
  <c r="AO1391" i="1"/>
  <c r="AO1394" i="1"/>
  <c r="AO1396" i="1"/>
  <c r="AO1397" i="1"/>
  <c r="AS1397" i="1" s="1"/>
  <c r="AO1398" i="1"/>
  <c r="AS1398" i="1" s="1"/>
  <c r="AO1399" i="1"/>
  <c r="AS1399" i="1" s="1"/>
  <c r="AO1400" i="1"/>
  <c r="AS1400" i="1" s="1"/>
  <c r="AO1401" i="1"/>
  <c r="AS1401" i="1" s="1"/>
  <c r="AO1403" i="1"/>
  <c r="AS1403" i="1" s="1"/>
  <c r="AO1404" i="1"/>
  <c r="AO1405" i="1" s="1"/>
  <c r="AS1405" i="1" s="1"/>
  <c r="AO1406" i="1"/>
  <c r="AS1406" i="1" s="1"/>
  <c r="AO1407" i="1"/>
  <c r="AO1408" i="1" s="1"/>
  <c r="AO1409" i="1"/>
  <c r="AS1409" i="1" s="1"/>
  <c r="AO1410" i="1"/>
  <c r="AO1412" i="1"/>
  <c r="AO1413" i="1" s="1"/>
  <c r="AO1414" i="1" s="1"/>
  <c r="AO1415" i="1" s="1"/>
  <c r="AS1415" i="1" s="1"/>
  <c r="AO1416" i="1"/>
  <c r="AS1416" i="1" s="1"/>
  <c r="AO1419" i="1"/>
  <c r="AS1419" i="1" s="1"/>
  <c r="AO1420" i="1"/>
  <c r="AS1420" i="1" s="1"/>
  <c r="AO1421" i="1"/>
  <c r="AO1422" i="1"/>
  <c r="AS1422" i="1" s="1"/>
  <c r="AO1423" i="1"/>
  <c r="AO1424" i="1" s="1"/>
  <c r="AO1425" i="1"/>
  <c r="AS1425" i="1" s="1"/>
  <c r="AO1426" i="1"/>
  <c r="AO1427" i="1" s="1"/>
  <c r="AO1428" i="1"/>
  <c r="AS1428" i="1" s="1"/>
  <c r="AO1429" i="1"/>
  <c r="AS1429" i="1" s="1"/>
  <c r="AO1430" i="1"/>
  <c r="AS1430" i="1" s="1"/>
  <c r="AO1435" i="1"/>
  <c r="AS1435" i="1" s="1"/>
  <c r="AO1437" i="1"/>
  <c r="AS1437" i="1" s="1"/>
  <c r="AO1438" i="1"/>
  <c r="AS1438" i="1" s="1"/>
  <c r="AO1439" i="1"/>
  <c r="AS1439" i="1" s="1"/>
  <c r="AO1440" i="1"/>
  <c r="AS1440" i="1" s="1"/>
  <c r="AO1441" i="1"/>
  <c r="AS1441" i="1" s="1"/>
  <c r="AO1442" i="1"/>
  <c r="AO1443" i="1" s="1"/>
  <c r="AO1444" i="1"/>
  <c r="AO1445" i="1" s="1"/>
  <c r="AO1446" i="1"/>
  <c r="AS1446" i="1" s="1"/>
  <c r="AO1447" i="1"/>
  <c r="AO1449" i="1"/>
  <c r="AS1449" i="1" s="1"/>
  <c r="AO1451" i="1"/>
  <c r="AO1453" i="1"/>
  <c r="AS1453" i="1" s="1"/>
  <c r="AO1454" i="1"/>
  <c r="AS1454" i="1" s="1"/>
  <c r="AO1455" i="1"/>
  <c r="AS1455" i="1" s="1"/>
  <c r="AO1456" i="1"/>
  <c r="AS1456" i="1" s="1"/>
  <c r="AO1457" i="1"/>
  <c r="AO1460" i="1"/>
  <c r="AO1462" i="1"/>
  <c r="AO1463" i="1"/>
  <c r="AS1463" i="1" s="1"/>
  <c r="AO1464" i="1"/>
  <c r="AS1464" i="1" s="1"/>
  <c r="AO1465" i="1"/>
  <c r="AS1465" i="1" s="1"/>
  <c r="AO1467" i="1"/>
  <c r="AO1468" i="1"/>
  <c r="AS1468" i="1" s="1"/>
  <c r="AO1469" i="1"/>
  <c r="AS1469" i="1" s="1"/>
  <c r="AO1470" i="1"/>
  <c r="AO1471" i="1"/>
  <c r="AS1471" i="1" s="1"/>
  <c r="AO1472" i="1"/>
  <c r="AS1472" i="1" s="1"/>
  <c r="AO1473" i="1"/>
  <c r="AO1475" i="1"/>
  <c r="AS1475" i="1" s="1"/>
  <c r="AO1476" i="1"/>
  <c r="AS1476" i="1" s="1"/>
  <c r="AO1477" i="1"/>
  <c r="AS1477" i="1" s="1"/>
  <c r="AO1478" i="1"/>
  <c r="AS1478" i="1" s="1"/>
  <c r="AO1479" i="1"/>
  <c r="AO1480" i="1" s="1"/>
  <c r="AO1481" i="1" s="1"/>
  <c r="AO1483" i="1"/>
  <c r="AO1484" i="1"/>
  <c r="AS1484" i="1" s="1"/>
  <c r="AO1485" i="1"/>
  <c r="AS1485" i="1" s="1"/>
  <c r="AO1486" i="1"/>
  <c r="AS1486" i="1" s="1"/>
  <c r="AO1487" i="1"/>
  <c r="AS1487" i="1" s="1"/>
  <c r="AO1488" i="1"/>
  <c r="AS1488" i="1" s="1"/>
  <c r="AO1489" i="1"/>
  <c r="AO1493" i="1"/>
  <c r="AS1493" i="1" s="1"/>
  <c r="AO1494" i="1"/>
  <c r="AS1494" i="1" s="1"/>
  <c r="AO1495" i="1"/>
  <c r="AS1495" i="1" s="1"/>
  <c r="AO1499" i="1"/>
  <c r="AO1500" i="1"/>
  <c r="AS1500" i="1" s="1"/>
  <c r="AO1501" i="1"/>
  <c r="AS1501" i="1" s="1"/>
  <c r="AO1502" i="1"/>
  <c r="AS1502" i="1" s="1"/>
  <c r="AO1503" i="1"/>
  <c r="AO1504" i="1" s="1"/>
  <c r="AO1505" i="1"/>
  <c r="AS1505" i="1" s="1"/>
  <c r="AO1506" i="1"/>
  <c r="AS1506" i="1" s="1"/>
  <c r="AO1507" i="1"/>
  <c r="AS1507" i="1" s="1"/>
  <c r="AO1508" i="1"/>
  <c r="AS1508" i="1" s="1"/>
  <c r="AO1509" i="1"/>
  <c r="AS1509" i="1" s="1"/>
  <c r="AO1510" i="1"/>
  <c r="AS1510" i="1" s="1"/>
  <c r="AO1515" i="1"/>
  <c r="AS1515" i="1" s="1"/>
  <c r="AO1516" i="1"/>
  <c r="AS1516" i="1" s="1"/>
  <c r="AO1517" i="1"/>
  <c r="AS1517" i="1" s="1"/>
  <c r="AO1518" i="1"/>
  <c r="AS1518" i="1" s="1"/>
  <c r="AO1519" i="1"/>
  <c r="AO1521" i="1"/>
  <c r="AS1521" i="1" s="1"/>
  <c r="AO1522" i="1"/>
  <c r="AO1523" i="1"/>
  <c r="AS1523" i="1" s="1"/>
  <c r="AO1524" i="1"/>
  <c r="AO1525" i="1" s="1"/>
  <c r="AO1526" i="1"/>
  <c r="AS1526" i="1" s="1"/>
  <c r="AO1527" i="1"/>
  <c r="AS1527" i="1" s="1"/>
  <c r="AO1529" i="1"/>
  <c r="AS1529" i="1" s="1"/>
  <c r="AO1531" i="1"/>
  <c r="AO1533" i="1"/>
  <c r="AS1533" i="1" s="1"/>
  <c r="AO1534" i="1"/>
  <c r="AS1534" i="1" s="1"/>
  <c r="AO1535" i="1"/>
  <c r="AS1535" i="1" s="1"/>
  <c r="AO1536" i="1"/>
  <c r="AS1536" i="1" s="1"/>
  <c r="AO1537" i="1"/>
  <c r="AO1542" i="1"/>
  <c r="AS1542" i="1" s="1"/>
  <c r="AO1543" i="1"/>
  <c r="AO1545" i="1"/>
  <c r="AS1545" i="1" s="1"/>
  <c r="AO1547" i="1"/>
  <c r="AS1547" i="1" s="1"/>
  <c r="AO1548" i="1"/>
  <c r="AS1548" i="1" s="1"/>
  <c r="AO1549" i="1"/>
  <c r="AS1549" i="1" s="1"/>
  <c r="AO1550" i="1"/>
  <c r="AS1550" i="1" s="1"/>
  <c r="AO1551" i="1"/>
  <c r="AS1551" i="1" s="1"/>
  <c r="AO1552" i="1"/>
  <c r="AS1552" i="1" s="1"/>
  <c r="AO1553" i="1"/>
  <c r="AS1553" i="1" s="1"/>
  <c r="AO1554" i="1"/>
  <c r="AS1554" i="1" s="1"/>
  <c r="AO1555" i="1"/>
  <c r="AS1555" i="1" s="1"/>
  <c r="AO1556" i="1"/>
  <c r="AS1556" i="1" s="1"/>
  <c r="AO1557" i="1"/>
  <c r="AS1557" i="1" s="1"/>
  <c r="AO1558" i="1"/>
  <c r="AS1558" i="1" s="1"/>
  <c r="AO1559" i="1"/>
  <c r="AS1559" i="1" s="1"/>
  <c r="AO1560" i="1"/>
  <c r="AO1561" i="1"/>
  <c r="AS1561" i="1" s="1"/>
  <c r="AO1563" i="1"/>
  <c r="AS1563" i="1" s="1"/>
  <c r="AO1564" i="1"/>
  <c r="AS1564" i="1" s="1"/>
  <c r="AO1565" i="1"/>
  <c r="AS1565" i="1" s="1"/>
  <c r="AO1566" i="1"/>
  <c r="AS1566" i="1" s="1"/>
  <c r="AO1567" i="1"/>
  <c r="AS1567" i="1" s="1"/>
  <c r="AO1568" i="1"/>
  <c r="AS1568" i="1" s="1"/>
  <c r="AO1569" i="1"/>
  <c r="AS1569" i="1" s="1"/>
  <c r="AO1570" i="1"/>
  <c r="AS1570" i="1" s="1"/>
  <c r="AO1571" i="1"/>
  <c r="AO1573" i="1"/>
  <c r="AS1573" i="1" s="1"/>
  <c r="AO1574" i="1"/>
  <c r="AS1574" i="1" s="1"/>
  <c r="AO1575" i="1"/>
  <c r="AO1576" i="1" s="1"/>
  <c r="AO1577" i="1"/>
  <c r="AS1577" i="1" s="1"/>
  <c r="AO1579" i="1"/>
  <c r="AS1579" i="1" s="1"/>
  <c r="AO1580" i="1"/>
  <c r="AS1580" i="1" s="1"/>
  <c r="AO1581" i="1"/>
  <c r="AS1581" i="1" s="1"/>
  <c r="AO1582" i="1"/>
  <c r="AS1582" i="1" s="1"/>
  <c r="AO1583" i="1"/>
  <c r="AO1584" i="1" s="1"/>
  <c r="AO1585" i="1"/>
  <c r="AS1585" i="1" s="1"/>
  <c r="AO1586" i="1"/>
  <c r="AO1587" i="1" s="1"/>
  <c r="AO1588" i="1"/>
  <c r="AS1588" i="1" s="1"/>
  <c r="AO1589" i="1"/>
  <c r="AS1589" i="1" s="1"/>
  <c r="AO1590" i="1"/>
  <c r="AS1590" i="1" s="1"/>
  <c r="AO1593" i="1"/>
  <c r="AS1593" i="1" s="1"/>
  <c r="AO1595" i="1"/>
  <c r="AS1595" i="1" s="1"/>
  <c r="AO1596" i="1"/>
  <c r="AS1596" i="1" s="1"/>
  <c r="AO1597" i="1"/>
  <c r="AS1597" i="1" s="1"/>
  <c r="AO1598" i="1"/>
  <c r="AS1598" i="1" s="1"/>
  <c r="AO1599" i="1"/>
  <c r="AO1601" i="1"/>
  <c r="AO1602" i="1" s="1"/>
  <c r="AS1602" i="1" s="1"/>
  <c r="AO1603" i="1"/>
  <c r="AS1603" i="1" s="1"/>
  <c r="AO1604" i="1"/>
  <c r="AS1604" i="1" s="1"/>
  <c r="AO1605" i="1"/>
  <c r="AS1605" i="1" s="1"/>
  <c r="AO1606" i="1"/>
  <c r="AO1611" i="1"/>
  <c r="AS1611" i="1" s="1"/>
  <c r="AO1612" i="1"/>
  <c r="AS1612" i="1" s="1"/>
  <c r="AO1613" i="1"/>
  <c r="AS1613" i="1" s="1"/>
  <c r="AO1614" i="1"/>
  <c r="AO1615" i="1" s="1"/>
  <c r="AS1615" i="1" s="1"/>
  <c r="AO1616" i="1"/>
  <c r="AS1616" i="1" s="1"/>
  <c r="AO1617" i="1"/>
  <c r="AO1619" i="1"/>
  <c r="AO1622" i="1"/>
  <c r="AS1622" i="1" s="1"/>
  <c r="AO1623" i="1"/>
  <c r="AS1623" i="1" s="1"/>
  <c r="AO1625" i="1"/>
  <c r="AS1625" i="1" s="1"/>
  <c r="AO1627" i="1"/>
  <c r="AS1627" i="1" s="1"/>
  <c r="AO1629" i="1"/>
  <c r="AS1629" i="1" s="1"/>
  <c r="AO1630" i="1"/>
  <c r="AS1630" i="1" s="1"/>
  <c r="AO1631" i="1"/>
  <c r="AO1632" i="1" s="1"/>
  <c r="AO1633" i="1"/>
  <c r="AS1633" i="1" s="1"/>
  <c r="AO1636" i="1"/>
  <c r="AO1637" i="1" s="1"/>
  <c r="AO1638" i="1"/>
  <c r="AO1639" i="1" s="1"/>
  <c r="AO1641" i="1"/>
  <c r="AS1641" i="1" s="1"/>
  <c r="AO1643" i="1"/>
  <c r="AO1644" i="1" s="1"/>
  <c r="AO1645" i="1" s="1"/>
  <c r="AO1646" i="1" s="1"/>
  <c r="AO1647" i="1" s="1"/>
  <c r="AO1649" i="1"/>
  <c r="AS1649" i="1" s="1"/>
  <c r="AO1650" i="1"/>
  <c r="AS1650" i="1" s="1"/>
  <c r="AO1651" i="1"/>
  <c r="AO1652" i="1" s="1"/>
  <c r="AS1652" i="1" s="1"/>
  <c r="AO1653" i="1"/>
  <c r="AS1653" i="1" s="1"/>
  <c r="AO1654" i="1"/>
  <c r="AS1654" i="1" s="1"/>
  <c r="AO1659" i="1"/>
  <c r="AS1659" i="1" s="1"/>
  <c r="AO1661" i="1"/>
  <c r="AS1661" i="1" s="1"/>
  <c r="AO1662" i="1"/>
  <c r="AS1662" i="1" s="1"/>
  <c r="AO1663" i="1"/>
  <c r="AS1663" i="1" s="1"/>
  <c r="AO1664" i="1"/>
  <c r="AS1664" i="1" s="1"/>
  <c r="AO1665" i="1"/>
  <c r="AS1665" i="1" s="1"/>
  <c r="AO1666" i="1"/>
  <c r="AO1667" i="1" s="1"/>
  <c r="AO1668" i="1"/>
  <c r="AO1669" i="1" s="1"/>
  <c r="AO1670" i="1"/>
  <c r="AO1671" i="1"/>
  <c r="AS1671" i="1" s="1"/>
  <c r="AO1672" i="1"/>
  <c r="AO1675" i="1"/>
  <c r="AO1677" i="1"/>
  <c r="AS1677" i="1" s="1"/>
  <c r="AO1678" i="1"/>
  <c r="AS1678" i="1" s="1"/>
  <c r="AO1679" i="1"/>
  <c r="AS1679" i="1" s="1"/>
  <c r="AO1680" i="1"/>
  <c r="AS1680" i="1" s="1"/>
  <c r="AO1681" i="1"/>
  <c r="AO1682" i="1" s="1"/>
  <c r="AO1683" i="1" s="1"/>
  <c r="AO1684" i="1"/>
  <c r="AO1685" i="1" s="1"/>
  <c r="AO1686" i="1"/>
  <c r="AS1686" i="1" s="1"/>
  <c r="AO1687" i="1"/>
  <c r="AS1687" i="1" s="1"/>
  <c r="AO1688" i="1"/>
  <c r="AS1688" i="1" s="1"/>
  <c r="AO1689" i="1"/>
  <c r="AS1689" i="1" s="1"/>
  <c r="AO1691" i="1"/>
  <c r="AO1692" i="1"/>
  <c r="AO1693" i="1"/>
  <c r="AS1693" i="1" s="1"/>
  <c r="AO1694" i="1"/>
  <c r="AO1695" i="1"/>
  <c r="AS1695" i="1" s="1"/>
  <c r="AO1696" i="1"/>
  <c r="AS1696" i="1" s="1"/>
  <c r="AO1697" i="1"/>
  <c r="AO1698" i="1"/>
  <c r="AS1698" i="1" s="1"/>
  <c r="AO1699" i="1"/>
  <c r="AS1699" i="1" s="1"/>
  <c r="AO1700" i="1"/>
  <c r="AS1700" i="1" s="1"/>
  <c r="AO1701" i="1"/>
  <c r="AS1701" i="1" s="1"/>
  <c r="AO1702" i="1"/>
  <c r="AS1702" i="1" s="1"/>
  <c r="AO1703" i="1"/>
  <c r="AS1703" i="1" s="1"/>
  <c r="AO1704" i="1"/>
  <c r="AS1704" i="1" s="1"/>
  <c r="AO1705" i="1"/>
  <c r="AO1707" i="1"/>
  <c r="AO1708" i="1"/>
  <c r="AO1709" i="1" s="1"/>
  <c r="AS1709" i="1" s="1"/>
  <c r="AO1710" i="1"/>
  <c r="AS1710" i="1" s="1"/>
  <c r="AO1711" i="1"/>
  <c r="AO1712" i="1" s="1"/>
  <c r="AS1712" i="1" s="1"/>
  <c r="AO1713" i="1"/>
  <c r="AS1713" i="1" s="1"/>
  <c r="AO1714" i="1"/>
  <c r="AS1714" i="1" s="1"/>
  <c r="AO1715" i="1"/>
  <c r="AO1716" i="1"/>
  <c r="AO1718" i="1"/>
  <c r="AS1718" i="1" s="1"/>
  <c r="AO1721" i="1"/>
  <c r="AS1721" i="1" s="1"/>
  <c r="AO1723" i="1"/>
  <c r="AS1723" i="1" s="1"/>
  <c r="AO1724" i="1"/>
  <c r="AO1725" i="1" s="1"/>
  <c r="AS1725" i="1" s="1"/>
  <c r="AO1726" i="1"/>
  <c r="AS1726" i="1" s="1"/>
  <c r="AO1727" i="1"/>
  <c r="AO1729" i="1"/>
  <c r="AO1730" i="1"/>
  <c r="AS1730" i="1" s="1"/>
  <c r="AO1731" i="1"/>
  <c r="AO1732" i="1" s="1"/>
  <c r="AS1732" i="1" s="1"/>
  <c r="AO1733" i="1"/>
  <c r="AS1733" i="1" s="1"/>
  <c r="AO1734" i="1"/>
  <c r="AS1734" i="1" s="1"/>
  <c r="AO1739" i="1"/>
  <c r="AO1741" i="1"/>
  <c r="AO1742" i="1"/>
  <c r="AO1743" i="1"/>
  <c r="AO1744" i="1" s="1"/>
  <c r="AO1745" i="1"/>
  <c r="AS1745" i="1" s="1"/>
  <c r="AO1746" i="1"/>
  <c r="AO1747" i="1"/>
  <c r="AO1748" i="1"/>
  <c r="AO1749" i="1" s="1"/>
  <c r="AO1750" i="1"/>
  <c r="AS1750" i="1" s="1"/>
  <c r="AO1751" i="1"/>
  <c r="AS1751" i="1" s="1"/>
  <c r="AO1752" i="1"/>
  <c r="AS1752" i="1" s="1"/>
  <c r="AO1753" i="1"/>
  <c r="AO1755" i="1"/>
  <c r="AO1757" i="1"/>
  <c r="AS1757" i="1" s="1"/>
  <c r="AO1758" i="1"/>
  <c r="AS1758" i="1" s="1"/>
  <c r="AO1759" i="1"/>
  <c r="AS1759" i="1" s="1"/>
  <c r="AO1760" i="1"/>
  <c r="AS1760" i="1" s="1"/>
  <c r="AO1761" i="1"/>
  <c r="AO1762" i="1" s="1"/>
  <c r="AO1763" i="1" s="1"/>
  <c r="AO1764" i="1"/>
  <c r="AO1765" i="1"/>
  <c r="AS1765" i="1" s="1"/>
  <c r="AO1766" i="1"/>
  <c r="AS1766" i="1" s="1"/>
  <c r="AO1768" i="1"/>
  <c r="AS1768" i="1" s="1"/>
  <c r="AO1769" i="1"/>
  <c r="AS1769" i="1" s="1"/>
  <c r="AO1770" i="1"/>
  <c r="AS1770" i="1" s="1"/>
  <c r="AO1771" i="1"/>
  <c r="AO1772" i="1" s="1"/>
  <c r="AS1772" i="1" s="1"/>
  <c r="AO1773" i="1"/>
  <c r="AS1773" i="1" s="1"/>
  <c r="AO1774" i="1"/>
  <c r="AO1775" i="1"/>
  <c r="AO1776" i="1"/>
  <c r="AS1776" i="1" s="1"/>
  <c r="AO1777" i="1"/>
  <c r="AS1777" i="1" s="1"/>
  <c r="AO1778" i="1"/>
  <c r="AS1778" i="1" s="1"/>
  <c r="AO1779" i="1"/>
  <c r="AO1780" i="1"/>
  <c r="AO1782" i="1"/>
  <c r="AS1782" i="1" s="1"/>
  <c r="AO1783" i="1"/>
  <c r="AS1783" i="1" s="1"/>
  <c r="AO1784" i="1"/>
  <c r="AS1784" i="1" s="1"/>
  <c r="AO1787" i="1"/>
  <c r="AO1789" i="1"/>
  <c r="AS1789" i="1" s="1"/>
  <c r="AO1790" i="1"/>
  <c r="AS1790" i="1" s="1"/>
  <c r="AO1791" i="1"/>
  <c r="AS1791" i="1" s="1"/>
  <c r="AO1792" i="1"/>
  <c r="AS1792" i="1" s="1"/>
  <c r="AO1793" i="1"/>
  <c r="AO1794" i="1"/>
  <c r="AO1795" i="1"/>
  <c r="AS1795" i="1" s="1"/>
  <c r="AO1796" i="1"/>
  <c r="AO1797" i="1" s="1"/>
  <c r="AO1798" i="1"/>
  <c r="AS1798" i="1" s="1"/>
  <c r="AO1801" i="1"/>
  <c r="AS1801" i="1" s="1"/>
  <c r="AO1803" i="1"/>
  <c r="AS1803" i="1" s="1"/>
  <c r="AO1807" i="1"/>
  <c r="AO1808" i="1" s="1"/>
  <c r="AS1808" i="1" s="1"/>
  <c r="AO1809" i="1"/>
  <c r="AS1809" i="1" s="1"/>
  <c r="AO1810" i="1"/>
  <c r="AS1810" i="1" s="1"/>
  <c r="AO1811" i="1"/>
  <c r="AS1811" i="1" s="1"/>
  <c r="AO1812" i="1"/>
  <c r="AO1813" i="1" s="1"/>
  <c r="AO1814" i="1"/>
  <c r="AS1814" i="1" s="1"/>
  <c r="AO1815" i="1"/>
  <c r="AS1815" i="1" s="1"/>
  <c r="AO1819" i="1"/>
  <c r="AO1821" i="1"/>
  <c r="AS1821" i="1" s="1"/>
  <c r="AO1822" i="1"/>
  <c r="AO1823" i="1"/>
  <c r="AS1823" i="1" s="1"/>
  <c r="AO1824" i="1"/>
  <c r="AS1824" i="1" s="1"/>
  <c r="AO1825" i="1"/>
  <c r="AS1825" i="1" s="1"/>
  <c r="AO1826" i="1"/>
  <c r="AS1826" i="1" s="1"/>
  <c r="AO1827" i="1"/>
  <c r="AS1827" i="1" s="1"/>
  <c r="AO1828" i="1"/>
  <c r="AS1828" i="1" s="1"/>
  <c r="AO1829" i="1"/>
  <c r="AS1829" i="1" s="1"/>
  <c r="AO1830" i="1"/>
  <c r="AS1830" i="1" s="1"/>
  <c r="AO1831" i="1"/>
  <c r="AS1831" i="1" s="1"/>
  <c r="AO1835" i="1"/>
  <c r="AS1835" i="1" s="1"/>
  <c r="AO1837" i="1"/>
  <c r="AS1837" i="1" s="1"/>
  <c r="AO1838" i="1"/>
  <c r="AO1839" i="1"/>
  <c r="AO1840" i="1" s="1"/>
  <c r="AS1840" i="1" s="1"/>
  <c r="AO1841" i="1"/>
  <c r="AO1842" i="1" s="1"/>
  <c r="AO1843" i="1"/>
  <c r="AS1843" i="1" s="1"/>
  <c r="AO1844" i="1"/>
  <c r="AO1845" i="1" s="1"/>
  <c r="AO1846" i="1"/>
  <c r="AO1847" i="1"/>
  <c r="AS1847" i="1" s="1"/>
  <c r="AO1848" i="1"/>
  <c r="AO1849" i="1"/>
  <c r="AO1851" i="1"/>
  <c r="AO1853" i="1"/>
  <c r="AS1853" i="1" s="1"/>
  <c r="AO1854" i="1"/>
  <c r="AS1854" i="1" s="1"/>
  <c r="AO1855" i="1"/>
  <c r="AS1855" i="1" s="1"/>
  <c r="AO1856" i="1"/>
  <c r="AS1856" i="1" s="1"/>
  <c r="AO1857" i="1"/>
  <c r="AS1857" i="1" s="1"/>
  <c r="AO1858" i="1"/>
  <c r="AO1859" i="1" s="1"/>
  <c r="AO1860" i="1"/>
  <c r="AS1860" i="1" s="1"/>
  <c r="AO1861" i="1"/>
  <c r="AS1861" i="1" s="1"/>
  <c r="AO1862" i="1"/>
  <c r="AS1862" i="1" s="1"/>
  <c r="AO1863" i="1"/>
  <c r="AO1864" i="1" s="1"/>
  <c r="AO1867" i="1"/>
  <c r="AO1868" i="1"/>
  <c r="AS1868" i="1" s="1"/>
  <c r="AO1869" i="1"/>
  <c r="AS1869" i="1" s="1"/>
  <c r="AO1870" i="1"/>
  <c r="AS1870" i="1" s="1"/>
  <c r="AO1871" i="1"/>
  <c r="AO1873" i="1"/>
  <c r="AS1873" i="1" s="1"/>
  <c r="AO1874" i="1"/>
  <c r="AO1875" i="1"/>
  <c r="AS1875" i="1" s="1"/>
  <c r="AO1876" i="1"/>
  <c r="AS1876" i="1" s="1"/>
  <c r="AO1877" i="1"/>
  <c r="AS1877" i="1" s="1"/>
  <c r="AO1878" i="1"/>
  <c r="AS1878" i="1" s="1"/>
  <c r="AO1880" i="1"/>
  <c r="AS1880" i="1" s="1"/>
  <c r="AO1881" i="1"/>
  <c r="AO1883" i="1"/>
  <c r="AS1883" i="1" s="1"/>
  <c r="AO1884" i="1"/>
  <c r="AS1884" i="1" s="1"/>
  <c r="AO1885" i="1"/>
  <c r="AS1885" i="1" s="1"/>
  <c r="AO1886" i="1"/>
  <c r="AO1887" i="1"/>
  <c r="AO1888" i="1" s="1"/>
  <c r="AS1888" i="1" s="1"/>
  <c r="AO1889" i="1"/>
  <c r="AO1891" i="1"/>
  <c r="AO1892" i="1"/>
  <c r="AS1892" i="1" s="1"/>
  <c r="AO1893" i="1"/>
  <c r="AS1893" i="1" s="1"/>
  <c r="AO1894" i="1"/>
  <c r="AS1894" i="1" s="1"/>
  <c r="AO1897" i="1"/>
  <c r="AS1897" i="1" s="1"/>
  <c r="AO1899" i="1"/>
  <c r="AS1899" i="1" s="1"/>
  <c r="AO1900" i="1"/>
  <c r="AS1900" i="1" s="1"/>
  <c r="AO1901" i="1"/>
  <c r="AS1901" i="1" s="1"/>
  <c r="AO1902" i="1"/>
  <c r="AO1903" i="1"/>
  <c r="AO1904" i="1"/>
  <c r="AS1904" i="1" s="1"/>
  <c r="AO1905" i="1"/>
  <c r="AS1905" i="1" s="1"/>
  <c r="AO1906" i="1"/>
  <c r="AS1906" i="1" s="1"/>
  <c r="AO1907" i="1"/>
  <c r="AS1907" i="1" s="1"/>
  <c r="AO1908" i="1"/>
  <c r="AO1910" i="1"/>
  <c r="AS1910" i="1" s="1"/>
  <c r="AO1915" i="1"/>
  <c r="AS1915" i="1" s="1"/>
  <c r="AO1917" i="1"/>
  <c r="AO1918" i="1"/>
  <c r="AO1919" i="1"/>
  <c r="AO1922" i="1"/>
  <c r="AS1922" i="1" s="1"/>
  <c r="AO1923" i="1"/>
  <c r="AS1923" i="1" s="1"/>
  <c r="AO1924" i="1"/>
  <c r="AO1925" i="1" s="1"/>
  <c r="AO1926" i="1"/>
  <c r="AS1926" i="1" s="1"/>
  <c r="AO1927" i="1"/>
  <c r="AS1927" i="1" s="1"/>
  <c r="AO1928" i="1"/>
  <c r="AO1929" i="1"/>
  <c r="AS1929" i="1" s="1"/>
  <c r="AO1931" i="1"/>
  <c r="AO1933" i="1"/>
  <c r="AS1933" i="1" s="1"/>
  <c r="AO1934" i="1"/>
  <c r="AS1934" i="1" s="1"/>
  <c r="AO1935" i="1"/>
  <c r="AS1935" i="1" s="1"/>
  <c r="AO1936" i="1"/>
  <c r="AS1936" i="1" s="1"/>
  <c r="AO1937" i="1"/>
  <c r="AS1937" i="1" s="1"/>
  <c r="AO1938" i="1"/>
  <c r="AS1938" i="1" s="1"/>
  <c r="AO1939" i="1"/>
  <c r="AO1940" i="1"/>
  <c r="AO1941" i="1"/>
  <c r="AS1941" i="1" s="1"/>
  <c r="AO1942" i="1"/>
  <c r="AS1942" i="1" s="1"/>
  <c r="AO1943" i="1"/>
  <c r="AS1943" i="1" s="1"/>
  <c r="AO1944" i="1"/>
  <c r="AS1944" i="1" s="1"/>
  <c r="AO1945" i="1"/>
  <c r="AO1949" i="1"/>
  <c r="AS1949" i="1" s="1"/>
  <c r="AO1950" i="1"/>
  <c r="AO1951" i="1"/>
  <c r="AO1953" i="1"/>
  <c r="AS1953" i="1" s="1"/>
  <c r="AO1954" i="1"/>
  <c r="AO1957" i="1"/>
  <c r="AS1957" i="1" s="1"/>
  <c r="AO1958" i="1"/>
  <c r="AS1958" i="1" s="1"/>
  <c r="AO1959" i="1"/>
  <c r="AO1960" i="1" s="1"/>
  <c r="AS1960" i="1" s="1"/>
  <c r="AO1961" i="1"/>
  <c r="AO1963" i="1"/>
  <c r="AO1964" i="1"/>
  <c r="AS1964" i="1" s="1"/>
  <c r="AO1965" i="1"/>
  <c r="AO1966" i="1"/>
  <c r="AO1967" i="1"/>
  <c r="AS1967" i="1" s="1"/>
  <c r="AO1968" i="1"/>
  <c r="AS1968" i="1" s="1"/>
  <c r="AO1969" i="1"/>
  <c r="AS1969" i="1" s="1"/>
  <c r="AO1970" i="1"/>
  <c r="AS1970" i="1" s="1"/>
  <c r="AO1971" i="1"/>
  <c r="AO1972" i="1"/>
  <c r="AO1973" i="1" s="1"/>
  <c r="AO1974" i="1"/>
  <c r="AO1979" i="1"/>
  <c r="AS1979" i="1" s="1"/>
  <c r="AO1980" i="1"/>
  <c r="AO1982" i="1"/>
  <c r="AO1983" i="1"/>
  <c r="AO1984" i="1" s="1"/>
  <c r="AS1984" i="1" s="1"/>
  <c r="AO1985" i="1"/>
  <c r="AO1986" i="1" s="1"/>
  <c r="AS1986" i="1" s="1"/>
  <c r="AO1987" i="1"/>
  <c r="AS1987" i="1" s="1"/>
  <c r="AO1988" i="1"/>
  <c r="AS1988" i="1" s="1"/>
  <c r="AO1989" i="1"/>
  <c r="AS1989" i="1" s="1"/>
  <c r="AO1990" i="1"/>
  <c r="AS1990" i="1" s="1"/>
  <c r="AO1991" i="1"/>
  <c r="AS1991" i="1" s="1"/>
  <c r="AO1992" i="1"/>
  <c r="AS1992" i="1" s="1"/>
  <c r="AO1995" i="1"/>
  <c r="AS1995" i="1" s="1"/>
  <c r="AO1997" i="1"/>
  <c r="AS1997" i="1" s="1"/>
  <c r="AO1998" i="1"/>
  <c r="AO1999" i="1"/>
  <c r="AO2000" i="1" s="1"/>
  <c r="AS2000" i="1" s="1"/>
  <c r="AO2001" i="1"/>
  <c r="AS2001" i="1" s="1"/>
  <c r="AO2002" i="1"/>
  <c r="AO2003" i="1"/>
  <c r="AS2003" i="1" s="1"/>
  <c r="AO2004" i="1"/>
  <c r="AS2004" i="1" s="1"/>
  <c r="AO2005" i="1"/>
  <c r="AS2005" i="1" s="1"/>
  <c r="AO2006" i="1"/>
  <c r="AO2007" i="1" s="1"/>
  <c r="AS2007" i="1" s="1"/>
  <c r="AO2008" i="1"/>
  <c r="AS2008" i="1" s="1"/>
  <c r="AO2009" i="1"/>
  <c r="AO2011" i="1"/>
  <c r="AO2012" i="1" s="1"/>
  <c r="AO2013" i="1" s="1"/>
  <c r="AO2014" i="1"/>
  <c r="AS2014" i="1" s="1"/>
  <c r="AO2015" i="1"/>
  <c r="AS2015" i="1" s="1"/>
  <c r="AO2016" i="1"/>
  <c r="AS2016" i="1" s="1"/>
  <c r="AO2017" i="1"/>
  <c r="AS2017" i="1" s="1"/>
  <c r="AO2018" i="1"/>
  <c r="AS2018" i="1" s="1"/>
  <c r="AO2019" i="1"/>
  <c r="AS2019" i="1" s="1"/>
  <c r="AO2020" i="1"/>
  <c r="AS2020" i="1" s="1"/>
  <c r="AO2021" i="1"/>
  <c r="AS2021" i="1" s="1"/>
  <c r="AO2022" i="1"/>
  <c r="AO2023" i="1" s="1"/>
  <c r="AO2024" i="1" s="1"/>
  <c r="AS2024" i="1" s="1"/>
  <c r="AO2025" i="1"/>
  <c r="AO2028" i="1"/>
  <c r="AS2028" i="1" s="1"/>
  <c r="AO2029" i="1"/>
  <c r="AS2029" i="1" s="1"/>
  <c r="AO2030" i="1"/>
  <c r="AS2030" i="1" s="1"/>
  <c r="AO2031" i="1"/>
  <c r="AS2031" i="1" s="1"/>
  <c r="AO2032" i="1"/>
  <c r="AS2032" i="1" s="1"/>
  <c r="AO2033" i="1"/>
  <c r="AS2033" i="1" s="1"/>
  <c r="AO2034" i="1"/>
  <c r="AS2034" i="1" s="1"/>
  <c r="AO2035" i="1"/>
  <c r="AO2036" i="1"/>
  <c r="AS2036" i="1" s="1"/>
  <c r="AO2037" i="1"/>
  <c r="AS2037" i="1" s="1"/>
  <c r="AO2038" i="1"/>
  <c r="AS2038" i="1" s="1"/>
  <c r="AO2040" i="1"/>
  <c r="AS2040" i="1" s="1"/>
  <c r="AO2041" i="1"/>
  <c r="AO2043" i="1"/>
  <c r="AS2043" i="1" s="1"/>
  <c r="AO2044" i="1"/>
  <c r="AS2044" i="1" s="1"/>
  <c r="AO2045" i="1"/>
  <c r="AS2045" i="1" s="1"/>
  <c r="AO2046" i="1"/>
  <c r="AO2047" i="1"/>
  <c r="AO2048" i="1" s="1"/>
  <c r="AO2049" i="1"/>
  <c r="AS2049" i="1" s="1"/>
  <c r="AO2050" i="1"/>
  <c r="AO2051" i="1"/>
  <c r="AS2051" i="1" s="1"/>
  <c r="AO2052" i="1"/>
  <c r="AO2053" i="1" s="1"/>
  <c r="AO2054" i="1"/>
  <c r="AS2054" i="1" s="1"/>
  <c r="AO2059" i="1"/>
  <c r="AS2059" i="1" s="1"/>
  <c r="AO2062" i="1"/>
  <c r="AS2062" i="1" s="1"/>
  <c r="AO2063" i="1"/>
  <c r="AS2063" i="1" s="1"/>
  <c r="AO2064" i="1"/>
  <c r="AS2064" i="1" s="1"/>
  <c r="AO2065" i="1"/>
  <c r="AO2066" i="1"/>
  <c r="AS2066" i="1" s="1"/>
  <c r="AO2067" i="1"/>
  <c r="AS2067" i="1" s="1"/>
  <c r="AO2068" i="1"/>
  <c r="AS2068" i="1" s="1"/>
  <c r="AO2069" i="1"/>
  <c r="AS2069" i="1" s="1"/>
  <c r="AO2070" i="1"/>
  <c r="AS2070" i="1" s="1"/>
  <c r="AO2071" i="1"/>
  <c r="AO2072" i="1" s="1"/>
  <c r="AO2073" i="1" s="1"/>
  <c r="AO2075" i="1"/>
  <c r="AO2077" i="1"/>
  <c r="AS2077" i="1" s="1"/>
  <c r="AO2078" i="1"/>
  <c r="AO2079" i="1"/>
  <c r="AO2082" i="1"/>
  <c r="AS2082" i="1" s="1"/>
  <c r="AO2083" i="1"/>
  <c r="AO2084" i="1"/>
  <c r="AO2085" i="1" s="1"/>
  <c r="AO2086" i="1"/>
  <c r="AO2091" i="1"/>
  <c r="AS2091" i="1" s="1"/>
  <c r="AO2092" i="1"/>
  <c r="AS2092" i="1" s="1"/>
  <c r="AO2093" i="1"/>
  <c r="AS2093" i="1" s="1"/>
  <c r="AO2094" i="1"/>
  <c r="AO2095" i="1"/>
  <c r="AO2096" i="1" s="1"/>
  <c r="AO2097" i="1"/>
  <c r="AO2099" i="1"/>
  <c r="AO2101" i="1"/>
  <c r="AS2101" i="1" s="1"/>
  <c r="AO2102" i="1"/>
  <c r="AS2102" i="1" s="1"/>
  <c r="AO2107" i="1"/>
  <c r="AO2108" i="1" s="1"/>
  <c r="AS2108" i="1" s="1"/>
  <c r="AO2109" i="1"/>
  <c r="AS2109" i="1" s="1"/>
  <c r="AO2110" i="1"/>
  <c r="AS2110" i="1" s="1"/>
  <c r="AO2111" i="1"/>
  <c r="AS2111" i="1" s="1"/>
  <c r="AO2112" i="1"/>
  <c r="AS2112" i="1" s="1"/>
  <c r="AO2113" i="1"/>
  <c r="AS2113" i="1" s="1"/>
  <c r="AO2114" i="1"/>
  <c r="AO2115" i="1" s="1"/>
  <c r="AO2116" i="1"/>
  <c r="AO2118" i="1"/>
  <c r="AS2118" i="1" s="1"/>
  <c r="AO2119" i="1"/>
  <c r="AS2119" i="1" s="1"/>
  <c r="AO2123" i="1"/>
  <c r="AS2123" i="1" s="1"/>
  <c r="AO2125" i="1"/>
  <c r="AO2126" i="1"/>
  <c r="AS2126" i="1" s="1"/>
  <c r="AO2127" i="1"/>
  <c r="AS2127" i="1" s="1"/>
  <c r="AO2128" i="1"/>
  <c r="AS2128" i="1" s="1"/>
  <c r="AO2129" i="1"/>
  <c r="AO2130" i="1"/>
  <c r="AS2130" i="1" s="1"/>
  <c r="AO2131" i="1"/>
  <c r="AS2131" i="1" s="1"/>
  <c r="AO2132" i="1"/>
  <c r="AO2133" i="1" s="1"/>
  <c r="AO2134" i="1" s="1"/>
  <c r="AO2136" i="1"/>
  <c r="AS2136" i="1" s="1"/>
  <c r="AO2137" i="1"/>
  <c r="AO2139" i="1"/>
  <c r="AS2139" i="1" s="1"/>
  <c r="AO2141" i="1"/>
  <c r="AS2141" i="1" s="1"/>
  <c r="AO2142" i="1"/>
  <c r="AS2142" i="1" s="1"/>
  <c r="AO2143" i="1"/>
  <c r="AS2143" i="1" s="1"/>
  <c r="AO2144" i="1"/>
  <c r="AS2144" i="1" s="1"/>
  <c r="AO2145" i="1"/>
  <c r="AO2146" i="1"/>
  <c r="AS2146" i="1" s="1"/>
  <c r="AO2147" i="1"/>
  <c r="AS2147" i="1" s="1"/>
  <c r="AO2148" i="1"/>
  <c r="AS2148" i="1" s="1"/>
  <c r="AO2149" i="1"/>
  <c r="AS2149" i="1" s="1"/>
  <c r="AO2150" i="1"/>
  <c r="AS2150" i="1" s="1"/>
  <c r="AO2151" i="1"/>
  <c r="AS2151" i="1" s="1"/>
  <c r="AO2152" i="1"/>
  <c r="AO2153" i="1"/>
  <c r="AS2153" i="1" s="1"/>
  <c r="AO2155" i="1"/>
  <c r="AO2157" i="1"/>
  <c r="AS2157" i="1" s="1"/>
  <c r="AO2158" i="1"/>
  <c r="AO2159" i="1"/>
  <c r="AO2160" i="1"/>
  <c r="AS2160" i="1" s="1"/>
  <c r="AO2161" i="1"/>
  <c r="AS2161" i="1" s="1"/>
  <c r="AO2162" i="1"/>
  <c r="AO2163" i="1" s="1"/>
  <c r="AO2164" i="1" s="1"/>
  <c r="AO2165" i="1"/>
  <c r="AS2165" i="1" s="1"/>
  <c r="AO2166" i="1"/>
  <c r="AO2167" i="1" s="1"/>
  <c r="AS2167" i="1" s="1"/>
  <c r="AO2168" i="1"/>
  <c r="AS2168" i="1" s="1"/>
  <c r="AO2169" i="1"/>
  <c r="AS2169" i="1" s="1"/>
  <c r="AO2171" i="1"/>
  <c r="AO2172" i="1"/>
  <c r="AS2172" i="1" s="1"/>
  <c r="AO2173" i="1"/>
  <c r="AS2173" i="1" s="1"/>
  <c r="AO2174" i="1"/>
  <c r="AO2175" i="1"/>
  <c r="AO2176" i="1"/>
  <c r="AS2176" i="1" s="1"/>
  <c r="AO2177" i="1"/>
  <c r="AS2177" i="1" s="1"/>
  <c r="AO2178" i="1"/>
  <c r="AO2179" i="1"/>
  <c r="AS2179" i="1" s="1"/>
  <c r="AO2180" i="1"/>
  <c r="AO2181" i="1" s="1"/>
  <c r="AO2182" i="1"/>
  <c r="AO2183" i="1" s="1"/>
  <c r="AS2183" i="1" s="1"/>
  <c r="AO2184" i="1"/>
  <c r="AS2184" i="1" s="1"/>
  <c r="AO2185" i="1"/>
  <c r="AS2185" i="1" s="1"/>
  <c r="AO2187" i="1"/>
  <c r="AS2187" i="1" s="1"/>
  <c r="AO2188" i="1"/>
  <c r="AS2188" i="1" s="1"/>
  <c r="AO2189" i="1"/>
  <c r="AS2189" i="1" s="1"/>
  <c r="AO2190" i="1"/>
  <c r="AS2190" i="1" s="1"/>
  <c r="AO2191" i="1"/>
  <c r="AS2191" i="1" s="1"/>
  <c r="AO2192" i="1"/>
  <c r="AS2192" i="1" s="1"/>
  <c r="AO2193" i="1"/>
  <c r="AS2193" i="1" s="1"/>
  <c r="AO2194" i="1"/>
  <c r="AS2194" i="1" s="1"/>
  <c r="AO2195" i="1"/>
  <c r="AS2195" i="1" s="1"/>
  <c r="AO2196" i="1"/>
  <c r="AS2196" i="1" s="1"/>
  <c r="AO2197" i="1"/>
  <c r="AS2197" i="1" s="1"/>
  <c r="AO2198" i="1"/>
  <c r="AS2198" i="1" s="1"/>
  <c r="AO2199" i="1"/>
  <c r="AS2199" i="1" s="1"/>
  <c r="AO2200" i="1"/>
  <c r="AS2200" i="1" s="1"/>
  <c r="AO2201" i="1"/>
  <c r="AS2201" i="1" s="1"/>
  <c r="AO2203" i="1"/>
  <c r="AS2203" i="1" s="1"/>
  <c r="AO2204" i="1"/>
  <c r="AS2204" i="1" s="1"/>
  <c r="AO2205" i="1"/>
  <c r="AS2205" i="1" s="1"/>
  <c r="AO2206" i="1"/>
  <c r="AO2207" i="1"/>
  <c r="AS2207" i="1" s="1"/>
  <c r="AO2208" i="1"/>
  <c r="AS2208" i="1" s="1"/>
  <c r="AO2209" i="1"/>
  <c r="AS2209" i="1" s="1"/>
  <c r="AO2210" i="1"/>
  <c r="AO2212" i="1"/>
  <c r="AO2213" i="1" s="1"/>
  <c r="AO2214" i="1"/>
  <c r="AS2214" i="1" s="1"/>
  <c r="AO2219" i="1"/>
  <c r="AS2219" i="1" s="1"/>
  <c r="AO2220" i="1"/>
  <c r="AS2220" i="1" s="1"/>
  <c r="AO2221" i="1"/>
  <c r="AS2221" i="1" s="1"/>
  <c r="AO2222" i="1"/>
  <c r="AO2223" i="1"/>
  <c r="AO2224" i="1" s="1"/>
  <c r="AS2224" i="1" s="1"/>
  <c r="AO2225" i="1"/>
  <c r="AO2226" i="1"/>
  <c r="AS2226" i="1" s="1"/>
  <c r="AO2227" i="1"/>
  <c r="AS2227" i="1" s="1"/>
  <c r="AO2228" i="1"/>
  <c r="AO2229" i="1" s="1"/>
  <c r="AO2230" i="1"/>
  <c r="AO2231" i="1" s="1"/>
  <c r="AS2231" i="1" s="1"/>
  <c r="AO2235" i="1"/>
  <c r="AO2237" i="1"/>
  <c r="AO2238" i="1"/>
  <c r="AS2238" i="1" s="1"/>
  <c r="AO2239" i="1"/>
  <c r="AS2239" i="1" s="1"/>
  <c r="AO2240" i="1"/>
  <c r="AS2240" i="1" s="1"/>
  <c r="AO2241" i="1"/>
  <c r="AO2242" i="1"/>
  <c r="AS2242" i="1" s="1"/>
  <c r="AO2243" i="1"/>
  <c r="AS2243" i="1" s="1"/>
  <c r="AO2244" i="1"/>
  <c r="AO2245" i="1" s="1"/>
  <c r="AO2246" i="1"/>
  <c r="AS2246" i="1" s="1"/>
  <c r="AO2247" i="1"/>
  <c r="AS2247" i="1" s="1"/>
  <c r="AO2248" i="1"/>
  <c r="AO2251" i="1"/>
  <c r="AO2253" i="1"/>
  <c r="AO2254" i="1"/>
  <c r="AO2255" i="1"/>
  <c r="AS2255" i="1" s="1"/>
  <c r="AO2256" i="1"/>
  <c r="AS2256" i="1" s="1"/>
  <c r="AO2257" i="1"/>
  <c r="AS2257" i="1" s="1"/>
  <c r="AO2258" i="1"/>
  <c r="AS2258" i="1" s="1"/>
  <c r="AO2259" i="1"/>
  <c r="AS2259" i="1" s="1"/>
  <c r="AO2260" i="1"/>
  <c r="AS2260" i="1" s="1"/>
  <c r="AO2261" i="1"/>
  <c r="AS2261" i="1" s="1"/>
  <c r="AO2262" i="1"/>
  <c r="AS2262" i="1" s="1"/>
  <c r="AO2263" i="1"/>
  <c r="AS2263" i="1" s="1"/>
  <c r="AO2264" i="1"/>
  <c r="AS2264" i="1" s="1"/>
  <c r="AO2267" i="1"/>
  <c r="AO2269" i="1"/>
  <c r="AS2269" i="1" s="1"/>
  <c r="AO2270" i="1"/>
  <c r="AO2271" i="1" s="1"/>
  <c r="AO2272" i="1" s="1"/>
  <c r="AO2273" i="1"/>
  <c r="AS2273" i="1" s="1"/>
  <c r="AO2274" i="1"/>
  <c r="AS2274" i="1" s="1"/>
  <c r="AO2275" i="1"/>
  <c r="AS2275" i="1" s="1"/>
  <c r="AO2276" i="1"/>
  <c r="AS2276" i="1" s="1"/>
  <c r="AO2277" i="1"/>
  <c r="AS2277" i="1" s="1"/>
  <c r="AO2278" i="1"/>
  <c r="AS2278" i="1" s="1"/>
  <c r="AO2279" i="1"/>
  <c r="AS2279" i="1" s="1"/>
  <c r="AO2280" i="1"/>
  <c r="AS2280" i="1" s="1"/>
  <c r="AO2281" i="1"/>
  <c r="AO2283" i="1"/>
  <c r="AS2283" i="1" s="1"/>
  <c r="AO2285" i="1"/>
  <c r="AS2285" i="1" s="1"/>
  <c r="AO2286" i="1"/>
  <c r="AS2286" i="1" s="1"/>
  <c r="AO2287" i="1"/>
  <c r="AO2288" i="1" s="1"/>
  <c r="AO2289" i="1"/>
  <c r="AO2290" i="1"/>
  <c r="AO2292" i="1"/>
  <c r="AO2293" i="1" s="1"/>
  <c r="AO2294" i="1"/>
  <c r="AS2294" i="1" s="1"/>
  <c r="AO2295" i="1"/>
  <c r="AS2295" i="1" s="1"/>
  <c r="AO2296" i="1"/>
  <c r="AS2296" i="1" s="1"/>
  <c r="AO2297" i="1"/>
  <c r="AS2297" i="1" s="1"/>
  <c r="AO2299" i="1"/>
  <c r="AS2299" i="1" s="1"/>
  <c r="AO2300" i="1"/>
  <c r="AS2300" i="1" s="1"/>
  <c r="AO2301" i="1"/>
  <c r="AS2301" i="1" s="1"/>
  <c r="AO2302" i="1"/>
  <c r="AO2303" i="1"/>
  <c r="AS2303" i="1" s="1"/>
  <c r="AO2304" i="1"/>
  <c r="AS2304" i="1" s="1"/>
  <c r="AO2305" i="1"/>
  <c r="AS2305" i="1" s="1"/>
  <c r="AO2306" i="1"/>
  <c r="AS2306" i="1" s="1"/>
  <c r="AO2307" i="1"/>
  <c r="AS2307" i="1" s="1"/>
  <c r="AO2308" i="1"/>
  <c r="AO2309" i="1" s="1"/>
  <c r="AO2310" i="1"/>
  <c r="AS2310" i="1" s="1"/>
  <c r="AO2311" i="1"/>
  <c r="AS2311" i="1" s="1"/>
  <c r="AO2312" i="1"/>
  <c r="AS2312" i="1" s="1"/>
  <c r="AO2313" i="1"/>
  <c r="AO2315" i="1"/>
  <c r="AS2315" i="1" s="1"/>
  <c r="AO2316" i="1"/>
  <c r="AO2317" i="1" s="1"/>
  <c r="AS2317" i="1" s="1"/>
  <c r="AO2318" i="1"/>
  <c r="AS2318" i="1" s="1"/>
  <c r="AO2319" i="1"/>
  <c r="AO2320" i="1" s="1"/>
  <c r="AO2321" i="1"/>
  <c r="AS2321" i="1" s="1"/>
  <c r="AO2322" i="1"/>
  <c r="AS2322" i="1" s="1"/>
  <c r="AO2323" i="1"/>
  <c r="AS2323" i="1" s="1"/>
  <c r="AO2324" i="1"/>
  <c r="AS2324" i="1" s="1"/>
  <c r="AO2325" i="1"/>
  <c r="AS2325" i="1" s="1"/>
  <c r="AO2326" i="1"/>
  <c r="AS2326" i="1" s="1"/>
  <c r="AO2329" i="1"/>
  <c r="AO2331" i="1"/>
  <c r="AO2332" i="1"/>
  <c r="AS2332" i="1" s="1"/>
  <c r="AO2333" i="1"/>
  <c r="AO2334" i="1"/>
  <c r="AO2335" i="1"/>
  <c r="AS2335" i="1" s="1"/>
  <c r="AO2336" i="1"/>
  <c r="AS2336" i="1" s="1"/>
  <c r="AO2337" i="1"/>
  <c r="AS2337" i="1" s="1"/>
  <c r="AO2338" i="1"/>
  <c r="AS2338" i="1" s="1"/>
  <c r="AO2339" i="1"/>
  <c r="AS2339" i="1" s="1"/>
  <c r="AO2340" i="1"/>
  <c r="AS2340" i="1" s="1"/>
  <c r="AO2341" i="1"/>
  <c r="AS2341" i="1" s="1"/>
  <c r="AO2342" i="1"/>
  <c r="AS2342" i="1" s="1"/>
  <c r="AO2347" i="1"/>
  <c r="AS2347" i="1" s="1"/>
  <c r="AO2348" i="1"/>
  <c r="AO2349" i="1" s="1"/>
  <c r="AS2349" i="1" s="1"/>
  <c r="AO2350" i="1"/>
  <c r="AO2351" i="1" s="1"/>
  <c r="AO2352" i="1"/>
  <c r="AS2352" i="1" s="1"/>
  <c r="AO2353" i="1"/>
  <c r="AO2354" i="1" s="1"/>
  <c r="AO2355" i="1"/>
  <c r="AS2355" i="1" s="1"/>
  <c r="AO2356" i="1"/>
  <c r="AO2357" i="1" s="1"/>
  <c r="AO2358" i="1"/>
  <c r="AS2358" i="1" s="1"/>
  <c r="AO2359" i="1"/>
  <c r="AS2359" i="1" s="1"/>
  <c r="AO2363" i="1"/>
  <c r="AO2365" i="1"/>
  <c r="AS2365" i="1" s="1"/>
  <c r="AO2366" i="1"/>
  <c r="AS2366" i="1" s="1"/>
  <c r="AO2367" i="1"/>
  <c r="AS2367" i="1" s="1"/>
  <c r="AO2368" i="1"/>
  <c r="AS2368" i="1" s="1"/>
  <c r="AO2369" i="1"/>
  <c r="AO2370" i="1" s="1"/>
  <c r="AO2371" i="1" s="1"/>
  <c r="AO2372" i="1"/>
  <c r="AO2373" i="1" s="1"/>
  <c r="AO2374" i="1"/>
  <c r="AO2375" i="1"/>
  <c r="AS2375" i="1" s="1"/>
  <c r="AO2376" i="1"/>
  <c r="AS2376" i="1" s="1"/>
  <c r="AO2377" i="1"/>
  <c r="AS2377" i="1" s="1"/>
  <c r="AO2379" i="1"/>
  <c r="AS2379" i="1" s="1"/>
  <c r="AO2381" i="1"/>
  <c r="AS2381" i="1" s="1"/>
  <c r="AO2382" i="1"/>
  <c r="AS2382" i="1" s="1"/>
  <c r="AO2383" i="1"/>
  <c r="AS2383" i="1" s="1"/>
  <c r="AO2385" i="1"/>
  <c r="AS2385" i="1" s="1"/>
  <c r="AO2386" i="1"/>
  <c r="AS2386" i="1" s="1"/>
  <c r="AO2387" i="1"/>
  <c r="AO2388" i="1"/>
  <c r="AO2390" i="1"/>
  <c r="AS2390" i="1" s="1"/>
  <c r="AO2391" i="1"/>
  <c r="AO2392" i="1" s="1"/>
  <c r="AO2393" i="1"/>
  <c r="AO2395" i="1"/>
  <c r="AO2396" i="1" s="1"/>
  <c r="AS2396" i="1" s="1"/>
  <c r="AO2397" i="1"/>
  <c r="AS2397" i="1" s="1"/>
  <c r="AO2398" i="1"/>
  <c r="AS2398" i="1" s="1"/>
  <c r="AO2399" i="1"/>
  <c r="AO2401" i="1"/>
  <c r="AS2401" i="1" s="1"/>
  <c r="AO2402" i="1"/>
  <c r="AO2403" i="1"/>
  <c r="AS2403" i="1" s="1"/>
  <c r="AO2405" i="1"/>
  <c r="AS2405" i="1" s="1"/>
  <c r="AO2406" i="1"/>
  <c r="AS2406" i="1" s="1"/>
  <c r="AO2407" i="1"/>
  <c r="AS2407" i="1" s="1"/>
  <c r="AO2408" i="1"/>
  <c r="AS2408" i="1" s="1"/>
  <c r="AO2409" i="1"/>
  <c r="AS2409" i="1" s="1"/>
  <c r="AO2411" i="1"/>
  <c r="AO2412" i="1"/>
  <c r="AS2412" i="1" s="1"/>
  <c r="AO2413" i="1"/>
  <c r="AO2414" i="1"/>
  <c r="AO2415" i="1" s="1"/>
  <c r="AO2416" i="1" s="1"/>
  <c r="AO2417" i="1" s="1"/>
  <c r="AO2418" i="1"/>
  <c r="AS2418" i="1" s="1"/>
  <c r="AO2419" i="1"/>
  <c r="AO2420" i="1"/>
  <c r="AO2421" i="1"/>
  <c r="AS2421" i="1" s="1"/>
  <c r="AO2422" i="1"/>
  <c r="AO2427" i="1"/>
  <c r="AS2427" i="1" s="1"/>
  <c r="W4" i="1"/>
  <c r="AM4" i="1" s="1"/>
  <c r="W5" i="1"/>
  <c r="AO5" i="1" s="1"/>
  <c r="AS5" i="1" s="1"/>
  <c r="W6" i="1"/>
  <c r="AO6" i="1" s="1"/>
  <c r="AS6" i="1" s="1"/>
  <c r="W7" i="1"/>
  <c r="AO7" i="1" s="1"/>
  <c r="AS7" i="1" s="1"/>
  <c r="W8" i="1"/>
  <c r="AO8" i="1" s="1"/>
  <c r="AS8" i="1" s="1"/>
  <c r="W9" i="1"/>
  <c r="AO9" i="1" s="1"/>
  <c r="AS9" i="1" s="1"/>
  <c r="W10" i="1"/>
  <c r="AO10" i="1" s="1"/>
  <c r="AS10" i="1" s="1"/>
  <c r="W11" i="1"/>
  <c r="W12" i="1"/>
  <c r="AO12" i="1" s="1"/>
  <c r="AS12" i="1" s="1"/>
  <c r="W13" i="1"/>
  <c r="AO13" i="1" s="1"/>
  <c r="AS13" i="1" s="1"/>
  <c r="W14" i="1"/>
  <c r="W15" i="1"/>
  <c r="AO15" i="1" s="1"/>
  <c r="AS15" i="1" s="1"/>
  <c r="W16" i="1"/>
  <c r="AO16" i="1" s="1"/>
  <c r="AS16" i="1" s="1"/>
  <c r="W17" i="1"/>
  <c r="W18" i="1"/>
  <c r="AO18" i="1" s="1"/>
  <c r="AS18" i="1" s="1"/>
  <c r="W19" i="1"/>
  <c r="AO19" i="1" s="1"/>
  <c r="AS19" i="1" s="1"/>
  <c r="W20" i="1"/>
  <c r="AO20" i="1" s="1"/>
  <c r="AS20" i="1" s="1"/>
  <c r="W21" i="1"/>
  <c r="AO21" i="1" s="1"/>
  <c r="AS21" i="1" s="1"/>
  <c r="W22" i="1"/>
  <c r="AO22" i="1" s="1"/>
  <c r="AS22" i="1" s="1"/>
  <c r="W23" i="1"/>
  <c r="AO23" i="1" s="1"/>
  <c r="AS23" i="1" s="1"/>
  <c r="W24" i="1"/>
  <c r="AO24" i="1" s="1"/>
  <c r="AS24" i="1" s="1"/>
  <c r="W25" i="1"/>
  <c r="AO25" i="1" s="1"/>
  <c r="AS25" i="1" s="1"/>
  <c r="W26" i="1"/>
  <c r="AO26" i="1" s="1"/>
  <c r="AS26" i="1" s="1"/>
  <c r="W27" i="1"/>
  <c r="AO27" i="1" s="1"/>
  <c r="AS27" i="1" s="1"/>
  <c r="W28" i="1"/>
  <c r="AO28" i="1" s="1"/>
  <c r="AS28" i="1" s="1"/>
  <c r="W29" i="1"/>
  <c r="W30" i="1"/>
  <c r="W31" i="1"/>
  <c r="AO31" i="1" s="1"/>
  <c r="AS31" i="1" s="1"/>
  <c r="W32" i="1"/>
  <c r="AO32" i="1" s="1"/>
  <c r="AS32" i="1" s="1"/>
  <c r="W33" i="1"/>
  <c r="W34" i="1"/>
  <c r="W35" i="1"/>
  <c r="AO35" i="1" s="1"/>
  <c r="AS35" i="1" s="1"/>
  <c r="W36" i="1"/>
  <c r="AO36" i="1" s="1"/>
  <c r="AS36" i="1" s="1"/>
  <c r="W37" i="1"/>
  <c r="AO37" i="1" s="1"/>
  <c r="AS37" i="1" s="1"/>
  <c r="W38" i="1"/>
  <c r="AO38" i="1" s="1"/>
  <c r="AS38" i="1" s="1"/>
  <c r="W39" i="1"/>
  <c r="AO39" i="1" s="1"/>
  <c r="AS39" i="1" s="1"/>
  <c r="W40" i="1"/>
  <c r="AO40" i="1" s="1"/>
  <c r="AS40" i="1" s="1"/>
  <c r="W41" i="1"/>
  <c r="AO41" i="1" s="1"/>
  <c r="AS41" i="1" s="1"/>
  <c r="W42" i="1"/>
  <c r="AO42" i="1" s="1"/>
  <c r="AS42" i="1" s="1"/>
  <c r="W43" i="1"/>
  <c r="W44" i="1"/>
  <c r="AO44" i="1" s="1"/>
  <c r="AS44" i="1" s="1"/>
  <c r="W45" i="1"/>
  <c r="W46" i="1"/>
  <c r="W47" i="1"/>
  <c r="AO47" i="1" s="1"/>
  <c r="AS47" i="1" s="1"/>
  <c r="W48" i="1"/>
  <c r="AO48" i="1" s="1"/>
  <c r="AS48" i="1" s="1"/>
  <c r="W49" i="1"/>
  <c r="W50" i="1"/>
  <c r="AO50" i="1" s="1"/>
  <c r="AS50" i="1" s="1"/>
  <c r="W51" i="1"/>
  <c r="AO51" i="1" s="1"/>
  <c r="AS51" i="1" s="1"/>
  <c r="W52" i="1"/>
  <c r="W53" i="1"/>
  <c r="AO53" i="1" s="1"/>
  <c r="AS53" i="1" s="1"/>
  <c r="W54" i="1"/>
  <c r="AO54" i="1" s="1"/>
  <c r="AS54" i="1" s="1"/>
  <c r="W55" i="1"/>
  <c r="AO55" i="1" s="1"/>
  <c r="AS55" i="1" s="1"/>
  <c r="W56" i="1"/>
  <c r="AO56" i="1" s="1"/>
  <c r="AS56" i="1" s="1"/>
  <c r="W57" i="1"/>
  <c r="AO57" i="1" s="1"/>
  <c r="AS57" i="1" s="1"/>
  <c r="W58" i="1"/>
  <c r="AO58" i="1" s="1"/>
  <c r="AS58" i="1" s="1"/>
  <c r="W59" i="1"/>
  <c r="AO59" i="1" s="1"/>
  <c r="AS59" i="1" s="1"/>
  <c r="W60" i="1"/>
  <c r="AO60" i="1" s="1"/>
  <c r="AS60" i="1" s="1"/>
  <c r="W61" i="1"/>
  <c r="AO61" i="1" s="1"/>
  <c r="AS61" i="1" s="1"/>
  <c r="W62" i="1"/>
  <c r="AO62" i="1" s="1"/>
  <c r="AS62" i="1" s="1"/>
  <c r="W63" i="1"/>
  <c r="AO63" i="1" s="1"/>
  <c r="AS63" i="1" s="1"/>
  <c r="W64" i="1"/>
  <c r="AO64" i="1" s="1"/>
  <c r="AS64" i="1" s="1"/>
  <c r="W65" i="1"/>
  <c r="W66" i="1"/>
  <c r="W67" i="1"/>
  <c r="AO67" i="1" s="1"/>
  <c r="AS67" i="1" s="1"/>
  <c r="W68" i="1"/>
  <c r="W69" i="1"/>
  <c r="AO69" i="1" s="1"/>
  <c r="AS69" i="1" s="1"/>
  <c r="W70" i="1"/>
  <c r="AO70" i="1" s="1"/>
  <c r="AS70" i="1" s="1"/>
  <c r="W71" i="1"/>
  <c r="AO71" i="1" s="1"/>
  <c r="AS71" i="1" s="1"/>
  <c r="W72" i="1"/>
  <c r="AO72" i="1" s="1"/>
  <c r="AS72" i="1" s="1"/>
  <c r="W73" i="1"/>
  <c r="AO73" i="1" s="1"/>
  <c r="AS73" i="1" s="1"/>
  <c r="W74" i="1"/>
  <c r="AO74" i="1" s="1"/>
  <c r="AS74" i="1" s="1"/>
  <c r="W75" i="1"/>
  <c r="AO75" i="1" s="1"/>
  <c r="AS75" i="1" s="1"/>
  <c r="W76" i="1"/>
  <c r="AO76" i="1" s="1"/>
  <c r="AS76" i="1" s="1"/>
  <c r="W77" i="1"/>
  <c r="AO77" i="1" s="1"/>
  <c r="AS77" i="1" s="1"/>
  <c r="W78" i="1"/>
  <c r="AO78" i="1" s="1"/>
  <c r="AS78" i="1" s="1"/>
  <c r="W79" i="1"/>
  <c r="AO79" i="1" s="1"/>
  <c r="AS79" i="1" s="1"/>
  <c r="W80" i="1"/>
  <c r="AO80" i="1" s="1"/>
  <c r="AS80" i="1" s="1"/>
  <c r="W81" i="1"/>
  <c r="W82" i="1"/>
  <c r="AO82" i="1" s="1"/>
  <c r="AS82" i="1" s="1"/>
  <c r="W83" i="1"/>
  <c r="AO83" i="1" s="1"/>
  <c r="AS83" i="1" s="1"/>
  <c r="W84" i="1"/>
  <c r="W85" i="1"/>
  <c r="AO85" i="1" s="1"/>
  <c r="AS85" i="1" s="1"/>
  <c r="W86" i="1"/>
  <c r="AO86" i="1" s="1"/>
  <c r="AS86" i="1" s="1"/>
  <c r="W87" i="1"/>
  <c r="AO87" i="1" s="1"/>
  <c r="AS87" i="1" s="1"/>
  <c r="W88" i="1"/>
  <c r="AO88" i="1" s="1"/>
  <c r="AS88" i="1" s="1"/>
  <c r="W89" i="1"/>
  <c r="AO89" i="1" s="1"/>
  <c r="AS89" i="1" s="1"/>
  <c r="W90" i="1"/>
  <c r="AO90" i="1" s="1"/>
  <c r="AS90" i="1" s="1"/>
  <c r="W91" i="1"/>
  <c r="W92" i="1"/>
  <c r="W93" i="1"/>
  <c r="AO93" i="1" s="1"/>
  <c r="AS93" i="1" s="1"/>
  <c r="W94" i="1"/>
  <c r="AO94" i="1" s="1"/>
  <c r="AS94" i="1" s="1"/>
  <c r="W95" i="1"/>
  <c r="AO95" i="1" s="1"/>
  <c r="AS95" i="1" s="1"/>
  <c r="W96" i="1"/>
  <c r="W97" i="1"/>
  <c r="W98" i="1"/>
  <c r="AO98" i="1" s="1"/>
  <c r="AS98" i="1" s="1"/>
  <c r="W99" i="1"/>
  <c r="AO99" i="1" s="1"/>
  <c r="AS99" i="1" s="1"/>
  <c r="W100" i="1"/>
  <c r="AO100" i="1" s="1"/>
  <c r="AS100" i="1" s="1"/>
  <c r="W101" i="1"/>
  <c r="AO101" i="1" s="1"/>
  <c r="AS101" i="1" s="1"/>
  <c r="W102" i="1"/>
  <c r="AO102" i="1" s="1"/>
  <c r="AS102" i="1" s="1"/>
  <c r="W103" i="1"/>
  <c r="W104" i="1"/>
  <c r="AO104" i="1" s="1"/>
  <c r="AS104" i="1" s="1"/>
  <c r="W105" i="1"/>
  <c r="W106" i="1"/>
  <c r="AO106" i="1" s="1"/>
  <c r="AS106" i="1" s="1"/>
  <c r="W107" i="1"/>
  <c r="AO107" i="1" s="1"/>
  <c r="AS107" i="1" s="1"/>
  <c r="W108" i="1"/>
  <c r="W109" i="1"/>
  <c r="AO109" i="1" s="1"/>
  <c r="AS109" i="1" s="1"/>
  <c r="W110" i="1"/>
  <c r="W111" i="1"/>
  <c r="AO111" i="1" s="1"/>
  <c r="AS111" i="1" s="1"/>
  <c r="W112" i="1"/>
  <c r="AO112" i="1" s="1"/>
  <c r="AS112" i="1" s="1"/>
  <c r="W113" i="1"/>
  <c r="W114" i="1"/>
  <c r="AO114" i="1" s="1"/>
  <c r="AS114" i="1" s="1"/>
  <c r="W115" i="1"/>
  <c r="AO115" i="1" s="1"/>
  <c r="AS115" i="1" s="1"/>
  <c r="W116" i="1"/>
  <c r="W117" i="1"/>
  <c r="AO117" i="1" s="1"/>
  <c r="AS117" i="1" s="1"/>
  <c r="W118" i="1"/>
  <c r="AO118" i="1" s="1"/>
  <c r="AS118" i="1" s="1"/>
  <c r="W119" i="1"/>
  <c r="AO119" i="1" s="1"/>
  <c r="AS119" i="1" s="1"/>
  <c r="W120" i="1"/>
  <c r="W121" i="1"/>
  <c r="AO121" i="1" s="1"/>
  <c r="AS121" i="1" s="1"/>
  <c r="W122" i="1"/>
  <c r="AO122" i="1" s="1"/>
  <c r="AS122" i="1" s="1"/>
  <c r="W123" i="1"/>
  <c r="AO123" i="1" s="1"/>
  <c r="AS123" i="1" s="1"/>
  <c r="W124" i="1"/>
  <c r="AO124" i="1" s="1"/>
  <c r="AS124" i="1" s="1"/>
  <c r="W125" i="1"/>
  <c r="AO125" i="1" s="1"/>
  <c r="AS125" i="1" s="1"/>
  <c r="W126" i="1"/>
  <c r="W127" i="1"/>
  <c r="AO127" i="1" s="1"/>
  <c r="AS127" i="1" s="1"/>
  <c r="W128" i="1"/>
  <c r="AO128" i="1" s="1"/>
  <c r="AS128" i="1" s="1"/>
  <c r="W129" i="1"/>
  <c r="W130" i="1"/>
  <c r="W131" i="1"/>
  <c r="AO131" i="1" s="1"/>
  <c r="AS131" i="1" s="1"/>
  <c r="W132" i="1"/>
  <c r="W133" i="1"/>
  <c r="AO133" i="1" s="1"/>
  <c r="AS133" i="1" s="1"/>
  <c r="W134" i="1"/>
  <c r="AO134" i="1" s="1"/>
  <c r="AS134" i="1" s="1"/>
  <c r="W135" i="1"/>
  <c r="AO135" i="1" s="1"/>
  <c r="AS135" i="1" s="1"/>
  <c r="W136" i="1"/>
  <c r="AO136" i="1" s="1"/>
  <c r="AS136" i="1" s="1"/>
  <c r="W137" i="1"/>
  <c r="AO137" i="1" s="1"/>
  <c r="AS137" i="1" s="1"/>
  <c r="W138" i="1"/>
  <c r="AO138" i="1" s="1"/>
  <c r="AS138" i="1" s="1"/>
  <c r="W139" i="1"/>
  <c r="AO139" i="1" s="1"/>
  <c r="AS139" i="1" s="1"/>
  <c r="W140" i="1"/>
  <c r="W141" i="1"/>
  <c r="AO141" i="1" s="1"/>
  <c r="AS141" i="1" s="1"/>
  <c r="W142" i="1"/>
  <c r="W143" i="1"/>
  <c r="AO143" i="1" s="1"/>
  <c r="AS143" i="1" s="1"/>
  <c r="W144" i="1"/>
  <c r="AO144" i="1" s="1"/>
  <c r="AS144" i="1" s="1"/>
  <c r="W145" i="1"/>
  <c r="W146" i="1"/>
  <c r="AO146" i="1" s="1"/>
  <c r="AS146" i="1" s="1"/>
  <c r="W147" i="1"/>
  <c r="AO147" i="1" s="1"/>
  <c r="AS147" i="1" s="1"/>
  <c r="W148" i="1"/>
  <c r="W149" i="1"/>
  <c r="W150" i="1"/>
  <c r="AO150" i="1" s="1"/>
  <c r="AS150" i="1" s="1"/>
  <c r="W151" i="1"/>
  <c r="AO151" i="1" s="1"/>
  <c r="AS151" i="1" s="1"/>
  <c r="W152" i="1"/>
  <c r="AO152" i="1" s="1"/>
  <c r="AS152" i="1" s="1"/>
  <c r="W153" i="1"/>
  <c r="AO153" i="1" s="1"/>
  <c r="AS153" i="1" s="1"/>
  <c r="W154" i="1"/>
  <c r="AO154" i="1" s="1"/>
  <c r="AS154" i="1" s="1"/>
  <c r="W155" i="1"/>
  <c r="AO155" i="1" s="1"/>
  <c r="AS155" i="1" s="1"/>
  <c r="W156" i="1"/>
  <c r="AO156" i="1" s="1"/>
  <c r="AS156" i="1" s="1"/>
  <c r="W157" i="1"/>
  <c r="W158" i="1"/>
  <c r="W159" i="1"/>
  <c r="AO159" i="1" s="1"/>
  <c r="AS159" i="1" s="1"/>
  <c r="W160" i="1"/>
  <c r="AO160" i="1" s="1"/>
  <c r="AS160" i="1" s="1"/>
  <c r="W161" i="1"/>
  <c r="W162" i="1"/>
  <c r="AO162" i="1" s="1"/>
  <c r="AS162" i="1" s="1"/>
  <c r="W163" i="1"/>
  <c r="AO163" i="1" s="1"/>
  <c r="AS163" i="1" s="1"/>
  <c r="W164" i="1"/>
  <c r="W165" i="1"/>
  <c r="W166" i="1"/>
  <c r="AO166" i="1" s="1"/>
  <c r="AS166" i="1" s="1"/>
  <c r="W167" i="1"/>
  <c r="W168" i="1"/>
  <c r="AO168" i="1" s="1"/>
  <c r="AS168" i="1" s="1"/>
  <c r="W169" i="1"/>
  <c r="W170" i="1"/>
  <c r="AO170" i="1" s="1"/>
  <c r="AS170" i="1" s="1"/>
  <c r="W171" i="1"/>
  <c r="AO171" i="1" s="1"/>
  <c r="AS171" i="1" s="1"/>
  <c r="W172" i="1"/>
  <c r="AO172" i="1" s="1"/>
  <c r="AS172" i="1" s="1"/>
  <c r="W173" i="1"/>
  <c r="AO173" i="1" s="1"/>
  <c r="AS173" i="1" s="1"/>
  <c r="W174" i="1"/>
  <c r="AO174" i="1" s="1"/>
  <c r="AS174" i="1" s="1"/>
  <c r="W175" i="1"/>
  <c r="AO175" i="1" s="1"/>
  <c r="AS175" i="1" s="1"/>
  <c r="W176" i="1"/>
  <c r="AO176" i="1" s="1"/>
  <c r="AS176" i="1" s="1"/>
  <c r="W177" i="1"/>
  <c r="AO177" i="1" s="1"/>
  <c r="AS177" i="1" s="1"/>
  <c r="W178" i="1"/>
  <c r="W179" i="1"/>
  <c r="AO179" i="1" s="1"/>
  <c r="AS179" i="1" s="1"/>
  <c r="W180" i="1"/>
  <c r="W181" i="1"/>
  <c r="W182" i="1"/>
  <c r="AO182" i="1" s="1"/>
  <c r="AS182" i="1" s="1"/>
  <c r="W183" i="1"/>
  <c r="AO183" i="1" s="1"/>
  <c r="AS183" i="1" s="1"/>
  <c r="W184" i="1"/>
  <c r="AO184" i="1" s="1"/>
  <c r="AS184" i="1" s="1"/>
  <c r="W185" i="1"/>
  <c r="AO185" i="1" s="1"/>
  <c r="AS185" i="1" s="1"/>
  <c r="W186" i="1"/>
  <c r="AO186" i="1" s="1"/>
  <c r="AS186" i="1" s="1"/>
  <c r="W187" i="1"/>
  <c r="AO187" i="1" s="1"/>
  <c r="AS187" i="1" s="1"/>
  <c r="W188" i="1"/>
  <c r="W189" i="1"/>
  <c r="AO189" i="1" s="1"/>
  <c r="AS189" i="1" s="1"/>
  <c r="W190" i="1"/>
  <c r="W191" i="1"/>
  <c r="AO191" i="1" s="1"/>
  <c r="AS191" i="1" s="1"/>
  <c r="W192" i="1"/>
  <c r="AO192" i="1" s="1"/>
  <c r="AS192" i="1" s="1"/>
  <c r="W193" i="1"/>
  <c r="AO193" i="1" s="1"/>
  <c r="AS193" i="1" s="1"/>
  <c r="W194" i="1"/>
  <c r="AO194" i="1" s="1"/>
  <c r="AS194" i="1" s="1"/>
  <c r="W195" i="1"/>
  <c r="AO195" i="1" s="1"/>
  <c r="AS195" i="1" s="1"/>
  <c r="W196" i="1"/>
  <c r="AO196" i="1" s="1"/>
  <c r="AS196" i="1" s="1"/>
  <c r="W197" i="1"/>
  <c r="W198" i="1"/>
  <c r="AO198" i="1" s="1"/>
  <c r="AS198" i="1" s="1"/>
  <c r="W199" i="1"/>
  <c r="AO199" i="1" s="1"/>
  <c r="AS199" i="1" s="1"/>
  <c r="W200" i="1"/>
  <c r="AO200" i="1" s="1"/>
  <c r="AS200" i="1" s="1"/>
  <c r="W201" i="1"/>
  <c r="AO201" i="1" s="1"/>
  <c r="AS201" i="1" s="1"/>
  <c r="W202" i="1"/>
  <c r="AO202" i="1" s="1"/>
  <c r="AS202" i="1" s="1"/>
  <c r="W203" i="1"/>
  <c r="AO203" i="1" s="1"/>
  <c r="AS203" i="1" s="1"/>
  <c r="W204" i="1"/>
  <c r="AO204" i="1" s="1"/>
  <c r="AS204" i="1" s="1"/>
  <c r="W205" i="1"/>
  <c r="AO205" i="1" s="1"/>
  <c r="AS205" i="1" s="1"/>
  <c r="W206" i="1"/>
  <c r="AO206" i="1" s="1"/>
  <c r="AS206" i="1" s="1"/>
  <c r="W207" i="1"/>
  <c r="AO207" i="1" s="1"/>
  <c r="AS207" i="1" s="1"/>
  <c r="W208" i="1"/>
  <c r="AO208" i="1" s="1"/>
  <c r="AS208" i="1" s="1"/>
  <c r="W209" i="1"/>
  <c r="W210" i="1"/>
  <c r="AO210" i="1" s="1"/>
  <c r="AS210" i="1" s="1"/>
  <c r="W211" i="1"/>
  <c r="AO211" i="1" s="1"/>
  <c r="AS211" i="1" s="1"/>
  <c r="W212" i="1"/>
  <c r="W213" i="1"/>
  <c r="W214" i="1"/>
  <c r="AO214" i="1" s="1"/>
  <c r="AS214" i="1" s="1"/>
  <c r="W215" i="1"/>
  <c r="AO215" i="1" s="1"/>
  <c r="AS215" i="1" s="1"/>
  <c r="W216" i="1"/>
  <c r="AO216" i="1" s="1"/>
  <c r="AS216" i="1" s="1"/>
  <c r="W217" i="1"/>
  <c r="AO217" i="1" s="1"/>
  <c r="AS217" i="1" s="1"/>
  <c r="W218" i="1"/>
  <c r="AO218" i="1" s="1"/>
  <c r="AS218" i="1" s="1"/>
  <c r="W219" i="1"/>
  <c r="AO219" i="1" s="1"/>
  <c r="AS219" i="1" s="1"/>
  <c r="W220" i="1"/>
  <c r="AO220" i="1" s="1"/>
  <c r="AS220" i="1" s="1"/>
  <c r="W221" i="1"/>
  <c r="AO221" i="1" s="1"/>
  <c r="AS221" i="1" s="1"/>
  <c r="W222" i="1"/>
  <c r="AO222" i="1" s="1"/>
  <c r="AS222" i="1" s="1"/>
  <c r="W223" i="1"/>
  <c r="AO223" i="1" s="1"/>
  <c r="AS223" i="1" s="1"/>
  <c r="W224" i="1"/>
  <c r="AO224" i="1" s="1"/>
  <c r="AS224" i="1" s="1"/>
  <c r="W225" i="1"/>
  <c r="W226" i="1"/>
  <c r="AO226" i="1" s="1"/>
  <c r="AS226" i="1" s="1"/>
  <c r="W227" i="1"/>
  <c r="AO227" i="1" s="1"/>
  <c r="AS227" i="1" s="1"/>
  <c r="W228" i="1"/>
  <c r="AO228" i="1" s="1"/>
  <c r="AS228" i="1" s="1"/>
  <c r="W229" i="1"/>
  <c r="AO229" i="1" s="1"/>
  <c r="AS229" i="1" s="1"/>
  <c r="W230" i="1"/>
  <c r="W231" i="1"/>
  <c r="W232" i="1"/>
  <c r="W233" i="1"/>
  <c r="AO233" i="1" s="1"/>
  <c r="AS233" i="1" s="1"/>
  <c r="W234" i="1"/>
  <c r="AO234" i="1" s="1"/>
  <c r="AS234" i="1" s="1"/>
  <c r="W235" i="1"/>
  <c r="AO235" i="1" s="1"/>
  <c r="AS235" i="1" s="1"/>
  <c r="W236" i="1"/>
  <c r="W237" i="1"/>
  <c r="AO237" i="1" s="1"/>
  <c r="AS237" i="1" s="1"/>
  <c r="W238" i="1"/>
  <c r="W239" i="1"/>
  <c r="AO239" i="1" s="1"/>
  <c r="AS239" i="1" s="1"/>
  <c r="W240" i="1"/>
  <c r="W241" i="1"/>
  <c r="W242" i="1"/>
  <c r="W243" i="1"/>
  <c r="AO243" i="1" s="1"/>
  <c r="AS243" i="1" s="1"/>
  <c r="W244" i="1"/>
  <c r="AO244" i="1" s="1"/>
  <c r="AS244" i="1" s="1"/>
  <c r="W245" i="1"/>
  <c r="W246" i="1"/>
  <c r="AO246" i="1" s="1"/>
  <c r="AS246" i="1" s="1"/>
  <c r="W247" i="1"/>
  <c r="W248" i="1"/>
  <c r="AO248" i="1" s="1"/>
  <c r="AS248" i="1" s="1"/>
  <c r="W249" i="1"/>
  <c r="W250" i="1"/>
  <c r="AO250" i="1" s="1"/>
  <c r="AS250" i="1" s="1"/>
  <c r="W251" i="1"/>
  <c r="AO251" i="1" s="1"/>
  <c r="AS251" i="1" s="1"/>
  <c r="W252" i="1"/>
  <c r="W253" i="1"/>
  <c r="AO253" i="1" s="1"/>
  <c r="AS253" i="1" s="1"/>
  <c r="W254" i="1"/>
  <c r="AO254" i="1" s="1"/>
  <c r="AS254" i="1" s="1"/>
  <c r="W255" i="1"/>
  <c r="AO255" i="1" s="1"/>
  <c r="AS255" i="1" s="1"/>
  <c r="W256" i="1"/>
  <c r="AO256" i="1" s="1"/>
  <c r="AS256" i="1" s="1"/>
  <c r="W257" i="1"/>
  <c r="W258" i="1"/>
  <c r="AO258" i="1" s="1"/>
  <c r="AS258" i="1" s="1"/>
  <c r="W259" i="1"/>
  <c r="AO259" i="1" s="1"/>
  <c r="AS259" i="1" s="1"/>
  <c r="W260" i="1"/>
  <c r="AO260" i="1" s="1"/>
  <c r="AS260" i="1" s="1"/>
  <c r="W261" i="1"/>
  <c r="W262" i="1"/>
  <c r="AO262" i="1" s="1"/>
  <c r="AS262" i="1" s="1"/>
  <c r="W263" i="1"/>
  <c r="AO263" i="1" s="1"/>
  <c r="AS263" i="1" s="1"/>
  <c r="W264" i="1"/>
  <c r="AO264" i="1" s="1"/>
  <c r="AS264" i="1" s="1"/>
  <c r="W265" i="1"/>
  <c r="AO265" i="1" s="1"/>
  <c r="AS265" i="1" s="1"/>
  <c r="W266" i="1"/>
  <c r="AO266" i="1" s="1"/>
  <c r="AS266" i="1" s="1"/>
  <c r="W267" i="1"/>
  <c r="AO267" i="1" s="1"/>
  <c r="AS267" i="1" s="1"/>
  <c r="W268" i="1"/>
  <c r="AO268" i="1" s="1"/>
  <c r="AS268" i="1" s="1"/>
  <c r="W269" i="1"/>
  <c r="AO269" i="1" s="1"/>
  <c r="AS269" i="1" s="1"/>
  <c r="W270" i="1"/>
  <c r="W271" i="1"/>
  <c r="AO271" i="1" s="1"/>
  <c r="AS271" i="1" s="1"/>
  <c r="W272" i="1"/>
  <c r="AO272" i="1" s="1"/>
  <c r="AS272" i="1" s="1"/>
  <c r="W273" i="1"/>
  <c r="W274" i="1"/>
  <c r="AO274" i="1" s="1"/>
  <c r="AS274" i="1" s="1"/>
  <c r="W275" i="1"/>
  <c r="AO275" i="1" s="1"/>
  <c r="AS275" i="1" s="1"/>
  <c r="W276" i="1"/>
  <c r="AO276" i="1" s="1"/>
  <c r="AS276" i="1" s="1"/>
  <c r="W277" i="1"/>
  <c r="W278" i="1"/>
  <c r="AO278" i="1" s="1"/>
  <c r="AS278" i="1" s="1"/>
  <c r="W279" i="1"/>
  <c r="AO279" i="1" s="1"/>
  <c r="AS279" i="1" s="1"/>
  <c r="W280" i="1"/>
  <c r="AO280" i="1" s="1"/>
  <c r="AS280" i="1" s="1"/>
  <c r="W281" i="1"/>
  <c r="AO281" i="1" s="1"/>
  <c r="AS281" i="1" s="1"/>
  <c r="W282" i="1"/>
  <c r="AO282" i="1" s="1"/>
  <c r="AS282" i="1" s="1"/>
  <c r="W283" i="1"/>
  <c r="AO283" i="1" s="1"/>
  <c r="AS283" i="1" s="1"/>
  <c r="W284" i="1"/>
  <c r="AO284" i="1" s="1"/>
  <c r="AS284" i="1" s="1"/>
  <c r="W285" i="1"/>
  <c r="W286" i="1"/>
  <c r="W287" i="1"/>
  <c r="AO287" i="1" s="1"/>
  <c r="AS287" i="1" s="1"/>
  <c r="W288" i="1"/>
  <c r="AO288" i="1" s="1"/>
  <c r="AS288" i="1" s="1"/>
  <c r="W289" i="1"/>
  <c r="W290" i="1"/>
  <c r="AO290" i="1" s="1"/>
  <c r="AS290" i="1" s="1"/>
  <c r="W291" i="1"/>
  <c r="AO291" i="1" s="1"/>
  <c r="AS291" i="1" s="1"/>
  <c r="W292" i="1"/>
  <c r="AO292" i="1" s="1"/>
  <c r="AS292" i="1" s="1"/>
  <c r="W293" i="1"/>
  <c r="W294" i="1"/>
  <c r="AO294" i="1" s="1"/>
  <c r="AS294" i="1" s="1"/>
  <c r="W295" i="1"/>
  <c r="AO295" i="1" s="1"/>
  <c r="AS295" i="1" s="1"/>
  <c r="W296" i="1"/>
  <c r="AO296" i="1" s="1"/>
  <c r="AS296" i="1" s="1"/>
  <c r="W297" i="1"/>
  <c r="AO297" i="1" s="1"/>
  <c r="AS297" i="1" s="1"/>
  <c r="W298" i="1"/>
  <c r="AO298" i="1" s="1"/>
  <c r="AS298" i="1" s="1"/>
  <c r="W299" i="1"/>
  <c r="AO299" i="1" s="1"/>
  <c r="AS299" i="1" s="1"/>
  <c r="W300" i="1"/>
  <c r="AO300" i="1" s="1"/>
  <c r="AS300" i="1" s="1"/>
  <c r="W301" i="1"/>
  <c r="AO301" i="1" s="1"/>
  <c r="AS301" i="1" s="1"/>
  <c r="W302" i="1"/>
  <c r="W303" i="1"/>
  <c r="AO303" i="1" s="1"/>
  <c r="AS303" i="1" s="1"/>
  <c r="W304" i="1"/>
  <c r="W305" i="1"/>
  <c r="W306" i="1"/>
  <c r="W307" i="1"/>
  <c r="AO307" i="1" s="1"/>
  <c r="AS307" i="1" s="1"/>
  <c r="W308" i="1"/>
  <c r="AO308" i="1" s="1"/>
  <c r="AS308" i="1" s="1"/>
  <c r="W309" i="1"/>
  <c r="AO309" i="1" s="1"/>
  <c r="AS309" i="1" s="1"/>
  <c r="W310" i="1"/>
  <c r="AO310" i="1" s="1"/>
  <c r="AS310" i="1" s="1"/>
  <c r="W311" i="1"/>
  <c r="AO311" i="1" s="1"/>
  <c r="AS311" i="1" s="1"/>
  <c r="W312" i="1"/>
  <c r="AO312" i="1" s="1"/>
  <c r="AS312" i="1" s="1"/>
  <c r="W313" i="1"/>
  <c r="W314" i="1"/>
  <c r="AO314" i="1" s="1"/>
  <c r="AS314" i="1" s="1"/>
  <c r="W315" i="1"/>
  <c r="AO315" i="1" s="1"/>
  <c r="AS315" i="1" s="1"/>
  <c r="W316" i="1"/>
  <c r="AO316" i="1" s="1"/>
  <c r="AS316" i="1" s="1"/>
  <c r="W317" i="1"/>
  <c r="W318" i="1"/>
  <c r="W319" i="1"/>
  <c r="AO319" i="1" s="1"/>
  <c r="AS319" i="1" s="1"/>
  <c r="W320" i="1"/>
  <c r="AO320" i="1" s="1"/>
  <c r="AS320" i="1" s="1"/>
  <c r="W321" i="1"/>
  <c r="W322" i="1"/>
  <c r="AO322" i="1" s="1"/>
  <c r="AS322" i="1" s="1"/>
  <c r="W323" i="1"/>
  <c r="AO323" i="1" s="1"/>
  <c r="AS323" i="1" s="1"/>
  <c r="W324" i="1"/>
  <c r="AO324" i="1" s="1"/>
  <c r="AS324" i="1" s="1"/>
  <c r="W325" i="1"/>
  <c r="W326" i="1"/>
  <c r="W327" i="1"/>
  <c r="AO327" i="1" s="1"/>
  <c r="AS327" i="1" s="1"/>
  <c r="W328" i="1"/>
  <c r="AO328" i="1" s="1"/>
  <c r="AS328" i="1" s="1"/>
  <c r="W329" i="1"/>
  <c r="AO329" i="1" s="1"/>
  <c r="AS329" i="1" s="1"/>
  <c r="W330" i="1"/>
  <c r="AO330" i="1" s="1"/>
  <c r="AS330" i="1" s="1"/>
  <c r="W331" i="1"/>
  <c r="AO331" i="1" s="1"/>
  <c r="AS331" i="1" s="1"/>
  <c r="W332" i="1"/>
  <c r="AO332" i="1" s="1"/>
  <c r="AS332" i="1" s="1"/>
  <c r="W333" i="1"/>
  <c r="AO333" i="1" s="1"/>
  <c r="AS333" i="1" s="1"/>
  <c r="W334" i="1"/>
  <c r="AO334" i="1" s="1"/>
  <c r="AS334" i="1" s="1"/>
  <c r="W335" i="1"/>
  <c r="AO335" i="1" s="1"/>
  <c r="AS335" i="1" s="1"/>
  <c r="W336" i="1"/>
  <c r="AO336" i="1" s="1"/>
  <c r="AS336" i="1" s="1"/>
  <c r="W337" i="1"/>
  <c r="AO337" i="1" s="1"/>
  <c r="AS337" i="1" s="1"/>
  <c r="W338" i="1"/>
  <c r="W339" i="1"/>
  <c r="AO339" i="1" s="1"/>
  <c r="AS339" i="1" s="1"/>
  <c r="W340" i="1"/>
  <c r="AO340" i="1" s="1"/>
  <c r="AS340" i="1" s="1"/>
  <c r="W341" i="1"/>
  <c r="AO341" i="1" s="1"/>
  <c r="AS341" i="1" s="1"/>
  <c r="W342" i="1"/>
  <c r="AO342" i="1" s="1"/>
  <c r="AS342" i="1" s="1"/>
  <c r="W343" i="1"/>
  <c r="AO343" i="1" s="1"/>
  <c r="AS343" i="1" s="1"/>
  <c r="W344" i="1"/>
  <c r="AO344" i="1" s="1"/>
  <c r="AS344" i="1" s="1"/>
  <c r="W345" i="1"/>
  <c r="AO345" i="1" s="1"/>
  <c r="AS345" i="1" s="1"/>
  <c r="W346" i="1"/>
  <c r="AO346" i="1" s="1"/>
  <c r="AS346" i="1" s="1"/>
  <c r="W347" i="1"/>
  <c r="AO347" i="1" s="1"/>
  <c r="AS347" i="1" s="1"/>
  <c r="W348" i="1"/>
  <c r="AO348" i="1" s="1"/>
  <c r="AS348" i="1" s="1"/>
  <c r="W349" i="1"/>
  <c r="AO349" i="1" s="1"/>
  <c r="AS349" i="1" s="1"/>
  <c r="W350" i="1"/>
  <c r="W351" i="1"/>
  <c r="AO351" i="1" s="1"/>
  <c r="AS351" i="1" s="1"/>
  <c r="W352" i="1"/>
  <c r="AO352" i="1" s="1"/>
  <c r="AS352" i="1" s="1"/>
  <c r="W353" i="1"/>
  <c r="W354" i="1"/>
  <c r="AO354" i="1" s="1"/>
  <c r="AS354" i="1" s="1"/>
  <c r="W355" i="1"/>
  <c r="AO355" i="1" s="1"/>
  <c r="AS355" i="1" s="1"/>
  <c r="W356" i="1"/>
  <c r="W357" i="1"/>
  <c r="AO357" i="1" s="1"/>
  <c r="AS357" i="1" s="1"/>
  <c r="W358" i="1"/>
  <c r="W359" i="1"/>
  <c r="W360" i="1"/>
  <c r="AO360" i="1" s="1"/>
  <c r="AS360" i="1" s="1"/>
  <c r="W361" i="1"/>
  <c r="AO361" i="1" s="1"/>
  <c r="AS361" i="1" s="1"/>
  <c r="W362" i="1"/>
  <c r="AO362" i="1" s="1"/>
  <c r="AS362" i="1" s="1"/>
  <c r="W363" i="1"/>
  <c r="AO363" i="1" s="1"/>
  <c r="AS363" i="1" s="1"/>
  <c r="W364" i="1"/>
  <c r="AO364" i="1" s="1"/>
  <c r="AS364" i="1" s="1"/>
  <c r="W365" i="1"/>
  <c r="W366" i="1"/>
  <c r="W367" i="1"/>
  <c r="AO367" i="1" s="1"/>
  <c r="AS367" i="1" s="1"/>
  <c r="W368" i="1"/>
  <c r="AO368" i="1" s="1"/>
  <c r="AS368" i="1" s="1"/>
  <c r="W369" i="1"/>
  <c r="AO369" i="1" s="1"/>
  <c r="AS369" i="1" s="1"/>
  <c r="W370" i="1"/>
  <c r="AO370" i="1" s="1"/>
  <c r="AS370" i="1" s="1"/>
  <c r="W371" i="1"/>
  <c r="AO371" i="1" s="1"/>
  <c r="AS371" i="1" s="1"/>
  <c r="W372" i="1"/>
  <c r="AO372" i="1" s="1"/>
  <c r="AS372" i="1" s="1"/>
  <c r="W373" i="1"/>
  <c r="AO373" i="1" s="1"/>
  <c r="AS373" i="1" s="1"/>
  <c r="W374" i="1"/>
  <c r="AO374" i="1" s="1"/>
  <c r="AS374" i="1" s="1"/>
  <c r="W375" i="1"/>
  <c r="AO375" i="1" s="1"/>
  <c r="AS375" i="1" s="1"/>
  <c r="W376" i="1"/>
  <c r="AO376" i="1" s="1"/>
  <c r="AS376" i="1" s="1"/>
  <c r="W377" i="1"/>
  <c r="W378" i="1"/>
  <c r="AO378" i="1" s="1"/>
  <c r="AS378" i="1" s="1"/>
  <c r="W379" i="1"/>
  <c r="AO379" i="1" s="1"/>
  <c r="AS379" i="1" s="1"/>
  <c r="W380" i="1"/>
  <c r="AO380" i="1" s="1"/>
  <c r="AS380" i="1" s="1"/>
  <c r="W381" i="1"/>
  <c r="AO381" i="1" s="1"/>
  <c r="AS381" i="1" s="1"/>
  <c r="W382" i="1"/>
  <c r="W383" i="1"/>
  <c r="AO383" i="1" s="1"/>
  <c r="AS383" i="1" s="1"/>
  <c r="W384" i="1"/>
  <c r="AO384" i="1" s="1"/>
  <c r="AS384" i="1" s="1"/>
  <c r="W385" i="1"/>
  <c r="AO385" i="1" s="1"/>
  <c r="AS385" i="1" s="1"/>
  <c r="W386" i="1"/>
  <c r="AO386" i="1" s="1"/>
  <c r="AS386" i="1" s="1"/>
  <c r="W387" i="1"/>
  <c r="AO387" i="1" s="1"/>
  <c r="AS387" i="1" s="1"/>
  <c r="W388" i="1"/>
  <c r="AO388" i="1" s="1"/>
  <c r="AS388" i="1" s="1"/>
  <c r="W389" i="1"/>
  <c r="AO389" i="1" s="1"/>
  <c r="AS389" i="1" s="1"/>
  <c r="W390" i="1"/>
  <c r="AO390" i="1" s="1"/>
  <c r="AS390" i="1" s="1"/>
  <c r="W391" i="1"/>
  <c r="AO391" i="1" s="1"/>
  <c r="AS391" i="1" s="1"/>
  <c r="W392" i="1"/>
  <c r="AO392" i="1" s="1"/>
  <c r="AS392" i="1" s="1"/>
  <c r="W393" i="1"/>
  <c r="AO393" i="1" s="1"/>
  <c r="AS393" i="1" s="1"/>
  <c r="W394" i="1"/>
  <c r="AO394" i="1" s="1"/>
  <c r="AS394" i="1" s="1"/>
  <c r="W395" i="1"/>
  <c r="AO395" i="1" s="1"/>
  <c r="AS395" i="1" s="1"/>
  <c r="W396" i="1"/>
  <c r="W397" i="1"/>
  <c r="AO397" i="1" s="1"/>
  <c r="AS397" i="1" s="1"/>
  <c r="W398" i="1"/>
  <c r="AO398" i="1" s="1"/>
  <c r="AS398" i="1" s="1"/>
  <c r="W399" i="1"/>
  <c r="AO399" i="1" s="1"/>
  <c r="AS399" i="1" s="1"/>
  <c r="W400" i="1"/>
  <c r="AO400" i="1" s="1"/>
  <c r="AS400" i="1" s="1"/>
  <c r="W401" i="1"/>
  <c r="W402" i="1"/>
  <c r="AO402" i="1" s="1"/>
  <c r="AS402" i="1" s="1"/>
  <c r="W403" i="1"/>
  <c r="AO403" i="1" s="1"/>
  <c r="AS403" i="1" s="1"/>
  <c r="W404" i="1"/>
  <c r="AO404" i="1" s="1"/>
  <c r="AS404" i="1" s="1"/>
  <c r="W405" i="1"/>
  <c r="AO405" i="1" s="1"/>
  <c r="AS405" i="1" s="1"/>
  <c r="W406" i="1"/>
  <c r="AO406" i="1" s="1"/>
  <c r="AS406" i="1" s="1"/>
  <c r="W407" i="1"/>
  <c r="AO407" i="1" s="1"/>
  <c r="AS407" i="1" s="1"/>
  <c r="W408" i="1"/>
  <c r="AO408" i="1" s="1"/>
  <c r="AS408" i="1" s="1"/>
  <c r="W409" i="1"/>
  <c r="AO409" i="1" s="1"/>
  <c r="AS409" i="1" s="1"/>
  <c r="W410" i="1"/>
  <c r="AO410" i="1" s="1"/>
  <c r="AS410" i="1" s="1"/>
  <c r="W411" i="1"/>
  <c r="AO411" i="1" s="1"/>
  <c r="AS411" i="1" s="1"/>
  <c r="W412" i="1"/>
  <c r="AO412" i="1" s="1"/>
  <c r="AS412" i="1" s="1"/>
  <c r="W413" i="1"/>
  <c r="AO413" i="1" s="1"/>
  <c r="AS413" i="1" s="1"/>
  <c r="W414" i="1"/>
  <c r="AO414" i="1" s="1"/>
  <c r="AS414" i="1" s="1"/>
  <c r="W415" i="1"/>
  <c r="AO415" i="1" s="1"/>
  <c r="AS415" i="1" s="1"/>
  <c r="W416" i="1"/>
  <c r="AO416" i="1" s="1"/>
  <c r="AS416" i="1" s="1"/>
  <c r="W417" i="1"/>
  <c r="W418" i="1"/>
  <c r="AO418" i="1" s="1"/>
  <c r="AS418" i="1" s="1"/>
  <c r="W419" i="1"/>
  <c r="AO419" i="1" s="1"/>
  <c r="AS419" i="1" s="1"/>
  <c r="W420" i="1"/>
  <c r="AO420" i="1" s="1"/>
  <c r="AS420" i="1" s="1"/>
  <c r="W421" i="1"/>
  <c r="AO421" i="1" s="1"/>
  <c r="AS421" i="1" s="1"/>
  <c r="W422" i="1"/>
  <c r="AO422" i="1" s="1"/>
  <c r="AS422" i="1" s="1"/>
  <c r="W423" i="1"/>
  <c r="AO423" i="1" s="1"/>
  <c r="AS423" i="1" s="1"/>
  <c r="W424" i="1"/>
  <c r="AO424" i="1" s="1"/>
  <c r="AS424" i="1" s="1"/>
  <c r="W425" i="1"/>
  <c r="AO425" i="1" s="1"/>
  <c r="AS425" i="1" s="1"/>
  <c r="W426" i="1"/>
  <c r="AO426" i="1" s="1"/>
  <c r="AS426" i="1" s="1"/>
  <c r="W427" i="1"/>
  <c r="AO427" i="1" s="1"/>
  <c r="AS427" i="1" s="1"/>
  <c r="W428" i="1"/>
  <c r="AO428" i="1" s="1"/>
  <c r="AS428" i="1" s="1"/>
  <c r="W429" i="1"/>
  <c r="AO429" i="1" s="1"/>
  <c r="AS429" i="1" s="1"/>
  <c r="W430" i="1"/>
  <c r="AO430" i="1" s="1"/>
  <c r="AS430" i="1" s="1"/>
  <c r="W431" i="1"/>
  <c r="AO431" i="1" s="1"/>
  <c r="AS431" i="1" s="1"/>
  <c r="W432" i="1"/>
  <c r="AO432" i="1" s="1"/>
  <c r="AS432" i="1" s="1"/>
  <c r="W433" i="1"/>
  <c r="W434" i="1"/>
  <c r="AO434" i="1" s="1"/>
  <c r="AS434" i="1" s="1"/>
  <c r="W435" i="1"/>
  <c r="AO435" i="1" s="1"/>
  <c r="AS435" i="1" s="1"/>
  <c r="W436" i="1"/>
  <c r="AO436" i="1" s="1"/>
  <c r="AS436" i="1" s="1"/>
  <c r="W437" i="1"/>
  <c r="AO437" i="1" s="1"/>
  <c r="AS437" i="1" s="1"/>
  <c r="W438" i="1"/>
  <c r="AO438" i="1" s="1"/>
  <c r="AS438" i="1" s="1"/>
  <c r="W439" i="1"/>
  <c r="W440" i="1"/>
  <c r="AO440" i="1" s="1"/>
  <c r="AS440" i="1" s="1"/>
  <c r="W441" i="1"/>
  <c r="AO441" i="1" s="1"/>
  <c r="AS441" i="1" s="1"/>
  <c r="W442" i="1"/>
  <c r="AO442" i="1" s="1"/>
  <c r="AS442" i="1" s="1"/>
  <c r="W443" i="1"/>
  <c r="AO443" i="1" s="1"/>
  <c r="AS443" i="1" s="1"/>
  <c r="W444" i="1"/>
  <c r="AO444" i="1" s="1"/>
  <c r="AS444" i="1" s="1"/>
  <c r="W445" i="1"/>
  <c r="AO445" i="1" s="1"/>
  <c r="AS445" i="1" s="1"/>
  <c r="W446" i="1"/>
  <c r="AO446" i="1" s="1"/>
  <c r="AS446" i="1" s="1"/>
  <c r="W447" i="1"/>
  <c r="AO447" i="1" s="1"/>
  <c r="AS447" i="1" s="1"/>
  <c r="W448" i="1"/>
  <c r="AO448" i="1" s="1"/>
  <c r="AS448" i="1" s="1"/>
  <c r="W449" i="1"/>
  <c r="W450" i="1"/>
  <c r="W451" i="1"/>
  <c r="AO451" i="1" s="1"/>
  <c r="AS451" i="1" s="1"/>
  <c r="W452" i="1"/>
  <c r="W453" i="1"/>
  <c r="AO453" i="1" s="1"/>
  <c r="AS453" i="1" s="1"/>
  <c r="W454" i="1"/>
  <c r="AO454" i="1" s="1"/>
  <c r="AS454" i="1" s="1"/>
  <c r="W455" i="1"/>
  <c r="AO455" i="1" s="1"/>
  <c r="AS455" i="1" s="1"/>
  <c r="W456" i="1"/>
  <c r="AO456" i="1" s="1"/>
  <c r="AS456" i="1" s="1"/>
  <c r="W457" i="1"/>
  <c r="AO457" i="1" s="1"/>
  <c r="AS457" i="1" s="1"/>
  <c r="W458" i="1"/>
  <c r="AO458" i="1" s="1"/>
  <c r="AS458" i="1" s="1"/>
  <c r="W459" i="1"/>
  <c r="AO459" i="1" s="1"/>
  <c r="AS459" i="1" s="1"/>
  <c r="W460" i="1"/>
  <c r="AO460" i="1" s="1"/>
  <c r="AS460" i="1" s="1"/>
  <c r="W461" i="1"/>
  <c r="W462" i="1"/>
  <c r="W463" i="1"/>
  <c r="AO463" i="1" s="1"/>
  <c r="AS463" i="1" s="1"/>
  <c r="W464" i="1"/>
  <c r="AO464" i="1" s="1"/>
  <c r="AS464" i="1" s="1"/>
  <c r="W465" i="1"/>
  <c r="W466" i="1"/>
  <c r="AO466" i="1" s="1"/>
  <c r="AS466" i="1" s="1"/>
  <c r="W467" i="1"/>
  <c r="AO467" i="1" s="1"/>
  <c r="AS467" i="1" s="1"/>
  <c r="W468" i="1"/>
  <c r="AO468" i="1" s="1"/>
  <c r="AS468" i="1" s="1"/>
  <c r="W469" i="1"/>
  <c r="AO469" i="1" s="1"/>
  <c r="AS469" i="1" s="1"/>
  <c r="W470" i="1"/>
  <c r="AO470" i="1" s="1"/>
  <c r="AS470" i="1" s="1"/>
  <c r="W471" i="1"/>
  <c r="AO471" i="1" s="1"/>
  <c r="AS471" i="1" s="1"/>
  <c r="W472" i="1"/>
  <c r="AO472" i="1" s="1"/>
  <c r="AS472" i="1" s="1"/>
  <c r="W473" i="1"/>
  <c r="AO473" i="1" s="1"/>
  <c r="AS473" i="1" s="1"/>
  <c r="W474" i="1"/>
  <c r="AO474" i="1" s="1"/>
  <c r="AS474" i="1" s="1"/>
  <c r="W475" i="1"/>
  <c r="AO475" i="1" s="1"/>
  <c r="AS475" i="1" s="1"/>
  <c r="W476" i="1"/>
  <c r="AO476" i="1" s="1"/>
  <c r="AS476" i="1" s="1"/>
  <c r="W477" i="1"/>
  <c r="AO477" i="1" s="1"/>
  <c r="AS477" i="1" s="1"/>
  <c r="W478" i="1"/>
  <c r="AO478" i="1" s="1"/>
  <c r="AS478" i="1" s="1"/>
  <c r="W479" i="1"/>
  <c r="AO479" i="1" s="1"/>
  <c r="AS479" i="1" s="1"/>
  <c r="W480" i="1"/>
  <c r="AO480" i="1" s="1"/>
  <c r="AS480" i="1" s="1"/>
  <c r="W481" i="1"/>
  <c r="W482" i="1"/>
  <c r="W483" i="1"/>
  <c r="AO483" i="1" s="1"/>
  <c r="AS483" i="1" s="1"/>
  <c r="W484" i="1"/>
  <c r="W485" i="1"/>
  <c r="AO485" i="1" s="1"/>
  <c r="AS485" i="1" s="1"/>
  <c r="W486" i="1"/>
  <c r="W487" i="1"/>
  <c r="AO487" i="1" s="1"/>
  <c r="AS487" i="1" s="1"/>
  <c r="W488" i="1"/>
  <c r="AO488" i="1" s="1"/>
  <c r="AS488" i="1" s="1"/>
  <c r="W489" i="1"/>
  <c r="AO489" i="1" s="1"/>
  <c r="AS489" i="1" s="1"/>
  <c r="W490" i="1"/>
  <c r="AO490" i="1" s="1"/>
  <c r="AS490" i="1" s="1"/>
  <c r="W491" i="1"/>
  <c r="AO491" i="1" s="1"/>
  <c r="AS491" i="1" s="1"/>
  <c r="W492" i="1"/>
  <c r="AO492" i="1" s="1"/>
  <c r="AS492" i="1" s="1"/>
  <c r="W493" i="1"/>
  <c r="AO493" i="1" s="1"/>
  <c r="AS493" i="1" s="1"/>
  <c r="W494" i="1"/>
  <c r="W495" i="1"/>
  <c r="AO495" i="1" s="1"/>
  <c r="AS495" i="1" s="1"/>
  <c r="W496" i="1"/>
  <c r="AO496" i="1" s="1"/>
  <c r="AS496" i="1" s="1"/>
  <c r="W497" i="1"/>
  <c r="W498" i="1"/>
  <c r="AO498" i="1" s="1"/>
  <c r="AS498" i="1" s="1"/>
  <c r="W499" i="1"/>
  <c r="AO499" i="1" s="1"/>
  <c r="AS499" i="1" s="1"/>
  <c r="W500" i="1"/>
  <c r="AO500" i="1" s="1"/>
  <c r="AS500" i="1" s="1"/>
  <c r="W501" i="1"/>
  <c r="AO501" i="1" s="1"/>
  <c r="AS501" i="1" s="1"/>
  <c r="W502" i="1"/>
  <c r="AO502" i="1" s="1"/>
  <c r="AS502" i="1" s="1"/>
  <c r="W503" i="1"/>
  <c r="AO503" i="1" s="1"/>
  <c r="AS503" i="1" s="1"/>
  <c r="W504" i="1"/>
  <c r="AO504" i="1" s="1"/>
  <c r="AS504" i="1" s="1"/>
  <c r="W505" i="1"/>
  <c r="W506" i="1"/>
  <c r="AO506" i="1" s="1"/>
  <c r="AS506" i="1" s="1"/>
  <c r="W507" i="1"/>
  <c r="AO507" i="1" s="1"/>
  <c r="AS507" i="1" s="1"/>
  <c r="W508" i="1"/>
  <c r="AO508" i="1" s="1"/>
  <c r="AS508" i="1" s="1"/>
  <c r="W509" i="1"/>
  <c r="AO509" i="1" s="1"/>
  <c r="AS509" i="1" s="1"/>
  <c r="W510" i="1"/>
  <c r="AO510" i="1" s="1"/>
  <c r="AS510" i="1" s="1"/>
  <c r="W511" i="1"/>
  <c r="AO511" i="1" s="1"/>
  <c r="AS511" i="1" s="1"/>
  <c r="W512" i="1"/>
  <c r="AO512" i="1" s="1"/>
  <c r="AS512" i="1" s="1"/>
  <c r="W513" i="1"/>
  <c r="W514" i="1"/>
  <c r="AO514" i="1" s="1"/>
  <c r="AS514" i="1" s="1"/>
  <c r="W515" i="1"/>
  <c r="AO515" i="1" s="1"/>
  <c r="AS515" i="1" s="1"/>
  <c r="W516" i="1"/>
  <c r="AO516" i="1" s="1"/>
  <c r="AS516" i="1" s="1"/>
  <c r="W517" i="1"/>
  <c r="AO517" i="1" s="1"/>
  <c r="AS517" i="1" s="1"/>
  <c r="W518" i="1"/>
  <c r="AO518" i="1" s="1"/>
  <c r="AS518" i="1" s="1"/>
  <c r="W519" i="1"/>
  <c r="AO519" i="1" s="1"/>
  <c r="AS519" i="1" s="1"/>
  <c r="W520" i="1"/>
  <c r="AO520" i="1" s="1"/>
  <c r="AS520" i="1" s="1"/>
  <c r="W521" i="1"/>
  <c r="AO521" i="1" s="1"/>
  <c r="AS521" i="1" s="1"/>
  <c r="W522" i="1"/>
  <c r="AO522" i="1" s="1"/>
  <c r="AS522" i="1" s="1"/>
  <c r="W523" i="1"/>
  <c r="AO523" i="1" s="1"/>
  <c r="AS523" i="1" s="1"/>
  <c r="W524" i="1"/>
  <c r="AO524" i="1" s="1"/>
  <c r="AS524" i="1" s="1"/>
  <c r="W525" i="1"/>
  <c r="W526" i="1"/>
  <c r="W527" i="1"/>
  <c r="AO527" i="1" s="1"/>
  <c r="AS527" i="1" s="1"/>
  <c r="W528" i="1"/>
  <c r="AO528" i="1" s="1"/>
  <c r="AS528" i="1" s="1"/>
  <c r="W529" i="1"/>
  <c r="AO529" i="1" s="1"/>
  <c r="AS529" i="1" s="1"/>
  <c r="W530" i="1"/>
  <c r="AO530" i="1" s="1"/>
  <c r="AS530" i="1" s="1"/>
  <c r="W531" i="1"/>
  <c r="AO531" i="1" s="1"/>
  <c r="AS531" i="1" s="1"/>
  <c r="W532" i="1"/>
  <c r="W533" i="1"/>
  <c r="AO533" i="1" s="1"/>
  <c r="AS533" i="1" s="1"/>
  <c r="W534" i="1"/>
  <c r="AO534" i="1" s="1"/>
  <c r="AS534" i="1" s="1"/>
  <c r="W535" i="1"/>
  <c r="AO535" i="1" s="1"/>
  <c r="AS535" i="1" s="1"/>
  <c r="W536" i="1"/>
  <c r="AO536" i="1" s="1"/>
  <c r="AS536" i="1" s="1"/>
  <c r="W537" i="1"/>
  <c r="AO537" i="1" s="1"/>
  <c r="AS537" i="1" s="1"/>
  <c r="W538" i="1"/>
  <c r="AO538" i="1" s="1"/>
  <c r="AS538" i="1" s="1"/>
  <c r="W539" i="1"/>
  <c r="AO539" i="1" s="1"/>
  <c r="AS539" i="1" s="1"/>
  <c r="W540" i="1"/>
  <c r="AO540" i="1" s="1"/>
  <c r="AS540" i="1" s="1"/>
  <c r="W541" i="1"/>
  <c r="W542" i="1"/>
  <c r="W543" i="1"/>
  <c r="AO543" i="1" s="1"/>
  <c r="AS543" i="1" s="1"/>
  <c r="W544" i="1"/>
  <c r="AO544" i="1" s="1"/>
  <c r="AS544" i="1" s="1"/>
  <c r="W545" i="1"/>
  <c r="W546" i="1"/>
  <c r="W547" i="1"/>
  <c r="AO547" i="1" s="1"/>
  <c r="AS547" i="1" s="1"/>
  <c r="W548" i="1"/>
  <c r="W549" i="1"/>
  <c r="AO549" i="1" s="1"/>
  <c r="AS549" i="1" s="1"/>
  <c r="W550" i="1"/>
  <c r="AO550" i="1" s="1"/>
  <c r="AS550" i="1" s="1"/>
  <c r="W551" i="1"/>
  <c r="AO551" i="1" s="1"/>
  <c r="AS551" i="1" s="1"/>
  <c r="W552" i="1"/>
  <c r="AO552" i="1" s="1"/>
  <c r="AS552" i="1" s="1"/>
  <c r="W553" i="1"/>
  <c r="AO553" i="1" s="1"/>
  <c r="AS553" i="1" s="1"/>
  <c r="W554" i="1"/>
  <c r="AO554" i="1" s="1"/>
  <c r="AS554" i="1" s="1"/>
  <c r="W555" i="1"/>
  <c r="AO555" i="1" s="1"/>
  <c r="AS555" i="1" s="1"/>
  <c r="W556" i="1"/>
  <c r="AO556" i="1" s="1"/>
  <c r="AS556" i="1" s="1"/>
  <c r="W557" i="1"/>
  <c r="AO557" i="1" s="1"/>
  <c r="AS557" i="1" s="1"/>
  <c r="W558" i="1"/>
  <c r="AO558" i="1" s="1"/>
  <c r="AS558" i="1" s="1"/>
  <c r="W559" i="1"/>
  <c r="AO559" i="1" s="1"/>
  <c r="AS559" i="1" s="1"/>
  <c r="W560" i="1"/>
  <c r="AO560" i="1" s="1"/>
  <c r="AS560" i="1" s="1"/>
  <c r="W561" i="1"/>
  <c r="W562" i="1"/>
  <c r="AO562" i="1" s="1"/>
  <c r="AS562" i="1" s="1"/>
  <c r="W563" i="1"/>
  <c r="AO563" i="1" s="1"/>
  <c r="AS563" i="1" s="1"/>
  <c r="W564" i="1"/>
  <c r="AO564" i="1" s="1"/>
  <c r="AS564" i="1" s="1"/>
  <c r="W565" i="1"/>
  <c r="AO565" i="1" s="1"/>
  <c r="AS565" i="1" s="1"/>
  <c r="W566" i="1"/>
  <c r="AO566" i="1" s="1"/>
  <c r="AS566" i="1" s="1"/>
  <c r="W567" i="1"/>
  <c r="AO567" i="1" s="1"/>
  <c r="AS567" i="1" s="1"/>
  <c r="W568" i="1"/>
  <c r="AO568" i="1" s="1"/>
  <c r="AS568" i="1" s="1"/>
  <c r="W569" i="1"/>
  <c r="AO569" i="1" s="1"/>
  <c r="AS569" i="1" s="1"/>
  <c r="W570" i="1"/>
  <c r="AO570" i="1" s="1"/>
  <c r="AS570" i="1" s="1"/>
  <c r="W571" i="1"/>
  <c r="AO571" i="1" s="1"/>
  <c r="AS571" i="1" s="1"/>
  <c r="W572" i="1"/>
  <c r="W573" i="1"/>
  <c r="W574" i="1"/>
  <c r="W575" i="1"/>
  <c r="AO575" i="1" s="1"/>
  <c r="AS575" i="1" s="1"/>
  <c r="W576" i="1"/>
  <c r="AO576" i="1" s="1"/>
  <c r="AS576" i="1" s="1"/>
  <c r="W577" i="1"/>
  <c r="AO577" i="1" s="1"/>
  <c r="AS577" i="1" s="1"/>
  <c r="W578" i="1"/>
  <c r="AO578" i="1" s="1"/>
  <c r="AS578" i="1" s="1"/>
  <c r="W579" i="1"/>
  <c r="AO579" i="1" s="1"/>
  <c r="AS579" i="1" s="1"/>
  <c r="W580" i="1"/>
  <c r="AO580" i="1" s="1"/>
  <c r="AS580" i="1" s="1"/>
  <c r="W581" i="1"/>
  <c r="AO581" i="1" s="1"/>
  <c r="AS581" i="1" s="1"/>
  <c r="W582" i="1"/>
  <c r="AO582" i="1" s="1"/>
  <c r="AS582" i="1" s="1"/>
  <c r="W583" i="1"/>
  <c r="AO583" i="1" s="1"/>
  <c r="AS583" i="1" s="1"/>
  <c r="W584" i="1"/>
  <c r="AO584" i="1" s="1"/>
  <c r="AS584" i="1" s="1"/>
  <c r="W585" i="1"/>
  <c r="W586" i="1"/>
  <c r="AO586" i="1" s="1"/>
  <c r="AS586" i="1" s="1"/>
  <c r="W587" i="1"/>
  <c r="AO587" i="1" s="1"/>
  <c r="AS587" i="1" s="1"/>
  <c r="W588" i="1"/>
  <c r="W589" i="1"/>
  <c r="W590" i="1"/>
  <c r="W591" i="1"/>
  <c r="AO591" i="1" s="1"/>
  <c r="AS591" i="1" s="1"/>
  <c r="W592" i="1"/>
  <c r="AO592" i="1" s="1"/>
  <c r="AS592" i="1" s="1"/>
  <c r="W593" i="1"/>
  <c r="W594" i="1"/>
  <c r="W595" i="1"/>
  <c r="AO595" i="1" s="1"/>
  <c r="AS595" i="1" s="1"/>
  <c r="W596" i="1"/>
  <c r="W597" i="1"/>
  <c r="W598" i="1"/>
  <c r="AO598" i="1" s="1"/>
  <c r="AS598" i="1" s="1"/>
  <c r="W599" i="1"/>
  <c r="AO599" i="1" s="1"/>
  <c r="AS599" i="1" s="1"/>
  <c r="W600" i="1"/>
  <c r="AO600" i="1" s="1"/>
  <c r="AS600" i="1" s="1"/>
  <c r="W601" i="1"/>
  <c r="AO601" i="1" s="1"/>
  <c r="AS601" i="1" s="1"/>
  <c r="W602" i="1"/>
  <c r="AO602" i="1" s="1"/>
  <c r="AS602" i="1" s="1"/>
  <c r="W603" i="1"/>
  <c r="AO603" i="1" s="1"/>
  <c r="AS603" i="1" s="1"/>
  <c r="W604" i="1"/>
  <c r="AO604" i="1" s="1"/>
  <c r="AS604" i="1" s="1"/>
  <c r="W605" i="1"/>
  <c r="AO605" i="1" s="1"/>
  <c r="AS605" i="1" s="1"/>
  <c r="W606" i="1"/>
  <c r="W607" i="1"/>
  <c r="AO607" i="1" s="1"/>
  <c r="AS607" i="1" s="1"/>
  <c r="W608" i="1"/>
  <c r="AO608" i="1" s="1"/>
  <c r="AS608" i="1" s="1"/>
  <c r="W609" i="1"/>
  <c r="W610" i="1"/>
  <c r="W611" i="1"/>
  <c r="AO611" i="1" s="1"/>
  <c r="AS611" i="1" s="1"/>
  <c r="W612" i="1"/>
  <c r="W613" i="1"/>
  <c r="AO613" i="1" s="1"/>
  <c r="AS613" i="1" s="1"/>
  <c r="W614" i="1"/>
  <c r="W615" i="1"/>
  <c r="W616" i="1"/>
  <c r="AO616" i="1" s="1"/>
  <c r="AS616" i="1" s="1"/>
  <c r="W617" i="1"/>
  <c r="AO617" i="1" s="1"/>
  <c r="AS617" i="1" s="1"/>
  <c r="W618" i="1"/>
  <c r="AO618" i="1" s="1"/>
  <c r="AS618" i="1" s="1"/>
  <c r="W619" i="1"/>
  <c r="AO619" i="1" s="1"/>
  <c r="AS619" i="1" s="1"/>
  <c r="W620" i="1"/>
  <c r="AO620" i="1" s="1"/>
  <c r="AS620" i="1" s="1"/>
  <c r="W621" i="1"/>
  <c r="AO621" i="1" s="1"/>
  <c r="AS621" i="1" s="1"/>
  <c r="W622" i="1"/>
  <c r="W623" i="1"/>
  <c r="AO623" i="1" s="1"/>
  <c r="AS623" i="1" s="1"/>
  <c r="W624" i="1"/>
  <c r="AO624" i="1" s="1"/>
  <c r="AS624" i="1" s="1"/>
  <c r="W625" i="1"/>
  <c r="W626" i="1"/>
  <c r="AO626" i="1" s="1"/>
  <c r="AS626" i="1" s="1"/>
  <c r="W627" i="1"/>
  <c r="AO627" i="1" s="1"/>
  <c r="AS627" i="1" s="1"/>
  <c r="W628" i="1"/>
  <c r="W629" i="1"/>
  <c r="AO629" i="1" s="1"/>
  <c r="AS629" i="1" s="1"/>
  <c r="W630" i="1"/>
  <c r="AO630" i="1" s="1"/>
  <c r="AS630" i="1" s="1"/>
  <c r="W631" i="1"/>
  <c r="AO631" i="1" s="1"/>
  <c r="AS631" i="1" s="1"/>
  <c r="W632" i="1"/>
  <c r="W633" i="1"/>
  <c r="W634" i="1"/>
  <c r="AO634" i="1" s="1"/>
  <c r="AS634" i="1" s="1"/>
  <c r="W635" i="1"/>
  <c r="AO635" i="1" s="1"/>
  <c r="AS635" i="1" s="1"/>
  <c r="W636" i="1"/>
  <c r="AO636" i="1" s="1"/>
  <c r="AS636" i="1" s="1"/>
  <c r="W637" i="1"/>
  <c r="W638" i="1"/>
  <c r="W639" i="1"/>
  <c r="AO639" i="1" s="1"/>
  <c r="AS639" i="1" s="1"/>
  <c r="W640" i="1"/>
  <c r="AO640" i="1" s="1"/>
  <c r="AS640" i="1" s="1"/>
  <c r="W641" i="1"/>
  <c r="W642" i="1"/>
  <c r="AO642" i="1" s="1"/>
  <c r="AS642" i="1" s="1"/>
  <c r="W643" i="1"/>
  <c r="AO643" i="1" s="1"/>
  <c r="AS643" i="1" s="1"/>
  <c r="W644" i="1"/>
  <c r="W645" i="1"/>
  <c r="AO645" i="1" s="1"/>
  <c r="AS645" i="1" s="1"/>
  <c r="W646" i="1"/>
  <c r="AO646" i="1" s="1"/>
  <c r="AS646" i="1" s="1"/>
  <c r="W647" i="1"/>
  <c r="AO647" i="1" s="1"/>
  <c r="AS647" i="1" s="1"/>
  <c r="W648" i="1"/>
  <c r="W649" i="1"/>
  <c r="AO649" i="1" s="1"/>
  <c r="AS649" i="1" s="1"/>
  <c r="W650" i="1"/>
  <c r="AO650" i="1" s="1"/>
  <c r="AS650" i="1" s="1"/>
  <c r="W651" i="1"/>
  <c r="AO651" i="1" s="1"/>
  <c r="AS651" i="1" s="1"/>
  <c r="W652" i="1"/>
  <c r="W653" i="1"/>
  <c r="AO653" i="1" s="1"/>
  <c r="AS653" i="1" s="1"/>
  <c r="W654" i="1"/>
  <c r="AO654" i="1" s="1"/>
  <c r="AS654" i="1" s="1"/>
  <c r="W655" i="1"/>
  <c r="AO655" i="1" s="1"/>
  <c r="AS655" i="1" s="1"/>
  <c r="W656" i="1"/>
  <c r="AO656" i="1" s="1"/>
  <c r="AS656" i="1" s="1"/>
  <c r="W657" i="1"/>
  <c r="W658" i="1"/>
  <c r="W659" i="1"/>
  <c r="AO659" i="1" s="1"/>
  <c r="AS659" i="1" s="1"/>
  <c r="W660" i="1"/>
  <c r="W661" i="1"/>
  <c r="W662" i="1"/>
  <c r="AO662" i="1" s="1"/>
  <c r="AS662" i="1" s="1"/>
  <c r="W663" i="1"/>
  <c r="AO663" i="1" s="1"/>
  <c r="AS663" i="1" s="1"/>
  <c r="W664" i="1"/>
  <c r="AO664" i="1" s="1"/>
  <c r="AS664" i="1" s="1"/>
  <c r="W665" i="1"/>
  <c r="AO665" i="1" s="1"/>
  <c r="AS665" i="1" s="1"/>
  <c r="W666" i="1"/>
  <c r="AO666" i="1" s="1"/>
  <c r="AS666" i="1" s="1"/>
  <c r="W667" i="1"/>
  <c r="AO667" i="1" s="1"/>
  <c r="AS667" i="1" s="1"/>
  <c r="W668" i="1"/>
  <c r="W669" i="1"/>
  <c r="AO669" i="1" s="1"/>
  <c r="AS669" i="1" s="1"/>
  <c r="W670" i="1"/>
  <c r="W671" i="1"/>
  <c r="AO671" i="1" s="1"/>
  <c r="AS671" i="1" s="1"/>
  <c r="W672" i="1"/>
  <c r="AO672" i="1" s="1"/>
  <c r="AS672" i="1" s="1"/>
  <c r="W673" i="1"/>
  <c r="W674" i="1"/>
  <c r="W675" i="1"/>
  <c r="AO675" i="1" s="1"/>
  <c r="AS675" i="1" s="1"/>
  <c r="W676" i="1"/>
  <c r="AO676" i="1" s="1"/>
  <c r="AS676" i="1" s="1"/>
  <c r="W677" i="1"/>
  <c r="AO677" i="1" s="1"/>
  <c r="AS677" i="1" s="1"/>
  <c r="W678" i="1"/>
  <c r="AO678" i="1" s="1"/>
  <c r="AS678" i="1" s="1"/>
  <c r="W679" i="1"/>
  <c r="AO679" i="1" s="1"/>
  <c r="AS679" i="1" s="1"/>
  <c r="W680" i="1"/>
  <c r="AO680" i="1" s="1"/>
  <c r="AS680" i="1" s="1"/>
  <c r="W681" i="1"/>
  <c r="AO681" i="1" s="1"/>
  <c r="AS681" i="1" s="1"/>
  <c r="W682" i="1"/>
  <c r="AO682" i="1" s="1"/>
  <c r="AS682" i="1" s="1"/>
  <c r="W683" i="1"/>
  <c r="AO683" i="1" s="1"/>
  <c r="AS683" i="1" s="1"/>
  <c r="W684" i="1"/>
  <c r="AO684" i="1" s="1"/>
  <c r="AS684" i="1" s="1"/>
  <c r="W685" i="1"/>
  <c r="AO685" i="1" s="1"/>
  <c r="AS685" i="1" s="1"/>
  <c r="W686" i="1"/>
  <c r="AO686" i="1" s="1"/>
  <c r="AS686" i="1" s="1"/>
  <c r="W687" i="1"/>
  <c r="AO687" i="1" s="1"/>
  <c r="AS687" i="1" s="1"/>
  <c r="W688" i="1"/>
  <c r="AO688" i="1" s="1"/>
  <c r="AS688" i="1" s="1"/>
  <c r="W689" i="1"/>
  <c r="W690" i="1"/>
  <c r="AO690" i="1" s="1"/>
  <c r="AS690" i="1" s="1"/>
  <c r="W691" i="1"/>
  <c r="AO691" i="1" s="1"/>
  <c r="AS691" i="1" s="1"/>
  <c r="W692" i="1"/>
  <c r="AO692" i="1" s="1"/>
  <c r="AS692" i="1" s="1"/>
  <c r="W693" i="1"/>
  <c r="AO693" i="1" s="1"/>
  <c r="AS693" i="1" s="1"/>
  <c r="W694" i="1"/>
  <c r="AO694" i="1" s="1"/>
  <c r="AS694" i="1" s="1"/>
  <c r="W695" i="1"/>
  <c r="AO695" i="1" s="1"/>
  <c r="AS695" i="1" s="1"/>
  <c r="W696" i="1"/>
  <c r="AO696" i="1" s="1"/>
  <c r="AS696" i="1" s="1"/>
  <c r="W697" i="1"/>
  <c r="AO697" i="1" s="1"/>
  <c r="AS697" i="1" s="1"/>
  <c r="W698" i="1"/>
  <c r="AO698" i="1" s="1"/>
  <c r="AS698" i="1" s="1"/>
  <c r="W699" i="1"/>
  <c r="AO699" i="1" s="1"/>
  <c r="AS699" i="1" s="1"/>
  <c r="W700" i="1"/>
  <c r="AO700" i="1" s="1"/>
  <c r="AS700" i="1" s="1"/>
  <c r="W701" i="1"/>
  <c r="AO701" i="1" s="1"/>
  <c r="AS701" i="1" s="1"/>
  <c r="W702" i="1"/>
  <c r="AO702" i="1" s="1"/>
  <c r="AS702" i="1" s="1"/>
  <c r="W703" i="1"/>
  <c r="AO703" i="1" s="1"/>
  <c r="AS703" i="1" s="1"/>
  <c r="W704" i="1"/>
  <c r="AO704" i="1" s="1"/>
  <c r="AS704" i="1" s="1"/>
  <c r="W705" i="1"/>
  <c r="W706" i="1"/>
  <c r="AO706" i="1" s="1"/>
  <c r="AS706" i="1" s="1"/>
  <c r="W707" i="1"/>
  <c r="AO707" i="1" s="1"/>
  <c r="AS707" i="1" s="1"/>
  <c r="W708" i="1"/>
  <c r="W709" i="1"/>
  <c r="AO709" i="1" s="1"/>
  <c r="AS709" i="1" s="1"/>
  <c r="W710" i="1"/>
  <c r="AO710" i="1" s="1"/>
  <c r="AS710" i="1" s="1"/>
  <c r="W711" i="1"/>
  <c r="AO711" i="1" s="1"/>
  <c r="AS711" i="1" s="1"/>
  <c r="W712" i="1"/>
  <c r="W713" i="1"/>
  <c r="AO713" i="1" s="1"/>
  <c r="AS713" i="1" s="1"/>
  <c r="W714" i="1"/>
  <c r="AO714" i="1" s="1"/>
  <c r="AS714" i="1" s="1"/>
  <c r="W715" i="1"/>
  <c r="AO715" i="1" s="1"/>
  <c r="AS715" i="1" s="1"/>
  <c r="W716" i="1"/>
  <c r="AO716" i="1" s="1"/>
  <c r="AS716" i="1" s="1"/>
  <c r="W717" i="1"/>
  <c r="AO717" i="1" s="1"/>
  <c r="AS717" i="1" s="1"/>
  <c r="W718" i="1"/>
  <c r="W719" i="1"/>
  <c r="AO719" i="1" s="1"/>
  <c r="AS719" i="1" s="1"/>
  <c r="W720" i="1"/>
  <c r="AO720" i="1" s="1"/>
  <c r="AS720" i="1" s="1"/>
  <c r="W721" i="1"/>
  <c r="W722" i="1"/>
  <c r="W723" i="1"/>
  <c r="AO723" i="1" s="1"/>
  <c r="AS723" i="1" s="1"/>
  <c r="W724" i="1"/>
  <c r="W725" i="1"/>
  <c r="AO725" i="1" s="1"/>
  <c r="AS725" i="1" s="1"/>
  <c r="W726" i="1"/>
  <c r="AO726" i="1" s="1"/>
  <c r="AS726" i="1" s="1"/>
  <c r="W727" i="1"/>
  <c r="AO727" i="1" s="1"/>
  <c r="AS727" i="1" s="1"/>
  <c r="W728" i="1"/>
  <c r="AO728" i="1" s="1"/>
  <c r="AS728" i="1" s="1"/>
  <c r="W729" i="1"/>
  <c r="AO729" i="1" s="1"/>
  <c r="AS729" i="1" s="1"/>
  <c r="W730" i="1"/>
  <c r="AO730" i="1" s="1"/>
  <c r="AS730" i="1" s="1"/>
  <c r="W731" i="1"/>
  <c r="AO731" i="1" s="1"/>
  <c r="AS731" i="1" s="1"/>
  <c r="W732" i="1"/>
  <c r="W733" i="1"/>
  <c r="W734" i="1"/>
  <c r="W735" i="1"/>
  <c r="AO735" i="1" s="1"/>
  <c r="AS735" i="1" s="1"/>
  <c r="W736" i="1"/>
  <c r="AO736" i="1" s="1"/>
  <c r="AS736" i="1" s="1"/>
  <c r="W737" i="1"/>
  <c r="W738" i="1"/>
  <c r="AO738" i="1" s="1"/>
  <c r="AS738" i="1" s="1"/>
  <c r="W739" i="1"/>
  <c r="AO739" i="1" s="1"/>
  <c r="AS739" i="1" s="1"/>
  <c r="W740" i="1"/>
  <c r="W741" i="1"/>
  <c r="AO741" i="1" s="1"/>
  <c r="AS741" i="1" s="1"/>
  <c r="W742" i="1"/>
  <c r="AO742" i="1" s="1"/>
  <c r="AS742" i="1" s="1"/>
  <c r="W743" i="1"/>
  <c r="AO743" i="1" s="1"/>
  <c r="AS743" i="1" s="1"/>
  <c r="W744" i="1"/>
  <c r="AO744" i="1" s="1"/>
  <c r="AS744" i="1" s="1"/>
  <c r="W745" i="1"/>
  <c r="AO745" i="1" s="1"/>
  <c r="AS745" i="1" s="1"/>
  <c r="W746" i="1"/>
  <c r="AO746" i="1" s="1"/>
  <c r="AS746" i="1" s="1"/>
  <c r="W747" i="1"/>
  <c r="AO747" i="1" s="1"/>
  <c r="AS747" i="1" s="1"/>
  <c r="W748" i="1"/>
  <c r="AO748" i="1" s="1"/>
  <c r="AS748" i="1" s="1"/>
  <c r="W749" i="1"/>
  <c r="AO749" i="1" s="1"/>
  <c r="AS749" i="1" s="1"/>
  <c r="W750" i="1"/>
  <c r="W751" i="1"/>
  <c r="AO751" i="1" s="1"/>
  <c r="AS751" i="1" s="1"/>
  <c r="W752" i="1"/>
  <c r="AO752" i="1" s="1"/>
  <c r="AS752" i="1" s="1"/>
  <c r="W753" i="1"/>
  <c r="W754" i="1"/>
  <c r="AO754" i="1" s="1"/>
  <c r="AS754" i="1" s="1"/>
  <c r="W755" i="1"/>
  <c r="AO755" i="1" s="1"/>
  <c r="AS755" i="1" s="1"/>
  <c r="W756" i="1"/>
  <c r="AO756" i="1" s="1"/>
  <c r="AS756" i="1" s="1"/>
  <c r="W757" i="1"/>
  <c r="W758" i="1"/>
  <c r="AO758" i="1" s="1"/>
  <c r="AS758" i="1" s="1"/>
  <c r="W759" i="1"/>
  <c r="W760" i="1"/>
  <c r="AO760" i="1" s="1"/>
  <c r="AS760" i="1" s="1"/>
  <c r="W761" i="1"/>
  <c r="AO761" i="1" s="1"/>
  <c r="AS761" i="1" s="1"/>
  <c r="W762" i="1"/>
  <c r="AO762" i="1" s="1"/>
  <c r="AS762" i="1" s="1"/>
  <c r="W763" i="1"/>
  <c r="AO763" i="1" s="1"/>
  <c r="AS763" i="1" s="1"/>
  <c r="W764" i="1"/>
  <c r="AO764" i="1" s="1"/>
  <c r="AS764" i="1" s="1"/>
  <c r="W765" i="1"/>
  <c r="AO765" i="1" s="1"/>
  <c r="AS765" i="1" s="1"/>
  <c r="W766" i="1"/>
  <c r="AO766" i="1" s="1"/>
  <c r="AS766" i="1" s="1"/>
  <c r="W767" i="1"/>
  <c r="AO767" i="1" s="1"/>
  <c r="AS767" i="1" s="1"/>
  <c r="W768" i="1"/>
  <c r="AO768" i="1" s="1"/>
  <c r="AS768" i="1" s="1"/>
  <c r="W769" i="1"/>
  <c r="W770" i="1"/>
  <c r="W771" i="1"/>
  <c r="AO771" i="1" s="1"/>
  <c r="AS771" i="1" s="1"/>
  <c r="W772" i="1"/>
  <c r="W773" i="1"/>
  <c r="AO773" i="1" s="1"/>
  <c r="AS773" i="1" s="1"/>
  <c r="W774" i="1"/>
  <c r="AO774" i="1" s="1"/>
  <c r="AS774" i="1" s="1"/>
  <c r="W775" i="1"/>
  <c r="AO775" i="1" s="1"/>
  <c r="AS775" i="1" s="1"/>
  <c r="W776" i="1"/>
  <c r="W777" i="1"/>
  <c r="AO777" i="1" s="1"/>
  <c r="AS777" i="1" s="1"/>
  <c r="W778" i="1"/>
  <c r="AO778" i="1" s="1"/>
  <c r="AS778" i="1" s="1"/>
  <c r="W779" i="1"/>
  <c r="AO779" i="1" s="1"/>
  <c r="AS779" i="1" s="1"/>
  <c r="W780" i="1"/>
  <c r="AO780" i="1" s="1"/>
  <c r="AS780" i="1" s="1"/>
  <c r="W781" i="1"/>
  <c r="AO781" i="1" s="1"/>
  <c r="AS781" i="1" s="1"/>
  <c r="W782" i="1"/>
  <c r="AO782" i="1" s="1"/>
  <c r="AS782" i="1" s="1"/>
  <c r="W783" i="1"/>
  <c r="AO783" i="1" s="1"/>
  <c r="AS783" i="1" s="1"/>
  <c r="W784" i="1"/>
  <c r="AO784" i="1" s="1"/>
  <c r="AS784" i="1" s="1"/>
  <c r="W785" i="1"/>
  <c r="AO785" i="1" s="1"/>
  <c r="AS785" i="1" s="1"/>
  <c r="W786" i="1"/>
  <c r="AO786" i="1" s="1"/>
  <c r="AS786" i="1" s="1"/>
  <c r="W787" i="1"/>
  <c r="AO787" i="1" s="1"/>
  <c r="AS787" i="1" s="1"/>
  <c r="W788" i="1"/>
  <c r="W789" i="1"/>
  <c r="AO789" i="1" s="1"/>
  <c r="AS789" i="1" s="1"/>
  <c r="W790" i="1"/>
  <c r="AO790" i="1" s="1"/>
  <c r="AS790" i="1" s="1"/>
  <c r="W791" i="1"/>
  <c r="AO791" i="1" s="1"/>
  <c r="AS791" i="1" s="1"/>
  <c r="W792" i="1"/>
  <c r="AO792" i="1" s="1"/>
  <c r="AS792" i="1" s="1"/>
  <c r="W793" i="1"/>
  <c r="W794" i="1"/>
  <c r="AO794" i="1" s="1"/>
  <c r="AS794" i="1" s="1"/>
  <c r="W795" i="1"/>
  <c r="AO795" i="1" s="1"/>
  <c r="AS795" i="1" s="1"/>
  <c r="W796" i="1"/>
  <c r="AO796" i="1" s="1"/>
  <c r="AS796" i="1" s="1"/>
  <c r="W797" i="1"/>
  <c r="AO797" i="1" s="1"/>
  <c r="AS797" i="1" s="1"/>
  <c r="W798" i="1"/>
  <c r="AO798" i="1" s="1"/>
  <c r="AS798" i="1" s="1"/>
  <c r="W799" i="1"/>
  <c r="AO799" i="1" s="1"/>
  <c r="AS799" i="1" s="1"/>
  <c r="W800" i="1"/>
  <c r="AO800" i="1" s="1"/>
  <c r="AS800" i="1" s="1"/>
  <c r="W801" i="1"/>
  <c r="W802" i="1"/>
  <c r="AO802" i="1" s="1"/>
  <c r="AS802" i="1" s="1"/>
  <c r="W803" i="1"/>
  <c r="AO803" i="1" s="1"/>
  <c r="AS803" i="1" s="1"/>
  <c r="W804" i="1"/>
  <c r="AO804" i="1" s="1"/>
  <c r="AS804" i="1" s="1"/>
  <c r="W805" i="1"/>
  <c r="AO805" i="1" s="1"/>
  <c r="AS805" i="1" s="1"/>
  <c r="W806" i="1"/>
  <c r="AO806" i="1" s="1"/>
  <c r="AS806" i="1" s="1"/>
  <c r="W807" i="1"/>
  <c r="AO807" i="1" s="1"/>
  <c r="AS807" i="1" s="1"/>
  <c r="W808" i="1"/>
  <c r="AO808" i="1" s="1"/>
  <c r="AS808" i="1" s="1"/>
  <c r="W809" i="1"/>
  <c r="AO809" i="1" s="1"/>
  <c r="AS809" i="1" s="1"/>
  <c r="W810" i="1"/>
  <c r="AO810" i="1" s="1"/>
  <c r="AS810" i="1" s="1"/>
  <c r="W811" i="1"/>
  <c r="AO811" i="1" s="1"/>
  <c r="AS811" i="1" s="1"/>
  <c r="W812" i="1"/>
  <c r="W813" i="1"/>
  <c r="AO813" i="1" s="1"/>
  <c r="AS813" i="1" s="1"/>
  <c r="W814" i="1"/>
  <c r="AO814" i="1" s="1"/>
  <c r="AS814" i="1" s="1"/>
  <c r="W815" i="1"/>
  <c r="AO815" i="1" s="1"/>
  <c r="AS815" i="1" s="1"/>
  <c r="W816" i="1"/>
  <c r="AO816" i="1" s="1"/>
  <c r="AS816" i="1" s="1"/>
  <c r="W817" i="1"/>
  <c r="W818" i="1"/>
  <c r="W819" i="1"/>
  <c r="AO819" i="1" s="1"/>
  <c r="AS819" i="1" s="1"/>
  <c r="W820" i="1"/>
  <c r="W821" i="1"/>
  <c r="AL821" i="1" s="1"/>
  <c r="W822" i="1"/>
  <c r="AL822" i="1" s="1"/>
  <c r="W823" i="1"/>
  <c r="AO823" i="1" s="1"/>
  <c r="AS823" i="1" s="1"/>
  <c r="W824" i="1"/>
  <c r="AO824" i="1" s="1"/>
  <c r="AS824" i="1" s="1"/>
  <c r="W825" i="1"/>
  <c r="W826" i="1"/>
  <c r="AO826" i="1" s="1"/>
  <c r="AS826" i="1" s="1"/>
  <c r="W827" i="1"/>
  <c r="AO827" i="1" s="1"/>
  <c r="AS827" i="1" s="1"/>
  <c r="W828" i="1"/>
  <c r="W829" i="1"/>
  <c r="W830" i="1"/>
  <c r="W831" i="1"/>
  <c r="AO831" i="1" s="1"/>
  <c r="AS831" i="1" s="1"/>
  <c r="W832" i="1"/>
  <c r="AO832" i="1" s="1"/>
  <c r="AS832" i="1" s="1"/>
  <c r="W833" i="1"/>
  <c r="W834" i="1"/>
  <c r="W835" i="1"/>
  <c r="AO835" i="1" s="1"/>
  <c r="AS835" i="1" s="1"/>
  <c r="W836" i="1"/>
  <c r="W837" i="1"/>
  <c r="AO837" i="1" s="1"/>
  <c r="AS837" i="1" s="1"/>
  <c r="W838" i="1"/>
  <c r="AO838" i="1" s="1"/>
  <c r="AS838" i="1" s="1"/>
  <c r="W839" i="1"/>
  <c r="AO839" i="1" s="1"/>
  <c r="AS839" i="1" s="1"/>
  <c r="W840" i="1"/>
  <c r="AO840" i="1" s="1"/>
  <c r="AS840" i="1" s="1"/>
  <c r="W841" i="1"/>
  <c r="AO841" i="1" s="1"/>
  <c r="AS841" i="1" s="1"/>
  <c r="W842" i="1"/>
  <c r="AO842" i="1" s="1"/>
  <c r="AS842" i="1" s="1"/>
  <c r="W843" i="1"/>
  <c r="W844" i="1"/>
  <c r="AO844" i="1" s="1"/>
  <c r="AS844" i="1" s="1"/>
  <c r="W845" i="1"/>
  <c r="W846" i="1"/>
  <c r="W847" i="1"/>
  <c r="W848" i="1"/>
  <c r="W849" i="1"/>
  <c r="AO849" i="1" s="1"/>
  <c r="AS849" i="1" s="1"/>
  <c r="W850" i="1"/>
  <c r="AO850" i="1" s="1"/>
  <c r="AS850" i="1" s="1"/>
  <c r="W851" i="1"/>
  <c r="W852" i="1"/>
  <c r="W853" i="1"/>
  <c r="W854" i="1"/>
  <c r="AO854" i="1" s="1"/>
  <c r="AS854" i="1" s="1"/>
  <c r="W855" i="1"/>
  <c r="AO855" i="1" s="1"/>
  <c r="AS855" i="1" s="1"/>
  <c r="W856" i="1"/>
  <c r="AO856" i="1" s="1"/>
  <c r="AS856" i="1" s="1"/>
  <c r="W857" i="1"/>
  <c r="AO857" i="1" s="1"/>
  <c r="AS857" i="1" s="1"/>
  <c r="W858" i="1"/>
  <c r="AO858" i="1" s="1"/>
  <c r="AS858" i="1" s="1"/>
  <c r="W859" i="1"/>
  <c r="AO859" i="1" s="1"/>
  <c r="AS859" i="1" s="1"/>
  <c r="W860" i="1"/>
  <c r="AO860" i="1" s="1"/>
  <c r="AS860" i="1" s="1"/>
  <c r="W3" i="1"/>
  <c r="BQ773" i="1" l="1"/>
  <c r="BQ725" i="1"/>
  <c r="AK1570" i="1"/>
  <c r="AK1186" i="1"/>
  <c r="AK882" i="1"/>
  <c r="AL2067" i="1"/>
  <c r="AP2067" i="1" s="1"/>
  <c r="AK1422" i="1"/>
  <c r="AK1026" i="1"/>
  <c r="AK1027" i="1" s="1"/>
  <c r="AL1979" i="1"/>
  <c r="AP1979" i="1" s="1"/>
  <c r="AK1394" i="1"/>
  <c r="AL2411" i="1"/>
  <c r="AL2347" i="1"/>
  <c r="AP2347" i="1" s="1"/>
  <c r="AL2107" i="1"/>
  <c r="AP2107" i="1" s="1"/>
  <c r="AL2027" i="1"/>
  <c r="AL1995" i="1"/>
  <c r="AP1995" i="1" s="1"/>
  <c r="AL1819" i="1"/>
  <c r="AL1771" i="1"/>
  <c r="AL1659" i="1"/>
  <c r="AP1659" i="1" s="1"/>
  <c r="AJ2242" i="1"/>
  <c r="AL1347" i="1"/>
  <c r="AP1347" i="1" s="1"/>
  <c r="AJ1694" i="1"/>
  <c r="AL1694" i="1" s="1"/>
  <c r="AK2146" i="1"/>
  <c r="AL947" i="1"/>
  <c r="AP947" i="1" s="1"/>
  <c r="AP948" i="1" s="1"/>
  <c r="AL2275" i="1"/>
  <c r="AP2275" i="1" s="1"/>
  <c r="AL2019" i="1"/>
  <c r="AP2019" i="1" s="1"/>
  <c r="AL1603" i="1"/>
  <c r="AP1603" i="1" s="1"/>
  <c r="AL1475" i="1"/>
  <c r="AP1475" i="1" s="1"/>
  <c r="AL1427" i="1"/>
  <c r="AL1411" i="1"/>
  <c r="AK1989" i="1"/>
  <c r="AK1990" i="1" s="1"/>
  <c r="AJ1829" i="1"/>
  <c r="AL1829" i="1" s="1"/>
  <c r="AP1829" i="1" s="1"/>
  <c r="AJ1157" i="1"/>
  <c r="AK2286" i="1"/>
  <c r="AJ2115" i="1"/>
  <c r="AJ1987" i="1"/>
  <c r="AJ1267" i="1"/>
  <c r="AJ1155" i="1"/>
  <c r="AL1155" i="1" s="1"/>
  <c r="AP1155" i="1" s="1"/>
  <c r="AK1603" i="1"/>
  <c r="AK1397" i="1"/>
  <c r="AK1132" i="1"/>
  <c r="AK2261" i="1"/>
  <c r="AK2101" i="1"/>
  <c r="AK1765" i="1"/>
  <c r="AK1941" i="1"/>
  <c r="AK1942" i="1" s="1"/>
  <c r="AK1943" i="1" s="1"/>
  <c r="AJ1715" i="1"/>
  <c r="AK1573" i="1"/>
  <c r="AJ1365" i="1"/>
  <c r="AK1109" i="1"/>
  <c r="AJ1923" i="1"/>
  <c r="AK1701" i="1"/>
  <c r="AJ931" i="1"/>
  <c r="AL2310" i="1"/>
  <c r="AP2310" i="1" s="1"/>
  <c r="AJ2183" i="1"/>
  <c r="AL2118" i="1"/>
  <c r="AP2118" i="1" s="1"/>
  <c r="AJ2071" i="1"/>
  <c r="AK2055" i="1"/>
  <c r="AL1990" i="1"/>
  <c r="AJ1863" i="1"/>
  <c r="AL1622" i="1"/>
  <c r="AP1622" i="1" s="1"/>
  <c r="AL998" i="1"/>
  <c r="BU364" i="1"/>
  <c r="AJ2197" i="1"/>
  <c r="AK2229" i="1"/>
  <c r="AJ2133" i="1"/>
  <c r="AK2117" i="1"/>
  <c r="AJ1973" i="1"/>
  <c r="AL1973" i="1" s="1"/>
  <c r="AP1973" i="1" s="1"/>
  <c r="AK1909" i="1"/>
  <c r="AJ1813" i="1"/>
  <c r="AL1813" i="1" s="1"/>
  <c r="AP1813" i="1" s="1"/>
  <c r="AK1541" i="1"/>
  <c r="AK1061" i="1"/>
  <c r="AJ1045" i="1"/>
  <c r="AK885" i="1"/>
  <c r="AK2405" i="1"/>
  <c r="BU1562" i="1"/>
  <c r="AS1705" i="1"/>
  <c r="AK2037" i="1"/>
  <c r="AJ1907" i="1"/>
  <c r="AL1907" i="1" s="1"/>
  <c r="AP1907" i="1" s="1"/>
  <c r="AK1671" i="1"/>
  <c r="AJ1318" i="1"/>
  <c r="AJ1319" i="1" s="1"/>
  <c r="AK1013" i="1"/>
  <c r="AJ884" i="1"/>
  <c r="AJ885" i="1" s="1"/>
  <c r="AJ2375" i="1"/>
  <c r="AK2158" i="1"/>
  <c r="AK1875" i="1"/>
  <c r="AK1475" i="1"/>
  <c r="AK1317" i="1"/>
  <c r="AK1173" i="1"/>
  <c r="AK2149" i="1"/>
  <c r="AJ2021" i="1"/>
  <c r="AK1310" i="1"/>
  <c r="AJ1011" i="1"/>
  <c r="AK2019" i="1"/>
  <c r="AJ1667" i="1"/>
  <c r="AJ1429" i="1"/>
  <c r="AL1429" i="1" s="1"/>
  <c r="AP1429" i="1" s="1"/>
  <c r="AL863" i="1"/>
  <c r="AP863" i="1" s="1"/>
  <c r="AJ2323" i="1"/>
  <c r="AL1830" i="1"/>
  <c r="AJ1428" i="1"/>
  <c r="AL1428" i="1" s="1"/>
  <c r="AP1428" i="1" s="1"/>
  <c r="AK2306" i="1"/>
  <c r="AK2003" i="1"/>
  <c r="AJ1285" i="1"/>
  <c r="AK2414" i="1"/>
  <c r="AK2334" i="1"/>
  <c r="AK2270" i="1"/>
  <c r="AK2206" i="1"/>
  <c r="AL2157" i="1"/>
  <c r="AP2157" i="1" s="1"/>
  <c r="AL2109" i="1"/>
  <c r="AP2109" i="1" s="1"/>
  <c r="AK2094" i="1"/>
  <c r="AK2046" i="1"/>
  <c r="AK1966" i="1"/>
  <c r="AK1470" i="1"/>
  <c r="AK1166" i="1"/>
  <c r="AK974" i="1"/>
  <c r="AJ2142" i="1"/>
  <c r="AL2142" i="1" s="1"/>
  <c r="AP2142" i="1" s="1"/>
  <c r="AK1865" i="1"/>
  <c r="AK1801" i="1"/>
  <c r="AJ1049" i="1"/>
  <c r="AK2398" i="1"/>
  <c r="AK2258" i="1"/>
  <c r="AJ2045" i="1"/>
  <c r="AK1934" i="1"/>
  <c r="AK1780" i="1"/>
  <c r="AK1781" i="1" s="1"/>
  <c r="AJ1666" i="1"/>
  <c r="AK1502" i="1"/>
  <c r="AJ1378" i="1"/>
  <c r="AK1262" i="1"/>
  <c r="AJ1181" i="1"/>
  <c r="AL1181" i="1" s="1"/>
  <c r="AP1181" i="1" s="1"/>
  <c r="AK1038" i="1"/>
  <c r="AJ1766" i="1"/>
  <c r="AL1766" i="1" s="1"/>
  <c r="AJ1362" i="1"/>
  <c r="AJ1261" i="1"/>
  <c r="AL1261" i="1" s="1"/>
  <c r="AP1261" i="1" s="1"/>
  <c r="AJ2364" i="1"/>
  <c r="AJ2029" i="1"/>
  <c r="AL2029" i="1" s="1"/>
  <c r="AP2029" i="1" s="1"/>
  <c r="AJ1758" i="1"/>
  <c r="AL1758" i="1" s="1"/>
  <c r="AP1758" i="1" s="1"/>
  <c r="AK1486" i="1"/>
  <c r="AK2028" i="1"/>
  <c r="AK1726" i="1"/>
  <c r="AK1245" i="1"/>
  <c r="AK889" i="1"/>
  <c r="AJ1165" i="1"/>
  <c r="AJ2338" i="1"/>
  <c r="AL2338" i="1" s="1"/>
  <c r="AP2338" i="1" s="1"/>
  <c r="AK2109" i="1"/>
  <c r="AJ1469" i="1"/>
  <c r="AJ1470" i="1" s="1"/>
  <c r="AL1470" i="1" s="1"/>
  <c r="AJ1229" i="1"/>
  <c r="AJ1230" i="1" s="1"/>
  <c r="AL1230" i="1" s="1"/>
  <c r="AJ1090" i="1"/>
  <c r="AL1090" i="1" s="1"/>
  <c r="AL2402" i="1"/>
  <c r="AL1570" i="1"/>
  <c r="AP1570" i="1" s="1"/>
  <c r="AL1394" i="1"/>
  <c r="AP1394" i="1" s="1"/>
  <c r="AL1186" i="1"/>
  <c r="AP1186" i="1" s="1"/>
  <c r="AL882" i="1"/>
  <c r="AP882" i="1" s="1"/>
  <c r="AJ2205" i="1"/>
  <c r="AL2205" i="1" s="1"/>
  <c r="AP2205" i="1" s="1"/>
  <c r="AJ1453" i="1"/>
  <c r="AL1453" i="1" s="1"/>
  <c r="AP1453" i="1" s="1"/>
  <c r="AJ1342" i="1"/>
  <c r="AL1342" i="1" s="1"/>
  <c r="AP1342" i="1" s="1"/>
  <c r="AL2159" i="1"/>
  <c r="AL975" i="1"/>
  <c r="AL2258" i="1"/>
  <c r="AP2258" i="1" s="1"/>
  <c r="AL2238" i="1"/>
  <c r="AP2238" i="1" s="1"/>
  <c r="AL1486" i="1"/>
  <c r="AP1486" i="1" s="1"/>
  <c r="AL1422" i="1"/>
  <c r="AP1422" i="1" s="1"/>
  <c r="AL1934" i="1"/>
  <c r="AP1934" i="1" s="1"/>
  <c r="AJ1789" i="1"/>
  <c r="AJ1677" i="1"/>
  <c r="AL1677" i="1" s="1"/>
  <c r="AP1677" i="1" s="1"/>
  <c r="AK1574" i="1"/>
  <c r="AK1575" i="1" s="1"/>
  <c r="AJ1234" i="1"/>
  <c r="AL1234" i="1" s="1"/>
  <c r="AP1234" i="1" s="1"/>
  <c r="AJ1042" i="1"/>
  <c r="AJ2349" i="1"/>
  <c r="AJ2350" i="1" s="1"/>
  <c r="AL2350" i="1" s="1"/>
  <c r="AP2350" i="1" s="1"/>
  <c r="AJ2317" i="1"/>
  <c r="AJ1965" i="1"/>
  <c r="AJ1966" i="1" s="1"/>
  <c r="AL1966" i="1" s="1"/>
  <c r="AK1293" i="1"/>
  <c r="AK1294" i="1" s="1"/>
  <c r="AJ1277" i="1"/>
  <c r="AJ941" i="1"/>
  <c r="AJ942" i="1" s="1"/>
  <c r="AL942" i="1" s="1"/>
  <c r="AJ925" i="1"/>
  <c r="AL973" i="1"/>
  <c r="AP973" i="1" s="1"/>
  <c r="BU1839" i="1"/>
  <c r="AJ2093" i="1"/>
  <c r="BU413" i="1"/>
  <c r="BU333" i="1"/>
  <c r="BU213" i="1"/>
  <c r="BU157" i="1"/>
  <c r="BU133" i="1"/>
  <c r="BU85" i="1"/>
  <c r="AK2238" i="1"/>
  <c r="AJ1158" i="1"/>
  <c r="AL918" i="1"/>
  <c r="BU564" i="1"/>
  <c r="BU428" i="1"/>
  <c r="BU1532" i="1"/>
  <c r="BU1500" i="1"/>
  <c r="BU1492" i="1"/>
  <c r="AJ2116" i="1"/>
  <c r="AL2116" i="1" s="1"/>
  <c r="AP2116" i="1" s="1"/>
  <c r="AK2082" i="1"/>
  <c r="BU763" i="1"/>
  <c r="AK1901" i="1"/>
  <c r="AJ2134" i="1"/>
  <c r="AJ2135" i="1" s="1"/>
  <c r="AL2037" i="1"/>
  <c r="AP2037" i="1" s="1"/>
  <c r="AL997" i="1"/>
  <c r="BU795" i="1"/>
  <c r="BU339" i="1"/>
  <c r="AS1262" i="1"/>
  <c r="BU1563" i="1"/>
  <c r="BU1555" i="1"/>
  <c r="BU1515" i="1"/>
  <c r="BU1507" i="1"/>
  <c r="BU1499" i="1"/>
  <c r="BU1491" i="1"/>
  <c r="BU955" i="1"/>
  <c r="BU786" i="1"/>
  <c r="BU730" i="1"/>
  <c r="BU706" i="1"/>
  <c r="AK2275" i="1"/>
  <c r="AL1701" i="1"/>
  <c r="AP1701" i="1" s="1"/>
  <c r="AK2260" i="1"/>
  <c r="AK2100" i="1"/>
  <c r="AK1995" i="1"/>
  <c r="AJ1668" i="1"/>
  <c r="AL2146" i="1"/>
  <c r="AP2146" i="1" s="1"/>
  <c r="AL1922" i="1"/>
  <c r="AP1922" i="1" s="1"/>
  <c r="AL1378" i="1"/>
  <c r="AP1378" i="1" s="1"/>
  <c r="AL1010" i="1"/>
  <c r="AP1010" i="1" s="1"/>
  <c r="AS1058" i="1"/>
  <c r="AS910" i="1"/>
  <c r="AL1824" i="1"/>
  <c r="AP1824" i="1" s="1"/>
  <c r="AL1728" i="1"/>
  <c r="AL1088" i="1"/>
  <c r="AL2241" i="1"/>
  <c r="AL1729" i="1"/>
  <c r="AL1393" i="1"/>
  <c r="AL1089" i="1"/>
  <c r="AJ2043" i="1"/>
  <c r="AS2137" i="1"/>
  <c r="AS2083" i="1"/>
  <c r="AS2035" i="1"/>
  <c r="AK2310" i="1"/>
  <c r="AK1910" i="1"/>
  <c r="AK1659" i="1"/>
  <c r="BU1593" i="1"/>
  <c r="AK2118" i="1"/>
  <c r="BU635" i="1"/>
  <c r="BU1831" i="1"/>
  <c r="AS1631" i="1"/>
  <c r="AS1632" i="1" s="1"/>
  <c r="BQ460" i="1"/>
  <c r="AJ1284" i="1"/>
  <c r="AS1341" i="1"/>
  <c r="BU762" i="1"/>
  <c r="AJ2358" i="1"/>
  <c r="AL1349" i="1"/>
  <c r="AK1819" i="1"/>
  <c r="AK1707" i="1"/>
  <c r="AK1708" i="1" s="1"/>
  <c r="AK1709" i="1" s="1"/>
  <c r="AJ1691" i="1"/>
  <c r="AJ1692" i="1" s="1"/>
  <c r="AJ1675" i="1"/>
  <c r="AJ1676" i="1" s="1"/>
  <c r="AJ1499" i="1"/>
  <c r="AL1499" i="1" s="1"/>
  <c r="AJ1387" i="1"/>
  <c r="AL2091" i="1"/>
  <c r="AP2091" i="1" s="1"/>
  <c r="AL1947" i="1"/>
  <c r="BU395" i="1"/>
  <c r="AS2413" i="1"/>
  <c r="BU1105" i="1"/>
  <c r="AJ2084" i="1"/>
  <c r="AK2356" i="1"/>
  <c r="AK2357" i="1" s="1"/>
  <c r="AK1268" i="1"/>
  <c r="AJ1060" i="1"/>
  <c r="AL1060" i="1" s="1"/>
  <c r="AP1060" i="1" s="1"/>
  <c r="AL1801" i="1"/>
  <c r="AL1689" i="1"/>
  <c r="AP1689" i="1" s="1"/>
  <c r="AL1385" i="1"/>
  <c r="AP1385" i="1" s="1"/>
  <c r="AL1065" i="1"/>
  <c r="AP1065" i="1" s="1"/>
  <c r="AL1033" i="1"/>
  <c r="AP1033" i="1" s="1"/>
  <c r="AL953" i="1"/>
  <c r="AP953" i="1" s="1"/>
  <c r="AL889" i="1"/>
  <c r="AP889" i="1" s="1"/>
  <c r="AK1964" i="1"/>
  <c r="AK891" i="1"/>
  <c r="AS1753" i="1"/>
  <c r="AJ2148" i="1"/>
  <c r="AJ1476" i="1"/>
  <c r="AL1476" i="1" s="1"/>
  <c r="AJ1039" i="1"/>
  <c r="AL1039" i="1" s="1"/>
  <c r="AP1039" i="1" s="1"/>
  <c r="BU802" i="1"/>
  <c r="AS2206" i="1"/>
  <c r="AJ2427" i="1"/>
  <c r="AL2427" i="1" s="1"/>
  <c r="AP2427" i="1" s="1"/>
  <c r="AL2349" i="1"/>
  <c r="AJ2228" i="1"/>
  <c r="AK2070" i="1"/>
  <c r="AK2071" i="1" s="1"/>
  <c r="AJ1323" i="1"/>
  <c r="AL1323" i="1" s="1"/>
  <c r="AP1323" i="1" s="1"/>
  <c r="AL884" i="1"/>
  <c r="AP884" i="1" s="1"/>
  <c r="BQ132" i="1"/>
  <c r="AJ971" i="1"/>
  <c r="AL971" i="1" s="1"/>
  <c r="AP971" i="1" s="1"/>
  <c r="AL1397" i="1"/>
  <c r="AP1397" i="1" s="1"/>
  <c r="AS2333" i="1"/>
  <c r="AS2334" i="1" s="1"/>
  <c r="AS2270" i="1"/>
  <c r="AS2248" i="1"/>
  <c r="BU493" i="1"/>
  <c r="BU469" i="1"/>
  <c r="BU453" i="1"/>
  <c r="BU421" i="1"/>
  <c r="BU357" i="1"/>
  <c r="AK959" i="1"/>
  <c r="AJ2324" i="1"/>
  <c r="AJ2219" i="1"/>
  <c r="AL2219" i="1" s="1"/>
  <c r="AP2219" i="1" s="1"/>
  <c r="AJ2054" i="1"/>
  <c r="AJ2055" i="1" s="1"/>
  <c r="AK1395" i="1"/>
  <c r="AK1363" i="1"/>
  <c r="AJ1187" i="1"/>
  <c r="AL1187" i="1" s="1"/>
  <c r="AP1187" i="1" s="1"/>
  <c r="AK1043" i="1"/>
  <c r="AK1011" i="1"/>
  <c r="AJ883" i="1"/>
  <c r="AL1171" i="1"/>
  <c r="AP1171" i="1" s="1"/>
  <c r="AL931" i="1"/>
  <c r="AP931" i="1" s="1"/>
  <c r="AL899" i="1"/>
  <c r="AP899" i="1" s="1"/>
  <c r="AS2178" i="1"/>
  <c r="AS2158" i="1"/>
  <c r="AS1715" i="1"/>
  <c r="AS2132" i="1"/>
  <c r="AS2133" i="1" s="1"/>
  <c r="BU571" i="1"/>
  <c r="BU212" i="1"/>
  <c r="BU84" i="1"/>
  <c r="BU68" i="1"/>
  <c r="BU939" i="1"/>
  <c r="BU947" i="1"/>
  <c r="BU923" i="1"/>
  <c r="BU2376" i="1"/>
  <c r="BU2353" i="1"/>
  <c r="BU2091" i="1"/>
  <c r="BU2083" i="1"/>
  <c r="BU2075" i="1"/>
  <c r="BU2067" i="1"/>
  <c r="BU2059" i="1"/>
  <c r="BU1908" i="1"/>
  <c r="BU1082" i="1"/>
  <c r="BU842" i="1"/>
  <c r="BU834" i="1"/>
  <c r="BU809" i="1"/>
  <c r="BU793" i="1"/>
  <c r="BU681" i="1"/>
  <c r="BU633" i="1"/>
  <c r="AS2222" i="1"/>
  <c r="BU2257" i="1"/>
  <c r="BU2249" i="1"/>
  <c r="BU2161" i="1"/>
  <c r="BU2153" i="1"/>
  <c r="BU2027" i="1"/>
  <c r="BU2019" i="1"/>
  <c r="BU961" i="1"/>
  <c r="BU913" i="1"/>
  <c r="BU993" i="1"/>
  <c r="BU969" i="1"/>
  <c r="BU905" i="1"/>
  <c r="BU2216" i="1"/>
  <c r="AS1971" i="1"/>
  <c r="AS2084" i="1"/>
  <c r="AS2085" i="1" s="1"/>
  <c r="BU2224" i="1"/>
  <c r="BU1285" i="1"/>
  <c r="BU1277" i="1"/>
  <c r="BU1166" i="1"/>
  <c r="BM2381" i="1"/>
  <c r="BN2381" i="1" s="1"/>
  <c r="BO2381" i="1" s="1"/>
  <c r="BP2381" i="1" s="1"/>
  <c r="BQ2381" i="1" s="1"/>
  <c r="AK2401" i="1"/>
  <c r="AK2402" i="1" s="1"/>
  <c r="AJ2401" i="1"/>
  <c r="AL2401" i="1" s="1"/>
  <c r="AP2401" i="1" s="1"/>
  <c r="AJ2369" i="1"/>
  <c r="AK2369" i="1"/>
  <c r="AK2370" i="1" s="1"/>
  <c r="AK2371" i="1" s="1"/>
  <c r="AK2321" i="1"/>
  <c r="AJ2321" i="1"/>
  <c r="AL2321" i="1" s="1"/>
  <c r="AP2321" i="1" s="1"/>
  <c r="AL2145" i="1"/>
  <c r="AJ2097" i="1"/>
  <c r="AJ2098" i="1" s="1"/>
  <c r="AL2098" i="1" s="1"/>
  <c r="AP2098" i="1" s="1"/>
  <c r="AK2097" i="1"/>
  <c r="AK2098" i="1" s="1"/>
  <c r="AK2001" i="1"/>
  <c r="AK2002" i="1" s="1"/>
  <c r="AJ2001" i="1"/>
  <c r="AK1985" i="1"/>
  <c r="AK1986" i="1" s="1"/>
  <c r="AJ1985" i="1"/>
  <c r="AJ1986" i="1" s="1"/>
  <c r="AL1986" i="1" s="1"/>
  <c r="AP1986" i="1" s="1"/>
  <c r="AJ1905" i="1"/>
  <c r="AJ1906" i="1" s="1"/>
  <c r="AL1906" i="1" s="1"/>
  <c r="AK1905" i="1"/>
  <c r="AK1906" i="1" s="1"/>
  <c r="AJ1841" i="1"/>
  <c r="AJ1842" i="1" s="1"/>
  <c r="AL1842" i="1" s="1"/>
  <c r="AK1841" i="1"/>
  <c r="AK1842" i="1" s="1"/>
  <c r="AJ1761" i="1"/>
  <c r="AJ1762" i="1" s="1"/>
  <c r="AL1762" i="1" s="1"/>
  <c r="AK1761" i="1"/>
  <c r="AK1762" i="1" s="1"/>
  <c r="AK1763" i="1" s="1"/>
  <c r="AJ1601" i="1"/>
  <c r="AJ1602" i="1" s="1"/>
  <c r="AL1602" i="1" s="1"/>
  <c r="AK1601" i="1"/>
  <c r="AK1602" i="1" s="1"/>
  <c r="AK1537" i="1"/>
  <c r="AK1538" i="1" s="1"/>
  <c r="AK1539" i="1" s="1"/>
  <c r="AJ1537" i="1"/>
  <c r="AJ1538" i="1" s="1"/>
  <c r="AL1538" i="1" s="1"/>
  <c r="AP1538" i="1" s="1"/>
  <c r="AK1521" i="1"/>
  <c r="AK1522" i="1" s="1"/>
  <c r="AJ1521" i="1"/>
  <c r="AJ1505" i="1"/>
  <c r="AL1505" i="1" s="1"/>
  <c r="AP1505" i="1" s="1"/>
  <c r="AK1505" i="1"/>
  <c r="AK1489" i="1"/>
  <c r="AK1490" i="1" s="1"/>
  <c r="AK1491" i="1" s="1"/>
  <c r="AK1492" i="1" s="1"/>
  <c r="AJ1489" i="1"/>
  <c r="AJ1490" i="1" s="1"/>
  <c r="AL1490" i="1" s="1"/>
  <c r="AK1441" i="1"/>
  <c r="AK1442" i="1" s="1"/>
  <c r="AK1443" i="1" s="1"/>
  <c r="AJ1441" i="1"/>
  <c r="AJ1442" i="1" s="1"/>
  <c r="AJ1443" i="1" s="1"/>
  <c r="AJ1425" i="1"/>
  <c r="AJ1426" i="1" s="1"/>
  <c r="AL1426" i="1" s="1"/>
  <c r="AK1425" i="1"/>
  <c r="AK1426" i="1" s="1"/>
  <c r="AK1427" i="1" s="1"/>
  <c r="AK1233" i="1"/>
  <c r="AJ1233" i="1"/>
  <c r="AL1233" i="1" s="1"/>
  <c r="AP1233" i="1" s="1"/>
  <c r="AK1169" i="1"/>
  <c r="AK1170" i="1" s="1"/>
  <c r="AJ1169" i="1"/>
  <c r="AJ1170" i="1" s="1"/>
  <c r="AL1170" i="1" s="1"/>
  <c r="AL1137" i="1"/>
  <c r="AK1025" i="1"/>
  <c r="AJ1025" i="1"/>
  <c r="AL1025" i="1" s="1"/>
  <c r="AP1025" i="1" s="1"/>
  <c r="AK977" i="1"/>
  <c r="AJ977" i="1"/>
  <c r="AL977" i="1" s="1"/>
  <c r="AJ929" i="1"/>
  <c r="AK929" i="1"/>
  <c r="AK930" i="1" s="1"/>
  <c r="AJ913" i="1"/>
  <c r="AL913" i="1" s="1"/>
  <c r="AP913" i="1" s="1"/>
  <c r="AK913" i="1"/>
  <c r="AK865" i="1"/>
  <c r="AK866" i="1" s="1"/>
  <c r="AJ865" i="1"/>
  <c r="AJ866" i="1" s="1"/>
  <c r="AL866" i="1" s="1"/>
  <c r="AJ2368" i="1"/>
  <c r="AL2368" i="1" s="1"/>
  <c r="AP2368" i="1" s="1"/>
  <c r="AK2368" i="1"/>
  <c r="AJ2304" i="1"/>
  <c r="AL2304" i="1" s="1"/>
  <c r="AP2304" i="1" s="1"/>
  <c r="AK2304" i="1"/>
  <c r="AK2240" i="1"/>
  <c r="AK2241" i="1" s="1"/>
  <c r="AJ2240" i="1"/>
  <c r="AL2240" i="1" s="1"/>
  <c r="AP2240" i="1" s="1"/>
  <c r="AJ2144" i="1"/>
  <c r="AL2144" i="1" s="1"/>
  <c r="AP2144" i="1" s="1"/>
  <c r="AP2145" i="1" s="1"/>
  <c r="AK2144" i="1"/>
  <c r="AK2145" i="1" s="1"/>
  <c r="AJ2128" i="1"/>
  <c r="AJ2129" i="1" s="1"/>
  <c r="AL2129" i="1" s="1"/>
  <c r="AK2128" i="1"/>
  <c r="AK1968" i="1"/>
  <c r="AJ1968" i="1"/>
  <c r="AL1968" i="1" s="1"/>
  <c r="AP1968" i="1" s="1"/>
  <c r="AK1904" i="1"/>
  <c r="AJ1904" i="1"/>
  <c r="AL1904" i="1" s="1"/>
  <c r="AP1904" i="1" s="1"/>
  <c r="AJ1616" i="1"/>
  <c r="AJ1617" i="1" s="1"/>
  <c r="AJ1618" i="1" s="1"/>
  <c r="AL1618" i="1" s="1"/>
  <c r="AK1616" i="1"/>
  <c r="AK1617" i="1" s="1"/>
  <c r="AK1618" i="1" s="1"/>
  <c r="AJ1552" i="1"/>
  <c r="AJ1553" i="1" s="1"/>
  <c r="AL1553" i="1" s="1"/>
  <c r="AK1552" i="1"/>
  <c r="AK1553" i="1" s="1"/>
  <c r="AJ1520" i="1"/>
  <c r="AL1520" i="1" s="1"/>
  <c r="AP1520" i="1" s="1"/>
  <c r="AK1520" i="1"/>
  <c r="AK1488" i="1"/>
  <c r="AJ1488" i="1"/>
  <c r="AL1488" i="1" s="1"/>
  <c r="AP1488" i="1" s="1"/>
  <c r="AJ1440" i="1"/>
  <c r="AL1440" i="1" s="1"/>
  <c r="AP1440" i="1" s="1"/>
  <c r="AK1440" i="1"/>
  <c r="AJ1392" i="1"/>
  <c r="AL1392" i="1" s="1"/>
  <c r="AK1392" i="1"/>
  <c r="AK1393" i="1" s="1"/>
  <c r="AK1248" i="1"/>
  <c r="AJ1248" i="1"/>
  <c r="AL1248" i="1" s="1"/>
  <c r="AP1248" i="1" s="1"/>
  <c r="AK1232" i="1"/>
  <c r="AJ1232" i="1"/>
  <c r="AL1232" i="1" s="1"/>
  <c r="AP1232" i="1" s="1"/>
  <c r="AJ1168" i="1"/>
  <c r="AL1168" i="1" s="1"/>
  <c r="AP1168" i="1" s="1"/>
  <c r="AK1168" i="1"/>
  <c r="AJ1136" i="1"/>
  <c r="AL1136" i="1" s="1"/>
  <c r="AP1136" i="1" s="1"/>
  <c r="AK1136" i="1"/>
  <c r="AJ1040" i="1"/>
  <c r="AL1040" i="1" s="1"/>
  <c r="AP1040" i="1" s="1"/>
  <c r="AK1040" i="1"/>
  <c r="AJ1024" i="1"/>
  <c r="AL1024" i="1" s="1"/>
  <c r="AP1024" i="1" s="1"/>
  <c r="AK1024" i="1"/>
  <c r="AJ976" i="1"/>
  <c r="AL976" i="1" s="1"/>
  <c r="AP976" i="1" s="1"/>
  <c r="AK976" i="1"/>
  <c r="AJ2208" i="1"/>
  <c r="AL2208" i="1" s="1"/>
  <c r="AP2208" i="1" s="1"/>
  <c r="AK1824" i="1"/>
  <c r="AK1137" i="1"/>
  <c r="AK2296" i="1"/>
  <c r="AJ2296" i="1"/>
  <c r="AK2280" i="1"/>
  <c r="AJ2280" i="1"/>
  <c r="AJ2281" i="1" s="1"/>
  <c r="AJ1896" i="1"/>
  <c r="AK1896" i="1"/>
  <c r="AK960" i="1"/>
  <c r="AJ864" i="1"/>
  <c r="AL864" i="1" s="1"/>
  <c r="AP864" i="1" s="1"/>
  <c r="AJ2351" i="1"/>
  <c r="AL2351" i="1" s="1"/>
  <c r="AK2351" i="1"/>
  <c r="AK2335" i="1"/>
  <c r="AJ2335" i="1"/>
  <c r="AL2335" i="1" s="1"/>
  <c r="AP2335" i="1" s="1"/>
  <c r="AJ2303" i="1"/>
  <c r="AL2303" i="1" s="1"/>
  <c r="AP2303" i="1" s="1"/>
  <c r="AK2303" i="1"/>
  <c r="AJ2271" i="1"/>
  <c r="AJ2272" i="1" s="1"/>
  <c r="AL2272" i="1" s="1"/>
  <c r="AK2271" i="1"/>
  <c r="AK2272" i="1" s="1"/>
  <c r="AJ2239" i="1"/>
  <c r="AL2239" i="1" s="1"/>
  <c r="AK2239" i="1"/>
  <c r="AJ2207" i="1"/>
  <c r="AL2207" i="1" s="1"/>
  <c r="AP2207" i="1" s="1"/>
  <c r="AK2207" i="1"/>
  <c r="AJ2143" i="1"/>
  <c r="AL2143" i="1" s="1"/>
  <c r="AK2143" i="1"/>
  <c r="AJ2096" i="1"/>
  <c r="AL2096" i="1" s="1"/>
  <c r="AJ1967" i="1"/>
  <c r="AL1967" i="1" s="1"/>
  <c r="AP1967" i="1" s="1"/>
  <c r="AK1967" i="1"/>
  <c r="AK1935" i="1"/>
  <c r="AJ1935" i="1"/>
  <c r="AL1935" i="1" s="1"/>
  <c r="AK1920" i="1"/>
  <c r="AK1921" i="1" s="1"/>
  <c r="AJ1759" i="1"/>
  <c r="AL1759" i="1" s="1"/>
  <c r="AP1759" i="1" s="1"/>
  <c r="AK1759" i="1"/>
  <c r="AJ1727" i="1"/>
  <c r="AL1727" i="1" s="1"/>
  <c r="AK1727" i="1"/>
  <c r="AK1728" i="1" s="1"/>
  <c r="AK1729" i="1" s="1"/>
  <c r="AJ1535" i="1"/>
  <c r="AL1535" i="1" s="1"/>
  <c r="AK1535" i="1"/>
  <c r="AJ1519" i="1"/>
  <c r="AL1519" i="1" s="1"/>
  <c r="AP1519" i="1" s="1"/>
  <c r="AK1519" i="1"/>
  <c r="AJ1455" i="1"/>
  <c r="AL1455" i="1" s="1"/>
  <c r="AP1455" i="1" s="1"/>
  <c r="AK1455" i="1"/>
  <c r="AK1423" i="1"/>
  <c r="AK1424" i="1" s="1"/>
  <c r="AJ1423" i="1"/>
  <c r="AJ1391" i="1"/>
  <c r="AL1391" i="1" s="1"/>
  <c r="AP1391" i="1" s="1"/>
  <c r="AK1391" i="1"/>
  <c r="AJ1375" i="1"/>
  <c r="AK1375" i="1"/>
  <c r="AK1376" i="1" s="1"/>
  <c r="AJ1311" i="1"/>
  <c r="AL1311" i="1" s="1"/>
  <c r="AK1311" i="1"/>
  <c r="AK1263" i="1"/>
  <c r="AJ1263" i="1"/>
  <c r="AL1263" i="1" s="1"/>
  <c r="AJ1231" i="1"/>
  <c r="AL1231" i="1" s="1"/>
  <c r="AP1231" i="1" s="1"/>
  <c r="AK1231" i="1"/>
  <c r="AJ1199" i="1"/>
  <c r="AL1199" i="1" s="1"/>
  <c r="AP1199" i="1" s="1"/>
  <c r="AK1199" i="1"/>
  <c r="AK1087" i="1"/>
  <c r="AK1088" i="1" s="1"/>
  <c r="AK1089" i="1" s="1"/>
  <c r="AK1090" i="1" s="1"/>
  <c r="AJ1087" i="1"/>
  <c r="AL1087" i="1" s="1"/>
  <c r="AK1007" i="1"/>
  <c r="AK1008" i="1" s="1"/>
  <c r="AK1009" i="1" s="1"/>
  <c r="AJ1007" i="1"/>
  <c r="AJ960" i="1"/>
  <c r="AL960" i="1" s="1"/>
  <c r="AP960" i="1" s="1"/>
  <c r="AL959" i="1"/>
  <c r="AP959" i="1" s="1"/>
  <c r="AJ927" i="1"/>
  <c r="AK927" i="1"/>
  <c r="AK928" i="1" s="1"/>
  <c r="AJ911" i="1"/>
  <c r="AL911" i="1" s="1"/>
  <c r="AP911" i="1" s="1"/>
  <c r="AK911" i="1"/>
  <c r="AK2159" i="1"/>
  <c r="AJ1919" i="1"/>
  <c r="AJ2255" i="1"/>
  <c r="AL2255" i="1" s="1"/>
  <c r="AP2255" i="1" s="1"/>
  <c r="AJ2117" i="1"/>
  <c r="AL2117" i="1" s="1"/>
  <c r="AK2347" i="1"/>
  <c r="AK2348" i="1" s="1"/>
  <c r="AK2349" i="1" s="1"/>
  <c r="AK2350" i="1" s="1"/>
  <c r="AK2107" i="1"/>
  <c r="AK2108" i="1" s="1"/>
  <c r="AL1666" i="1"/>
  <c r="AP1666" i="1" s="1"/>
  <c r="AJ955" i="1"/>
  <c r="AL955" i="1" s="1"/>
  <c r="AP955" i="1" s="1"/>
  <c r="AJ2315" i="1"/>
  <c r="AL2315" i="1" s="1"/>
  <c r="AP2315" i="1" s="1"/>
  <c r="AK2315" i="1"/>
  <c r="AJ2203" i="1"/>
  <c r="AJ2204" i="1" s="1"/>
  <c r="AK2203" i="1"/>
  <c r="AJ1963" i="1"/>
  <c r="AK1963" i="1"/>
  <c r="AK1787" i="1"/>
  <c r="AJ1787" i="1"/>
  <c r="AL1787" i="1" s="1"/>
  <c r="AP1787" i="1" s="1"/>
  <c r="AK1643" i="1"/>
  <c r="AJ1643" i="1"/>
  <c r="AL1643" i="1" s="1"/>
  <c r="AP1643" i="1" s="1"/>
  <c r="AJ1307" i="1"/>
  <c r="AL1307" i="1" s="1"/>
  <c r="AP1307" i="1" s="1"/>
  <c r="AK1307" i="1"/>
  <c r="AK1195" i="1"/>
  <c r="AJ1195" i="1"/>
  <c r="AL1195" i="1" s="1"/>
  <c r="AP1195" i="1" s="1"/>
  <c r="AJ1179" i="1"/>
  <c r="AL1179" i="1" s="1"/>
  <c r="AP1179" i="1" s="1"/>
  <c r="AK1179" i="1"/>
  <c r="AJ1067" i="1"/>
  <c r="AL1067" i="1" s="1"/>
  <c r="AP1067" i="1" s="1"/>
  <c r="AK1067" i="1"/>
  <c r="AJ1035" i="1"/>
  <c r="AL1035" i="1" s="1"/>
  <c r="AP1035" i="1" s="1"/>
  <c r="AK1035" i="1"/>
  <c r="AJ1003" i="1"/>
  <c r="AL1003" i="1" s="1"/>
  <c r="AP1003" i="1" s="1"/>
  <c r="AK1003" i="1"/>
  <c r="AJ923" i="1"/>
  <c r="AL923" i="1" s="1"/>
  <c r="AP923" i="1" s="1"/>
  <c r="AK923" i="1"/>
  <c r="AK2266" i="1"/>
  <c r="AK2267" i="1" s="1"/>
  <c r="AJ2266" i="1"/>
  <c r="AJ2267" i="1" s="1"/>
  <c r="AL2267" i="1" s="1"/>
  <c r="AK1114" i="1"/>
  <c r="AK1115" i="1" s="1"/>
  <c r="AK1116" i="1" s="1"/>
  <c r="AJ1114" i="1"/>
  <c r="AJ1115" i="1" s="1"/>
  <c r="AJ1116" i="1" s="1"/>
  <c r="AL2363" i="1"/>
  <c r="AL2043" i="1"/>
  <c r="AP2043" i="1" s="1"/>
  <c r="AL1963" i="1"/>
  <c r="AL1707" i="1"/>
  <c r="AL1691" i="1"/>
  <c r="AL1675" i="1"/>
  <c r="AL1451" i="1"/>
  <c r="AL891" i="1"/>
  <c r="AP891" i="1" s="1"/>
  <c r="AJ1595" i="1"/>
  <c r="AL1595" i="1" s="1"/>
  <c r="AP1595" i="1" s="1"/>
  <c r="AJ2094" i="1"/>
  <c r="AL2094" i="1" s="1"/>
  <c r="AL2093" i="1"/>
  <c r="AP2093" i="1" s="1"/>
  <c r="AJ1803" i="1"/>
  <c r="AL1803" i="1" s="1"/>
  <c r="AP1803" i="1" s="1"/>
  <c r="AK2091" i="1"/>
  <c r="AK2415" i="1"/>
  <c r="AK2416" i="1" s="1"/>
  <c r="AK2417" i="1" s="1"/>
  <c r="AL2242" i="1"/>
  <c r="AP2242" i="1" s="1"/>
  <c r="AJ2276" i="1"/>
  <c r="AK2276" i="1"/>
  <c r="AL2306" i="1"/>
  <c r="AP2306" i="1" s="1"/>
  <c r="AL2082" i="1"/>
  <c r="AP2082" i="1" s="1"/>
  <c r="AK2095" i="1"/>
  <c r="AK2096" i="1" s="1"/>
  <c r="AL1812" i="1"/>
  <c r="AP1812" i="1" s="1"/>
  <c r="AL2114" i="1"/>
  <c r="AP2114" i="1" s="1"/>
  <c r="AJ1061" i="1"/>
  <c r="AJ2023" i="1"/>
  <c r="AL2022" i="1"/>
  <c r="AJ1876" i="1"/>
  <c r="AK1876" i="1"/>
  <c r="AJ1860" i="1"/>
  <c r="AK1860" i="1"/>
  <c r="AJ1556" i="1"/>
  <c r="AK1556" i="1"/>
  <c r="AK1396" i="1"/>
  <c r="AJ1396" i="1"/>
  <c r="AK2406" i="1"/>
  <c r="AJ1207" i="1"/>
  <c r="AJ1208" i="1" s="1"/>
  <c r="AL1208" i="1" s="1"/>
  <c r="AL1206" i="1"/>
  <c r="AP1206" i="1" s="1"/>
  <c r="AJ1511" i="1"/>
  <c r="AK1511" i="1"/>
  <c r="AK1350" i="1"/>
  <c r="AJ1350" i="1"/>
  <c r="AL1350" i="1" s="1"/>
  <c r="AP1350" i="1" s="1"/>
  <c r="AK1286" i="1"/>
  <c r="AJ1286" i="1"/>
  <c r="AL1286" i="1" s="1"/>
  <c r="AJ1714" i="1"/>
  <c r="AL1714" i="1" s="1"/>
  <c r="AP1714" i="1" s="1"/>
  <c r="AK1714" i="1"/>
  <c r="AJ1410" i="1"/>
  <c r="AL1410" i="1" s="1"/>
  <c r="AP1410" i="1" s="1"/>
  <c r="AP1411" i="1" s="1"/>
  <c r="AK1410" i="1"/>
  <c r="AK1411" i="1" s="1"/>
  <c r="AP1348" i="1"/>
  <c r="AJ1046" i="1"/>
  <c r="AK1046" i="1"/>
  <c r="AK1047" i="1" s="1"/>
  <c r="AK1156" i="1"/>
  <c r="AJ1156" i="1"/>
  <c r="AL1685" i="1"/>
  <c r="AL1365" i="1"/>
  <c r="AP1365" i="1" s="1"/>
  <c r="AL1189" i="1"/>
  <c r="AP1189" i="1" s="1"/>
  <c r="AL1013" i="1"/>
  <c r="AP1013" i="1" s="1"/>
  <c r="AL885" i="1"/>
  <c r="AP885" i="1" s="1"/>
  <c r="AL1014" i="1"/>
  <c r="AP1014" i="1" s="1"/>
  <c r="AK975" i="1"/>
  <c r="AK1364" i="1"/>
  <c r="AK1012" i="1"/>
  <c r="AJ898" i="1"/>
  <c r="AL898" i="1" s="1"/>
  <c r="AP898" i="1" s="1"/>
  <c r="AK898" i="1"/>
  <c r="AL1317" i="1"/>
  <c r="AP1317" i="1" s="1"/>
  <c r="AL1285" i="1"/>
  <c r="AP1285" i="1" s="1"/>
  <c r="AL995" i="1"/>
  <c r="AP995" i="1" s="1"/>
  <c r="AL917" i="1"/>
  <c r="AJ1574" i="1"/>
  <c r="AJ1575" i="1" s="1"/>
  <c r="AK1167" i="1"/>
  <c r="AL1395" i="1"/>
  <c r="AP1395" i="1" s="1"/>
  <c r="AL1109" i="1"/>
  <c r="AP1109" i="1" s="1"/>
  <c r="AJ943" i="1"/>
  <c r="AL1267" i="1"/>
  <c r="AP1267" i="1" s="1"/>
  <c r="AO1474" i="1"/>
  <c r="AS1473" i="1"/>
  <c r="BU2242" i="1"/>
  <c r="BU2234" i="1"/>
  <c r="BU2226" i="1"/>
  <c r="BU2218" i="1"/>
  <c r="BU2210" i="1"/>
  <c r="BU2202" i="1"/>
  <c r="BU2186" i="1"/>
  <c r="BU2146" i="1"/>
  <c r="BU2012" i="1"/>
  <c r="BU2004" i="1"/>
  <c r="BU1996" i="1"/>
  <c r="BU1846" i="1"/>
  <c r="BU1838" i="1"/>
  <c r="BU1671" i="1"/>
  <c r="BU1608" i="1"/>
  <c r="BU2420" i="1"/>
  <c r="BU2343" i="1"/>
  <c r="BU1090" i="1"/>
  <c r="BU970" i="1"/>
  <c r="BU954" i="1"/>
  <c r="BU2335" i="1"/>
  <c r="BU2287" i="1"/>
  <c r="BU2411" i="1"/>
  <c r="BU2166" i="1"/>
  <c r="BU1152" i="1"/>
  <c r="BU849" i="1"/>
  <c r="BU841" i="1"/>
  <c r="BU752" i="1"/>
  <c r="BU2358" i="1"/>
  <c r="BU2080" i="1"/>
  <c r="BU2056" i="1"/>
  <c r="BU2426" i="1"/>
  <c r="BU1414" i="1"/>
  <c r="BU1406" i="1"/>
  <c r="BU1144" i="1"/>
  <c r="BU976" i="1"/>
  <c r="BU968" i="1"/>
  <c r="BU960" i="1"/>
  <c r="BU952" i="1"/>
  <c r="BU2389" i="1"/>
  <c r="BU2404" i="1"/>
  <c r="BU2350" i="1"/>
  <c r="BU1137" i="1"/>
  <c r="BU1113" i="1"/>
  <c r="BU2253" i="1"/>
  <c r="BU2245" i="1"/>
  <c r="BU2237" i="1"/>
  <c r="BU2229" i="1"/>
  <c r="BU2221" i="1"/>
  <c r="BU2213" i="1"/>
  <c r="BU1761" i="1"/>
  <c r="BU1698" i="1"/>
  <c r="BU1453" i="1"/>
  <c r="BU1445" i="1"/>
  <c r="BU1437" i="1"/>
  <c r="BU1175" i="1"/>
  <c r="BU1167" i="1"/>
  <c r="BU1159" i="1"/>
  <c r="BU2327" i="1"/>
  <c r="BU2295" i="1"/>
  <c r="BU2088" i="1"/>
  <c r="BU2064" i="1"/>
  <c r="BU1903" i="1"/>
  <c r="BU2386" i="1"/>
  <c r="BU1524" i="1"/>
  <c r="BU1317" i="1"/>
  <c r="BU1293" i="1"/>
  <c r="BU1182" i="1"/>
  <c r="BU2416" i="1"/>
  <c r="BU2061" i="1"/>
  <c r="BU2053" i="1"/>
  <c r="BU2045" i="1"/>
  <c r="BU1744" i="1"/>
  <c r="BU1736" i="1"/>
  <c r="BU1578" i="1"/>
  <c r="BU1539" i="1"/>
  <c r="AS2369" i="1"/>
  <c r="AS2302" i="1"/>
  <c r="AS2174" i="1"/>
  <c r="AS1874" i="1"/>
  <c r="AS1779" i="1"/>
  <c r="AS1358" i="1"/>
  <c r="AS1277" i="1"/>
  <c r="AS1154" i="1"/>
  <c r="BU2084" i="1"/>
  <c r="BU2076" i="1"/>
  <c r="BU2068" i="1"/>
  <c r="BU2060" i="1"/>
  <c r="BU2044" i="1"/>
  <c r="BU1854" i="1"/>
  <c r="BU1719" i="1"/>
  <c r="BU1585" i="1"/>
  <c r="BM2276" i="1"/>
  <c r="BN2276" i="1" s="1"/>
  <c r="BO2276" i="1" s="1"/>
  <c r="BP2276" i="1" s="1"/>
  <c r="BQ2276" i="1" s="1"/>
  <c r="BM2325" i="1"/>
  <c r="BN2325" i="1" s="1"/>
  <c r="BO2325" i="1" s="1"/>
  <c r="BP2325" i="1" s="1"/>
  <c r="BQ2325" i="1" s="1"/>
  <c r="BM2378" i="1"/>
  <c r="BN2378" i="1" s="1"/>
  <c r="BO2378" i="1" s="1"/>
  <c r="BP2378" i="1" s="1"/>
  <c r="BQ2378" i="1" s="1"/>
  <c r="BM2347" i="1"/>
  <c r="BN2347" i="1" s="1"/>
  <c r="BO2347" i="1" s="1"/>
  <c r="BP2347" i="1" s="1"/>
  <c r="BQ2347" i="1" s="1"/>
  <c r="BM2362" i="1"/>
  <c r="BN2362" i="1" s="1"/>
  <c r="BO2362" i="1" s="1"/>
  <c r="BP2362" i="1" s="1"/>
  <c r="BQ2362" i="1" s="1"/>
  <c r="BM2340" i="1"/>
  <c r="BN2340" i="1" s="1"/>
  <c r="BO2340" i="1" s="1"/>
  <c r="BP2340" i="1" s="1"/>
  <c r="BQ2340" i="1" s="1"/>
  <c r="BM2360" i="1"/>
  <c r="BN2360" i="1" s="1"/>
  <c r="BO2360" i="1" s="1"/>
  <c r="BP2360" i="1" s="1"/>
  <c r="BQ2360" i="1" s="1"/>
  <c r="BM2341" i="1"/>
  <c r="BN2341" i="1" s="1"/>
  <c r="BO2341" i="1" s="1"/>
  <c r="BP2341" i="1" s="1"/>
  <c r="BQ2341" i="1" s="1"/>
  <c r="AS989" i="1"/>
  <c r="BU2373" i="1"/>
  <c r="BU2302" i="1"/>
  <c r="BU2294" i="1"/>
  <c r="BU2121" i="1"/>
  <c r="BU1900" i="1"/>
  <c r="BU1868" i="1"/>
  <c r="BU1726" i="1"/>
  <c r="BU1576" i="1"/>
  <c r="BU1205" i="1"/>
  <c r="BU1031" i="1"/>
  <c r="BU840" i="1"/>
  <c r="BU807" i="1"/>
  <c r="BU2206" i="1"/>
  <c r="BU2041" i="1"/>
  <c r="BU1364" i="1"/>
  <c r="BU1356" i="1"/>
  <c r="BU1340" i="1"/>
  <c r="BU1324" i="1"/>
  <c r="BU1244" i="1"/>
  <c r="BU1212" i="1"/>
  <c r="BU1189" i="1"/>
  <c r="BU1046" i="1"/>
  <c r="BU1023" i="1"/>
  <c r="BU545" i="1"/>
  <c r="BU99" i="1"/>
  <c r="BP821" i="1"/>
  <c r="BQ821" i="1" s="1"/>
  <c r="BO822" i="1"/>
  <c r="BP822" i="1" s="1"/>
  <c r="BU2113" i="1"/>
  <c r="BU2034" i="1"/>
  <c r="BU1892" i="1"/>
  <c r="BU1734" i="1"/>
  <c r="BU1639" i="1"/>
  <c r="BU1584" i="1"/>
  <c r="BU1197" i="1"/>
  <c r="BU1142" i="1"/>
  <c r="BU736" i="1"/>
  <c r="BU704" i="1"/>
  <c r="BU506" i="1"/>
  <c r="BU299" i="1"/>
  <c r="BU20" i="1"/>
  <c r="BU1348" i="1"/>
  <c r="BU1332" i="1"/>
  <c r="BU1236" i="1"/>
  <c r="BU1220" i="1"/>
  <c r="BU1015" i="1"/>
  <c r="BU991" i="1"/>
  <c r="BU967" i="1"/>
  <c r="BU751" i="1"/>
  <c r="BU577" i="1"/>
  <c r="BU466" i="1"/>
  <c r="AS2387" i="1"/>
  <c r="AS1848" i="1"/>
  <c r="AS1374" i="1"/>
  <c r="AS1273" i="1"/>
  <c r="BU2394" i="1"/>
  <c r="BU2198" i="1"/>
  <c r="BU2128" i="1"/>
  <c r="BU2120" i="1"/>
  <c r="BU2112" i="1"/>
  <c r="BU1954" i="1"/>
  <c r="AS1796" i="1"/>
  <c r="AS1797" i="1" s="1"/>
  <c r="BU1757" i="1"/>
  <c r="BU1749" i="1"/>
  <c r="BU1646" i="1"/>
  <c r="BU1466" i="1"/>
  <c r="BU1458" i="1"/>
  <c r="BU871" i="1"/>
  <c r="BU823" i="1"/>
  <c r="BU814" i="1"/>
  <c r="BU719" i="1"/>
  <c r="BU687" i="1"/>
  <c r="BU513" i="1"/>
  <c r="BU306" i="1"/>
  <c r="BU290" i="1"/>
  <c r="BU242" i="1"/>
  <c r="BU194" i="1"/>
  <c r="BU186" i="1"/>
  <c r="BU146" i="1"/>
  <c r="BU1677" i="1"/>
  <c r="BU1180" i="1"/>
  <c r="BU655" i="1"/>
  <c r="BU615" i="1"/>
  <c r="BU607" i="1"/>
  <c r="BU409" i="1"/>
  <c r="BU393" i="1"/>
  <c r="BU377" i="1"/>
  <c r="BU361" i="1"/>
  <c r="BU337" i="1"/>
  <c r="BU106" i="1"/>
  <c r="BU90" i="1"/>
  <c r="BU1669" i="1"/>
  <c r="BU1172" i="1"/>
  <c r="BU750" i="1"/>
  <c r="AS1560" i="1"/>
  <c r="AS1470" i="1"/>
  <c r="BU2268" i="1"/>
  <c r="BU1827" i="1"/>
  <c r="BU1512" i="1"/>
  <c r="BU878" i="1"/>
  <c r="BU599" i="1"/>
  <c r="BU1985" i="1"/>
  <c r="BU782" i="1"/>
  <c r="BU1906" i="1"/>
  <c r="BU1772" i="1"/>
  <c r="BU2316" i="1"/>
  <c r="BU2308" i="1"/>
  <c r="BU2260" i="1"/>
  <c r="BU1835" i="1"/>
  <c r="BU1520" i="1"/>
  <c r="BU1496" i="1"/>
  <c r="BU742" i="1"/>
  <c r="BU710" i="1"/>
  <c r="BU321" i="1"/>
  <c r="BU249" i="1"/>
  <c r="BU233" i="1"/>
  <c r="BU185" i="1"/>
  <c r="BU34" i="1"/>
  <c r="BU10" i="1"/>
  <c r="AS1793" i="1"/>
  <c r="BU2423" i="1"/>
  <c r="BU2355" i="1"/>
  <c r="BU2157" i="1"/>
  <c r="BU2149" i="1"/>
  <c r="BU2008" i="1"/>
  <c r="BU2000" i="1"/>
  <c r="BU1992" i="1"/>
  <c r="BU1795" i="1"/>
  <c r="BU1250" i="1"/>
  <c r="BU1187" i="1"/>
  <c r="BU1068" i="1"/>
  <c r="BU1060" i="1"/>
  <c r="BU1052" i="1"/>
  <c r="BU893" i="1"/>
  <c r="BU885" i="1"/>
  <c r="BU749" i="1"/>
  <c r="BU654" i="1"/>
  <c r="BU622" i="1"/>
  <c r="BU551" i="1"/>
  <c r="BU480" i="1"/>
  <c r="BU400" i="1"/>
  <c r="BU97" i="1"/>
  <c r="BU2370" i="1"/>
  <c r="BU2331" i="1"/>
  <c r="BU2283" i="1"/>
  <c r="BU2275" i="1"/>
  <c r="BU2031" i="1"/>
  <c r="BU2023" i="1"/>
  <c r="BU1850" i="1"/>
  <c r="BU1842" i="1"/>
  <c r="BU1573" i="1"/>
  <c r="BU869" i="1"/>
  <c r="BU829" i="1"/>
  <c r="BU820" i="1"/>
  <c r="BU693" i="1"/>
  <c r="BU590" i="1"/>
  <c r="BU264" i="1"/>
  <c r="BU1764" i="1"/>
  <c r="BU1069" i="1"/>
  <c r="AS946" i="1"/>
  <c r="BU2408" i="1"/>
  <c r="BU2127" i="1"/>
  <c r="BU1528" i="1"/>
  <c r="BU1504" i="1"/>
  <c r="BU1488" i="1"/>
  <c r="BU862" i="1"/>
  <c r="BU2377" i="1"/>
  <c r="BU2354" i="1"/>
  <c r="BU2188" i="1"/>
  <c r="BU2164" i="1"/>
  <c r="BU2156" i="1"/>
  <c r="BU2148" i="1"/>
  <c r="BU2102" i="1"/>
  <c r="BU1857" i="1"/>
  <c r="BU1628" i="1"/>
  <c r="BU1361" i="1"/>
  <c r="BU1353" i="1"/>
  <c r="BU2369" i="1"/>
  <c r="BU2338" i="1"/>
  <c r="BU2330" i="1"/>
  <c r="BU2125" i="1"/>
  <c r="BU2117" i="1"/>
  <c r="BU2109" i="1"/>
  <c r="BU2038" i="1"/>
  <c r="BU1919" i="1"/>
  <c r="BU1888" i="1"/>
  <c r="BU1880" i="1"/>
  <c r="BU1864" i="1"/>
  <c r="BU1714" i="1"/>
  <c r="BU1659" i="1"/>
  <c r="BU1643" i="1"/>
  <c r="BU56" i="1"/>
  <c r="BU24" i="1"/>
  <c r="BU581" i="1"/>
  <c r="BU446" i="1"/>
  <c r="BU406" i="1"/>
  <c r="BU334" i="1"/>
  <c r="BU350" i="1"/>
  <c r="BU2405" i="1"/>
  <c r="BU2398" i="1"/>
  <c r="BU2368" i="1"/>
  <c r="BU2313" i="1"/>
  <c r="BU2273" i="1"/>
  <c r="BU2265" i="1"/>
  <c r="BU2037" i="1"/>
  <c r="BU1509" i="1"/>
  <c r="BU1501" i="1"/>
  <c r="BU1493" i="1"/>
  <c r="BU1407" i="1"/>
  <c r="BU1399" i="1"/>
  <c r="BU1145" i="1"/>
  <c r="BU827" i="1"/>
  <c r="BU517" i="1"/>
  <c r="BU318" i="1"/>
  <c r="BU278" i="1"/>
  <c r="BU214" i="1"/>
  <c r="BU110" i="1"/>
  <c r="BU7" i="1"/>
  <c r="BT7" i="1" s="1"/>
  <c r="BU1416" i="1"/>
  <c r="BU1099" i="1"/>
  <c r="BU916" i="1"/>
  <c r="BU908" i="1"/>
  <c r="BU788" i="1"/>
  <c r="BU653" i="1"/>
  <c r="BU613" i="1"/>
  <c r="BU463" i="1"/>
  <c r="BU367" i="1"/>
  <c r="BU1690" i="1"/>
  <c r="BU1257" i="1"/>
  <c r="BU1123" i="1"/>
  <c r="BU900" i="1"/>
  <c r="BU780" i="1"/>
  <c r="BU661" i="1"/>
  <c r="BU487" i="1"/>
  <c r="BU455" i="1"/>
  <c r="BU415" i="1"/>
  <c r="BU327" i="1"/>
  <c r="BU120" i="1"/>
  <c r="BU112" i="1"/>
  <c r="BU17" i="1"/>
  <c r="BU2382" i="1"/>
  <c r="BU2320" i="1"/>
  <c r="BU2280" i="1"/>
  <c r="BU1447" i="1"/>
  <c r="BU1439" i="1"/>
  <c r="BU1431" i="1"/>
  <c r="BU1376" i="1"/>
  <c r="BU1368" i="1"/>
  <c r="BU732" i="1"/>
  <c r="BU692" i="1"/>
  <c r="BU518" i="1"/>
  <c r="BU271" i="1"/>
  <c r="BU207" i="1"/>
  <c r="BQ795" i="1"/>
  <c r="BQ59" i="1"/>
  <c r="AP1727" i="1"/>
  <c r="AO853" i="1"/>
  <c r="AS853" i="1" s="1"/>
  <c r="AO757" i="1"/>
  <c r="AS757" i="1" s="1"/>
  <c r="AO661" i="1"/>
  <c r="AS661" i="1" s="1"/>
  <c r="AO597" i="1"/>
  <c r="AS597" i="1" s="1"/>
  <c r="AO293" i="1"/>
  <c r="AS293" i="1" s="1"/>
  <c r="AO245" i="1"/>
  <c r="AS245" i="1" s="1"/>
  <c r="AO261" i="1"/>
  <c r="AS261" i="1" s="1"/>
  <c r="AO836" i="1"/>
  <c r="AS836" i="1" s="1"/>
  <c r="AO325" i="1"/>
  <c r="AS325" i="1" s="1"/>
  <c r="AO277" i="1"/>
  <c r="AS277" i="1" s="1"/>
  <c r="AO213" i="1"/>
  <c r="AS213" i="1" s="1"/>
  <c r="AO197" i="1"/>
  <c r="AS197" i="1" s="1"/>
  <c r="AO181" i="1"/>
  <c r="AS181" i="1" s="1"/>
  <c r="AO165" i="1"/>
  <c r="AS165" i="1" s="1"/>
  <c r="AO149" i="1"/>
  <c r="AS149" i="1" s="1"/>
  <c r="AO2098" i="1"/>
  <c r="AS2097" i="1"/>
  <c r="AO852" i="1"/>
  <c r="AS852" i="1" s="1"/>
  <c r="AO820" i="1"/>
  <c r="AS820" i="1" s="1"/>
  <c r="AO788" i="1"/>
  <c r="AS788" i="1" s="1"/>
  <c r="AO772" i="1"/>
  <c r="AS772" i="1" s="1"/>
  <c r="AO740" i="1"/>
  <c r="AS740" i="1" s="1"/>
  <c r="AO724" i="1"/>
  <c r="AS724" i="1" s="1"/>
  <c r="AO641" i="1"/>
  <c r="AS641" i="1" s="1"/>
  <c r="AO481" i="1"/>
  <c r="AS481" i="1" s="1"/>
  <c r="AO353" i="1"/>
  <c r="AS353" i="1" s="1"/>
  <c r="AO209" i="1"/>
  <c r="AS209" i="1" s="1"/>
  <c r="AO65" i="1"/>
  <c r="AS65" i="1" s="1"/>
  <c r="AO1125" i="1"/>
  <c r="AS1124" i="1"/>
  <c r="AO960" i="1"/>
  <c r="AS959" i="1"/>
  <c r="AO561" i="1"/>
  <c r="AS561" i="1" s="1"/>
  <c r="AO273" i="1"/>
  <c r="AS273" i="1" s="1"/>
  <c r="AO769" i="1"/>
  <c r="AS769" i="1" s="1"/>
  <c r="AO753" i="1"/>
  <c r="AS753" i="1" s="1"/>
  <c r="AO721" i="1"/>
  <c r="AS721" i="1" s="1"/>
  <c r="AO673" i="1"/>
  <c r="AS673" i="1" s="1"/>
  <c r="AO657" i="1"/>
  <c r="AS657" i="1" s="1"/>
  <c r="AO625" i="1"/>
  <c r="AS625" i="1" s="1"/>
  <c r="AO609" i="1"/>
  <c r="AS609" i="1" s="1"/>
  <c r="AO593" i="1"/>
  <c r="AS593" i="1" s="1"/>
  <c r="AO545" i="1"/>
  <c r="AS545" i="1" s="1"/>
  <c r="AO513" i="1"/>
  <c r="AS513" i="1" s="1"/>
  <c r="AO497" i="1"/>
  <c r="AS497" i="1" s="1"/>
  <c r="AO465" i="1"/>
  <c r="AS465" i="1" s="1"/>
  <c r="AO433" i="1"/>
  <c r="AS433" i="1" s="1"/>
  <c r="AO257" i="1"/>
  <c r="AS257" i="1" s="1"/>
  <c r="AO225" i="1"/>
  <c r="AS225" i="1" s="1"/>
  <c r="AO145" i="1"/>
  <c r="AS145" i="1" s="1"/>
  <c r="AO49" i="1"/>
  <c r="AS49" i="1" s="1"/>
  <c r="AO17" i="1"/>
  <c r="AS17" i="1" s="1"/>
  <c r="AO2291" i="1"/>
  <c r="AS2290" i="1"/>
  <c r="AO689" i="1"/>
  <c r="AS689" i="1" s="1"/>
  <c r="AO449" i="1"/>
  <c r="AS449" i="1" s="1"/>
  <c r="AO289" i="1"/>
  <c r="AS289" i="1" s="1"/>
  <c r="AO81" i="1"/>
  <c r="AS81" i="1" s="1"/>
  <c r="AO417" i="1"/>
  <c r="AS417" i="1" s="1"/>
  <c r="AO737" i="1"/>
  <c r="AS737" i="1" s="1"/>
  <c r="AO129" i="1"/>
  <c r="AS129" i="1" s="1"/>
  <c r="AO705" i="1"/>
  <c r="AS705" i="1" s="1"/>
  <c r="AO113" i="1"/>
  <c r="AS113" i="1" s="1"/>
  <c r="AS1794" i="1"/>
  <c r="AO833" i="1"/>
  <c r="AS833" i="1" s="1"/>
  <c r="AO321" i="1"/>
  <c r="AS321" i="1" s="1"/>
  <c r="AO161" i="1"/>
  <c r="AS161" i="1" s="1"/>
  <c r="AO801" i="1"/>
  <c r="AS801" i="1" s="1"/>
  <c r="AO401" i="1"/>
  <c r="AS401" i="1" s="1"/>
  <c r="AO241" i="1"/>
  <c r="AS241" i="1" s="1"/>
  <c r="AO33" i="1"/>
  <c r="AS33" i="1" s="1"/>
  <c r="AO305" i="1"/>
  <c r="AS305" i="1" s="1"/>
  <c r="AO97" i="1"/>
  <c r="AS97" i="1" s="1"/>
  <c r="AO817" i="1"/>
  <c r="AS817" i="1" s="1"/>
  <c r="AO212" i="1"/>
  <c r="AS212" i="1" s="1"/>
  <c r="AS1421" i="1"/>
  <c r="AO644" i="1"/>
  <c r="AS644" i="1" s="1"/>
  <c r="AO596" i="1"/>
  <c r="AS596" i="1" s="1"/>
  <c r="AO84" i="1"/>
  <c r="AS84" i="1" s="1"/>
  <c r="AO1955" i="1"/>
  <c r="AO1956" i="1" s="1"/>
  <c r="AS1956" i="1" s="1"/>
  <c r="AS1954" i="1"/>
  <c r="AS1774" i="1"/>
  <c r="AS1775" i="1" s="1"/>
  <c r="AS2002" i="1"/>
  <c r="AS1886" i="1"/>
  <c r="AO1865" i="1"/>
  <c r="AS1864" i="1"/>
  <c r="AO1395" i="1"/>
  <c r="AS1394" i="1"/>
  <c r="AS1230" i="1"/>
  <c r="AS1166" i="1"/>
  <c r="AS1106" i="1"/>
  <c r="AO944" i="1"/>
  <c r="AS943" i="1"/>
  <c r="AO708" i="1"/>
  <c r="AS708" i="1" s="1"/>
  <c r="AO164" i="1"/>
  <c r="AS164" i="1" s="1"/>
  <c r="AS2052" i="1"/>
  <c r="AS2053" i="1" s="1"/>
  <c r="AO450" i="1"/>
  <c r="AS450" i="1" s="1"/>
  <c r="AO66" i="1"/>
  <c r="AS66" i="1" s="1"/>
  <c r="AS2094" i="1"/>
  <c r="AS1771" i="1"/>
  <c r="AS1085" i="1"/>
  <c r="AS1000" i="1"/>
  <c r="AO962" i="1"/>
  <c r="AS961" i="1"/>
  <c r="AO818" i="1"/>
  <c r="AS818" i="1" s="1"/>
  <c r="BU2419" i="1"/>
  <c r="BU2397" i="1"/>
  <c r="BU2361" i="1"/>
  <c r="BU2346" i="1"/>
  <c r="BU2323" i="1"/>
  <c r="AS2308" i="1"/>
  <c r="AS2309" i="1" s="1"/>
  <c r="BU2179" i="1"/>
  <c r="BU2172" i="1"/>
  <c r="BU2142" i="1"/>
  <c r="BU2135" i="1"/>
  <c r="BU2105" i="1"/>
  <c r="BU2098" i="1"/>
  <c r="BU2030" i="1"/>
  <c r="BU2022" i="1"/>
  <c r="BU2015" i="1"/>
  <c r="BU2007" i="1"/>
  <c r="BU1999" i="1"/>
  <c r="BU1922" i="1"/>
  <c r="BU1883" i="1"/>
  <c r="BU1875" i="1"/>
  <c r="BU1860" i="1"/>
  <c r="BU1631" i="1"/>
  <c r="BU1623" i="1"/>
  <c r="BU1600" i="1"/>
  <c r="BU1569" i="1"/>
  <c r="BU1546" i="1"/>
  <c r="BU1422" i="1"/>
  <c r="BU1391" i="1"/>
  <c r="BU1383" i="1"/>
  <c r="BU1272" i="1"/>
  <c r="BU1243" i="1"/>
  <c r="BU1235" i="1"/>
  <c r="BU1227" i="1"/>
  <c r="BU1219" i="1"/>
  <c r="BU1204" i="1"/>
  <c r="BU1196" i="1"/>
  <c r="BU1128" i="1"/>
  <c r="AS916" i="1"/>
  <c r="AS917" i="1" s="1"/>
  <c r="AS918" i="1" s="1"/>
  <c r="AS919" i="1" s="1"/>
  <c r="BU801" i="1"/>
  <c r="AO304" i="1"/>
  <c r="AS304" i="1" s="1"/>
  <c r="AS2065" i="1"/>
  <c r="AS1998" i="1"/>
  <c r="AS1950" i="1"/>
  <c r="AS1325" i="1"/>
  <c r="AO1304" i="1"/>
  <c r="AS1304" i="1" s="1"/>
  <c r="AS1303" i="1"/>
  <c r="AS1021" i="1"/>
  <c r="AS877" i="1"/>
  <c r="BU2418" i="1"/>
  <c r="BU2300" i="1"/>
  <c r="BU2255" i="1"/>
  <c r="BU2200" i="1"/>
  <c r="BU2178" i="1"/>
  <c r="BU2171" i="1"/>
  <c r="BU2134" i="1"/>
  <c r="BU2104" i="1"/>
  <c r="BU2051" i="1"/>
  <c r="BU2029" i="1"/>
  <c r="BU2014" i="1"/>
  <c r="BU2006" i="1"/>
  <c r="BU1998" i="1"/>
  <c r="BU1975" i="1"/>
  <c r="BU1968" i="1"/>
  <c r="BU1960" i="1"/>
  <c r="BU1921" i="1"/>
  <c r="BU1898" i="1"/>
  <c r="BU1890" i="1"/>
  <c r="BU1774" i="1"/>
  <c r="BU1766" i="1"/>
  <c r="BU1759" i="1"/>
  <c r="BU1751" i="1"/>
  <c r="BU1728" i="1"/>
  <c r="BU1721" i="1"/>
  <c r="BU1706" i="1"/>
  <c r="BU1692" i="1"/>
  <c r="AS1684" i="1"/>
  <c r="AS1685" i="1" s="1"/>
  <c r="BU1661" i="1"/>
  <c r="BU1653" i="1"/>
  <c r="BU1630" i="1"/>
  <c r="BU1622" i="1"/>
  <c r="BU1599" i="1"/>
  <c r="BU1591" i="1"/>
  <c r="BU1545" i="1"/>
  <c r="BU1530" i="1"/>
  <c r="BU1522" i="1"/>
  <c r="BU1460" i="1"/>
  <c r="BU1429" i="1"/>
  <c r="BU1421" i="1"/>
  <c r="BU1303" i="1"/>
  <c r="BU1287" i="1"/>
  <c r="BU1271" i="1"/>
  <c r="BU1264" i="1"/>
  <c r="BU1135" i="1"/>
  <c r="BU962" i="1"/>
  <c r="BU931" i="1"/>
  <c r="AS1928" i="1"/>
  <c r="AS1881" i="1"/>
  <c r="AS1746" i="1"/>
  <c r="AS1747" i="1" s="1"/>
  <c r="AO1620" i="1"/>
  <c r="AO1621" i="1" s="1"/>
  <c r="AS1619" i="1"/>
  <c r="AO1411" i="1"/>
  <c r="AS1410" i="1"/>
  <c r="AS1224" i="1"/>
  <c r="AS1160" i="1"/>
  <c r="AS1102" i="1"/>
  <c r="AO722" i="1"/>
  <c r="AS722" i="1" s="1"/>
  <c r="AO660" i="1"/>
  <c r="AS660" i="1" s="1"/>
  <c r="AO452" i="1"/>
  <c r="AS452" i="1" s="1"/>
  <c r="AO306" i="1"/>
  <c r="AS306" i="1" s="1"/>
  <c r="AO242" i="1"/>
  <c r="AS242" i="1" s="1"/>
  <c r="AO180" i="1"/>
  <c r="AS180" i="1" s="1"/>
  <c r="AO116" i="1"/>
  <c r="AS116" i="1" s="1"/>
  <c r="AO96" i="1"/>
  <c r="AS96" i="1" s="1"/>
  <c r="AO34" i="1"/>
  <c r="AS34" i="1" s="1"/>
  <c r="BU2307" i="1"/>
  <c r="BU2292" i="1"/>
  <c r="BU2285" i="1"/>
  <c r="BU2277" i="1"/>
  <c r="BU2270" i="1"/>
  <c r="BU2262" i="1"/>
  <c r="BU2247" i="1"/>
  <c r="BU2239" i="1"/>
  <c r="BU2193" i="1"/>
  <c r="BU2185" i="1"/>
  <c r="BU2163" i="1"/>
  <c r="BU2155" i="1"/>
  <c r="BU2141" i="1"/>
  <c r="BU2119" i="1"/>
  <c r="BU2111" i="1"/>
  <c r="BU2097" i="1"/>
  <c r="BU2090" i="1"/>
  <c r="BU2082" i="1"/>
  <c r="BU2058" i="1"/>
  <c r="BU2043" i="1"/>
  <c r="BU2036" i="1"/>
  <c r="BU1645" i="1"/>
  <c r="BU1614" i="1"/>
  <c r="BU1606" i="1"/>
  <c r="BU1537" i="1"/>
  <c r="BU1498" i="1"/>
  <c r="BU1490" i="1"/>
  <c r="BU1452" i="1"/>
  <c r="BU1444" i="1"/>
  <c r="BU1436" i="1"/>
  <c r="BU1326" i="1"/>
  <c r="AS1249" i="1"/>
  <c r="BU1157" i="1"/>
  <c r="BU1150" i="1"/>
  <c r="BU800" i="1"/>
  <c r="AO847" i="1"/>
  <c r="AS847" i="1" s="1"/>
  <c r="AO46" i="1"/>
  <c r="AS46" i="1" s="1"/>
  <c r="AO30" i="1"/>
  <c r="AS30" i="1" s="1"/>
  <c r="AO14" i="1"/>
  <c r="AS14" i="1" s="1"/>
  <c r="AS1697" i="1"/>
  <c r="AO1301" i="1"/>
  <c r="AS1300" i="1"/>
  <c r="AS1246" i="1"/>
  <c r="AO834" i="1"/>
  <c r="AS834" i="1" s="1"/>
  <c r="BU2417" i="1"/>
  <c r="BU2395" i="1"/>
  <c r="BU2374" i="1"/>
  <c r="BU2344" i="1"/>
  <c r="BU2314" i="1"/>
  <c r="BU2299" i="1"/>
  <c r="BU2254" i="1"/>
  <c r="BU2207" i="1"/>
  <c r="BU2199" i="1"/>
  <c r="BU2170" i="1"/>
  <c r="BU2147" i="1"/>
  <c r="BU2133" i="1"/>
  <c r="BU2126" i="1"/>
  <c r="BU2013" i="1"/>
  <c r="BU2005" i="1"/>
  <c r="BU1997" i="1"/>
  <c r="BU1974" i="1"/>
  <c r="BU1967" i="1"/>
  <c r="BU1959" i="1"/>
  <c r="BU1873" i="1"/>
  <c r="BU1828" i="1"/>
  <c r="BU1820" i="1"/>
  <c r="BU1812" i="1"/>
  <c r="BU1804" i="1"/>
  <c r="BU1789" i="1"/>
  <c r="BU1781" i="1"/>
  <c r="BU1773" i="1"/>
  <c r="BU1765" i="1"/>
  <c r="BU1758" i="1"/>
  <c r="BU1750" i="1"/>
  <c r="BU1727" i="1"/>
  <c r="BU1720" i="1"/>
  <c r="BU1705" i="1"/>
  <c r="BU1691" i="1"/>
  <c r="BU1660" i="1"/>
  <c r="BU1629" i="1"/>
  <c r="BU1567" i="1"/>
  <c r="BU1552" i="1"/>
  <c r="BU1544" i="1"/>
  <c r="BU1310" i="1"/>
  <c r="BU1286" i="1"/>
  <c r="BU1263" i="1"/>
  <c r="BU1210" i="1"/>
  <c r="BU977" i="1"/>
  <c r="BU830" i="1"/>
  <c r="AO830" i="1"/>
  <c r="AS830" i="1" s="1"/>
  <c r="AO718" i="1"/>
  <c r="AS718" i="1" s="1"/>
  <c r="AO670" i="1"/>
  <c r="AS670" i="1" s="1"/>
  <c r="AO638" i="1"/>
  <c r="AS638" i="1" s="1"/>
  <c r="AO622" i="1"/>
  <c r="AS622" i="1" s="1"/>
  <c r="AO606" i="1"/>
  <c r="AS606" i="1" s="1"/>
  <c r="AO590" i="1"/>
  <c r="AS590" i="1" s="1"/>
  <c r="AO574" i="1"/>
  <c r="AS574" i="1" s="1"/>
  <c r="AO542" i="1"/>
  <c r="AS542" i="1" s="1"/>
  <c r="AO526" i="1"/>
  <c r="AS526" i="1" s="1"/>
  <c r="AO494" i="1"/>
  <c r="AS494" i="1" s="1"/>
  <c r="AO462" i="1"/>
  <c r="AS462" i="1" s="1"/>
  <c r="AO382" i="1"/>
  <c r="AS382" i="1" s="1"/>
  <c r="AO366" i="1"/>
  <c r="AS366" i="1" s="1"/>
  <c r="AO350" i="1"/>
  <c r="AS350" i="1" s="1"/>
  <c r="AO318" i="1"/>
  <c r="AS318" i="1" s="1"/>
  <c r="AO302" i="1"/>
  <c r="AS302" i="1" s="1"/>
  <c r="AO286" i="1"/>
  <c r="AS286" i="1" s="1"/>
  <c r="AO270" i="1"/>
  <c r="AS270" i="1" s="1"/>
  <c r="AO238" i="1"/>
  <c r="AS238" i="1" s="1"/>
  <c r="AO190" i="1"/>
  <c r="AS190" i="1" s="1"/>
  <c r="AO158" i="1"/>
  <c r="AS158" i="1" s="1"/>
  <c r="AO142" i="1"/>
  <c r="AS142" i="1" s="1"/>
  <c r="AO126" i="1"/>
  <c r="AS126" i="1" s="1"/>
  <c r="AO110" i="1"/>
  <c r="AS110" i="1" s="1"/>
  <c r="AO541" i="1"/>
  <c r="AS541" i="1" s="1"/>
  <c r="AO285" i="1"/>
  <c r="AS285" i="1" s="1"/>
  <c r="AO157" i="1"/>
  <c r="AS157" i="1" s="1"/>
  <c r="AO29" i="1"/>
  <c r="AS29" i="1" s="1"/>
  <c r="AS2159" i="1"/>
  <c r="AO1673" i="1"/>
  <c r="AS1672" i="1"/>
  <c r="AO1461" i="1"/>
  <c r="AS1460" i="1"/>
  <c r="AS1321" i="1"/>
  <c r="AS1282" i="1"/>
  <c r="AO851" i="1"/>
  <c r="AS851" i="1" s="1"/>
  <c r="AO658" i="1"/>
  <c r="AS658" i="1" s="1"/>
  <c r="AO637" i="1"/>
  <c r="AS637" i="1" s="1"/>
  <c r="AO594" i="1"/>
  <c r="AS594" i="1" s="1"/>
  <c r="AO573" i="1"/>
  <c r="AS573" i="1" s="1"/>
  <c r="AO532" i="1"/>
  <c r="AS532" i="1" s="1"/>
  <c r="AO365" i="1"/>
  <c r="AS365" i="1" s="1"/>
  <c r="AO240" i="1"/>
  <c r="AS240" i="1" s="1"/>
  <c r="AO178" i="1"/>
  <c r="AS178" i="1" s="1"/>
  <c r="AO52" i="1"/>
  <c r="AS52" i="1" s="1"/>
  <c r="BU2424" i="1"/>
  <c r="BU2409" i="1"/>
  <c r="BU2402" i="1"/>
  <c r="BU2387" i="1"/>
  <c r="BU2380" i="1"/>
  <c r="BU2366" i="1"/>
  <c r="BU2359" i="1"/>
  <c r="BU2351" i="1"/>
  <c r="BU2336" i="1"/>
  <c r="BU2328" i="1"/>
  <c r="BU2321" i="1"/>
  <c r="BU2306" i="1"/>
  <c r="BU2291" i="1"/>
  <c r="BU2238" i="1"/>
  <c r="BU2230" i="1"/>
  <c r="BU2222" i="1"/>
  <c r="BU2214" i="1"/>
  <c r="BU2192" i="1"/>
  <c r="BU2184" i="1"/>
  <c r="BU2177" i="1"/>
  <c r="BU2162" i="1"/>
  <c r="BU2110" i="1"/>
  <c r="BU2096" i="1"/>
  <c r="BU2089" i="1"/>
  <c r="BU2081" i="1"/>
  <c r="BU2073" i="1"/>
  <c r="BU2065" i="1"/>
  <c r="BU1796" i="1"/>
  <c r="BU1742" i="1"/>
  <c r="BU1712" i="1"/>
  <c r="BU1683" i="1"/>
  <c r="BU1675" i="1"/>
  <c r="BU1667" i="1"/>
  <c r="BU1652" i="1"/>
  <c r="BU1644" i="1"/>
  <c r="BU1582" i="1"/>
  <c r="BU1341" i="1"/>
  <c r="BU1325" i="1"/>
  <c r="BU1016" i="1"/>
  <c r="BU1008" i="1"/>
  <c r="BU1000" i="1"/>
  <c r="BU898" i="1"/>
  <c r="BU890" i="1"/>
  <c r="AS882" i="1"/>
  <c r="AS883" i="1" s="1"/>
  <c r="AO140" i="1"/>
  <c r="AS140" i="1" s="1"/>
  <c r="AO92" i="1"/>
  <c r="AS92" i="1" s="1"/>
  <c r="AO11" i="1"/>
  <c r="AS11" i="1" s="1"/>
  <c r="AO1640" i="1"/>
  <c r="AS1639" i="1"/>
  <c r="AS2402" i="1"/>
  <c r="BC2428" i="1"/>
  <c r="BC2429" i="1" s="1"/>
  <c r="BU2427" i="1"/>
  <c r="AO396" i="1"/>
  <c r="AS396" i="1" s="1"/>
  <c r="AO812" i="1"/>
  <c r="AS812" i="1" s="1"/>
  <c r="AO572" i="1"/>
  <c r="AS572" i="1" s="1"/>
  <c r="AS1694" i="1"/>
  <c r="AO2211" i="1"/>
  <c r="AS2210" i="1"/>
  <c r="AS1965" i="1"/>
  <c r="AS1966" i="1" s="1"/>
  <c r="AS1096" i="1"/>
  <c r="AS974" i="1"/>
  <c r="AS952" i="1"/>
  <c r="AO848" i="1"/>
  <c r="AS848" i="1" s="1"/>
  <c r="AO829" i="1"/>
  <c r="AS829" i="1" s="1"/>
  <c r="AO236" i="1"/>
  <c r="AS236" i="1" s="1"/>
  <c r="BU2415" i="1"/>
  <c r="BU2401" i="1"/>
  <c r="BU2393" i="1"/>
  <c r="BU2379" i="1"/>
  <c r="BU2372" i="1"/>
  <c r="BU2365" i="1"/>
  <c r="BU2342" i="1"/>
  <c r="BU2290" i="1"/>
  <c r="BU2252" i="1"/>
  <c r="BU2205" i="1"/>
  <c r="BU2183" i="1"/>
  <c r="BU2176" i="1"/>
  <c r="BU2168" i="1"/>
  <c r="BU1987" i="1"/>
  <c r="AS1972" i="1"/>
  <c r="AS1973" i="1" s="1"/>
  <c r="BU1965" i="1"/>
  <c r="BU1957" i="1"/>
  <c r="BU1918" i="1"/>
  <c r="BU1871" i="1"/>
  <c r="BU1849" i="1"/>
  <c r="AS1841" i="1"/>
  <c r="AS1842" i="1" s="1"/>
  <c r="BU1834" i="1"/>
  <c r="BU1826" i="1"/>
  <c r="BU1818" i="1"/>
  <c r="BU1810" i="1"/>
  <c r="BU1802" i="1"/>
  <c r="BU1787" i="1"/>
  <c r="BU1779" i="1"/>
  <c r="BU1771" i="1"/>
  <c r="BU1763" i="1"/>
  <c r="BU1756" i="1"/>
  <c r="AS1748" i="1"/>
  <c r="AS1749" i="1" s="1"/>
  <c r="BU1733" i="1"/>
  <c r="BU1725" i="1"/>
  <c r="BU1697" i="1"/>
  <c r="BU1689" i="1"/>
  <c r="BU1550" i="1"/>
  <c r="BU1535" i="1"/>
  <c r="BU1316" i="1"/>
  <c r="BU1308" i="1"/>
  <c r="BU1300" i="1"/>
  <c r="BU1061" i="1"/>
  <c r="BU1045" i="1"/>
  <c r="BU944" i="1"/>
  <c r="BU928" i="1"/>
  <c r="BB8" i="1"/>
  <c r="AO828" i="1"/>
  <c r="AS828" i="1" s="1"/>
  <c r="AO1139" i="1"/>
  <c r="AS1138" i="1"/>
  <c r="AS2095" i="1"/>
  <c r="AS2096" i="1" s="1"/>
  <c r="AS2175" i="1"/>
  <c r="AS2078" i="1"/>
  <c r="AS1278" i="1"/>
  <c r="AO846" i="1"/>
  <c r="AS846" i="1" s="1"/>
  <c r="AO674" i="1"/>
  <c r="AS674" i="1" s="1"/>
  <c r="AO610" i="1"/>
  <c r="AS610" i="1" s="1"/>
  <c r="AO589" i="1"/>
  <c r="AS589" i="1" s="1"/>
  <c r="AO548" i="1"/>
  <c r="AS548" i="1" s="1"/>
  <c r="AO484" i="1"/>
  <c r="AS484" i="1" s="1"/>
  <c r="AO338" i="1"/>
  <c r="AS338" i="1" s="1"/>
  <c r="AO317" i="1"/>
  <c r="AS317" i="1" s="1"/>
  <c r="AO130" i="1"/>
  <c r="AS130" i="1" s="1"/>
  <c r="AO68" i="1"/>
  <c r="AS68" i="1" s="1"/>
  <c r="AO45" i="1"/>
  <c r="AS45" i="1" s="1"/>
  <c r="BU2422" i="1"/>
  <c r="BU2385" i="1"/>
  <c r="BU2357" i="1"/>
  <c r="BU2326" i="1"/>
  <c r="BU2319" i="1"/>
  <c r="BU2297" i="1"/>
  <c r="BU2282" i="1"/>
  <c r="BU2267" i="1"/>
  <c r="BU2259" i="1"/>
  <c r="BU2244" i="1"/>
  <c r="BU2236" i="1"/>
  <c r="BU2228" i="1"/>
  <c r="BU2220" i="1"/>
  <c r="AS2212" i="1"/>
  <c r="AS2213" i="1" s="1"/>
  <c r="BU2087" i="1"/>
  <c r="BU2079" i="1"/>
  <c r="BU2071" i="1"/>
  <c r="BU1972" i="1"/>
  <c r="BU1910" i="1"/>
  <c r="BU1902" i="1"/>
  <c r="BU1841" i="1"/>
  <c r="BU1794" i="1"/>
  <c r="BU1748" i="1"/>
  <c r="BU1740" i="1"/>
  <c r="BU1718" i="1"/>
  <c r="BU1681" i="1"/>
  <c r="BU1673" i="1"/>
  <c r="BU1665" i="1"/>
  <c r="BU1580" i="1"/>
  <c r="BU1339" i="1"/>
  <c r="BU1092" i="1"/>
  <c r="BU1084" i="1"/>
  <c r="BU959" i="1"/>
  <c r="BU717" i="1"/>
  <c r="BU659" i="1"/>
  <c r="BU628" i="1"/>
  <c r="AS1614" i="1"/>
  <c r="AO793" i="1"/>
  <c r="AS793" i="1" s="1"/>
  <c r="AO633" i="1"/>
  <c r="AS633" i="1" s="1"/>
  <c r="AO505" i="1"/>
  <c r="AS505" i="1" s="1"/>
  <c r="AO632" i="1"/>
  <c r="AS632" i="1" s="1"/>
  <c r="AS1522" i="1"/>
  <c r="AO1333" i="1"/>
  <c r="AS1332" i="1"/>
  <c r="AO845" i="1"/>
  <c r="AS845" i="1" s="1"/>
  <c r="AO770" i="1"/>
  <c r="AS770" i="1" s="1"/>
  <c r="AO734" i="1"/>
  <c r="AS734" i="1" s="1"/>
  <c r="AO588" i="1"/>
  <c r="AS588" i="1" s="1"/>
  <c r="AO169" i="1"/>
  <c r="AS169" i="1" s="1"/>
  <c r="AO108" i="1"/>
  <c r="AS108" i="1" s="1"/>
  <c r="BU2414" i="1"/>
  <c r="BU2407" i="1"/>
  <c r="BU2400" i="1"/>
  <c r="BU2392" i="1"/>
  <c r="BU2378" i="1"/>
  <c r="BU2371" i="1"/>
  <c r="BU2364" i="1"/>
  <c r="BU2349" i="1"/>
  <c r="BU2341" i="1"/>
  <c r="BU2311" i="1"/>
  <c r="BU2304" i="1"/>
  <c r="BU2289" i="1"/>
  <c r="BU2274" i="1"/>
  <c r="BU2251" i="1"/>
  <c r="BU2138" i="1"/>
  <c r="BU2108" i="1"/>
  <c r="BU2101" i="1"/>
  <c r="BU2094" i="1"/>
  <c r="BU2010" i="1"/>
  <c r="BU2002" i="1"/>
  <c r="BU1994" i="1"/>
  <c r="BU1986" i="1"/>
  <c r="BU1917" i="1"/>
  <c r="BU1894" i="1"/>
  <c r="BU1848" i="1"/>
  <c r="BU1833" i="1"/>
  <c r="BU1825" i="1"/>
  <c r="BU1778" i="1"/>
  <c r="BU1626" i="1"/>
  <c r="BU1618" i="1"/>
  <c r="BU1603" i="1"/>
  <c r="BU1394" i="1"/>
  <c r="BU1386" i="1"/>
  <c r="BU1378" i="1"/>
  <c r="BU1370" i="1"/>
  <c r="BU1115" i="1"/>
  <c r="BU1107" i="1"/>
  <c r="BU1044" i="1"/>
  <c r="BU1037" i="1"/>
  <c r="AO652" i="1"/>
  <c r="AS652" i="1" s="1"/>
  <c r="AS2241" i="1"/>
  <c r="AO91" i="1"/>
  <c r="AS91" i="1" s="1"/>
  <c r="AO377" i="1"/>
  <c r="AS377" i="1" s="1"/>
  <c r="AO249" i="1"/>
  <c r="AS249" i="1" s="1"/>
  <c r="AO776" i="1"/>
  <c r="AS776" i="1" s="1"/>
  <c r="AO759" i="1"/>
  <c r="AS759" i="1" s="1"/>
  <c r="AO615" i="1"/>
  <c r="AS615" i="1" s="1"/>
  <c r="AO359" i="1"/>
  <c r="AS359" i="1" s="1"/>
  <c r="AO231" i="1"/>
  <c r="AS231" i="1" s="1"/>
  <c r="AO103" i="1"/>
  <c r="AS103" i="1" s="1"/>
  <c r="AS1731" i="1"/>
  <c r="AS1426" i="1"/>
  <c r="AS1427" i="1" s="1"/>
  <c r="AS1294" i="1"/>
  <c r="AS904" i="1"/>
  <c r="AO843" i="1"/>
  <c r="AS843" i="1" s="1"/>
  <c r="AO825" i="1"/>
  <c r="AS825" i="1" s="1"/>
  <c r="AO733" i="1"/>
  <c r="AS733" i="1" s="1"/>
  <c r="AO712" i="1"/>
  <c r="AS712" i="1" s="1"/>
  <c r="AO648" i="1"/>
  <c r="AS648" i="1" s="1"/>
  <c r="AO628" i="1"/>
  <c r="AS628" i="1" s="1"/>
  <c r="AO546" i="1"/>
  <c r="AS546" i="1" s="1"/>
  <c r="AO525" i="1"/>
  <c r="AS525" i="1" s="1"/>
  <c r="AO482" i="1"/>
  <c r="AS482" i="1" s="1"/>
  <c r="AO461" i="1"/>
  <c r="AS461" i="1" s="1"/>
  <c r="AO356" i="1"/>
  <c r="AS356" i="1" s="1"/>
  <c r="AO232" i="1"/>
  <c r="AS232" i="1" s="1"/>
  <c r="AO148" i="1"/>
  <c r="AS148" i="1" s="1"/>
  <c r="AO43" i="1"/>
  <c r="AS43" i="1" s="1"/>
  <c r="BU2356" i="1"/>
  <c r="BU2333" i="1"/>
  <c r="BU2318" i="1"/>
  <c r="BU2219" i="1"/>
  <c r="BU2196" i="1"/>
  <c r="BU2189" i="1"/>
  <c r="BU2159" i="1"/>
  <c r="BU2151" i="1"/>
  <c r="BU2144" i="1"/>
  <c r="BU2130" i="1"/>
  <c r="BU2123" i="1"/>
  <c r="BU2115" i="1"/>
  <c r="BU2070" i="1"/>
  <c r="BU2017" i="1"/>
  <c r="BU1909" i="1"/>
  <c r="BU1901" i="1"/>
  <c r="BU1870" i="1"/>
  <c r="BU1862" i="1"/>
  <c r="BU1855" i="1"/>
  <c r="BU1649" i="1"/>
  <c r="BU1641" i="1"/>
  <c r="BU1633" i="1"/>
  <c r="BU1494" i="1"/>
  <c r="BU1486" i="1"/>
  <c r="BU1409" i="1"/>
  <c r="BU1401" i="1"/>
  <c r="BU1362" i="1"/>
  <c r="BU1354" i="1"/>
  <c r="BU1346" i="1"/>
  <c r="BU1338" i="1"/>
  <c r="BU1091" i="1"/>
  <c r="BU1083" i="1"/>
  <c r="BU1013" i="1"/>
  <c r="BU1005" i="1"/>
  <c r="BU796" i="1"/>
  <c r="BU724" i="1"/>
  <c r="BU562" i="1"/>
  <c r="BU519" i="1"/>
  <c r="AO612" i="1"/>
  <c r="AS612" i="1" s="1"/>
  <c r="AO132" i="1"/>
  <c r="AS132" i="1" s="1"/>
  <c r="AO120" i="1"/>
  <c r="AS120" i="1" s="1"/>
  <c r="AO2389" i="1"/>
  <c r="AS2388" i="1"/>
  <c r="AS2050" i="1"/>
  <c r="AO1872" i="1"/>
  <c r="AS1872" i="1" s="1"/>
  <c r="AS1871" i="1"/>
  <c r="AO614" i="1"/>
  <c r="AS614" i="1" s="1"/>
  <c r="AO486" i="1"/>
  <c r="AS486" i="1" s="1"/>
  <c r="AO358" i="1"/>
  <c r="AS358" i="1" s="1"/>
  <c r="AO230" i="1"/>
  <c r="AS230" i="1" s="1"/>
  <c r="AO1890" i="1"/>
  <c r="AS1890" i="1" s="1"/>
  <c r="AS1889" i="1"/>
  <c r="AS1849" i="1"/>
  <c r="AO864" i="1"/>
  <c r="AO865" i="1" s="1"/>
  <c r="AS863" i="1"/>
  <c r="AO750" i="1"/>
  <c r="AS750" i="1" s="1"/>
  <c r="AO732" i="1"/>
  <c r="AS732" i="1" s="1"/>
  <c r="AO668" i="1"/>
  <c r="AS668" i="1" s="1"/>
  <c r="AO585" i="1"/>
  <c r="AS585" i="1" s="1"/>
  <c r="AO439" i="1"/>
  <c r="AS439" i="1" s="1"/>
  <c r="AO313" i="1"/>
  <c r="AS313" i="1" s="1"/>
  <c r="AO252" i="1"/>
  <c r="AS252" i="1" s="1"/>
  <c r="AO188" i="1"/>
  <c r="AS188" i="1" s="1"/>
  <c r="AO167" i="1"/>
  <c r="AS167" i="1" s="1"/>
  <c r="AO105" i="1"/>
  <c r="AS105" i="1" s="1"/>
  <c r="BU2421" i="1"/>
  <c r="BU2413" i="1"/>
  <c r="BU2406" i="1"/>
  <c r="BU2399" i="1"/>
  <c r="BU2391" i="1"/>
  <c r="AS2370" i="1"/>
  <c r="AS2371" i="1" s="1"/>
  <c r="BU2363" i="1"/>
  <c r="BU2348" i="1"/>
  <c r="BU2340" i="1"/>
  <c r="BU2325" i="1"/>
  <c r="BU2310" i="1"/>
  <c r="BU2250" i="1"/>
  <c r="BU2203" i="1"/>
  <c r="BU2181" i="1"/>
  <c r="BU2174" i="1"/>
  <c r="AS2166" i="1"/>
  <c r="BU2046" i="1"/>
  <c r="BU2039" i="1"/>
  <c r="BU2032" i="1"/>
  <c r="BU2024" i="1"/>
  <c r="BU2009" i="1"/>
  <c r="BU2001" i="1"/>
  <c r="AS1985" i="1"/>
  <c r="BU1978" i="1"/>
  <c r="BU1963" i="1"/>
  <c r="BU1955" i="1"/>
  <c r="BU1916" i="1"/>
  <c r="BU1885" i="1"/>
  <c r="BU1877" i="1"/>
  <c r="BU1824" i="1"/>
  <c r="BU1816" i="1"/>
  <c r="BU1808" i="1"/>
  <c r="BU1800" i="1"/>
  <c r="BU1769" i="1"/>
  <c r="AS1761" i="1"/>
  <c r="AS1762" i="1" s="1"/>
  <c r="AS1763" i="1" s="1"/>
  <c r="AS1764" i="1" s="1"/>
  <c r="BU1754" i="1"/>
  <c r="BU1731" i="1"/>
  <c r="BU1709" i="1"/>
  <c r="BU1702" i="1"/>
  <c r="BU1695" i="1"/>
  <c r="BU1687" i="1"/>
  <c r="BU1548" i="1"/>
  <c r="BU1424" i="1"/>
  <c r="BU1393" i="1"/>
  <c r="BU1385" i="1"/>
  <c r="BU1130" i="1"/>
  <c r="BU1106" i="1"/>
  <c r="BU1098" i="1"/>
  <c r="BU1075" i="1"/>
  <c r="BU1067" i="1"/>
  <c r="BU1059" i="1"/>
  <c r="BU665" i="1"/>
  <c r="BU930" i="1"/>
  <c r="BU922" i="1"/>
  <c r="BU915" i="1"/>
  <c r="BU907" i="1"/>
  <c r="BU884" i="1"/>
  <c r="BU854" i="1"/>
  <c r="BU781" i="1"/>
  <c r="BU775" i="1"/>
  <c r="BU769" i="1"/>
  <c r="BU731" i="1"/>
  <c r="BU686" i="1"/>
  <c r="BU601" i="1"/>
  <c r="BU537" i="1"/>
  <c r="BU512" i="1"/>
  <c r="BU454" i="1"/>
  <c r="BU366" i="1"/>
  <c r="BU345" i="1"/>
  <c r="BU256" i="1"/>
  <c r="BU163" i="1"/>
  <c r="BU1621" i="1"/>
  <c r="BU1598" i="1"/>
  <c r="BU1392" i="1"/>
  <c r="BU1384" i="1"/>
  <c r="BU1331" i="1"/>
  <c r="BU1301" i="1"/>
  <c r="BU1278" i="1"/>
  <c r="BU1270" i="1"/>
  <c r="BU1242" i="1"/>
  <c r="BU1234" i="1"/>
  <c r="BU1226" i="1"/>
  <c r="BU1218" i="1"/>
  <c r="BU1211" i="1"/>
  <c r="BU1188" i="1"/>
  <c r="BU1181" i="1"/>
  <c r="BU1173" i="1"/>
  <c r="BU1165" i="1"/>
  <c r="BU1143" i="1"/>
  <c r="BU1136" i="1"/>
  <c r="BU1121" i="1"/>
  <c r="BU998" i="1"/>
  <c r="BU983" i="1"/>
  <c r="BU937" i="1"/>
  <c r="BU929" i="1"/>
  <c r="BU914" i="1"/>
  <c r="BU906" i="1"/>
  <c r="BU883" i="1"/>
  <c r="BU768" i="1"/>
  <c r="BU698" i="1"/>
  <c r="BU594" i="1"/>
  <c r="BU588" i="1"/>
  <c r="BU556" i="1"/>
  <c r="BU447" i="1"/>
  <c r="BU319" i="1"/>
  <c r="BU311" i="1"/>
  <c r="BU227" i="1"/>
  <c r="BU206" i="1"/>
  <c r="BU170" i="1"/>
  <c r="BU118" i="1"/>
  <c r="BU1398" i="1"/>
  <c r="BU1375" i="1"/>
  <c r="BU1322" i="1"/>
  <c r="BU1042" i="1"/>
  <c r="BU1035" i="1"/>
  <c r="BU1028" i="1"/>
  <c r="BU1020" i="1"/>
  <c r="BU989" i="1"/>
  <c r="BU974" i="1"/>
  <c r="BU966" i="1"/>
  <c r="BU846" i="1"/>
  <c r="BU755" i="1"/>
  <c r="BU748" i="1"/>
  <c r="BU709" i="1"/>
  <c r="BU697" i="1"/>
  <c r="BU690" i="1"/>
  <c r="BU684" i="1"/>
  <c r="BU651" i="1"/>
  <c r="BU619" i="1"/>
  <c r="BU593" i="1"/>
  <c r="BU535" i="1"/>
  <c r="BU503" i="1"/>
  <c r="BU497" i="1"/>
  <c r="BU491" i="1"/>
  <c r="BU485" i="1"/>
  <c r="BU425" i="1"/>
  <c r="BU419" i="1"/>
  <c r="BU405" i="1"/>
  <c r="BU303" i="1"/>
  <c r="BU261" i="1"/>
  <c r="BU2332" i="1"/>
  <c r="BU2317" i="1"/>
  <c r="BU2296" i="1"/>
  <c r="BU2204" i="1"/>
  <c r="BU2197" i="1"/>
  <c r="BU2190" i="1"/>
  <c r="BU2145" i="1"/>
  <c r="BU2139" i="1"/>
  <c r="BU2124" i="1"/>
  <c r="BU2057" i="1"/>
  <c r="BU2042" i="1"/>
  <c r="BU2035" i="1"/>
  <c r="BU2028" i="1"/>
  <c r="BU1983" i="1"/>
  <c r="BU1953" i="1"/>
  <c r="BU1945" i="1"/>
  <c r="BU1937" i="1"/>
  <c r="BU1930" i="1"/>
  <c r="BU1915" i="1"/>
  <c r="BU1907" i="1"/>
  <c r="BU1884" i="1"/>
  <c r="BU1861" i="1"/>
  <c r="BU1847" i="1"/>
  <c r="BU1832" i="1"/>
  <c r="BU1793" i="1"/>
  <c r="BU1770" i="1"/>
  <c r="BU1762" i="1"/>
  <c r="BU1755" i="1"/>
  <c r="BU1732" i="1"/>
  <c r="BU1724" i="1"/>
  <c r="BU1710" i="1"/>
  <c r="BU1703" i="1"/>
  <c r="BU1696" i="1"/>
  <c r="BU1688" i="1"/>
  <c r="BU1619" i="1"/>
  <c r="BU1581" i="1"/>
  <c r="BU1559" i="1"/>
  <c r="BU1536" i="1"/>
  <c r="BU1529" i="1"/>
  <c r="BU1521" i="1"/>
  <c r="BU1482" i="1"/>
  <c r="BU1474" i="1"/>
  <c r="BU1467" i="1"/>
  <c r="BU1459" i="1"/>
  <c r="BU1413" i="1"/>
  <c r="BU1390" i="1"/>
  <c r="BU1329" i="1"/>
  <c r="BU1299" i="1"/>
  <c r="BU1276" i="1"/>
  <c r="BU1255" i="1"/>
  <c r="BU1248" i="1"/>
  <c r="BU1240" i="1"/>
  <c r="BU1232" i="1"/>
  <c r="BU1224" i="1"/>
  <c r="BU1209" i="1"/>
  <c r="BU1186" i="1"/>
  <c r="BU1179" i="1"/>
  <c r="BU1171" i="1"/>
  <c r="BU1156" i="1"/>
  <c r="BU1149" i="1"/>
  <c r="BU1141" i="1"/>
  <c r="BU1012" i="1"/>
  <c r="BU996" i="1"/>
  <c r="BU981" i="1"/>
  <c r="BU859" i="1"/>
  <c r="BU826" i="1"/>
  <c r="BU779" i="1"/>
  <c r="BU773" i="1"/>
  <c r="BU741" i="1"/>
  <c r="BU722" i="1"/>
  <c r="BU715" i="1"/>
  <c r="BU703" i="1"/>
  <c r="BU574" i="1"/>
  <c r="BU541" i="1"/>
  <c r="BU452" i="1"/>
  <c r="BU370" i="1"/>
  <c r="BU349" i="1"/>
  <c r="BU343" i="1"/>
  <c r="BU317" i="1"/>
  <c r="BU274" i="1"/>
  <c r="BU253" i="1"/>
  <c r="BU246" i="1"/>
  <c r="BU239" i="1"/>
  <c r="BU211" i="1"/>
  <c r="BU168" i="1"/>
  <c r="BU160" i="1"/>
  <c r="BU1785" i="1"/>
  <c r="BU1664" i="1"/>
  <c r="BU1611" i="1"/>
  <c r="BU1596" i="1"/>
  <c r="BU1588" i="1"/>
  <c r="BU1566" i="1"/>
  <c r="BU1551" i="1"/>
  <c r="BU1543" i="1"/>
  <c r="BU1505" i="1"/>
  <c r="BU1497" i="1"/>
  <c r="BU1489" i="1"/>
  <c r="BU1451" i="1"/>
  <c r="BU1443" i="1"/>
  <c r="BU1428" i="1"/>
  <c r="BU1420" i="1"/>
  <c r="BU1405" i="1"/>
  <c r="BU1359" i="1"/>
  <c r="BU1344" i="1"/>
  <c r="BU1336" i="1"/>
  <c r="BU1321" i="1"/>
  <c r="BU1314" i="1"/>
  <c r="BU1291" i="1"/>
  <c r="BU1283" i="1"/>
  <c r="BU1268" i="1"/>
  <c r="BU1163" i="1"/>
  <c r="BU1057" i="1"/>
  <c r="BU1049" i="1"/>
  <c r="BU1027" i="1"/>
  <c r="BU973" i="1"/>
  <c r="BU874" i="1"/>
  <c r="BU851" i="1"/>
  <c r="BU785" i="1"/>
  <c r="BU754" i="1"/>
  <c r="BU735" i="1"/>
  <c r="BU683" i="1"/>
  <c r="BU671" i="1"/>
  <c r="BU644" i="1"/>
  <c r="BU638" i="1"/>
  <c r="BU438" i="1"/>
  <c r="BU431" i="1"/>
  <c r="BU390" i="1"/>
  <c r="BU383" i="1"/>
  <c r="BU356" i="1"/>
  <c r="BU288" i="1"/>
  <c r="BU267" i="1"/>
  <c r="BU260" i="1"/>
  <c r="BU218" i="1"/>
  <c r="BU131" i="1"/>
  <c r="BU1275" i="1"/>
  <c r="BU1223" i="1"/>
  <c r="BU1208" i="1"/>
  <c r="BU1185" i="1"/>
  <c r="BU1178" i="1"/>
  <c r="BU1170" i="1"/>
  <c r="BU1118" i="1"/>
  <c r="BU1095" i="1"/>
  <c r="BU1011" i="1"/>
  <c r="BU1003" i="1"/>
  <c r="BU957" i="1"/>
  <c r="BU950" i="1"/>
  <c r="BU934" i="1"/>
  <c r="BU926" i="1"/>
  <c r="BU911" i="1"/>
  <c r="BU903" i="1"/>
  <c r="BU888" i="1"/>
  <c r="BU881" i="1"/>
  <c r="BU825" i="1"/>
  <c r="BU791" i="1"/>
  <c r="BU778" i="1"/>
  <c r="BU721" i="1"/>
  <c r="BU702" i="1"/>
  <c r="BU677" i="1"/>
  <c r="BU657" i="1"/>
  <c r="BU624" i="1"/>
  <c r="BU547" i="1"/>
  <c r="BU534" i="1"/>
  <c r="BU528" i="1"/>
  <c r="BU522" i="1"/>
  <c r="BU515" i="1"/>
  <c r="BU508" i="1"/>
  <c r="BU477" i="1"/>
  <c r="BU458" i="1"/>
  <c r="BU397" i="1"/>
  <c r="BU316" i="1"/>
  <c r="BU231" i="1"/>
  <c r="BU224" i="1"/>
  <c r="BU144" i="1"/>
  <c r="BU123" i="1"/>
  <c r="BU1473" i="1"/>
  <c r="BU1358" i="1"/>
  <c r="BU1040" i="1"/>
  <c r="BU1026" i="1"/>
  <c r="BU995" i="1"/>
  <c r="BU987" i="1"/>
  <c r="BU980" i="1"/>
  <c r="BU972" i="1"/>
  <c r="BU865" i="1"/>
  <c r="BU838" i="1"/>
  <c r="BU811" i="1"/>
  <c r="BU784" i="1"/>
  <c r="BU759" i="1"/>
  <c r="BU714" i="1"/>
  <c r="BU604" i="1"/>
  <c r="BU585" i="1"/>
  <c r="BU540" i="1"/>
  <c r="BU444" i="1"/>
  <c r="BU437" i="1"/>
  <c r="BU382" i="1"/>
  <c r="BU375" i="1"/>
  <c r="BU348" i="1"/>
  <c r="BU266" i="1"/>
  <c r="BU238" i="1"/>
  <c r="BU203" i="1"/>
  <c r="BU174" i="1"/>
  <c r="BU151" i="1"/>
  <c r="BU73" i="1"/>
  <c r="BU2026" i="1"/>
  <c r="BU1981" i="1"/>
  <c r="BU1951" i="1"/>
  <c r="BU1943" i="1"/>
  <c r="BU1928" i="1"/>
  <c r="BU1913" i="1"/>
  <c r="BU1905" i="1"/>
  <c r="BU1882" i="1"/>
  <c r="BU1867" i="1"/>
  <c r="BU1830" i="1"/>
  <c r="BU1776" i="1"/>
  <c r="BU1602" i="1"/>
  <c r="BU1572" i="1"/>
  <c r="BU1557" i="1"/>
  <c r="BU1434" i="1"/>
  <c r="BU1411" i="1"/>
  <c r="BU1396" i="1"/>
  <c r="BU1388" i="1"/>
  <c r="BU1350" i="1"/>
  <c r="BU1274" i="1"/>
  <c r="BU1260" i="1"/>
  <c r="BU1253" i="1"/>
  <c r="BU1246" i="1"/>
  <c r="BU1117" i="1"/>
  <c r="BU1094" i="1"/>
  <c r="BU1033" i="1"/>
  <c r="BU1018" i="1"/>
  <c r="BU1010" i="1"/>
  <c r="BU1002" i="1"/>
  <c r="BU857" i="1"/>
  <c r="BU844" i="1"/>
  <c r="BU817" i="1"/>
  <c r="BU804" i="1"/>
  <c r="BU790" i="1"/>
  <c r="BU771" i="1"/>
  <c r="BU746" i="1"/>
  <c r="BU649" i="1"/>
  <c r="BU630" i="1"/>
  <c r="BU597" i="1"/>
  <c r="BU566" i="1"/>
  <c r="BU553" i="1"/>
  <c r="BU533" i="1"/>
  <c r="BU476" i="1"/>
  <c r="BU470" i="1"/>
  <c r="BU450" i="1"/>
  <c r="BU403" i="1"/>
  <c r="BU322" i="1"/>
  <c r="BU315" i="1"/>
  <c r="BU181" i="1"/>
  <c r="BU79" i="1"/>
  <c r="BU22" i="1"/>
  <c r="BU2396" i="1"/>
  <c r="BU2286" i="1"/>
  <c r="BU2256" i="1"/>
  <c r="BU2217" i="1"/>
  <c r="BU2195" i="1"/>
  <c r="BU2085" i="1"/>
  <c r="BU2047" i="1"/>
  <c r="BU2040" i="1"/>
  <c r="BU2033" i="1"/>
  <c r="BU2011" i="1"/>
  <c r="BU2003" i="1"/>
  <c r="BU1988" i="1"/>
  <c r="BU1973" i="1"/>
  <c r="BU1966" i="1"/>
  <c r="BU1958" i="1"/>
  <c r="BU1935" i="1"/>
  <c r="BU1920" i="1"/>
  <c r="BU1897" i="1"/>
  <c r="BU1874" i="1"/>
  <c r="BU1859" i="1"/>
  <c r="BU1837" i="1"/>
  <c r="BU1822" i="1"/>
  <c r="BU1814" i="1"/>
  <c r="BU1806" i="1"/>
  <c r="BU1798" i="1"/>
  <c r="BU1791" i="1"/>
  <c r="BU1783" i="1"/>
  <c r="BU1549" i="1"/>
  <c r="BU1511" i="1"/>
  <c r="BU1503" i="1"/>
  <c r="BU1495" i="1"/>
  <c r="BU1449" i="1"/>
  <c r="BU1441" i="1"/>
  <c r="BU1426" i="1"/>
  <c r="BU1418" i="1"/>
  <c r="BU1403" i="1"/>
  <c r="BU1380" i="1"/>
  <c r="BU1372" i="1"/>
  <c r="BU1327" i="1"/>
  <c r="BU1297" i="1"/>
  <c r="BU1289" i="1"/>
  <c r="BU1214" i="1"/>
  <c r="BU1199" i="1"/>
  <c r="BU1191" i="1"/>
  <c r="BU1132" i="1"/>
  <c r="BU1109" i="1"/>
  <c r="BU1101" i="1"/>
  <c r="BU1086" i="1"/>
  <c r="BU1078" i="1"/>
  <c r="BU1071" i="1"/>
  <c r="BU1063" i="1"/>
  <c r="BU1055" i="1"/>
  <c r="BU1047" i="1"/>
  <c r="BU1039" i="1"/>
  <c r="BU1025" i="1"/>
  <c r="BU894" i="1"/>
  <c r="BU872" i="1"/>
  <c r="BU864" i="1"/>
  <c r="BU837" i="1"/>
  <c r="BU831" i="1"/>
  <c r="BU824" i="1"/>
  <c r="BU764" i="1"/>
  <c r="BU739" i="1"/>
  <c r="BU733" i="1"/>
  <c r="BU720" i="1"/>
  <c r="BU662" i="1"/>
  <c r="BU572" i="1"/>
  <c r="BU546" i="1"/>
  <c r="BU507" i="1"/>
  <c r="BU443" i="1"/>
  <c r="BU410" i="1"/>
  <c r="BU388" i="1"/>
  <c r="BU279" i="1"/>
  <c r="BU244" i="1"/>
  <c r="BU223" i="1"/>
  <c r="BU216" i="1"/>
  <c r="BU129" i="1"/>
  <c r="BU86" i="1"/>
  <c r="BU72" i="1"/>
  <c r="BU64" i="1"/>
  <c r="BU2410" i="1"/>
  <c r="BU2388" i="1"/>
  <c r="BU2381" i="1"/>
  <c r="BU2367" i="1"/>
  <c r="BU2352" i="1"/>
  <c r="BU2337" i="1"/>
  <c r="BU2329" i="1"/>
  <c r="BU2293" i="1"/>
  <c r="BU2278" i="1"/>
  <c r="BU2271" i="1"/>
  <c r="BU2263" i="1"/>
  <c r="BU2240" i="1"/>
  <c r="BU2232" i="1"/>
  <c r="BU2209" i="1"/>
  <c r="BU2187" i="1"/>
  <c r="BU2165" i="1"/>
  <c r="BU2136" i="1"/>
  <c r="BU2106" i="1"/>
  <c r="BU2099" i="1"/>
  <c r="BU2092" i="1"/>
  <c r="BU2077" i="1"/>
  <c r="BU2069" i="1"/>
  <c r="BU2062" i="1"/>
  <c r="BU2054" i="1"/>
  <c r="BU2025" i="1"/>
  <c r="BU2018" i="1"/>
  <c r="BU1995" i="1"/>
  <c r="BU1980" i="1"/>
  <c r="BU1950" i="1"/>
  <c r="BU1942" i="1"/>
  <c r="BU1927" i="1"/>
  <c r="BU1912" i="1"/>
  <c r="BU1904" i="1"/>
  <c r="BU1866" i="1"/>
  <c r="BU1852" i="1"/>
  <c r="BU1844" i="1"/>
  <c r="BU1767" i="1"/>
  <c r="BU1752" i="1"/>
  <c r="BU1729" i="1"/>
  <c r="BU1707" i="1"/>
  <c r="BU1700" i="1"/>
  <c r="BU1693" i="1"/>
  <c r="BU1685" i="1"/>
  <c r="BU1662" i="1"/>
  <c r="BU1654" i="1"/>
  <c r="BU1647" i="1"/>
  <c r="BU1624" i="1"/>
  <c r="BU1616" i="1"/>
  <c r="BU1601" i="1"/>
  <c r="BU1571" i="1"/>
  <c r="BU1564" i="1"/>
  <c r="BU1556" i="1"/>
  <c r="BU1541" i="1"/>
  <c r="BU1534" i="1"/>
  <c r="BU1526" i="1"/>
  <c r="BU1518" i="1"/>
  <c r="BU1479" i="1"/>
  <c r="BU1464" i="1"/>
  <c r="BU1456" i="1"/>
  <c r="BU1433" i="1"/>
  <c r="BU1395" i="1"/>
  <c r="BU1281" i="1"/>
  <c r="BU1245" i="1"/>
  <c r="BU1237" i="1"/>
  <c r="BU1229" i="1"/>
  <c r="BU1153" i="1"/>
  <c r="BU1146" i="1"/>
  <c r="BU1124" i="1"/>
  <c r="BU1116" i="1"/>
  <c r="BU1001" i="1"/>
  <c r="BU948" i="1"/>
  <c r="BU940" i="1"/>
  <c r="BU932" i="1"/>
  <c r="BU924" i="1"/>
  <c r="BU909" i="1"/>
  <c r="BU901" i="1"/>
  <c r="BU886" i="1"/>
  <c r="BU879" i="1"/>
  <c r="BU856" i="1"/>
  <c r="BU758" i="1"/>
  <c r="BU726" i="1"/>
  <c r="BU713" i="1"/>
  <c r="BU700" i="1"/>
  <c r="BU694" i="1"/>
  <c r="BU610" i="1"/>
  <c r="BU596" i="1"/>
  <c r="BU578" i="1"/>
  <c r="BU475" i="1"/>
  <c r="BU416" i="1"/>
  <c r="BU286" i="1"/>
  <c r="BU473" i="1"/>
  <c r="BU448" i="1"/>
  <c r="BU430" i="1"/>
  <c r="BU371" i="1"/>
  <c r="BU365" i="1"/>
  <c r="BU346" i="1"/>
  <c r="BU307" i="1"/>
  <c r="BU281" i="1"/>
  <c r="BU201" i="1"/>
  <c r="BU175" i="1"/>
  <c r="BU107" i="1"/>
  <c r="BU45" i="1"/>
  <c r="BU2412" i="1"/>
  <c r="BU2390" i="1"/>
  <c r="BU2383" i="1"/>
  <c r="BU2362" i="1"/>
  <c r="BU2347" i="1"/>
  <c r="BU2339" i="1"/>
  <c r="BU2324" i="1"/>
  <c r="BU2309" i="1"/>
  <c r="BU2303" i="1"/>
  <c r="BU2288" i="1"/>
  <c r="BU2281" i="1"/>
  <c r="BU2266" i="1"/>
  <c r="BU2258" i="1"/>
  <c r="BU2243" i="1"/>
  <c r="BU2235" i="1"/>
  <c r="BU2227" i="1"/>
  <c r="BU2212" i="1"/>
  <c r="BU2191" i="1"/>
  <c r="BU2169" i="1"/>
  <c r="BU2154" i="1"/>
  <c r="BU2140" i="1"/>
  <c r="BU2118" i="1"/>
  <c r="BU2103" i="1"/>
  <c r="BU2074" i="1"/>
  <c r="BU1971" i="1"/>
  <c r="BU1948" i="1"/>
  <c r="BU1940" i="1"/>
  <c r="BU1933" i="1"/>
  <c r="BU1925" i="1"/>
  <c r="BU1895" i="1"/>
  <c r="BU1865" i="1"/>
  <c r="BU1858" i="1"/>
  <c r="BU1678" i="1"/>
  <c r="BU1670" i="1"/>
  <c r="BU1632" i="1"/>
  <c r="BU1609" i="1"/>
  <c r="BU1594" i="1"/>
  <c r="BU1586" i="1"/>
  <c r="BU1579" i="1"/>
  <c r="BU1542" i="1"/>
  <c r="BU1527" i="1"/>
  <c r="BU1519" i="1"/>
  <c r="BU1381" i="1"/>
  <c r="BU1373" i="1"/>
  <c r="BU1366" i="1"/>
  <c r="BU1351" i="1"/>
  <c r="BU1307" i="1"/>
  <c r="BU1292" i="1"/>
  <c r="BU1284" i="1"/>
  <c r="BU1262" i="1"/>
  <c r="BU1217" i="1"/>
  <c r="BU1202" i="1"/>
  <c r="BU1194" i="1"/>
  <c r="BU1164" i="1"/>
  <c r="BU1127" i="1"/>
  <c r="BU1112" i="1"/>
  <c r="BU1104" i="1"/>
  <c r="BU1089" i="1"/>
  <c r="BU1081" i="1"/>
  <c r="BU1074" i="1"/>
  <c r="BU1066" i="1"/>
  <c r="BU1058" i="1"/>
  <c r="BU990" i="1"/>
  <c r="BU975" i="1"/>
  <c r="BU953" i="1"/>
  <c r="BU945" i="1"/>
  <c r="BU899" i="1"/>
  <c r="BU743" i="1"/>
  <c r="BU688" i="1"/>
  <c r="BU682" i="1"/>
  <c r="BU670" i="1"/>
  <c r="BU645" i="1"/>
  <c r="BU639" i="1"/>
  <c r="BU626" i="1"/>
  <c r="BU620" i="1"/>
  <c r="BU608" i="1"/>
  <c r="BU595" i="1"/>
  <c r="BU589" i="1"/>
  <c r="BU558" i="1"/>
  <c r="BU539" i="1"/>
  <c r="BU514" i="1"/>
  <c r="BU502" i="1"/>
  <c r="BU496" i="1"/>
  <c r="BU490" i="1"/>
  <c r="BU484" i="1"/>
  <c r="BU459" i="1"/>
  <c r="BU389" i="1"/>
  <c r="BU305" i="1"/>
  <c r="BU199" i="1"/>
  <c r="BU173" i="1"/>
  <c r="BU139" i="1"/>
  <c r="BU125" i="1"/>
  <c r="BU43" i="1"/>
  <c r="BU23" i="1"/>
  <c r="AS1330" i="1"/>
  <c r="BU2425" i="1"/>
  <c r="BU2403" i="1"/>
  <c r="BU2375" i="1"/>
  <c r="BU2360" i="1"/>
  <c r="BU2345" i="1"/>
  <c r="BU2322" i="1"/>
  <c r="BU2315" i="1"/>
  <c r="BU2301" i="1"/>
  <c r="BU2279" i="1"/>
  <c r="BU2272" i="1"/>
  <c r="BU2264" i="1"/>
  <c r="BU2241" i="1"/>
  <c r="BU2233" i="1"/>
  <c r="BU2225" i="1"/>
  <c r="BU2182" i="1"/>
  <c r="BU2175" i="1"/>
  <c r="BU2167" i="1"/>
  <c r="BU2160" i="1"/>
  <c r="BU2152" i="1"/>
  <c r="BU2131" i="1"/>
  <c r="BU2116" i="1"/>
  <c r="BU2095" i="1"/>
  <c r="BU2072" i="1"/>
  <c r="BU2050" i="1"/>
  <c r="BU2021" i="1"/>
  <c r="BU1984" i="1"/>
  <c r="BU1893" i="1"/>
  <c r="BU1863" i="1"/>
  <c r="BU1856" i="1"/>
  <c r="BU1819" i="1"/>
  <c r="BU1811" i="1"/>
  <c r="BU1803" i="1"/>
  <c r="BU1788" i="1"/>
  <c r="BU1780" i="1"/>
  <c r="BU1743" i="1"/>
  <c r="BU1735" i="1"/>
  <c r="BU1713" i="1"/>
  <c r="BU1699" i="1"/>
  <c r="BU1684" i="1"/>
  <c r="BU1676" i="1"/>
  <c r="BU1668" i="1"/>
  <c r="BU1638" i="1"/>
  <c r="BU1615" i="1"/>
  <c r="BU1607" i="1"/>
  <c r="BU1592" i="1"/>
  <c r="BU1577" i="1"/>
  <c r="BU1570" i="1"/>
  <c r="BU1478" i="1"/>
  <c r="BU1471" i="1"/>
  <c r="BU1463" i="1"/>
  <c r="BU1448" i="1"/>
  <c r="BU1440" i="1"/>
  <c r="BU1425" i="1"/>
  <c r="BU1417" i="1"/>
  <c r="BU1410" i="1"/>
  <c r="BU1402" i="1"/>
  <c r="BU1371" i="1"/>
  <c r="BU1349" i="1"/>
  <c r="BU1334" i="1"/>
  <c r="BU1320" i="1"/>
  <c r="BU1313" i="1"/>
  <c r="BU1305" i="1"/>
  <c r="BU1298" i="1"/>
  <c r="BU1290" i="1"/>
  <c r="BU1282" i="1"/>
  <c r="BU1267" i="1"/>
  <c r="BU1133" i="1"/>
  <c r="BU1056" i="1"/>
  <c r="BU1048" i="1"/>
  <c r="BU1019" i="1"/>
  <c r="BU988" i="1"/>
  <c r="BU958" i="1"/>
  <c r="BU951" i="1"/>
  <c r="BU943" i="1"/>
  <c r="BU920" i="1"/>
  <c r="BU897" i="1"/>
  <c r="BU875" i="1"/>
  <c r="BU853" i="1"/>
  <c r="BU847" i="1"/>
  <c r="BU729" i="1"/>
  <c r="BU711" i="1"/>
  <c r="BU705" i="1"/>
  <c r="BU675" i="1"/>
  <c r="BU668" i="1"/>
  <c r="BU631" i="1"/>
  <c r="BU606" i="1"/>
  <c r="BU575" i="1"/>
  <c r="BU525" i="1"/>
  <c r="BU439" i="1"/>
  <c r="BU426" i="1"/>
  <c r="BU414" i="1"/>
  <c r="BU401" i="1"/>
  <c r="BU394" i="1"/>
  <c r="BU387" i="1"/>
  <c r="BU330" i="1"/>
  <c r="BU323" i="1"/>
  <c r="BU310" i="1"/>
  <c r="BU250" i="1"/>
  <c r="BU164" i="1"/>
  <c r="BU83" i="1"/>
  <c r="BU62" i="1"/>
  <c r="BU35" i="1"/>
  <c r="BU14" i="1"/>
  <c r="BU2231" i="1"/>
  <c r="BU2201" i="1"/>
  <c r="BU2150" i="1"/>
  <c r="BU2143" i="1"/>
  <c r="BU2129" i="1"/>
  <c r="BU2122" i="1"/>
  <c r="BU2114" i="1"/>
  <c r="BU2107" i="1"/>
  <c r="BU2100" i="1"/>
  <c r="BU2093" i="1"/>
  <c r="BU2063" i="1"/>
  <c r="BU2048" i="1"/>
  <c r="BU1989" i="1"/>
  <c r="BU1982" i="1"/>
  <c r="BU1952" i="1"/>
  <c r="BU1944" i="1"/>
  <c r="BU1936" i="1"/>
  <c r="BU1929" i="1"/>
  <c r="BU1914" i="1"/>
  <c r="BU1899" i="1"/>
  <c r="BU1891" i="1"/>
  <c r="BU1876" i="1"/>
  <c r="BU1869" i="1"/>
  <c r="BU1840" i="1"/>
  <c r="BU1817" i="1"/>
  <c r="BU1809" i="1"/>
  <c r="BU1801" i="1"/>
  <c r="BU1786" i="1"/>
  <c r="BU1741" i="1"/>
  <c r="BU1711" i="1"/>
  <c r="BU1704" i="1"/>
  <c r="BU1682" i="1"/>
  <c r="BU1674" i="1"/>
  <c r="BU1666" i="1"/>
  <c r="BU1651" i="1"/>
  <c r="BU1531" i="1"/>
  <c r="BU1523" i="1"/>
  <c r="BU1484" i="1"/>
  <c r="BU1476" i="1"/>
  <c r="BU1469" i="1"/>
  <c r="BU1461" i="1"/>
  <c r="BU1454" i="1"/>
  <c r="BU1446" i="1"/>
  <c r="BU1438" i="1"/>
  <c r="BU1423" i="1"/>
  <c r="BU1408" i="1"/>
  <c r="BU1400" i="1"/>
  <c r="BU1369" i="1"/>
  <c r="BU1347" i="1"/>
  <c r="BU1318" i="1"/>
  <c r="BU1296" i="1"/>
  <c r="BU1288" i="1"/>
  <c r="BU1265" i="1"/>
  <c r="BU1213" i="1"/>
  <c r="BU1198" i="1"/>
  <c r="BU1190" i="1"/>
  <c r="BU1160" i="1"/>
  <c r="BU1138" i="1"/>
  <c r="BU1131" i="1"/>
  <c r="BU1108" i="1"/>
  <c r="BU1100" i="1"/>
  <c r="BU1093" i="1"/>
  <c r="BU1085" i="1"/>
  <c r="BU1077" i="1"/>
  <c r="BU1070" i="1"/>
  <c r="BU1062" i="1"/>
  <c r="BU1054" i="1"/>
  <c r="BU1032" i="1"/>
  <c r="BU1017" i="1"/>
  <c r="BU979" i="1"/>
  <c r="BU949" i="1"/>
  <c r="BU941" i="1"/>
  <c r="BU918" i="1"/>
  <c r="BU895" i="1"/>
  <c r="BU873" i="1"/>
  <c r="BU858" i="1"/>
  <c r="BU819" i="1"/>
  <c r="BU813" i="1"/>
  <c r="BU740" i="1"/>
  <c r="BU673" i="1"/>
  <c r="BU660" i="1"/>
  <c r="BU642" i="1"/>
  <c r="BU623" i="1"/>
  <c r="BU617" i="1"/>
  <c r="BU586" i="1"/>
  <c r="BU567" i="1"/>
  <c r="BU561" i="1"/>
  <c r="BU555" i="1"/>
  <c r="BU499" i="1"/>
  <c r="BU481" i="1"/>
  <c r="BU468" i="1"/>
  <c r="BU449" i="1"/>
  <c r="BU399" i="1"/>
  <c r="BU372" i="1"/>
  <c r="BU341" i="1"/>
  <c r="BU295" i="1"/>
  <c r="BU262" i="1"/>
  <c r="BU255" i="1"/>
  <c r="BU222" i="1"/>
  <c r="BU183" i="1"/>
  <c r="BU136" i="1"/>
  <c r="BU67" i="1"/>
  <c r="BU5" i="1"/>
  <c r="BT5" i="1" s="1"/>
  <c r="BU301" i="1"/>
  <c r="BU235" i="1"/>
  <c r="BU189" i="1"/>
  <c r="BU162" i="1"/>
  <c r="BU128" i="1"/>
  <c r="BU46" i="1"/>
  <c r="BU195" i="1"/>
  <c r="BU114" i="1"/>
  <c r="BU101" i="1"/>
  <c r="BU74" i="1"/>
  <c r="BU53" i="1"/>
  <c r="BU39" i="1"/>
  <c r="BU1168" i="1"/>
  <c r="BU1161" i="1"/>
  <c r="BU1154" i="1"/>
  <c r="BU1147" i="1"/>
  <c r="BU1139" i="1"/>
  <c r="BU1125" i="1"/>
  <c r="BU1110" i="1"/>
  <c r="BU1102" i="1"/>
  <c r="BU1087" i="1"/>
  <c r="BU1079" i="1"/>
  <c r="BU1072" i="1"/>
  <c r="BU1064" i="1"/>
  <c r="BU1041" i="1"/>
  <c r="BU997" i="1"/>
  <c r="BU946" i="1"/>
  <c r="BU938" i="1"/>
  <c r="BU892" i="1"/>
  <c r="BU863" i="1"/>
  <c r="BU845" i="1"/>
  <c r="BU833" i="1"/>
  <c r="BU815" i="1"/>
  <c r="BU803" i="1"/>
  <c r="BU797" i="1"/>
  <c r="BU774" i="1"/>
  <c r="BU757" i="1"/>
  <c r="BU699" i="1"/>
  <c r="BU676" i="1"/>
  <c r="BU641" i="1"/>
  <c r="BU612" i="1"/>
  <c r="BU583" i="1"/>
  <c r="BU548" i="1"/>
  <c r="BU530" i="1"/>
  <c r="BU524" i="1"/>
  <c r="BU501" i="1"/>
  <c r="BU495" i="1"/>
  <c r="BU465" i="1"/>
  <c r="BU442" i="1"/>
  <c r="BU436" i="1"/>
  <c r="BU359" i="1"/>
  <c r="BU292" i="1"/>
  <c r="BU273" i="1"/>
  <c r="BU205" i="1"/>
  <c r="BU135" i="1"/>
  <c r="BU122" i="1"/>
  <c r="BU103" i="1"/>
  <c r="BU96" i="1"/>
  <c r="BU32" i="1"/>
  <c r="BU6" i="1"/>
  <c r="BT6" i="1" s="1"/>
  <c r="BU669" i="1"/>
  <c r="BU646" i="1"/>
  <c r="BU634" i="1"/>
  <c r="BU611" i="1"/>
  <c r="BU605" i="1"/>
  <c r="BU582" i="1"/>
  <c r="BU570" i="1"/>
  <c r="BU559" i="1"/>
  <c r="BU529" i="1"/>
  <c r="BU523" i="1"/>
  <c r="BU464" i="1"/>
  <c r="BU441" i="1"/>
  <c r="BU435" i="1"/>
  <c r="BU417" i="1"/>
  <c r="BU352" i="1"/>
  <c r="BU297" i="1"/>
  <c r="BU272" i="1"/>
  <c r="BU229" i="1"/>
  <c r="BU179" i="1"/>
  <c r="BU166" i="1"/>
  <c r="BU153" i="1"/>
  <c r="BU134" i="1"/>
  <c r="BU95" i="1"/>
  <c r="BU70" i="1"/>
  <c r="BU57" i="1"/>
  <c r="BU25" i="1"/>
  <c r="BU18" i="1"/>
  <c r="BU2066" i="1"/>
  <c r="BU2052" i="1"/>
  <c r="BU2016" i="1"/>
  <c r="BU1993" i="1"/>
  <c r="BU1979" i="1"/>
  <c r="BU1964" i="1"/>
  <c r="BU1956" i="1"/>
  <c r="BU1949" i="1"/>
  <c r="BU1941" i="1"/>
  <c r="BU1934" i="1"/>
  <c r="BU1926" i="1"/>
  <c r="BU1911" i="1"/>
  <c r="BU1896" i="1"/>
  <c r="BU1889" i="1"/>
  <c r="BU1881" i="1"/>
  <c r="BU1853" i="1"/>
  <c r="BU1823" i="1"/>
  <c r="BU1815" i="1"/>
  <c r="BU1807" i="1"/>
  <c r="BU1799" i="1"/>
  <c r="BU1792" i="1"/>
  <c r="BU1784" i="1"/>
  <c r="BU1777" i="1"/>
  <c r="BU1747" i="1"/>
  <c r="BU1739" i="1"/>
  <c r="BU1717" i="1"/>
  <c r="BU1680" i="1"/>
  <c r="BU1627" i="1"/>
  <c r="BU1612" i="1"/>
  <c r="BU1604" i="1"/>
  <c r="BU1589" i="1"/>
  <c r="BU1574" i="1"/>
  <c r="BU1560" i="1"/>
  <c r="BU1553" i="1"/>
  <c r="BU1538" i="1"/>
  <c r="BU1516" i="1"/>
  <c r="BU1508" i="1"/>
  <c r="BU1485" i="1"/>
  <c r="BU1477" i="1"/>
  <c r="BU1470" i="1"/>
  <c r="BU1462" i="1"/>
  <c r="BU1455" i="1"/>
  <c r="BU1432" i="1"/>
  <c r="BU1379" i="1"/>
  <c r="BU1357" i="1"/>
  <c r="BU1342" i="1"/>
  <c r="BU1335" i="1"/>
  <c r="BU1328" i="1"/>
  <c r="BU1306" i="1"/>
  <c r="BU1269" i="1"/>
  <c r="BU1256" i="1"/>
  <c r="BU1249" i="1"/>
  <c r="BU1241" i="1"/>
  <c r="BU1233" i="1"/>
  <c r="BU1225" i="1"/>
  <c r="BU1203" i="1"/>
  <c r="BU1195" i="1"/>
  <c r="BU1158" i="1"/>
  <c r="BU1151" i="1"/>
  <c r="BU1129" i="1"/>
  <c r="BU1122" i="1"/>
  <c r="BU1114" i="1"/>
  <c r="BU1076" i="1"/>
  <c r="BU1053" i="1"/>
  <c r="BU1038" i="1"/>
  <c r="BU1024" i="1"/>
  <c r="BU1009" i="1"/>
  <c r="BU994" i="1"/>
  <c r="BU986" i="1"/>
  <c r="BU965" i="1"/>
  <c r="BU935" i="1"/>
  <c r="BU867" i="1"/>
  <c r="BU860" i="1"/>
  <c r="BU848" i="1"/>
  <c r="BU818" i="1"/>
  <c r="BU812" i="1"/>
  <c r="BU789" i="1"/>
  <c r="BU777" i="1"/>
  <c r="BU766" i="1"/>
  <c r="BU737" i="1"/>
  <c r="BU725" i="1"/>
  <c r="BU708" i="1"/>
  <c r="BU691" i="1"/>
  <c r="BU679" i="1"/>
  <c r="BU656" i="1"/>
  <c r="BU650" i="1"/>
  <c r="BU627" i="1"/>
  <c r="BU621" i="1"/>
  <c r="BU592" i="1"/>
  <c r="BU563" i="1"/>
  <c r="BU557" i="1"/>
  <c r="BU498" i="1"/>
  <c r="BU492" i="1"/>
  <c r="BU486" i="1"/>
  <c r="BU474" i="1"/>
  <c r="BU457" i="1"/>
  <c r="BU427" i="1"/>
  <c r="BU404" i="1"/>
  <c r="BU398" i="1"/>
  <c r="BU386" i="1"/>
  <c r="BU368" i="1"/>
  <c r="BU338" i="1"/>
  <c r="BU332" i="1"/>
  <c r="BU326" i="1"/>
  <c r="BU308" i="1"/>
  <c r="BU289" i="1"/>
  <c r="BU283" i="1"/>
  <c r="BU277" i="1"/>
  <c r="BU240" i="1"/>
  <c r="BU234" i="1"/>
  <c r="BU196" i="1"/>
  <c r="BU190" i="1"/>
  <c r="BU184" i="1"/>
  <c r="BU145" i="1"/>
  <c r="BU93" i="1"/>
  <c r="BU75" i="1"/>
  <c r="BU55" i="1"/>
  <c r="BU36" i="1"/>
  <c r="BU16" i="1"/>
  <c r="BU1991" i="1"/>
  <c r="BU1977" i="1"/>
  <c r="BU1970" i="1"/>
  <c r="BU1962" i="1"/>
  <c r="BU1947" i="1"/>
  <c r="BU1939" i="1"/>
  <c r="BU1932" i="1"/>
  <c r="BU1924" i="1"/>
  <c r="BU1887" i="1"/>
  <c r="BU1879" i="1"/>
  <c r="BU1872" i="1"/>
  <c r="BU1760" i="1"/>
  <c r="BU1745" i="1"/>
  <c r="BU1737" i="1"/>
  <c r="BU1722" i="1"/>
  <c r="BU1715" i="1"/>
  <c r="BU1663" i="1"/>
  <c r="BU1655" i="1"/>
  <c r="BU1648" i="1"/>
  <c r="BU1640" i="1"/>
  <c r="BU1625" i="1"/>
  <c r="BU1610" i="1"/>
  <c r="BU1595" i="1"/>
  <c r="BU1587" i="1"/>
  <c r="BU1558" i="1"/>
  <c r="BU1514" i="1"/>
  <c r="BU1506" i="1"/>
  <c r="BU1483" i="1"/>
  <c r="BU1475" i="1"/>
  <c r="BU1468" i="1"/>
  <c r="BU1430" i="1"/>
  <c r="BU1415" i="1"/>
  <c r="BU1377" i="1"/>
  <c r="BU1363" i="1"/>
  <c r="BU1355" i="1"/>
  <c r="BU1333" i="1"/>
  <c r="BU1319" i="1"/>
  <c r="BU1312" i="1"/>
  <c r="BU1304" i="1"/>
  <c r="BU1261" i="1"/>
  <c r="BU1254" i="1"/>
  <c r="BU1247" i="1"/>
  <c r="BU1239" i="1"/>
  <c r="BU1231" i="1"/>
  <c r="BU1216" i="1"/>
  <c r="BU1201" i="1"/>
  <c r="BU1193" i="1"/>
  <c r="BU1120" i="1"/>
  <c r="BU1097" i="1"/>
  <c r="BU1051" i="1"/>
  <c r="BU1030" i="1"/>
  <c r="BU1022" i="1"/>
  <c r="BU933" i="1"/>
  <c r="BU925" i="1"/>
  <c r="BU910" i="1"/>
  <c r="BU902" i="1"/>
  <c r="BU880" i="1"/>
  <c r="BU835" i="1"/>
  <c r="BU799" i="1"/>
  <c r="BU770" i="1"/>
  <c r="BU753" i="1"/>
  <c r="BU747" i="1"/>
  <c r="BU672" i="1"/>
  <c r="BU666" i="1"/>
  <c r="BU643" i="1"/>
  <c r="BU637" i="1"/>
  <c r="BU602" i="1"/>
  <c r="BU579" i="1"/>
  <c r="BU573" i="1"/>
  <c r="BU550" i="1"/>
  <c r="BU544" i="1"/>
  <c r="BU526" i="1"/>
  <c r="BU479" i="1"/>
  <c r="BU432" i="1"/>
  <c r="BU420" i="1"/>
  <c r="BU355" i="1"/>
  <c r="BU300" i="1"/>
  <c r="BU294" i="1"/>
  <c r="BU257" i="1"/>
  <c r="BU251" i="1"/>
  <c r="BU245" i="1"/>
  <c r="BU143" i="1"/>
  <c r="BU105" i="1"/>
  <c r="BU47" i="1"/>
  <c r="BM2288" i="1"/>
  <c r="BN2288" i="1" s="1"/>
  <c r="BO2288" i="1" s="1"/>
  <c r="BP2288" i="1" s="1"/>
  <c r="BQ2288" i="1" s="1"/>
  <c r="BM2355" i="1"/>
  <c r="BN2355" i="1" s="1"/>
  <c r="BO2355" i="1" s="1"/>
  <c r="BP2355" i="1" s="1"/>
  <c r="BQ2355" i="1" s="1"/>
  <c r="BM2337" i="1"/>
  <c r="BN2337" i="1" s="1"/>
  <c r="BO2337" i="1" s="1"/>
  <c r="BP2337" i="1" s="1"/>
  <c r="BQ2337" i="1" s="1"/>
  <c r="BM2168" i="1"/>
  <c r="BN2168" i="1" s="1"/>
  <c r="BO2168" i="1" s="1"/>
  <c r="BP2168" i="1" s="1"/>
  <c r="BQ2168" i="1" s="1"/>
  <c r="BU228" i="1"/>
  <c r="BU217" i="1"/>
  <c r="BU200" i="1"/>
  <c r="BU178" i="1"/>
  <c r="BU167" i="1"/>
  <c r="BU161" i="1"/>
  <c r="BU150" i="1"/>
  <c r="BU117" i="1"/>
  <c r="BU111" i="1"/>
  <c r="BU94" i="1"/>
  <c r="BU61" i="1"/>
  <c r="BU50" i="1"/>
  <c r="BU33" i="1"/>
  <c r="BU11" i="1"/>
  <c r="BM2333" i="1"/>
  <c r="BN2333" i="1" s="1"/>
  <c r="BO2333" i="1" s="1"/>
  <c r="BP2333" i="1" s="1"/>
  <c r="BQ2333" i="1" s="1"/>
  <c r="BM2310" i="1"/>
  <c r="BN2310" i="1" s="1"/>
  <c r="BO2310" i="1" s="1"/>
  <c r="BP2310" i="1" s="1"/>
  <c r="BQ2310" i="1" s="1"/>
  <c r="BM2302" i="1"/>
  <c r="BN2302" i="1" s="1"/>
  <c r="BO2302" i="1" s="1"/>
  <c r="BP2302" i="1" s="1"/>
  <c r="BQ2302" i="1" s="1"/>
  <c r="BM2358" i="1"/>
  <c r="BN2358" i="1" s="1"/>
  <c r="BO2358" i="1" s="1"/>
  <c r="BP2358" i="1" s="1"/>
  <c r="BQ2358" i="1" s="1"/>
  <c r="BM2344" i="1"/>
  <c r="BN2344" i="1" s="1"/>
  <c r="BO2344" i="1" s="1"/>
  <c r="BP2344" i="1" s="1"/>
  <c r="BQ2344" i="1" s="1"/>
  <c r="BM2296" i="1"/>
  <c r="BN2296" i="1" s="1"/>
  <c r="BO2296" i="1" s="1"/>
  <c r="BP2296" i="1" s="1"/>
  <c r="BQ2296" i="1" s="1"/>
  <c r="BU177" i="1"/>
  <c r="BU155" i="1"/>
  <c r="BU116" i="1"/>
  <c r="BU88" i="1"/>
  <c r="BU77" i="1"/>
  <c r="BU66" i="1"/>
  <c r="BU49" i="1"/>
  <c r="BU38" i="1"/>
  <c r="BU27" i="1"/>
  <c r="BM2377" i="1"/>
  <c r="BN2377" i="1" s="1"/>
  <c r="BO2377" i="1" s="1"/>
  <c r="BP2377" i="1" s="1"/>
  <c r="BQ2377" i="1" s="1"/>
  <c r="BM2361" i="1"/>
  <c r="BN2361" i="1" s="1"/>
  <c r="BO2361" i="1" s="1"/>
  <c r="BP2361" i="1" s="1"/>
  <c r="BQ2361" i="1" s="1"/>
  <c r="BM2314" i="1"/>
  <c r="BN2314" i="1" s="1"/>
  <c r="BO2314" i="1" s="1"/>
  <c r="BP2314" i="1" s="1"/>
  <c r="BQ2314" i="1" s="1"/>
  <c r="BM2301" i="1"/>
  <c r="BN2301" i="1" s="1"/>
  <c r="BO2301" i="1" s="1"/>
  <c r="BP2301" i="1" s="1"/>
  <c r="BQ2301" i="1" s="1"/>
  <c r="BM2286" i="1"/>
  <c r="BN2286" i="1" s="1"/>
  <c r="BO2286" i="1" s="1"/>
  <c r="BP2286" i="1" s="1"/>
  <c r="BQ2286" i="1" s="1"/>
  <c r="BM2271" i="1"/>
  <c r="BN2271" i="1" s="1"/>
  <c r="BO2271" i="1" s="1"/>
  <c r="BP2271" i="1" s="1"/>
  <c r="BQ2271" i="1" s="1"/>
  <c r="BM2239" i="1"/>
  <c r="BN2239" i="1" s="1"/>
  <c r="BO2239" i="1" s="1"/>
  <c r="BP2239" i="1" s="1"/>
  <c r="BQ2239" i="1" s="1"/>
  <c r="BU1836" i="1"/>
  <c r="BU1829" i="1"/>
  <c r="BU1768" i="1"/>
  <c r="BU1746" i="1"/>
  <c r="BU1738" i="1"/>
  <c r="BU1723" i="1"/>
  <c r="BU1716" i="1"/>
  <c r="BU1650" i="1"/>
  <c r="BU1620" i="1"/>
  <c r="BU1613" i="1"/>
  <c r="BU1605" i="1"/>
  <c r="BU1583" i="1"/>
  <c r="BU1554" i="1"/>
  <c r="BU1540" i="1"/>
  <c r="BU1510" i="1"/>
  <c r="BU1502" i="1"/>
  <c r="BU1480" i="1"/>
  <c r="BU1465" i="1"/>
  <c r="BU1435" i="1"/>
  <c r="BU1412" i="1"/>
  <c r="BU1397" i="1"/>
  <c r="BU1382" i="1"/>
  <c r="BU1374" i="1"/>
  <c r="BU1367" i="1"/>
  <c r="BU1360" i="1"/>
  <c r="BU1352" i="1"/>
  <c r="BU1345" i="1"/>
  <c r="BU1302" i="1"/>
  <c r="BU1273" i="1"/>
  <c r="BU1266" i="1"/>
  <c r="BU1238" i="1"/>
  <c r="BU1230" i="1"/>
  <c r="BU1215" i="1"/>
  <c r="BU1200" i="1"/>
  <c r="BU1192" i="1"/>
  <c r="BU1134" i="1"/>
  <c r="BU1119" i="1"/>
  <c r="BU1096" i="1"/>
  <c r="BU1014" i="1"/>
  <c r="BU999" i="1"/>
  <c r="BU971" i="1"/>
  <c r="BU942" i="1"/>
  <c r="BU927" i="1"/>
  <c r="BU912" i="1"/>
  <c r="BU904" i="1"/>
  <c r="BU889" i="1"/>
  <c r="BU882" i="1"/>
  <c r="BU861" i="1"/>
  <c r="BU850" i="1"/>
  <c r="BU839" i="1"/>
  <c r="BU816" i="1"/>
  <c r="BU805" i="1"/>
  <c r="BU794" i="1"/>
  <c r="BU767" i="1"/>
  <c r="BU756" i="1"/>
  <c r="BU745" i="1"/>
  <c r="BU718" i="1"/>
  <c r="BU707" i="1"/>
  <c r="BU685" i="1"/>
  <c r="BU658" i="1"/>
  <c r="BU647" i="1"/>
  <c r="BU636" i="1"/>
  <c r="BU609" i="1"/>
  <c r="BU598" i="1"/>
  <c r="BU587" i="1"/>
  <c r="BU560" i="1"/>
  <c r="BU549" i="1"/>
  <c r="BU538" i="1"/>
  <c r="BU511" i="1"/>
  <c r="BU500" i="1"/>
  <c r="BU489" i="1"/>
  <c r="BU462" i="1"/>
  <c r="BU451" i="1"/>
  <c r="BU429" i="1"/>
  <c r="BU402" i="1"/>
  <c r="BU391" i="1"/>
  <c r="BU353" i="1"/>
  <c r="BU342" i="1"/>
  <c r="BU331" i="1"/>
  <c r="BU304" i="1"/>
  <c r="BU293" i="1"/>
  <c r="BU282" i="1"/>
  <c r="BU254" i="1"/>
  <c r="BU243" i="1"/>
  <c r="BU232" i="1"/>
  <c r="BU221" i="1"/>
  <c r="BU210" i="1"/>
  <c r="BU193" i="1"/>
  <c r="BU182" i="1"/>
  <c r="BU171" i="1"/>
  <c r="BU154" i="1"/>
  <c r="BU132" i="1"/>
  <c r="BU121" i="1"/>
  <c r="BU104" i="1"/>
  <c r="BU82" i="1"/>
  <c r="BU71" i="1"/>
  <c r="BU65" i="1"/>
  <c r="BU54" i="1"/>
  <c r="BU21" i="1"/>
  <c r="BU15" i="1"/>
  <c r="BM2380" i="1"/>
  <c r="BN2380" i="1" s="1"/>
  <c r="BO2380" i="1" s="1"/>
  <c r="BP2380" i="1" s="1"/>
  <c r="BQ2380" i="1" s="1"/>
  <c r="BM2332" i="1"/>
  <c r="BN2332" i="1" s="1"/>
  <c r="BO2332" i="1" s="1"/>
  <c r="BP2332" i="1" s="1"/>
  <c r="BQ2332" i="1" s="1"/>
  <c r="BM2305" i="1"/>
  <c r="BN2305" i="1" s="1"/>
  <c r="BO2305" i="1" s="1"/>
  <c r="BP2305" i="1" s="1"/>
  <c r="BQ2305" i="1" s="1"/>
  <c r="BU2334" i="1"/>
  <c r="BU2312" i="1"/>
  <c r="BU2305" i="1"/>
  <c r="BU2298" i="1"/>
  <c r="BU2284" i="1"/>
  <c r="BU2276" i="1"/>
  <c r="BU2269" i="1"/>
  <c r="BU2261" i="1"/>
  <c r="BU2246" i="1"/>
  <c r="BU2223" i="1"/>
  <c r="BU2215" i="1"/>
  <c r="BU2208" i="1"/>
  <c r="BU2194" i="1"/>
  <c r="BU2180" i="1"/>
  <c r="BU2173" i="1"/>
  <c r="BU2158" i="1"/>
  <c r="BU2137" i="1"/>
  <c r="BU2086" i="1"/>
  <c r="BU2078" i="1"/>
  <c r="BU2049" i="1"/>
  <c r="BU2020" i="1"/>
  <c r="BU1990" i="1"/>
  <c r="BU1976" i="1"/>
  <c r="BU1969" i="1"/>
  <c r="BU1961" i="1"/>
  <c r="BU1946" i="1"/>
  <c r="BU1938" i="1"/>
  <c r="BU1931" i="1"/>
  <c r="BU1923" i="1"/>
  <c r="BU1886" i="1"/>
  <c r="BU1878" i="1"/>
  <c r="BU1851" i="1"/>
  <c r="BU1843" i="1"/>
  <c r="BU1821" i="1"/>
  <c r="BU1813" i="1"/>
  <c r="BU1805" i="1"/>
  <c r="BU1797" i="1"/>
  <c r="BU1790" i="1"/>
  <c r="BU1782" i="1"/>
  <c r="BU1775" i="1"/>
  <c r="BU1753" i="1"/>
  <c r="BU1730" i="1"/>
  <c r="BU1708" i="1"/>
  <c r="BU1701" i="1"/>
  <c r="BU1694" i="1"/>
  <c r="BU1686" i="1"/>
  <c r="BU1679" i="1"/>
  <c r="BU1672" i="1"/>
  <c r="BU1657" i="1"/>
  <c r="BU1642" i="1"/>
  <c r="BU1597" i="1"/>
  <c r="BU1590" i="1"/>
  <c r="BU1575" i="1"/>
  <c r="BU1568" i="1"/>
  <c r="BU1561" i="1"/>
  <c r="BU1547" i="1"/>
  <c r="BU1533" i="1"/>
  <c r="BU1525" i="1"/>
  <c r="BU1517" i="1"/>
  <c r="BU1487" i="1"/>
  <c r="BU1472" i="1"/>
  <c r="BU1457" i="1"/>
  <c r="BU1450" i="1"/>
  <c r="BU1442" i="1"/>
  <c r="BU1427" i="1"/>
  <c r="BU1419" i="1"/>
  <c r="BU1404" i="1"/>
  <c r="BU1389" i="1"/>
  <c r="BU1337" i="1"/>
  <c r="BU1330" i="1"/>
  <c r="BU1323" i="1"/>
  <c r="BU1295" i="1"/>
  <c r="BU1280" i="1"/>
  <c r="BU1259" i="1"/>
  <c r="BU1252" i="1"/>
  <c r="BU1222" i="1"/>
  <c r="BU1207" i="1"/>
  <c r="BU1184" i="1"/>
  <c r="BU1177" i="1"/>
  <c r="BU1169" i="1"/>
  <c r="BU1162" i="1"/>
  <c r="BU1155" i="1"/>
  <c r="BU1148" i="1"/>
  <c r="BU1140" i="1"/>
  <c r="BU1065" i="1"/>
  <c r="BU1050" i="1"/>
  <c r="BU1029" i="1"/>
  <c r="BU1021" i="1"/>
  <c r="BU1006" i="1"/>
  <c r="BU984" i="1"/>
  <c r="BU963" i="1"/>
  <c r="BU956" i="1"/>
  <c r="BU919" i="1"/>
  <c r="BU896" i="1"/>
  <c r="BU868" i="1"/>
  <c r="BU855" i="1"/>
  <c r="BU828" i="1"/>
  <c r="BU810" i="1"/>
  <c r="BU783" i="1"/>
  <c r="BU772" i="1"/>
  <c r="BU761" i="1"/>
  <c r="BU734" i="1"/>
  <c r="BU723" i="1"/>
  <c r="BU701" i="1"/>
  <c r="BU674" i="1"/>
  <c r="BU663" i="1"/>
  <c r="BU652" i="1"/>
  <c r="BU625" i="1"/>
  <c r="BU614" i="1"/>
  <c r="BU603" i="1"/>
  <c r="BU576" i="1"/>
  <c r="BU565" i="1"/>
  <c r="BU554" i="1"/>
  <c r="BU527" i="1"/>
  <c r="BU516" i="1"/>
  <c r="BU505" i="1"/>
  <c r="BU478" i="1"/>
  <c r="BU467" i="1"/>
  <c r="BU445" i="1"/>
  <c r="BU418" i="1"/>
  <c r="BU407" i="1"/>
  <c r="BU396" i="1"/>
  <c r="BU369" i="1"/>
  <c r="BU358" i="1"/>
  <c r="BU347" i="1"/>
  <c r="BU320" i="1"/>
  <c r="BU309" i="1"/>
  <c r="BU298" i="1"/>
  <c r="BU287" i="1"/>
  <c r="BU265" i="1"/>
  <c r="BU248" i="1"/>
  <c r="BU237" i="1"/>
  <c r="BU165" i="1"/>
  <c r="BU137" i="1"/>
  <c r="BU126" i="1"/>
  <c r="BU115" i="1"/>
  <c r="BU87" i="1"/>
  <c r="BU48" i="1"/>
  <c r="BU37" i="1"/>
  <c r="BU26" i="1"/>
  <c r="BM2385" i="1"/>
  <c r="BN2385" i="1" s="1"/>
  <c r="BO2385" i="1" s="1"/>
  <c r="BP2385" i="1" s="1"/>
  <c r="BQ2385" i="1" s="1"/>
  <c r="BM2401" i="1"/>
  <c r="BN2401" i="1" s="1"/>
  <c r="BO2401" i="1" s="1"/>
  <c r="BP2401" i="1" s="1"/>
  <c r="BQ2401" i="1" s="1"/>
  <c r="BM2417" i="1"/>
  <c r="BN2417" i="1" s="1"/>
  <c r="BO2417" i="1" s="1"/>
  <c r="BP2417" i="1" s="1"/>
  <c r="BQ2417" i="1" s="1"/>
  <c r="BM2386" i="1"/>
  <c r="BN2386" i="1" s="1"/>
  <c r="BO2386" i="1" s="1"/>
  <c r="BP2386" i="1" s="1"/>
  <c r="BQ2386" i="1" s="1"/>
  <c r="BM2402" i="1"/>
  <c r="BN2402" i="1" s="1"/>
  <c r="BO2402" i="1" s="1"/>
  <c r="BP2402" i="1" s="1"/>
  <c r="BQ2402" i="1" s="1"/>
  <c r="BM2418" i="1"/>
  <c r="BN2418" i="1" s="1"/>
  <c r="BO2418" i="1" s="1"/>
  <c r="BP2418" i="1" s="1"/>
  <c r="BQ2418" i="1" s="1"/>
  <c r="BM2387" i="1"/>
  <c r="BN2387" i="1" s="1"/>
  <c r="BO2387" i="1" s="1"/>
  <c r="BP2387" i="1" s="1"/>
  <c r="BQ2387" i="1" s="1"/>
  <c r="BM2403" i="1"/>
  <c r="BN2403" i="1" s="1"/>
  <c r="BO2403" i="1" s="1"/>
  <c r="BP2403" i="1" s="1"/>
  <c r="BQ2403" i="1" s="1"/>
  <c r="BM2419" i="1"/>
  <c r="BN2419" i="1" s="1"/>
  <c r="BO2419" i="1" s="1"/>
  <c r="BP2419" i="1" s="1"/>
  <c r="BQ2419" i="1" s="1"/>
  <c r="BM2388" i="1"/>
  <c r="BN2388" i="1" s="1"/>
  <c r="BO2388" i="1" s="1"/>
  <c r="BP2388" i="1" s="1"/>
  <c r="BQ2388" i="1" s="1"/>
  <c r="BM2404" i="1"/>
  <c r="BN2404" i="1" s="1"/>
  <c r="BO2404" i="1" s="1"/>
  <c r="BP2404" i="1" s="1"/>
  <c r="BQ2404" i="1" s="1"/>
  <c r="BM2420" i="1"/>
  <c r="BN2420" i="1" s="1"/>
  <c r="BO2420" i="1" s="1"/>
  <c r="BP2420" i="1" s="1"/>
  <c r="BQ2420" i="1" s="1"/>
  <c r="BM2389" i="1"/>
  <c r="BN2389" i="1" s="1"/>
  <c r="BO2389" i="1" s="1"/>
  <c r="BP2389" i="1" s="1"/>
  <c r="BQ2389" i="1" s="1"/>
  <c r="BM2405" i="1"/>
  <c r="BN2405" i="1" s="1"/>
  <c r="BO2405" i="1" s="1"/>
  <c r="BP2405" i="1" s="1"/>
  <c r="BQ2405" i="1" s="1"/>
  <c r="BM2421" i="1"/>
  <c r="BN2421" i="1" s="1"/>
  <c r="BO2421" i="1" s="1"/>
  <c r="BP2421" i="1" s="1"/>
  <c r="BQ2421" i="1" s="1"/>
  <c r="BM2390" i="1"/>
  <c r="BN2390" i="1" s="1"/>
  <c r="BO2390" i="1" s="1"/>
  <c r="BP2390" i="1" s="1"/>
  <c r="BQ2390" i="1" s="1"/>
  <c r="BM2406" i="1"/>
  <c r="BN2406" i="1" s="1"/>
  <c r="BO2406" i="1" s="1"/>
  <c r="BP2406" i="1" s="1"/>
  <c r="BQ2406" i="1" s="1"/>
  <c r="BM2422" i="1"/>
  <c r="BN2422" i="1" s="1"/>
  <c r="BO2422" i="1" s="1"/>
  <c r="BP2422" i="1" s="1"/>
  <c r="BQ2422" i="1" s="1"/>
  <c r="BM2391" i="1"/>
  <c r="BN2391" i="1" s="1"/>
  <c r="BO2391" i="1" s="1"/>
  <c r="BP2391" i="1" s="1"/>
  <c r="BQ2391" i="1" s="1"/>
  <c r="BM2407" i="1"/>
  <c r="BN2407" i="1" s="1"/>
  <c r="BO2407" i="1" s="1"/>
  <c r="BP2407" i="1" s="1"/>
  <c r="BQ2407" i="1" s="1"/>
  <c r="BO2423" i="1"/>
  <c r="BP2423" i="1" s="1"/>
  <c r="BQ2423" i="1" s="1"/>
  <c r="BM2392" i="1"/>
  <c r="BN2392" i="1" s="1"/>
  <c r="BO2392" i="1" s="1"/>
  <c r="BP2392" i="1" s="1"/>
  <c r="BQ2392" i="1" s="1"/>
  <c r="BM2408" i="1"/>
  <c r="BN2408" i="1" s="1"/>
  <c r="BO2408" i="1" s="1"/>
  <c r="BP2408" i="1" s="1"/>
  <c r="BQ2408" i="1" s="1"/>
  <c r="BM2424" i="1"/>
  <c r="BN2424" i="1" s="1"/>
  <c r="BO2424" i="1" s="1"/>
  <c r="BP2424" i="1" s="1"/>
  <c r="BQ2424" i="1" s="1"/>
  <c r="BM2393" i="1"/>
  <c r="BN2393" i="1" s="1"/>
  <c r="BO2393" i="1" s="1"/>
  <c r="BP2393" i="1" s="1"/>
  <c r="BQ2393" i="1" s="1"/>
  <c r="BM2409" i="1"/>
  <c r="BN2409" i="1" s="1"/>
  <c r="BO2409" i="1" s="1"/>
  <c r="BP2409" i="1" s="1"/>
  <c r="BQ2409" i="1" s="1"/>
  <c r="BM2425" i="1"/>
  <c r="BN2425" i="1" s="1"/>
  <c r="BO2425" i="1" s="1"/>
  <c r="BP2425" i="1" s="1"/>
  <c r="BQ2425" i="1" s="1"/>
  <c r="BM2394" i="1"/>
  <c r="BN2394" i="1" s="1"/>
  <c r="BO2394" i="1" s="1"/>
  <c r="BP2394" i="1" s="1"/>
  <c r="BQ2394" i="1" s="1"/>
  <c r="BM2410" i="1"/>
  <c r="BN2410" i="1" s="1"/>
  <c r="BO2410" i="1" s="1"/>
  <c r="BP2410" i="1" s="1"/>
  <c r="BQ2410" i="1" s="1"/>
  <c r="BM2426" i="1"/>
  <c r="BN2426" i="1" s="1"/>
  <c r="BO2426" i="1" s="1"/>
  <c r="BP2426" i="1" s="1"/>
  <c r="BQ2426" i="1" s="1"/>
  <c r="BM2395" i="1"/>
  <c r="BN2395" i="1" s="1"/>
  <c r="BO2395" i="1" s="1"/>
  <c r="BP2395" i="1" s="1"/>
  <c r="BQ2395" i="1" s="1"/>
  <c r="BM2411" i="1"/>
  <c r="BN2411" i="1" s="1"/>
  <c r="BO2411" i="1" s="1"/>
  <c r="BP2411" i="1" s="1"/>
  <c r="BQ2411" i="1" s="1"/>
  <c r="BM2427" i="1"/>
  <c r="BN2427" i="1" s="1"/>
  <c r="BO2427" i="1" s="1"/>
  <c r="BP2427" i="1" s="1"/>
  <c r="BQ2427" i="1" s="1"/>
  <c r="BM2396" i="1"/>
  <c r="BN2396" i="1" s="1"/>
  <c r="BO2396" i="1" s="1"/>
  <c r="BP2396" i="1" s="1"/>
  <c r="BQ2396" i="1" s="1"/>
  <c r="BM2412" i="1"/>
  <c r="BN2412" i="1" s="1"/>
  <c r="BO2412" i="1" s="1"/>
  <c r="BP2412" i="1" s="1"/>
  <c r="BQ2412" i="1" s="1"/>
  <c r="BM2428" i="1"/>
  <c r="BN2428" i="1" s="1"/>
  <c r="BO2428" i="1" s="1"/>
  <c r="BP2428" i="1" s="1"/>
  <c r="BQ2428" i="1" s="1"/>
  <c r="BM2397" i="1"/>
  <c r="BN2397" i="1" s="1"/>
  <c r="BO2397" i="1" s="1"/>
  <c r="BP2397" i="1" s="1"/>
  <c r="BQ2397" i="1" s="1"/>
  <c r="BM2413" i="1"/>
  <c r="BN2413" i="1" s="1"/>
  <c r="BO2413" i="1" s="1"/>
  <c r="BP2413" i="1" s="1"/>
  <c r="BQ2413" i="1" s="1"/>
  <c r="BM2429" i="1"/>
  <c r="BN2429" i="1" s="1"/>
  <c r="BO2429" i="1" s="1"/>
  <c r="BP2429" i="1" s="1"/>
  <c r="BQ2429" i="1" s="1"/>
  <c r="BM2398" i="1"/>
  <c r="BN2398" i="1" s="1"/>
  <c r="BO2398" i="1" s="1"/>
  <c r="BP2398" i="1" s="1"/>
  <c r="BQ2398" i="1" s="1"/>
  <c r="BM2414" i="1"/>
  <c r="BN2414" i="1" s="1"/>
  <c r="BO2414" i="1" s="1"/>
  <c r="BP2414" i="1" s="1"/>
  <c r="BQ2414" i="1" s="1"/>
  <c r="BM2384" i="1"/>
  <c r="BN2384" i="1" s="1"/>
  <c r="BO2384" i="1" s="1"/>
  <c r="BP2384" i="1" s="1"/>
  <c r="BQ2384" i="1" s="1"/>
  <c r="BM2399" i="1"/>
  <c r="BN2399" i="1" s="1"/>
  <c r="BO2399" i="1" s="1"/>
  <c r="BP2399" i="1" s="1"/>
  <c r="BQ2399" i="1" s="1"/>
  <c r="BM2415" i="1"/>
  <c r="BN2415" i="1" s="1"/>
  <c r="BO2415" i="1" s="1"/>
  <c r="BP2415" i="1" s="1"/>
  <c r="BQ2415" i="1" s="1"/>
  <c r="BM2400" i="1"/>
  <c r="BN2400" i="1" s="1"/>
  <c r="BO2400" i="1" s="1"/>
  <c r="BP2400" i="1" s="1"/>
  <c r="BQ2400" i="1" s="1"/>
  <c r="BM2416" i="1"/>
  <c r="BN2416" i="1" s="1"/>
  <c r="BO2416" i="1" s="1"/>
  <c r="BP2416" i="1" s="1"/>
  <c r="BQ2416" i="1" s="1"/>
  <c r="BM827" i="1"/>
  <c r="BN827" i="1" s="1"/>
  <c r="BO827" i="1" s="1"/>
  <c r="BP827" i="1" s="1"/>
  <c r="BQ827" i="1" s="1"/>
  <c r="BM851" i="1"/>
  <c r="BN851" i="1" s="1"/>
  <c r="BO851" i="1" s="1"/>
  <c r="BP851" i="1" s="1"/>
  <c r="BQ851" i="1" s="1"/>
  <c r="BM873" i="1"/>
  <c r="BN873" i="1" s="1"/>
  <c r="BO873" i="1" s="1"/>
  <c r="BP873" i="1" s="1"/>
  <c r="BQ873" i="1" s="1"/>
  <c r="BM886" i="1"/>
  <c r="BN886" i="1" s="1"/>
  <c r="BO886" i="1" s="1"/>
  <c r="BP886" i="1" s="1"/>
  <c r="BQ886" i="1" s="1"/>
  <c r="BM891" i="1"/>
  <c r="BN891" i="1" s="1"/>
  <c r="BO891" i="1" s="1"/>
  <c r="BP891" i="1" s="1"/>
  <c r="BQ891" i="1" s="1"/>
  <c r="BM830" i="1"/>
  <c r="BN830" i="1" s="1"/>
  <c r="BO830" i="1" s="1"/>
  <c r="BP830" i="1" s="1"/>
  <c r="BQ830" i="1" s="1"/>
  <c r="BM835" i="1"/>
  <c r="BN835" i="1" s="1"/>
  <c r="BO835" i="1" s="1"/>
  <c r="BP835" i="1" s="1"/>
  <c r="BQ835" i="1" s="1"/>
  <c r="BM844" i="1"/>
  <c r="BN844" i="1" s="1"/>
  <c r="BO844" i="1" s="1"/>
  <c r="BP844" i="1" s="1"/>
  <c r="BQ844" i="1" s="1"/>
  <c r="BM861" i="1"/>
  <c r="BN861" i="1" s="1"/>
  <c r="BO861" i="1" s="1"/>
  <c r="BP861" i="1" s="1"/>
  <c r="BQ861" i="1" s="1"/>
  <c r="BM876" i="1"/>
  <c r="BN876" i="1" s="1"/>
  <c r="BO876" i="1" s="1"/>
  <c r="BP876" i="1" s="1"/>
  <c r="BQ876" i="1" s="1"/>
  <c r="BM894" i="1"/>
  <c r="BN894" i="1" s="1"/>
  <c r="BO894" i="1" s="1"/>
  <c r="BP894" i="1" s="1"/>
  <c r="BQ894" i="1" s="1"/>
  <c r="BM904" i="1"/>
  <c r="BN904" i="1" s="1"/>
  <c r="BO904" i="1" s="1"/>
  <c r="BP904" i="1" s="1"/>
  <c r="BQ904" i="1" s="1"/>
  <c r="BM825" i="1"/>
  <c r="BN825" i="1" s="1"/>
  <c r="BO825" i="1" s="1"/>
  <c r="BP825" i="1" s="1"/>
  <c r="BQ825" i="1" s="1"/>
  <c r="BM833" i="1"/>
  <c r="BN833" i="1" s="1"/>
  <c r="BO833" i="1" s="1"/>
  <c r="BP833" i="1" s="1"/>
  <c r="BQ833" i="1" s="1"/>
  <c r="BM849" i="1"/>
  <c r="BN849" i="1" s="1"/>
  <c r="BO849" i="1" s="1"/>
  <c r="BP849" i="1" s="1"/>
  <c r="BQ849" i="1" s="1"/>
  <c r="BM864" i="1"/>
  <c r="BN864" i="1" s="1"/>
  <c r="BO864" i="1" s="1"/>
  <c r="BP864" i="1" s="1"/>
  <c r="BQ864" i="1" s="1"/>
  <c r="BM871" i="1"/>
  <c r="BN871" i="1" s="1"/>
  <c r="BO871" i="1" s="1"/>
  <c r="BP871" i="1" s="1"/>
  <c r="BQ871" i="1" s="1"/>
  <c r="BM879" i="1"/>
  <c r="BN879" i="1" s="1"/>
  <c r="BO879" i="1" s="1"/>
  <c r="BP879" i="1" s="1"/>
  <c r="BQ879" i="1" s="1"/>
  <c r="BM889" i="1"/>
  <c r="BN889" i="1" s="1"/>
  <c r="BO889" i="1" s="1"/>
  <c r="BP889" i="1" s="1"/>
  <c r="BQ889" i="1" s="1"/>
  <c r="BM934" i="1"/>
  <c r="BN934" i="1" s="1"/>
  <c r="BO934" i="1" s="1"/>
  <c r="BP934" i="1" s="1"/>
  <c r="BQ934" i="1" s="1"/>
  <c r="BM842" i="1"/>
  <c r="BN842" i="1" s="1"/>
  <c r="BO842" i="1" s="1"/>
  <c r="BP842" i="1" s="1"/>
  <c r="BQ842" i="1" s="1"/>
  <c r="BM823" i="1"/>
  <c r="BN823" i="1" s="1"/>
  <c r="BO823" i="1" s="1"/>
  <c r="BP823" i="1" s="1"/>
  <c r="BQ823" i="1" s="1"/>
  <c r="BM840" i="1"/>
  <c r="BN840" i="1" s="1"/>
  <c r="BO840" i="1" s="1"/>
  <c r="BP840" i="1" s="1"/>
  <c r="BQ840" i="1" s="1"/>
  <c r="BM854" i="1"/>
  <c r="BN854" i="1" s="1"/>
  <c r="BO854" i="1" s="1"/>
  <c r="BP854" i="1" s="1"/>
  <c r="BQ854" i="1" s="1"/>
  <c r="BM884" i="1"/>
  <c r="BN884" i="1" s="1"/>
  <c r="BO884" i="1" s="1"/>
  <c r="BP884" i="1" s="1"/>
  <c r="BQ884" i="1" s="1"/>
  <c r="BM899" i="1"/>
  <c r="BN899" i="1" s="1"/>
  <c r="BO899" i="1" s="1"/>
  <c r="BP899" i="1" s="1"/>
  <c r="BQ899" i="1" s="1"/>
  <c r="BM902" i="1"/>
  <c r="BN902" i="1" s="1"/>
  <c r="BO902" i="1" s="1"/>
  <c r="BP902" i="1" s="1"/>
  <c r="BQ902" i="1" s="1"/>
  <c r="BM914" i="1"/>
  <c r="BN914" i="1" s="1"/>
  <c r="BO914" i="1" s="1"/>
  <c r="BP914" i="1" s="1"/>
  <c r="BQ914" i="1" s="1"/>
  <c r="BM978" i="1"/>
  <c r="BN978" i="1" s="1"/>
  <c r="BO978" i="1" s="1"/>
  <c r="BP978" i="1" s="1"/>
  <c r="BQ978" i="1" s="1"/>
  <c r="BM857" i="1"/>
  <c r="BN857" i="1" s="1"/>
  <c r="BO857" i="1" s="1"/>
  <c r="BP857" i="1" s="1"/>
  <c r="BQ857" i="1" s="1"/>
  <c r="BM859" i="1"/>
  <c r="BN859" i="1" s="1"/>
  <c r="BO859" i="1" s="1"/>
  <c r="BP859" i="1" s="1"/>
  <c r="BQ859" i="1" s="1"/>
  <c r="BM867" i="1"/>
  <c r="BN867" i="1" s="1"/>
  <c r="BO867" i="1" s="1"/>
  <c r="BP867" i="1" s="1"/>
  <c r="BQ867" i="1" s="1"/>
  <c r="BM892" i="1"/>
  <c r="BN892" i="1" s="1"/>
  <c r="BO892" i="1" s="1"/>
  <c r="BP892" i="1" s="1"/>
  <c r="BQ892" i="1" s="1"/>
  <c r="BM912" i="1"/>
  <c r="BN912" i="1" s="1"/>
  <c r="BO912" i="1" s="1"/>
  <c r="BP912" i="1" s="1"/>
  <c r="BQ912" i="1" s="1"/>
  <c r="BM927" i="1"/>
  <c r="BN927" i="1" s="1"/>
  <c r="BO927" i="1" s="1"/>
  <c r="BP927" i="1" s="1"/>
  <c r="BQ927" i="1" s="1"/>
  <c r="BM828" i="1"/>
  <c r="BN828" i="1" s="1"/>
  <c r="BO828" i="1" s="1"/>
  <c r="BP828" i="1" s="1"/>
  <c r="BQ828" i="1" s="1"/>
  <c r="BM831" i="1"/>
  <c r="BN831" i="1" s="1"/>
  <c r="BO831" i="1" s="1"/>
  <c r="BP831" i="1" s="1"/>
  <c r="BQ831" i="1" s="1"/>
  <c r="BM838" i="1"/>
  <c r="BN838" i="1" s="1"/>
  <c r="BO838" i="1" s="1"/>
  <c r="BP838" i="1" s="1"/>
  <c r="BQ838" i="1" s="1"/>
  <c r="BM845" i="1"/>
  <c r="BN845" i="1" s="1"/>
  <c r="BO845" i="1" s="1"/>
  <c r="BP845" i="1" s="1"/>
  <c r="BQ845" i="1" s="1"/>
  <c r="BM847" i="1"/>
  <c r="BN847" i="1" s="1"/>
  <c r="BO847" i="1" s="1"/>
  <c r="BP847" i="1" s="1"/>
  <c r="BQ847" i="1" s="1"/>
  <c r="BM862" i="1"/>
  <c r="BN862" i="1" s="1"/>
  <c r="BO862" i="1" s="1"/>
  <c r="BP862" i="1" s="1"/>
  <c r="BQ862" i="1" s="1"/>
  <c r="BM865" i="1"/>
  <c r="BN865" i="1" s="1"/>
  <c r="BO865" i="1" s="1"/>
  <c r="BP865" i="1" s="1"/>
  <c r="BQ865" i="1" s="1"/>
  <c r="BM874" i="1"/>
  <c r="BN874" i="1" s="1"/>
  <c r="BO874" i="1" s="1"/>
  <c r="BP874" i="1" s="1"/>
  <c r="BQ874" i="1" s="1"/>
  <c r="BM882" i="1"/>
  <c r="BN882" i="1" s="1"/>
  <c r="BO882" i="1" s="1"/>
  <c r="BP882" i="1" s="1"/>
  <c r="BQ882" i="1" s="1"/>
  <c r="BM887" i="1"/>
  <c r="BN887" i="1" s="1"/>
  <c r="BO887" i="1" s="1"/>
  <c r="BP887" i="1" s="1"/>
  <c r="BQ887" i="1" s="1"/>
  <c r="BM895" i="1"/>
  <c r="BN895" i="1" s="1"/>
  <c r="BO895" i="1" s="1"/>
  <c r="BP895" i="1" s="1"/>
  <c r="BQ895" i="1" s="1"/>
  <c r="BM917" i="1"/>
  <c r="BN917" i="1" s="1"/>
  <c r="BO917" i="1" s="1"/>
  <c r="BP917" i="1" s="1"/>
  <c r="BQ917" i="1" s="1"/>
  <c r="BM932" i="1"/>
  <c r="BN932" i="1" s="1"/>
  <c r="BO932" i="1" s="1"/>
  <c r="BP932" i="1" s="1"/>
  <c r="BQ932" i="1" s="1"/>
  <c r="BM944" i="1"/>
  <c r="BN944" i="1" s="1"/>
  <c r="BO944" i="1" s="1"/>
  <c r="BP944" i="1" s="1"/>
  <c r="BQ944" i="1" s="1"/>
  <c r="BM836" i="1"/>
  <c r="BN836" i="1" s="1"/>
  <c r="BO836" i="1" s="1"/>
  <c r="BP836" i="1" s="1"/>
  <c r="BQ836" i="1" s="1"/>
  <c r="BM850" i="1"/>
  <c r="BN850" i="1" s="1"/>
  <c r="BO850" i="1" s="1"/>
  <c r="BP850" i="1" s="1"/>
  <c r="BQ850" i="1" s="1"/>
  <c r="BM852" i="1"/>
  <c r="BN852" i="1" s="1"/>
  <c r="BO852" i="1" s="1"/>
  <c r="BP852" i="1" s="1"/>
  <c r="BQ852" i="1" s="1"/>
  <c r="BM900" i="1"/>
  <c r="BN900" i="1" s="1"/>
  <c r="BO900" i="1" s="1"/>
  <c r="BP900" i="1" s="1"/>
  <c r="BQ900" i="1" s="1"/>
  <c r="BM824" i="1"/>
  <c r="BN824" i="1" s="1"/>
  <c r="BO824" i="1" s="1"/>
  <c r="BP824" i="1" s="1"/>
  <c r="BQ824" i="1" s="1"/>
  <c r="BM826" i="1"/>
  <c r="BN826" i="1" s="1"/>
  <c r="BO826" i="1" s="1"/>
  <c r="BP826" i="1" s="1"/>
  <c r="BQ826" i="1" s="1"/>
  <c r="BM855" i="1"/>
  <c r="BN855" i="1" s="1"/>
  <c r="BO855" i="1" s="1"/>
  <c r="BP855" i="1" s="1"/>
  <c r="BQ855" i="1" s="1"/>
  <c r="BM872" i="1"/>
  <c r="BN872" i="1" s="1"/>
  <c r="BO872" i="1" s="1"/>
  <c r="BP872" i="1" s="1"/>
  <c r="BQ872" i="1" s="1"/>
  <c r="BM885" i="1"/>
  <c r="BN885" i="1" s="1"/>
  <c r="BO885" i="1" s="1"/>
  <c r="BP885" i="1" s="1"/>
  <c r="BQ885" i="1" s="1"/>
  <c r="BM893" i="1"/>
  <c r="BN893" i="1" s="1"/>
  <c r="BO893" i="1" s="1"/>
  <c r="BP893" i="1" s="1"/>
  <c r="BQ893" i="1" s="1"/>
  <c r="BM930" i="1"/>
  <c r="BN930" i="1" s="1"/>
  <c r="BO930" i="1" s="1"/>
  <c r="BP930" i="1" s="1"/>
  <c r="BQ930" i="1" s="1"/>
  <c r="BM942" i="1"/>
  <c r="BN942" i="1" s="1"/>
  <c r="BO942" i="1" s="1"/>
  <c r="BP942" i="1" s="1"/>
  <c r="BQ942" i="1" s="1"/>
  <c r="BM829" i="1"/>
  <c r="BN829" i="1" s="1"/>
  <c r="BO829" i="1" s="1"/>
  <c r="BP829" i="1" s="1"/>
  <c r="BQ829" i="1" s="1"/>
  <c r="BM834" i="1"/>
  <c r="BN834" i="1" s="1"/>
  <c r="BO834" i="1" s="1"/>
  <c r="BP834" i="1" s="1"/>
  <c r="BQ834" i="1" s="1"/>
  <c r="BM841" i="1"/>
  <c r="BN841" i="1" s="1"/>
  <c r="BO841" i="1" s="1"/>
  <c r="BP841" i="1" s="1"/>
  <c r="BQ841" i="1" s="1"/>
  <c r="BM843" i="1"/>
  <c r="BN843" i="1" s="1"/>
  <c r="BO843" i="1" s="1"/>
  <c r="BP843" i="1" s="1"/>
  <c r="BQ843" i="1" s="1"/>
  <c r="BM860" i="1"/>
  <c r="BN860" i="1" s="1"/>
  <c r="BO860" i="1" s="1"/>
  <c r="BP860" i="1" s="1"/>
  <c r="BQ860" i="1" s="1"/>
  <c r="BM837" i="1"/>
  <c r="BN837" i="1" s="1"/>
  <c r="BO837" i="1" s="1"/>
  <c r="BP837" i="1" s="1"/>
  <c r="BQ837" i="1" s="1"/>
  <c r="BM856" i="1"/>
  <c r="BN856" i="1" s="1"/>
  <c r="BO856" i="1" s="1"/>
  <c r="BP856" i="1" s="1"/>
  <c r="BQ856" i="1" s="1"/>
  <c r="BM881" i="1"/>
  <c r="BN881" i="1" s="1"/>
  <c r="BO881" i="1" s="1"/>
  <c r="BP881" i="1" s="1"/>
  <c r="BQ881" i="1" s="1"/>
  <c r="BM869" i="1"/>
  <c r="BN869" i="1" s="1"/>
  <c r="BO869" i="1" s="1"/>
  <c r="BP869" i="1" s="1"/>
  <c r="BQ869" i="1" s="1"/>
  <c r="BM910" i="1"/>
  <c r="BN910" i="1" s="1"/>
  <c r="BO910" i="1" s="1"/>
  <c r="BP910" i="1" s="1"/>
  <c r="BQ910" i="1" s="1"/>
  <c r="BM916" i="1"/>
  <c r="BN916" i="1" s="1"/>
  <c r="BO916" i="1" s="1"/>
  <c r="BP916" i="1" s="1"/>
  <c r="BQ916" i="1" s="1"/>
  <c r="BM928" i="1"/>
  <c r="BN928" i="1" s="1"/>
  <c r="BO928" i="1" s="1"/>
  <c r="BP928" i="1" s="1"/>
  <c r="BQ928" i="1" s="1"/>
  <c r="BM953" i="1"/>
  <c r="BN953" i="1" s="1"/>
  <c r="BO953" i="1" s="1"/>
  <c r="BP953" i="1" s="1"/>
  <c r="BQ953" i="1" s="1"/>
  <c r="BM958" i="1"/>
  <c r="BN958" i="1" s="1"/>
  <c r="BO958" i="1" s="1"/>
  <c r="BP958" i="1" s="1"/>
  <c r="BQ958" i="1" s="1"/>
  <c r="BM968" i="1"/>
  <c r="BN968" i="1" s="1"/>
  <c r="BO968" i="1" s="1"/>
  <c r="BP968" i="1" s="1"/>
  <c r="BQ968" i="1" s="1"/>
  <c r="BM981" i="1"/>
  <c r="BN981" i="1" s="1"/>
  <c r="BO981" i="1" s="1"/>
  <c r="BP981" i="1" s="1"/>
  <c r="BQ981" i="1" s="1"/>
  <c r="BM999" i="1"/>
  <c r="BN999" i="1" s="1"/>
  <c r="BO999" i="1" s="1"/>
  <c r="BP999" i="1" s="1"/>
  <c r="BQ999" i="1" s="1"/>
  <c r="BM1028" i="1"/>
  <c r="BN1028" i="1" s="1"/>
  <c r="BO1028" i="1" s="1"/>
  <c r="BP1028" i="1" s="1"/>
  <c r="BQ1028" i="1" s="1"/>
  <c r="BM1043" i="1"/>
  <c r="BN1043" i="1" s="1"/>
  <c r="BO1043" i="1" s="1"/>
  <c r="BP1043" i="1" s="1"/>
  <c r="BQ1043" i="1" s="1"/>
  <c r="BM1051" i="1"/>
  <c r="BN1051" i="1" s="1"/>
  <c r="BO1051" i="1" s="1"/>
  <c r="BP1051" i="1" s="1"/>
  <c r="BQ1051" i="1" s="1"/>
  <c r="BM1056" i="1"/>
  <c r="BN1056" i="1" s="1"/>
  <c r="BO1056" i="1" s="1"/>
  <c r="BP1056" i="1" s="1"/>
  <c r="BQ1056" i="1" s="1"/>
  <c r="BM1061" i="1"/>
  <c r="BN1061" i="1" s="1"/>
  <c r="BO1061" i="1" s="1"/>
  <c r="BP1061" i="1" s="1"/>
  <c r="BQ1061" i="1" s="1"/>
  <c r="BM1090" i="1"/>
  <c r="BN1090" i="1" s="1"/>
  <c r="BO1090" i="1" s="1"/>
  <c r="BP1090" i="1" s="1"/>
  <c r="BQ1090" i="1" s="1"/>
  <c r="BM1105" i="1"/>
  <c r="BN1105" i="1" s="1"/>
  <c r="BO1105" i="1" s="1"/>
  <c r="BP1105" i="1" s="1"/>
  <c r="BQ1105" i="1" s="1"/>
  <c r="BM1118" i="1"/>
  <c r="BN1118" i="1" s="1"/>
  <c r="BO1118" i="1" s="1"/>
  <c r="BP1118" i="1" s="1"/>
  <c r="BQ1118" i="1" s="1"/>
  <c r="BM1128" i="1"/>
  <c r="BN1128" i="1" s="1"/>
  <c r="BO1128" i="1" s="1"/>
  <c r="BP1128" i="1" s="1"/>
  <c r="BQ1128" i="1" s="1"/>
  <c r="BM1137" i="1"/>
  <c r="BN1137" i="1" s="1"/>
  <c r="BO1137" i="1" s="1"/>
  <c r="BP1137" i="1" s="1"/>
  <c r="BQ1137" i="1" s="1"/>
  <c r="BM1036" i="1"/>
  <c r="BN1036" i="1" s="1"/>
  <c r="BO1036" i="1" s="1"/>
  <c r="BP1036" i="1" s="1"/>
  <c r="BQ1036" i="1" s="1"/>
  <c r="BM1078" i="1"/>
  <c r="BN1078" i="1" s="1"/>
  <c r="BO1078" i="1" s="1"/>
  <c r="BP1078" i="1" s="1"/>
  <c r="BQ1078" i="1" s="1"/>
  <c r="BM1093" i="1"/>
  <c r="BN1093" i="1" s="1"/>
  <c r="BO1093" i="1" s="1"/>
  <c r="BP1093" i="1" s="1"/>
  <c r="BQ1093" i="1" s="1"/>
  <c r="BM1108" i="1"/>
  <c r="BN1108" i="1" s="1"/>
  <c r="BO1108" i="1" s="1"/>
  <c r="BP1108" i="1" s="1"/>
  <c r="BQ1108" i="1" s="1"/>
  <c r="BM1133" i="1"/>
  <c r="BN1133" i="1" s="1"/>
  <c r="BO1133" i="1" s="1"/>
  <c r="BP1133" i="1" s="1"/>
  <c r="BQ1133" i="1" s="1"/>
  <c r="BM866" i="1"/>
  <c r="BN866" i="1" s="1"/>
  <c r="BO866" i="1" s="1"/>
  <c r="BP866" i="1" s="1"/>
  <c r="BQ866" i="1" s="1"/>
  <c r="BM907" i="1"/>
  <c r="BN907" i="1" s="1"/>
  <c r="BO907" i="1" s="1"/>
  <c r="BP907" i="1" s="1"/>
  <c r="BQ907" i="1" s="1"/>
  <c r="BM931" i="1"/>
  <c r="BN931" i="1" s="1"/>
  <c r="BO931" i="1" s="1"/>
  <c r="BP931" i="1" s="1"/>
  <c r="BQ931" i="1" s="1"/>
  <c r="BM940" i="1"/>
  <c r="BN940" i="1" s="1"/>
  <c r="BO940" i="1" s="1"/>
  <c r="BP940" i="1" s="1"/>
  <c r="BQ940" i="1" s="1"/>
  <c r="BM943" i="1"/>
  <c r="BN943" i="1" s="1"/>
  <c r="BO943" i="1" s="1"/>
  <c r="BP943" i="1" s="1"/>
  <c r="BQ943" i="1" s="1"/>
  <c r="BM948" i="1"/>
  <c r="BN948" i="1" s="1"/>
  <c r="BO948" i="1" s="1"/>
  <c r="BP948" i="1" s="1"/>
  <c r="BQ948" i="1" s="1"/>
  <c r="BM973" i="1"/>
  <c r="BN973" i="1" s="1"/>
  <c r="BO973" i="1" s="1"/>
  <c r="BP973" i="1" s="1"/>
  <c r="BQ973" i="1" s="1"/>
  <c r="BM1011" i="1"/>
  <c r="BN1011" i="1" s="1"/>
  <c r="BO1011" i="1" s="1"/>
  <c r="BP1011" i="1" s="1"/>
  <c r="BQ1011" i="1" s="1"/>
  <c r="BM1026" i="1"/>
  <c r="BN1026" i="1" s="1"/>
  <c r="BO1026" i="1" s="1"/>
  <c r="BP1026" i="1" s="1"/>
  <c r="BQ1026" i="1" s="1"/>
  <c r="BM1031" i="1"/>
  <c r="BN1031" i="1" s="1"/>
  <c r="BO1031" i="1" s="1"/>
  <c r="BP1031" i="1" s="1"/>
  <c r="BQ1031" i="1" s="1"/>
  <c r="BM1033" i="1"/>
  <c r="BN1033" i="1" s="1"/>
  <c r="BO1033" i="1" s="1"/>
  <c r="BP1033" i="1" s="1"/>
  <c r="BQ1033" i="1" s="1"/>
  <c r="BM1083" i="1"/>
  <c r="BN1083" i="1" s="1"/>
  <c r="BO1083" i="1" s="1"/>
  <c r="BP1083" i="1" s="1"/>
  <c r="BQ1083" i="1" s="1"/>
  <c r="BM1098" i="1"/>
  <c r="BN1098" i="1" s="1"/>
  <c r="BO1098" i="1" s="1"/>
  <c r="BP1098" i="1" s="1"/>
  <c r="BQ1098" i="1" s="1"/>
  <c r="BM1113" i="1"/>
  <c r="BN1113" i="1" s="1"/>
  <c r="BO1113" i="1" s="1"/>
  <c r="BP1113" i="1" s="1"/>
  <c r="BQ1113" i="1" s="1"/>
  <c r="BM1126" i="1"/>
  <c r="BN1126" i="1" s="1"/>
  <c r="BO1126" i="1" s="1"/>
  <c r="BP1126" i="1" s="1"/>
  <c r="BQ1126" i="1" s="1"/>
  <c r="BM1150" i="1"/>
  <c r="BN1150" i="1" s="1"/>
  <c r="BO1150" i="1" s="1"/>
  <c r="BP1150" i="1" s="1"/>
  <c r="BQ1150" i="1" s="1"/>
  <c r="BM832" i="1"/>
  <c r="BN832" i="1" s="1"/>
  <c r="BO832" i="1" s="1"/>
  <c r="BP832" i="1" s="1"/>
  <c r="BQ832" i="1" s="1"/>
  <c r="BM878" i="1"/>
  <c r="BN878" i="1" s="1"/>
  <c r="BO878" i="1" s="1"/>
  <c r="BP878" i="1" s="1"/>
  <c r="BQ878" i="1" s="1"/>
  <c r="BM896" i="1"/>
  <c r="BN896" i="1" s="1"/>
  <c r="BO896" i="1" s="1"/>
  <c r="BP896" i="1" s="1"/>
  <c r="BQ896" i="1" s="1"/>
  <c r="BM963" i="1"/>
  <c r="BN963" i="1" s="1"/>
  <c r="BO963" i="1" s="1"/>
  <c r="BP963" i="1" s="1"/>
  <c r="BQ963" i="1" s="1"/>
  <c r="BM966" i="1"/>
  <c r="BN966" i="1" s="1"/>
  <c r="BO966" i="1" s="1"/>
  <c r="BP966" i="1" s="1"/>
  <c r="BQ966" i="1" s="1"/>
  <c r="BM976" i="1"/>
  <c r="BN976" i="1" s="1"/>
  <c r="BO976" i="1" s="1"/>
  <c r="BP976" i="1" s="1"/>
  <c r="BQ976" i="1" s="1"/>
  <c r="BM984" i="1"/>
  <c r="BN984" i="1" s="1"/>
  <c r="BO984" i="1" s="1"/>
  <c r="BP984" i="1" s="1"/>
  <c r="BQ984" i="1" s="1"/>
  <c r="BM986" i="1"/>
  <c r="BN986" i="1" s="1"/>
  <c r="BO986" i="1" s="1"/>
  <c r="BP986" i="1" s="1"/>
  <c r="BQ986" i="1" s="1"/>
  <c r="BM989" i="1"/>
  <c r="BN989" i="1" s="1"/>
  <c r="BO989" i="1" s="1"/>
  <c r="BP989" i="1" s="1"/>
  <c r="BQ989" i="1" s="1"/>
  <c r="BM994" i="1"/>
  <c r="BN994" i="1" s="1"/>
  <c r="BO994" i="1" s="1"/>
  <c r="BP994" i="1" s="1"/>
  <c r="BQ994" i="1" s="1"/>
  <c r="BM1014" i="1"/>
  <c r="BN1014" i="1" s="1"/>
  <c r="BO1014" i="1" s="1"/>
  <c r="BP1014" i="1" s="1"/>
  <c r="BQ1014" i="1" s="1"/>
  <c r="BM1019" i="1"/>
  <c r="BN1019" i="1" s="1"/>
  <c r="BO1019" i="1" s="1"/>
  <c r="BP1019" i="1" s="1"/>
  <c r="BQ1019" i="1" s="1"/>
  <c r="BM1046" i="1"/>
  <c r="BN1046" i="1" s="1"/>
  <c r="BO1046" i="1" s="1"/>
  <c r="BP1046" i="1" s="1"/>
  <c r="BQ1046" i="1" s="1"/>
  <c r="BM1066" i="1"/>
  <c r="BN1066" i="1" s="1"/>
  <c r="BO1066" i="1" s="1"/>
  <c r="BP1066" i="1" s="1"/>
  <c r="BQ1066" i="1" s="1"/>
  <c r="BM1071" i="1"/>
  <c r="BN1071" i="1" s="1"/>
  <c r="BO1071" i="1" s="1"/>
  <c r="BP1071" i="1" s="1"/>
  <c r="BQ1071" i="1" s="1"/>
  <c r="BM1073" i="1"/>
  <c r="BN1073" i="1" s="1"/>
  <c r="BO1073" i="1" s="1"/>
  <c r="BP1073" i="1" s="1"/>
  <c r="BQ1073" i="1" s="1"/>
  <c r="BM1076" i="1"/>
  <c r="BN1076" i="1" s="1"/>
  <c r="BO1076" i="1" s="1"/>
  <c r="BP1076" i="1" s="1"/>
  <c r="BQ1076" i="1" s="1"/>
  <c r="BM1103" i="1"/>
  <c r="BN1103" i="1" s="1"/>
  <c r="BO1103" i="1" s="1"/>
  <c r="BP1103" i="1" s="1"/>
  <c r="BQ1103" i="1" s="1"/>
  <c r="BM1131" i="1"/>
  <c r="BN1131" i="1" s="1"/>
  <c r="BO1131" i="1" s="1"/>
  <c r="BP1131" i="1" s="1"/>
  <c r="BQ1131" i="1" s="1"/>
  <c r="BM1190" i="1"/>
  <c r="BN1190" i="1" s="1"/>
  <c r="BO1190" i="1" s="1"/>
  <c r="BP1190" i="1" s="1"/>
  <c r="BQ1190" i="1" s="1"/>
  <c r="BM1198" i="1"/>
  <c r="BN1198" i="1" s="1"/>
  <c r="BO1198" i="1" s="1"/>
  <c r="BP1198" i="1" s="1"/>
  <c r="BQ1198" i="1" s="1"/>
  <c r="BM1218" i="1"/>
  <c r="BN1218" i="1" s="1"/>
  <c r="BO1218" i="1" s="1"/>
  <c r="BP1218" i="1" s="1"/>
  <c r="BQ1218" i="1" s="1"/>
  <c r="BM1236" i="1"/>
  <c r="BN1236" i="1" s="1"/>
  <c r="BO1236" i="1" s="1"/>
  <c r="BP1236" i="1" s="1"/>
  <c r="BQ1236" i="1" s="1"/>
  <c r="BM858" i="1"/>
  <c r="BN858" i="1" s="1"/>
  <c r="BO858" i="1" s="1"/>
  <c r="BP858" i="1" s="1"/>
  <c r="BQ858" i="1" s="1"/>
  <c r="BM920" i="1"/>
  <c r="BN920" i="1" s="1"/>
  <c r="BO920" i="1" s="1"/>
  <c r="BP920" i="1" s="1"/>
  <c r="BQ920" i="1" s="1"/>
  <c r="BM935" i="1"/>
  <c r="BN935" i="1" s="1"/>
  <c r="BO935" i="1" s="1"/>
  <c r="BP935" i="1" s="1"/>
  <c r="BQ935" i="1" s="1"/>
  <c r="BM951" i="1"/>
  <c r="BN951" i="1" s="1"/>
  <c r="BO951" i="1" s="1"/>
  <c r="BP951" i="1" s="1"/>
  <c r="BQ951" i="1" s="1"/>
  <c r="BM961" i="1"/>
  <c r="BN961" i="1" s="1"/>
  <c r="BO961" i="1" s="1"/>
  <c r="BP961" i="1" s="1"/>
  <c r="BQ961" i="1" s="1"/>
  <c r="BM997" i="1"/>
  <c r="BN997" i="1" s="1"/>
  <c r="BO997" i="1" s="1"/>
  <c r="BP997" i="1" s="1"/>
  <c r="BQ997" i="1" s="1"/>
  <c r="BM1029" i="1"/>
  <c r="BN1029" i="1" s="1"/>
  <c r="BO1029" i="1" s="1"/>
  <c r="BP1029" i="1" s="1"/>
  <c r="BQ1029" i="1" s="1"/>
  <c r="BM1054" i="1"/>
  <c r="BN1054" i="1" s="1"/>
  <c r="BO1054" i="1" s="1"/>
  <c r="BP1054" i="1" s="1"/>
  <c r="BQ1054" i="1" s="1"/>
  <c r="BM1064" i="1"/>
  <c r="BN1064" i="1" s="1"/>
  <c r="BO1064" i="1" s="1"/>
  <c r="BP1064" i="1" s="1"/>
  <c r="BQ1064" i="1" s="1"/>
  <c r="BM1088" i="1"/>
  <c r="BN1088" i="1" s="1"/>
  <c r="BO1088" i="1" s="1"/>
  <c r="BP1088" i="1" s="1"/>
  <c r="BQ1088" i="1" s="1"/>
  <c r="BM1096" i="1"/>
  <c r="BN1096" i="1" s="1"/>
  <c r="BO1096" i="1" s="1"/>
  <c r="BP1096" i="1" s="1"/>
  <c r="BQ1096" i="1" s="1"/>
  <c r="BM1116" i="1"/>
  <c r="BN1116" i="1" s="1"/>
  <c r="BO1116" i="1" s="1"/>
  <c r="BP1116" i="1" s="1"/>
  <c r="BQ1116" i="1" s="1"/>
  <c r="BM1140" i="1"/>
  <c r="BN1140" i="1" s="1"/>
  <c r="BO1140" i="1" s="1"/>
  <c r="BP1140" i="1" s="1"/>
  <c r="BQ1140" i="1" s="1"/>
  <c r="BM1158" i="1"/>
  <c r="BN1158" i="1" s="1"/>
  <c r="BO1158" i="1" s="1"/>
  <c r="BP1158" i="1" s="1"/>
  <c r="BQ1158" i="1" s="1"/>
  <c r="BM1169" i="1"/>
  <c r="BN1169" i="1" s="1"/>
  <c r="BO1169" i="1" s="1"/>
  <c r="BP1169" i="1" s="1"/>
  <c r="BQ1169" i="1" s="1"/>
  <c r="BM1223" i="1"/>
  <c r="BN1223" i="1" s="1"/>
  <c r="BO1223" i="1" s="1"/>
  <c r="BP1223" i="1" s="1"/>
  <c r="BQ1223" i="1" s="1"/>
  <c r="BM1231" i="1"/>
  <c r="BN1231" i="1" s="1"/>
  <c r="BO1231" i="1" s="1"/>
  <c r="BP1231" i="1" s="1"/>
  <c r="BQ1231" i="1" s="1"/>
  <c r="BM1244" i="1"/>
  <c r="BN1244" i="1" s="1"/>
  <c r="BO1244" i="1" s="1"/>
  <c r="BP1244" i="1" s="1"/>
  <c r="BQ1244" i="1" s="1"/>
  <c r="BM1263" i="1"/>
  <c r="BN1263" i="1" s="1"/>
  <c r="BO1263" i="1" s="1"/>
  <c r="BP1263" i="1" s="1"/>
  <c r="BQ1263" i="1" s="1"/>
  <c r="BM870" i="1"/>
  <c r="BN870" i="1" s="1"/>
  <c r="BO870" i="1" s="1"/>
  <c r="BP870" i="1" s="1"/>
  <c r="BQ870" i="1" s="1"/>
  <c r="BM911" i="1"/>
  <c r="BN911" i="1" s="1"/>
  <c r="BO911" i="1" s="1"/>
  <c r="BP911" i="1" s="1"/>
  <c r="BQ911" i="1" s="1"/>
  <c r="BM926" i="1"/>
  <c r="BN926" i="1" s="1"/>
  <c r="BO926" i="1" s="1"/>
  <c r="BP926" i="1" s="1"/>
  <c r="BQ926" i="1" s="1"/>
  <c r="BM938" i="1"/>
  <c r="BN938" i="1" s="1"/>
  <c r="BO938" i="1" s="1"/>
  <c r="BP938" i="1" s="1"/>
  <c r="BQ938" i="1" s="1"/>
  <c r="BM946" i="1"/>
  <c r="BN946" i="1" s="1"/>
  <c r="BO946" i="1" s="1"/>
  <c r="BP946" i="1" s="1"/>
  <c r="BQ946" i="1" s="1"/>
  <c r="BM956" i="1"/>
  <c r="BN956" i="1" s="1"/>
  <c r="BO956" i="1" s="1"/>
  <c r="BP956" i="1" s="1"/>
  <c r="BQ956" i="1" s="1"/>
  <c r="BM971" i="1"/>
  <c r="BN971" i="1" s="1"/>
  <c r="BO971" i="1" s="1"/>
  <c r="BP971" i="1" s="1"/>
  <c r="BQ971" i="1" s="1"/>
  <c r="BM992" i="1"/>
  <c r="BN992" i="1" s="1"/>
  <c r="BO992" i="1" s="1"/>
  <c r="BP992" i="1" s="1"/>
  <c r="BQ992" i="1" s="1"/>
  <c r="BM1004" i="1"/>
  <c r="BN1004" i="1" s="1"/>
  <c r="BO1004" i="1" s="1"/>
  <c r="BP1004" i="1" s="1"/>
  <c r="BQ1004" i="1" s="1"/>
  <c r="BM1009" i="1"/>
  <c r="BN1009" i="1" s="1"/>
  <c r="BO1009" i="1" s="1"/>
  <c r="BP1009" i="1" s="1"/>
  <c r="BQ1009" i="1" s="1"/>
  <c r="BM1017" i="1"/>
  <c r="BN1017" i="1" s="1"/>
  <c r="BO1017" i="1" s="1"/>
  <c r="BP1017" i="1" s="1"/>
  <c r="BQ1017" i="1" s="1"/>
  <c r="BM1024" i="1"/>
  <c r="BN1024" i="1" s="1"/>
  <c r="BO1024" i="1" s="1"/>
  <c r="BP1024" i="1" s="1"/>
  <c r="BQ1024" i="1" s="1"/>
  <c r="BM1039" i="1"/>
  <c r="BN1039" i="1" s="1"/>
  <c r="BO1039" i="1" s="1"/>
  <c r="BP1039" i="1" s="1"/>
  <c r="BQ1039" i="1" s="1"/>
  <c r="BM1041" i="1"/>
  <c r="BN1041" i="1" s="1"/>
  <c r="BO1041" i="1" s="1"/>
  <c r="BP1041" i="1" s="1"/>
  <c r="BQ1041" i="1" s="1"/>
  <c r="BM1059" i="1"/>
  <c r="BN1059" i="1" s="1"/>
  <c r="BO1059" i="1" s="1"/>
  <c r="BP1059" i="1" s="1"/>
  <c r="BQ1059" i="1" s="1"/>
  <c r="BM1101" i="1"/>
  <c r="BN1101" i="1" s="1"/>
  <c r="BO1101" i="1" s="1"/>
  <c r="BP1101" i="1" s="1"/>
  <c r="BQ1101" i="1" s="1"/>
  <c r="BM1106" i="1"/>
  <c r="BN1106" i="1" s="1"/>
  <c r="BO1106" i="1" s="1"/>
  <c r="BP1106" i="1" s="1"/>
  <c r="BQ1106" i="1" s="1"/>
  <c r="BM1121" i="1"/>
  <c r="BN1121" i="1" s="1"/>
  <c r="BO1121" i="1" s="1"/>
  <c r="BP1121" i="1" s="1"/>
  <c r="BQ1121" i="1" s="1"/>
  <c r="BM1124" i="1"/>
  <c r="BN1124" i="1" s="1"/>
  <c r="BO1124" i="1" s="1"/>
  <c r="BP1124" i="1" s="1"/>
  <c r="BQ1124" i="1" s="1"/>
  <c r="BM1136" i="1"/>
  <c r="BN1136" i="1" s="1"/>
  <c r="BO1136" i="1" s="1"/>
  <c r="BP1136" i="1" s="1"/>
  <c r="BQ1136" i="1" s="1"/>
  <c r="BM1138" i="1"/>
  <c r="BN1138" i="1" s="1"/>
  <c r="BO1138" i="1" s="1"/>
  <c r="BP1138" i="1" s="1"/>
  <c r="BQ1138" i="1" s="1"/>
  <c r="BM1161" i="1"/>
  <c r="BN1161" i="1" s="1"/>
  <c r="BO1161" i="1" s="1"/>
  <c r="BP1161" i="1" s="1"/>
  <c r="BQ1161" i="1" s="1"/>
  <c r="BM1164" i="1"/>
  <c r="BN1164" i="1" s="1"/>
  <c r="BO1164" i="1" s="1"/>
  <c r="BP1164" i="1" s="1"/>
  <c r="BQ1164" i="1" s="1"/>
  <c r="BM1172" i="1"/>
  <c r="BN1172" i="1" s="1"/>
  <c r="BO1172" i="1" s="1"/>
  <c r="BP1172" i="1" s="1"/>
  <c r="BQ1172" i="1" s="1"/>
  <c r="BM1183" i="1"/>
  <c r="BN1183" i="1" s="1"/>
  <c r="BO1183" i="1" s="1"/>
  <c r="BP1183" i="1" s="1"/>
  <c r="BQ1183" i="1" s="1"/>
  <c r="BM1188" i="1"/>
  <c r="BN1188" i="1" s="1"/>
  <c r="BO1188" i="1" s="1"/>
  <c r="BP1188" i="1" s="1"/>
  <c r="BQ1188" i="1" s="1"/>
  <c r="BM1193" i="1"/>
  <c r="BN1193" i="1" s="1"/>
  <c r="BO1193" i="1" s="1"/>
  <c r="BP1193" i="1" s="1"/>
  <c r="BQ1193" i="1" s="1"/>
  <c r="BM1203" i="1"/>
  <c r="BN1203" i="1" s="1"/>
  <c r="BO1203" i="1" s="1"/>
  <c r="BP1203" i="1" s="1"/>
  <c r="BQ1203" i="1" s="1"/>
  <c r="BM1234" i="1"/>
  <c r="BN1234" i="1" s="1"/>
  <c r="BO1234" i="1" s="1"/>
  <c r="BP1234" i="1" s="1"/>
  <c r="BQ1234" i="1" s="1"/>
  <c r="BM1250" i="1"/>
  <c r="BN1250" i="1" s="1"/>
  <c r="BO1250" i="1" s="1"/>
  <c r="BP1250" i="1" s="1"/>
  <c r="BQ1250" i="1" s="1"/>
  <c r="BM822" i="1"/>
  <c r="BN822" i="1" s="1"/>
  <c r="BM848" i="1"/>
  <c r="BN848" i="1" s="1"/>
  <c r="BO848" i="1" s="1"/>
  <c r="BP848" i="1" s="1"/>
  <c r="BQ848" i="1" s="1"/>
  <c r="BM863" i="1"/>
  <c r="BN863" i="1" s="1"/>
  <c r="BO863" i="1" s="1"/>
  <c r="BP863" i="1" s="1"/>
  <c r="BQ863" i="1" s="1"/>
  <c r="BM901" i="1"/>
  <c r="BN901" i="1" s="1"/>
  <c r="BO901" i="1" s="1"/>
  <c r="BP901" i="1" s="1"/>
  <c r="BQ901" i="1" s="1"/>
  <c r="BM923" i="1"/>
  <c r="BN923" i="1" s="1"/>
  <c r="BO923" i="1" s="1"/>
  <c r="BP923" i="1" s="1"/>
  <c r="BQ923" i="1" s="1"/>
  <c r="BM959" i="1"/>
  <c r="BN959" i="1" s="1"/>
  <c r="BO959" i="1" s="1"/>
  <c r="BP959" i="1" s="1"/>
  <c r="BQ959" i="1" s="1"/>
  <c r="BM982" i="1"/>
  <c r="BN982" i="1" s="1"/>
  <c r="BO982" i="1" s="1"/>
  <c r="BP982" i="1" s="1"/>
  <c r="BQ982" i="1" s="1"/>
  <c r="BM1007" i="1"/>
  <c r="BN1007" i="1" s="1"/>
  <c r="BO1007" i="1" s="1"/>
  <c r="BP1007" i="1" s="1"/>
  <c r="BQ1007" i="1" s="1"/>
  <c r="BM1022" i="1"/>
  <c r="BN1022" i="1" s="1"/>
  <c r="BO1022" i="1" s="1"/>
  <c r="BP1022" i="1" s="1"/>
  <c r="BQ1022" i="1" s="1"/>
  <c r="BM839" i="1"/>
  <c r="BN839" i="1" s="1"/>
  <c r="BO839" i="1" s="1"/>
  <c r="BP839" i="1" s="1"/>
  <c r="BQ839" i="1" s="1"/>
  <c r="BM853" i="1"/>
  <c r="BN853" i="1" s="1"/>
  <c r="BO853" i="1" s="1"/>
  <c r="BP853" i="1" s="1"/>
  <c r="BQ853" i="1" s="1"/>
  <c r="BM890" i="1"/>
  <c r="BN890" i="1" s="1"/>
  <c r="BO890" i="1" s="1"/>
  <c r="BP890" i="1" s="1"/>
  <c r="BQ890" i="1" s="1"/>
  <c r="BM905" i="1"/>
  <c r="BN905" i="1" s="1"/>
  <c r="BO905" i="1" s="1"/>
  <c r="BP905" i="1" s="1"/>
  <c r="BQ905" i="1" s="1"/>
  <c r="BM908" i="1"/>
  <c r="BN908" i="1" s="1"/>
  <c r="BO908" i="1" s="1"/>
  <c r="BP908" i="1" s="1"/>
  <c r="BQ908" i="1" s="1"/>
  <c r="BM929" i="1"/>
  <c r="BN929" i="1" s="1"/>
  <c r="BO929" i="1" s="1"/>
  <c r="BP929" i="1" s="1"/>
  <c r="BQ929" i="1" s="1"/>
  <c r="BM954" i="1"/>
  <c r="BN954" i="1" s="1"/>
  <c r="BO954" i="1" s="1"/>
  <c r="BP954" i="1" s="1"/>
  <c r="BQ954" i="1" s="1"/>
  <c r="BM969" i="1"/>
  <c r="BN969" i="1" s="1"/>
  <c r="BO969" i="1" s="1"/>
  <c r="BP969" i="1" s="1"/>
  <c r="BQ969" i="1" s="1"/>
  <c r="BM974" i="1"/>
  <c r="BN974" i="1" s="1"/>
  <c r="BO974" i="1" s="1"/>
  <c r="BP974" i="1" s="1"/>
  <c r="BQ974" i="1" s="1"/>
  <c r="BM979" i="1"/>
  <c r="BN979" i="1" s="1"/>
  <c r="BO979" i="1" s="1"/>
  <c r="BP979" i="1" s="1"/>
  <c r="BQ979" i="1" s="1"/>
  <c r="BM990" i="1"/>
  <c r="BN990" i="1" s="1"/>
  <c r="BO990" i="1" s="1"/>
  <c r="BP990" i="1" s="1"/>
  <c r="BQ990" i="1" s="1"/>
  <c r="BM1000" i="1"/>
  <c r="BN1000" i="1" s="1"/>
  <c r="BO1000" i="1" s="1"/>
  <c r="BP1000" i="1" s="1"/>
  <c r="BQ1000" i="1" s="1"/>
  <c r="BM1002" i="1"/>
  <c r="BN1002" i="1" s="1"/>
  <c r="BO1002" i="1" s="1"/>
  <c r="BP1002" i="1" s="1"/>
  <c r="BQ1002" i="1" s="1"/>
  <c r="BM1012" i="1"/>
  <c r="BN1012" i="1" s="1"/>
  <c r="BO1012" i="1" s="1"/>
  <c r="BP1012" i="1" s="1"/>
  <c r="BQ1012" i="1" s="1"/>
  <c r="BM1034" i="1"/>
  <c r="BN1034" i="1" s="1"/>
  <c r="BO1034" i="1" s="1"/>
  <c r="BP1034" i="1" s="1"/>
  <c r="BQ1034" i="1" s="1"/>
  <c r="BM1049" i="1"/>
  <c r="BN1049" i="1" s="1"/>
  <c r="BO1049" i="1" s="1"/>
  <c r="BP1049" i="1" s="1"/>
  <c r="BQ1049" i="1" s="1"/>
  <c r="BM1062" i="1"/>
  <c r="BN1062" i="1" s="1"/>
  <c r="BO1062" i="1" s="1"/>
  <c r="BP1062" i="1" s="1"/>
  <c r="BQ1062" i="1" s="1"/>
  <c r="BM1094" i="1"/>
  <c r="BN1094" i="1" s="1"/>
  <c r="BO1094" i="1" s="1"/>
  <c r="BP1094" i="1" s="1"/>
  <c r="BQ1094" i="1" s="1"/>
  <c r="BM1109" i="1"/>
  <c r="BN1109" i="1" s="1"/>
  <c r="BO1109" i="1" s="1"/>
  <c r="BP1109" i="1" s="1"/>
  <c r="BQ1109" i="1" s="1"/>
  <c r="BM1119" i="1"/>
  <c r="BN1119" i="1" s="1"/>
  <c r="BO1119" i="1" s="1"/>
  <c r="BP1119" i="1" s="1"/>
  <c r="BQ1119" i="1" s="1"/>
  <c r="BM1129" i="1"/>
  <c r="BN1129" i="1" s="1"/>
  <c r="BO1129" i="1" s="1"/>
  <c r="BP1129" i="1" s="1"/>
  <c r="BQ1129" i="1" s="1"/>
  <c r="BM1143" i="1"/>
  <c r="BN1143" i="1" s="1"/>
  <c r="BO1143" i="1" s="1"/>
  <c r="BP1143" i="1" s="1"/>
  <c r="BQ1143" i="1" s="1"/>
  <c r="BM1153" i="1"/>
  <c r="BN1153" i="1" s="1"/>
  <c r="BO1153" i="1" s="1"/>
  <c r="BP1153" i="1" s="1"/>
  <c r="BQ1153" i="1" s="1"/>
  <c r="BM897" i="1"/>
  <c r="BN897" i="1" s="1"/>
  <c r="BO897" i="1" s="1"/>
  <c r="BP897" i="1" s="1"/>
  <c r="BQ897" i="1" s="1"/>
  <c r="BM918" i="1"/>
  <c r="BN918" i="1" s="1"/>
  <c r="BO918" i="1" s="1"/>
  <c r="BP918" i="1" s="1"/>
  <c r="BQ918" i="1" s="1"/>
  <c r="BM921" i="1"/>
  <c r="BN921" i="1" s="1"/>
  <c r="BO921" i="1" s="1"/>
  <c r="BP921" i="1" s="1"/>
  <c r="BQ921" i="1" s="1"/>
  <c r="BM941" i="1"/>
  <c r="BN941" i="1" s="1"/>
  <c r="BO941" i="1" s="1"/>
  <c r="BP941" i="1" s="1"/>
  <c r="BQ941" i="1" s="1"/>
  <c r="BM949" i="1"/>
  <c r="BN949" i="1" s="1"/>
  <c r="BO949" i="1" s="1"/>
  <c r="BP949" i="1" s="1"/>
  <c r="BQ949" i="1" s="1"/>
  <c r="BM964" i="1"/>
  <c r="BN964" i="1" s="1"/>
  <c r="BO964" i="1" s="1"/>
  <c r="BP964" i="1" s="1"/>
  <c r="BQ964" i="1" s="1"/>
  <c r="BM1015" i="1"/>
  <c r="BN1015" i="1" s="1"/>
  <c r="BO1015" i="1" s="1"/>
  <c r="BP1015" i="1" s="1"/>
  <c r="BQ1015" i="1" s="1"/>
  <c r="BM1032" i="1"/>
  <c r="BN1032" i="1" s="1"/>
  <c r="BO1032" i="1" s="1"/>
  <c r="BP1032" i="1" s="1"/>
  <c r="BQ1032" i="1" s="1"/>
  <c r="BM1037" i="1"/>
  <c r="BN1037" i="1" s="1"/>
  <c r="BO1037" i="1" s="1"/>
  <c r="BP1037" i="1" s="1"/>
  <c r="BQ1037" i="1" s="1"/>
  <c r="BM1047" i="1"/>
  <c r="BN1047" i="1" s="1"/>
  <c r="BO1047" i="1" s="1"/>
  <c r="BP1047" i="1" s="1"/>
  <c r="BQ1047" i="1" s="1"/>
  <c r="BM875" i="1"/>
  <c r="BN875" i="1" s="1"/>
  <c r="BO875" i="1" s="1"/>
  <c r="BP875" i="1" s="1"/>
  <c r="BQ875" i="1" s="1"/>
  <c r="BM933" i="1"/>
  <c r="BN933" i="1" s="1"/>
  <c r="BO933" i="1" s="1"/>
  <c r="BP933" i="1" s="1"/>
  <c r="BQ933" i="1" s="1"/>
  <c r="BM967" i="1"/>
  <c r="BN967" i="1" s="1"/>
  <c r="BO967" i="1" s="1"/>
  <c r="BP967" i="1" s="1"/>
  <c r="BQ967" i="1" s="1"/>
  <c r="BM977" i="1"/>
  <c r="BN977" i="1" s="1"/>
  <c r="BO977" i="1" s="1"/>
  <c r="BP977" i="1" s="1"/>
  <c r="BQ977" i="1" s="1"/>
  <c r="BM998" i="1"/>
  <c r="BN998" i="1" s="1"/>
  <c r="BO998" i="1" s="1"/>
  <c r="BP998" i="1" s="1"/>
  <c r="BQ998" i="1" s="1"/>
  <c r="BM1005" i="1"/>
  <c r="BN1005" i="1" s="1"/>
  <c r="BO1005" i="1" s="1"/>
  <c r="BP1005" i="1" s="1"/>
  <c r="BQ1005" i="1" s="1"/>
  <c r="BM1067" i="1"/>
  <c r="BN1067" i="1" s="1"/>
  <c r="BO1067" i="1" s="1"/>
  <c r="BP1067" i="1" s="1"/>
  <c r="BQ1067" i="1" s="1"/>
  <c r="BM1114" i="1"/>
  <c r="BN1114" i="1" s="1"/>
  <c r="BO1114" i="1" s="1"/>
  <c r="BP1114" i="1" s="1"/>
  <c r="BQ1114" i="1" s="1"/>
  <c r="BM1151" i="1"/>
  <c r="BN1151" i="1" s="1"/>
  <c r="BO1151" i="1" s="1"/>
  <c r="BP1151" i="1" s="1"/>
  <c r="BQ1151" i="1" s="1"/>
  <c r="BM1173" i="1"/>
  <c r="BN1173" i="1" s="1"/>
  <c r="BO1173" i="1" s="1"/>
  <c r="BP1173" i="1" s="1"/>
  <c r="BQ1173" i="1" s="1"/>
  <c r="BM1199" i="1"/>
  <c r="BN1199" i="1" s="1"/>
  <c r="BO1199" i="1" s="1"/>
  <c r="BP1199" i="1" s="1"/>
  <c r="BQ1199" i="1" s="1"/>
  <c r="BM1214" i="1"/>
  <c r="BN1214" i="1" s="1"/>
  <c r="BO1214" i="1" s="1"/>
  <c r="BP1214" i="1" s="1"/>
  <c r="BQ1214" i="1" s="1"/>
  <c r="BM1232" i="1"/>
  <c r="BN1232" i="1" s="1"/>
  <c r="BO1232" i="1" s="1"/>
  <c r="BP1232" i="1" s="1"/>
  <c r="BQ1232" i="1" s="1"/>
  <c r="BM1237" i="1"/>
  <c r="BN1237" i="1" s="1"/>
  <c r="BO1237" i="1" s="1"/>
  <c r="BP1237" i="1" s="1"/>
  <c r="BQ1237" i="1" s="1"/>
  <c r="BM1245" i="1"/>
  <c r="BN1245" i="1" s="1"/>
  <c r="BO1245" i="1" s="1"/>
  <c r="BP1245" i="1" s="1"/>
  <c r="BQ1245" i="1" s="1"/>
  <c r="BM868" i="1"/>
  <c r="BN868" i="1" s="1"/>
  <c r="BO868" i="1" s="1"/>
  <c r="BP868" i="1" s="1"/>
  <c r="BQ868" i="1" s="1"/>
  <c r="BM915" i="1"/>
  <c r="BN915" i="1" s="1"/>
  <c r="BO915" i="1" s="1"/>
  <c r="BP915" i="1" s="1"/>
  <c r="BQ915" i="1" s="1"/>
  <c r="BM936" i="1"/>
  <c r="BN936" i="1" s="1"/>
  <c r="BO936" i="1" s="1"/>
  <c r="BP936" i="1" s="1"/>
  <c r="BQ936" i="1" s="1"/>
  <c r="BM952" i="1"/>
  <c r="BN952" i="1" s="1"/>
  <c r="BO952" i="1" s="1"/>
  <c r="BP952" i="1" s="1"/>
  <c r="BQ952" i="1" s="1"/>
  <c r="BM957" i="1"/>
  <c r="BN957" i="1" s="1"/>
  <c r="BO957" i="1" s="1"/>
  <c r="BP957" i="1" s="1"/>
  <c r="BQ957" i="1" s="1"/>
  <c r="BM995" i="1"/>
  <c r="BN995" i="1" s="1"/>
  <c r="BO995" i="1" s="1"/>
  <c r="BP995" i="1" s="1"/>
  <c r="BQ995" i="1" s="1"/>
  <c r="BM1020" i="1"/>
  <c r="BN1020" i="1" s="1"/>
  <c r="BO1020" i="1" s="1"/>
  <c r="BP1020" i="1" s="1"/>
  <c r="BQ1020" i="1" s="1"/>
  <c r="BM1027" i="1"/>
  <c r="BN1027" i="1" s="1"/>
  <c r="BO1027" i="1" s="1"/>
  <c r="BP1027" i="1" s="1"/>
  <c r="BQ1027" i="1" s="1"/>
  <c r="BM1042" i="1"/>
  <c r="BN1042" i="1" s="1"/>
  <c r="BO1042" i="1" s="1"/>
  <c r="BP1042" i="1" s="1"/>
  <c r="BQ1042" i="1" s="1"/>
  <c r="BM1077" i="1"/>
  <c r="BN1077" i="1" s="1"/>
  <c r="BO1077" i="1" s="1"/>
  <c r="BP1077" i="1" s="1"/>
  <c r="BQ1077" i="1" s="1"/>
  <c r="BM1117" i="1"/>
  <c r="BN1117" i="1" s="1"/>
  <c r="BO1117" i="1" s="1"/>
  <c r="BP1117" i="1" s="1"/>
  <c r="BQ1117" i="1" s="1"/>
  <c r="BM1122" i="1"/>
  <c r="BN1122" i="1" s="1"/>
  <c r="BO1122" i="1" s="1"/>
  <c r="BP1122" i="1" s="1"/>
  <c r="BQ1122" i="1" s="1"/>
  <c r="BM1159" i="1"/>
  <c r="BN1159" i="1" s="1"/>
  <c r="BO1159" i="1" s="1"/>
  <c r="BP1159" i="1" s="1"/>
  <c r="BQ1159" i="1" s="1"/>
  <c r="BM1162" i="1"/>
  <c r="BN1162" i="1" s="1"/>
  <c r="BO1162" i="1" s="1"/>
  <c r="BP1162" i="1" s="1"/>
  <c r="BQ1162" i="1" s="1"/>
  <c r="BM1165" i="1"/>
  <c r="BN1165" i="1" s="1"/>
  <c r="BO1165" i="1" s="1"/>
  <c r="BP1165" i="1" s="1"/>
  <c r="BQ1165" i="1" s="1"/>
  <c r="BM1170" i="1"/>
  <c r="BN1170" i="1" s="1"/>
  <c r="BO1170" i="1" s="1"/>
  <c r="BP1170" i="1" s="1"/>
  <c r="BQ1170" i="1" s="1"/>
  <c r="BM1176" i="1"/>
  <c r="BN1176" i="1" s="1"/>
  <c r="BO1176" i="1" s="1"/>
  <c r="BP1176" i="1" s="1"/>
  <c r="BQ1176" i="1" s="1"/>
  <c r="BM1206" i="1"/>
  <c r="BN1206" i="1" s="1"/>
  <c r="BO1206" i="1" s="1"/>
  <c r="BP1206" i="1" s="1"/>
  <c r="BQ1206" i="1" s="1"/>
  <c r="BM1219" i="1"/>
  <c r="BN1219" i="1" s="1"/>
  <c r="BO1219" i="1" s="1"/>
  <c r="BP1219" i="1" s="1"/>
  <c r="BQ1219" i="1" s="1"/>
  <c r="BM909" i="1"/>
  <c r="BN909" i="1" s="1"/>
  <c r="BO909" i="1" s="1"/>
  <c r="BP909" i="1" s="1"/>
  <c r="BQ909" i="1" s="1"/>
  <c r="BM924" i="1"/>
  <c r="BN924" i="1" s="1"/>
  <c r="BO924" i="1" s="1"/>
  <c r="BP924" i="1" s="1"/>
  <c r="BQ924" i="1" s="1"/>
  <c r="BM985" i="1"/>
  <c r="BN985" i="1" s="1"/>
  <c r="BO985" i="1" s="1"/>
  <c r="BP985" i="1" s="1"/>
  <c r="BQ985" i="1" s="1"/>
  <c r="BM987" i="1"/>
  <c r="BN987" i="1" s="1"/>
  <c r="BO987" i="1" s="1"/>
  <c r="BP987" i="1" s="1"/>
  <c r="BQ987" i="1" s="1"/>
  <c r="BM1010" i="1"/>
  <c r="BN1010" i="1" s="1"/>
  <c r="BO1010" i="1" s="1"/>
  <c r="BP1010" i="1" s="1"/>
  <c r="BQ1010" i="1" s="1"/>
  <c r="BM1018" i="1"/>
  <c r="BN1018" i="1" s="1"/>
  <c r="BO1018" i="1" s="1"/>
  <c r="BP1018" i="1" s="1"/>
  <c r="BQ1018" i="1" s="1"/>
  <c r="BM1025" i="1"/>
  <c r="BN1025" i="1" s="1"/>
  <c r="BO1025" i="1" s="1"/>
  <c r="BP1025" i="1" s="1"/>
  <c r="BQ1025" i="1" s="1"/>
  <c r="BM1035" i="1"/>
  <c r="BN1035" i="1" s="1"/>
  <c r="BO1035" i="1" s="1"/>
  <c r="BP1035" i="1" s="1"/>
  <c r="BQ1035" i="1" s="1"/>
  <c r="BM1040" i="1"/>
  <c r="BN1040" i="1" s="1"/>
  <c r="BO1040" i="1" s="1"/>
  <c r="BP1040" i="1" s="1"/>
  <c r="BQ1040" i="1" s="1"/>
  <c r="BM1050" i="1"/>
  <c r="BN1050" i="1" s="1"/>
  <c r="BO1050" i="1" s="1"/>
  <c r="BP1050" i="1" s="1"/>
  <c r="BQ1050" i="1" s="1"/>
  <c r="BM1055" i="1"/>
  <c r="BN1055" i="1" s="1"/>
  <c r="BO1055" i="1" s="1"/>
  <c r="BP1055" i="1" s="1"/>
  <c r="BQ1055" i="1" s="1"/>
  <c r="BM1057" i="1"/>
  <c r="BN1057" i="1" s="1"/>
  <c r="BO1057" i="1" s="1"/>
  <c r="BP1057" i="1" s="1"/>
  <c r="BQ1057" i="1" s="1"/>
  <c r="BM1060" i="1"/>
  <c r="BN1060" i="1" s="1"/>
  <c r="BO1060" i="1" s="1"/>
  <c r="BP1060" i="1" s="1"/>
  <c r="BQ1060" i="1" s="1"/>
  <c r="BM1097" i="1"/>
  <c r="BN1097" i="1" s="1"/>
  <c r="BO1097" i="1" s="1"/>
  <c r="BP1097" i="1" s="1"/>
  <c r="BQ1097" i="1" s="1"/>
  <c r="BM1107" i="1"/>
  <c r="BN1107" i="1" s="1"/>
  <c r="BO1107" i="1" s="1"/>
  <c r="BP1107" i="1" s="1"/>
  <c r="BQ1107" i="1" s="1"/>
  <c r="BM1112" i="1"/>
  <c r="BN1112" i="1" s="1"/>
  <c r="BO1112" i="1" s="1"/>
  <c r="BP1112" i="1" s="1"/>
  <c r="BQ1112" i="1" s="1"/>
  <c r="BM1125" i="1"/>
  <c r="BN1125" i="1" s="1"/>
  <c r="BO1125" i="1" s="1"/>
  <c r="BP1125" i="1" s="1"/>
  <c r="BQ1125" i="1" s="1"/>
  <c r="BM1141" i="1"/>
  <c r="BN1141" i="1" s="1"/>
  <c r="BO1141" i="1" s="1"/>
  <c r="BP1141" i="1" s="1"/>
  <c r="BQ1141" i="1" s="1"/>
  <c r="BM1149" i="1"/>
  <c r="BN1149" i="1" s="1"/>
  <c r="BO1149" i="1" s="1"/>
  <c r="BP1149" i="1" s="1"/>
  <c r="BQ1149" i="1" s="1"/>
  <c r="BM1184" i="1"/>
  <c r="BN1184" i="1" s="1"/>
  <c r="BO1184" i="1" s="1"/>
  <c r="BP1184" i="1" s="1"/>
  <c r="BQ1184" i="1" s="1"/>
  <c r="BM1189" i="1"/>
  <c r="BN1189" i="1" s="1"/>
  <c r="BO1189" i="1" s="1"/>
  <c r="BP1189" i="1" s="1"/>
  <c r="BQ1189" i="1" s="1"/>
  <c r="BM880" i="1"/>
  <c r="BN880" i="1" s="1"/>
  <c r="BO880" i="1" s="1"/>
  <c r="BP880" i="1" s="1"/>
  <c r="BQ880" i="1" s="1"/>
  <c r="BM883" i="1"/>
  <c r="BN883" i="1" s="1"/>
  <c r="BO883" i="1" s="1"/>
  <c r="BP883" i="1" s="1"/>
  <c r="BQ883" i="1" s="1"/>
  <c r="BM898" i="1"/>
  <c r="BN898" i="1" s="1"/>
  <c r="BO898" i="1" s="1"/>
  <c r="BP898" i="1" s="1"/>
  <c r="BQ898" i="1" s="1"/>
  <c r="BM906" i="1"/>
  <c r="BN906" i="1" s="1"/>
  <c r="BO906" i="1" s="1"/>
  <c r="BP906" i="1" s="1"/>
  <c r="BQ906" i="1" s="1"/>
  <c r="BM972" i="1"/>
  <c r="BN972" i="1" s="1"/>
  <c r="BO972" i="1" s="1"/>
  <c r="BP972" i="1" s="1"/>
  <c r="BQ972" i="1" s="1"/>
  <c r="BM980" i="1"/>
  <c r="BN980" i="1" s="1"/>
  <c r="BO980" i="1" s="1"/>
  <c r="BP980" i="1" s="1"/>
  <c r="BQ980" i="1" s="1"/>
  <c r="BM983" i="1"/>
  <c r="BN983" i="1" s="1"/>
  <c r="BO983" i="1" s="1"/>
  <c r="BP983" i="1" s="1"/>
  <c r="BQ983" i="1" s="1"/>
  <c r="BM993" i="1"/>
  <c r="BN993" i="1" s="1"/>
  <c r="BO993" i="1" s="1"/>
  <c r="BP993" i="1" s="1"/>
  <c r="BQ993" i="1" s="1"/>
  <c r="BM1030" i="1"/>
  <c r="BN1030" i="1" s="1"/>
  <c r="BO1030" i="1" s="1"/>
  <c r="BP1030" i="1" s="1"/>
  <c r="BQ1030" i="1" s="1"/>
  <c r="BM1045" i="1"/>
  <c r="BN1045" i="1" s="1"/>
  <c r="BO1045" i="1" s="1"/>
  <c r="BP1045" i="1" s="1"/>
  <c r="BQ1045" i="1" s="1"/>
  <c r="BM1089" i="1"/>
  <c r="BN1089" i="1" s="1"/>
  <c r="BO1089" i="1" s="1"/>
  <c r="BP1089" i="1" s="1"/>
  <c r="BQ1089" i="1" s="1"/>
  <c r="BM1092" i="1"/>
  <c r="BN1092" i="1" s="1"/>
  <c r="BO1092" i="1" s="1"/>
  <c r="BP1092" i="1" s="1"/>
  <c r="BQ1092" i="1" s="1"/>
  <c r="BM1102" i="1"/>
  <c r="BN1102" i="1" s="1"/>
  <c r="BO1102" i="1" s="1"/>
  <c r="BP1102" i="1" s="1"/>
  <c r="BQ1102" i="1" s="1"/>
  <c r="BM1120" i="1"/>
  <c r="BN1120" i="1" s="1"/>
  <c r="BO1120" i="1" s="1"/>
  <c r="BP1120" i="1" s="1"/>
  <c r="BQ1120" i="1" s="1"/>
  <c r="BM1127" i="1"/>
  <c r="BN1127" i="1" s="1"/>
  <c r="BO1127" i="1" s="1"/>
  <c r="BP1127" i="1" s="1"/>
  <c r="BQ1127" i="1" s="1"/>
  <c r="BM1132" i="1"/>
  <c r="BN1132" i="1" s="1"/>
  <c r="BO1132" i="1" s="1"/>
  <c r="BP1132" i="1" s="1"/>
  <c r="BQ1132" i="1" s="1"/>
  <c r="BM1146" i="1"/>
  <c r="BN1146" i="1" s="1"/>
  <c r="BO1146" i="1" s="1"/>
  <c r="BP1146" i="1" s="1"/>
  <c r="BQ1146" i="1" s="1"/>
  <c r="BM1154" i="1"/>
  <c r="BN1154" i="1" s="1"/>
  <c r="BO1154" i="1" s="1"/>
  <c r="BP1154" i="1" s="1"/>
  <c r="BQ1154" i="1" s="1"/>
  <c r="BM939" i="1"/>
  <c r="BN939" i="1" s="1"/>
  <c r="BO939" i="1" s="1"/>
  <c r="BP939" i="1" s="1"/>
  <c r="BQ939" i="1" s="1"/>
  <c r="BM947" i="1"/>
  <c r="BN947" i="1" s="1"/>
  <c r="BO947" i="1" s="1"/>
  <c r="BP947" i="1" s="1"/>
  <c r="BQ947" i="1" s="1"/>
  <c r="BM960" i="1"/>
  <c r="BN960" i="1" s="1"/>
  <c r="BO960" i="1" s="1"/>
  <c r="BP960" i="1" s="1"/>
  <c r="BQ960" i="1" s="1"/>
  <c r="BM962" i="1"/>
  <c r="BN962" i="1" s="1"/>
  <c r="BO962" i="1" s="1"/>
  <c r="BP962" i="1" s="1"/>
  <c r="BQ962" i="1" s="1"/>
  <c r="BM975" i="1"/>
  <c r="BN975" i="1" s="1"/>
  <c r="BO975" i="1" s="1"/>
  <c r="BP975" i="1" s="1"/>
  <c r="BQ975" i="1" s="1"/>
  <c r="BM1013" i="1"/>
  <c r="BN1013" i="1" s="1"/>
  <c r="BO1013" i="1" s="1"/>
  <c r="BP1013" i="1" s="1"/>
  <c r="BQ1013" i="1" s="1"/>
  <c r="BM1023" i="1"/>
  <c r="BN1023" i="1" s="1"/>
  <c r="BO1023" i="1" s="1"/>
  <c r="BP1023" i="1" s="1"/>
  <c r="BQ1023" i="1" s="1"/>
  <c r="BM1053" i="1"/>
  <c r="BN1053" i="1" s="1"/>
  <c r="BO1053" i="1" s="1"/>
  <c r="BP1053" i="1" s="1"/>
  <c r="BQ1053" i="1" s="1"/>
  <c r="BM1065" i="1"/>
  <c r="BN1065" i="1" s="1"/>
  <c r="BO1065" i="1" s="1"/>
  <c r="BP1065" i="1" s="1"/>
  <c r="BQ1065" i="1" s="1"/>
  <c r="BM1070" i="1"/>
  <c r="BN1070" i="1" s="1"/>
  <c r="BO1070" i="1" s="1"/>
  <c r="BP1070" i="1" s="1"/>
  <c r="BQ1070" i="1" s="1"/>
  <c r="BM1075" i="1"/>
  <c r="BN1075" i="1" s="1"/>
  <c r="BO1075" i="1" s="1"/>
  <c r="BP1075" i="1" s="1"/>
  <c r="BQ1075" i="1" s="1"/>
  <c r="BM1082" i="1"/>
  <c r="BN1082" i="1" s="1"/>
  <c r="BO1082" i="1" s="1"/>
  <c r="BP1082" i="1" s="1"/>
  <c r="BQ1082" i="1" s="1"/>
  <c r="BM1130" i="1"/>
  <c r="BN1130" i="1" s="1"/>
  <c r="BO1130" i="1" s="1"/>
  <c r="BP1130" i="1" s="1"/>
  <c r="BQ1130" i="1" s="1"/>
  <c r="BM1139" i="1"/>
  <c r="BN1139" i="1" s="1"/>
  <c r="BO1139" i="1" s="1"/>
  <c r="BP1139" i="1" s="1"/>
  <c r="BQ1139" i="1" s="1"/>
  <c r="BM1144" i="1"/>
  <c r="BN1144" i="1" s="1"/>
  <c r="BO1144" i="1" s="1"/>
  <c r="BP1144" i="1" s="1"/>
  <c r="BQ1144" i="1" s="1"/>
  <c r="BM1157" i="1"/>
  <c r="BN1157" i="1" s="1"/>
  <c r="BO1157" i="1" s="1"/>
  <c r="BP1157" i="1" s="1"/>
  <c r="BQ1157" i="1" s="1"/>
  <c r="BM919" i="1"/>
  <c r="BN919" i="1" s="1"/>
  <c r="BO919" i="1" s="1"/>
  <c r="BP919" i="1" s="1"/>
  <c r="BQ919" i="1" s="1"/>
  <c r="BM945" i="1"/>
  <c r="BN945" i="1" s="1"/>
  <c r="BO945" i="1" s="1"/>
  <c r="BP945" i="1" s="1"/>
  <c r="BQ945" i="1" s="1"/>
  <c r="BM950" i="1"/>
  <c r="BN950" i="1" s="1"/>
  <c r="BO950" i="1" s="1"/>
  <c r="BP950" i="1" s="1"/>
  <c r="BQ950" i="1" s="1"/>
  <c r="BM955" i="1"/>
  <c r="BN955" i="1" s="1"/>
  <c r="BO955" i="1" s="1"/>
  <c r="BP955" i="1" s="1"/>
  <c r="BQ955" i="1" s="1"/>
  <c r="BM965" i="1"/>
  <c r="BN965" i="1" s="1"/>
  <c r="BO965" i="1" s="1"/>
  <c r="BP965" i="1" s="1"/>
  <c r="BQ965" i="1" s="1"/>
  <c r="BM991" i="1"/>
  <c r="BN991" i="1" s="1"/>
  <c r="BO991" i="1" s="1"/>
  <c r="BP991" i="1" s="1"/>
  <c r="BQ991" i="1" s="1"/>
  <c r="BM1001" i="1"/>
  <c r="BN1001" i="1" s="1"/>
  <c r="BO1001" i="1" s="1"/>
  <c r="BP1001" i="1" s="1"/>
  <c r="BQ1001" i="1" s="1"/>
  <c r="BM1003" i="1"/>
  <c r="BN1003" i="1" s="1"/>
  <c r="BO1003" i="1" s="1"/>
  <c r="BP1003" i="1" s="1"/>
  <c r="BQ1003" i="1" s="1"/>
  <c r="BM1008" i="1"/>
  <c r="BN1008" i="1" s="1"/>
  <c r="BO1008" i="1" s="1"/>
  <c r="BP1008" i="1" s="1"/>
  <c r="BQ1008" i="1" s="1"/>
  <c r="BM1016" i="1"/>
  <c r="BN1016" i="1" s="1"/>
  <c r="BO1016" i="1" s="1"/>
  <c r="BP1016" i="1" s="1"/>
  <c r="BQ1016" i="1" s="1"/>
  <c r="BM1021" i="1"/>
  <c r="BN1021" i="1" s="1"/>
  <c r="BO1021" i="1" s="1"/>
  <c r="BP1021" i="1" s="1"/>
  <c r="BQ1021" i="1" s="1"/>
  <c r="BM1048" i="1"/>
  <c r="BN1048" i="1" s="1"/>
  <c r="BO1048" i="1" s="1"/>
  <c r="BP1048" i="1" s="1"/>
  <c r="BQ1048" i="1" s="1"/>
  <c r="BM1063" i="1"/>
  <c r="BN1063" i="1" s="1"/>
  <c r="BO1063" i="1" s="1"/>
  <c r="BP1063" i="1" s="1"/>
  <c r="BQ1063" i="1" s="1"/>
  <c r="BM1087" i="1"/>
  <c r="BN1087" i="1" s="1"/>
  <c r="BO1087" i="1" s="1"/>
  <c r="BP1087" i="1" s="1"/>
  <c r="BQ1087" i="1" s="1"/>
  <c r="BM1095" i="1"/>
  <c r="BN1095" i="1" s="1"/>
  <c r="BO1095" i="1" s="1"/>
  <c r="BP1095" i="1" s="1"/>
  <c r="BQ1095" i="1" s="1"/>
  <c r="BM1100" i="1"/>
  <c r="BN1100" i="1" s="1"/>
  <c r="BO1100" i="1" s="1"/>
  <c r="BP1100" i="1" s="1"/>
  <c r="BQ1100" i="1" s="1"/>
  <c r="BM1110" i="1"/>
  <c r="BN1110" i="1" s="1"/>
  <c r="BO1110" i="1" s="1"/>
  <c r="BP1110" i="1" s="1"/>
  <c r="BQ1110" i="1" s="1"/>
  <c r="BM1115" i="1"/>
  <c r="BN1115" i="1" s="1"/>
  <c r="BO1115" i="1" s="1"/>
  <c r="BP1115" i="1" s="1"/>
  <c r="BQ1115" i="1" s="1"/>
  <c r="BM1135" i="1"/>
  <c r="BN1135" i="1" s="1"/>
  <c r="BO1135" i="1" s="1"/>
  <c r="BP1135" i="1" s="1"/>
  <c r="BQ1135" i="1" s="1"/>
  <c r="BM1187" i="1"/>
  <c r="BN1187" i="1" s="1"/>
  <c r="BO1187" i="1" s="1"/>
  <c r="BP1187" i="1" s="1"/>
  <c r="BQ1187" i="1" s="1"/>
  <c r="BM1202" i="1"/>
  <c r="BN1202" i="1" s="1"/>
  <c r="BO1202" i="1" s="1"/>
  <c r="BP1202" i="1" s="1"/>
  <c r="BQ1202" i="1" s="1"/>
  <c r="BM1230" i="1"/>
  <c r="BN1230" i="1" s="1"/>
  <c r="BO1230" i="1" s="1"/>
  <c r="BP1230" i="1" s="1"/>
  <c r="BQ1230" i="1" s="1"/>
  <c r="BM1233" i="1"/>
  <c r="BN1233" i="1" s="1"/>
  <c r="BO1233" i="1" s="1"/>
  <c r="BP1233" i="1" s="1"/>
  <c r="BQ1233" i="1" s="1"/>
  <c r="BM1249" i="1"/>
  <c r="BN1249" i="1" s="1"/>
  <c r="BO1249" i="1" s="1"/>
  <c r="BP1249" i="1" s="1"/>
  <c r="BQ1249" i="1" s="1"/>
  <c r="BM846" i="1"/>
  <c r="BN846" i="1" s="1"/>
  <c r="BO846" i="1" s="1"/>
  <c r="BP846" i="1" s="1"/>
  <c r="BQ846" i="1" s="1"/>
  <c r="BM877" i="1"/>
  <c r="BN877" i="1" s="1"/>
  <c r="BO877" i="1" s="1"/>
  <c r="BP877" i="1" s="1"/>
  <c r="BQ877" i="1" s="1"/>
  <c r="BM888" i="1"/>
  <c r="BN888" i="1" s="1"/>
  <c r="BO888" i="1" s="1"/>
  <c r="BP888" i="1" s="1"/>
  <c r="BQ888" i="1" s="1"/>
  <c r="BM903" i="1"/>
  <c r="BN903" i="1" s="1"/>
  <c r="BO903" i="1" s="1"/>
  <c r="BP903" i="1" s="1"/>
  <c r="BQ903" i="1" s="1"/>
  <c r="BM913" i="1"/>
  <c r="BN913" i="1" s="1"/>
  <c r="BO913" i="1" s="1"/>
  <c r="BP913" i="1" s="1"/>
  <c r="BQ913" i="1" s="1"/>
  <c r="BM922" i="1"/>
  <c r="BN922" i="1" s="1"/>
  <c r="BO922" i="1" s="1"/>
  <c r="BP922" i="1" s="1"/>
  <c r="BQ922" i="1" s="1"/>
  <c r="BM925" i="1"/>
  <c r="BN925" i="1" s="1"/>
  <c r="BO925" i="1" s="1"/>
  <c r="BP925" i="1" s="1"/>
  <c r="BQ925" i="1" s="1"/>
  <c r="BM937" i="1"/>
  <c r="BN937" i="1" s="1"/>
  <c r="BO937" i="1" s="1"/>
  <c r="BP937" i="1" s="1"/>
  <c r="BQ937" i="1" s="1"/>
  <c r="BM970" i="1"/>
  <c r="BN970" i="1" s="1"/>
  <c r="BO970" i="1" s="1"/>
  <c r="BP970" i="1" s="1"/>
  <c r="BQ970" i="1" s="1"/>
  <c r="BM988" i="1"/>
  <c r="BN988" i="1" s="1"/>
  <c r="BO988" i="1" s="1"/>
  <c r="BP988" i="1" s="1"/>
  <c r="BQ988" i="1" s="1"/>
  <c r="BM996" i="1"/>
  <c r="BN996" i="1" s="1"/>
  <c r="BO996" i="1" s="1"/>
  <c r="BP996" i="1" s="1"/>
  <c r="BQ996" i="1" s="1"/>
  <c r="BM1006" i="1"/>
  <c r="BN1006" i="1" s="1"/>
  <c r="BO1006" i="1" s="1"/>
  <c r="BP1006" i="1" s="1"/>
  <c r="BQ1006" i="1" s="1"/>
  <c r="BM1038" i="1"/>
  <c r="BN1038" i="1" s="1"/>
  <c r="BO1038" i="1" s="1"/>
  <c r="BP1038" i="1" s="1"/>
  <c r="BQ1038" i="1" s="1"/>
  <c r="BM1058" i="1"/>
  <c r="BN1058" i="1" s="1"/>
  <c r="BO1058" i="1" s="1"/>
  <c r="BP1058" i="1" s="1"/>
  <c r="BQ1058" i="1" s="1"/>
  <c r="BM1068" i="1"/>
  <c r="BN1068" i="1" s="1"/>
  <c r="BO1068" i="1" s="1"/>
  <c r="BP1068" i="1" s="1"/>
  <c r="BQ1068" i="1" s="1"/>
  <c r="BM1080" i="1"/>
  <c r="BN1080" i="1" s="1"/>
  <c r="BO1080" i="1" s="1"/>
  <c r="BP1080" i="1" s="1"/>
  <c r="BQ1080" i="1" s="1"/>
  <c r="BM1085" i="1"/>
  <c r="BN1085" i="1" s="1"/>
  <c r="BO1085" i="1" s="1"/>
  <c r="BP1085" i="1" s="1"/>
  <c r="BQ1085" i="1" s="1"/>
  <c r="BM1123" i="1"/>
  <c r="BN1123" i="1" s="1"/>
  <c r="BO1123" i="1" s="1"/>
  <c r="BP1123" i="1" s="1"/>
  <c r="BQ1123" i="1" s="1"/>
  <c r="BM1152" i="1"/>
  <c r="BN1152" i="1" s="1"/>
  <c r="BO1152" i="1" s="1"/>
  <c r="BP1152" i="1" s="1"/>
  <c r="BQ1152" i="1" s="1"/>
  <c r="BM1160" i="1"/>
  <c r="BN1160" i="1" s="1"/>
  <c r="BO1160" i="1" s="1"/>
  <c r="BP1160" i="1" s="1"/>
  <c r="BQ1160" i="1" s="1"/>
  <c r="BM1174" i="1"/>
  <c r="BN1174" i="1" s="1"/>
  <c r="BO1174" i="1" s="1"/>
  <c r="BP1174" i="1" s="1"/>
  <c r="BQ1174" i="1" s="1"/>
  <c r="BM1182" i="1"/>
  <c r="BN1182" i="1" s="1"/>
  <c r="BO1182" i="1" s="1"/>
  <c r="BP1182" i="1" s="1"/>
  <c r="BQ1182" i="1" s="1"/>
  <c r="BM1207" i="1"/>
  <c r="BN1207" i="1" s="1"/>
  <c r="BO1207" i="1" s="1"/>
  <c r="BP1207" i="1" s="1"/>
  <c r="BQ1207" i="1" s="1"/>
  <c r="BM1215" i="1"/>
  <c r="BN1215" i="1" s="1"/>
  <c r="BO1215" i="1" s="1"/>
  <c r="BP1215" i="1" s="1"/>
  <c r="BQ1215" i="1" s="1"/>
  <c r="BM1222" i="1"/>
  <c r="BN1222" i="1" s="1"/>
  <c r="BO1222" i="1" s="1"/>
  <c r="BP1222" i="1" s="1"/>
  <c r="BQ1222" i="1" s="1"/>
  <c r="BM1262" i="1"/>
  <c r="BN1262" i="1" s="1"/>
  <c r="BO1262" i="1" s="1"/>
  <c r="BP1262" i="1" s="1"/>
  <c r="BQ1262" i="1" s="1"/>
  <c r="BM1267" i="1"/>
  <c r="BN1267" i="1" s="1"/>
  <c r="BO1267" i="1" s="1"/>
  <c r="BP1267" i="1" s="1"/>
  <c r="BQ1267" i="1" s="1"/>
  <c r="BM1177" i="1"/>
  <c r="BN1177" i="1" s="1"/>
  <c r="BO1177" i="1" s="1"/>
  <c r="BP1177" i="1" s="1"/>
  <c r="BQ1177" i="1" s="1"/>
  <c r="BM1181" i="1"/>
  <c r="BN1181" i="1" s="1"/>
  <c r="BO1181" i="1" s="1"/>
  <c r="BP1181" i="1" s="1"/>
  <c r="BQ1181" i="1" s="1"/>
  <c r="BM1208" i="1"/>
  <c r="BN1208" i="1" s="1"/>
  <c r="BO1208" i="1" s="1"/>
  <c r="BP1208" i="1" s="1"/>
  <c r="BQ1208" i="1" s="1"/>
  <c r="BM1235" i="1"/>
  <c r="BN1235" i="1" s="1"/>
  <c r="BO1235" i="1" s="1"/>
  <c r="BP1235" i="1" s="1"/>
  <c r="BQ1235" i="1" s="1"/>
  <c r="BM1238" i="1"/>
  <c r="BN1238" i="1" s="1"/>
  <c r="BO1238" i="1" s="1"/>
  <c r="BP1238" i="1" s="1"/>
  <c r="BQ1238" i="1" s="1"/>
  <c r="BM1274" i="1"/>
  <c r="BN1274" i="1" s="1"/>
  <c r="BO1274" i="1" s="1"/>
  <c r="BP1274" i="1" s="1"/>
  <c r="BQ1274" i="1" s="1"/>
  <c r="BM1284" i="1"/>
  <c r="BN1284" i="1" s="1"/>
  <c r="BO1284" i="1" s="1"/>
  <c r="BP1284" i="1" s="1"/>
  <c r="BQ1284" i="1" s="1"/>
  <c r="BM1292" i="1"/>
  <c r="BN1292" i="1" s="1"/>
  <c r="BO1292" i="1" s="1"/>
  <c r="BP1292" i="1" s="1"/>
  <c r="BQ1292" i="1" s="1"/>
  <c r="BM1307" i="1"/>
  <c r="BN1307" i="1" s="1"/>
  <c r="BO1307" i="1" s="1"/>
  <c r="BP1307" i="1" s="1"/>
  <c r="BQ1307" i="1" s="1"/>
  <c r="BM1312" i="1"/>
  <c r="BN1312" i="1" s="1"/>
  <c r="BO1312" i="1" s="1"/>
  <c r="BP1312" i="1" s="1"/>
  <c r="BQ1312" i="1" s="1"/>
  <c r="BM1329" i="1"/>
  <c r="BN1329" i="1" s="1"/>
  <c r="BO1329" i="1" s="1"/>
  <c r="BP1329" i="1" s="1"/>
  <c r="BQ1329" i="1" s="1"/>
  <c r="BM1347" i="1"/>
  <c r="BN1347" i="1" s="1"/>
  <c r="BO1347" i="1" s="1"/>
  <c r="BP1347" i="1" s="1"/>
  <c r="BQ1347" i="1" s="1"/>
  <c r="BM1205" i="1"/>
  <c r="BN1205" i="1" s="1"/>
  <c r="BO1205" i="1" s="1"/>
  <c r="BP1205" i="1" s="1"/>
  <c r="BQ1205" i="1" s="1"/>
  <c r="BM1225" i="1"/>
  <c r="BN1225" i="1" s="1"/>
  <c r="BO1225" i="1" s="1"/>
  <c r="BP1225" i="1" s="1"/>
  <c r="BQ1225" i="1" s="1"/>
  <c r="BM1254" i="1"/>
  <c r="BN1254" i="1" s="1"/>
  <c r="BO1254" i="1" s="1"/>
  <c r="BP1254" i="1" s="1"/>
  <c r="BQ1254" i="1" s="1"/>
  <c r="BM1257" i="1"/>
  <c r="BN1257" i="1" s="1"/>
  <c r="BO1257" i="1" s="1"/>
  <c r="BP1257" i="1" s="1"/>
  <c r="BQ1257" i="1" s="1"/>
  <c r="BM1287" i="1"/>
  <c r="BN1287" i="1" s="1"/>
  <c r="BO1287" i="1" s="1"/>
  <c r="BP1287" i="1" s="1"/>
  <c r="BQ1287" i="1" s="1"/>
  <c r="BM1290" i="1"/>
  <c r="BN1290" i="1" s="1"/>
  <c r="BO1290" i="1" s="1"/>
  <c r="BP1290" i="1" s="1"/>
  <c r="BQ1290" i="1" s="1"/>
  <c r="BM1319" i="1"/>
  <c r="BN1319" i="1" s="1"/>
  <c r="BO1319" i="1" s="1"/>
  <c r="BP1319" i="1" s="1"/>
  <c r="BQ1319" i="1" s="1"/>
  <c r="BM1337" i="1"/>
  <c r="BN1337" i="1" s="1"/>
  <c r="BO1337" i="1" s="1"/>
  <c r="BP1337" i="1" s="1"/>
  <c r="BQ1337" i="1" s="1"/>
  <c r="BM1379" i="1"/>
  <c r="BN1379" i="1" s="1"/>
  <c r="BO1379" i="1" s="1"/>
  <c r="BP1379" i="1" s="1"/>
  <c r="BQ1379" i="1" s="1"/>
  <c r="BM1394" i="1"/>
  <c r="BN1394" i="1" s="1"/>
  <c r="BO1394" i="1" s="1"/>
  <c r="BP1394" i="1" s="1"/>
  <c r="BQ1394" i="1" s="1"/>
  <c r="BM1404" i="1"/>
  <c r="BN1404" i="1" s="1"/>
  <c r="BO1404" i="1" s="1"/>
  <c r="BP1404" i="1" s="1"/>
  <c r="BQ1404" i="1" s="1"/>
  <c r="BM1407" i="1"/>
  <c r="BN1407" i="1" s="1"/>
  <c r="BO1407" i="1" s="1"/>
  <c r="BP1407" i="1" s="1"/>
  <c r="BQ1407" i="1" s="1"/>
  <c r="BM1044" i="1"/>
  <c r="BN1044" i="1" s="1"/>
  <c r="BO1044" i="1" s="1"/>
  <c r="BP1044" i="1" s="1"/>
  <c r="BQ1044" i="1" s="1"/>
  <c r="BM1148" i="1"/>
  <c r="BN1148" i="1" s="1"/>
  <c r="BO1148" i="1" s="1"/>
  <c r="BP1148" i="1" s="1"/>
  <c r="BQ1148" i="1" s="1"/>
  <c r="BM1195" i="1"/>
  <c r="BN1195" i="1" s="1"/>
  <c r="BO1195" i="1" s="1"/>
  <c r="BP1195" i="1" s="1"/>
  <c r="BQ1195" i="1" s="1"/>
  <c r="BM1242" i="1"/>
  <c r="BN1242" i="1" s="1"/>
  <c r="BO1242" i="1" s="1"/>
  <c r="BP1242" i="1" s="1"/>
  <c r="BQ1242" i="1" s="1"/>
  <c r="BM1266" i="1"/>
  <c r="BN1266" i="1" s="1"/>
  <c r="BO1266" i="1" s="1"/>
  <c r="BP1266" i="1" s="1"/>
  <c r="BQ1266" i="1" s="1"/>
  <c r="BM1282" i="1"/>
  <c r="BN1282" i="1" s="1"/>
  <c r="BO1282" i="1" s="1"/>
  <c r="BP1282" i="1" s="1"/>
  <c r="BQ1282" i="1" s="1"/>
  <c r="BM1302" i="1"/>
  <c r="BN1302" i="1" s="1"/>
  <c r="BO1302" i="1" s="1"/>
  <c r="BP1302" i="1" s="1"/>
  <c r="BQ1302" i="1" s="1"/>
  <c r="BM1317" i="1"/>
  <c r="BN1317" i="1" s="1"/>
  <c r="BO1317" i="1" s="1"/>
  <c r="BP1317" i="1" s="1"/>
  <c r="BQ1317" i="1" s="1"/>
  <c r="BM1322" i="1"/>
  <c r="BN1322" i="1" s="1"/>
  <c r="BO1322" i="1" s="1"/>
  <c r="BP1322" i="1" s="1"/>
  <c r="BQ1322" i="1" s="1"/>
  <c r="BM1324" i="1"/>
  <c r="BN1324" i="1" s="1"/>
  <c r="BO1324" i="1" s="1"/>
  <c r="BP1324" i="1" s="1"/>
  <c r="BQ1324" i="1" s="1"/>
  <c r="BM1352" i="1"/>
  <c r="BN1352" i="1" s="1"/>
  <c r="BO1352" i="1" s="1"/>
  <c r="BP1352" i="1" s="1"/>
  <c r="BQ1352" i="1" s="1"/>
  <c r="BM1362" i="1"/>
  <c r="BN1362" i="1" s="1"/>
  <c r="BO1362" i="1" s="1"/>
  <c r="BP1362" i="1" s="1"/>
  <c r="BQ1362" i="1" s="1"/>
  <c r="BM1364" i="1"/>
  <c r="BN1364" i="1" s="1"/>
  <c r="BO1364" i="1" s="1"/>
  <c r="BP1364" i="1" s="1"/>
  <c r="BQ1364" i="1" s="1"/>
  <c r="BM1374" i="1"/>
  <c r="BN1374" i="1" s="1"/>
  <c r="BO1374" i="1" s="1"/>
  <c r="BP1374" i="1" s="1"/>
  <c r="BQ1374" i="1" s="1"/>
  <c r="BM1399" i="1"/>
  <c r="BN1399" i="1" s="1"/>
  <c r="BO1399" i="1" s="1"/>
  <c r="BP1399" i="1" s="1"/>
  <c r="BQ1399" i="1" s="1"/>
  <c r="BM1415" i="1"/>
  <c r="BN1415" i="1" s="1"/>
  <c r="BO1415" i="1" s="1"/>
  <c r="BP1415" i="1" s="1"/>
  <c r="BQ1415" i="1" s="1"/>
  <c r="BM1434" i="1"/>
  <c r="BN1434" i="1" s="1"/>
  <c r="BO1434" i="1" s="1"/>
  <c r="BP1434" i="1" s="1"/>
  <c r="BQ1434" i="1" s="1"/>
  <c r="BM1454" i="1"/>
  <c r="BN1454" i="1" s="1"/>
  <c r="BO1454" i="1" s="1"/>
  <c r="BP1454" i="1" s="1"/>
  <c r="BQ1454" i="1" s="1"/>
  <c r="BM1462" i="1"/>
  <c r="BN1462" i="1" s="1"/>
  <c r="BO1462" i="1" s="1"/>
  <c r="BP1462" i="1" s="1"/>
  <c r="BQ1462" i="1" s="1"/>
  <c r="BM1472" i="1"/>
  <c r="BN1472" i="1" s="1"/>
  <c r="BO1472" i="1" s="1"/>
  <c r="BP1472" i="1" s="1"/>
  <c r="BQ1472" i="1" s="1"/>
  <c r="BM1479" i="1"/>
  <c r="BN1479" i="1" s="1"/>
  <c r="BO1479" i="1" s="1"/>
  <c r="BP1479" i="1" s="1"/>
  <c r="BQ1479" i="1" s="1"/>
  <c r="BM1491" i="1"/>
  <c r="BN1491" i="1" s="1"/>
  <c r="BO1491" i="1" s="1"/>
  <c r="BP1491" i="1" s="1"/>
  <c r="BQ1491" i="1" s="1"/>
  <c r="BM1494" i="1"/>
  <c r="BN1494" i="1" s="1"/>
  <c r="BO1494" i="1" s="1"/>
  <c r="BP1494" i="1" s="1"/>
  <c r="BQ1494" i="1" s="1"/>
  <c r="BM1185" i="1"/>
  <c r="BN1185" i="1" s="1"/>
  <c r="BO1185" i="1" s="1"/>
  <c r="BP1185" i="1" s="1"/>
  <c r="BQ1185" i="1" s="1"/>
  <c r="BM1192" i="1"/>
  <c r="BN1192" i="1" s="1"/>
  <c r="BO1192" i="1" s="1"/>
  <c r="BP1192" i="1" s="1"/>
  <c r="BQ1192" i="1" s="1"/>
  <c r="BM1212" i="1"/>
  <c r="BN1212" i="1" s="1"/>
  <c r="BO1212" i="1" s="1"/>
  <c r="BP1212" i="1" s="1"/>
  <c r="BQ1212" i="1" s="1"/>
  <c r="BM1229" i="1"/>
  <c r="BN1229" i="1" s="1"/>
  <c r="BO1229" i="1" s="1"/>
  <c r="BP1229" i="1" s="1"/>
  <c r="BQ1229" i="1" s="1"/>
  <c r="BM1295" i="1"/>
  <c r="BN1295" i="1" s="1"/>
  <c r="BO1295" i="1" s="1"/>
  <c r="BP1295" i="1" s="1"/>
  <c r="BQ1295" i="1" s="1"/>
  <c r="BM1327" i="1"/>
  <c r="BN1327" i="1" s="1"/>
  <c r="BO1327" i="1" s="1"/>
  <c r="BP1327" i="1" s="1"/>
  <c r="BQ1327" i="1" s="1"/>
  <c r="BM1332" i="1"/>
  <c r="BN1332" i="1" s="1"/>
  <c r="BO1332" i="1" s="1"/>
  <c r="BP1332" i="1" s="1"/>
  <c r="BQ1332" i="1" s="1"/>
  <c r="BM1342" i="1"/>
  <c r="BN1342" i="1" s="1"/>
  <c r="BO1342" i="1" s="1"/>
  <c r="BP1342" i="1" s="1"/>
  <c r="BQ1342" i="1" s="1"/>
  <c r="BM1402" i="1"/>
  <c r="BN1402" i="1" s="1"/>
  <c r="BO1402" i="1" s="1"/>
  <c r="BP1402" i="1" s="1"/>
  <c r="BQ1402" i="1" s="1"/>
  <c r="BM1427" i="1"/>
  <c r="BN1427" i="1" s="1"/>
  <c r="BO1427" i="1" s="1"/>
  <c r="BP1427" i="1" s="1"/>
  <c r="BQ1427" i="1" s="1"/>
  <c r="BM1449" i="1"/>
  <c r="BN1449" i="1" s="1"/>
  <c r="BO1449" i="1" s="1"/>
  <c r="BP1449" i="1" s="1"/>
  <c r="BQ1449" i="1" s="1"/>
  <c r="BM1489" i="1"/>
  <c r="BN1489" i="1" s="1"/>
  <c r="BO1489" i="1" s="1"/>
  <c r="BP1489" i="1" s="1"/>
  <c r="BQ1489" i="1" s="1"/>
  <c r="BM1512" i="1"/>
  <c r="BN1512" i="1" s="1"/>
  <c r="BO1512" i="1" s="1"/>
  <c r="BP1512" i="1" s="1"/>
  <c r="BQ1512" i="1" s="1"/>
  <c r="BM1069" i="1"/>
  <c r="BN1069" i="1" s="1"/>
  <c r="BO1069" i="1" s="1"/>
  <c r="BP1069" i="1" s="1"/>
  <c r="BQ1069" i="1" s="1"/>
  <c r="BM1178" i="1"/>
  <c r="BN1178" i="1" s="1"/>
  <c r="BO1178" i="1" s="1"/>
  <c r="BP1178" i="1" s="1"/>
  <c r="BQ1178" i="1" s="1"/>
  <c r="BM1246" i="1"/>
  <c r="BN1246" i="1" s="1"/>
  <c r="BO1246" i="1" s="1"/>
  <c r="BP1246" i="1" s="1"/>
  <c r="BQ1246" i="1" s="1"/>
  <c r="BM1252" i="1"/>
  <c r="BN1252" i="1" s="1"/>
  <c r="BO1252" i="1" s="1"/>
  <c r="BP1252" i="1" s="1"/>
  <c r="BQ1252" i="1" s="1"/>
  <c r="BM1260" i="1"/>
  <c r="BN1260" i="1" s="1"/>
  <c r="BO1260" i="1" s="1"/>
  <c r="BP1260" i="1" s="1"/>
  <c r="BQ1260" i="1" s="1"/>
  <c r="BM1269" i="1"/>
  <c r="BN1269" i="1" s="1"/>
  <c r="BO1269" i="1" s="1"/>
  <c r="BP1269" i="1" s="1"/>
  <c r="BQ1269" i="1" s="1"/>
  <c r="BM1277" i="1"/>
  <c r="BN1277" i="1" s="1"/>
  <c r="BO1277" i="1" s="1"/>
  <c r="BP1277" i="1" s="1"/>
  <c r="BQ1277" i="1" s="1"/>
  <c r="BM1280" i="1"/>
  <c r="BN1280" i="1" s="1"/>
  <c r="BO1280" i="1" s="1"/>
  <c r="BP1280" i="1" s="1"/>
  <c r="BQ1280" i="1" s="1"/>
  <c r="BM1285" i="1"/>
  <c r="BN1285" i="1" s="1"/>
  <c r="BO1285" i="1" s="1"/>
  <c r="BP1285" i="1" s="1"/>
  <c r="BQ1285" i="1" s="1"/>
  <c r="BM1305" i="1"/>
  <c r="BN1305" i="1" s="1"/>
  <c r="BO1305" i="1" s="1"/>
  <c r="BP1305" i="1" s="1"/>
  <c r="BQ1305" i="1" s="1"/>
  <c r="BM1315" i="1"/>
  <c r="BN1315" i="1" s="1"/>
  <c r="BO1315" i="1" s="1"/>
  <c r="BP1315" i="1" s="1"/>
  <c r="BQ1315" i="1" s="1"/>
  <c r="BM1357" i="1"/>
  <c r="BN1357" i="1" s="1"/>
  <c r="BO1357" i="1" s="1"/>
  <c r="BP1357" i="1" s="1"/>
  <c r="BQ1357" i="1" s="1"/>
  <c r="BM1384" i="1"/>
  <c r="BN1384" i="1" s="1"/>
  <c r="BO1384" i="1" s="1"/>
  <c r="BP1384" i="1" s="1"/>
  <c r="BQ1384" i="1" s="1"/>
  <c r="BM1410" i="1"/>
  <c r="BN1410" i="1" s="1"/>
  <c r="BO1410" i="1" s="1"/>
  <c r="BP1410" i="1" s="1"/>
  <c r="BQ1410" i="1" s="1"/>
  <c r="BM1432" i="1"/>
  <c r="BN1432" i="1" s="1"/>
  <c r="BO1432" i="1" s="1"/>
  <c r="BP1432" i="1" s="1"/>
  <c r="BQ1432" i="1" s="1"/>
  <c r="BM1442" i="1"/>
  <c r="BN1442" i="1" s="1"/>
  <c r="BO1442" i="1" s="1"/>
  <c r="BP1442" i="1" s="1"/>
  <c r="BQ1442" i="1" s="1"/>
  <c r="BM1457" i="1"/>
  <c r="BN1457" i="1" s="1"/>
  <c r="BO1457" i="1" s="1"/>
  <c r="BP1457" i="1" s="1"/>
  <c r="BQ1457" i="1" s="1"/>
  <c r="BM1467" i="1"/>
  <c r="BN1467" i="1" s="1"/>
  <c r="BO1467" i="1" s="1"/>
  <c r="BP1467" i="1" s="1"/>
  <c r="BQ1467" i="1" s="1"/>
  <c r="BM1484" i="1"/>
  <c r="BN1484" i="1" s="1"/>
  <c r="BO1484" i="1" s="1"/>
  <c r="BP1484" i="1" s="1"/>
  <c r="BQ1484" i="1" s="1"/>
  <c r="BM1541" i="1"/>
  <c r="BN1541" i="1" s="1"/>
  <c r="BO1541" i="1" s="1"/>
  <c r="BP1541" i="1" s="1"/>
  <c r="BQ1541" i="1" s="1"/>
  <c r="BM1546" i="1"/>
  <c r="BN1546" i="1" s="1"/>
  <c r="BO1546" i="1" s="1"/>
  <c r="BP1546" i="1" s="1"/>
  <c r="BQ1546" i="1" s="1"/>
  <c r="BM1548" i="1"/>
  <c r="BN1548" i="1" s="1"/>
  <c r="BO1548" i="1" s="1"/>
  <c r="BP1548" i="1" s="1"/>
  <c r="BQ1548" i="1" s="1"/>
  <c r="BM1079" i="1"/>
  <c r="BN1079" i="1" s="1"/>
  <c r="BO1079" i="1" s="1"/>
  <c r="BP1079" i="1" s="1"/>
  <c r="BQ1079" i="1" s="1"/>
  <c r="BM1084" i="1"/>
  <c r="BN1084" i="1" s="1"/>
  <c r="BO1084" i="1" s="1"/>
  <c r="BP1084" i="1" s="1"/>
  <c r="BQ1084" i="1" s="1"/>
  <c r="BM1166" i="1"/>
  <c r="BN1166" i="1" s="1"/>
  <c r="BO1166" i="1" s="1"/>
  <c r="BP1166" i="1" s="1"/>
  <c r="BQ1166" i="1" s="1"/>
  <c r="BM1209" i="1"/>
  <c r="BN1209" i="1" s="1"/>
  <c r="BO1209" i="1" s="1"/>
  <c r="BP1209" i="1" s="1"/>
  <c r="BQ1209" i="1" s="1"/>
  <c r="BM1239" i="1"/>
  <c r="BN1239" i="1" s="1"/>
  <c r="BO1239" i="1" s="1"/>
  <c r="BP1239" i="1" s="1"/>
  <c r="BQ1239" i="1" s="1"/>
  <c r="BM1258" i="1"/>
  <c r="BN1258" i="1" s="1"/>
  <c r="BO1258" i="1" s="1"/>
  <c r="BP1258" i="1" s="1"/>
  <c r="BQ1258" i="1" s="1"/>
  <c r="BM1264" i="1"/>
  <c r="BN1264" i="1" s="1"/>
  <c r="BO1264" i="1" s="1"/>
  <c r="BP1264" i="1" s="1"/>
  <c r="BQ1264" i="1" s="1"/>
  <c r="BM1272" i="1"/>
  <c r="BN1272" i="1" s="1"/>
  <c r="BO1272" i="1" s="1"/>
  <c r="BP1272" i="1" s="1"/>
  <c r="BQ1272" i="1" s="1"/>
  <c r="BM1310" i="1"/>
  <c r="BN1310" i="1" s="1"/>
  <c r="BO1310" i="1" s="1"/>
  <c r="BP1310" i="1" s="1"/>
  <c r="BQ1310" i="1" s="1"/>
  <c r="BM1335" i="1"/>
  <c r="BN1335" i="1" s="1"/>
  <c r="BO1335" i="1" s="1"/>
  <c r="BP1335" i="1" s="1"/>
  <c r="BQ1335" i="1" s="1"/>
  <c r="BM1345" i="1"/>
  <c r="BN1345" i="1" s="1"/>
  <c r="BO1345" i="1" s="1"/>
  <c r="BP1345" i="1" s="1"/>
  <c r="BQ1345" i="1" s="1"/>
  <c r="BM1355" i="1"/>
  <c r="BN1355" i="1" s="1"/>
  <c r="BO1355" i="1" s="1"/>
  <c r="BP1355" i="1" s="1"/>
  <c r="BQ1355" i="1" s="1"/>
  <c r="BM1367" i="1"/>
  <c r="BN1367" i="1" s="1"/>
  <c r="BO1367" i="1" s="1"/>
  <c r="BP1367" i="1" s="1"/>
  <c r="BQ1367" i="1" s="1"/>
  <c r="BM1377" i="1"/>
  <c r="BN1377" i="1" s="1"/>
  <c r="BO1377" i="1" s="1"/>
  <c r="BP1377" i="1" s="1"/>
  <c r="BQ1377" i="1" s="1"/>
  <c r="BM1389" i="1"/>
  <c r="BN1389" i="1" s="1"/>
  <c r="BO1389" i="1" s="1"/>
  <c r="BP1389" i="1" s="1"/>
  <c r="BQ1389" i="1" s="1"/>
  <c r="BM1392" i="1"/>
  <c r="BN1392" i="1" s="1"/>
  <c r="BO1392" i="1" s="1"/>
  <c r="BP1392" i="1" s="1"/>
  <c r="BQ1392" i="1" s="1"/>
  <c r="BM1397" i="1"/>
  <c r="BN1397" i="1" s="1"/>
  <c r="BO1397" i="1" s="1"/>
  <c r="BP1397" i="1" s="1"/>
  <c r="BQ1397" i="1" s="1"/>
  <c r="BM1418" i="1"/>
  <c r="BN1418" i="1" s="1"/>
  <c r="BO1418" i="1" s="1"/>
  <c r="BP1418" i="1" s="1"/>
  <c r="BQ1418" i="1" s="1"/>
  <c r="BM1420" i="1"/>
  <c r="BN1420" i="1" s="1"/>
  <c r="BO1420" i="1" s="1"/>
  <c r="BP1420" i="1" s="1"/>
  <c r="BQ1420" i="1" s="1"/>
  <c r="BM1422" i="1"/>
  <c r="BN1422" i="1" s="1"/>
  <c r="BO1422" i="1" s="1"/>
  <c r="BP1422" i="1" s="1"/>
  <c r="BQ1422" i="1" s="1"/>
  <c r="BM1444" i="1"/>
  <c r="BN1444" i="1" s="1"/>
  <c r="BO1444" i="1" s="1"/>
  <c r="BP1444" i="1" s="1"/>
  <c r="BQ1444" i="1" s="1"/>
  <c r="BM1074" i="1"/>
  <c r="BN1074" i="1" s="1"/>
  <c r="BO1074" i="1" s="1"/>
  <c r="BP1074" i="1" s="1"/>
  <c r="BQ1074" i="1" s="1"/>
  <c r="BM1111" i="1"/>
  <c r="BN1111" i="1" s="1"/>
  <c r="BO1111" i="1" s="1"/>
  <c r="BP1111" i="1" s="1"/>
  <c r="BQ1111" i="1" s="1"/>
  <c r="BM1196" i="1"/>
  <c r="BN1196" i="1" s="1"/>
  <c r="BO1196" i="1" s="1"/>
  <c r="BP1196" i="1" s="1"/>
  <c r="BQ1196" i="1" s="1"/>
  <c r="BM1216" i="1"/>
  <c r="BN1216" i="1" s="1"/>
  <c r="BO1216" i="1" s="1"/>
  <c r="BP1216" i="1" s="1"/>
  <c r="BQ1216" i="1" s="1"/>
  <c r="BM1226" i="1"/>
  <c r="BN1226" i="1" s="1"/>
  <c r="BO1226" i="1" s="1"/>
  <c r="BP1226" i="1" s="1"/>
  <c r="BQ1226" i="1" s="1"/>
  <c r="BM1255" i="1"/>
  <c r="BN1255" i="1" s="1"/>
  <c r="BO1255" i="1" s="1"/>
  <c r="BP1255" i="1" s="1"/>
  <c r="BQ1255" i="1" s="1"/>
  <c r="BM1275" i="1"/>
  <c r="BN1275" i="1" s="1"/>
  <c r="BO1275" i="1" s="1"/>
  <c r="BP1275" i="1" s="1"/>
  <c r="BQ1275" i="1" s="1"/>
  <c r="BM1293" i="1"/>
  <c r="BN1293" i="1" s="1"/>
  <c r="BO1293" i="1" s="1"/>
  <c r="BP1293" i="1" s="1"/>
  <c r="BQ1293" i="1" s="1"/>
  <c r="BM1298" i="1"/>
  <c r="BN1298" i="1" s="1"/>
  <c r="BO1298" i="1" s="1"/>
  <c r="BP1298" i="1" s="1"/>
  <c r="BQ1298" i="1" s="1"/>
  <c r="BM1313" i="1"/>
  <c r="BN1313" i="1" s="1"/>
  <c r="BO1313" i="1" s="1"/>
  <c r="BP1313" i="1" s="1"/>
  <c r="BQ1313" i="1" s="1"/>
  <c r="BM1320" i="1"/>
  <c r="BN1320" i="1" s="1"/>
  <c r="BO1320" i="1" s="1"/>
  <c r="BP1320" i="1" s="1"/>
  <c r="BQ1320" i="1" s="1"/>
  <c r="BM1330" i="1"/>
  <c r="BN1330" i="1" s="1"/>
  <c r="BO1330" i="1" s="1"/>
  <c r="BP1330" i="1" s="1"/>
  <c r="BQ1330" i="1" s="1"/>
  <c r="BM1350" i="1"/>
  <c r="BN1350" i="1" s="1"/>
  <c r="BO1350" i="1" s="1"/>
  <c r="BP1350" i="1" s="1"/>
  <c r="BQ1350" i="1" s="1"/>
  <c r="BM1360" i="1"/>
  <c r="BN1360" i="1" s="1"/>
  <c r="BO1360" i="1" s="1"/>
  <c r="BP1360" i="1" s="1"/>
  <c r="BQ1360" i="1" s="1"/>
  <c r="BM1365" i="1"/>
  <c r="BN1365" i="1" s="1"/>
  <c r="BO1365" i="1" s="1"/>
  <c r="BP1365" i="1" s="1"/>
  <c r="BQ1365" i="1" s="1"/>
  <c r="BM1372" i="1"/>
  <c r="BN1372" i="1" s="1"/>
  <c r="BO1372" i="1" s="1"/>
  <c r="BP1372" i="1" s="1"/>
  <c r="BQ1372" i="1" s="1"/>
  <c r="BM1405" i="1"/>
  <c r="BN1405" i="1" s="1"/>
  <c r="BO1405" i="1" s="1"/>
  <c r="BP1405" i="1" s="1"/>
  <c r="BQ1405" i="1" s="1"/>
  <c r="BM1408" i="1"/>
  <c r="BN1408" i="1" s="1"/>
  <c r="BO1408" i="1" s="1"/>
  <c r="BP1408" i="1" s="1"/>
  <c r="BQ1408" i="1" s="1"/>
  <c r="BM1413" i="1"/>
  <c r="BN1413" i="1" s="1"/>
  <c r="BO1413" i="1" s="1"/>
  <c r="BP1413" i="1" s="1"/>
  <c r="BQ1413" i="1" s="1"/>
  <c r="BM1145" i="1"/>
  <c r="BN1145" i="1" s="1"/>
  <c r="BO1145" i="1" s="1"/>
  <c r="BP1145" i="1" s="1"/>
  <c r="BQ1145" i="1" s="1"/>
  <c r="BM1186" i="1"/>
  <c r="BN1186" i="1" s="1"/>
  <c r="BO1186" i="1" s="1"/>
  <c r="BP1186" i="1" s="1"/>
  <c r="BQ1186" i="1" s="1"/>
  <c r="BM1213" i="1"/>
  <c r="BN1213" i="1" s="1"/>
  <c r="BO1213" i="1" s="1"/>
  <c r="BP1213" i="1" s="1"/>
  <c r="BQ1213" i="1" s="1"/>
  <c r="BM1243" i="1"/>
  <c r="BN1243" i="1" s="1"/>
  <c r="BO1243" i="1" s="1"/>
  <c r="BP1243" i="1" s="1"/>
  <c r="BQ1243" i="1" s="1"/>
  <c r="BM1247" i="1"/>
  <c r="BN1247" i="1" s="1"/>
  <c r="BO1247" i="1" s="1"/>
  <c r="BP1247" i="1" s="1"/>
  <c r="BQ1247" i="1" s="1"/>
  <c r="BM1288" i="1"/>
  <c r="BN1288" i="1" s="1"/>
  <c r="BO1288" i="1" s="1"/>
  <c r="BP1288" i="1" s="1"/>
  <c r="BQ1288" i="1" s="1"/>
  <c r="BM1291" i="1"/>
  <c r="BN1291" i="1" s="1"/>
  <c r="BO1291" i="1" s="1"/>
  <c r="BP1291" i="1" s="1"/>
  <c r="BQ1291" i="1" s="1"/>
  <c r="BM1300" i="1"/>
  <c r="BN1300" i="1" s="1"/>
  <c r="BO1300" i="1" s="1"/>
  <c r="BP1300" i="1" s="1"/>
  <c r="BQ1300" i="1" s="1"/>
  <c r="BM1325" i="1"/>
  <c r="BN1325" i="1" s="1"/>
  <c r="BO1325" i="1" s="1"/>
  <c r="BP1325" i="1" s="1"/>
  <c r="BQ1325" i="1" s="1"/>
  <c r="BM1333" i="1"/>
  <c r="BN1333" i="1" s="1"/>
  <c r="BO1333" i="1" s="1"/>
  <c r="BP1333" i="1" s="1"/>
  <c r="BQ1333" i="1" s="1"/>
  <c r="BM1353" i="1"/>
  <c r="BN1353" i="1" s="1"/>
  <c r="BO1353" i="1" s="1"/>
  <c r="BP1353" i="1" s="1"/>
  <c r="BQ1353" i="1" s="1"/>
  <c r="BM1370" i="1"/>
  <c r="BN1370" i="1" s="1"/>
  <c r="BO1370" i="1" s="1"/>
  <c r="BP1370" i="1" s="1"/>
  <c r="BQ1370" i="1" s="1"/>
  <c r="BM1387" i="1"/>
  <c r="BN1387" i="1" s="1"/>
  <c r="BO1387" i="1" s="1"/>
  <c r="BP1387" i="1" s="1"/>
  <c r="BQ1387" i="1" s="1"/>
  <c r="BM1425" i="1"/>
  <c r="BN1425" i="1" s="1"/>
  <c r="BO1425" i="1" s="1"/>
  <c r="BP1425" i="1" s="1"/>
  <c r="BQ1425" i="1" s="1"/>
  <c r="BM1430" i="1"/>
  <c r="BN1430" i="1" s="1"/>
  <c r="BO1430" i="1" s="1"/>
  <c r="BP1430" i="1" s="1"/>
  <c r="BQ1430" i="1" s="1"/>
  <c r="BM1437" i="1"/>
  <c r="BN1437" i="1" s="1"/>
  <c r="BO1437" i="1" s="1"/>
  <c r="BP1437" i="1" s="1"/>
  <c r="BQ1437" i="1" s="1"/>
  <c r="BM1440" i="1"/>
  <c r="BN1440" i="1" s="1"/>
  <c r="BO1440" i="1" s="1"/>
  <c r="BP1440" i="1" s="1"/>
  <c r="BQ1440" i="1" s="1"/>
  <c r="BM1447" i="1"/>
  <c r="BN1447" i="1" s="1"/>
  <c r="BO1447" i="1" s="1"/>
  <c r="BP1447" i="1" s="1"/>
  <c r="BQ1447" i="1" s="1"/>
  <c r="BM1475" i="1"/>
  <c r="BN1475" i="1" s="1"/>
  <c r="BO1475" i="1" s="1"/>
  <c r="BP1475" i="1" s="1"/>
  <c r="BQ1475" i="1" s="1"/>
  <c r="BM1482" i="1"/>
  <c r="BN1482" i="1" s="1"/>
  <c r="BO1482" i="1" s="1"/>
  <c r="BP1482" i="1" s="1"/>
  <c r="BQ1482" i="1" s="1"/>
  <c r="BM1099" i="1"/>
  <c r="BN1099" i="1" s="1"/>
  <c r="BO1099" i="1" s="1"/>
  <c r="BP1099" i="1" s="1"/>
  <c r="BQ1099" i="1" s="1"/>
  <c r="BM1163" i="1"/>
  <c r="BN1163" i="1" s="1"/>
  <c r="BO1163" i="1" s="1"/>
  <c r="BP1163" i="1" s="1"/>
  <c r="BQ1163" i="1" s="1"/>
  <c r="BM1179" i="1"/>
  <c r="BN1179" i="1" s="1"/>
  <c r="BO1179" i="1" s="1"/>
  <c r="BP1179" i="1" s="1"/>
  <c r="BQ1179" i="1" s="1"/>
  <c r="BM1200" i="1"/>
  <c r="BN1200" i="1" s="1"/>
  <c r="BO1200" i="1" s="1"/>
  <c r="BP1200" i="1" s="1"/>
  <c r="BQ1200" i="1" s="1"/>
  <c r="BM1220" i="1"/>
  <c r="BN1220" i="1" s="1"/>
  <c r="BO1220" i="1" s="1"/>
  <c r="BP1220" i="1" s="1"/>
  <c r="BQ1220" i="1" s="1"/>
  <c r="BM1278" i="1"/>
  <c r="BN1278" i="1" s="1"/>
  <c r="BO1278" i="1" s="1"/>
  <c r="BP1278" i="1" s="1"/>
  <c r="BQ1278" i="1" s="1"/>
  <c r="BM1323" i="1"/>
  <c r="BN1323" i="1" s="1"/>
  <c r="BO1323" i="1" s="1"/>
  <c r="BP1323" i="1" s="1"/>
  <c r="BQ1323" i="1" s="1"/>
  <c r="BM1340" i="1"/>
  <c r="BN1340" i="1" s="1"/>
  <c r="BO1340" i="1" s="1"/>
  <c r="BP1340" i="1" s="1"/>
  <c r="BQ1340" i="1" s="1"/>
  <c r="BM1363" i="1"/>
  <c r="BN1363" i="1" s="1"/>
  <c r="BO1363" i="1" s="1"/>
  <c r="BP1363" i="1" s="1"/>
  <c r="BQ1363" i="1" s="1"/>
  <c r="BM1382" i="1"/>
  <c r="BN1382" i="1" s="1"/>
  <c r="BO1382" i="1" s="1"/>
  <c r="BP1382" i="1" s="1"/>
  <c r="BQ1382" i="1" s="1"/>
  <c r="BM1395" i="1"/>
  <c r="BN1395" i="1" s="1"/>
  <c r="BO1395" i="1" s="1"/>
  <c r="BP1395" i="1" s="1"/>
  <c r="BQ1395" i="1" s="1"/>
  <c r="BM1435" i="1"/>
  <c r="BN1435" i="1" s="1"/>
  <c r="BO1435" i="1" s="1"/>
  <c r="BP1435" i="1" s="1"/>
  <c r="BQ1435" i="1" s="1"/>
  <c r="BM1175" i="1"/>
  <c r="BN1175" i="1" s="1"/>
  <c r="BO1175" i="1" s="1"/>
  <c r="BP1175" i="1" s="1"/>
  <c r="BQ1175" i="1" s="1"/>
  <c r="BM1253" i="1"/>
  <c r="BN1253" i="1" s="1"/>
  <c r="BO1253" i="1" s="1"/>
  <c r="BP1253" i="1" s="1"/>
  <c r="BQ1253" i="1" s="1"/>
  <c r="BM1261" i="1"/>
  <c r="BN1261" i="1" s="1"/>
  <c r="BO1261" i="1" s="1"/>
  <c r="BP1261" i="1" s="1"/>
  <c r="BQ1261" i="1" s="1"/>
  <c r="BM1283" i="1"/>
  <c r="BN1283" i="1" s="1"/>
  <c r="BO1283" i="1" s="1"/>
  <c r="BP1283" i="1" s="1"/>
  <c r="BQ1283" i="1" s="1"/>
  <c r="BM1296" i="1"/>
  <c r="BN1296" i="1" s="1"/>
  <c r="BO1296" i="1" s="1"/>
  <c r="BP1296" i="1" s="1"/>
  <c r="BQ1296" i="1" s="1"/>
  <c r="BM1318" i="1"/>
  <c r="BN1318" i="1" s="1"/>
  <c r="BO1318" i="1" s="1"/>
  <c r="BP1318" i="1" s="1"/>
  <c r="BQ1318" i="1" s="1"/>
  <c r="BM1328" i="1"/>
  <c r="BN1328" i="1" s="1"/>
  <c r="BO1328" i="1" s="1"/>
  <c r="BP1328" i="1" s="1"/>
  <c r="BQ1328" i="1" s="1"/>
  <c r="BM1338" i="1"/>
  <c r="BN1338" i="1" s="1"/>
  <c r="BO1338" i="1" s="1"/>
  <c r="BP1338" i="1" s="1"/>
  <c r="BQ1338" i="1" s="1"/>
  <c r="BM1343" i="1"/>
  <c r="BN1343" i="1" s="1"/>
  <c r="BO1343" i="1" s="1"/>
  <c r="BP1343" i="1" s="1"/>
  <c r="BQ1343" i="1" s="1"/>
  <c r="BM1358" i="1"/>
  <c r="BN1358" i="1" s="1"/>
  <c r="BO1358" i="1" s="1"/>
  <c r="BP1358" i="1" s="1"/>
  <c r="BQ1358" i="1" s="1"/>
  <c r="BM1375" i="1"/>
  <c r="BN1375" i="1" s="1"/>
  <c r="BO1375" i="1" s="1"/>
  <c r="BP1375" i="1" s="1"/>
  <c r="BQ1375" i="1" s="1"/>
  <c r="BM1385" i="1"/>
  <c r="BN1385" i="1" s="1"/>
  <c r="BO1385" i="1" s="1"/>
  <c r="BP1385" i="1" s="1"/>
  <c r="BQ1385" i="1" s="1"/>
  <c r="BM1400" i="1"/>
  <c r="BN1400" i="1" s="1"/>
  <c r="BO1400" i="1" s="1"/>
  <c r="BP1400" i="1" s="1"/>
  <c r="BQ1400" i="1" s="1"/>
  <c r="BM1403" i="1"/>
  <c r="BN1403" i="1" s="1"/>
  <c r="BO1403" i="1" s="1"/>
  <c r="BP1403" i="1" s="1"/>
  <c r="BQ1403" i="1" s="1"/>
  <c r="BM1411" i="1"/>
  <c r="BN1411" i="1" s="1"/>
  <c r="BO1411" i="1" s="1"/>
  <c r="BP1411" i="1" s="1"/>
  <c r="BQ1411" i="1" s="1"/>
  <c r="BM1450" i="1"/>
  <c r="BN1450" i="1" s="1"/>
  <c r="BO1450" i="1" s="1"/>
  <c r="BP1450" i="1" s="1"/>
  <c r="BQ1450" i="1" s="1"/>
  <c r="BM1458" i="1"/>
  <c r="BN1458" i="1" s="1"/>
  <c r="BO1458" i="1" s="1"/>
  <c r="BP1458" i="1" s="1"/>
  <c r="BQ1458" i="1" s="1"/>
  <c r="BM1460" i="1"/>
  <c r="BN1460" i="1" s="1"/>
  <c r="BO1460" i="1" s="1"/>
  <c r="BP1460" i="1" s="1"/>
  <c r="BQ1460" i="1" s="1"/>
  <c r="BM1463" i="1"/>
  <c r="BN1463" i="1" s="1"/>
  <c r="BO1463" i="1" s="1"/>
  <c r="BP1463" i="1" s="1"/>
  <c r="BQ1463" i="1" s="1"/>
  <c r="BM1473" i="1"/>
  <c r="BN1473" i="1" s="1"/>
  <c r="BO1473" i="1" s="1"/>
  <c r="BP1473" i="1" s="1"/>
  <c r="BQ1473" i="1" s="1"/>
  <c r="BM1167" i="1"/>
  <c r="BN1167" i="1" s="1"/>
  <c r="BO1167" i="1" s="1"/>
  <c r="BP1167" i="1" s="1"/>
  <c r="BQ1167" i="1" s="1"/>
  <c r="BM1171" i="1"/>
  <c r="BN1171" i="1" s="1"/>
  <c r="BO1171" i="1" s="1"/>
  <c r="BP1171" i="1" s="1"/>
  <c r="BQ1171" i="1" s="1"/>
  <c r="BM1210" i="1"/>
  <c r="BN1210" i="1" s="1"/>
  <c r="BO1210" i="1" s="1"/>
  <c r="BP1210" i="1" s="1"/>
  <c r="BQ1210" i="1" s="1"/>
  <c r="BM1217" i="1"/>
  <c r="BN1217" i="1" s="1"/>
  <c r="BO1217" i="1" s="1"/>
  <c r="BP1217" i="1" s="1"/>
  <c r="BQ1217" i="1" s="1"/>
  <c r="BM1240" i="1"/>
  <c r="BN1240" i="1" s="1"/>
  <c r="BO1240" i="1" s="1"/>
  <c r="BP1240" i="1" s="1"/>
  <c r="BQ1240" i="1" s="1"/>
  <c r="BM1273" i="1"/>
  <c r="BN1273" i="1" s="1"/>
  <c r="BO1273" i="1" s="1"/>
  <c r="BP1273" i="1" s="1"/>
  <c r="BQ1273" i="1" s="1"/>
  <c r="BM1281" i="1"/>
  <c r="BN1281" i="1" s="1"/>
  <c r="BO1281" i="1" s="1"/>
  <c r="BP1281" i="1" s="1"/>
  <c r="BQ1281" i="1" s="1"/>
  <c r="BM1303" i="1"/>
  <c r="BN1303" i="1" s="1"/>
  <c r="BO1303" i="1" s="1"/>
  <c r="BP1303" i="1" s="1"/>
  <c r="BQ1303" i="1" s="1"/>
  <c r="BM1306" i="1"/>
  <c r="BN1306" i="1" s="1"/>
  <c r="BO1306" i="1" s="1"/>
  <c r="BP1306" i="1" s="1"/>
  <c r="BQ1306" i="1" s="1"/>
  <c r="BM1308" i="1"/>
  <c r="BN1308" i="1" s="1"/>
  <c r="BO1308" i="1" s="1"/>
  <c r="BP1308" i="1" s="1"/>
  <c r="BQ1308" i="1" s="1"/>
  <c r="BM1311" i="1"/>
  <c r="BN1311" i="1" s="1"/>
  <c r="BO1311" i="1" s="1"/>
  <c r="BP1311" i="1" s="1"/>
  <c r="BQ1311" i="1" s="1"/>
  <c r="BM1380" i="1"/>
  <c r="BN1380" i="1" s="1"/>
  <c r="BO1380" i="1" s="1"/>
  <c r="BP1380" i="1" s="1"/>
  <c r="BQ1380" i="1" s="1"/>
  <c r="BM1416" i="1"/>
  <c r="BN1416" i="1" s="1"/>
  <c r="BO1416" i="1" s="1"/>
  <c r="BP1416" i="1" s="1"/>
  <c r="BQ1416" i="1" s="1"/>
  <c r="BM1428" i="1"/>
  <c r="BN1428" i="1" s="1"/>
  <c r="BO1428" i="1" s="1"/>
  <c r="BP1428" i="1" s="1"/>
  <c r="BQ1428" i="1" s="1"/>
  <c r="BM1433" i="1"/>
  <c r="BN1433" i="1" s="1"/>
  <c r="BO1433" i="1" s="1"/>
  <c r="BP1433" i="1" s="1"/>
  <c r="BQ1433" i="1" s="1"/>
  <c r="BM1478" i="1"/>
  <c r="BN1478" i="1" s="1"/>
  <c r="BO1478" i="1" s="1"/>
  <c r="BP1478" i="1" s="1"/>
  <c r="BQ1478" i="1" s="1"/>
  <c r="BM1490" i="1"/>
  <c r="BN1490" i="1" s="1"/>
  <c r="BO1490" i="1" s="1"/>
  <c r="BP1490" i="1" s="1"/>
  <c r="BQ1490" i="1" s="1"/>
  <c r="BM1495" i="1"/>
  <c r="BN1495" i="1" s="1"/>
  <c r="BO1495" i="1" s="1"/>
  <c r="BP1495" i="1" s="1"/>
  <c r="BQ1495" i="1" s="1"/>
  <c r="BM1518" i="1"/>
  <c r="BN1518" i="1" s="1"/>
  <c r="BO1518" i="1" s="1"/>
  <c r="BP1518" i="1" s="1"/>
  <c r="BQ1518" i="1" s="1"/>
  <c r="BM1528" i="1"/>
  <c r="BN1528" i="1" s="1"/>
  <c r="BO1528" i="1" s="1"/>
  <c r="BP1528" i="1" s="1"/>
  <c r="BQ1528" i="1" s="1"/>
  <c r="BM1535" i="1"/>
  <c r="BN1535" i="1" s="1"/>
  <c r="BO1535" i="1" s="1"/>
  <c r="BP1535" i="1" s="1"/>
  <c r="BQ1535" i="1" s="1"/>
  <c r="BM1052" i="1"/>
  <c r="BN1052" i="1" s="1"/>
  <c r="BO1052" i="1" s="1"/>
  <c r="BP1052" i="1" s="1"/>
  <c r="BQ1052" i="1" s="1"/>
  <c r="BM1104" i="1"/>
  <c r="BN1104" i="1" s="1"/>
  <c r="BO1104" i="1" s="1"/>
  <c r="BP1104" i="1" s="1"/>
  <c r="BQ1104" i="1" s="1"/>
  <c r="BM1155" i="1"/>
  <c r="BN1155" i="1" s="1"/>
  <c r="BO1155" i="1" s="1"/>
  <c r="BP1155" i="1" s="1"/>
  <c r="BQ1155" i="1" s="1"/>
  <c r="BM1197" i="1"/>
  <c r="BN1197" i="1" s="1"/>
  <c r="BO1197" i="1" s="1"/>
  <c r="BP1197" i="1" s="1"/>
  <c r="BQ1197" i="1" s="1"/>
  <c r="BM1227" i="1"/>
  <c r="BN1227" i="1" s="1"/>
  <c r="BO1227" i="1" s="1"/>
  <c r="BP1227" i="1" s="1"/>
  <c r="BQ1227" i="1" s="1"/>
  <c r="BM1248" i="1"/>
  <c r="BN1248" i="1" s="1"/>
  <c r="BO1248" i="1" s="1"/>
  <c r="BP1248" i="1" s="1"/>
  <c r="BQ1248" i="1" s="1"/>
  <c r="BM1270" i="1"/>
  <c r="BN1270" i="1" s="1"/>
  <c r="BO1270" i="1" s="1"/>
  <c r="BP1270" i="1" s="1"/>
  <c r="BQ1270" i="1" s="1"/>
  <c r="BM1301" i="1"/>
  <c r="BN1301" i="1" s="1"/>
  <c r="BO1301" i="1" s="1"/>
  <c r="BP1301" i="1" s="1"/>
  <c r="BQ1301" i="1" s="1"/>
  <c r="BM1321" i="1"/>
  <c r="BN1321" i="1" s="1"/>
  <c r="BO1321" i="1" s="1"/>
  <c r="BP1321" i="1" s="1"/>
  <c r="BQ1321" i="1" s="1"/>
  <c r="BM1331" i="1"/>
  <c r="BN1331" i="1" s="1"/>
  <c r="BO1331" i="1" s="1"/>
  <c r="BP1331" i="1" s="1"/>
  <c r="BQ1331" i="1" s="1"/>
  <c r="BM1346" i="1"/>
  <c r="BN1346" i="1" s="1"/>
  <c r="BO1346" i="1" s="1"/>
  <c r="BP1346" i="1" s="1"/>
  <c r="BQ1346" i="1" s="1"/>
  <c r="BM1348" i="1"/>
  <c r="BN1348" i="1" s="1"/>
  <c r="BO1348" i="1" s="1"/>
  <c r="BP1348" i="1" s="1"/>
  <c r="BQ1348" i="1" s="1"/>
  <c r="BM1368" i="1"/>
  <c r="BN1368" i="1" s="1"/>
  <c r="BO1368" i="1" s="1"/>
  <c r="BP1368" i="1" s="1"/>
  <c r="BQ1368" i="1" s="1"/>
  <c r="BM1393" i="1"/>
  <c r="BN1393" i="1" s="1"/>
  <c r="BO1393" i="1" s="1"/>
  <c r="BP1393" i="1" s="1"/>
  <c r="BQ1393" i="1" s="1"/>
  <c r="BM1423" i="1"/>
  <c r="BN1423" i="1" s="1"/>
  <c r="BO1423" i="1" s="1"/>
  <c r="BP1423" i="1" s="1"/>
  <c r="BQ1423" i="1" s="1"/>
  <c r="BM1431" i="1"/>
  <c r="BN1431" i="1" s="1"/>
  <c r="BO1431" i="1" s="1"/>
  <c r="BP1431" i="1" s="1"/>
  <c r="BQ1431" i="1" s="1"/>
  <c r="BM1438" i="1"/>
  <c r="BN1438" i="1" s="1"/>
  <c r="BO1438" i="1" s="1"/>
  <c r="BP1438" i="1" s="1"/>
  <c r="BQ1438" i="1" s="1"/>
  <c r="BM1443" i="1"/>
  <c r="BN1443" i="1" s="1"/>
  <c r="BO1443" i="1" s="1"/>
  <c r="BP1443" i="1" s="1"/>
  <c r="BQ1443" i="1" s="1"/>
  <c r="BM1445" i="1"/>
  <c r="BN1445" i="1" s="1"/>
  <c r="BO1445" i="1" s="1"/>
  <c r="BP1445" i="1" s="1"/>
  <c r="BQ1445" i="1" s="1"/>
  <c r="BM1081" i="1"/>
  <c r="BN1081" i="1" s="1"/>
  <c r="BO1081" i="1" s="1"/>
  <c r="BP1081" i="1" s="1"/>
  <c r="BQ1081" i="1" s="1"/>
  <c r="BM1086" i="1"/>
  <c r="BN1086" i="1" s="1"/>
  <c r="BO1086" i="1" s="1"/>
  <c r="BP1086" i="1" s="1"/>
  <c r="BQ1086" i="1" s="1"/>
  <c r="BM1142" i="1"/>
  <c r="BN1142" i="1" s="1"/>
  <c r="BO1142" i="1" s="1"/>
  <c r="BP1142" i="1" s="1"/>
  <c r="BQ1142" i="1" s="1"/>
  <c r="BM1180" i="1"/>
  <c r="BN1180" i="1" s="1"/>
  <c r="BO1180" i="1" s="1"/>
  <c r="BP1180" i="1" s="1"/>
  <c r="BQ1180" i="1" s="1"/>
  <c r="BM1201" i="1"/>
  <c r="BN1201" i="1" s="1"/>
  <c r="BO1201" i="1" s="1"/>
  <c r="BP1201" i="1" s="1"/>
  <c r="BQ1201" i="1" s="1"/>
  <c r="BM1221" i="1"/>
  <c r="BN1221" i="1" s="1"/>
  <c r="BO1221" i="1" s="1"/>
  <c r="BP1221" i="1" s="1"/>
  <c r="BQ1221" i="1" s="1"/>
  <c r="BM1224" i="1"/>
  <c r="BN1224" i="1" s="1"/>
  <c r="BO1224" i="1" s="1"/>
  <c r="BP1224" i="1" s="1"/>
  <c r="BQ1224" i="1" s="1"/>
  <c r="BM1256" i="1"/>
  <c r="BN1256" i="1" s="1"/>
  <c r="BO1256" i="1" s="1"/>
  <c r="BP1256" i="1" s="1"/>
  <c r="BQ1256" i="1" s="1"/>
  <c r="BM1259" i="1"/>
  <c r="BN1259" i="1" s="1"/>
  <c r="BO1259" i="1" s="1"/>
  <c r="BP1259" i="1" s="1"/>
  <c r="BQ1259" i="1" s="1"/>
  <c r="BM1286" i="1"/>
  <c r="BN1286" i="1" s="1"/>
  <c r="BO1286" i="1" s="1"/>
  <c r="BP1286" i="1" s="1"/>
  <c r="BQ1286" i="1" s="1"/>
  <c r="BM1289" i="1"/>
  <c r="BN1289" i="1" s="1"/>
  <c r="BO1289" i="1" s="1"/>
  <c r="BP1289" i="1" s="1"/>
  <c r="BQ1289" i="1" s="1"/>
  <c r="BM1336" i="1"/>
  <c r="BN1336" i="1" s="1"/>
  <c r="BO1336" i="1" s="1"/>
  <c r="BP1336" i="1" s="1"/>
  <c r="BQ1336" i="1" s="1"/>
  <c r="BM1361" i="1"/>
  <c r="BN1361" i="1" s="1"/>
  <c r="BO1361" i="1" s="1"/>
  <c r="BP1361" i="1" s="1"/>
  <c r="BQ1361" i="1" s="1"/>
  <c r="BM1373" i="1"/>
  <c r="BN1373" i="1" s="1"/>
  <c r="BO1373" i="1" s="1"/>
  <c r="BP1373" i="1" s="1"/>
  <c r="BQ1373" i="1" s="1"/>
  <c r="BM1378" i="1"/>
  <c r="BN1378" i="1" s="1"/>
  <c r="BO1378" i="1" s="1"/>
  <c r="BP1378" i="1" s="1"/>
  <c r="BQ1378" i="1" s="1"/>
  <c r="BM1390" i="1"/>
  <c r="BN1390" i="1" s="1"/>
  <c r="BO1390" i="1" s="1"/>
  <c r="BP1390" i="1" s="1"/>
  <c r="BQ1390" i="1" s="1"/>
  <c r="BM1194" i="1"/>
  <c r="BN1194" i="1" s="1"/>
  <c r="BO1194" i="1" s="1"/>
  <c r="BP1194" i="1" s="1"/>
  <c r="BQ1194" i="1" s="1"/>
  <c r="BM1204" i="1"/>
  <c r="BN1204" i="1" s="1"/>
  <c r="BO1204" i="1" s="1"/>
  <c r="BP1204" i="1" s="1"/>
  <c r="BQ1204" i="1" s="1"/>
  <c r="BM1265" i="1"/>
  <c r="BN1265" i="1" s="1"/>
  <c r="BO1265" i="1" s="1"/>
  <c r="BP1265" i="1" s="1"/>
  <c r="BQ1265" i="1" s="1"/>
  <c r="BM1299" i="1"/>
  <c r="BN1299" i="1" s="1"/>
  <c r="BO1299" i="1" s="1"/>
  <c r="BP1299" i="1" s="1"/>
  <c r="BQ1299" i="1" s="1"/>
  <c r="BM1314" i="1"/>
  <c r="BN1314" i="1" s="1"/>
  <c r="BO1314" i="1" s="1"/>
  <c r="BP1314" i="1" s="1"/>
  <c r="BQ1314" i="1" s="1"/>
  <c r="BM1341" i="1"/>
  <c r="BN1341" i="1" s="1"/>
  <c r="BO1341" i="1" s="1"/>
  <c r="BP1341" i="1" s="1"/>
  <c r="BQ1341" i="1" s="1"/>
  <c r="BM1351" i="1"/>
  <c r="BN1351" i="1" s="1"/>
  <c r="BO1351" i="1" s="1"/>
  <c r="BP1351" i="1" s="1"/>
  <c r="BQ1351" i="1" s="1"/>
  <c r="BM1366" i="1"/>
  <c r="BN1366" i="1" s="1"/>
  <c r="BO1366" i="1" s="1"/>
  <c r="BP1366" i="1" s="1"/>
  <c r="BQ1366" i="1" s="1"/>
  <c r="BM1371" i="1"/>
  <c r="BN1371" i="1" s="1"/>
  <c r="BO1371" i="1" s="1"/>
  <c r="BP1371" i="1" s="1"/>
  <c r="BQ1371" i="1" s="1"/>
  <c r="BM1398" i="1"/>
  <c r="BN1398" i="1" s="1"/>
  <c r="BO1398" i="1" s="1"/>
  <c r="BP1398" i="1" s="1"/>
  <c r="BQ1398" i="1" s="1"/>
  <c r="BM1414" i="1"/>
  <c r="BN1414" i="1" s="1"/>
  <c r="BO1414" i="1" s="1"/>
  <c r="BP1414" i="1" s="1"/>
  <c r="BQ1414" i="1" s="1"/>
  <c r="BM1072" i="1"/>
  <c r="BN1072" i="1" s="1"/>
  <c r="BO1072" i="1" s="1"/>
  <c r="BP1072" i="1" s="1"/>
  <c r="BQ1072" i="1" s="1"/>
  <c r="BM1091" i="1"/>
  <c r="BN1091" i="1" s="1"/>
  <c r="BO1091" i="1" s="1"/>
  <c r="BP1091" i="1" s="1"/>
  <c r="BQ1091" i="1" s="1"/>
  <c r="BM1134" i="1"/>
  <c r="BN1134" i="1" s="1"/>
  <c r="BO1134" i="1" s="1"/>
  <c r="BP1134" i="1" s="1"/>
  <c r="BQ1134" i="1" s="1"/>
  <c r="BM1147" i="1"/>
  <c r="BN1147" i="1" s="1"/>
  <c r="BO1147" i="1" s="1"/>
  <c r="BP1147" i="1" s="1"/>
  <c r="BQ1147" i="1" s="1"/>
  <c r="BM1168" i="1"/>
  <c r="BN1168" i="1" s="1"/>
  <c r="BO1168" i="1" s="1"/>
  <c r="BP1168" i="1" s="1"/>
  <c r="BQ1168" i="1" s="1"/>
  <c r="BM1191" i="1"/>
  <c r="BN1191" i="1" s="1"/>
  <c r="BO1191" i="1" s="1"/>
  <c r="BP1191" i="1" s="1"/>
  <c r="BQ1191" i="1" s="1"/>
  <c r="BM1241" i="1"/>
  <c r="BN1241" i="1" s="1"/>
  <c r="BO1241" i="1" s="1"/>
  <c r="BP1241" i="1" s="1"/>
  <c r="BQ1241" i="1" s="1"/>
  <c r="BM1251" i="1"/>
  <c r="BN1251" i="1" s="1"/>
  <c r="BO1251" i="1" s="1"/>
  <c r="BP1251" i="1" s="1"/>
  <c r="BQ1251" i="1" s="1"/>
  <c r="BM1276" i="1"/>
  <c r="BN1276" i="1" s="1"/>
  <c r="BO1276" i="1" s="1"/>
  <c r="BP1276" i="1" s="1"/>
  <c r="BQ1276" i="1" s="1"/>
  <c r="BM1279" i="1"/>
  <c r="BN1279" i="1" s="1"/>
  <c r="BO1279" i="1" s="1"/>
  <c r="BP1279" i="1" s="1"/>
  <c r="BQ1279" i="1" s="1"/>
  <c r="BM1294" i="1"/>
  <c r="BN1294" i="1" s="1"/>
  <c r="BO1294" i="1" s="1"/>
  <c r="BP1294" i="1" s="1"/>
  <c r="BQ1294" i="1" s="1"/>
  <c r="BM1316" i="1"/>
  <c r="BN1316" i="1" s="1"/>
  <c r="BO1316" i="1" s="1"/>
  <c r="BP1316" i="1" s="1"/>
  <c r="BQ1316" i="1" s="1"/>
  <c r="BM1326" i="1"/>
  <c r="BN1326" i="1" s="1"/>
  <c r="BO1326" i="1" s="1"/>
  <c r="BP1326" i="1" s="1"/>
  <c r="BQ1326" i="1" s="1"/>
  <c r="BM1334" i="1"/>
  <c r="BN1334" i="1" s="1"/>
  <c r="BO1334" i="1" s="1"/>
  <c r="BP1334" i="1" s="1"/>
  <c r="BQ1334" i="1" s="1"/>
  <c r="BM1401" i="1"/>
  <c r="BN1401" i="1" s="1"/>
  <c r="BO1401" i="1" s="1"/>
  <c r="BP1401" i="1" s="1"/>
  <c r="BQ1401" i="1" s="1"/>
  <c r="BM1409" i="1"/>
  <c r="BN1409" i="1" s="1"/>
  <c r="BO1409" i="1" s="1"/>
  <c r="BP1409" i="1" s="1"/>
  <c r="BQ1409" i="1" s="1"/>
  <c r="BM1426" i="1"/>
  <c r="BN1426" i="1" s="1"/>
  <c r="BO1426" i="1" s="1"/>
  <c r="BP1426" i="1" s="1"/>
  <c r="BQ1426" i="1" s="1"/>
  <c r="BM1441" i="1"/>
  <c r="BN1441" i="1" s="1"/>
  <c r="BO1441" i="1" s="1"/>
  <c r="BP1441" i="1" s="1"/>
  <c r="BQ1441" i="1" s="1"/>
  <c r="BM1461" i="1"/>
  <c r="BN1461" i="1" s="1"/>
  <c r="BO1461" i="1" s="1"/>
  <c r="BP1461" i="1" s="1"/>
  <c r="BQ1461" i="1" s="1"/>
  <c r="BM1493" i="1"/>
  <c r="BN1493" i="1" s="1"/>
  <c r="BO1493" i="1" s="1"/>
  <c r="BP1493" i="1" s="1"/>
  <c r="BQ1493" i="1" s="1"/>
  <c r="BM1511" i="1"/>
  <c r="BN1511" i="1" s="1"/>
  <c r="BO1511" i="1" s="1"/>
  <c r="BP1511" i="1" s="1"/>
  <c r="BQ1511" i="1" s="1"/>
  <c r="BM1533" i="1"/>
  <c r="BN1533" i="1" s="1"/>
  <c r="BO1533" i="1" s="1"/>
  <c r="BP1533" i="1" s="1"/>
  <c r="BQ1533" i="1" s="1"/>
  <c r="BM1540" i="1"/>
  <c r="BN1540" i="1" s="1"/>
  <c r="BO1540" i="1" s="1"/>
  <c r="BP1540" i="1" s="1"/>
  <c r="BQ1540" i="1" s="1"/>
  <c r="BM1545" i="1"/>
  <c r="BN1545" i="1" s="1"/>
  <c r="BO1545" i="1" s="1"/>
  <c r="BP1545" i="1" s="1"/>
  <c r="BQ1545" i="1" s="1"/>
  <c r="BM1555" i="1"/>
  <c r="BN1555" i="1" s="1"/>
  <c r="BO1555" i="1" s="1"/>
  <c r="BP1555" i="1" s="1"/>
  <c r="BQ1555" i="1" s="1"/>
  <c r="BM1156" i="1"/>
  <c r="BN1156" i="1" s="1"/>
  <c r="BO1156" i="1" s="1"/>
  <c r="BP1156" i="1" s="1"/>
  <c r="BQ1156" i="1" s="1"/>
  <c r="BM1211" i="1"/>
  <c r="BN1211" i="1" s="1"/>
  <c r="BO1211" i="1" s="1"/>
  <c r="BP1211" i="1" s="1"/>
  <c r="BQ1211" i="1" s="1"/>
  <c r="BM1228" i="1"/>
  <c r="BN1228" i="1" s="1"/>
  <c r="BO1228" i="1" s="1"/>
  <c r="BP1228" i="1" s="1"/>
  <c r="BQ1228" i="1" s="1"/>
  <c r="BM1268" i="1"/>
  <c r="BN1268" i="1" s="1"/>
  <c r="BO1268" i="1" s="1"/>
  <c r="BP1268" i="1" s="1"/>
  <c r="BQ1268" i="1" s="1"/>
  <c r="BM1271" i="1"/>
  <c r="BN1271" i="1" s="1"/>
  <c r="BO1271" i="1" s="1"/>
  <c r="BP1271" i="1" s="1"/>
  <c r="BQ1271" i="1" s="1"/>
  <c r="BM1297" i="1"/>
  <c r="BN1297" i="1" s="1"/>
  <c r="BO1297" i="1" s="1"/>
  <c r="BP1297" i="1" s="1"/>
  <c r="BQ1297" i="1" s="1"/>
  <c r="BM1304" i="1"/>
  <c r="BN1304" i="1" s="1"/>
  <c r="BO1304" i="1" s="1"/>
  <c r="BP1304" i="1" s="1"/>
  <c r="BQ1304" i="1" s="1"/>
  <c r="BM1309" i="1"/>
  <c r="BN1309" i="1" s="1"/>
  <c r="BO1309" i="1" s="1"/>
  <c r="BP1309" i="1" s="1"/>
  <c r="BQ1309" i="1" s="1"/>
  <c r="BM1339" i="1"/>
  <c r="BN1339" i="1" s="1"/>
  <c r="BO1339" i="1" s="1"/>
  <c r="BP1339" i="1" s="1"/>
  <c r="BQ1339" i="1" s="1"/>
  <c r="BM1344" i="1"/>
  <c r="BN1344" i="1" s="1"/>
  <c r="BO1344" i="1" s="1"/>
  <c r="BP1344" i="1" s="1"/>
  <c r="BQ1344" i="1" s="1"/>
  <c r="BM1349" i="1"/>
  <c r="BN1349" i="1" s="1"/>
  <c r="BO1349" i="1" s="1"/>
  <c r="BP1349" i="1" s="1"/>
  <c r="BQ1349" i="1" s="1"/>
  <c r="BM1354" i="1"/>
  <c r="BN1354" i="1" s="1"/>
  <c r="BO1354" i="1" s="1"/>
  <c r="BP1354" i="1" s="1"/>
  <c r="BQ1354" i="1" s="1"/>
  <c r="BM1356" i="1"/>
  <c r="BN1356" i="1" s="1"/>
  <c r="BO1356" i="1" s="1"/>
  <c r="BP1356" i="1" s="1"/>
  <c r="BQ1356" i="1" s="1"/>
  <c r="BM1359" i="1"/>
  <c r="BN1359" i="1" s="1"/>
  <c r="BO1359" i="1" s="1"/>
  <c r="BP1359" i="1" s="1"/>
  <c r="BQ1359" i="1" s="1"/>
  <c r="BM1376" i="1"/>
  <c r="BN1376" i="1" s="1"/>
  <c r="BO1376" i="1" s="1"/>
  <c r="BP1376" i="1" s="1"/>
  <c r="BQ1376" i="1" s="1"/>
  <c r="BM1383" i="1"/>
  <c r="BN1383" i="1" s="1"/>
  <c r="BO1383" i="1" s="1"/>
  <c r="BP1383" i="1" s="1"/>
  <c r="BQ1383" i="1" s="1"/>
  <c r="BM1388" i="1"/>
  <c r="BN1388" i="1" s="1"/>
  <c r="BO1388" i="1" s="1"/>
  <c r="BP1388" i="1" s="1"/>
  <c r="BQ1388" i="1" s="1"/>
  <c r="BM1417" i="1"/>
  <c r="BN1417" i="1" s="1"/>
  <c r="BO1417" i="1" s="1"/>
  <c r="BP1417" i="1" s="1"/>
  <c r="BQ1417" i="1" s="1"/>
  <c r="BM1446" i="1"/>
  <c r="BN1446" i="1" s="1"/>
  <c r="BO1446" i="1" s="1"/>
  <c r="BP1446" i="1" s="1"/>
  <c r="BQ1446" i="1" s="1"/>
  <c r="BM1464" i="1"/>
  <c r="BN1464" i="1" s="1"/>
  <c r="BO1464" i="1" s="1"/>
  <c r="BP1464" i="1" s="1"/>
  <c r="BQ1464" i="1" s="1"/>
  <c r="BM1474" i="1"/>
  <c r="BN1474" i="1" s="1"/>
  <c r="BO1474" i="1" s="1"/>
  <c r="BP1474" i="1" s="1"/>
  <c r="BQ1474" i="1" s="1"/>
  <c r="BM1481" i="1"/>
  <c r="BN1481" i="1" s="1"/>
  <c r="BO1481" i="1" s="1"/>
  <c r="BP1481" i="1" s="1"/>
  <c r="BQ1481" i="1" s="1"/>
  <c r="BM1486" i="1"/>
  <c r="BN1486" i="1" s="1"/>
  <c r="BO1486" i="1" s="1"/>
  <c r="BP1486" i="1" s="1"/>
  <c r="BQ1486" i="1" s="1"/>
  <c r="BM1496" i="1"/>
  <c r="BN1496" i="1" s="1"/>
  <c r="BO1496" i="1" s="1"/>
  <c r="BP1496" i="1" s="1"/>
  <c r="BQ1496" i="1" s="1"/>
  <c r="BM1498" i="1"/>
  <c r="BN1498" i="1" s="1"/>
  <c r="BO1498" i="1" s="1"/>
  <c r="BP1498" i="1" s="1"/>
  <c r="BQ1498" i="1" s="1"/>
  <c r="BM1506" i="1"/>
  <c r="BN1506" i="1" s="1"/>
  <c r="BO1506" i="1" s="1"/>
  <c r="BP1506" i="1" s="1"/>
  <c r="BQ1506" i="1" s="1"/>
  <c r="BM1453" i="1"/>
  <c r="BN1453" i="1" s="1"/>
  <c r="BO1453" i="1" s="1"/>
  <c r="BP1453" i="1" s="1"/>
  <c r="BQ1453" i="1" s="1"/>
  <c r="BM1485" i="1"/>
  <c r="BN1485" i="1" s="1"/>
  <c r="BO1485" i="1" s="1"/>
  <c r="BP1485" i="1" s="1"/>
  <c r="BQ1485" i="1" s="1"/>
  <c r="BM1508" i="1"/>
  <c r="BN1508" i="1" s="1"/>
  <c r="BO1508" i="1" s="1"/>
  <c r="BP1508" i="1" s="1"/>
  <c r="BQ1508" i="1" s="1"/>
  <c r="BM1526" i="1"/>
  <c r="BN1526" i="1" s="1"/>
  <c r="BO1526" i="1" s="1"/>
  <c r="BP1526" i="1" s="1"/>
  <c r="BQ1526" i="1" s="1"/>
  <c r="BM1529" i="1"/>
  <c r="BN1529" i="1" s="1"/>
  <c r="BO1529" i="1" s="1"/>
  <c r="BP1529" i="1" s="1"/>
  <c r="BQ1529" i="1" s="1"/>
  <c r="BM1534" i="1"/>
  <c r="BN1534" i="1" s="1"/>
  <c r="BO1534" i="1" s="1"/>
  <c r="BP1534" i="1" s="1"/>
  <c r="BQ1534" i="1" s="1"/>
  <c r="BM1571" i="1"/>
  <c r="BN1571" i="1" s="1"/>
  <c r="BO1571" i="1" s="1"/>
  <c r="BP1571" i="1" s="1"/>
  <c r="BQ1571" i="1" s="1"/>
  <c r="BM1610" i="1"/>
  <c r="BN1610" i="1" s="1"/>
  <c r="BO1610" i="1" s="1"/>
  <c r="BP1610" i="1" s="1"/>
  <c r="BQ1610" i="1" s="1"/>
  <c r="BM1613" i="1"/>
  <c r="BN1613" i="1" s="1"/>
  <c r="BO1613" i="1" s="1"/>
  <c r="BP1613" i="1" s="1"/>
  <c r="BQ1613" i="1" s="1"/>
  <c r="BM1616" i="1"/>
  <c r="BN1616" i="1" s="1"/>
  <c r="BO1616" i="1" s="1"/>
  <c r="BP1616" i="1" s="1"/>
  <c r="BQ1616" i="1" s="1"/>
  <c r="BM1626" i="1"/>
  <c r="BN1626" i="1" s="1"/>
  <c r="BO1626" i="1" s="1"/>
  <c r="BP1626" i="1" s="1"/>
  <c r="BQ1626" i="1" s="1"/>
  <c r="BM1629" i="1"/>
  <c r="BN1629" i="1" s="1"/>
  <c r="BO1629" i="1" s="1"/>
  <c r="BP1629" i="1" s="1"/>
  <c r="BQ1629" i="1" s="1"/>
  <c r="BM1632" i="1"/>
  <c r="BN1632" i="1" s="1"/>
  <c r="BO1632" i="1" s="1"/>
  <c r="BP1632" i="1" s="1"/>
  <c r="BQ1632" i="1" s="1"/>
  <c r="BM1644" i="1"/>
  <c r="BN1644" i="1" s="1"/>
  <c r="BO1644" i="1" s="1"/>
  <c r="BP1644" i="1" s="1"/>
  <c r="BQ1644" i="1" s="1"/>
  <c r="BM1672" i="1"/>
  <c r="BN1672" i="1" s="1"/>
  <c r="BO1672" i="1" s="1"/>
  <c r="BP1672" i="1" s="1"/>
  <c r="BQ1672" i="1" s="1"/>
  <c r="BM1492" i="1"/>
  <c r="BN1492" i="1" s="1"/>
  <c r="BO1492" i="1" s="1"/>
  <c r="BP1492" i="1" s="1"/>
  <c r="BQ1492" i="1" s="1"/>
  <c r="BM1505" i="1"/>
  <c r="BN1505" i="1" s="1"/>
  <c r="BO1505" i="1" s="1"/>
  <c r="BP1505" i="1" s="1"/>
  <c r="BQ1505" i="1" s="1"/>
  <c r="BM1537" i="1"/>
  <c r="BN1537" i="1" s="1"/>
  <c r="BO1537" i="1" s="1"/>
  <c r="BP1537" i="1" s="1"/>
  <c r="BQ1537" i="1" s="1"/>
  <c r="BM1551" i="1"/>
  <c r="BN1551" i="1" s="1"/>
  <c r="BO1551" i="1" s="1"/>
  <c r="BP1551" i="1" s="1"/>
  <c r="BQ1551" i="1" s="1"/>
  <c r="BM1559" i="1"/>
  <c r="BN1559" i="1" s="1"/>
  <c r="BO1559" i="1" s="1"/>
  <c r="BP1559" i="1" s="1"/>
  <c r="BQ1559" i="1" s="1"/>
  <c r="BM1578" i="1"/>
  <c r="BN1578" i="1" s="1"/>
  <c r="BO1578" i="1" s="1"/>
  <c r="BP1578" i="1" s="1"/>
  <c r="BQ1578" i="1" s="1"/>
  <c r="BM1583" i="1"/>
  <c r="BN1583" i="1" s="1"/>
  <c r="BO1583" i="1" s="1"/>
  <c r="BP1583" i="1" s="1"/>
  <c r="BQ1583" i="1" s="1"/>
  <c r="BM1588" i="1"/>
  <c r="BN1588" i="1" s="1"/>
  <c r="BO1588" i="1" s="1"/>
  <c r="BP1588" i="1" s="1"/>
  <c r="BQ1588" i="1" s="1"/>
  <c r="BM1637" i="1"/>
  <c r="BN1637" i="1" s="1"/>
  <c r="BO1637" i="1" s="1"/>
  <c r="BP1637" i="1" s="1"/>
  <c r="BQ1637" i="1" s="1"/>
  <c r="BM1647" i="1"/>
  <c r="BN1647" i="1" s="1"/>
  <c r="BO1647" i="1" s="1"/>
  <c r="BP1647" i="1" s="1"/>
  <c r="BQ1647" i="1" s="1"/>
  <c r="BM1705" i="1"/>
  <c r="BN1705" i="1" s="1"/>
  <c r="BO1705" i="1" s="1"/>
  <c r="BP1705" i="1" s="1"/>
  <c r="BQ1705" i="1" s="1"/>
  <c r="BM1710" i="1"/>
  <c r="BN1710" i="1" s="1"/>
  <c r="BO1710" i="1" s="1"/>
  <c r="BP1710" i="1" s="1"/>
  <c r="BQ1710" i="1" s="1"/>
  <c r="BM1729" i="1"/>
  <c r="BN1729" i="1" s="1"/>
  <c r="BO1729" i="1" s="1"/>
  <c r="BP1729" i="1" s="1"/>
  <c r="BQ1729" i="1" s="1"/>
  <c r="BM1744" i="1"/>
  <c r="BN1744" i="1" s="1"/>
  <c r="BO1744" i="1" s="1"/>
  <c r="BP1744" i="1" s="1"/>
  <c r="BQ1744" i="1" s="1"/>
  <c r="BM1746" i="1"/>
  <c r="BN1746" i="1" s="1"/>
  <c r="BO1746" i="1" s="1"/>
  <c r="BP1746" i="1" s="1"/>
  <c r="BQ1746" i="1" s="1"/>
  <c r="BM1755" i="1"/>
  <c r="BN1755" i="1" s="1"/>
  <c r="BO1755" i="1" s="1"/>
  <c r="BP1755" i="1" s="1"/>
  <c r="BQ1755" i="1" s="1"/>
  <c r="BM1772" i="1"/>
  <c r="BN1772" i="1" s="1"/>
  <c r="BO1772" i="1" s="1"/>
  <c r="BP1772" i="1" s="1"/>
  <c r="BQ1772" i="1" s="1"/>
  <c r="BM1777" i="1"/>
  <c r="BN1777" i="1" s="1"/>
  <c r="BO1777" i="1" s="1"/>
  <c r="BP1777" i="1" s="1"/>
  <c r="BQ1777" i="1" s="1"/>
  <c r="BM1779" i="1"/>
  <c r="BN1779" i="1" s="1"/>
  <c r="BO1779" i="1" s="1"/>
  <c r="BP1779" i="1" s="1"/>
  <c r="BQ1779" i="1" s="1"/>
  <c r="BM1804" i="1"/>
  <c r="BN1804" i="1" s="1"/>
  <c r="BO1804" i="1" s="1"/>
  <c r="BP1804" i="1" s="1"/>
  <c r="BQ1804" i="1" s="1"/>
  <c r="BM1811" i="1"/>
  <c r="BN1811" i="1" s="1"/>
  <c r="BO1811" i="1" s="1"/>
  <c r="BP1811" i="1" s="1"/>
  <c r="BQ1811" i="1" s="1"/>
  <c r="BM1837" i="1"/>
  <c r="BN1837" i="1" s="1"/>
  <c r="BO1837" i="1" s="1"/>
  <c r="BP1837" i="1" s="1"/>
  <c r="BQ1837" i="1" s="1"/>
  <c r="BM1855" i="1"/>
  <c r="BN1855" i="1" s="1"/>
  <c r="BO1855" i="1" s="1"/>
  <c r="BP1855" i="1" s="1"/>
  <c r="BQ1855" i="1" s="1"/>
  <c r="BM1867" i="1"/>
  <c r="BN1867" i="1" s="1"/>
  <c r="BO1867" i="1" s="1"/>
  <c r="BP1867" i="1" s="1"/>
  <c r="BQ1867" i="1" s="1"/>
  <c r="BM1880" i="1"/>
  <c r="BN1880" i="1" s="1"/>
  <c r="BO1880" i="1" s="1"/>
  <c r="BP1880" i="1" s="1"/>
  <c r="BQ1880" i="1" s="1"/>
  <c r="BM1421" i="1"/>
  <c r="BN1421" i="1" s="1"/>
  <c r="BO1421" i="1" s="1"/>
  <c r="BP1421" i="1" s="1"/>
  <c r="BQ1421" i="1" s="1"/>
  <c r="BM1465" i="1"/>
  <c r="BN1465" i="1" s="1"/>
  <c r="BO1465" i="1" s="1"/>
  <c r="BP1465" i="1" s="1"/>
  <c r="BQ1465" i="1" s="1"/>
  <c r="BM1499" i="1"/>
  <c r="BN1499" i="1" s="1"/>
  <c r="BO1499" i="1" s="1"/>
  <c r="BP1499" i="1" s="1"/>
  <c r="BQ1499" i="1" s="1"/>
  <c r="BM1523" i="1"/>
  <c r="BN1523" i="1" s="1"/>
  <c r="BO1523" i="1" s="1"/>
  <c r="BP1523" i="1" s="1"/>
  <c r="BQ1523" i="1" s="1"/>
  <c r="BM1569" i="1"/>
  <c r="BN1569" i="1" s="1"/>
  <c r="BO1569" i="1" s="1"/>
  <c r="BP1569" i="1" s="1"/>
  <c r="BQ1569" i="1" s="1"/>
  <c r="BM1600" i="1"/>
  <c r="BN1600" i="1" s="1"/>
  <c r="BO1600" i="1" s="1"/>
  <c r="BP1600" i="1" s="1"/>
  <c r="BQ1600" i="1" s="1"/>
  <c r="BM1657" i="1"/>
  <c r="BN1657" i="1" s="1"/>
  <c r="BO1657" i="1" s="1"/>
  <c r="BP1657" i="1" s="1"/>
  <c r="BQ1657" i="1" s="1"/>
  <c r="BM1667" i="1"/>
  <c r="BN1667" i="1" s="1"/>
  <c r="BO1667" i="1" s="1"/>
  <c r="BP1667" i="1" s="1"/>
  <c r="BQ1667" i="1" s="1"/>
  <c r="BM1670" i="1"/>
  <c r="BN1670" i="1" s="1"/>
  <c r="BO1670" i="1" s="1"/>
  <c r="BP1670" i="1" s="1"/>
  <c r="BQ1670" i="1" s="1"/>
  <c r="BM1675" i="1"/>
  <c r="BN1675" i="1" s="1"/>
  <c r="BO1675" i="1" s="1"/>
  <c r="BP1675" i="1" s="1"/>
  <c r="BQ1675" i="1" s="1"/>
  <c r="BM1678" i="1"/>
  <c r="BN1678" i="1" s="1"/>
  <c r="BO1678" i="1" s="1"/>
  <c r="BP1678" i="1" s="1"/>
  <c r="BQ1678" i="1" s="1"/>
  <c r="BM1690" i="1"/>
  <c r="BN1690" i="1" s="1"/>
  <c r="BO1690" i="1" s="1"/>
  <c r="BP1690" i="1" s="1"/>
  <c r="BQ1690" i="1" s="1"/>
  <c r="BM1722" i="1"/>
  <c r="BN1722" i="1" s="1"/>
  <c r="BO1722" i="1" s="1"/>
  <c r="BP1722" i="1" s="1"/>
  <c r="BQ1722" i="1" s="1"/>
  <c r="BM1727" i="1"/>
  <c r="BN1727" i="1" s="1"/>
  <c r="BO1727" i="1" s="1"/>
  <c r="BP1727" i="1" s="1"/>
  <c r="BQ1727" i="1" s="1"/>
  <c r="BM1739" i="1"/>
  <c r="BN1739" i="1" s="1"/>
  <c r="BO1739" i="1" s="1"/>
  <c r="BP1739" i="1" s="1"/>
  <c r="BQ1739" i="1" s="1"/>
  <c r="BM1765" i="1"/>
  <c r="BN1765" i="1" s="1"/>
  <c r="BO1765" i="1" s="1"/>
  <c r="BP1765" i="1" s="1"/>
  <c r="BQ1765" i="1" s="1"/>
  <c r="BM1782" i="1"/>
  <c r="BN1782" i="1" s="1"/>
  <c r="BO1782" i="1" s="1"/>
  <c r="BP1782" i="1" s="1"/>
  <c r="BQ1782" i="1" s="1"/>
  <c r="BM1789" i="1"/>
  <c r="BN1789" i="1" s="1"/>
  <c r="BO1789" i="1" s="1"/>
  <c r="BP1789" i="1" s="1"/>
  <c r="BQ1789" i="1" s="1"/>
  <c r="BM1794" i="1"/>
  <c r="BN1794" i="1" s="1"/>
  <c r="BO1794" i="1" s="1"/>
  <c r="BP1794" i="1" s="1"/>
  <c r="BQ1794" i="1" s="1"/>
  <c r="BM1840" i="1"/>
  <c r="BN1840" i="1" s="1"/>
  <c r="BO1840" i="1" s="1"/>
  <c r="BP1840" i="1" s="1"/>
  <c r="BQ1840" i="1" s="1"/>
  <c r="BM1865" i="1"/>
  <c r="BN1865" i="1" s="1"/>
  <c r="BO1865" i="1" s="1"/>
  <c r="BP1865" i="1" s="1"/>
  <c r="BQ1865" i="1" s="1"/>
  <c r="BM1870" i="1"/>
  <c r="BN1870" i="1" s="1"/>
  <c r="BO1870" i="1" s="1"/>
  <c r="BP1870" i="1" s="1"/>
  <c r="BQ1870" i="1" s="1"/>
  <c r="BM1875" i="1"/>
  <c r="BN1875" i="1" s="1"/>
  <c r="BO1875" i="1" s="1"/>
  <c r="BP1875" i="1" s="1"/>
  <c r="BQ1875" i="1" s="1"/>
  <c r="BM1439" i="1"/>
  <c r="BN1439" i="1" s="1"/>
  <c r="BO1439" i="1" s="1"/>
  <c r="BP1439" i="1" s="1"/>
  <c r="BQ1439" i="1" s="1"/>
  <c r="BM1468" i="1"/>
  <c r="BN1468" i="1" s="1"/>
  <c r="BO1468" i="1" s="1"/>
  <c r="BP1468" i="1" s="1"/>
  <c r="BQ1468" i="1" s="1"/>
  <c r="BM1515" i="1"/>
  <c r="BN1515" i="1" s="1"/>
  <c r="BO1515" i="1" s="1"/>
  <c r="BP1515" i="1" s="1"/>
  <c r="BQ1515" i="1" s="1"/>
  <c r="BM1543" i="1"/>
  <c r="BN1543" i="1" s="1"/>
  <c r="BO1543" i="1" s="1"/>
  <c r="BP1543" i="1" s="1"/>
  <c r="BQ1543" i="1" s="1"/>
  <c r="BM1554" i="1"/>
  <c r="BN1554" i="1" s="1"/>
  <c r="BO1554" i="1" s="1"/>
  <c r="BP1554" i="1" s="1"/>
  <c r="BQ1554" i="1" s="1"/>
  <c r="BM1567" i="1"/>
  <c r="BN1567" i="1" s="1"/>
  <c r="BO1567" i="1" s="1"/>
  <c r="BP1567" i="1" s="1"/>
  <c r="BQ1567" i="1" s="1"/>
  <c r="BM1593" i="1"/>
  <c r="BN1593" i="1" s="1"/>
  <c r="BO1593" i="1" s="1"/>
  <c r="BP1593" i="1" s="1"/>
  <c r="BQ1593" i="1" s="1"/>
  <c r="BM1603" i="1"/>
  <c r="BN1603" i="1" s="1"/>
  <c r="BO1603" i="1" s="1"/>
  <c r="BP1603" i="1" s="1"/>
  <c r="BQ1603" i="1" s="1"/>
  <c r="BM1608" i="1"/>
  <c r="BN1608" i="1" s="1"/>
  <c r="BO1608" i="1" s="1"/>
  <c r="BP1608" i="1" s="1"/>
  <c r="BQ1608" i="1" s="1"/>
  <c r="BM1624" i="1"/>
  <c r="BN1624" i="1" s="1"/>
  <c r="BO1624" i="1" s="1"/>
  <c r="BP1624" i="1" s="1"/>
  <c r="BQ1624" i="1" s="1"/>
  <c r="BM1652" i="1"/>
  <c r="BN1652" i="1" s="1"/>
  <c r="BO1652" i="1" s="1"/>
  <c r="BP1652" i="1" s="1"/>
  <c r="BQ1652" i="1" s="1"/>
  <c r="BM1693" i="1"/>
  <c r="BN1693" i="1" s="1"/>
  <c r="BO1693" i="1" s="1"/>
  <c r="BP1693" i="1" s="1"/>
  <c r="BQ1693" i="1" s="1"/>
  <c r="BM1698" i="1"/>
  <c r="BN1698" i="1" s="1"/>
  <c r="BO1698" i="1" s="1"/>
  <c r="BP1698" i="1" s="1"/>
  <c r="BQ1698" i="1" s="1"/>
  <c r="BM1703" i="1"/>
  <c r="BN1703" i="1" s="1"/>
  <c r="BO1703" i="1" s="1"/>
  <c r="BP1703" i="1" s="1"/>
  <c r="BQ1703" i="1" s="1"/>
  <c r="BM1715" i="1"/>
  <c r="BN1715" i="1" s="1"/>
  <c r="BO1715" i="1" s="1"/>
  <c r="BP1715" i="1" s="1"/>
  <c r="BQ1715" i="1" s="1"/>
  <c r="BM1758" i="1"/>
  <c r="BN1758" i="1" s="1"/>
  <c r="BO1758" i="1" s="1"/>
  <c r="BP1758" i="1" s="1"/>
  <c r="BQ1758" i="1" s="1"/>
  <c r="BM1770" i="1"/>
  <c r="BN1770" i="1" s="1"/>
  <c r="BO1770" i="1" s="1"/>
  <c r="BP1770" i="1" s="1"/>
  <c r="BQ1770" i="1" s="1"/>
  <c r="BM1775" i="1"/>
  <c r="BN1775" i="1" s="1"/>
  <c r="BO1775" i="1" s="1"/>
  <c r="BP1775" i="1" s="1"/>
  <c r="BQ1775" i="1" s="1"/>
  <c r="BM1792" i="1"/>
  <c r="BN1792" i="1" s="1"/>
  <c r="BO1792" i="1" s="1"/>
  <c r="BP1792" i="1" s="1"/>
  <c r="BQ1792" i="1" s="1"/>
  <c r="BM1797" i="1"/>
  <c r="BN1797" i="1" s="1"/>
  <c r="BO1797" i="1" s="1"/>
  <c r="BP1797" i="1" s="1"/>
  <c r="BQ1797" i="1" s="1"/>
  <c r="BM1817" i="1"/>
  <c r="BN1817" i="1" s="1"/>
  <c r="BO1817" i="1" s="1"/>
  <c r="BP1817" i="1" s="1"/>
  <c r="BQ1817" i="1" s="1"/>
  <c r="BM1369" i="1"/>
  <c r="BN1369" i="1" s="1"/>
  <c r="BO1369" i="1" s="1"/>
  <c r="BP1369" i="1" s="1"/>
  <c r="BQ1369" i="1" s="1"/>
  <c r="BM1412" i="1"/>
  <c r="BN1412" i="1" s="1"/>
  <c r="BO1412" i="1" s="1"/>
  <c r="BP1412" i="1" s="1"/>
  <c r="BQ1412" i="1" s="1"/>
  <c r="BM1476" i="1"/>
  <c r="BN1476" i="1" s="1"/>
  <c r="BO1476" i="1" s="1"/>
  <c r="BP1476" i="1" s="1"/>
  <c r="BQ1476" i="1" s="1"/>
  <c r="BM1564" i="1"/>
  <c r="BN1564" i="1" s="1"/>
  <c r="BO1564" i="1" s="1"/>
  <c r="BP1564" i="1" s="1"/>
  <c r="BQ1564" i="1" s="1"/>
  <c r="BM1576" i="1"/>
  <c r="BN1576" i="1" s="1"/>
  <c r="BO1576" i="1" s="1"/>
  <c r="BP1576" i="1" s="1"/>
  <c r="BQ1576" i="1" s="1"/>
  <c r="BM1595" i="1"/>
  <c r="BN1595" i="1" s="1"/>
  <c r="BO1595" i="1" s="1"/>
  <c r="BP1595" i="1" s="1"/>
  <c r="BQ1595" i="1" s="1"/>
  <c r="BM1619" i="1"/>
  <c r="BN1619" i="1" s="1"/>
  <c r="BO1619" i="1" s="1"/>
  <c r="BP1619" i="1" s="1"/>
  <c r="BQ1619" i="1" s="1"/>
  <c r="BM1642" i="1"/>
  <c r="BN1642" i="1" s="1"/>
  <c r="BO1642" i="1" s="1"/>
  <c r="BP1642" i="1" s="1"/>
  <c r="BQ1642" i="1" s="1"/>
  <c r="BM1660" i="1"/>
  <c r="BN1660" i="1" s="1"/>
  <c r="BO1660" i="1" s="1"/>
  <c r="BP1660" i="1" s="1"/>
  <c r="BQ1660" i="1" s="1"/>
  <c r="BM1665" i="1"/>
  <c r="BN1665" i="1" s="1"/>
  <c r="BO1665" i="1" s="1"/>
  <c r="BP1665" i="1" s="1"/>
  <c r="BQ1665" i="1" s="1"/>
  <c r="BM1683" i="1"/>
  <c r="BN1683" i="1" s="1"/>
  <c r="BO1683" i="1" s="1"/>
  <c r="BP1683" i="1" s="1"/>
  <c r="BQ1683" i="1" s="1"/>
  <c r="BM1688" i="1"/>
  <c r="BN1688" i="1" s="1"/>
  <c r="BO1688" i="1" s="1"/>
  <c r="BP1688" i="1" s="1"/>
  <c r="BQ1688" i="1" s="1"/>
  <c r="BM1696" i="1"/>
  <c r="BN1696" i="1" s="1"/>
  <c r="BO1696" i="1" s="1"/>
  <c r="BP1696" i="1" s="1"/>
  <c r="BQ1696" i="1" s="1"/>
  <c r="BM1720" i="1"/>
  <c r="BN1720" i="1" s="1"/>
  <c r="BO1720" i="1" s="1"/>
  <c r="BP1720" i="1" s="1"/>
  <c r="BQ1720" i="1" s="1"/>
  <c r="BM1732" i="1"/>
  <c r="BN1732" i="1" s="1"/>
  <c r="BO1732" i="1" s="1"/>
  <c r="BP1732" i="1" s="1"/>
  <c r="BQ1732" i="1" s="1"/>
  <c r="BM1753" i="1"/>
  <c r="BN1753" i="1" s="1"/>
  <c r="BO1753" i="1" s="1"/>
  <c r="BP1753" i="1" s="1"/>
  <c r="BQ1753" i="1" s="1"/>
  <c r="BM1787" i="1"/>
  <c r="BN1787" i="1" s="1"/>
  <c r="BO1787" i="1" s="1"/>
  <c r="BP1787" i="1" s="1"/>
  <c r="BQ1787" i="1" s="1"/>
  <c r="BM1802" i="1"/>
  <c r="BN1802" i="1" s="1"/>
  <c r="BO1802" i="1" s="1"/>
  <c r="BP1802" i="1" s="1"/>
  <c r="BQ1802" i="1" s="1"/>
  <c r="BM1807" i="1"/>
  <c r="BN1807" i="1" s="1"/>
  <c r="BO1807" i="1" s="1"/>
  <c r="BP1807" i="1" s="1"/>
  <c r="BQ1807" i="1" s="1"/>
  <c r="BM1809" i="1"/>
  <c r="BN1809" i="1" s="1"/>
  <c r="BO1809" i="1" s="1"/>
  <c r="BP1809" i="1" s="1"/>
  <c r="BQ1809" i="1" s="1"/>
  <c r="BM1814" i="1"/>
  <c r="BN1814" i="1" s="1"/>
  <c r="BO1814" i="1" s="1"/>
  <c r="BP1814" i="1" s="1"/>
  <c r="BQ1814" i="1" s="1"/>
  <c r="BM1825" i="1"/>
  <c r="BN1825" i="1" s="1"/>
  <c r="BO1825" i="1" s="1"/>
  <c r="BP1825" i="1" s="1"/>
  <c r="BQ1825" i="1" s="1"/>
  <c r="BM1827" i="1"/>
  <c r="BN1827" i="1" s="1"/>
  <c r="BO1827" i="1" s="1"/>
  <c r="BP1827" i="1" s="1"/>
  <c r="BQ1827" i="1" s="1"/>
  <c r="BM1873" i="1"/>
  <c r="BN1873" i="1" s="1"/>
  <c r="BO1873" i="1" s="1"/>
  <c r="BP1873" i="1" s="1"/>
  <c r="BQ1873" i="1" s="1"/>
  <c r="BM1891" i="1"/>
  <c r="BN1891" i="1" s="1"/>
  <c r="BO1891" i="1" s="1"/>
  <c r="BP1891" i="1" s="1"/>
  <c r="BQ1891" i="1" s="1"/>
  <c r="BM1406" i="1"/>
  <c r="BN1406" i="1" s="1"/>
  <c r="BO1406" i="1" s="1"/>
  <c r="BP1406" i="1" s="1"/>
  <c r="BQ1406" i="1" s="1"/>
  <c r="BM1509" i="1"/>
  <c r="BN1509" i="1" s="1"/>
  <c r="BO1509" i="1" s="1"/>
  <c r="BP1509" i="1" s="1"/>
  <c r="BQ1509" i="1" s="1"/>
  <c r="BM1521" i="1"/>
  <c r="BN1521" i="1" s="1"/>
  <c r="BO1521" i="1" s="1"/>
  <c r="BP1521" i="1" s="1"/>
  <c r="BQ1521" i="1" s="1"/>
  <c r="BM1562" i="1"/>
  <c r="BN1562" i="1" s="1"/>
  <c r="BO1562" i="1" s="1"/>
  <c r="BP1562" i="1" s="1"/>
  <c r="BQ1562" i="1" s="1"/>
  <c r="BM1574" i="1"/>
  <c r="BN1574" i="1" s="1"/>
  <c r="BO1574" i="1" s="1"/>
  <c r="BP1574" i="1" s="1"/>
  <c r="BQ1574" i="1" s="1"/>
  <c r="BM1581" i="1"/>
  <c r="BN1581" i="1" s="1"/>
  <c r="BO1581" i="1" s="1"/>
  <c r="BP1581" i="1" s="1"/>
  <c r="BQ1581" i="1" s="1"/>
  <c r="BM1591" i="1"/>
  <c r="BN1591" i="1" s="1"/>
  <c r="BO1591" i="1" s="1"/>
  <c r="BP1591" i="1" s="1"/>
  <c r="BQ1591" i="1" s="1"/>
  <c r="BM1606" i="1"/>
  <c r="BN1606" i="1" s="1"/>
  <c r="BO1606" i="1" s="1"/>
  <c r="BP1606" i="1" s="1"/>
  <c r="BQ1606" i="1" s="1"/>
  <c r="BM1611" i="1"/>
  <c r="BN1611" i="1" s="1"/>
  <c r="BO1611" i="1" s="1"/>
  <c r="BP1611" i="1" s="1"/>
  <c r="BQ1611" i="1" s="1"/>
  <c r="BM1614" i="1"/>
  <c r="BN1614" i="1" s="1"/>
  <c r="BO1614" i="1" s="1"/>
  <c r="BP1614" i="1" s="1"/>
  <c r="BQ1614" i="1" s="1"/>
  <c r="BM1622" i="1"/>
  <c r="BN1622" i="1" s="1"/>
  <c r="BO1622" i="1" s="1"/>
  <c r="BP1622" i="1" s="1"/>
  <c r="BQ1622" i="1" s="1"/>
  <c r="BM1627" i="1"/>
  <c r="BN1627" i="1" s="1"/>
  <c r="BO1627" i="1" s="1"/>
  <c r="BP1627" i="1" s="1"/>
  <c r="BQ1627" i="1" s="1"/>
  <c r="BM1630" i="1"/>
  <c r="BN1630" i="1" s="1"/>
  <c r="BO1630" i="1" s="1"/>
  <c r="BP1630" i="1" s="1"/>
  <c r="BQ1630" i="1" s="1"/>
  <c r="BM1655" i="1"/>
  <c r="BN1655" i="1" s="1"/>
  <c r="BO1655" i="1" s="1"/>
  <c r="BP1655" i="1" s="1"/>
  <c r="BQ1655" i="1" s="1"/>
  <c r="BM1663" i="1"/>
  <c r="BN1663" i="1" s="1"/>
  <c r="BO1663" i="1" s="1"/>
  <c r="BP1663" i="1" s="1"/>
  <c r="BQ1663" i="1" s="1"/>
  <c r="BM1673" i="1"/>
  <c r="BN1673" i="1" s="1"/>
  <c r="BO1673" i="1" s="1"/>
  <c r="BP1673" i="1" s="1"/>
  <c r="BQ1673" i="1" s="1"/>
  <c r="BM1686" i="1"/>
  <c r="BN1686" i="1" s="1"/>
  <c r="BO1686" i="1" s="1"/>
  <c r="BP1686" i="1" s="1"/>
  <c r="BQ1686" i="1" s="1"/>
  <c r="BM1701" i="1"/>
  <c r="BN1701" i="1" s="1"/>
  <c r="BO1701" i="1" s="1"/>
  <c r="BP1701" i="1" s="1"/>
  <c r="BQ1701" i="1" s="1"/>
  <c r="BM1708" i="1"/>
  <c r="BN1708" i="1" s="1"/>
  <c r="BO1708" i="1" s="1"/>
  <c r="BP1708" i="1" s="1"/>
  <c r="BQ1708" i="1" s="1"/>
  <c r="BM1725" i="1"/>
  <c r="BN1725" i="1" s="1"/>
  <c r="BO1725" i="1" s="1"/>
  <c r="BP1725" i="1" s="1"/>
  <c r="BQ1725" i="1" s="1"/>
  <c r="BM1742" i="1"/>
  <c r="BN1742" i="1" s="1"/>
  <c r="BO1742" i="1" s="1"/>
  <c r="BP1742" i="1" s="1"/>
  <c r="BQ1742" i="1" s="1"/>
  <c r="BM1820" i="1"/>
  <c r="BN1820" i="1" s="1"/>
  <c r="BO1820" i="1" s="1"/>
  <c r="BP1820" i="1" s="1"/>
  <c r="BQ1820" i="1" s="1"/>
  <c r="BM1833" i="1"/>
  <c r="BN1833" i="1" s="1"/>
  <c r="BO1833" i="1" s="1"/>
  <c r="BP1833" i="1" s="1"/>
  <c r="BQ1833" i="1" s="1"/>
  <c r="BM1835" i="1"/>
  <c r="BN1835" i="1" s="1"/>
  <c r="BO1835" i="1" s="1"/>
  <c r="BP1835" i="1" s="1"/>
  <c r="BQ1835" i="1" s="1"/>
  <c r="BM1469" i="1"/>
  <c r="BN1469" i="1" s="1"/>
  <c r="BO1469" i="1" s="1"/>
  <c r="BP1469" i="1" s="1"/>
  <c r="BQ1469" i="1" s="1"/>
  <c r="BM1497" i="1"/>
  <c r="BN1497" i="1" s="1"/>
  <c r="BO1497" i="1" s="1"/>
  <c r="BP1497" i="1" s="1"/>
  <c r="BQ1497" i="1" s="1"/>
  <c r="BM1503" i="1"/>
  <c r="BN1503" i="1" s="1"/>
  <c r="BO1503" i="1" s="1"/>
  <c r="BP1503" i="1" s="1"/>
  <c r="BQ1503" i="1" s="1"/>
  <c r="BM1532" i="1"/>
  <c r="BN1532" i="1" s="1"/>
  <c r="BO1532" i="1" s="1"/>
  <c r="BP1532" i="1" s="1"/>
  <c r="BQ1532" i="1" s="1"/>
  <c r="BM1584" i="1"/>
  <c r="BN1584" i="1" s="1"/>
  <c r="BO1584" i="1" s="1"/>
  <c r="BP1584" i="1" s="1"/>
  <c r="BQ1584" i="1" s="1"/>
  <c r="BM1586" i="1"/>
  <c r="BN1586" i="1" s="1"/>
  <c r="BO1586" i="1" s="1"/>
  <c r="BP1586" i="1" s="1"/>
  <c r="BQ1586" i="1" s="1"/>
  <c r="BM1635" i="1"/>
  <c r="BN1635" i="1" s="1"/>
  <c r="BM1640" i="1"/>
  <c r="BN1640" i="1" s="1"/>
  <c r="BO1640" i="1" s="1"/>
  <c r="BP1640" i="1" s="1"/>
  <c r="BQ1640" i="1" s="1"/>
  <c r="BM1645" i="1"/>
  <c r="BN1645" i="1" s="1"/>
  <c r="BO1645" i="1" s="1"/>
  <c r="BP1645" i="1" s="1"/>
  <c r="BQ1645" i="1" s="1"/>
  <c r="BM1650" i="1"/>
  <c r="BN1650" i="1" s="1"/>
  <c r="BO1650" i="1" s="1"/>
  <c r="BP1650" i="1" s="1"/>
  <c r="BQ1650" i="1" s="1"/>
  <c r="BM1681" i="1"/>
  <c r="BN1681" i="1" s="1"/>
  <c r="BO1681" i="1" s="1"/>
  <c r="BP1681" i="1" s="1"/>
  <c r="BQ1681" i="1" s="1"/>
  <c r="BM1713" i="1"/>
  <c r="BN1713" i="1" s="1"/>
  <c r="BO1713" i="1" s="1"/>
  <c r="BP1713" i="1" s="1"/>
  <c r="BQ1713" i="1" s="1"/>
  <c r="BM1718" i="1"/>
  <c r="BN1718" i="1" s="1"/>
  <c r="BO1718" i="1" s="1"/>
  <c r="BP1718" i="1" s="1"/>
  <c r="BQ1718" i="1" s="1"/>
  <c r="BM1737" i="1"/>
  <c r="BN1737" i="1" s="1"/>
  <c r="BO1737" i="1" s="1"/>
  <c r="BP1737" i="1" s="1"/>
  <c r="BQ1737" i="1" s="1"/>
  <c r="BM1768" i="1"/>
  <c r="BN1768" i="1" s="1"/>
  <c r="BO1768" i="1" s="1"/>
  <c r="BP1768" i="1" s="1"/>
  <c r="BQ1768" i="1" s="1"/>
  <c r="BM1773" i="1"/>
  <c r="BN1773" i="1" s="1"/>
  <c r="BO1773" i="1" s="1"/>
  <c r="BP1773" i="1" s="1"/>
  <c r="BQ1773" i="1" s="1"/>
  <c r="BM1780" i="1"/>
  <c r="BN1780" i="1" s="1"/>
  <c r="BO1780" i="1" s="1"/>
  <c r="BP1780" i="1" s="1"/>
  <c r="BQ1780" i="1" s="1"/>
  <c r="BM1785" i="1"/>
  <c r="BN1785" i="1" s="1"/>
  <c r="BO1785" i="1" s="1"/>
  <c r="BP1785" i="1" s="1"/>
  <c r="BQ1785" i="1" s="1"/>
  <c r="BM1800" i="1"/>
  <c r="BN1800" i="1" s="1"/>
  <c r="BO1800" i="1" s="1"/>
  <c r="BP1800" i="1" s="1"/>
  <c r="BQ1800" i="1" s="1"/>
  <c r="BM1451" i="1"/>
  <c r="BN1451" i="1" s="1"/>
  <c r="BO1451" i="1" s="1"/>
  <c r="BP1451" i="1" s="1"/>
  <c r="BQ1451" i="1" s="1"/>
  <c r="BM1466" i="1"/>
  <c r="BN1466" i="1" s="1"/>
  <c r="BO1466" i="1" s="1"/>
  <c r="BP1466" i="1" s="1"/>
  <c r="BQ1466" i="1" s="1"/>
  <c r="BM1480" i="1"/>
  <c r="BN1480" i="1" s="1"/>
  <c r="BO1480" i="1" s="1"/>
  <c r="BP1480" i="1" s="1"/>
  <c r="BQ1480" i="1" s="1"/>
  <c r="BM1483" i="1"/>
  <c r="BN1483" i="1" s="1"/>
  <c r="BO1483" i="1" s="1"/>
  <c r="BP1483" i="1" s="1"/>
  <c r="BQ1483" i="1" s="1"/>
  <c r="BM1513" i="1"/>
  <c r="BN1513" i="1" s="1"/>
  <c r="BO1513" i="1" s="1"/>
  <c r="BP1513" i="1" s="1"/>
  <c r="BQ1513" i="1" s="1"/>
  <c r="BM1524" i="1"/>
  <c r="BN1524" i="1" s="1"/>
  <c r="BO1524" i="1" s="1"/>
  <c r="BP1524" i="1" s="1"/>
  <c r="BQ1524" i="1" s="1"/>
  <c r="BM1527" i="1"/>
  <c r="BN1527" i="1" s="1"/>
  <c r="BO1527" i="1" s="1"/>
  <c r="BP1527" i="1" s="1"/>
  <c r="BQ1527" i="1" s="1"/>
  <c r="BM1538" i="1"/>
  <c r="BN1538" i="1" s="1"/>
  <c r="BO1538" i="1" s="1"/>
  <c r="BP1538" i="1" s="1"/>
  <c r="BQ1538" i="1" s="1"/>
  <c r="BM1549" i="1"/>
  <c r="BN1549" i="1" s="1"/>
  <c r="BO1549" i="1" s="1"/>
  <c r="BP1549" i="1" s="1"/>
  <c r="BQ1549" i="1" s="1"/>
  <c r="BM1557" i="1"/>
  <c r="BN1557" i="1" s="1"/>
  <c r="BO1557" i="1" s="1"/>
  <c r="BP1557" i="1" s="1"/>
  <c r="BQ1557" i="1" s="1"/>
  <c r="BM1572" i="1"/>
  <c r="BN1572" i="1" s="1"/>
  <c r="BO1572" i="1" s="1"/>
  <c r="BP1572" i="1" s="1"/>
  <c r="BQ1572" i="1" s="1"/>
  <c r="BM1579" i="1"/>
  <c r="BN1579" i="1" s="1"/>
  <c r="BO1579" i="1" s="1"/>
  <c r="BP1579" i="1" s="1"/>
  <c r="BQ1579" i="1" s="1"/>
  <c r="BM1648" i="1"/>
  <c r="BN1648" i="1" s="1"/>
  <c r="BO1648" i="1" s="1"/>
  <c r="BP1648" i="1" s="1"/>
  <c r="BQ1648" i="1" s="1"/>
  <c r="BM1668" i="1"/>
  <c r="BN1668" i="1" s="1"/>
  <c r="BO1668" i="1" s="1"/>
  <c r="BP1668" i="1" s="1"/>
  <c r="BQ1668" i="1" s="1"/>
  <c r="BM1676" i="1"/>
  <c r="BN1676" i="1" s="1"/>
  <c r="BO1676" i="1" s="1"/>
  <c r="BP1676" i="1" s="1"/>
  <c r="BQ1676" i="1" s="1"/>
  <c r="BM1735" i="1"/>
  <c r="BN1735" i="1" s="1"/>
  <c r="BO1735" i="1" s="1"/>
  <c r="BP1735" i="1" s="1"/>
  <c r="BQ1735" i="1" s="1"/>
  <c r="BM1749" i="1"/>
  <c r="BN1749" i="1" s="1"/>
  <c r="BO1749" i="1" s="1"/>
  <c r="BP1749" i="1" s="1"/>
  <c r="BQ1749" i="1" s="1"/>
  <c r="BM1751" i="1"/>
  <c r="BN1751" i="1" s="1"/>
  <c r="BO1751" i="1" s="1"/>
  <c r="BP1751" i="1" s="1"/>
  <c r="BQ1751" i="1" s="1"/>
  <c r="BM1756" i="1"/>
  <c r="BN1756" i="1" s="1"/>
  <c r="BO1756" i="1" s="1"/>
  <c r="BP1756" i="1" s="1"/>
  <c r="BQ1756" i="1" s="1"/>
  <c r="BM1790" i="1"/>
  <c r="BN1790" i="1" s="1"/>
  <c r="BO1790" i="1" s="1"/>
  <c r="BP1790" i="1" s="1"/>
  <c r="BQ1790" i="1" s="1"/>
  <c r="BM1812" i="1"/>
  <c r="BN1812" i="1" s="1"/>
  <c r="BO1812" i="1" s="1"/>
  <c r="BP1812" i="1" s="1"/>
  <c r="BQ1812" i="1" s="1"/>
  <c r="BM1856" i="1"/>
  <c r="BN1856" i="1" s="1"/>
  <c r="BO1856" i="1" s="1"/>
  <c r="BP1856" i="1" s="1"/>
  <c r="BQ1856" i="1" s="1"/>
  <c r="BM1868" i="1"/>
  <c r="BN1868" i="1" s="1"/>
  <c r="BO1868" i="1" s="1"/>
  <c r="BP1868" i="1" s="1"/>
  <c r="BQ1868" i="1" s="1"/>
  <c r="BM1876" i="1"/>
  <c r="BN1876" i="1" s="1"/>
  <c r="BO1876" i="1" s="1"/>
  <c r="BP1876" i="1" s="1"/>
  <c r="BQ1876" i="1" s="1"/>
  <c r="BM1881" i="1"/>
  <c r="BN1881" i="1" s="1"/>
  <c r="BO1881" i="1" s="1"/>
  <c r="BP1881" i="1" s="1"/>
  <c r="BQ1881" i="1" s="1"/>
  <c r="BM1889" i="1"/>
  <c r="BN1889" i="1" s="1"/>
  <c r="BO1889" i="1" s="1"/>
  <c r="BP1889" i="1" s="1"/>
  <c r="BQ1889" i="1" s="1"/>
  <c r="BM1894" i="1"/>
  <c r="BN1894" i="1" s="1"/>
  <c r="BO1894" i="1" s="1"/>
  <c r="BP1894" i="1" s="1"/>
  <c r="BQ1894" i="1" s="1"/>
  <c r="BM1915" i="1"/>
  <c r="BN1915" i="1" s="1"/>
  <c r="BO1915" i="1" s="1"/>
  <c r="BP1915" i="1" s="1"/>
  <c r="BQ1915" i="1" s="1"/>
  <c r="BM1920" i="1"/>
  <c r="BN1920" i="1" s="1"/>
  <c r="BO1920" i="1" s="1"/>
  <c r="BP1920" i="1" s="1"/>
  <c r="BQ1920" i="1" s="1"/>
  <c r="BM1925" i="1"/>
  <c r="BN1925" i="1" s="1"/>
  <c r="BO1925" i="1" s="1"/>
  <c r="BP1925" i="1" s="1"/>
  <c r="BQ1925" i="1" s="1"/>
  <c r="BM1448" i="1"/>
  <c r="BN1448" i="1" s="1"/>
  <c r="BO1448" i="1" s="1"/>
  <c r="BP1448" i="1" s="1"/>
  <c r="BQ1448" i="1" s="1"/>
  <c r="BM1510" i="1"/>
  <c r="BN1510" i="1" s="1"/>
  <c r="BO1510" i="1" s="1"/>
  <c r="BP1510" i="1" s="1"/>
  <c r="BQ1510" i="1" s="1"/>
  <c r="BM1519" i="1"/>
  <c r="BN1519" i="1" s="1"/>
  <c r="BO1519" i="1" s="1"/>
  <c r="BP1519" i="1" s="1"/>
  <c r="BQ1519" i="1" s="1"/>
  <c r="BM1552" i="1"/>
  <c r="BN1552" i="1" s="1"/>
  <c r="BO1552" i="1" s="1"/>
  <c r="BP1552" i="1" s="1"/>
  <c r="BQ1552" i="1" s="1"/>
  <c r="BM1560" i="1"/>
  <c r="BN1560" i="1" s="1"/>
  <c r="BO1560" i="1" s="1"/>
  <c r="BP1560" i="1" s="1"/>
  <c r="BQ1560" i="1" s="1"/>
  <c r="BM1598" i="1"/>
  <c r="BN1598" i="1" s="1"/>
  <c r="BO1598" i="1" s="1"/>
  <c r="BP1598" i="1" s="1"/>
  <c r="BQ1598" i="1" s="1"/>
  <c r="BM1617" i="1"/>
  <c r="BN1617" i="1" s="1"/>
  <c r="BO1617" i="1" s="1"/>
  <c r="BP1617" i="1" s="1"/>
  <c r="BQ1617" i="1" s="1"/>
  <c r="BM1638" i="1"/>
  <c r="BN1638" i="1" s="1"/>
  <c r="BO1638" i="1" s="1"/>
  <c r="BP1638" i="1" s="1"/>
  <c r="BQ1638" i="1" s="1"/>
  <c r="BM1653" i="1"/>
  <c r="BN1653" i="1" s="1"/>
  <c r="BO1653" i="1" s="1"/>
  <c r="BP1653" i="1" s="1"/>
  <c r="BQ1653" i="1" s="1"/>
  <c r="BM1691" i="1"/>
  <c r="BN1691" i="1" s="1"/>
  <c r="BO1691" i="1" s="1"/>
  <c r="BP1691" i="1" s="1"/>
  <c r="BQ1691" i="1" s="1"/>
  <c r="BM1694" i="1"/>
  <c r="BN1694" i="1" s="1"/>
  <c r="BO1694" i="1" s="1"/>
  <c r="BP1694" i="1" s="1"/>
  <c r="BQ1694" i="1" s="1"/>
  <c r="BM1706" i="1"/>
  <c r="BN1706" i="1" s="1"/>
  <c r="BO1706" i="1" s="1"/>
  <c r="BP1706" i="1" s="1"/>
  <c r="BQ1706" i="1" s="1"/>
  <c r="BM1723" i="1"/>
  <c r="BN1723" i="1" s="1"/>
  <c r="BO1723" i="1" s="1"/>
  <c r="BP1723" i="1" s="1"/>
  <c r="BQ1723" i="1" s="1"/>
  <c r="BM1730" i="1"/>
  <c r="BN1730" i="1" s="1"/>
  <c r="BO1730" i="1" s="1"/>
  <c r="BP1730" i="1" s="1"/>
  <c r="BQ1730" i="1" s="1"/>
  <c r="BM1763" i="1"/>
  <c r="BN1763" i="1" s="1"/>
  <c r="BO1763" i="1" s="1"/>
  <c r="BP1763" i="1" s="1"/>
  <c r="BQ1763" i="1" s="1"/>
  <c r="BM1766" i="1"/>
  <c r="BN1766" i="1" s="1"/>
  <c r="BO1766" i="1" s="1"/>
  <c r="BP1766" i="1" s="1"/>
  <c r="BQ1766" i="1" s="1"/>
  <c r="BM1381" i="1"/>
  <c r="BN1381" i="1" s="1"/>
  <c r="BO1381" i="1" s="1"/>
  <c r="BP1381" i="1" s="1"/>
  <c r="BQ1381" i="1" s="1"/>
  <c r="BM1436" i="1"/>
  <c r="BN1436" i="1" s="1"/>
  <c r="BO1436" i="1" s="1"/>
  <c r="BP1436" i="1" s="1"/>
  <c r="BQ1436" i="1" s="1"/>
  <c r="BM1455" i="1"/>
  <c r="BN1455" i="1" s="1"/>
  <c r="BO1455" i="1" s="1"/>
  <c r="BP1455" i="1" s="1"/>
  <c r="BQ1455" i="1" s="1"/>
  <c r="BM1459" i="1"/>
  <c r="BN1459" i="1" s="1"/>
  <c r="BO1459" i="1" s="1"/>
  <c r="BP1459" i="1" s="1"/>
  <c r="BQ1459" i="1" s="1"/>
  <c r="BM1477" i="1"/>
  <c r="BN1477" i="1" s="1"/>
  <c r="BO1477" i="1" s="1"/>
  <c r="BP1477" i="1" s="1"/>
  <c r="BQ1477" i="1" s="1"/>
  <c r="BM1487" i="1"/>
  <c r="BN1487" i="1" s="1"/>
  <c r="BO1487" i="1" s="1"/>
  <c r="BP1487" i="1" s="1"/>
  <c r="BQ1487" i="1" s="1"/>
  <c r="BM1500" i="1"/>
  <c r="BN1500" i="1" s="1"/>
  <c r="BO1500" i="1" s="1"/>
  <c r="BP1500" i="1" s="1"/>
  <c r="BQ1500" i="1" s="1"/>
  <c r="BM1530" i="1"/>
  <c r="BN1530" i="1" s="1"/>
  <c r="BO1530" i="1" s="1"/>
  <c r="BP1530" i="1" s="1"/>
  <c r="BQ1530" i="1" s="1"/>
  <c r="BM1544" i="1"/>
  <c r="BN1544" i="1" s="1"/>
  <c r="BO1544" i="1" s="1"/>
  <c r="BP1544" i="1" s="1"/>
  <c r="BQ1544" i="1" s="1"/>
  <c r="BM1565" i="1"/>
  <c r="BN1565" i="1" s="1"/>
  <c r="BO1565" i="1" s="1"/>
  <c r="BP1565" i="1" s="1"/>
  <c r="BQ1565" i="1" s="1"/>
  <c r="BM1570" i="1"/>
  <c r="BN1570" i="1" s="1"/>
  <c r="BO1570" i="1" s="1"/>
  <c r="BP1570" i="1" s="1"/>
  <c r="BQ1570" i="1" s="1"/>
  <c r="BM1582" i="1"/>
  <c r="BN1582" i="1" s="1"/>
  <c r="BO1582" i="1" s="1"/>
  <c r="BP1582" i="1" s="1"/>
  <c r="BQ1582" i="1" s="1"/>
  <c r="BM1589" i="1"/>
  <c r="BN1589" i="1" s="1"/>
  <c r="BO1589" i="1" s="1"/>
  <c r="BP1589" i="1" s="1"/>
  <c r="BQ1589" i="1" s="1"/>
  <c r="BM1596" i="1"/>
  <c r="BN1596" i="1" s="1"/>
  <c r="BO1596" i="1" s="1"/>
  <c r="BP1596" i="1" s="1"/>
  <c r="BQ1596" i="1" s="1"/>
  <c r="BM1601" i="1"/>
  <c r="BN1601" i="1" s="1"/>
  <c r="BO1601" i="1" s="1"/>
  <c r="BP1601" i="1" s="1"/>
  <c r="BQ1601" i="1" s="1"/>
  <c r="BM1604" i="1"/>
  <c r="BN1604" i="1" s="1"/>
  <c r="BO1604" i="1" s="1"/>
  <c r="BP1604" i="1" s="1"/>
  <c r="BQ1604" i="1" s="1"/>
  <c r="BM1609" i="1"/>
  <c r="BN1609" i="1" s="1"/>
  <c r="BO1609" i="1" s="1"/>
  <c r="BP1609" i="1" s="1"/>
  <c r="BQ1609" i="1" s="1"/>
  <c r="BM1625" i="1"/>
  <c r="BN1625" i="1" s="1"/>
  <c r="BO1625" i="1" s="1"/>
  <c r="BP1625" i="1" s="1"/>
  <c r="BQ1625" i="1" s="1"/>
  <c r="BM1633" i="1"/>
  <c r="BN1633" i="1" s="1"/>
  <c r="BO1633" i="1" s="1"/>
  <c r="BP1633" i="1" s="1"/>
  <c r="BQ1633" i="1" s="1"/>
  <c r="BM1671" i="1"/>
  <c r="BN1671" i="1" s="1"/>
  <c r="BO1671" i="1" s="1"/>
  <c r="BP1671" i="1" s="1"/>
  <c r="BQ1671" i="1" s="1"/>
  <c r="BM1679" i="1"/>
  <c r="BN1679" i="1" s="1"/>
  <c r="BO1679" i="1" s="1"/>
  <c r="BP1679" i="1" s="1"/>
  <c r="BQ1679" i="1" s="1"/>
  <c r="BM1711" i="1"/>
  <c r="BN1711" i="1" s="1"/>
  <c r="BO1711" i="1" s="1"/>
  <c r="BP1711" i="1" s="1"/>
  <c r="BQ1711" i="1" s="1"/>
  <c r="BM1716" i="1"/>
  <c r="BN1716" i="1" s="1"/>
  <c r="BO1716" i="1" s="1"/>
  <c r="BP1716" i="1" s="1"/>
  <c r="BQ1716" i="1" s="1"/>
  <c r="BM1728" i="1"/>
  <c r="BN1728" i="1" s="1"/>
  <c r="BO1728" i="1" s="1"/>
  <c r="BP1728" i="1" s="1"/>
  <c r="BQ1728" i="1" s="1"/>
  <c r="BM1733" i="1"/>
  <c r="BN1733" i="1" s="1"/>
  <c r="BO1733" i="1" s="1"/>
  <c r="BP1733" i="1" s="1"/>
  <c r="BQ1733" i="1" s="1"/>
  <c r="BM1745" i="1"/>
  <c r="BN1745" i="1" s="1"/>
  <c r="BO1745" i="1" s="1"/>
  <c r="BP1745" i="1" s="1"/>
  <c r="BQ1745" i="1" s="1"/>
  <c r="BM1747" i="1"/>
  <c r="BN1747" i="1" s="1"/>
  <c r="BO1747" i="1" s="1"/>
  <c r="BP1747" i="1" s="1"/>
  <c r="BQ1747" i="1" s="1"/>
  <c r="BM1759" i="1"/>
  <c r="BN1759" i="1" s="1"/>
  <c r="BO1759" i="1" s="1"/>
  <c r="BP1759" i="1" s="1"/>
  <c r="BQ1759" i="1" s="1"/>
  <c r="BM1761" i="1"/>
  <c r="BN1761" i="1" s="1"/>
  <c r="BO1761" i="1" s="1"/>
  <c r="BP1761" i="1" s="1"/>
  <c r="BQ1761" i="1" s="1"/>
  <c r="BM1386" i="1"/>
  <c r="BN1386" i="1" s="1"/>
  <c r="BO1386" i="1" s="1"/>
  <c r="BP1386" i="1" s="1"/>
  <c r="BQ1386" i="1" s="1"/>
  <c r="BM1396" i="1"/>
  <c r="BN1396" i="1" s="1"/>
  <c r="BO1396" i="1" s="1"/>
  <c r="BP1396" i="1" s="1"/>
  <c r="BQ1396" i="1" s="1"/>
  <c r="BM1419" i="1"/>
  <c r="BN1419" i="1" s="1"/>
  <c r="BO1419" i="1" s="1"/>
  <c r="BP1419" i="1" s="1"/>
  <c r="BQ1419" i="1" s="1"/>
  <c r="BM1470" i="1"/>
  <c r="BN1470" i="1" s="1"/>
  <c r="BO1470" i="1" s="1"/>
  <c r="BP1470" i="1" s="1"/>
  <c r="BQ1470" i="1" s="1"/>
  <c r="BM1507" i="1"/>
  <c r="BN1507" i="1" s="1"/>
  <c r="BO1507" i="1" s="1"/>
  <c r="BP1507" i="1" s="1"/>
  <c r="BQ1507" i="1" s="1"/>
  <c r="BM1516" i="1"/>
  <c r="BN1516" i="1" s="1"/>
  <c r="BO1516" i="1" s="1"/>
  <c r="BP1516" i="1" s="1"/>
  <c r="BQ1516" i="1" s="1"/>
  <c r="BM1547" i="1"/>
  <c r="BN1547" i="1" s="1"/>
  <c r="BO1547" i="1" s="1"/>
  <c r="BP1547" i="1" s="1"/>
  <c r="BQ1547" i="1" s="1"/>
  <c r="BM1577" i="1"/>
  <c r="BN1577" i="1" s="1"/>
  <c r="BO1577" i="1" s="1"/>
  <c r="BP1577" i="1" s="1"/>
  <c r="BQ1577" i="1" s="1"/>
  <c r="BM1612" i="1"/>
  <c r="BN1612" i="1" s="1"/>
  <c r="BO1612" i="1" s="1"/>
  <c r="BP1612" i="1" s="1"/>
  <c r="BQ1612" i="1" s="1"/>
  <c r="BM1615" i="1"/>
  <c r="BN1615" i="1" s="1"/>
  <c r="BO1615" i="1" s="1"/>
  <c r="BP1615" i="1" s="1"/>
  <c r="BQ1615" i="1" s="1"/>
  <c r="BM1620" i="1"/>
  <c r="BN1620" i="1" s="1"/>
  <c r="BO1620" i="1" s="1"/>
  <c r="BP1620" i="1" s="1"/>
  <c r="BQ1620" i="1" s="1"/>
  <c r="BM1628" i="1"/>
  <c r="BN1628" i="1" s="1"/>
  <c r="BO1628" i="1" s="1"/>
  <c r="BP1628" i="1" s="1"/>
  <c r="BQ1628" i="1" s="1"/>
  <c r="BM1631" i="1"/>
  <c r="BN1631" i="1" s="1"/>
  <c r="BO1631" i="1" s="1"/>
  <c r="BP1631" i="1" s="1"/>
  <c r="BQ1631" i="1" s="1"/>
  <c r="BM1643" i="1"/>
  <c r="BN1643" i="1" s="1"/>
  <c r="BO1643" i="1" s="1"/>
  <c r="BP1643" i="1" s="1"/>
  <c r="BQ1643" i="1" s="1"/>
  <c r="BM1658" i="1"/>
  <c r="BN1658" i="1" s="1"/>
  <c r="BO1658" i="1" s="1"/>
  <c r="BP1658" i="1" s="1"/>
  <c r="BQ1658" i="1" s="1"/>
  <c r="BM1661" i="1"/>
  <c r="BN1661" i="1" s="1"/>
  <c r="BO1661" i="1" s="1"/>
  <c r="BP1661" i="1" s="1"/>
  <c r="BQ1661" i="1" s="1"/>
  <c r="BM1684" i="1"/>
  <c r="BN1684" i="1" s="1"/>
  <c r="BO1684" i="1" s="1"/>
  <c r="BP1684" i="1" s="1"/>
  <c r="BQ1684" i="1" s="1"/>
  <c r="BM1689" i="1"/>
  <c r="BN1689" i="1" s="1"/>
  <c r="BO1689" i="1" s="1"/>
  <c r="BP1689" i="1" s="1"/>
  <c r="BQ1689" i="1" s="1"/>
  <c r="BM1699" i="1"/>
  <c r="BN1699" i="1" s="1"/>
  <c r="BO1699" i="1" s="1"/>
  <c r="BP1699" i="1" s="1"/>
  <c r="BQ1699" i="1" s="1"/>
  <c r="BM1704" i="1"/>
  <c r="BN1704" i="1" s="1"/>
  <c r="BO1704" i="1" s="1"/>
  <c r="BP1704" i="1" s="1"/>
  <c r="BQ1704" i="1" s="1"/>
  <c r="BM1721" i="1"/>
  <c r="BN1721" i="1" s="1"/>
  <c r="BO1721" i="1" s="1"/>
  <c r="BP1721" i="1" s="1"/>
  <c r="BQ1721" i="1" s="1"/>
  <c r="BM1726" i="1"/>
  <c r="BN1726" i="1" s="1"/>
  <c r="BO1726" i="1" s="1"/>
  <c r="BP1726" i="1" s="1"/>
  <c r="BQ1726" i="1" s="1"/>
  <c r="BM1740" i="1"/>
  <c r="BN1740" i="1" s="1"/>
  <c r="BO1740" i="1" s="1"/>
  <c r="BP1740" i="1" s="1"/>
  <c r="BQ1740" i="1" s="1"/>
  <c r="BM1798" i="1"/>
  <c r="BN1798" i="1" s="1"/>
  <c r="BO1798" i="1" s="1"/>
  <c r="BP1798" i="1" s="1"/>
  <c r="BQ1798" i="1" s="1"/>
  <c r="BM1810" i="1"/>
  <c r="BN1810" i="1" s="1"/>
  <c r="BO1810" i="1" s="1"/>
  <c r="BP1810" i="1" s="1"/>
  <c r="BQ1810" i="1" s="1"/>
  <c r="BM1818" i="1"/>
  <c r="BN1818" i="1" s="1"/>
  <c r="BO1818" i="1" s="1"/>
  <c r="BP1818" i="1" s="1"/>
  <c r="BQ1818" i="1" s="1"/>
  <c r="BM1391" i="1"/>
  <c r="BN1391" i="1" s="1"/>
  <c r="BO1391" i="1" s="1"/>
  <c r="BP1391" i="1" s="1"/>
  <c r="BQ1391" i="1" s="1"/>
  <c r="BM1504" i="1"/>
  <c r="BN1504" i="1" s="1"/>
  <c r="BO1504" i="1" s="1"/>
  <c r="BP1504" i="1" s="1"/>
  <c r="BQ1504" i="1" s="1"/>
  <c r="BM1522" i="1"/>
  <c r="BN1522" i="1" s="1"/>
  <c r="BO1522" i="1" s="1"/>
  <c r="BP1522" i="1" s="1"/>
  <c r="BQ1522" i="1" s="1"/>
  <c r="BM1536" i="1"/>
  <c r="BN1536" i="1" s="1"/>
  <c r="BO1536" i="1" s="1"/>
  <c r="BP1536" i="1" s="1"/>
  <c r="BQ1536" i="1" s="1"/>
  <c r="BM1550" i="1"/>
  <c r="BN1550" i="1" s="1"/>
  <c r="BO1550" i="1" s="1"/>
  <c r="BP1550" i="1" s="1"/>
  <c r="BQ1550" i="1" s="1"/>
  <c r="BM1568" i="1"/>
  <c r="BN1568" i="1" s="1"/>
  <c r="BO1568" i="1" s="1"/>
  <c r="BP1568" i="1" s="1"/>
  <c r="BQ1568" i="1" s="1"/>
  <c r="BM1587" i="1"/>
  <c r="BN1587" i="1" s="1"/>
  <c r="BO1587" i="1" s="1"/>
  <c r="BP1587" i="1" s="1"/>
  <c r="BQ1587" i="1" s="1"/>
  <c r="BM1664" i="1"/>
  <c r="BN1664" i="1" s="1"/>
  <c r="BO1664" i="1" s="1"/>
  <c r="BP1664" i="1" s="1"/>
  <c r="BQ1664" i="1" s="1"/>
  <c r="BM1666" i="1"/>
  <c r="BN1666" i="1" s="1"/>
  <c r="BO1666" i="1" s="1"/>
  <c r="BP1666" i="1" s="1"/>
  <c r="BQ1666" i="1" s="1"/>
  <c r="BM1709" i="1"/>
  <c r="BN1709" i="1" s="1"/>
  <c r="BO1709" i="1" s="1"/>
  <c r="BP1709" i="1" s="1"/>
  <c r="BQ1709" i="1" s="1"/>
  <c r="BM1754" i="1"/>
  <c r="BN1754" i="1" s="1"/>
  <c r="BO1754" i="1" s="1"/>
  <c r="BP1754" i="1" s="1"/>
  <c r="BQ1754" i="1" s="1"/>
  <c r="BM1771" i="1"/>
  <c r="BN1771" i="1" s="1"/>
  <c r="BO1771" i="1" s="1"/>
  <c r="BP1771" i="1" s="1"/>
  <c r="BQ1771" i="1" s="1"/>
  <c r="BM1788" i="1"/>
  <c r="BN1788" i="1" s="1"/>
  <c r="BO1788" i="1" s="1"/>
  <c r="BP1788" i="1" s="1"/>
  <c r="BQ1788" i="1" s="1"/>
  <c r="BM1793" i="1"/>
  <c r="BN1793" i="1" s="1"/>
  <c r="BO1793" i="1" s="1"/>
  <c r="BP1793" i="1" s="1"/>
  <c r="BQ1793" i="1" s="1"/>
  <c r="BM1803" i="1"/>
  <c r="BN1803" i="1" s="1"/>
  <c r="BO1803" i="1" s="1"/>
  <c r="BP1803" i="1" s="1"/>
  <c r="BQ1803" i="1" s="1"/>
  <c r="BM1808" i="1"/>
  <c r="BN1808" i="1" s="1"/>
  <c r="BO1808" i="1" s="1"/>
  <c r="BP1808" i="1" s="1"/>
  <c r="BQ1808" i="1" s="1"/>
  <c r="BM1821" i="1"/>
  <c r="BN1821" i="1" s="1"/>
  <c r="BO1821" i="1" s="1"/>
  <c r="BP1821" i="1" s="1"/>
  <c r="BQ1821" i="1" s="1"/>
  <c r="BM1826" i="1"/>
  <c r="BN1826" i="1" s="1"/>
  <c r="BO1826" i="1" s="1"/>
  <c r="BP1826" i="1" s="1"/>
  <c r="BQ1826" i="1" s="1"/>
  <c r="BM1836" i="1"/>
  <c r="BN1836" i="1" s="1"/>
  <c r="BO1836" i="1" s="1"/>
  <c r="BP1836" i="1" s="1"/>
  <c r="BQ1836" i="1" s="1"/>
  <c r="BM1424" i="1"/>
  <c r="BN1424" i="1" s="1"/>
  <c r="BO1424" i="1" s="1"/>
  <c r="BP1424" i="1" s="1"/>
  <c r="BQ1424" i="1" s="1"/>
  <c r="BM1501" i="1"/>
  <c r="BN1501" i="1" s="1"/>
  <c r="BO1501" i="1" s="1"/>
  <c r="BP1501" i="1" s="1"/>
  <c r="BQ1501" i="1" s="1"/>
  <c r="BM1525" i="1"/>
  <c r="BN1525" i="1" s="1"/>
  <c r="BO1525" i="1" s="1"/>
  <c r="BP1525" i="1" s="1"/>
  <c r="BQ1525" i="1" s="1"/>
  <c r="BM1542" i="1"/>
  <c r="BN1542" i="1" s="1"/>
  <c r="BO1542" i="1" s="1"/>
  <c r="BP1542" i="1" s="1"/>
  <c r="BQ1542" i="1" s="1"/>
  <c r="BM1558" i="1"/>
  <c r="BN1558" i="1" s="1"/>
  <c r="BO1558" i="1" s="1"/>
  <c r="BP1558" i="1" s="1"/>
  <c r="BQ1558" i="1" s="1"/>
  <c r="BM1575" i="1"/>
  <c r="BN1575" i="1" s="1"/>
  <c r="BO1575" i="1" s="1"/>
  <c r="BP1575" i="1" s="1"/>
  <c r="BQ1575" i="1" s="1"/>
  <c r="BM1594" i="1"/>
  <c r="BN1594" i="1" s="1"/>
  <c r="BO1594" i="1" s="1"/>
  <c r="BP1594" i="1" s="1"/>
  <c r="BQ1594" i="1" s="1"/>
  <c r="BM1599" i="1"/>
  <c r="BN1599" i="1" s="1"/>
  <c r="BO1599" i="1" s="1"/>
  <c r="BP1599" i="1" s="1"/>
  <c r="BQ1599" i="1" s="1"/>
  <c r="BM1607" i="1"/>
  <c r="BN1607" i="1" s="1"/>
  <c r="BO1607" i="1" s="1"/>
  <c r="BP1607" i="1" s="1"/>
  <c r="BQ1607" i="1" s="1"/>
  <c r="BM1623" i="1"/>
  <c r="BN1623" i="1" s="1"/>
  <c r="BO1623" i="1" s="1"/>
  <c r="BP1623" i="1" s="1"/>
  <c r="BQ1623" i="1" s="1"/>
  <c r="BM1641" i="1"/>
  <c r="BN1641" i="1" s="1"/>
  <c r="BO1641" i="1" s="1"/>
  <c r="BP1641" i="1" s="1"/>
  <c r="BQ1641" i="1" s="1"/>
  <c r="BM1646" i="1"/>
  <c r="BN1646" i="1" s="1"/>
  <c r="BO1646" i="1" s="1"/>
  <c r="BP1646" i="1" s="1"/>
  <c r="BQ1646" i="1" s="1"/>
  <c r="BM1656" i="1"/>
  <c r="BN1656" i="1" s="1"/>
  <c r="BO1656" i="1" s="1"/>
  <c r="BP1656" i="1" s="1"/>
  <c r="BQ1656" i="1" s="1"/>
  <c r="BM1669" i="1"/>
  <c r="BN1669" i="1" s="1"/>
  <c r="BO1669" i="1" s="1"/>
  <c r="BP1669" i="1" s="1"/>
  <c r="BQ1669" i="1" s="1"/>
  <c r="BM1677" i="1"/>
  <c r="BN1677" i="1" s="1"/>
  <c r="BO1677" i="1" s="1"/>
  <c r="BP1677" i="1" s="1"/>
  <c r="BQ1677" i="1" s="1"/>
  <c r="BM1697" i="1"/>
  <c r="BN1697" i="1" s="1"/>
  <c r="BO1697" i="1" s="1"/>
  <c r="BP1697" i="1" s="1"/>
  <c r="BQ1697" i="1" s="1"/>
  <c r="BM1702" i="1"/>
  <c r="BN1702" i="1" s="1"/>
  <c r="BO1702" i="1" s="1"/>
  <c r="BP1702" i="1" s="1"/>
  <c r="BQ1702" i="1" s="1"/>
  <c r="BM1714" i="1"/>
  <c r="BN1714" i="1" s="1"/>
  <c r="BO1714" i="1" s="1"/>
  <c r="BP1714" i="1" s="1"/>
  <c r="BQ1714" i="1" s="1"/>
  <c r="BM1743" i="1"/>
  <c r="BN1743" i="1" s="1"/>
  <c r="BO1743" i="1" s="1"/>
  <c r="BP1743" i="1" s="1"/>
  <c r="BQ1743" i="1" s="1"/>
  <c r="BM1774" i="1"/>
  <c r="BN1774" i="1" s="1"/>
  <c r="BO1774" i="1" s="1"/>
  <c r="BP1774" i="1" s="1"/>
  <c r="BQ1774" i="1" s="1"/>
  <c r="BM1781" i="1"/>
  <c r="BN1781" i="1" s="1"/>
  <c r="BO1781" i="1" s="1"/>
  <c r="BP1781" i="1" s="1"/>
  <c r="BQ1781" i="1" s="1"/>
  <c r="BM1801" i="1"/>
  <c r="BN1801" i="1" s="1"/>
  <c r="BO1801" i="1" s="1"/>
  <c r="BP1801" i="1" s="1"/>
  <c r="BQ1801" i="1" s="1"/>
  <c r="BM1452" i="1"/>
  <c r="BN1452" i="1" s="1"/>
  <c r="BO1452" i="1" s="1"/>
  <c r="BP1452" i="1" s="1"/>
  <c r="BQ1452" i="1" s="1"/>
  <c r="BM1456" i="1"/>
  <c r="BN1456" i="1" s="1"/>
  <c r="BO1456" i="1" s="1"/>
  <c r="BP1456" i="1" s="1"/>
  <c r="BQ1456" i="1" s="1"/>
  <c r="BM1514" i="1"/>
  <c r="BN1514" i="1" s="1"/>
  <c r="BO1514" i="1" s="1"/>
  <c r="BP1514" i="1" s="1"/>
  <c r="BQ1514" i="1" s="1"/>
  <c r="BM1520" i="1"/>
  <c r="BN1520" i="1" s="1"/>
  <c r="BO1520" i="1" s="1"/>
  <c r="BP1520" i="1" s="1"/>
  <c r="BQ1520" i="1" s="1"/>
  <c r="BM1563" i="1"/>
  <c r="BN1563" i="1" s="1"/>
  <c r="BO1563" i="1" s="1"/>
  <c r="BP1563" i="1" s="1"/>
  <c r="BQ1563" i="1" s="1"/>
  <c r="BM1566" i="1"/>
  <c r="BN1566" i="1" s="1"/>
  <c r="BO1566" i="1" s="1"/>
  <c r="BP1566" i="1" s="1"/>
  <c r="BQ1566" i="1" s="1"/>
  <c r="BM1580" i="1"/>
  <c r="BN1580" i="1" s="1"/>
  <c r="BO1580" i="1" s="1"/>
  <c r="BP1580" i="1" s="1"/>
  <c r="BQ1580" i="1" s="1"/>
  <c r="BM1592" i="1"/>
  <c r="BN1592" i="1" s="1"/>
  <c r="BO1592" i="1" s="1"/>
  <c r="BP1592" i="1" s="1"/>
  <c r="BQ1592" i="1" s="1"/>
  <c r="BM1602" i="1"/>
  <c r="BN1602" i="1" s="1"/>
  <c r="BO1602" i="1" s="1"/>
  <c r="BP1602" i="1" s="1"/>
  <c r="BQ1602" i="1" s="1"/>
  <c r="BM1636" i="1"/>
  <c r="BN1636" i="1" s="1"/>
  <c r="BO1636" i="1" s="1"/>
  <c r="BP1636" i="1" s="1"/>
  <c r="BQ1636" i="1" s="1"/>
  <c r="BM1651" i="1"/>
  <c r="BN1651" i="1" s="1"/>
  <c r="BO1651" i="1" s="1"/>
  <c r="BP1651" i="1" s="1"/>
  <c r="BQ1651" i="1" s="1"/>
  <c r="BM1674" i="1"/>
  <c r="BN1674" i="1" s="1"/>
  <c r="BO1674" i="1" s="1"/>
  <c r="BP1674" i="1" s="1"/>
  <c r="BQ1674" i="1" s="1"/>
  <c r="BM1682" i="1"/>
  <c r="BN1682" i="1" s="1"/>
  <c r="BO1682" i="1" s="1"/>
  <c r="BP1682" i="1" s="1"/>
  <c r="BQ1682" i="1" s="1"/>
  <c r="BM1687" i="1"/>
  <c r="BN1687" i="1" s="1"/>
  <c r="BO1687" i="1" s="1"/>
  <c r="BP1687" i="1" s="1"/>
  <c r="BQ1687" i="1" s="1"/>
  <c r="BM1429" i="1"/>
  <c r="BN1429" i="1" s="1"/>
  <c r="BO1429" i="1" s="1"/>
  <c r="BP1429" i="1" s="1"/>
  <c r="BQ1429" i="1" s="1"/>
  <c r="BM1471" i="1"/>
  <c r="BN1471" i="1" s="1"/>
  <c r="BO1471" i="1" s="1"/>
  <c r="BP1471" i="1" s="1"/>
  <c r="BQ1471" i="1" s="1"/>
  <c r="BM1488" i="1"/>
  <c r="BN1488" i="1" s="1"/>
  <c r="BO1488" i="1" s="1"/>
  <c r="BP1488" i="1" s="1"/>
  <c r="BQ1488" i="1" s="1"/>
  <c r="BM1517" i="1"/>
  <c r="BN1517" i="1" s="1"/>
  <c r="BO1517" i="1" s="1"/>
  <c r="BP1517" i="1" s="1"/>
  <c r="BQ1517" i="1" s="1"/>
  <c r="BM1539" i="1"/>
  <c r="BN1539" i="1" s="1"/>
  <c r="BO1539" i="1" s="1"/>
  <c r="BP1539" i="1" s="1"/>
  <c r="BQ1539" i="1" s="1"/>
  <c r="BM1585" i="1"/>
  <c r="BN1585" i="1" s="1"/>
  <c r="BO1585" i="1" s="1"/>
  <c r="BP1585" i="1" s="1"/>
  <c r="BQ1585" i="1" s="1"/>
  <c r="BM1605" i="1"/>
  <c r="BN1605" i="1" s="1"/>
  <c r="BO1605" i="1" s="1"/>
  <c r="BP1605" i="1" s="1"/>
  <c r="BQ1605" i="1" s="1"/>
  <c r="BM1618" i="1"/>
  <c r="BN1618" i="1" s="1"/>
  <c r="BO1618" i="1" s="1"/>
  <c r="BP1618" i="1" s="1"/>
  <c r="BQ1618" i="1" s="1"/>
  <c r="BM1621" i="1"/>
  <c r="BN1621" i="1" s="1"/>
  <c r="BO1621" i="1" s="1"/>
  <c r="BP1621" i="1" s="1"/>
  <c r="BQ1621" i="1" s="1"/>
  <c r="BM1654" i="1"/>
  <c r="BN1654" i="1" s="1"/>
  <c r="BO1654" i="1" s="1"/>
  <c r="BP1654" i="1" s="1"/>
  <c r="BQ1654" i="1" s="1"/>
  <c r="BM1680" i="1"/>
  <c r="BN1680" i="1" s="1"/>
  <c r="BO1680" i="1" s="1"/>
  <c r="BP1680" i="1" s="1"/>
  <c r="BQ1680" i="1" s="1"/>
  <c r="BM1692" i="1"/>
  <c r="BN1692" i="1" s="1"/>
  <c r="BO1692" i="1" s="1"/>
  <c r="BP1692" i="1" s="1"/>
  <c r="BQ1692" i="1" s="1"/>
  <c r="BM1502" i="1"/>
  <c r="BN1502" i="1" s="1"/>
  <c r="BO1502" i="1" s="1"/>
  <c r="BP1502" i="1" s="1"/>
  <c r="BQ1502" i="1" s="1"/>
  <c r="BM1531" i="1"/>
  <c r="BN1531" i="1" s="1"/>
  <c r="BO1531" i="1" s="1"/>
  <c r="BP1531" i="1" s="1"/>
  <c r="BQ1531" i="1" s="1"/>
  <c r="BM1553" i="1"/>
  <c r="BN1553" i="1" s="1"/>
  <c r="BO1553" i="1" s="1"/>
  <c r="BP1553" i="1" s="1"/>
  <c r="BQ1553" i="1" s="1"/>
  <c r="BM1556" i="1"/>
  <c r="BN1556" i="1" s="1"/>
  <c r="BO1556" i="1" s="1"/>
  <c r="BP1556" i="1" s="1"/>
  <c r="BQ1556" i="1" s="1"/>
  <c r="BM1561" i="1"/>
  <c r="BN1561" i="1" s="1"/>
  <c r="BO1561" i="1" s="1"/>
  <c r="BP1561" i="1" s="1"/>
  <c r="BQ1561" i="1" s="1"/>
  <c r="BM1573" i="1"/>
  <c r="BN1573" i="1" s="1"/>
  <c r="BO1573" i="1" s="1"/>
  <c r="BP1573" i="1" s="1"/>
  <c r="BQ1573" i="1" s="1"/>
  <c r="BM1590" i="1"/>
  <c r="BN1590" i="1" s="1"/>
  <c r="BO1590" i="1" s="1"/>
  <c r="BP1590" i="1" s="1"/>
  <c r="BQ1590" i="1" s="1"/>
  <c r="BM1597" i="1"/>
  <c r="BN1597" i="1" s="1"/>
  <c r="BO1597" i="1" s="1"/>
  <c r="BP1597" i="1" s="1"/>
  <c r="BQ1597" i="1" s="1"/>
  <c r="BM1634" i="1"/>
  <c r="BN1634" i="1" s="1"/>
  <c r="BO1634" i="1" s="1"/>
  <c r="BP1634" i="1" s="1"/>
  <c r="BQ1634" i="1" s="1"/>
  <c r="BM1639" i="1"/>
  <c r="BN1639" i="1" s="1"/>
  <c r="BO1639" i="1" s="1"/>
  <c r="BP1639" i="1" s="1"/>
  <c r="BQ1639" i="1" s="1"/>
  <c r="BM1649" i="1"/>
  <c r="BN1649" i="1" s="1"/>
  <c r="BO1649" i="1" s="1"/>
  <c r="BP1649" i="1" s="1"/>
  <c r="BQ1649" i="1" s="1"/>
  <c r="BM1659" i="1"/>
  <c r="BN1659" i="1" s="1"/>
  <c r="BO1659" i="1" s="1"/>
  <c r="BP1659" i="1" s="1"/>
  <c r="BQ1659" i="1" s="1"/>
  <c r="BM1662" i="1"/>
  <c r="BN1662" i="1" s="1"/>
  <c r="BO1662" i="1" s="1"/>
  <c r="BP1662" i="1" s="1"/>
  <c r="BQ1662" i="1" s="1"/>
  <c r="BM1685" i="1"/>
  <c r="BN1685" i="1" s="1"/>
  <c r="BO1685" i="1" s="1"/>
  <c r="BP1685" i="1" s="1"/>
  <c r="BQ1685" i="1" s="1"/>
  <c r="BM1695" i="1"/>
  <c r="BN1695" i="1" s="1"/>
  <c r="BO1695" i="1" s="1"/>
  <c r="BP1695" i="1" s="1"/>
  <c r="BQ1695" i="1" s="1"/>
  <c r="BM1712" i="1"/>
  <c r="BN1712" i="1" s="1"/>
  <c r="BO1712" i="1" s="1"/>
  <c r="BP1712" i="1" s="1"/>
  <c r="BQ1712" i="1" s="1"/>
  <c r="BM1717" i="1"/>
  <c r="BN1717" i="1" s="1"/>
  <c r="BO1717" i="1" s="1"/>
  <c r="BP1717" i="1" s="1"/>
  <c r="BQ1717" i="1" s="1"/>
  <c r="BM1731" i="1"/>
  <c r="BN1731" i="1" s="1"/>
  <c r="BO1731" i="1" s="1"/>
  <c r="BP1731" i="1" s="1"/>
  <c r="BQ1731" i="1" s="1"/>
  <c r="BM1799" i="1"/>
  <c r="BN1799" i="1" s="1"/>
  <c r="BO1799" i="1" s="1"/>
  <c r="BP1799" i="1" s="1"/>
  <c r="BQ1799" i="1" s="1"/>
  <c r="BM1819" i="1"/>
  <c r="BN1819" i="1" s="1"/>
  <c r="BO1819" i="1" s="1"/>
  <c r="BP1819" i="1" s="1"/>
  <c r="BQ1819" i="1" s="1"/>
  <c r="BM1822" i="1"/>
  <c r="BN1822" i="1" s="1"/>
  <c r="BO1822" i="1" s="1"/>
  <c r="BP1822" i="1" s="1"/>
  <c r="BQ1822" i="1" s="1"/>
  <c r="BM1832" i="1"/>
  <c r="BN1832" i="1" s="1"/>
  <c r="BO1832" i="1" s="1"/>
  <c r="BP1832" i="1" s="1"/>
  <c r="BQ1832" i="1" s="1"/>
  <c r="BM1882" i="1"/>
  <c r="BN1882" i="1" s="1"/>
  <c r="BO1882" i="1" s="1"/>
  <c r="BP1882" i="1" s="1"/>
  <c r="BQ1882" i="1" s="1"/>
  <c r="BM1898" i="1"/>
  <c r="BN1898" i="1" s="1"/>
  <c r="BO1898" i="1" s="1"/>
  <c r="BP1898" i="1" s="1"/>
  <c r="BQ1898" i="1" s="1"/>
  <c r="BM1903" i="1"/>
  <c r="BN1903" i="1" s="1"/>
  <c r="BO1903" i="1" s="1"/>
  <c r="BP1903" i="1" s="1"/>
  <c r="BQ1903" i="1" s="1"/>
  <c r="BM1741" i="1"/>
  <c r="BN1741" i="1" s="1"/>
  <c r="BO1741" i="1" s="1"/>
  <c r="BP1741" i="1" s="1"/>
  <c r="BQ1741" i="1" s="1"/>
  <c r="BM1762" i="1"/>
  <c r="BN1762" i="1" s="1"/>
  <c r="BO1762" i="1" s="1"/>
  <c r="BP1762" i="1" s="1"/>
  <c r="BQ1762" i="1" s="1"/>
  <c r="BM1796" i="1"/>
  <c r="BN1796" i="1" s="1"/>
  <c r="BO1796" i="1" s="1"/>
  <c r="BP1796" i="1" s="1"/>
  <c r="BQ1796" i="1" s="1"/>
  <c r="BM1815" i="1"/>
  <c r="BN1815" i="1" s="1"/>
  <c r="BO1815" i="1" s="1"/>
  <c r="BP1815" i="1" s="1"/>
  <c r="BQ1815" i="1" s="1"/>
  <c r="BM1844" i="1"/>
  <c r="BN1844" i="1" s="1"/>
  <c r="BO1844" i="1" s="1"/>
  <c r="BP1844" i="1" s="1"/>
  <c r="BQ1844" i="1" s="1"/>
  <c r="BM1883" i="1"/>
  <c r="BN1883" i="1" s="1"/>
  <c r="BO1883" i="1" s="1"/>
  <c r="BP1883" i="1" s="1"/>
  <c r="BQ1883" i="1" s="1"/>
  <c r="BM1918" i="1"/>
  <c r="BN1918" i="1" s="1"/>
  <c r="BO1918" i="1" s="1"/>
  <c r="BP1918" i="1" s="1"/>
  <c r="BQ1918" i="1" s="1"/>
  <c r="BM1961" i="1"/>
  <c r="BN1961" i="1" s="1"/>
  <c r="BO1961" i="1" s="1"/>
  <c r="BP1961" i="1" s="1"/>
  <c r="BQ1961" i="1" s="1"/>
  <c r="BM1966" i="1"/>
  <c r="BN1966" i="1" s="1"/>
  <c r="BO1966" i="1" s="1"/>
  <c r="BP1966" i="1" s="1"/>
  <c r="BQ1966" i="1" s="1"/>
  <c r="BM1983" i="1"/>
  <c r="BN1983" i="1" s="1"/>
  <c r="BO1983" i="1" s="1"/>
  <c r="BP1983" i="1" s="1"/>
  <c r="BQ1983" i="1" s="1"/>
  <c r="BM2003" i="1"/>
  <c r="BN2003" i="1" s="1"/>
  <c r="BO2003" i="1" s="1"/>
  <c r="BP2003" i="1" s="1"/>
  <c r="BQ2003" i="1" s="1"/>
  <c r="BM2008" i="1"/>
  <c r="BN2008" i="1" s="1"/>
  <c r="BO2008" i="1" s="1"/>
  <c r="BP2008" i="1" s="1"/>
  <c r="BQ2008" i="1" s="1"/>
  <c r="BM2025" i="1"/>
  <c r="BN2025" i="1" s="1"/>
  <c r="BO2025" i="1" s="1"/>
  <c r="BP2025" i="1" s="1"/>
  <c r="BQ2025" i="1" s="1"/>
  <c r="BM2030" i="1"/>
  <c r="BN2030" i="1" s="1"/>
  <c r="BO2030" i="1" s="1"/>
  <c r="BP2030" i="1" s="1"/>
  <c r="BQ2030" i="1" s="1"/>
  <c r="BM2050" i="1"/>
  <c r="BN2050" i="1" s="1"/>
  <c r="BO2050" i="1" s="1"/>
  <c r="BP2050" i="1" s="1"/>
  <c r="BQ2050" i="1" s="1"/>
  <c r="BM2053" i="1"/>
  <c r="BN2053" i="1" s="1"/>
  <c r="BO2053" i="1" s="1"/>
  <c r="BP2053" i="1" s="1"/>
  <c r="BQ2053" i="1" s="1"/>
  <c r="BM2078" i="1"/>
  <c r="BN2078" i="1" s="1"/>
  <c r="BO2078" i="1" s="1"/>
  <c r="BP2078" i="1" s="1"/>
  <c r="BQ2078" i="1" s="1"/>
  <c r="BM2093" i="1"/>
  <c r="BN2093" i="1" s="1"/>
  <c r="BO2093" i="1" s="1"/>
  <c r="BP2093" i="1" s="1"/>
  <c r="BQ2093" i="1" s="1"/>
  <c r="BM2115" i="1"/>
  <c r="BN2115" i="1" s="1"/>
  <c r="BO2115" i="1" s="1"/>
  <c r="BP2115" i="1" s="1"/>
  <c r="BQ2115" i="1" s="1"/>
  <c r="BM2134" i="1"/>
  <c r="BN2134" i="1" s="1"/>
  <c r="BO2134" i="1" s="1"/>
  <c r="BP2134" i="1" s="1"/>
  <c r="BQ2134" i="1" s="1"/>
  <c r="BM2156" i="1"/>
  <c r="BN2156" i="1" s="1"/>
  <c r="BO2156" i="1" s="1"/>
  <c r="BP2156" i="1" s="1"/>
  <c r="BQ2156" i="1" s="1"/>
  <c r="BM2161" i="1"/>
  <c r="BN2161" i="1" s="1"/>
  <c r="BO2161" i="1" s="1"/>
  <c r="BP2161" i="1" s="1"/>
  <c r="BQ2161" i="1" s="1"/>
  <c r="BM1831" i="1"/>
  <c r="BN1831" i="1" s="1"/>
  <c r="BO1831" i="1" s="1"/>
  <c r="BP1831" i="1" s="1"/>
  <c r="BQ1831" i="1" s="1"/>
  <c r="BM1834" i="1"/>
  <c r="BN1834" i="1" s="1"/>
  <c r="BO1834" i="1" s="1"/>
  <c r="BP1834" i="1" s="1"/>
  <c r="BQ1834" i="1" s="1"/>
  <c r="BM1838" i="1"/>
  <c r="BN1838" i="1" s="1"/>
  <c r="BO1838" i="1" s="1"/>
  <c r="BP1838" i="1" s="1"/>
  <c r="BQ1838" i="1" s="1"/>
  <c r="BM1853" i="1"/>
  <c r="BN1853" i="1" s="1"/>
  <c r="BO1853" i="1" s="1"/>
  <c r="BP1853" i="1" s="1"/>
  <c r="BQ1853" i="1" s="1"/>
  <c r="BM1901" i="1"/>
  <c r="BN1901" i="1" s="1"/>
  <c r="BO1901" i="1" s="1"/>
  <c r="BP1901" i="1" s="1"/>
  <c r="BQ1901" i="1" s="1"/>
  <c r="BM1923" i="1"/>
  <c r="BN1923" i="1" s="1"/>
  <c r="BO1923" i="1" s="1"/>
  <c r="BP1923" i="1" s="1"/>
  <c r="BQ1923" i="1" s="1"/>
  <c r="BM1926" i="1"/>
  <c r="BN1926" i="1" s="1"/>
  <c r="BO1926" i="1" s="1"/>
  <c r="BP1926" i="1" s="1"/>
  <c r="BQ1926" i="1" s="1"/>
  <c r="BM1934" i="1"/>
  <c r="BN1934" i="1" s="1"/>
  <c r="BO1934" i="1" s="1"/>
  <c r="BP1934" i="1" s="1"/>
  <c r="BQ1934" i="1" s="1"/>
  <c r="BM1944" i="1"/>
  <c r="BN1944" i="1" s="1"/>
  <c r="BO1944" i="1" s="1"/>
  <c r="BP1944" i="1" s="1"/>
  <c r="BQ1944" i="1" s="1"/>
  <c r="BM1976" i="1"/>
  <c r="BN1976" i="1" s="1"/>
  <c r="BO1976" i="1" s="1"/>
  <c r="BP1976" i="1" s="1"/>
  <c r="BQ1976" i="1" s="1"/>
  <c r="BM1991" i="1"/>
  <c r="BN1991" i="1" s="1"/>
  <c r="BO1991" i="1" s="1"/>
  <c r="BP1991" i="1" s="1"/>
  <c r="BQ1991" i="1" s="1"/>
  <c r="BM2001" i="1"/>
  <c r="BN2001" i="1" s="1"/>
  <c r="BO2001" i="1" s="1"/>
  <c r="BP2001" i="1" s="1"/>
  <c r="BQ2001" i="1" s="1"/>
  <c r="BM2020" i="1"/>
  <c r="BN2020" i="1" s="1"/>
  <c r="BO2020" i="1" s="1"/>
  <c r="BP2020" i="1" s="1"/>
  <c r="BQ2020" i="1" s="1"/>
  <c r="BM2040" i="1"/>
  <c r="BN2040" i="1" s="1"/>
  <c r="BO2040" i="1" s="1"/>
  <c r="BP2040" i="1" s="1"/>
  <c r="BQ2040" i="1" s="1"/>
  <c r="BM2045" i="1"/>
  <c r="BN2045" i="1" s="1"/>
  <c r="BO2045" i="1" s="1"/>
  <c r="BP2045" i="1" s="1"/>
  <c r="BQ2045" i="1" s="1"/>
  <c r="BM2073" i="1"/>
  <c r="BN2073" i="1" s="1"/>
  <c r="BO2073" i="1" s="1"/>
  <c r="BP2073" i="1" s="1"/>
  <c r="BQ2073" i="1" s="1"/>
  <c r="BM2088" i="1"/>
  <c r="BN2088" i="1" s="1"/>
  <c r="BO2088" i="1" s="1"/>
  <c r="BP2088" i="1" s="1"/>
  <c r="BQ2088" i="1" s="1"/>
  <c r="BM2127" i="1"/>
  <c r="BN2127" i="1" s="1"/>
  <c r="BO2127" i="1" s="1"/>
  <c r="BP2127" i="1" s="1"/>
  <c r="BQ2127" i="1" s="1"/>
  <c r="BM2132" i="1"/>
  <c r="BN2132" i="1" s="1"/>
  <c r="BO2132" i="1" s="1"/>
  <c r="BP2132" i="1" s="1"/>
  <c r="BQ2132" i="1" s="1"/>
  <c r="BM2139" i="1"/>
  <c r="BN2139" i="1" s="1"/>
  <c r="BO2139" i="1" s="1"/>
  <c r="BP2139" i="1" s="1"/>
  <c r="BQ2139" i="1" s="1"/>
  <c r="BM2144" i="1"/>
  <c r="BN2144" i="1" s="1"/>
  <c r="BO2144" i="1" s="1"/>
  <c r="BP2144" i="1" s="1"/>
  <c r="BQ2144" i="1" s="1"/>
  <c r="BM2146" i="1"/>
  <c r="BN2146" i="1" s="1"/>
  <c r="BO2146" i="1" s="1"/>
  <c r="BP2146" i="1" s="1"/>
  <c r="BQ2146" i="1" s="1"/>
  <c r="BM2151" i="1"/>
  <c r="BN2151" i="1" s="1"/>
  <c r="BO2151" i="1" s="1"/>
  <c r="BP2151" i="1" s="1"/>
  <c r="BQ2151" i="1" s="1"/>
  <c r="BM2176" i="1"/>
  <c r="BN2176" i="1" s="1"/>
  <c r="BO2176" i="1" s="1"/>
  <c r="BP2176" i="1" s="1"/>
  <c r="BQ2176" i="1" s="1"/>
  <c r="BM2191" i="1"/>
  <c r="BN2191" i="1" s="1"/>
  <c r="BO2191" i="1" s="1"/>
  <c r="BP2191" i="1" s="1"/>
  <c r="BQ2191" i="1" s="1"/>
  <c r="BM2206" i="1"/>
  <c r="BN2206" i="1" s="1"/>
  <c r="BO2206" i="1" s="1"/>
  <c r="BP2206" i="1" s="1"/>
  <c r="BQ2206" i="1" s="1"/>
  <c r="BM2231" i="1"/>
  <c r="BN2231" i="1" s="1"/>
  <c r="BO2231" i="1" s="1"/>
  <c r="BP2231" i="1" s="1"/>
  <c r="BQ2231" i="1" s="1"/>
  <c r="BM1750" i="1"/>
  <c r="BN1750" i="1" s="1"/>
  <c r="BO1750" i="1" s="1"/>
  <c r="BP1750" i="1" s="1"/>
  <c r="BQ1750" i="1" s="1"/>
  <c r="BM1850" i="1"/>
  <c r="BN1850" i="1" s="1"/>
  <c r="BO1850" i="1" s="1"/>
  <c r="BP1850" i="1" s="1"/>
  <c r="BQ1850" i="1" s="1"/>
  <c r="BM1929" i="1"/>
  <c r="BN1929" i="1" s="1"/>
  <c r="BO1929" i="1" s="1"/>
  <c r="BP1929" i="1" s="1"/>
  <c r="BQ1929" i="1" s="1"/>
  <c r="BM1939" i="1"/>
  <c r="BN1939" i="1" s="1"/>
  <c r="BO1939" i="1" s="1"/>
  <c r="BP1939" i="1" s="1"/>
  <c r="BQ1939" i="1" s="1"/>
  <c r="BM1951" i="1"/>
  <c r="BN1951" i="1" s="1"/>
  <c r="BO1951" i="1" s="1"/>
  <c r="BP1951" i="1" s="1"/>
  <c r="BQ1951" i="1" s="1"/>
  <c r="BM1956" i="1"/>
  <c r="BN1956" i="1" s="1"/>
  <c r="BO1956" i="1" s="1"/>
  <c r="BP1956" i="1" s="1"/>
  <c r="BQ1956" i="1" s="1"/>
  <c r="BM1971" i="1"/>
  <c r="BN1971" i="1" s="1"/>
  <c r="BO1971" i="1" s="1"/>
  <c r="BP1971" i="1" s="1"/>
  <c r="BQ1971" i="1" s="1"/>
  <c r="BM1981" i="1"/>
  <c r="BN1981" i="1" s="1"/>
  <c r="BO1981" i="1" s="1"/>
  <c r="BP1981" i="1" s="1"/>
  <c r="BQ1981" i="1" s="1"/>
  <c r="BM1986" i="1"/>
  <c r="BN1986" i="1" s="1"/>
  <c r="BO1986" i="1" s="1"/>
  <c r="BP1986" i="1" s="1"/>
  <c r="BQ1986" i="1" s="1"/>
  <c r="BM1994" i="1"/>
  <c r="BN1994" i="1" s="1"/>
  <c r="BO1994" i="1" s="1"/>
  <c r="BP1994" i="1" s="1"/>
  <c r="BQ1994" i="1" s="1"/>
  <c r="BM1996" i="1"/>
  <c r="BN1996" i="1" s="1"/>
  <c r="BO1996" i="1" s="1"/>
  <c r="BP1996" i="1" s="1"/>
  <c r="BQ1996" i="1" s="1"/>
  <c r="BM2006" i="1"/>
  <c r="BN2006" i="1" s="1"/>
  <c r="BO2006" i="1" s="1"/>
  <c r="BP2006" i="1" s="1"/>
  <c r="BQ2006" i="1" s="1"/>
  <c r="BM2013" i="1"/>
  <c r="BN2013" i="1" s="1"/>
  <c r="BO2013" i="1" s="1"/>
  <c r="BP2013" i="1" s="1"/>
  <c r="BQ2013" i="1" s="1"/>
  <c r="BM2035" i="1"/>
  <c r="BN2035" i="1" s="1"/>
  <c r="BO2035" i="1" s="1"/>
  <c r="BP2035" i="1" s="1"/>
  <c r="BQ2035" i="1" s="1"/>
  <c r="BM2038" i="1"/>
  <c r="BN2038" i="1" s="1"/>
  <c r="BO2038" i="1" s="1"/>
  <c r="BP2038" i="1" s="1"/>
  <c r="BQ2038" i="1" s="1"/>
  <c r="BM2058" i="1"/>
  <c r="BN2058" i="1" s="1"/>
  <c r="BO2058" i="1" s="1"/>
  <c r="BP2058" i="1" s="1"/>
  <c r="BQ2058" i="1" s="1"/>
  <c r="BM2061" i="1"/>
  <c r="BN2061" i="1" s="1"/>
  <c r="BO2061" i="1" s="1"/>
  <c r="BP2061" i="1" s="1"/>
  <c r="BQ2061" i="1" s="1"/>
  <c r="BM2071" i="1"/>
  <c r="BN2071" i="1" s="1"/>
  <c r="BO2071" i="1" s="1"/>
  <c r="BP2071" i="1" s="1"/>
  <c r="BQ2071" i="1" s="1"/>
  <c r="BM2105" i="1"/>
  <c r="BN2105" i="1" s="1"/>
  <c r="BO2105" i="1" s="1"/>
  <c r="BP2105" i="1" s="1"/>
  <c r="BQ2105" i="1" s="1"/>
  <c r="BM2110" i="1"/>
  <c r="BN2110" i="1" s="1"/>
  <c r="BO2110" i="1" s="1"/>
  <c r="BP2110" i="1" s="1"/>
  <c r="BQ2110" i="1" s="1"/>
  <c r="BM2122" i="1"/>
  <c r="BN2122" i="1" s="1"/>
  <c r="BO2122" i="1" s="1"/>
  <c r="BP2122" i="1" s="1"/>
  <c r="BQ2122" i="1" s="1"/>
  <c r="BM2142" i="1"/>
  <c r="BN2142" i="1" s="1"/>
  <c r="BO2142" i="1" s="1"/>
  <c r="BP2142" i="1" s="1"/>
  <c r="BQ2142" i="1" s="1"/>
  <c r="BM2149" i="1"/>
  <c r="BN2149" i="1" s="1"/>
  <c r="BO2149" i="1" s="1"/>
  <c r="BP2149" i="1" s="1"/>
  <c r="BQ2149" i="1" s="1"/>
  <c r="BM2159" i="1"/>
  <c r="BN2159" i="1" s="1"/>
  <c r="BO2159" i="1" s="1"/>
  <c r="BP2159" i="1" s="1"/>
  <c r="BQ2159" i="1" s="1"/>
  <c r="BM2166" i="1"/>
  <c r="BN2166" i="1" s="1"/>
  <c r="BO2166" i="1" s="1"/>
  <c r="BP2166" i="1" s="1"/>
  <c r="BQ2166" i="1" s="1"/>
  <c r="BM2181" i="1"/>
  <c r="BN2181" i="1" s="1"/>
  <c r="BO2181" i="1" s="1"/>
  <c r="BP2181" i="1" s="1"/>
  <c r="BQ2181" i="1" s="1"/>
  <c r="BM2200" i="1"/>
  <c r="BN2200" i="1" s="1"/>
  <c r="BO2200" i="1" s="1"/>
  <c r="BP2200" i="1" s="1"/>
  <c r="BQ2200" i="1" s="1"/>
  <c r="BM2211" i="1"/>
  <c r="BN2211" i="1" s="1"/>
  <c r="BO2211" i="1" s="1"/>
  <c r="BP2211" i="1" s="1"/>
  <c r="BQ2211" i="1" s="1"/>
  <c r="BM2216" i="1"/>
  <c r="BN2216" i="1" s="1"/>
  <c r="BO2216" i="1" s="1"/>
  <c r="BP2216" i="1" s="1"/>
  <c r="BQ2216" i="1" s="1"/>
  <c r="BM2244" i="1"/>
  <c r="BN2244" i="1" s="1"/>
  <c r="BO2244" i="1" s="1"/>
  <c r="BP2244" i="1" s="1"/>
  <c r="BQ2244" i="1" s="1"/>
  <c r="BM2259" i="1"/>
  <c r="BN2259" i="1" s="1"/>
  <c r="BO2259" i="1" s="1"/>
  <c r="BP2259" i="1" s="1"/>
  <c r="BQ2259" i="1" s="1"/>
  <c r="BM2264" i="1"/>
  <c r="BN2264" i="1" s="1"/>
  <c r="BO2264" i="1" s="1"/>
  <c r="BP2264" i="1" s="1"/>
  <c r="BQ2264" i="1" s="1"/>
  <c r="BM2279" i="1"/>
  <c r="BN2279" i="1" s="1"/>
  <c r="BO2279" i="1" s="1"/>
  <c r="BP2279" i="1" s="1"/>
  <c r="BQ2279" i="1" s="1"/>
  <c r="BM2294" i="1"/>
  <c r="BN2294" i="1" s="1"/>
  <c r="BO2294" i="1" s="1"/>
  <c r="BP2294" i="1" s="1"/>
  <c r="BQ2294" i="1" s="1"/>
  <c r="BM1784" i="1"/>
  <c r="BN1784" i="1" s="1"/>
  <c r="BO1784" i="1" s="1"/>
  <c r="BP1784" i="1" s="1"/>
  <c r="BQ1784" i="1" s="1"/>
  <c r="BM1857" i="1"/>
  <c r="BN1857" i="1" s="1"/>
  <c r="BO1857" i="1" s="1"/>
  <c r="BP1857" i="1" s="1"/>
  <c r="BQ1857" i="1" s="1"/>
  <c r="BM1860" i="1"/>
  <c r="BN1860" i="1" s="1"/>
  <c r="BO1860" i="1" s="1"/>
  <c r="BP1860" i="1" s="1"/>
  <c r="BQ1860" i="1" s="1"/>
  <c r="BM1863" i="1"/>
  <c r="BN1863" i="1" s="1"/>
  <c r="BO1863" i="1" s="1"/>
  <c r="BP1863" i="1" s="1"/>
  <c r="BQ1863" i="1" s="1"/>
  <c r="BM1890" i="1"/>
  <c r="BN1890" i="1" s="1"/>
  <c r="BO1890" i="1" s="1"/>
  <c r="BP1890" i="1" s="1"/>
  <c r="BQ1890" i="1" s="1"/>
  <c r="BM1904" i="1"/>
  <c r="BN1904" i="1" s="1"/>
  <c r="BO1904" i="1" s="1"/>
  <c r="BP1904" i="1" s="1"/>
  <c r="BQ1904" i="1" s="1"/>
  <c r="BM1913" i="1"/>
  <c r="BN1913" i="1" s="1"/>
  <c r="BO1913" i="1" s="1"/>
  <c r="BP1913" i="1" s="1"/>
  <c r="BQ1913" i="1" s="1"/>
  <c r="BM1921" i="1"/>
  <c r="BN1921" i="1" s="1"/>
  <c r="BO1921" i="1" s="1"/>
  <c r="BP1921" i="1" s="1"/>
  <c r="BQ1921" i="1" s="1"/>
  <c r="BM1959" i="1"/>
  <c r="BN1959" i="1" s="1"/>
  <c r="BO1959" i="1" s="1"/>
  <c r="BP1959" i="1" s="1"/>
  <c r="BQ1959" i="1" s="1"/>
  <c r="BM2011" i="1"/>
  <c r="BN2011" i="1" s="1"/>
  <c r="BO2011" i="1" s="1"/>
  <c r="BP2011" i="1" s="1"/>
  <c r="BQ2011" i="1" s="1"/>
  <c r="BM2048" i="1"/>
  <c r="BN2048" i="1" s="1"/>
  <c r="BO2048" i="1" s="1"/>
  <c r="BP2048" i="1" s="1"/>
  <c r="BQ2048" i="1" s="1"/>
  <c r="BM2066" i="1"/>
  <c r="BN2066" i="1" s="1"/>
  <c r="BO2066" i="1" s="1"/>
  <c r="BP2066" i="1" s="1"/>
  <c r="BQ2066" i="1" s="1"/>
  <c r="BM2076" i="1"/>
  <c r="BN2076" i="1" s="1"/>
  <c r="BO2076" i="1" s="1"/>
  <c r="BP2076" i="1" s="1"/>
  <c r="BQ2076" i="1" s="1"/>
  <c r="BM2081" i="1"/>
  <c r="BN2081" i="1" s="1"/>
  <c r="BO2081" i="1" s="1"/>
  <c r="BP2081" i="1" s="1"/>
  <c r="BQ2081" i="1" s="1"/>
  <c r="BM2103" i="1"/>
  <c r="BN2103" i="1" s="1"/>
  <c r="BO2103" i="1" s="1"/>
  <c r="BP2103" i="1" s="1"/>
  <c r="BQ2103" i="1" s="1"/>
  <c r="BM2120" i="1"/>
  <c r="BN2120" i="1" s="1"/>
  <c r="BO2120" i="1" s="1"/>
  <c r="BP2120" i="1" s="1"/>
  <c r="BQ2120" i="1" s="1"/>
  <c r="BM2125" i="1"/>
  <c r="BN2125" i="1" s="1"/>
  <c r="BO2125" i="1" s="1"/>
  <c r="BP2125" i="1" s="1"/>
  <c r="BQ2125" i="1" s="1"/>
  <c r="BM2164" i="1"/>
  <c r="BN2164" i="1" s="1"/>
  <c r="BO2164" i="1" s="1"/>
  <c r="BP2164" i="1" s="1"/>
  <c r="BQ2164" i="1" s="1"/>
  <c r="BM2189" i="1"/>
  <c r="BN2189" i="1" s="1"/>
  <c r="BO2189" i="1" s="1"/>
  <c r="BP2189" i="1" s="1"/>
  <c r="BQ2189" i="1" s="1"/>
  <c r="BM2203" i="1"/>
  <c r="BN2203" i="1" s="1"/>
  <c r="BO2203" i="1" s="1"/>
  <c r="BP2203" i="1" s="1"/>
  <c r="BQ2203" i="1" s="1"/>
  <c r="BM2224" i="1"/>
  <c r="BN2224" i="1" s="1"/>
  <c r="BO2224" i="1" s="1"/>
  <c r="BP2224" i="1" s="1"/>
  <c r="BQ2224" i="1" s="1"/>
  <c r="BM2252" i="1"/>
  <c r="BN2252" i="1" s="1"/>
  <c r="BO2252" i="1" s="1"/>
  <c r="BP2252" i="1" s="1"/>
  <c r="BQ2252" i="1" s="1"/>
  <c r="BM2297" i="1"/>
  <c r="BN2297" i="1" s="1"/>
  <c r="BO2297" i="1" s="1"/>
  <c r="BP2297" i="1" s="1"/>
  <c r="BQ2297" i="1" s="1"/>
  <c r="BM2300" i="1"/>
  <c r="BN2300" i="1" s="1"/>
  <c r="BO2300" i="1" s="1"/>
  <c r="BP2300" i="1" s="1"/>
  <c r="BQ2300" i="1" s="1"/>
  <c r="BM1734" i="1"/>
  <c r="BN1734" i="1" s="1"/>
  <c r="BO1734" i="1" s="1"/>
  <c r="BP1734" i="1" s="1"/>
  <c r="BQ1734" i="1" s="1"/>
  <c r="BM1738" i="1"/>
  <c r="BN1738" i="1" s="1"/>
  <c r="BO1738" i="1" s="1"/>
  <c r="BP1738" i="1" s="1"/>
  <c r="BQ1738" i="1" s="1"/>
  <c r="BM1816" i="1"/>
  <c r="BN1816" i="1" s="1"/>
  <c r="BO1816" i="1" s="1"/>
  <c r="BP1816" i="1" s="1"/>
  <c r="BQ1816" i="1" s="1"/>
  <c r="BM1824" i="1"/>
  <c r="BN1824" i="1" s="1"/>
  <c r="BO1824" i="1" s="1"/>
  <c r="BP1824" i="1" s="1"/>
  <c r="BQ1824" i="1" s="1"/>
  <c r="BM1842" i="1"/>
  <c r="BN1842" i="1" s="1"/>
  <c r="BO1842" i="1" s="1"/>
  <c r="BP1842" i="1" s="1"/>
  <c r="BQ1842" i="1" s="1"/>
  <c r="BM1866" i="1"/>
  <c r="BN1866" i="1" s="1"/>
  <c r="BO1866" i="1" s="1"/>
  <c r="BP1866" i="1" s="1"/>
  <c r="BQ1866" i="1" s="1"/>
  <c r="BM1869" i="1"/>
  <c r="BN1869" i="1" s="1"/>
  <c r="BO1869" i="1" s="1"/>
  <c r="BP1869" i="1" s="1"/>
  <c r="BQ1869" i="1" s="1"/>
  <c r="BM1872" i="1"/>
  <c r="BN1872" i="1" s="1"/>
  <c r="BO1872" i="1" s="1"/>
  <c r="BP1872" i="1" s="1"/>
  <c r="BQ1872" i="1" s="1"/>
  <c r="BM1878" i="1"/>
  <c r="BN1878" i="1" s="1"/>
  <c r="BO1878" i="1" s="1"/>
  <c r="BP1878" i="1" s="1"/>
  <c r="BQ1878" i="1" s="1"/>
  <c r="BM1887" i="1"/>
  <c r="BN1887" i="1" s="1"/>
  <c r="BO1887" i="1" s="1"/>
  <c r="BP1887" i="1" s="1"/>
  <c r="BQ1887" i="1" s="1"/>
  <c r="BM1893" i="1"/>
  <c r="BN1893" i="1" s="1"/>
  <c r="BO1893" i="1" s="1"/>
  <c r="BP1893" i="1" s="1"/>
  <c r="BQ1893" i="1" s="1"/>
  <c r="BM1896" i="1"/>
  <c r="BN1896" i="1" s="1"/>
  <c r="BO1896" i="1" s="1"/>
  <c r="BP1896" i="1" s="1"/>
  <c r="BQ1896" i="1" s="1"/>
  <c r="BM1910" i="1"/>
  <c r="BN1910" i="1" s="1"/>
  <c r="BO1910" i="1" s="1"/>
  <c r="BP1910" i="1" s="1"/>
  <c r="BQ1910" i="1" s="1"/>
  <c r="BM1937" i="1"/>
  <c r="BN1937" i="1" s="1"/>
  <c r="BO1937" i="1" s="1"/>
  <c r="BP1937" i="1" s="1"/>
  <c r="BQ1937" i="1" s="1"/>
  <c r="BM1954" i="1"/>
  <c r="BN1954" i="1" s="1"/>
  <c r="BO1954" i="1" s="1"/>
  <c r="BP1954" i="1" s="1"/>
  <c r="BQ1954" i="1" s="1"/>
  <c r="BM1964" i="1"/>
  <c r="BN1964" i="1" s="1"/>
  <c r="BO1964" i="1" s="1"/>
  <c r="BP1964" i="1" s="1"/>
  <c r="BQ1964" i="1" s="1"/>
  <c r="BM1969" i="1"/>
  <c r="BN1969" i="1" s="1"/>
  <c r="BO1969" i="1" s="1"/>
  <c r="BP1969" i="1" s="1"/>
  <c r="BQ1969" i="1" s="1"/>
  <c r="BM1979" i="1"/>
  <c r="BN1979" i="1" s="1"/>
  <c r="BO1979" i="1" s="1"/>
  <c r="BP1979" i="1" s="1"/>
  <c r="BQ1979" i="1" s="1"/>
  <c r="BM2018" i="1"/>
  <c r="BN2018" i="1" s="1"/>
  <c r="BO2018" i="1" s="1"/>
  <c r="BP2018" i="1" s="1"/>
  <c r="BQ2018" i="1" s="1"/>
  <c r="BM2023" i="1"/>
  <c r="BN2023" i="1" s="1"/>
  <c r="BO2023" i="1" s="1"/>
  <c r="BP2023" i="1" s="1"/>
  <c r="BQ2023" i="1" s="1"/>
  <c r="BM2033" i="1"/>
  <c r="BN2033" i="1" s="1"/>
  <c r="BO2033" i="1" s="1"/>
  <c r="BP2033" i="1" s="1"/>
  <c r="BQ2033" i="1" s="1"/>
  <c r="BM2056" i="1"/>
  <c r="BN2056" i="1" s="1"/>
  <c r="BO2056" i="1" s="1"/>
  <c r="BP2056" i="1" s="1"/>
  <c r="BQ2056" i="1" s="1"/>
  <c r="BM2069" i="1"/>
  <c r="BN2069" i="1" s="1"/>
  <c r="BO2069" i="1" s="1"/>
  <c r="BP2069" i="1" s="1"/>
  <c r="BQ2069" i="1" s="1"/>
  <c r="BM2086" i="1"/>
  <c r="BN2086" i="1" s="1"/>
  <c r="BO2086" i="1" s="1"/>
  <c r="BP2086" i="1" s="1"/>
  <c r="BQ2086" i="1" s="1"/>
  <c r="BM2091" i="1"/>
  <c r="BN2091" i="1" s="1"/>
  <c r="BO2091" i="1" s="1"/>
  <c r="BP2091" i="1" s="1"/>
  <c r="BQ2091" i="1" s="1"/>
  <c r="BM2098" i="1"/>
  <c r="BN2098" i="1" s="1"/>
  <c r="BO2098" i="1" s="1"/>
  <c r="BP2098" i="1" s="1"/>
  <c r="BQ2098" i="1" s="1"/>
  <c r="BM2108" i="1"/>
  <c r="BN2108" i="1" s="1"/>
  <c r="BO2108" i="1" s="1"/>
  <c r="BP2108" i="1" s="1"/>
  <c r="BQ2108" i="1" s="1"/>
  <c r="BM2113" i="1"/>
  <c r="BN2113" i="1" s="1"/>
  <c r="BO2113" i="1" s="1"/>
  <c r="BP2113" i="1" s="1"/>
  <c r="BQ2113" i="1" s="1"/>
  <c r="BM2137" i="1"/>
  <c r="BN2137" i="1" s="1"/>
  <c r="BO2137" i="1" s="1"/>
  <c r="BP2137" i="1" s="1"/>
  <c r="BQ2137" i="1" s="1"/>
  <c r="BM2179" i="1"/>
  <c r="BN2179" i="1" s="1"/>
  <c r="BO2179" i="1" s="1"/>
  <c r="BP2179" i="1" s="1"/>
  <c r="BQ2179" i="1" s="1"/>
  <c r="BM2186" i="1"/>
  <c r="BN2186" i="1" s="1"/>
  <c r="BO2186" i="1" s="1"/>
  <c r="BP2186" i="1" s="1"/>
  <c r="BQ2186" i="1" s="1"/>
  <c r="BM2198" i="1"/>
  <c r="BN2198" i="1" s="1"/>
  <c r="BO2198" i="1" s="1"/>
  <c r="BP2198" i="1" s="1"/>
  <c r="BQ2198" i="1" s="1"/>
  <c r="BM2229" i="1"/>
  <c r="BN2229" i="1" s="1"/>
  <c r="BO2229" i="1" s="1"/>
  <c r="BP2229" i="1" s="1"/>
  <c r="BQ2229" i="1" s="1"/>
  <c r="BM2234" i="1"/>
  <c r="BN2234" i="1" s="1"/>
  <c r="BO2234" i="1" s="1"/>
  <c r="BP2234" i="1" s="1"/>
  <c r="BQ2234" i="1" s="1"/>
  <c r="BM2242" i="1"/>
  <c r="BN2242" i="1" s="1"/>
  <c r="BO2242" i="1" s="1"/>
  <c r="BP2242" i="1" s="1"/>
  <c r="BQ2242" i="1" s="1"/>
  <c r="BM2257" i="1"/>
  <c r="BN2257" i="1" s="1"/>
  <c r="BO2257" i="1" s="1"/>
  <c r="BP2257" i="1" s="1"/>
  <c r="BQ2257" i="1" s="1"/>
  <c r="BM2272" i="1"/>
  <c r="BN2272" i="1" s="1"/>
  <c r="BO2272" i="1" s="1"/>
  <c r="BP2272" i="1" s="1"/>
  <c r="BQ2272" i="1" s="1"/>
  <c r="BM2282" i="1"/>
  <c r="BN2282" i="1" s="1"/>
  <c r="BO2282" i="1" s="1"/>
  <c r="BP2282" i="1" s="1"/>
  <c r="BQ2282" i="1" s="1"/>
  <c r="BM2287" i="1"/>
  <c r="BN2287" i="1" s="1"/>
  <c r="BO2287" i="1" s="1"/>
  <c r="BP2287" i="1" s="1"/>
  <c r="BQ2287" i="1" s="1"/>
  <c r="BM2321" i="1"/>
  <c r="BN2321" i="1" s="1"/>
  <c r="BO2321" i="1" s="1"/>
  <c r="BP2321" i="1" s="1"/>
  <c r="BQ2321" i="1" s="1"/>
  <c r="BM1767" i="1"/>
  <c r="BN1767" i="1" s="1"/>
  <c r="BO1767" i="1" s="1"/>
  <c r="BP1767" i="1" s="1"/>
  <c r="BQ1767" i="1" s="1"/>
  <c r="BM1776" i="1"/>
  <c r="BN1776" i="1" s="1"/>
  <c r="BO1776" i="1" s="1"/>
  <c r="BP1776" i="1" s="1"/>
  <c r="BQ1776" i="1" s="1"/>
  <c r="BM1805" i="1"/>
  <c r="BN1805" i="1" s="1"/>
  <c r="BO1805" i="1" s="1"/>
  <c r="BP1805" i="1" s="1"/>
  <c r="BQ1805" i="1" s="1"/>
  <c r="BM1854" i="1"/>
  <c r="BN1854" i="1" s="1"/>
  <c r="BO1854" i="1" s="1"/>
  <c r="BP1854" i="1" s="1"/>
  <c r="BQ1854" i="1" s="1"/>
  <c r="BM1884" i="1"/>
  <c r="BN1884" i="1" s="1"/>
  <c r="BO1884" i="1" s="1"/>
  <c r="BP1884" i="1" s="1"/>
  <c r="BQ1884" i="1" s="1"/>
  <c r="BM1907" i="1"/>
  <c r="BN1907" i="1" s="1"/>
  <c r="BO1907" i="1" s="1"/>
  <c r="BP1907" i="1" s="1"/>
  <c r="BQ1907" i="1" s="1"/>
  <c r="BM1942" i="1"/>
  <c r="BN1942" i="1" s="1"/>
  <c r="BO1942" i="1" s="1"/>
  <c r="BP1942" i="1" s="1"/>
  <c r="BQ1942" i="1" s="1"/>
  <c r="BM1949" i="1"/>
  <c r="BN1949" i="1" s="1"/>
  <c r="BO1949" i="1" s="1"/>
  <c r="BP1949" i="1" s="1"/>
  <c r="BQ1949" i="1" s="1"/>
  <c r="BM1974" i="1"/>
  <c r="BN1974" i="1" s="1"/>
  <c r="BO1974" i="1" s="1"/>
  <c r="BP1974" i="1" s="1"/>
  <c r="BQ1974" i="1" s="1"/>
  <c r="BM1989" i="1"/>
  <c r="BN1989" i="1" s="1"/>
  <c r="BO1989" i="1" s="1"/>
  <c r="BP1989" i="1" s="1"/>
  <c r="BQ1989" i="1" s="1"/>
  <c r="BM1999" i="1"/>
  <c r="BN1999" i="1" s="1"/>
  <c r="BO1999" i="1" s="1"/>
  <c r="BP1999" i="1" s="1"/>
  <c r="BQ1999" i="1" s="1"/>
  <c r="BM2009" i="1"/>
  <c r="BN2009" i="1" s="1"/>
  <c r="BO2009" i="1" s="1"/>
  <c r="BP2009" i="1" s="1"/>
  <c r="BQ2009" i="1" s="1"/>
  <c r="BM2028" i="1"/>
  <c r="BN2028" i="1" s="1"/>
  <c r="BO2028" i="1" s="1"/>
  <c r="BP2028" i="1" s="1"/>
  <c r="BQ2028" i="1" s="1"/>
  <c r="BM2064" i="1"/>
  <c r="BN2064" i="1" s="1"/>
  <c r="BO2064" i="1" s="1"/>
  <c r="BP2064" i="1" s="1"/>
  <c r="BQ2064" i="1" s="1"/>
  <c r="BM2084" i="1"/>
  <c r="BN2084" i="1" s="1"/>
  <c r="BO2084" i="1" s="1"/>
  <c r="BP2084" i="1" s="1"/>
  <c r="BQ2084" i="1" s="1"/>
  <c r="BM2096" i="1"/>
  <c r="BN2096" i="1" s="1"/>
  <c r="BO2096" i="1" s="1"/>
  <c r="BP2096" i="1" s="1"/>
  <c r="BQ2096" i="1" s="1"/>
  <c r="BM2101" i="1"/>
  <c r="BN2101" i="1" s="1"/>
  <c r="BO2101" i="1" s="1"/>
  <c r="BP2101" i="1" s="1"/>
  <c r="BQ2101" i="1" s="1"/>
  <c r="BM2118" i="1"/>
  <c r="BN2118" i="1" s="1"/>
  <c r="BO2118" i="1" s="1"/>
  <c r="BP2118" i="1" s="1"/>
  <c r="BQ2118" i="1" s="1"/>
  <c r="BM2130" i="1"/>
  <c r="BN2130" i="1" s="1"/>
  <c r="BO2130" i="1" s="1"/>
  <c r="BP2130" i="1" s="1"/>
  <c r="BQ2130" i="1" s="1"/>
  <c r="BM2157" i="1"/>
  <c r="BN2157" i="1" s="1"/>
  <c r="BO2157" i="1" s="1"/>
  <c r="BP2157" i="1" s="1"/>
  <c r="BQ2157" i="1" s="1"/>
  <c r="BM2171" i="1"/>
  <c r="BN2171" i="1" s="1"/>
  <c r="BO2171" i="1" s="1"/>
  <c r="BP2171" i="1" s="1"/>
  <c r="BQ2171" i="1" s="1"/>
  <c r="BM2174" i="1"/>
  <c r="BN2174" i="1" s="1"/>
  <c r="BO2174" i="1" s="1"/>
  <c r="BP2174" i="1" s="1"/>
  <c r="BQ2174" i="1" s="1"/>
  <c r="BM2214" i="1"/>
  <c r="BN2214" i="1" s="1"/>
  <c r="BO2214" i="1" s="1"/>
  <c r="BP2214" i="1" s="1"/>
  <c r="BQ2214" i="1" s="1"/>
  <c r="BM2237" i="1"/>
  <c r="BN2237" i="1" s="1"/>
  <c r="BO2237" i="1" s="1"/>
  <c r="BP2237" i="1" s="1"/>
  <c r="BQ2237" i="1" s="1"/>
  <c r="BM2247" i="1"/>
  <c r="BN2247" i="1" s="1"/>
  <c r="BO2247" i="1" s="1"/>
  <c r="BP2247" i="1" s="1"/>
  <c r="BQ2247" i="1" s="1"/>
  <c r="BM2262" i="1"/>
  <c r="BN2262" i="1" s="1"/>
  <c r="BO2262" i="1" s="1"/>
  <c r="BP2262" i="1" s="1"/>
  <c r="BQ2262" i="1" s="1"/>
  <c r="BM2267" i="1"/>
  <c r="BN2267" i="1" s="1"/>
  <c r="BO2267" i="1" s="1"/>
  <c r="BP2267" i="1" s="1"/>
  <c r="BQ2267" i="1" s="1"/>
  <c r="BM2292" i="1"/>
  <c r="BN2292" i="1" s="1"/>
  <c r="BO2292" i="1" s="1"/>
  <c r="BP2292" i="1" s="1"/>
  <c r="BQ2292" i="1" s="1"/>
  <c r="BM1813" i="1"/>
  <c r="BN1813" i="1" s="1"/>
  <c r="BO1813" i="1" s="1"/>
  <c r="BP1813" i="1" s="1"/>
  <c r="BQ1813" i="1" s="1"/>
  <c r="BM1828" i="1"/>
  <c r="BN1828" i="1" s="1"/>
  <c r="BO1828" i="1" s="1"/>
  <c r="BP1828" i="1" s="1"/>
  <c r="BQ1828" i="1" s="1"/>
  <c r="BM1839" i="1"/>
  <c r="BN1839" i="1" s="1"/>
  <c r="BO1839" i="1" s="1"/>
  <c r="BP1839" i="1" s="1"/>
  <c r="BQ1839" i="1" s="1"/>
  <c r="BM1845" i="1"/>
  <c r="BN1845" i="1" s="1"/>
  <c r="BO1845" i="1" s="1"/>
  <c r="BP1845" i="1" s="1"/>
  <c r="BQ1845" i="1" s="1"/>
  <c r="BM1848" i="1"/>
  <c r="BN1848" i="1" s="1"/>
  <c r="BO1848" i="1" s="1"/>
  <c r="BP1848" i="1" s="1"/>
  <c r="BQ1848" i="1" s="1"/>
  <c r="BM1899" i="1"/>
  <c r="BN1899" i="1" s="1"/>
  <c r="BO1899" i="1" s="1"/>
  <c r="BP1899" i="1" s="1"/>
  <c r="BQ1899" i="1" s="1"/>
  <c r="BM1916" i="1"/>
  <c r="BN1916" i="1" s="1"/>
  <c r="BO1916" i="1" s="1"/>
  <c r="BP1916" i="1" s="1"/>
  <c r="BQ1916" i="1" s="1"/>
  <c r="BM1927" i="1"/>
  <c r="BN1927" i="1" s="1"/>
  <c r="BO1927" i="1" s="1"/>
  <c r="BP1927" i="1" s="1"/>
  <c r="BQ1927" i="1" s="1"/>
  <c r="BM1932" i="1"/>
  <c r="BN1932" i="1" s="1"/>
  <c r="BO1932" i="1" s="1"/>
  <c r="BP1932" i="1" s="1"/>
  <c r="BQ1932" i="1" s="1"/>
  <c r="BM1962" i="1"/>
  <c r="BN1962" i="1" s="1"/>
  <c r="BO1962" i="1" s="1"/>
  <c r="BP1962" i="1" s="1"/>
  <c r="BQ1962" i="1" s="1"/>
  <c r="BM1977" i="1"/>
  <c r="BN1977" i="1" s="1"/>
  <c r="BO1977" i="1" s="1"/>
  <c r="BP1977" i="1" s="1"/>
  <c r="BQ1977" i="1" s="1"/>
  <c r="BM1984" i="1"/>
  <c r="BN1984" i="1" s="1"/>
  <c r="BO1984" i="1" s="1"/>
  <c r="BP1984" i="1" s="1"/>
  <c r="BQ1984" i="1" s="1"/>
  <c r="BM2016" i="1"/>
  <c r="BN2016" i="1" s="1"/>
  <c r="BO2016" i="1" s="1"/>
  <c r="BP2016" i="1" s="1"/>
  <c r="BQ2016" i="1" s="1"/>
  <c r="BM2043" i="1"/>
  <c r="BN2043" i="1" s="1"/>
  <c r="BO2043" i="1" s="1"/>
  <c r="BP2043" i="1" s="1"/>
  <c r="BQ2043" i="1" s="1"/>
  <c r="BM2046" i="1"/>
  <c r="BN2046" i="1" s="1"/>
  <c r="BO2046" i="1" s="1"/>
  <c r="BP2046" i="1" s="1"/>
  <c r="BQ2046" i="1" s="1"/>
  <c r="BM2051" i="1"/>
  <c r="BN2051" i="1" s="1"/>
  <c r="BO2051" i="1" s="1"/>
  <c r="BP2051" i="1" s="1"/>
  <c r="BQ2051" i="1" s="1"/>
  <c r="BM2116" i="1"/>
  <c r="BN2116" i="1" s="1"/>
  <c r="BO2116" i="1" s="1"/>
  <c r="BP2116" i="1" s="1"/>
  <c r="BQ2116" i="1" s="1"/>
  <c r="BM2135" i="1"/>
  <c r="BN2135" i="1" s="1"/>
  <c r="BO2135" i="1" s="1"/>
  <c r="BP2135" i="1" s="1"/>
  <c r="BQ2135" i="1" s="1"/>
  <c r="BM2140" i="1"/>
  <c r="BN2140" i="1" s="1"/>
  <c r="BO2140" i="1" s="1"/>
  <c r="BP2140" i="1" s="1"/>
  <c r="BQ2140" i="1" s="1"/>
  <c r="BM2147" i="1"/>
  <c r="BN2147" i="1" s="1"/>
  <c r="BO2147" i="1" s="1"/>
  <c r="BP2147" i="1" s="1"/>
  <c r="BQ2147" i="1" s="1"/>
  <c r="BM2154" i="1"/>
  <c r="BN2154" i="1" s="1"/>
  <c r="BO2154" i="1" s="1"/>
  <c r="BP2154" i="1" s="1"/>
  <c r="BQ2154" i="1" s="1"/>
  <c r="BM2184" i="1"/>
  <c r="BN2184" i="1" s="1"/>
  <c r="BO2184" i="1" s="1"/>
  <c r="BP2184" i="1" s="1"/>
  <c r="BQ2184" i="1" s="1"/>
  <c r="BM2196" i="1"/>
  <c r="BN2196" i="1" s="1"/>
  <c r="BO2196" i="1" s="1"/>
  <c r="BP2196" i="1" s="1"/>
  <c r="BQ2196" i="1" s="1"/>
  <c r="BM2219" i="1"/>
  <c r="BN2219" i="1" s="1"/>
  <c r="BO2219" i="1" s="1"/>
  <c r="BP2219" i="1" s="1"/>
  <c r="BQ2219" i="1" s="1"/>
  <c r="BM2222" i="1"/>
  <c r="BN2222" i="1" s="1"/>
  <c r="BO2222" i="1" s="1"/>
  <c r="BP2222" i="1" s="1"/>
  <c r="BQ2222" i="1" s="1"/>
  <c r="BM2227" i="1"/>
  <c r="BN2227" i="1" s="1"/>
  <c r="BO2227" i="1" s="1"/>
  <c r="BP2227" i="1" s="1"/>
  <c r="BQ2227" i="1" s="1"/>
  <c r="BM2250" i="1"/>
  <c r="BN2250" i="1" s="1"/>
  <c r="BO2250" i="1" s="1"/>
  <c r="BP2250" i="1" s="1"/>
  <c r="BQ2250" i="1" s="1"/>
  <c r="BM2255" i="1"/>
  <c r="BN2255" i="1" s="1"/>
  <c r="BO2255" i="1" s="1"/>
  <c r="BP2255" i="1" s="1"/>
  <c r="BQ2255" i="1" s="1"/>
  <c r="BM2270" i="1"/>
  <c r="BN2270" i="1" s="1"/>
  <c r="BO2270" i="1" s="1"/>
  <c r="BP2270" i="1" s="1"/>
  <c r="BQ2270" i="1" s="1"/>
  <c r="BM2277" i="1"/>
  <c r="BN2277" i="1" s="1"/>
  <c r="BO2277" i="1" s="1"/>
  <c r="BP2277" i="1" s="1"/>
  <c r="BQ2277" i="1" s="1"/>
  <c r="BM2319" i="1"/>
  <c r="BN2319" i="1" s="1"/>
  <c r="BO2319" i="1" s="1"/>
  <c r="BP2319" i="1" s="1"/>
  <c r="BQ2319" i="1" s="1"/>
  <c r="BM2370" i="1"/>
  <c r="BN2370" i="1" s="1"/>
  <c r="BO2370" i="1" s="1"/>
  <c r="BP2370" i="1" s="1"/>
  <c r="BQ2370" i="1" s="1"/>
  <c r="BM2375" i="1"/>
  <c r="BN2375" i="1" s="1"/>
  <c r="BO2375" i="1" s="1"/>
  <c r="BP2375" i="1" s="1"/>
  <c r="BQ2375" i="1" s="1"/>
  <c r="BM2383" i="1"/>
  <c r="BN2383" i="1" s="1"/>
  <c r="BO2383" i="1" s="1"/>
  <c r="BP2383" i="1" s="1"/>
  <c r="BQ2383" i="1" s="1"/>
  <c r="BM1700" i="1"/>
  <c r="BN1700" i="1" s="1"/>
  <c r="BO1700" i="1" s="1"/>
  <c r="BP1700" i="1" s="1"/>
  <c r="BQ1700" i="1" s="1"/>
  <c r="BM1760" i="1"/>
  <c r="BN1760" i="1" s="1"/>
  <c r="BO1760" i="1" s="1"/>
  <c r="BP1760" i="1" s="1"/>
  <c r="BQ1760" i="1" s="1"/>
  <c r="BM1764" i="1"/>
  <c r="BN1764" i="1" s="1"/>
  <c r="BO1764" i="1" s="1"/>
  <c r="BP1764" i="1" s="1"/>
  <c r="BQ1764" i="1" s="1"/>
  <c r="BM1851" i="1"/>
  <c r="BN1851" i="1" s="1"/>
  <c r="BO1851" i="1" s="1"/>
  <c r="BP1851" i="1" s="1"/>
  <c r="BQ1851" i="1" s="1"/>
  <c r="BM1902" i="1"/>
  <c r="BN1902" i="1" s="1"/>
  <c r="BO1902" i="1" s="1"/>
  <c r="BP1902" i="1" s="1"/>
  <c r="BQ1902" i="1" s="1"/>
  <c r="BM1924" i="1"/>
  <c r="BN1924" i="1" s="1"/>
  <c r="BO1924" i="1" s="1"/>
  <c r="BP1924" i="1" s="1"/>
  <c r="BQ1924" i="1" s="1"/>
  <c r="BM1930" i="1"/>
  <c r="BN1930" i="1" s="1"/>
  <c r="BO1930" i="1" s="1"/>
  <c r="BP1930" i="1" s="1"/>
  <c r="BQ1930" i="1" s="1"/>
  <c r="BM1947" i="1"/>
  <c r="BN1947" i="1" s="1"/>
  <c r="BO1947" i="1" s="1"/>
  <c r="BP1947" i="1" s="1"/>
  <c r="BQ1947" i="1" s="1"/>
  <c r="BM1967" i="1"/>
  <c r="BN1967" i="1" s="1"/>
  <c r="BO1967" i="1" s="1"/>
  <c r="BP1967" i="1" s="1"/>
  <c r="BQ1967" i="1" s="1"/>
  <c r="BM2004" i="1"/>
  <c r="BN2004" i="1" s="1"/>
  <c r="BO2004" i="1" s="1"/>
  <c r="BP2004" i="1" s="1"/>
  <c r="BQ2004" i="1" s="1"/>
  <c r="BM2007" i="1"/>
  <c r="BN2007" i="1" s="1"/>
  <c r="BO2007" i="1" s="1"/>
  <c r="BP2007" i="1" s="1"/>
  <c r="BQ2007" i="1" s="1"/>
  <c r="BM2014" i="1"/>
  <c r="BN2014" i="1" s="1"/>
  <c r="BO2014" i="1" s="1"/>
  <c r="BP2014" i="1" s="1"/>
  <c r="BQ2014" i="1" s="1"/>
  <c r="BM2021" i="1"/>
  <c r="BN2021" i="1" s="1"/>
  <c r="BO2021" i="1" s="1"/>
  <c r="BP2021" i="1" s="1"/>
  <c r="BQ2021" i="1" s="1"/>
  <c r="BM2026" i="1"/>
  <c r="BN2026" i="1" s="1"/>
  <c r="BO2026" i="1" s="1"/>
  <c r="BP2026" i="1" s="1"/>
  <c r="BQ2026" i="1" s="1"/>
  <c r="BM2036" i="1"/>
  <c r="BN2036" i="1" s="1"/>
  <c r="BO2036" i="1" s="1"/>
  <c r="BP2036" i="1" s="1"/>
  <c r="BQ2036" i="1" s="1"/>
  <c r="BM2041" i="1"/>
  <c r="BN2041" i="1" s="1"/>
  <c r="BO2041" i="1" s="1"/>
  <c r="BP2041" i="1" s="1"/>
  <c r="BQ2041" i="1" s="1"/>
  <c r="BM2054" i="1"/>
  <c r="BN2054" i="1" s="1"/>
  <c r="BO2054" i="1" s="1"/>
  <c r="BP2054" i="1" s="1"/>
  <c r="BQ2054" i="1" s="1"/>
  <c r="BM2059" i="1"/>
  <c r="BN2059" i="1" s="1"/>
  <c r="BO2059" i="1" s="1"/>
  <c r="BP2059" i="1" s="1"/>
  <c r="BQ2059" i="1" s="1"/>
  <c r="BM2067" i="1"/>
  <c r="BN2067" i="1" s="1"/>
  <c r="BO2067" i="1" s="1"/>
  <c r="BP2067" i="1" s="1"/>
  <c r="BQ2067" i="1" s="1"/>
  <c r="BM2079" i="1"/>
  <c r="BN2079" i="1" s="1"/>
  <c r="BO2079" i="1" s="1"/>
  <c r="BP2079" i="1" s="1"/>
  <c r="BQ2079" i="1" s="1"/>
  <c r="BM2094" i="1"/>
  <c r="BN2094" i="1" s="1"/>
  <c r="BO2094" i="1" s="1"/>
  <c r="BP2094" i="1" s="1"/>
  <c r="BQ2094" i="1" s="1"/>
  <c r="BM2123" i="1"/>
  <c r="BN2123" i="1" s="1"/>
  <c r="BO2123" i="1" s="1"/>
  <c r="BP2123" i="1" s="1"/>
  <c r="BQ2123" i="1" s="1"/>
  <c r="BM2128" i="1"/>
  <c r="BN2128" i="1" s="1"/>
  <c r="BO2128" i="1" s="1"/>
  <c r="BP2128" i="1" s="1"/>
  <c r="BQ2128" i="1" s="1"/>
  <c r="BM2152" i="1"/>
  <c r="BN2152" i="1" s="1"/>
  <c r="BO2152" i="1" s="1"/>
  <c r="BP2152" i="1" s="1"/>
  <c r="BQ2152" i="1" s="1"/>
  <c r="BM2162" i="1"/>
  <c r="BN2162" i="1" s="1"/>
  <c r="BO2162" i="1" s="1"/>
  <c r="BP2162" i="1" s="1"/>
  <c r="BQ2162" i="1" s="1"/>
  <c r="BM2177" i="1"/>
  <c r="BN2177" i="1" s="1"/>
  <c r="BO2177" i="1" s="1"/>
  <c r="BP2177" i="1" s="1"/>
  <c r="BQ2177" i="1" s="1"/>
  <c r="BM2207" i="1"/>
  <c r="BN2207" i="1" s="1"/>
  <c r="BO2207" i="1" s="1"/>
  <c r="BP2207" i="1" s="1"/>
  <c r="BQ2207" i="1" s="1"/>
  <c r="BM2209" i="1"/>
  <c r="BN2209" i="1" s="1"/>
  <c r="BO2209" i="1" s="1"/>
  <c r="BP2209" i="1" s="1"/>
  <c r="BQ2209" i="1" s="1"/>
  <c r="BM2232" i="1"/>
  <c r="BN2232" i="1" s="1"/>
  <c r="BO2232" i="1" s="1"/>
  <c r="BP2232" i="1" s="1"/>
  <c r="BQ2232" i="1" s="1"/>
  <c r="BM2265" i="1"/>
  <c r="BN2265" i="1" s="1"/>
  <c r="BO2265" i="1" s="1"/>
  <c r="BP2265" i="1" s="1"/>
  <c r="BQ2265" i="1" s="1"/>
  <c r="BM2290" i="1"/>
  <c r="BN2290" i="1" s="1"/>
  <c r="BO2290" i="1" s="1"/>
  <c r="BP2290" i="1" s="1"/>
  <c r="BQ2290" i="1" s="1"/>
  <c r="BM2306" i="1"/>
  <c r="BN2306" i="1" s="1"/>
  <c r="BO2306" i="1" s="1"/>
  <c r="BP2306" i="1" s="1"/>
  <c r="BQ2306" i="1" s="1"/>
  <c r="BM2342" i="1"/>
  <c r="BN2342" i="1" s="1"/>
  <c r="BO2342" i="1" s="1"/>
  <c r="BP2342" i="1" s="1"/>
  <c r="BQ2342" i="1" s="1"/>
  <c r="BM2345" i="1"/>
  <c r="BN2345" i="1" s="1"/>
  <c r="BO2345" i="1" s="1"/>
  <c r="BP2345" i="1" s="1"/>
  <c r="BQ2345" i="1" s="1"/>
  <c r="BM2357" i="1"/>
  <c r="BN2357" i="1" s="1"/>
  <c r="BO2357" i="1" s="1"/>
  <c r="BP2357" i="1" s="1"/>
  <c r="BQ2357" i="1" s="1"/>
  <c r="BM1858" i="1"/>
  <c r="BN1858" i="1" s="1"/>
  <c r="BO1858" i="1" s="1"/>
  <c r="BP1858" i="1" s="1"/>
  <c r="BQ1858" i="1" s="1"/>
  <c r="BM1861" i="1"/>
  <c r="BN1861" i="1" s="1"/>
  <c r="BO1861" i="1" s="1"/>
  <c r="BP1861" i="1" s="1"/>
  <c r="BQ1861" i="1" s="1"/>
  <c r="BM1879" i="1"/>
  <c r="BN1879" i="1" s="1"/>
  <c r="BO1879" i="1" s="1"/>
  <c r="BP1879" i="1" s="1"/>
  <c r="BQ1879" i="1" s="1"/>
  <c r="BM1919" i="1"/>
  <c r="BN1919" i="1" s="1"/>
  <c r="BO1919" i="1" s="1"/>
  <c r="BP1919" i="1" s="1"/>
  <c r="BQ1919" i="1" s="1"/>
  <c r="BM1935" i="1"/>
  <c r="BN1935" i="1" s="1"/>
  <c r="BO1935" i="1" s="1"/>
  <c r="BP1935" i="1" s="1"/>
  <c r="BQ1935" i="1" s="1"/>
  <c r="BM1940" i="1"/>
  <c r="BN1940" i="1" s="1"/>
  <c r="BO1940" i="1" s="1"/>
  <c r="BP1940" i="1" s="1"/>
  <c r="BQ1940" i="1" s="1"/>
  <c r="BM1945" i="1"/>
  <c r="BN1945" i="1" s="1"/>
  <c r="BO1945" i="1" s="1"/>
  <c r="BP1945" i="1" s="1"/>
  <c r="BQ1945" i="1" s="1"/>
  <c r="BM1952" i="1"/>
  <c r="BN1952" i="1" s="1"/>
  <c r="BO1952" i="1" s="1"/>
  <c r="BP1952" i="1" s="1"/>
  <c r="BQ1952" i="1" s="1"/>
  <c r="BM1957" i="1"/>
  <c r="BN1957" i="1" s="1"/>
  <c r="BO1957" i="1" s="1"/>
  <c r="BP1957" i="1" s="1"/>
  <c r="BQ1957" i="1" s="1"/>
  <c r="BM1982" i="1"/>
  <c r="BN1982" i="1" s="1"/>
  <c r="BO1982" i="1" s="1"/>
  <c r="BP1982" i="1" s="1"/>
  <c r="BQ1982" i="1" s="1"/>
  <c r="BM1992" i="1"/>
  <c r="BN1992" i="1" s="1"/>
  <c r="BO1992" i="1" s="1"/>
  <c r="BP1992" i="1" s="1"/>
  <c r="BQ1992" i="1" s="1"/>
  <c r="BM1997" i="1"/>
  <c r="BN1997" i="1" s="1"/>
  <c r="BO1997" i="1" s="1"/>
  <c r="BP1997" i="1" s="1"/>
  <c r="BQ1997" i="1" s="1"/>
  <c r="BM2031" i="1"/>
  <c r="BN2031" i="1" s="1"/>
  <c r="BO2031" i="1" s="1"/>
  <c r="BP2031" i="1" s="1"/>
  <c r="BQ2031" i="1" s="1"/>
  <c r="BM2039" i="1"/>
  <c r="BN2039" i="1" s="1"/>
  <c r="BO2039" i="1" s="1"/>
  <c r="BP2039" i="1" s="1"/>
  <c r="BQ2039" i="1" s="1"/>
  <c r="BM2074" i="1"/>
  <c r="BN2074" i="1" s="1"/>
  <c r="BO2074" i="1" s="1"/>
  <c r="BP2074" i="1" s="1"/>
  <c r="BQ2074" i="1" s="1"/>
  <c r="BM2089" i="1"/>
  <c r="BN2089" i="1" s="1"/>
  <c r="BO2089" i="1" s="1"/>
  <c r="BP2089" i="1" s="1"/>
  <c r="BQ2089" i="1" s="1"/>
  <c r="BM2099" i="1"/>
  <c r="BN2099" i="1" s="1"/>
  <c r="BO2099" i="1" s="1"/>
  <c r="BP2099" i="1" s="1"/>
  <c r="BQ2099" i="1" s="1"/>
  <c r="BM2111" i="1"/>
  <c r="BN2111" i="1" s="1"/>
  <c r="BO2111" i="1" s="1"/>
  <c r="BP2111" i="1" s="1"/>
  <c r="BQ2111" i="1" s="1"/>
  <c r="BM2133" i="1"/>
  <c r="BN2133" i="1" s="1"/>
  <c r="BO2133" i="1" s="1"/>
  <c r="BP2133" i="1" s="1"/>
  <c r="BQ2133" i="1" s="1"/>
  <c r="BM2167" i="1"/>
  <c r="BN2167" i="1" s="1"/>
  <c r="BO2167" i="1" s="1"/>
  <c r="BP2167" i="1" s="1"/>
  <c r="BQ2167" i="1" s="1"/>
  <c r="BM2169" i="1"/>
  <c r="BN2169" i="1" s="1"/>
  <c r="BO2169" i="1" s="1"/>
  <c r="BP2169" i="1" s="1"/>
  <c r="BQ2169" i="1" s="1"/>
  <c r="BM2194" i="1"/>
  <c r="BN2194" i="1" s="1"/>
  <c r="BO2194" i="1" s="1"/>
  <c r="BP2194" i="1" s="1"/>
  <c r="BQ2194" i="1" s="1"/>
  <c r="BM2204" i="1"/>
  <c r="BN2204" i="1" s="1"/>
  <c r="BO2204" i="1" s="1"/>
  <c r="BP2204" i="1" s="1"/>
  <c r="BQ2204" i="1" s="1"/>
  <c r="BM2212" i="1"/>
  <c r="BN2212" i="1" s="1"/>
  <c r="BO2212" i="1" s="1"/>
  <c r="BP2212" i="1" s="1"/>
  <c r="BQ2212" i="1" s="1"/>
  <c r="BM2240" i="1"/>
  <c r="BN2240" i="1" s="1"/>
  <c r="BO2240" i="1" s="1"/>
  <c r="BP2240" i="1" s="1"/>
  <c r="BQ2240" i="1" s="1"/>
  <c r="BM2260" i="1"/>
  <c r="BN2260" i="1" s="1"/>
  <c r="BO2260" i="1" s="1"/>
  <c r="BP2260" i="1" s="1"/>
  <c r="BQ2260" i="1" s="1"/>
  <c r="BM2275" i="1"/>
  <c r="BN2275" i="1" s="1"/>
  <c r="BO2275" i="1" s="1"/>
  <c r="BP2275" i="1" s="1"/>
  <c r="BQ2275" i="1" s="1"/>
  <c r="BM2280" i="1"/>
  <c r="BN2280" i="1" s="1"/>
  <c r="BO2280" i="1" s="1"/>
  <c r="BP2280" i="1" s="1"/>
  <c r="BQ2280" i="1" s="1"/>
  <c r="BM2295" i="1"/>
  <c r="BN2295" i="1" s="1"/>
  <c r="BO2295" i="1" s="1"/>
  <c r="BP2295" i="1" s="1"/>
  <c r="BQ2295" i="1" s="1"/>
  <c r="BM2311" i="1"/>
  <c r="BN2311" i="1" s="1"/>
  <c r="BO2311" i="1" s="1"/>
  <c r="BP2311" i="1" s="1"/>
  <c r="BQ2311" i="1" s="1"/>
  <c r="BM2324" i="1"/>
  <c r="BN2324" i="1" s="1"/>
  <c r="BO2324" i="1" s="1"/>
  <c r="BP2324" i="1" s="1"/>
  <c r="BQ2324" i="1" s="1"/>
  <c r="BM2335" i="1"/>
  <c r="BN2335" i="1" s="1"/>
  <c r="BO2335" i="1" s="1"/>
  <c r="BP2335" i="1" s="1"/>
  <c r="BQ2335" i="1" s="1"/>
  <c r="BM2350" i="1"/>
  <c r="BN2350" i="1" s="1"/>
  <c r="BO2350" i="1" s="1"/>
  <c r="BP2350" i="1" s="1"/>
  <c r="BQ2350" i="1" s="1"/>
  <c r="BM1888" i="1"/>
  <c r="BN1888" i="1" s="1"/>
  <c r="BO1888" i="1" s="1"/>
  <c r="BP1888" i="1" s="1"/>
  <c r="BQ1888" i="1" s="1"/>
  <c r="BM1905" i="1"/>
  <c r="BN1905" i="1" s="1"/>
  <c r="BO1905" i="1" s="1"/>
  <c r="BP1905" i="1" s="1"/>
  <c r="BQ1905" i="1" s="1"/>
  <c r="BM1911" i="1"/>
  <c r="BN1911" i="1" s="1"/>
  <c r="BO1911" i="1" s="1"/>
  <c r="BP1911" i="1" s="1"/>
  <c r="BQ1911" i="1" s="1"/>
  <c r="BM1914" i="1"/>
  <c r="BN1914" i="1" s="1"/>
  <c r="BO1914" i="1" s="1"/>
  <c r="BP1914" i="1" s="1"/>
  <c r="BQ1914" i="1" s="1"/>
  <c r="BM1922" i="1"/>
  <c r="BN1922" i="1" s="1"/>
  <c r="BO1922" i="1" s="1"/>
  <c r="BP1922" i="1" s="1"/>
  <c r="BQ1922" i="1" s="1"/>
  <c r="BM1972" i="1"/>
  <c r="BN1972" i="1" s="1"/>
  <c r="BO1972" i="1" s="1"/>
  <c r="BP1972" i="1" s="1"/>
  <c r="BQ1972" i="1" s="1"/>
  <c r="BM1987" i="1"/>
  <c r="BN1987" i="1" s="1"/>
  <c r="BO1987" i="1" s="1"/>
  <c r="BP1987" i="1" s="1"/>
  <c r="BQ1987" i="1" s="1"/>
  <c r="BM1995" i="1"/>
  <c r="BN1995" i="1" s="1"/>
  <c r="BO1995" i="1" s="1"/>
  <c r="BP1995" i="1" s="1"/>
  <c r="BQ1995" i="1" s="1"/>
  <c r="BM2002" i="1"/>
  <c r="BN2002" i="1" s="1"/>
  <c r="BO2002" i="1" s="1"/>
  <c r="BP2002" i="1" s="1"/>
  <c r="BQ2002" i="1" s="1"/>
  <c r="BM2034" i="1"/>
  <c r="BN2034" i="1" s="1"/>
  <c r="BO2034" i="1" s="1"/>
  <c r="BP2034" i="1" s="1"/>
  <c r="BQ2034" i="1" s="1"/>
  <c r="BM2062" i="1"/>
  <c r="BN2062" i="1" s="1"/>
  <c r="BO2062" i="1" s="1"/>
  <c r="BP2062" i="1" s="1"/>
  <c r="BQ2062" i="1" s="1"/>
  <c r="BM2077" i="1"/>
  <c r="BN2077" i="1" s="1"/>
  <c r="BO2077" i="1" s="1"/>
  <c r="BP2077" i="1" s="1"/>
  <c r="BQ2077" i="1" s="1"/>
  <c r="BM2145" i="1"/>
  <c r="BN2145" i="1" s="1"/>
  <c r="BO2145" i="1" s="1"/>
  <c r="BP2145" i="1" s="1"/>
  <c r="BQ2145" i="1" s="1"/>
  <c r="BM2160" i="1"/>
  <c r="BN2160" i="1" s="1"/>
  <c r="BO2160" i="1" s="1"/>
  <c r="BP2160" i="1" s="1"/>
  <c r="BQ2160" i="1" s="1"/>
  <c r="BM2182" i="1"/>
  <c r="BN2182" i="1" s="1"/>
  <c r="BO2182" i="1" s="1"/>
  <c r="BP2182" i="1" s="1"/>
  <c r="BQ2182" i="1" s="1"/>
  <c r="BM2187" i="1"/>
  <c r="BN2187" i="1" s="1"/>
  <c r="BO2187" i="1" s="1"/>
  <c r="BP2187" i="1" s="1"/>
  <c r="BQ2187" i="1" s="1"/>
  <c r="BM2192" i="1"/>
  <c r="BN2192" i="1" s="1"/>
  <c r="BO2192" i="1" s="1"/>
  <c r="BP2192" i="1" s="1"/>
  <c r="BQ2192" i="1" s="1"/>
  <c r="BM2201" i="1"/>
  <c r="BN2201" i="1" s="1"/>
  <c r="BO2201" i="1" s="1"/>
  <c r="BP2201" i="1" s="1"/>
  <c r="BQ2201" i="1" s="1"/>
  <c r="BM2217" i="1"/>
  <c r="BN2217" i="1" s="1"/>
  <c r="BO2217" i="1" s="1"/>
  <c r="BP2217" i="1" s="1"/>
  <c r="BQ2217" i="1" s="1"/>
  <c r="BM2235" i="1"/>
  <c r="BN2235" i="1" s="1"/>
  <c r="BO2235" i="1" s="1"/>
  <c r="BP2235" i="1" s="1"/>
  <c r="BQ2235" i="1" s="1"/>
  <c r="BM1786" i="1"/>
  <c r="BN1786" i="1" s="1"/>
  <c r="BO1786" i="1" s="1"/>
  <c r="BP1786" i="1" s="1"/>
  <c r="BQ1786" i="1" s="1"/>
  <c r="BM1806" i="1"/>
  <c r="BN1806" i="1" s="1"/>
  <c r="BO1806" i="1" s="1"/>
  <c r="BP1806" i="1" s="1"/>
  <c r="BQ1806" i="1" s="1"/>
  <c r="BM1829" i="1"/>
  <c r="BN1829" i="1" s="1"/>
  <c r="BO1829" i="1" s="1"/>
  <c r="BP1829" i="1" s="1"/>
  <c r="BQ1829" i="1" s="1"/>
  <c r="BM1846" i="1"/>
  <c r="BN1846" i="1" s="1"/>
  <c r="BO1846" i="1" s="1"/>
  <c r="BP1846" i="1" s="1"/>
  <c r="BQ1846" i="1" s="1"/>
  <c r="BM1864" i="1"/>
  <c r="BN1864" i="1" s="1"/>
  <c r="BO1864" i="1" s="1"/>
  <c r="BP1864" i="1" s="1"/>
  <c r="BQ1864" i="1" s="1"/>
  <c r="BM1897" i="1"/>
  <c r="BN1897" i="1" s="1"/>
  <c r="BO1897" i="1" s="1"/>
  <c r="BP1897" i="1" s="1"/>
  <c r="BQ1897" i="1" s="1"/>
  <c r="BM1938" i="1"/>
  <c r="BN1938" i="1" s="1"/>
  <c r="BO1938" i="1" s="1"/>
  <c r="BP1938" i="1" s="1"/>
  <c r="BQ1938" i="1" s="1"/>
  <c r="BM1943" i="1"/>
  <c r="BN1943" i="1" s="1"/>
  <c r="BO1943" i="1" s="1"/>
  <c r="BP1943" i="1" s="1"/>
  <c r="BQ1943" i="1" s="1"/>
  <c r="BM1960" i="1"/>
  <c r="BN1960" i="1" s="1"/>
  <c r="BO1960" i="1" s="1"/>
  <c r="BP1960" i="1" s="1"/>
  <c r="BQ1960" i="1" s="1"/>
  <c r="BM1965" i="1"/>
  <c r="BN1965" i="1" s="1"/>
  <c r="BO1965" i="1" s="1"/>
  <c r="BP1965" i="1" s="1"/>
  <c r="BQ1965" i="1" s="1"/>
  <c r="BM1975" i="1"/>
  <c r="BN1975" i="1" s="1"/>
  <c r="BO1975" i="1" s="1"/>
  <c r="BP1975" i="1" s="1"/>
  <c r="BQ1975" i="1" s="1"/>
  <c r="BM2049" i="1"/>
  <c r="BN2049" i="1" s="1"/>
  <c r="BO2049" i="1" s="1"/>
  <c r="BP2049" i="1" s="1"/>
  <c r="BQ2049" i="1" s="1"/>
  <c r="BM2072" i="1"/>
  <c r="BN2072" i="1" s="1"/>
  <c r="BO2072" i="1" s="1"/>
  <c r="BP2072" i="1" s="1"/>
  <c r="BQ2072" i="1" s="1"/>
  <c r="BM2087" i="1"/>
  <c r="BN2087" i="1" s="1"/>
  <c r="BO2087" i="1" s="1"/>
  <c r="BP2087" i="1" s="1"/>
  <c r="BQ2087" i="1" s="1"/>
  <c r="BM2092" i="1"/>
  <c r="BN2092" i="1" s="1"/>
  <c r="BO2092" i="1" s="1"/>
  <c r="BP2092" i="1" s="1"/>
  <c r="BQ2092" i="1" s="1"/>
  <c r="BM2106" i="1"/>
  <c r="BN2106" i="1" s="1"/>
  <c r="BO2106" i="1" s="1"/>
  <c r="BP2106" i="1" s="1"/>
  <c r="BQ2106" i="1" s="1"/>
  <c r="BM2121" i="1"/>
  <c r="BN2121" i="1" s="1"/>
  <c r="BO2121" i="1" s="1"/>
  <c r="BP2121" i="1" s="1"/>
  <c r="BQ2121" i="1" s="1"/>
  <c r="BM2126" i="1"/>
  <c r="BN2126" i="1" s="1"/>
  <c r="BO2126" i="1" s="1"/>
  <c r="BP2126" i="1" s="1"/>
  <c r="BQ2126" i="1" s="1"/>
  <c r="BM2131" i="1"/>
  <c r="BN2131" i="1" s="1"/>
  <c r="BO2131" i="1" s="1"/>
  <c r="BP2131" i="1" s="1"/>
  <c r="BQ2131" i="1" s="1"/>
  <c r="BM2143" i="1"/>
  <c r="BN2143" i="1" s="1"/>
  <c r="BO2143" i="1" s="1"/>
  <c r="BP2143" i="1" s="1"/>
  <c r="BQ2143" i="1" s="1"/>
  <c r="BM2150" i="1"/>
  <c r="BN2150" i="1" s="1"/>
  <c r="BO2150" i="1" s="1"/>
  <c r="BP2150" i="1" s="1"/>
  <c r="BQ2150" i="1" s="1"/>
  <c r="BM2165" i="1"/>
  <c r="BN2165" i="1" s="1"/>
  <c r="BO2165" i="1" s="1"/>
  <c r="BP2165" i="1" s="1"/>
  <c r="BQ2165" i="1" s="1"/>
  <c r="BM2199" i="1"/>
  <c r="BN2199" i="1" s="1"/>
  <c r="BO2199" i="1" s="1"/>
  <c r="BP2199" i="1" s="1"/>
  <c r="BQ2199" i="1" s="1"/>
  <c r="BM2225" i="1"/>
  <c r="BN2225" i="1" s="1"/>
  <c r="BO2225" i="1" s="1"/>
  <c r="BP2225" i="1" s="1"/>
  <c r="BQ2225" i="1" s="1"/>
  <c r="BM2230" i="1"/>
  <c r="BN2230" i="1" s="1"/>
  <c r="BO2230" i="1" s="1"/>
  <c r="BP2230" i="1" s="1"/>
  <c r="BQ2230" i="1" s="1"/>
  <c r="BM2238" i="1"/>
  <c r="BN2238" i="1" s="1"/>
  <c r="BO2238" i="1" s="1"/>
  <c r="BP2238" i="1" s="1"/>
  <c r="BQ2238" i="1" s="1"/>
  <c r="BM2245" i="1"/>
  <c r="BN2245" i="1" s="1"/>
  <c r="BO2245" i="1" s="1"/>
  <c r="BP2245" i="1" s="1"/>
  <c r="BQ2245" i="1" s="1"/>
  <c r="BM2258" i="1"/>
  <c r="BN2258" i="1" s="1"/>
  <c r="BO2258" i="1" s="1"/>
  <c r="BP2258" i="1" s="1"/>
  <c r="BQ2258" i="1" s="1"/>
  <c r="BM2268" i="1"/>
  <c r="BN2268" i="1" s="1"/>
  <c r="BO2268" i="1" s="1"/>
  <c r="BP2268" i="1" s="1"/>
  <c r="BQ2268" i="1" s="1"/>
  <c r="BM2273" i="1"/>
  <c r="BN2273" i="1" s="1"/>
  <c r="BO2273" i="1" s="1"/>
  <c r="BP2273" i="1" s="1"/>
  <c r="BQ2273" i="1" s="1"/>
  <c r="BM1748" i="1"/>
  <c r="BN1748" i="1" s="1"/>
  <c r="BO1748" i="1" s="1"/>
  <c r="BP1748" i="1" s="1"/>
  <c r="BQ1748" i="1" s="1"/>
  <c r="BM1752" i="1"/>
  <c r="BN1752" i="1" s="1"/>
  <c r="BO1752" i="1" s="1"/>
  <c r="BP1752" i="1" s="1"/>
  <c r="BQ1752" i="1" s="1"/>
  <c r="BM1757" i="1"/>
  <c r="BN1757" i="1" s="1"/>
  <c r="BO1757" i="1" s="1"/>
  <c r="BP1757" i="1" s="1"/>
  <c r="BQ1757" i="1" s="1"/>
  <c r="BM1843" i="1"/>
  <c r="BN1843" i="1" s="1"/>
  <c r="BO1843" i="1" s="1"/>
  <c r="BP1843" i="1" s="1"/>
  <c r="BQ1843" i="1" s="1"/>
  <c r="BM1849" i="1"/>
  <c r="BN1849" i="1" s="1"/>
  <c r="BO1849" i="1" s="1"/>
  <c r="BP1849" i="1" s="1"/>
  <c r="BQ1849" i="1" s="1"/>
  <c r="BM1885" i="1"/>
  <c r="BN1885" i="1" s="1"/>
  <c r="BO1885" i="1" s="1"/>
  <c r="BP1885" i="1" s="1"/>
  <c r="BQ1885" i="1" s="1"/>
  <c r="BM1908" i="1"/>
  <c r="BN1908" i="1" s="1"/>
  <c r="BO1908" i="1" s="1"/>
  <c r="BP1908" i="1" s="1"/>
  <c r="BQ1908" i="1" s="1"/>
  <c r="BM1950" i="1"/>
  <c r="BN1950" i="1" s="1"/>
  <c r="BO1950" i="1" s="1"/>
  <c r="BP1950" i="1" s="1"/>
  <c r="BQ1950" i="1" s="1"/>
  <c r="BM1970" i="1"/>
  <c r="BN1970" i="1" s="1"/>
  <c r="BO1970" i="1" s="1"/>
  <c r="BP1970" i="1" s="1"/>
  <c r="BQ1970" i="1" s="1"/>
  <c r="BM2000" i="1"/>
  <c r="BN2000" i="1" s="1"/>
  <c r="BO2000" i="1" s="1"/>
  <c r="BP2000" i="1" s="1"/>
  <c r="BQ2000" i="1" s="1"/>
  <c r="BM2010" i="1"/>
  <c r="BN2010" i="1" s="1"/>
  <c r="BO2010" i="1" s="1"/>
  <c r="BP2010" i="1" s="1"/>
  <c r="BQ2010" i="1" s="1"/>
  <c r="BM2019" i="1"/>
  <c r="BN2019" i="1" s="1"/>
  <c r="BO2019" i="1" s="1"/>
  <c r="BP2019" i="1" s="1"/>
  <c r="BQ2019" i="1" s="1"/>
  <c r="BM2029" i="1"/>
  <c r="BN2029" i="1" s="1"/>
  <c r="BO2029" i="1" s="1"/>
  <c r="BP2029" i="1" s="1"/>
  <c r="BQ2029" i="1" s="1"/>
  <c r="BM2057" i="1"/>
  <c r="BN2057" i="1" s="1"/>
  <c r="BO2057" i="1" s="1"/>
  <c r="BP2057" i="1" s="1"/>
  <c r="BQ2057" i="1" s="1"/>
  <c r="BM2065" i="1"/>
  <c r="BN2065" i="1" s="1"/>
  <c r="BO2065" i="1" s="1"/>
  <c r="BP2065" i="1" s="1"/>
  <c r="BQ2065" i="1" s="1"/>
  <c r="BM2082" i="1"/>
  <c r="BN2082" i="1" s="1"/>
  <c r="BO2082" i="1" s="1"/>
  <c r="BP2082" i="1" s="1"/>
  <c r="BQ2082" i="1" s="1"/>
  <c r="BM2104" i="1"/>
  <c r="BN2104" i="1" s="1"/>
  <c r="BO2104" i="1" s="1"/>
  <c r="BP2104" i="1" s="1"/>
  <c r="BQ2104" i="1" s="1"/>
  <c r="BM2109" i="1"/>
  <c r="BN2109" i="1" s="1"/>
  <c r="BO2109" i="1" s="1"/>
  <c r="BP2109" i="1" s="1"/>
  <c r="BQ2109" i="1" s="1"/>
  <c r="BM2141" i="1"/>
  <c r="BN2141" i="1" s="1"/>
  <c r="BO2141" i="1" s="1"/>
  <c r="BP2141" i="1" s="1"/>
  <c r="BQ2141" i="1" s="1"/>
  <c r="BM2155" i="1"/>
  <c r="BN2155" i="1" s="1"/>
  <c r="BO2155" i="1" s="1"/>
  <c r="BP2155" i="1" s="1"/>
  <c r="BQ2155" i="1" s="1"/>
  <c r="BM2172" i="1"/>
  <c r="BN2172" i="1" s="1"/>
  <c r="BO2172" i="1" s="1"/>
  <c r="BP2172" i="1" s="1"/>
  <c r="BQ2172" i="1" s="1"/>
  <c r="BM2175" i="1"/>
  <c r="BN2175" i="1" s="1"/>
  <c r="BO2175" i="1" s="1"/>
  <c r="BP2175" i="1" s="1"/>
  <c r="BQ2175" i="1" s="1"/>
  <c r="BM2190" i="1"/>
  <c r="BN2190" i="1" s="1"/>
  <c r="BO2190" i="1" s="1"/>
  <c r="BP2190" i="1" s="1"/>
  <c r="BQ2190" i="1" s="1"/>
  <c r="BM2197" i="1"/>
  <c r="BN2197" i="1" s="1"/>
  <c r="BO2197" i="1" s="1"/>
  <c r="BP2197" i="1" s="1"/>
  <c r="BQ2197" i="1" s="1"/>
  <c r="BM2215" i="1"/>
  <c r="BN2215" i="1" s="1"/>
  <c r="BO2215" i="1" s="1"/>
  <c r="BP2215" i="1" s="1"/>
  <c r="BQ2215" i="1" s="1"/>
  <c r="BM2220" i="1"/>
  <c r="BN2220" i="1" s="1"/>
  <c r="BO2220" i="1" s="1"/>
  <c r="BP2220" i="1" s="1"/>
  <c r="BQ2220" i="1" s="1"/>
  <c r="BM1736" i="1"/>
  <c r="BN1736" i="1" s="1"/>
  <c r="BO1736" i="1" s="1"/>
  <c r="BP1736" i="1" s="1"/>
  <c r="BQ1736" i="1" s="1"/>
  <c r="BM1778" i="1"/>
  <c r="BN1778" i="1" s="1"/>
  <c r="BO1778" i="1" s="1"/>
  <c r="BP1778" i="1" s="1"/>
  <c r="BQ1778" i="1" s="1"/>
  <c r="BM1852" i="1"/>
  <c r="BN1852" i="1" s="1"/>
  <c r="BO1852" i="1" s="1"/>
  <c r="BP1852" i="1" s="1"/>
  <c r="BQ1852" i="1" s="1"/>
  <c r="BM1900" i="1"/>
  <c r="BN1900" i="1" s="1"/>
  <c r="BO1900" i="1" s="1"/>
  <c r="BP1900" i="1" s="1"/>
  <c r="BQ1900" i="1" s="1"/>
  <c r="BM1917" i="1"/>
  <c r="BN1917" i="1" s="1"/>
  <c r="BO1917" i="1" s="1"/>
  <c r="BP1917" i="1" s="1"/>
  <c r="BQ1917" i="1" s="1"/>
  <c r="BM1933" i="1"/>
  <c r="BN1933" i="1" s="1"/>
  <c r="BO1933" i="1" s="1"/>
  <c r="BP1933" i="1" s="1"/>
  <c r="BQ1933" i="1" s="1"/>
  <c r="BM1955" i="1"/>
  <c r="BN1955" i="1" s="1"/>
  <c r="BO1955" i="1" s="1"/>
  <c r="BP1955" i="1" s="1"/>
  <c r="BQ1955" i="1" s="1"/>
  <c r="BM1985" i="1"/>
  <c r="BN1985" i="1" s="1"/>
  <c r="BO1985" i="1" s="1"/>
  <c r="BP1985" i="1" s="1"/>
  <c r="BQ1985" i="1" s="1"/>
  <c r="BM1990" i="1"/>
  <c r="BN1990" i="1" s="1"/>
  <c r="BO1990" i="1" s="1"/>
  <c r="BP1990" i="1" s="1"/>
  <c r="BQ1990" i="1" s="1"/>
  <c r="BM1993" i="1"/>
  <c r="BN1993" i="1" s="1"/>
  <c r="BO1993" i="1" s="1"/>
  <c r="BP1993" i="1" s="1"/>
  <c r="BQ1993" i="1" s="1"/>
  <c r="BM2005" i="1"/>
  <c r="BN2005" i="1" s="1"/>
  <c r="BO2005" i="1" s="1"/>
  <c r="BP2005" i="1" s="1"/>
  <c r="BQ2005" i="1" s="1"/>
  <c r="BM2012" i="1"/>
  <c r="BN2012" i="1" s="1"/>
  <c r="BO2012" i="1" s="1"/>
  <c r="BP2012" i="1" s="1"/>
  <c r="BQ2012" i="1" s="1"/>
  <c r="BM2024" i="1"/>
  <c r="BN2024" i="1" s="1"/>
  <c r="BO2024" i="1" s="1"/>
  <c r="BP2024" i="1" s="1"/>
  <c r="BQ2024" i="1" s="1"/>
  <c r="BM2044" i="1"/>
  <c r="BN2044" i="1" s="1"/>
  <c r="BO2044" i="1" s="1"/>
  <c r="BP2044" i="1" s="1"/>
  <c r="BQ2044" i="1" s="1"/>
  <c r="BM2052" i="1"/>
  <c r="BN2052" i="1" s="1"/>
  <c r="BO2052" i="1" s="1"/>
  <c r="BP2052" i="1" s="1"/>
  <c r="BQ2052" i="1" s="1"/>
  <c r="BM2060" i="1"/>
  <c r="BN2060" i="1" s="1"/>
  <c r="BO2060" i="1" s="1"/>
  <c r="BP2060" i="1" s="1"/>
  <c r="BQ2060" i="1" s="1"/>
  <c r="BM2070" i="1"/>
  <c r="BN2070" i="1" s="1"/>
  <c r="BO2070" i="1" s="1"/>
  <c r="BP2070" i="1" s="1"/>
  <c r="BQ2070" i="1" s="1"/>
  <c r="BM2085" i="1"/>
  <c r="BN2085" i="1" s="1"/>
  <c r="BO2085" i="1" s="1"/>
  <c r="BP2085" i="1" s="1"/>
  <c r="BQ2085" i="1" s="1"/>
  <c r="BM2097" i="1"/>
  <c r="BN2097" i="1" s="1"/>
  <c r="BO2097" i="1" s="1"/>
  <c r="BP2097" i="1" s="1"/>
  <c r="BQ2097" i="1" s="1"/>
  <c r="BM2114" i="1"/>
  <c r="BN2114" i="1" s="1"/>
  <c r="BO2114" i="1" s="1"/>
  <c r="BP2114" i="1" s="1"/>
  <c r="BQ2114" i="1" s="1"/>
  <c r="BM2119" i="1"/>
  <c r="BN2119" i="1" s="1"/>
  <c r="BO2119" i="1" s="1"/>
  <c r="BP2119" i="1" s="1"/>
  <c r="BQ2119" i="1" s="1"/>
  <c r="BM2138" i="1"/>
  <c r="BN2138" i="1" s="1"/>
  <c r="BO2138" i="1" s="1"/>
  <c r="BP2138" i="1" s="1"/>
  <c r="BQ2138" i="1" s="1"/>
  <c r="BM2148" i="1"/>
  <c r="BN2148" i="1" s="1"/>
  <c r="BO2148" i="1" s="1"/>
  <c r="BP2148" i="1" s="1"/>
  <c r="BQ2148" i="1" s="1"/>
  <c r="BM2158" i="1"/>
  <c r="BN2158" i="1" s="1"/>
  <c r="BO2158" i="1" s="1"/>
  <c r="BP2158" i="1" s="1"/>
  <c r="BQ2158" i="1" s="1"/>
  <c r="BM2163" i="1"/>
  <c r="BN2163" i="1" s="1"/>
  <c r="BO2163" i="1" s="1"/>
  <c r="BP2163" i="1" s="1"/>
  <c r="BQ2163" i="1" s="1"/>
  <c r="BM2180" i="1"/>
  <c r="BN2180" i="1" s="1"/>
  <c r="BO2180" i="1" s="1"/>
  <c r="BP2180" i="1" s="1"/>
  <c r="BQ2180" i="1" s="1"/>
  <c r="BM2205" i="1"/>
  <c r="BN2205" i="1" s="1"/>
  <c r="BO2205" i="1" s="1"/>
  <c r="BP2205" i="1" s="1"/>
  <c r="BQ2205" i="1" s="1"/>
  <c r="BM2210" i="1"/>
  <c r="BN2210" i="1" s="1"/>
  <c r="BO2210" i="1" s="1"/>
  <c r="BP2210" i="1" s="1"/>
  <c r="BQ2210" i="1" s="1"/>
  <c r="BM2243" i="1"/>
  <c r="BN2243" i="1" s="1"/>
  <c r="BO2243" i="1" s="1"/>
  <c r="BP2243" i="1" s="1"/>
  <c r="BQ2243" i="1" s="1"/>
  <c r="BM2253" i="1"/>
  <c r="BN2253" i="1" s="1"/>
  <c r="BO2253" i="1" s="1"/>
  <c r="BP2253" i="1" s="1"/>
  <c r="BQ2253" i="1" s="1"/>
  <c r="BM2263" i="1"/>
  <c r="BN2263" i="1" s="1"/>
  <c r="BO2263" i="1" s="1"/>
  <c r="BP2263" i="1" s="1"/>
  <c r="BQ2263" i="1" s="1"/>
  <c r="BM2283" i="1"/>
  <c r="BN2283" i="1" s="1"/>
  <c r="BO2283" i="1" s="1"/>
  <c r="BP2283" i="1" s="1"/>
  <c r="BQ2283" i="1" s="1"/>
  <c r="BM2309" i="1"/>
  <c r="BN2309" i="1" s="1"/>
  <c r="BO2309" i="1" s="1"/>
  <c r="BP2309" i="1" s="1"/>
  <c r="BQ2309" i="1" s="1"/>
  <c r="BM2343" i="1"/>
  <c r="BN2343" i="1" s="1"/>
  <c r="BO2343" i="1" s="1"/>
  <c r="BP2343" i="1" s="1"/>
  <c r="BQ2343" i="1" s="1"/>
  <c r="BM2366" i="1"/>
  <c r="BN2366" i="1" s="1"/>
  <c r="BO2366" i="1" s="1"/>
  <c r="BP2366" i="1" s="1"/>
  <c r="BQ2366" i="1" s="1"/>
  <c r="BM2373" i="1"/>
  <c r="BN2373" i="1" s="1"/>
  <c r="BO2373" i="1" s="1"/>
  <c r="BP2373" i="1" s="1"/>
  <c r="BQ2373" i="1" s="1"/>
  <c r="BM2376" i="1"/>
  <c r="BN2376" i="1" s="1"/>
  <c r="BO2376" i="1" s="1"/>
  <c r="BP2376" i="1" s="1"/>
  <c r="BQ2376" i="1" s="1"/>
  <c r="BM2379" i="1"/>
  <c r="BN2379" i="1" s="1"/>
  <c r="BO2379" i="1" s="1"/>
  <c r="BP2379" i="1" s="1"/>
  <c r="BQ2379" i="1" s="1"/>
  <c r="BM1719" i="1"/>
  <c r="BN1719" i="1" s="1"/>
  <c r="BO1719" i="1" s="1"/>
  <c r="BP1719" i="1" s="1"/>
  <c r="BQ1719" i="1" s="1"/>
  <c r="BM1769" i="1"/>
  <c r="BN1769" i="1" s="1"/>
  <c r="BO1769" i="1" s="1"/>
  <c r="BP1769" i="1" s="1"/>
  <c r="BQ1769" i="1" s="1"/>
  <c r="BM1795" i="1"/>
  <c r="BN1795" i="1" s="1"/>
  <c r="BO1795" i="1" s="1"/>
  <c r="BP1795" i="1" s="1"/>
  <c r="BQ1795" i="1" s="1"/>
  <c r="BM1830" i="1"/>
  <c r="BN1830" i="1" s="1"/>
  <c r="BO1830" i="1" s="1"/>
  <c r="BP1830" i="1" s="1"/>
  <c r="BQ1830" i="1" s="1"/>
  <c r="BM1859" i="1"/>
  <c r="BN1859" i="1" s="1"/>
  <c r="BO1859" i="1" s="1"/>
  <c r="BP1859" i="1" s="1"/>
  <c r="BQ1859" i="1" s="1"/>
  <c r="BM1874" i="1"/>
  <c r="BN1874" i="1" s="1"/>
  <c r="BO1874" i="1" s="1"/>
  <c r="BP1874" i="1" s="1"/>
  <c r="BQ1874" i="1" s="1"/>
  <c r="BM1928" i="1"/>
  <c r="BN1928" i="1" s="1"/>
  <c r="BO1928" i="1" s="1"/>
  <c r="BP1928" i="1" s="1"/>
  <c r="BQ1928" i="1" s="1"/>
  <c r="BM1963" i="1"/>
  <c r="BN1963" i="1" s="1"/>
  <c r="BO1963" i="1" s="1"/>
  <c r="BP1963" i="1" s="1"/>
  <c r="BQ1963" i="1" s="1"/>
  <c r="BM1978" i="1"/>
  <c r="BN1978" i="1" s="1"/>
  <c r="BO1978" i="1" s="1"/>
  <c r="BP1978" i="1" s="1"/>
  <c r="BQ1978" i="1" s="1"/>
  <c r="BM1980" i="1"/>
  <c r="BN1980" i="1" s="1"/>
  <c r="BO1980" i="1" s="1"/>
  <c r="BP1980" i="1" s="1"/>
  <c r="BQ1980" i="1" s="1"/>
  <c r="BM1998" i="1"/>
  <c r="BN1998" i="1" s="1"/>
  <c r="BO1998" i="1" s="1"/>
  <c r="BP1998" i="1" s="1"/>
  <c r="BQ1998" i="1" s="1"/>
  <c r="BM2017" i="1"/>
  <c r="BN2017" i="1" s="1"/>
  <c r="BO2017" i="1" s="1"/>
  <c r="BP2017" i="1" s="1"/>
  <c r="BQ2017" i="1" s="1"/>
  <c r="BM1724" i="1"/>
  <c r="BN1724" i="1" s="1"/>
  <c r="BO1724" i="1" s="1"/>
  <c r="BP1724" i="1" s="1"/>
  <c r="BQ1724" i="1" s="1"/>
  <c r="BM1783" i="1"/>
  <c r="BN1783" i="1" s="1"/>
  <c r="BO1783" i="1" s="1"/>
  <c r="BP1783" i="1" s="1"/>
  <c r="BQ1783" i="1" s="1"/>
  <c r="BM1823" i="1"/>
  <c r="BN1823" i="1" s="1"/>
  <c r="BO1823" i="1" s="1"/>
  <c r="BP1823" i="1" s="1"/>
  <c r="BQ1823" i="1" s="1"/>
  <c r="BM1847" i="1"/>
  <c r="BN1847" i="1" s="1"/>
  <c r="BO1847" i="1" s="1"/>
  <c r="BP1847" i="1" s="1"/>
  <c r="BQ1847" i="1" s="1"/>
  <c r="BM1862" i="1"/>
  <c r="BN1862" i="1" s="1"/>
  <c r="BO1862" i="1" s="1"/>
  <c r="BP1862" i="1" s="1"/>
  <c r="BQ1862" i="1" s="1"/>
  <c r="BM1871" i="1"/>
  <c r="BN1871" i="1" s="1"/>
  <c r="BO1871" i="1" s="1"/>
  <c r="BP1871" i="1" s="1"/>
  <c r="BQ1871" i="1" s="1"/>
  <c r="BM1892" i="1"/>
  <c r="BN1892" i="1" s="1"/>
  <c r="BO1892" i="1" s="1"/>
  <c r="BP1892" i="1" s="1"/>
  <c r="BQ1892" i="1" s="1"/>
  <c r="BM1895" i="1"/>
  <c r="BN1895" i="1" s="1"/>
  <c r="BO1895" i="1" s="1"/>
  <c r="BP1895" i="1" s="1"/>
  <c r="BQ1895" i="1" s="1"/>
  <c r="BM1906" i="1"/>
  <c r="BN1906" i="1" s="1"/>
  <c r="BO1906" i="1" s="1"/>
  <c r="BP1906" i="1" s="1"/>
  <c r="BQ1906" i="1" s="1"/>
  <c r="BM1707" i="1"/>
  <c r="BN1707" i="1" s="1"/>
  <c r="BO1707" i="1" s="1"/>
  <c r="BP1707" i="1" s="1"/>
  <c r="BQ1707" i="1" s="1"/>
  <c r="BM1791" i="1"/>
  <c r="BN1791" i="1" s="1"/>
  <c r="BO1791" i="1" s="1"/>
  <c r="BP1791" i="1" s="1"/>
  <c r="BQ1791" i="1" s="1"/>
  <c r="BM1841" i="1"/>
  <c r="BN1841" i="1" s="1"/>
  <c r="BO1841" i="1" s="1"/>
  <c r="BP1841" i="1" s="1"/>
  <c r="BQ1841" i="1" s="1"/>
  <c r="BM1877" i="1"/>
  <c r="BN1877" i="1" s="1"/>
  <c r="BO1877" i="1" s="1"/>
  <c r="BP1877" i="1" s="1"/>
  <c r="BQ1877" i="1" s="1"/>
  <c r="BM1886" i="1"/>
  <c r="BN1886" i="1" s="1"/>
  <c r="BO1886" i="1" s="1"/>
  <c r="BP1886" i="1" s="1"/>
  <c r="BQ1886" i="1" s="1"/>
  <c r="BM1909" i="1"/>
  <c r="BN1909" i="1" s="1"/>
  <c r="BO1909" i="1" s="1"/>
  <c r="BP1909" i="1" s="1"/>
  <c r="BQ1909" i="1" s="1"/>
  <c r="BM1912" i="1"/>
  <c r="BN1912" i="1" s="1"/>
  <c r="BO1912" i="1" s="1"/>
  <c r="BP1912" i="1" s="1"/>
  <c r="BQ1912" i="1" s="1"/>
  <c r="BM1931" i="1"/>
  <c r="BN1931" i="1" s="1"/>
  <c r="BO1931" i="1" s="1"/>
  <c r="BP1931" i="1" s="1"/>
  <c r="BQ1931" i="1" s="1"/>
  <c r="BM1946" i="1"/>
  <c r="BN1946" i="1" s="1"/>
  <c r="BO1946" i="1" s="1"/>
  <c r="BP1946" i="1" s="1"/>
  <c r="BQ1946" i="1" s="1"/>
  <c r="BM1948" i="1"/>
  <c r="BN1948" i="1" s="1"/>
  <c r="BO1948" i="1" s="1"/>
  <c r="BP1948" i="1" s="1"/>
  <c r="BQ1948" i="1" s="1"/>
  <c r="BM1973" i="1"/>
  <c r="BN1973" i="1" s="1"/>
  <c r="BO1973" i="1" s="1"/>
  <c r="BP1973" i="1" s="1"/>
  <c r="BQ1973" i="1" s="1"/>
  <c r="BM1988" i="1"/>
  <c r="BN1988" i="1" s="1"/>
  <c r="BO1988" i="1" s="1"/>
  <c r="BP1988" i="1" s="1"/>
  <c r="BQ1988" i="1" s="1"/>
  <c r="BM2015" i="1"/>
  <c r="BN2015" i="1" s="1"/>
  <c r="BO2015" i="1" s="1"/>
  <c r="BP2015" i="1" s="1"/>
  <c r="BQ2015" i="1" s="1"/>
  <c r="BM2027" i="1"/>
  <c r="BN2027" i="1" s="1"/>
  <c r="BO2027" i="1" s="1"/>
  <c r="BP2027" i="1" s="1"/>
  <c r="BQ2027" i="1" s="1"/>
  <c r="BM2042" i="1"/>
  <c r="BN2042" i="1" s="1"/>
  <c r="BO2042" i="1" s="1"/>
  <c r="BP2042" i="1" s="1"/>
  <c r="BQ2042" i="1" s="1"/>
  <c r="BM2063" i="1"/>
  <c r="BN2063" i="1" s="1"/>
  <c r="BO2063" i="1" s="1"/>
  <c r="BP2063" i="1" s="1"/>
  <c r="BQ2063" i="1" s="1"/>
  <c r="BM2083" i="1"/>
  <c r="BN2083" i="1" s="1"/>
  <c r="BO2083" i="1" s="1"/>
  <c r="BP2083" i="1" s="1"/>
  <c r="BQ2083" i="1" s="1"/>
  <c r="BM2090" i="1"/>
  <c r="BN2090" i="1" s="1"/>
  <c r="BO2090" i="1" s="1"/>
  <c r="BP2090" i="1" s="1"/>
  <c r="BQ2090" i="1" s="1"/>
  <c r="BM2107" i="1"/>
  <c r="BN2107" i="1" s="1"/>
  <c r="BO2107" i="1" s="1"/>
  <c r="BP2107" i="1" s="1"/>
  <c r="BQ2107" i="1" s="1"/>
  <c r="BM2153" i="1"/>
  <c r="BN2153" i="1" s="1"/>
  <c r="BO2153" i="1" s="1"/>
  <c r="BP2153" i="1" s="1"/>
  <c r="BQ2153" i="1" s="1"/>
  <c r="BM2173" i="1"/>
  <c r="BN2173" i="1" s="1"/>
  <c r="BO2173" i="1" s="1"/>
  <c r="BP2173" i="1" s="1"/>
  <c r="BQ2173" i="1" s="1"/>
  <c r="BM2178" i="1"/>
  <c r="BN2178" i="1" s="1"/>
  <c r="BO2178" i="1" s="1"/>
  <c r="BP2178" i="1" s="1"/>
  <c r="BQ2178" i="1" s="1"/>
  <c r="BM2183" i="1"/>
  <c r="BN2183" i="1" s="1"/>
  <c r="BO2183" i="1" s="1"/>
  <c r="BP2183" i="1" s="1"/>
  <c r="BQ2183" i="1" s="1"/>
  <c r="BM2188" i="1"/>
  <c r="BN2188" i="1" s="1"/>
  <c r="BO2188" i="1" s="1"/>
  <c r="BP2188" i="1" s="1"/>
  <c r="BQ2188" i="1" s="1"/>
  <c r="BM2202" i="1"/>
  <c r="BN2202" i="1" s="1"/>
  <c r="BO2202" i="1" s="1"/>
  <c r="BP2202" i="1" s="1"/>
  <c r="BQ2202" i="1" s="1"/>
  <c r="BM2218" i="1"/>
  <c r="BN2218" i="1" s="1"/>
  <c r="BO2218" i="1" s="1"/>
  <c r="BP2218" i="1" s="1"/>
  <c r="BQ2218" i="1" s="1"/>
  <c r="BM2246" i="1"/>
  <c r="BN2246" i="1" s="1"/>
  <c r="BO2246" i="1" s="1"/>
  <c r="BP2246" i="1" s="1"/>
  <c r="BQ2246" i="1" s="1"/>
  <c r="BM2251" i="1"/>
  <c r="BN2251" i="1" s="1"/>
  <c r="BO2251" i="1" s="1"/>
  <c r="BP2251" i="1" s="1"/>
  <c r="BQ2251" i="1" s="1"/>
  <c r="BM2291" i="1"/>
  <c r="BN2291" i="1" s="1"/>
  <c r="BO2291" i="1" s="1"/>
  <c r="BP2291" i="1" s="1"/>
  <c r="BQ2291" i="1" s="1"/>
  <c r="BM2299" i="1"/>
  <c r="BN2299" i="1" s="1"/>
  <c r="BO2299" i="1" s="1"/>
  <c r="BP2299" i="1" s="1"/>
  <c r="BQ2299" i="1" s="1"/>
  <c r="BM2307" i="1"/>
  <c r="BN2307" i="1" s="1"/>
  <c r="BO2307" i="1" s="1"/>
  <c r="BP2307" i="1" s="1"/>
  <c r="BQ2307" i="1" s="1"/>
  <c r="BM2351" i="1"/>
  <c r="BN2351" i="1" s="1"/>
  <c r="BO2351" i="1" s="1"/>
  <c r="BP2351" i="1" s="1"/>
  <c r="BQ2351" i="1" s="1"/>
  <c r="BM2356" i="1"/>
  <c r="BN2356" i="1" s="1"/>
  <c r="BO2356" i="1" s="1"/>
  <c r="BP2356" i="1" s="1"/>
  <c r="BQ2356" i="1" s="1"/>
  <c r="BM2369" i="1"/>
  <c r="BN2369" i="1" s="1"/>
  <c r="BO2369" i="1" s="1"/>
  <c r="BP2369" i="1" s="1"/>
  <c r="BQ2369" i="1" s="1"/>
  <c r="BM2382" i="1"/>
  <c r="BN2382" i="1" s="1"/>
  <c r="BO2382" i="1" s="1"/>
  <c r="BP2382" i="1" s="1"/>
  <c r="BQ2382" i="1" s="1"/>
  <c r="BM2068" i="1"/>
  <c r="BN2068" i="1" s="1"/>
  <c r="BO2068" i="1" s="1"/>
  <c r="BP2068" i="1" s="1"/>
  <c r="BQ2068" i="1" s="1"/>
  <c r="BM2221" i="1"/>
  <c r="BN2221" i="1" s="1"/>
  <c r="BO2221" i="1" s="1"/>
  <c r="BP2221" i="1" s="1"/>
  <c r="BQ2221" i="1" s="1"/>
  <c r="BM2269" i="1"/>
  <c r="BN2269" i="1" s="1"/>
  <c r="BO2269" i="1" s="1"/>
  <c r="BP2269" i="1" s="1"/>
  <c r="BQ2269" i="1" s="1"/>
  <c r="BM1941" i="1"/>
  <c r="BN1941" i="1" s="1"/>
  <c r="BO1941" i="1" s="1"/>
  <c r="BP1941" i="1" s="1"/>
  <c r="BQ1941" i="1" s="1"/>
  <c r="BM2193" i="1"/>
  <c r="BN2193" i="1" s="1"/>
  <c r="BO2193" i="1" s="1"/>
  <c r="BP2193" i="1" s="1"/>
  <c r="BQ2193" i="1" s="1"/>
  <c r="BM2249" i="1"/>
  <c r="BN2249" i="1" s="1"/>
  <c r="BO2249" i="1" s="1"/>
  <c r="BP2249" i="1" s="1"/>
  <c r="BQ2249" i="1" s="1"/>
  <c r="BM2254" i="1"/>
  <c r="BN2254" i="1" s="1"/>
  <c r="BO2254" i="1" s="1"/>
  <c r="BP2254" i="1" s="1"/>
  <c r="BQ2254" i="1" s="1"/>
  <c r="BM2266" i="1"/>
  <c r="BN2266" i="1" s="1"/>
  <c r="BO2266" i="1" s="1"/>
  <c r="BP2266" i="1" s="1"/>
  <c r="BQ2266" i="1" s="1"/>
  <c r="BM2289" i="1"/>
  <c r="BN2289" i="1" s="1"/>
  <c r="BO2289" i="1" s="1"/>
  <c r="BP2289" i="1" s="1"/>
  <c r="BQ2289" i="1" s="1"/>
  <c r="BM2338" i="1"/>
  <c r="BN2338" i="1" s="1"/>
  <c r="BO2338" i="1" s="1"/>
  <c r="BP2338" i="1" s="1"/>
  <c r="BQ2338" i="1" s="1"/>
  <c r="BM2365" i="1"/>
  <c r="BN2365" i="1" s="1"/>
  <c r="BO2365" i="1" s="1"/>
  <c r="BP2365" i="1" s="1"/>
  <c r="BQ2365" i="1" s="1"/>
  <c r="BM2371" i="1"/>
  <c r="BN2371" i="1" s="1"/>
  <c r="BO2371" i="1" s="1"/>
  <c r="BP2371" i="1" s="1"/>
  <c r="BQ2371" i="1" s="1"/>
  <c r="BM2374" i="1"/>
  <c r="BN2374" i="1" s="1"/>
  <c r="BO2374" i="1" s="1"/>
  <c r="BP2374" i="1" s="1"/>
  <c r="BQ2374" i="1" s="1"/>
  <c r="BM1936" i="1"/>
  <c r="BN1936" i="1" s="1"/>
  <c r="BO1936" i="1" s="1"/>
  <c r="BP1936" i="1" s="1"/>
  <c r="BQ1936" i="1" s="1"/>
  <c r="BM2226" i="1"/>
  <c r="BN2226" i="1" s="1"/>
  <c r="BO2226" i="1" s="1"/>
  <c r="BP2226" i="1" s="1"/>
  <c r="BQ2226" i="1" s="1"/>
  <c r="BM2328" i="1"/>
  <c r="BN2328" i="1" s="1"/>
  <c r="BO2328" i="1" s="1"/>
  <c r="BP2328" i="1" s="1"/>
  <c r="BQ2328" i="1" s="1"/>
  <c r="BM2359" i="1"/>
  <c r="BN2359" i="1" s="1"/>
  <c r="BO2359" i="1" s="1"/>
  <c r="BP2359" i="1" s="1"/>
  <c r="BQ2359" i="1" s="1"/>
  <c r="BM2236" i="1"/>
  <c r="BN2236" i="1" s="1"/>
  <c r="BO2236" i="1" s="1"/>
  <c r="BP2236" i="1" s="1"/>
  <c r="BQ2236" i="1" s="1"/>
  <c r="BM2241" i="1"/>
  <c r="BN2241" i="1" s="1"/>
  <c r="BO2241" i="1" s="1"/>
  <c r="BP2241" i="1" s="1"/>
  <c r="BQ2241" i="1" s="1"/>
  <c r="BM2281" i="1"/>
  <c r="BN2281" i="1" s="1"/>
  <c r="BO2281" i="1" s="1"/>
  <c r="BP2281" i="1" s="1"/>
  <c r="BQ2281" i="1" s="1"/>
  <c r="BM2285" i="1"/>
  <c r="BN2285" i="1" s="1"/>
  <c r="BO2285" i="1" s="1"/>
  <c r="BP2285" i="1" s="1"/>
  <c r="BQ2285" i="1" s="1"/>
  <c r="BM2293" i="1"/>
  <c r="BN2293" i="1" s="1"/>
  <c r="BO2293" i="1" s="1"/>
  <c r="BP2293" i="1" s="1"/>
  <c r="BQ2293" i="1" s="1"/>
  <c r="BM2315" i="1"/>
  <c r="BN2315" i="1" s="1"/>
  <c r="BO2315" i="1" s="1"/>
  <c r="BP2315" i="1" s="1"/>
  <c r="BQ2315" i="1" s="1"/>
  <c r="BM2322" i="1"/>
  <c r="BN2322" i="1" s="1"/>
  <c r="BO2322" i="1" s="1"/>
  <c r="BP2322" i="1" s="1"/>
  <c r="BQ2322" i="1" s="1"/>
  <c r="BM2348" i="1"/>
  <c r="BN2348" i="1" s="1"/>
  <c r="BO2348" i="1" s="1"/>
  <c r="BP2348" i="1" s="1"/>
  <c r="BQ2348" i="1" s="1"/>
  <c r="BM2274" i="1"/>
  <c r="BN2274" i="1" s="1"/>
  <c r="BO2274" i="1" s="1"/>
  <c r="BP2274" i="1" s="1"/>
  <c r="BQ2274" i="1" s="1"/>
  <c r="BM1968" i="1"/>
  <c r="BN1968" i="1" s="1"/>
  <c r="BO1968" i="1" s="1"/>
  <c r="BP1968" i="1" s="1"/>
  <c r="BQ1968" i="1" s="1"/>
  <c r="BM2102" i="1"/>
  <c r="BN2102" i="1" s="1"/>
  <c r="BO2102" i="1" s="1"/>
  <c r="BP2102" i="1" s="1"/>
  <c r="BQ2102" i="1" s="1"/>
  <c r="BM2117" i="1"/>
  <c r="BN2117" i="1" s="1"/>
  <c r="BO2117" i="1" s="1"/>
  <c r="BP2117" i="1" s="1"/>
  <c r="BQ2117" i="1" s="1"/>
  <c r="BM2208" i="1"/>
  <c r="BN2208" i="1" s="1"/>
  <c r="BO2208" i="1" s="1"/>
  <c r="BP2208" i="1" s="1"/>
  <c r="BQ2208" i="1" s="1"/>
  <c r="BM2278" i="1"/>
  <c r="BN2278" i="1" s="1"/>
  <c r="BO2278" i="1" s="1"/>
  <c r="BP2278" i="1" s="1"/>
  <c r="BQ2278" i="1" s="1"/>
  <c r="BM2136" i="1"/>
  <c r="BN2136" i="1" s="1"/>
  <c r="BO2136" i="1" s="1"/>
  <c r="BP2136" i="1" s="1"/>
  <c r="BQ2136" i="1" s="1"/>
  <c r="BM2170" i="1"/>
  <c r="BN2170" i="1" s="1"/>
  <c r="BO2170" i="1" s="1"/>
  <c r="BP2170" i="1" s="1"/>
  <c r="BQ2170" i="1" s="1"/>
  <c r="BM2185" i="1"/>
  <c r="BN2185" i="1" s="1"/>
  <c r="BO2185" i="1" s="1"/>
  <c r="BP2185" i="1" s="1"/>
  <c r="BQ2185" i="1" s="1"/>
  <c r="BM2213" i="1"/>
  <c r="BN2213" i="1" s="1"/>
  <c r="BO2213" i="1" s="1"/>
  <c r="BP2213" i="1" s="1"/>
  <c r="BQ2213" i="1" s="1"/>
  <c r="BM2195" i="1"/>
  <c r="BN2195" i="1" s="1"/>
  <c r="BO2195" i="1" s="1"/>
  <c r="BP2195" i="1" s="1"/>
  <c r="BQ2195" i="1" s="1"/>
  <c r="BM2223" i="1"/>
  <c r="BN2223" i="1" s="1"/>
  <c r="BO2223" i="1" s="1"/>
  <c r="BP2223" i="1" s="1"/>
  <c r="BQ2223" i="1" s="1"/>
  <c r="BM2312" i="1"/>
  <c r="BN2312" i="1" s="1"/>
  <c r="BO2312" i="1" s="1"/>
  <c r="BP2312" i="1" s="1"/>
  <c r="BQ2312" i="1" s="1"/>
  <c r="BM2316" i="1"/>
  <c r="BN2316" i="1" s="1"/>
  <c r="BO2316" i="1" s="1"/>
  <c r="BP2316" i="1" s="1"/>
  <c r="BQ2316" i="1" s="1"/>
  <c r="BM2329" i="1"/>
  <c r="BN2329" i="1" s="1"/>
  <c r="BO2329" i="1" s="1"/>
  <c r="BP2329" i="1" s="1"/>
  <c r="BQ2329" i="1" s="1"/>
  <c r="BM2336" i="1"/>
  <c r="BN2336" i="1" s="1"/>
  <c r="BO2336" i="1" s="1"/>
  <c r="BP2336" i="1" s="1"/>
  <c r="BQ2336" i="1" s="1"/>
  <c r="BM2339" i="1"/>
  <c r="BN2339" i="1" s="1"/>
  <c r="BO2339" i="1" s="1"/>
  <c r="BP2339" i="1" s="1"/>
  <c r="BQ2339" i="1" s="1"/>
  <c r="BM2363" i="1"/>
  <c r="BN2363" i="1" s="1"/>
  <c r="BO2363" i="1" s="1"/>
  <c r="BP2363" i="1" s="1"/>
  <c r="BQ2363" i="1" s="1"/>
  <c r="BM2372" i="1"/>
  <c r="BN2372" i="1" s="1"/>
  <c r="BO2372" i="1" s="1"/>
  <c r="BP2372" i="1" s="1"/>
  <c r="BQ2372" i="1" s="1"/>
  <c r="BM1953" i="1"/>
  <c r="BN1953" i="1" s="1"/>
  <c r="BO1953" i="1" s="1"/>
  <c r="BP1953" i="1" s="1"/>
  <c r="BQ1953" i="1" s="1"/>
  <c r="BM1958" i="1"/>
  <c r="BN1958" i="1" s="1"/>
  <c r="BO1958" i="1" s="1"/>
  <c r="BP1958" i="1" s="1"/>
  <c r="BQ1958" i="1" s="1"/>
  <c r="BM2055" i="1"/>
  <c r="BN2055" i="1" s="1"/>
  <c r="BO2055" i="1" s="1"/>
  <c r="BP2055" i="1" s="1"/>
  <c r="BQ2055" i="1" s="1"/>
  <c r="BM2112" i="1"/>
  <c r="BN2112" i="1" s="1"/>
  <c r="BO2112" i="1" s="1"/>
  <c r="BP2112" i="1" s="1"/>
  <c r="BQ2112" i="1" s="1"/>
  <c r="BM2256" i="1"/>
  <c r="BN2256" i="1" s="1"/>
  <c r="BO2256" i="1" s="1"/>
  <c r="BP2256" i="1" s="1"/>
  <c r="BQ2256" i="1" s="1"/>
  <c r="BM2228" i="1"/>
  <c r="BN2228" i="1" s="1"/>
  <c r="BO2228" i="1" s="1"/>
  <c r="BP2228" i="1" s="1"/>
  <c r="BQ2228" i="1" s="1"/>
  <c r="BM2320" i="1"/>
  <c r="BN2320" i="1" s="1"/>
  <c r="BO2320" i="1" s="1"/>
  <c r="BP2320" i="1" s="1"/>
  <c r="BQ2320" i="1" s="1"/>
  <c r="BM2323" i="1"/>
  <c r="BN2323" i="1" s="1"/>
  <c r="BO2323" i="1" s="1"/>
  <c r="BP2323" i="1" s="1"/>
  <c r="BQ2323" i="1" s="1"/>
  <c r="BM2326" i="1"/>
  <c r="BN2326" i="1" s="1"/>
  <c r="BO2326" i="1" s="1"/>
  <c r="BP2326" i="1" s="1"/>
  <c r="BQ2326" i="1" s="1"/>
  <c r="BM2075" i="1"/>
  <c r="BN2075" i="1" s="1"/>
  <c r="BO2075" i="1" s="1"/>
  <c r="BP2075" i="1" s="1"/>
  <c r="BQ2075" i="1" s="1"/>
  <c r="BM2233" i="1"/>
  <c r="BN2233" i="1" s="1"/>
  <c r="BO2233" i="1" s="1"/>
  <c r="BP2233" i="1" s="1"/>
  <c r="BQ2233" i="1" s="1"/>
  <c r="BM2303" i="1"/>
  <c r="BN2303" i="1" s="1"/>
  <c r="BO2303" i="1" s="1"/>
  <c r="BP2303" i="1" s="1"/>
  <c r="BQ2303" i="1" s="1"/>
  <c r="BM2317" i="1"/>
  <c r="BN2317" i="1" s="1"/>
  <c r="BO2317" i="1" s="1"/>
  <c r="BP2317" i="1" s="1"/>
  <c r="BQ2317" i="1" s="1"/>
  <c r="BM2367" i="1"/>
  <c r="BN2367" i="1" s="1"/>
  <c r="BO2367" i="1" s="1"/>
  <c r="BP2367" i="1" s="1"/>
  <c r="BQ2367" i="1" s="1"/>
  <c r="BM2313" i="1"/>
  <c r="BN2313" i="1" s="1"/>
  <c r="BO2313" i="1" s="1"/>
  <c r="BP2313" i="1" s="1"/>
  <c r="BQ2313" i="1" s="1"/>
  <c r="BM2330" i="1"/>
  <c r="BN2330" i="1" s="1"/>
  <c r="BO2330" i="1" s="1"/>
  <c r="BP2330" i="1" s="1"/>
  <c r="BQ2330" i="1" s="1"/>
  <c r="BM2352" i="1"/>
  <c r="BN2352" i="1" s="1"/>
  <c r="BO2352" i="1" s="1"/>
  <c r="BP2352" i="1" s="1"/>
  <c r="BQ2352" i="1" s="1"/>
  <c r="BM2364" i="1"/>
  <c r="BN2364" i="1" s="1"/>
  <c r="BO2364" i="1" s="1"/>
  <c r="BP2364" i="1" s="1"/>
  <c r="BQ2364" i="1" s="1"/>
  <c r="BM2080" i="1"/>
  <c r="BN2080" i="1" s="1"/>
  <c r="BO2080" i="1" s="1"/>
  <c r="BP2080" i="1" s="1"/>
  <c r="BQ2080" i="1" s="1"/>
  <c r="BM2327" i="1"/>
  <c r="BN2327" i="1" s="1"/>
  <c r="BO2327" i="1" s="1"/>
  <c r="BP2327" i="1" s="1"/>
  <c r="BQ2327" i="1" s="1"/>
  <c r="BM2032" i="1"/>
  <c r="BN2032" i="1" s="1"/>
  <c r="BO2032" i="1" s="1"/>
  <c r="BP2032" i="1" s="1"/>
  <c r="BQ2032" i="1" s="1"/>
  <c r="BM2037" i="1"/>
  <c r="BN2037" i="1" s="1"/>
  <c r="BO2037" i="1" s="1"/>
  <c r="BP2037" i="1" s="1"/>
  <c r="BQ2037" i="1" s="1"/>
  <c r="BM2047" i="1"/>
  <c r="BN2047" i="1" s="1"/>
  <c r="BO2047" i="1" s="1"/>
  <c r="BP2047" i="1" s="1"/>
  <c r="BQ2047" i="1" s="1"/>
  <c r="BM2100" i="1"/>
  <c r="BN2100" i="1" s="1"/>
  <c r="BO2100" i="1" s="1"/>
  <c r="BP2100" i="1" s="1"/>
  <c r="BQ2100" i="1" s="1"/>
  <c r="BM2124" i="1"/>
  <c r="BN2124" i="1" s="1"/>
  <c r="BO2124" i="1" s="1"/>
  <c r="BP2124" i="1" s="1"/>
  <c r="BQ2124" i="1" s="1"/>
  <c r="BM2022" i="1"/>
  <c r="BN2022" i="1" s="1"/>
  <c r="BO2022" i="1" s="1"/>
  <c r="BP2022" i="1" s="1"/>
  <c r="BQ2022" i="1" s="1"/>
  <c r="BM2095" i="1"/>
  <c r="BN2095" i="1" s="1"/>
  <c r="BO2095" i="1" s="1"/>
  <c r="BP2095" i="1" s="1"/>
  <c r="BQ2095" i="1" s="1"/>
  <c r="BM2129" i="1"/>
  <c r="BN2129" i="1" s="1"/>
  <c r="BO2129" i="1" s="1"/>
  <c r="BP2129" i="1" s="1"/>
  <c r="BQ2129" i="1" s="1"/>
  <c r="BM2261" i="1"/>
  <c r="BN2261" i="1" s="1"/>
  <c r="BO2261" i="1" s="1"/>
  <c r="BP2261" i="1" s="1"/>
  <c r="BQ2261" i="1" s="1"/>
  <c r="BU543" i="1"/>
  <c r="BU532" i="1"/>
  <c r="BU521" i="1"/>
  <c r="BU494" i="1"/>
  <c r="BU483" i="1"/>
  <c r="BU461" i="1"/>
  <c r="BU434" i="1"/>
  <c r="BU423" i="1"/>
  <c r="BU412" i="1"/>
  <c r="BU385" i="1"/>
  <c r="BU374" i="1"/>
  <c r="BU363" i="1"/>
  <c r="BU325" i="1"/>
  <c r="BU314" i="1"/>
  <c r="BU276" i="1"/>
  <c r="BU270" i="1"/>
  <c r="BU259" i="1"/>
  <c r="BU226" i="1"/>
  <c r="BU215" i="1"/>
  <c r="BU209" i="1"/>
  <c r="BU192" i="1"/>
  <c r="BU159" i="1"/>
  <c r="BU148" i="1"/>
  <c r="BU142" i="1"/>
  <c r="BU109" i="1"/>
  <c r="BU98" i="1"/>
  <c r="BU81" i="1"/>
  <c r="BU59" i="1"/>
  <c r="BU42" i="1"/>
  <c r="BU31" i="1"/>
  <c r="BU9" i="1"/>
  <c r="BM2368" i="1"/>
  <c r="BN2368" i="1" s="1"/>
  <c r="BO2368" i="1" s="1"/>
  <c r="BP2368" i="1" s="1"/>
  <c r="BQ2368" i="1" s="1"/>
  <c r="BM2354" i="1"/>
  <c r="BN2354" i="1" s="1"/>
  <c r="BO2354" i="1" s="1"/>
  <c r="BP2354" i="1" s="1"/>
  <c r="BQ2354" i="1" s="1"/>
  <c r="BM2318" i="1"/>
  <c r="BN2318" i="1" s="1"/>
  <c r="BO2318" i="1" s="1"/>
  <c r="BP2318" i="1" s="1"/>
  <c r="BQ2318" i="1" s="1"/>
  <c r="BM2248" i="1"/>
  <c r="BN2248" i="1" s="1"/>
  <c r="BO2248" i="1" s="1"/>
  <c r="BP2248" i="1" s="1"/>
  <c r="BQ2248" i="1" s="1"/>
  <c r="BM2331" i="1"/>
  <c r="BN2331" i="1" s="1"/>
  <c r="BO2331" i="1" s="1"/>
  <c r="BP2331" i="1" s="1"/>
  <c r="BQ2331" i="1" s="1"/>
  <c r="BM2308" i="1"/>
  <c r="BN2308" i="1" s="1"/>
  <c r="BO2308" i="1" s="1"/>
  <c r="BP2308" i="1" s="1"/>
  <c r="BQ2308" i="1" s="1"/>
  <c r="BU982" i="1"/>
  <c r="BU917" i="1"/>
  <c r="BU887" i="1"/>
  <c r="BU866" i="1"/>
  <c r="BU843" i="1"/>
  <c r="BU832" i="1"/>
  <c r="BU798" i="1"/>
  <c r="BU787" i="1"/>
  <c r="BU765" i="1"/>
  <c r="BU738" i="1"/>
  <c r="BU727" i="1"/>
  <c r="BU716" i="1"/>
  <c r="BU689" i="1"/>
  <c r="BU678" i="1"/>
  <c r="BU667" i="1"/>
  <c r="BU640" i="1"/>
  <c r="BU629" i="1"/>
  <c r="BU618" i="1"/>
  <c r="BU591" i="1"/>
  <c r="BU580" i="1"/>
  <c r="BU569" i="1"/>
  <c r="BU542" i="1"/>
  <c r="BU531" i="1"/>
  <c r="BU509" i="1"/>
  <c r="BU482" i="1"/>
  <c r="BU471" i="1"/>
  <c r="BU460" i="1"/>
  <c r="BU433" i="1"/>
  <c r="BU422" i="1"/>
  <c r="BU411" i="1"/>
  <c r="BU384" i="1"/>
  <c r="BU373" i="1"/>
  <c r="BU362" i="1"/>
  <c r="BU335" i="1"/>
  <c r="BU324" i="1"/>
  <c r="BU313" i="1"/>
  <c r="BU275" i="1"/>
  <c r="BU269" i="1"/>
  <c r="BU241" i="1"/>
  <c r="BU208" i="1"/>
  <c r="BU197" i="1"/>
  <c r="BU191" i="1"/>
  <c r="BU158" i="1"/>
  <c r="BU147" i="1"/>
  <c r="BU141" i="1"/>
  <c r="BU91" i="1"/>
  <c r="BU80" i="1"/>
  <c r="BU58" i="1"/>
  <c r="BU41" i="1"/>
  <c r="BU30" i="1"/>
  <c r="BU8" i="1"/>
  <c r="BM2346" i="1"/>
  <c r="BN2346" i="1" s="1"/>
  <c r="BO2346" i="1" s="1"/>
  <c r="BP2346" i="1" s="1"/>
  <c r="BQ2346" i="1" s="1"/>
  <c r="BM2304" i="1"/>
  <c r="BN2304" i="1" s="1"/>
  <c r="BO2304" i="1" s="1"/>
  <c r="BP2304" i="1" s="1"/>
  <c r="BQ2304" i="1" s="1"/>
  <c r="BU351" i="1"/>
  <c r="BU340" i="1"/>
  <c r="BU329" i="1"/>
  <c r="BU302" i="1"/>
  <c r="BU291" i="1"/>
  <c r="BU280" i="1"/>
  <c r="BU263" i="1"/>
  <c r="BU230" i="1"/>
  <c r="BU219" i="1"/>
  <c r="BU202" i="1"/>
  <c r="BU180" i="1"/>
  <c r="BU169" i="1"/>
  <c r="BU152" i="1"/>
  <c r="BU130" i="1"/>
  <c r="BU119" i="1"/>
  <c r="BU113" i="1"/>
  <c r="BU102" i="1"/>
  <c r="BU69" i="1"/>
  <c r="BU63" i="1"/>
  <c r="BU52" i="1"/>
  <c r="BU19" i="1"/>
  <c r="BU13" i="1"/>
  <c r="BM2353" i="1"/>
  <c r="BN2353" i="1" s="1"/>
  <c r="BO2353" i="1" s="1"/>
  <c r="BP2353" i="1" s="1"/>
  <c r="BQ2353" i="1" s="1"/>
  <c r="BM2349" i="1"/>
  <c r="BN2349" i="1" s="1"/>
  <c r="BO2349" i="1" s="1"/>
  <c r="BP2349" i="1" s="1"/>
  <c r="BQ2349" i="1" s="1"/>
  <c r="BM2334" i="1"/>
  <c r="BN2334" i="1" s="1"/>
  <c r="BO2334" i="1" s="1"/>
  <c r="BP2334" i="1" s="1"/>
  <c r="BQ2334" i="1" s="1"/>
  <c r="BM2284" i="1"/>
  <c r="BN2284" i="1" s="1"/>
  <c r="BO2284" i="1" s="1"/>
  <c r="BP2284" i="1" s="1"/>
  <c r="BQ2284" i="1" s="1"/>
  <c r="BM2298" i="1"/>
  <c r="BN2298" i="1" s="1"/>
  <c r="BO2298" i="1" s="1"/>
  <c r="BP2298" i="1" s="1"/>
  <c r="BQ2298" i="1" s="1"/>
  <c r="BU1387" i="1"/>
  <c r="BU1365" i="1"/>
  <c r="BU1343" i="1"/>
  <c r="BU1315" i="1"/>
  <c r="BU1294" i="1"/>
  <c r="BU1279" i="1"/>
  <c r="BU1258" i="1"/>
  <c r="BU1251" i="1"/>
  <c r="BU1221" i="1"/>
  <c r="BU1206" i="1"/>
  <c r="BU1183" i="1"/>
  <c r="BU1176" i="1"/>
  <c r="BU1126" i="1"/>
  <c r="BU1111" i="1"/>
  <c r="BU1103" i="1"/>
  <c r="BU1088" i="1"/>
  <c r="BU1080" i="1"/>
  <c r="BU1073" i="1"/>
  <c r="BU1043" i="1"/>
  <c r="BU1036" i="1"/>
  <c r="BU1007" i="1"/>
  <c r="BU992" i="1"/>
  <c r="BU985" i="1"/>
  <c r="BU978" i="1"/>
  <c r="BU964" i="1"/>
  <c r="BU936" i="1"/>
  <c r="BU921" i="1"/>
  <c r="BU891" i="1"/>
  <c r="BU870" i="1"/>
  <c r="BU852" i="1"/>
  <c r="BU836" i="1"/>
  <c r="BU808" i="1"/>
  <c r="BU792" i="1"/>
  <c r="BU776" i="1"/>
  <c r="BU760" i="1"/>
  <c r="BU744" i="1"/>
  <c r="BU728" i="1"/>
  <c r="BU712" i="1"/>
  <c r="BU696" i="1"/>
  <c r="BU680" i="1"/>
  <c r="BU664" i="1"/>
  <c r="BU648" i="1"/>
  <c r="BU632" i="1"/>
  <c r="BU616" i="1"/>
  <c r="BU600" i="1"/>
  <c r="BU584" i="1"/>
  <c r="BU568" i="1"/>
  <c r="BU552" i="1"/>
  <c r="BU536" i="1"/>
  <c r="BU520" i="1"/>
  <c r="BU504" i="1"/>
  <c r="BU488" i="1"/>
  <c r="BU472" i="1"/>
  <c r="BU456" i="1"/>
  <c r="BU440" i="1"/>
  <c r="BU424" i="1"/>
  <c r="BU408" i="1"/>
  <c r="BU392" i="1"/>
  <c r="BU376" i="1"/>
  <c r="BU360" i="1"/>
  <c r="BU344" i="1"/>
  <c r="BU328" i="1"/>
  <c r="BU312" i="1"/>
  <c r="BU296" i="1"/>
  <c r="BU285" i="1"/>
  <c r="BU258" i="1"/>
  <c r="BU247" i="1"/>
  <c r="BU225" i="1"/>
  <c r="BU198" i="1"/>
  <c r="BU187" i="1"/>
  <c r="BU176" i="1"/>
  <c r="BU149" i="1"/>
  <c r="BU138" i="1"/>
  <c r="BU127" i="1"/>
  <c r="BU100" i="1"/>
  <c r="BU89" i="1"/>
  <c r="BU78" i="1"/>
  <c r="BU51" i="1"/>
  <c r="BU40" i="1"/>
  <c r="BU29" i="1"/>
  <c r="BU284" i="1"/>
  <c r="BU268" i="1"/>
  <c r="BU252" i="1"/>
  <c r="BU236" i="1"/>
  <c r="BU220" i="1"/>
  <c r="BU204" i="1"/>
  <c r="BU188" i="1"/>
  <c r="BU172" i="1"/>
  <c r="BU156" i="1"/>
  <c r="BU140" i="1"/>
  <c r="BU124" i="1"/>
  <c r="BU108" i="1"/>
  <c r="BU92" i="1"/>
  <c r="BU76" i="1"/>
  <c r="BU60" i="1"/>
  <c r="BU44" i="1"/>
  <c r="BU28" i="1"/>
  <c r="BU12" i="1"/>
  <c r="BQ790" i="1"/>
  <c r="BQ760" i="1"/>
  <c r="BQ753" i="1"/>
  <c r="BQ802" i="1"/>
  <c r="BQ799" i="1"/>
  <c r="BQ787" i="1"/>
  <c r="BQ776" i="1"/>
  <c r="BQ739" i="1"/>
  <c r="BQ706" i="1"/>
  <c r="BQ808" i="1"/>
  <c r="BQ805" i="1"/>
  <c r="BQ779" i="1"/>
  <c r="BQ696" i="1"/>
  <c r="BQ792" i="1"/>
  <c r="BQ769" i="1"/>
  <c r="BQ759" i="1"/>
  <c r="BQ715" i="1"/>
  <c r="BQ801" i="1"/>
  <c r="BQ798" i="1"/>
  <c r="BQ789" i="1"/>
  <c r="BQ786" i="1"/>
  <c r="BQ742" i="1"/>
  <c r="BQ662" i="1"/>
  <c r="BQ775" i="1"/>
  <c r="BQ755" i="1"/>
  <c r="BQ738" i="1"/>
  <c r="BQ641" i="1"/>
  <c r="BQ628" i="1"/>
  <c r="BQ625" i="1"/>
  <c r="BQ816" i="1"/>
  <c r="BQ819" i="1"/>
  <c r="BQ807" i="1"/>
  <c r="BQ723" i="1"/>
  <c r="BQ785" i="1"/>
  <c r="BQ771" i="1"/>
  <c r="BQ758" i="1"/>
  <c r="BQ675" i="1"/>
  <c r="BQ800" i="1"/>
  <c r="BQ774" i="1"/>
  <c r="BQ754" i="1"/>
  <c r="BQ710" i="1"/>
  <c r="BQ707" i="1"/>
  <c r="BQ599" i="1"/>
  <c r="BQ809" i="1"/>
  <c r="BQ744" i="1"/>
  <c r="BQ664" i="1"/>
  <c r="BQ818" i="1"/>
  <c r="BQ806" i="1"/>
  <c r="BQ784" i="1"/>
  <c r="BQ777" i="1"/>
  <c r="BQ767" i="1"/>
  <c r="BQ713" i="1"/>
  <c r="BQ691" i="1"/>
  <c r="BQ770" i="1"/>
  <c r="BQ763" i="1"/>
  <c r="BQ694" i="1"/>
  <c r="BQ780" i="1"/>
  <c r="BQ719" i="1"/>
  <c r="BQ663" i="1"/>
  <c r="BQ658" i="1"/>
  <c r="BQ638" i="1"/>
  <c r="BQ621" i="1"/>
  <c r="BQ609" i="1"/>
  <c r="BQ519" i="1"/>
  <c r="BQ405" i="1"/>
  <c r="BQ392" i="1"/>
  <c r="BQ822" i="1"/>
  <c r="BQ729" i="1"/>
  <c r="BQ703" i="1"/>
  <c r="BQ681" i="1"/>
  <c r="BQ668" i="1"/>
  <c r="BQ632" i="1"/>
  <c r="BQ572" i="1"/>
  <c r="BQ566" i="1"/>
  <c r="BQ554" i="1"/>
  <c r="BQ535" i="1"/>
  <c r="BQ497" i="1"/>
  <c r="BQ488" i="1"/>
  <c r="BQ471" i="1"/>
  <c r="BQ258" i="1"/>
  <c r="BQ765" i="1"/>
  <c r="BQ746" i="1"/>
  <c r="BQ731" i="1"/>
  <c r="BQ727" i="1"/>
  <c r="BQ721" i="1"/>
  <c r="BQ714" i="1"/>
  <c r="BQ678" i="1"/>
  <c r="BQ673" i="1"/>
  <c r="BQ618" i="1"/>
  <c r="BQ615" i="1"/>
  <c r="BQ603" i="1"/>
  <c r="BQ547" i="1"/>
  <c r="BQ509" i="1"/>
  <c r="BQ811" i="1"/>
  <c r="BQ709" i="1"/>
  <c r="BQ686" i="1"/>
  <c r="BQ665" i="1"/>
  <c r="BQ655" i="1"/>
  <c r="BQ652" i="1"/>
  <c r="BQ591" i="1"/>
  <c r="BQ585" i="1"/>
  <c r="BQ559" i="1"/>
  <c r="BQ550" i="1"/>
  <c r="BQ506" i="1"/>
  <c r="BQ484" i="1"/>
  <c r="BQ452" i="1"/>
  <c r="BQ782" i="1"/>
  <c r="BQ756" i="1"/>
  <c r="BQ735" i="1"/>
  <c r="BQ733" i="1"/>
  <c r="BQ705" i="1"/>
  <c r="BQ700" i="1"/>
  <c r="BQ693" i="1"/>
  <c r="BQ683" i="1"/>
  <c r="BQ643" i="1"/>
  <c r="BQ611" i="1"/>
  <c r="BQ541" i="1"/>
  <c r="BQ531" i="1"/>
  <c r="BQ525" i="1"/>
  <c r="BQ313" i="1"/>
  <c r="BQ796" i="1"/>
  <c r="BQ794" i="1"/>
  <c r="BQ788" i="1"/>
  <c r="BQ750" i="1"/>
  <c r="BQ670" i="1"/>
  <c r="BQ568" i="1"/>
  <c r="BQ553" i="1"/>
  <c r="BQ512" i="1"/>
  <c r="BQ248" i="1"/>
  <c r="BQ752" i="1"/>
  <c r="BQ741" i="1"/>
  <c r="BQ737" i="1"/>
  <c r="BQ711" i="1"/>
  <c r="BQ623" i="1"/>
  <c r="BQ515" i="1"/>
  <c r="BQ508" i="1"/>
  <c r="BQ502" i="1"/>
  <c r="BQ174" i="1"/>
  <c r="BQ817" i="1"/>
  <c r="BQ813" i="1"/>
  <c r="BQ804" i="1"/>
  <c r="BQ762" i="1"/>
  <c r="BQ697" i="1"/>
  <c r="BQ680" i="1"/>
  <c r="BQ667" i="1"/>
  <c r="BQ657" i="1"/>
  <c r="BQ626" i="1"/>
  <c r="BQ620" i="1"/>
  <c r="BQ587" i="1"/>
  <c r="BQ496" i="1"/>
  <c r="BQ464" i="1"/>
  <c r="BQ301" i="1"/>
  <c r="BQ764" i="1"/>
  <c r="BQ724" i="1"/>
  <c r="BQ718" i="1"/>
  <c r="BQ685" i="1"/>
  <c r="BQ677" i="1"/>
  <c r="BQ596" i="1"/>
  <c r="BQ593" i="1"/>
  <c r="BQ584" i="1"/>
  <c r="BQ546" i="1"/>
  <c r="BQ524" i="1"/>
  <c r="BQ483" i="1"/>
  <c r="BQ476" i="1"/>
  <c r="BQ384" i="1"/>
  <c r="BQ810" i="1"/>
  <c r="BQ745" i="1"/>
  <c r="BQ743" i="1"/>
  <c r="BQ728" i="1"/>
  <c r="BQ726" i="1"/>
  <c r="BQ690" i="1"/>
  <c r="BQ645" i="1"/>
  <c r="BQ605" i="1"/>
  <c r="BQ577" i="1"/>
  <c r="BQ543" i="1"/>
  <c r="BQ527" i="1"/>
  <c r="BQ511" i="1"/>
  <c r="BQ319" i="1"/>
  <c r="BQ781" i="1"/>
  <c r="BQ747" i="1"/>
  <c r="BQ730" i="1"/>
  <c r="BQ699" i="1"/>
  <c r="BQ692" i="1"/>
  <c r="BQ648" i="1"/>
  <c r="BQ636" i="1"/>
  <c r="BQ633" i="1"/>
  <c r="BQ570" i="1"/>
  <c r="BQ567" i="1"/>
  <c r="BQ540" i="1"/>
  <c r="BQ533" i="1"/>
  <c r="BQ520" i="1"/>
  <c r="BQ250" i="1"/>
  <c r="BQ772" i="1"/>
  <c r="BQ749" i="1"/>
  <c r="BQ722" i="1"/>
  <c r="BQ613" i="1"/>
  <c r="BQ607" i="1"/>
  <c r="BQ589" i="1"/>
  <c r="BQ555" i="1"/>
  <c r="BQ501" i="1"/>
  <c r="BQ492" i="1"/>
  <c r="BQ479" i="1"/>
  <c r="BQ374" i="1"/>
  <c r="BQ189" i="1"/>
  <c r="BQ793" i="1"/>
  <c r="BQ766" i="1"/>
  <c r="BQ751" i="1"/>
  <c r="BQ740" i="1"/>
  <c r="BQ704" i="1"/>
  <c r="BQ687" i="1"/>
  <c r="BQ679" i="1"/>
  <c r="BQ674" i="1"/>
  <c r="BQ616" i="1"/>
  <c r="BQ601" i="1"/>
  <c r="BQ573" i="1"/>
  <c r="BQ536" i="1"/>
  <c r="BQ523" i="1"/>
  <c r="BQ507" i="1"/>
  <c r="BQ495" i="1"/>
  <c r="BQ489" i="1"/>
  <c r="BQ297" i="1"/>
  <c r="BQ812" i="1"/>
  <c r="BQ783" i="1"/>
  <c r="BQ768" i="1"/>
  <c r="BQ734" i="1"/>
  <c r="BQ684" i="1"/>
  <c r="BQ666" i="1"/>
  <c r="BQ604" i="1"/>
  <c r="BQ583" i="1"/>
  <c r="BQ576" i="1"/>
  <c r="BQ510" i="1"/>
  <c r="BQ380" i="1"/>
  <c r="BQ778" i="1"/>
  <c r="BQ761" i="1"/>
  <c r="BQ757" i="1"/>
  <c r="BQ736" i="1"/>
  <c r="BQ676" i="1"/>
  <c r="BQ647" i="1"/>
  <c r="BQ595" i="1"/>
  <c r="BQ557" i="1"/>
  <c r="BQ504" i="1"/>
  <c r="BQ820" i="1"/>
  <c r="BQ814" i="1"/>
  <c r="BQ803" i="1"/>
  <c r="BQ797" i="1"/>
  <c r="BQ791" i="1"/>
  <c r="BQ712" i="1"/>
  <c r="BQ689" i="1"/>
  <c r="BQ653" i="1"/>
  <c r="BQ579" i="1"/>
  <c r="BQ569" i="1"/>
  <c r="BQ539" i="1"/>
  <c r="BQ532" i="1"/>
  <c r="BQ437" i="1"/>
  <c r="BQ293" i="1"/>
  <c r="BQ120" i="1"/>
  <c r="BQ716" i="1"/>
  <c r="BQ701" i="1"/>
  <c r="BQ671" i="1"/>
  <c r="BQ639" i="1"/>
  <c r="BQ597" i="1"/>
  <c r="BQ450" i="1"/>
  <c r="BQ447" i="1"/>
  <c r="BQ444" i="1"/>
  <c r="BQ362" i="1"/>
  <c r="BQ317" i="1"/>
  <c r="BQ295" i="1"/>
  <c r="BQ292" i="1"/>
  <c r="BQ289" i="1"/>
  <c r="BQ272" i="1"/>
  <c r="BQ252" i="1"/>
  <c r="BQ235" i="1"/>
  <c r="BQ223" i="1"/>
  <c r="BQ214" i="1"/>
  <c r="BQ205" i="1"/>
  <c r="BQ164" i="1"/>
  <c r="BQ95" i="1"/>
  <c r="BQ48" i="1"/>
  <c r="BQ556" i="1"/>
  <c r="BQ518" i="1"/>
  <c r="BQ385" i="1"/>
  <c r="BQ354" i="1"/>
  <c r="BQ286" i="1"/>
  <c r="BQ269" i="1"/>
  <c r="BQ266" i="1"/>
  <c r="BQ255" i="1"/>
  <c r="BQ176" i="1"/>
  <c r="BQ167" i="1"/>
  <c r="BQ560" i="1"/>
  <c r="BQ558" i="1"/>
  <c r="BQ552" i="1"/>
  <c r="BQ522" i="1"/>
  <c r="BQ516" i="1"/>
  <c r="BQ490" i="1"/>
  <c r="BQ485" i="1"/>
  <c r="BQ478" i="1"/>
  <c r="BQ441" i="1"/>
  <c r="BQ421" i="1"/>
  <c r="BQ418" i="1"/>
  <c r="BQ412" i="1"/>
  <c r="BQ388" i="1"/>
  <c r="BQ283" i="1"/>
  <c r="BQ274" i="1"/>
  <c r="BQ179" i="1"/>
  <c r="BQ170" i="1"/>
  <c r="BQ152" i="1"/>
  <c r="BQ88" i="1"/>
  <c r="BQ63" i="1"/>
  <c r="BQ619" i="1"/>
  <c r="BQ617" i="1"/>
  <c r="BQ580" i="1"/>
  <c r="BQ578" i="1"/>
  <c r="BQ574" i="1"/>
  <c r="BQ503" i="1"/>
  <c r="BQ480" i="1"/>
  <c r="BQ463" i="1"/>
  <c r="BQ458" i="1"/>
  <c r="BQ391" i="1"/>
  <c r="BQ376" i="1"/>
  <c r="BQ367" i="1"/>
  <c r="BQ300" i="1"/>
  <c r="BQ246" i="1"/>
  <c r="BQ207" i="1"/>
  <c r="BQ191" i="1"/>
  <c r="BQ91" i="1"/>
  <c r="BQ588" i="1"/>
  <c r="BQ586" i="1"/>
  <c r="BQ562" i="1"/>
  <c r="BQ475" i="1"/>
  <c r="BQ465" i="1"/>
  <c r="BQ455" i="1"/>
  <c r="BQ449" i="1"/>
  <c r="BQ433" i="1"/>
  <c r="BQ430" i="1"/>
  <c r="BQ427" i="1"/>
  <c r="BQ424" i="1"/>
  <c r="BQ415" i="1"/>
  <c r="BQ403" i="1"/>
  <c r="BQ397" i="1"/>
  <c r="BQ370" i="1"/>
  <c r="BQ351" i="1"/>
  <c r="BQ345" i="1"/>
  <c r="BQ333" i="1"/>
  <c r="BQ277" i="1"/>
  <c r="BQ260" i="1"/>
  <c r="BQ225" i="1"/>
  <c r="BQ219" i="1"/>
  <c r="BQ57" i="1"/>
  <c r="BQ720" i="1"/>
  <c r="BQ698" i="1"/>
  <c r="BQ688" i="1"/>
  <c r="BQ659" i="1"/>
  <c r="BQ650" i="1"/>
  <c r="BQ634" i="1"/>
  <c r="BQ564" i="1"/>
  <c r="BQ528" i="1"/>
  <c r="BQ505" i="1"/>
  <c r="BQ443" i="1"/>
  <c r="BQ400" i="1"/>
  <c r="BQ382" i="1"/>
  <c r="BQ359" i="1"/>
  <c r="BQ348" i="1"/>
  <c r="BQ316" i="1"/>
  <c r="BQ291" i="1"/>
  <c r="BQ222" i="1"/>
  <c r="BQ200" i="1"/>
  <c r="BQ194" i="1"/>
  <c r="BQ97" i="1"/>
  <c r="BQ661" i="1"/>
  <c r="BQ526" i="1"/>
  <c r="BQ494" i="1"/>
  <c r="BQ446" i="1"/>
  <c r="BQ379" i="1"/>
  <c r="BQ373" i="1"/>
  <c r="BQ364" i="1"/>
  <c r="BQ361" i="1"/>
  <c r="BQ294" i="1"/>
  <c r="BQ285" i="1"/>
  <c r="BQ268" i="1"/>
  <c r="BQ240" i="1"/>
  <c r="BQ237" i="1"/>
  <c r="BQ178" i="1"/>
  <c r="BQ130" i="1"/>
  <c r="BQ110" i="1"/>
  <c r="BQ28" i="1"/>
  <c r="BQ602" i="1"/>
  <c r="BQ590" i="1"/>
  <c r="BQ582" i="1"/>
  <c r="BQ549" i="1"/>
  <c r="BQ545" i="1"/>
  <c r="BQ530" i="1"/>
  <c r="BQ498" i="1"/>
  <c r="BQ487" i="1"/>
  <c r="BQ482" i="1"/>
  <c r="BQ472" i="1"/>
  <c r="BQ467" i="1"/>
  <c r="BQ435" i="1"/>
  <c r="BQ420" i="1"/>
  <c r="BQ387" i="1"/>
  <c r="BQ356" i="1"/>
  <c r="BQ265" i="1"/>
  <c r="BQ254" i="1"/>
  <c r="BQ187" i="1"/>
  <c r="BQ151" i="1"/>
  <c r="BQ116" i="1"/>
  <c r="BQ31" i="1"/>
  <c r="BQ610" i="1"/>
  <c r="BQ608" i="1"/>
  <c r="BQ606" i="1"/>
  <c r="BQ592" i="1"/>
  <c r="BQ534" i="1"/>
  <c r="BQ513" i="1"/>
  <c r="BQ411" i="1"/>
  <c r="BQ353" i="1"/>
  <c r="BQ338" i="1"/>
  <c r="BQ302" i="1"/>
  <c r="BQ203" i="1"/>
  <c r="BQ184" i="1"/>
  <c r="BQ157" i="1"/>
  <c r="BQ37" i="1"/>
  <c r="BQ22" i="1"/>
  <c r="BQ640" i="1"/>
  <c r="BQ629" i="1"/>
  <c r="BQ627" i="1"/>
  <c r="BQ600" i="1"/>
  <c r="BQ594" i="1"/>
  <c r="BQ517" i="1"/>
  <c r="BQ500" i="1"/>
  <c r="BQ451" i="1"/>
  <c r="BQ423" i="1"/>
  <c r="BQ399" i="1"/>
  <c r="BQ396" i="1"/>
  <c r="BQ366" i="1"/>
  <c r="BQ350" i="1"/>
  <c r="BQ321" i="1"/>
  <c r="BQ276" i="1"/>
  <c r="BQ147" i="1"/>
  <c r="BQ717" i="1"/>
  <c r="BQ708" i="1"/>
  <c r="BQ702" i="1"/>
  <c r="BQ672" i="1"/>
  <c r="BQ642" i="1"/>
  <c r="BQ612" i="1"/>
  <c r="BQ571" i="1"/>
  <c r="BQ551" i="1"/>
  <c r="BQ521" i="1"/>
  <c r="BQ474" i="1"/>
  <c r="BQ462" i="1"/>
  <c r="BQ454" i="1"/>
  <c r="BQ448" i="1"/>
  <c r="BQ432" i="1"/>
  <c r="BQ414" i="1"/>
  <c r="BQ378" i="1"/>
  <c r="BQ375" i="1"/>
  <c r="BQ347" i="1"/>
  <c r="BQ341" i="1"/>
  <c r="BQ324" i="1"/>
  <c r="BQ287" i="1"/>
  <c r="BQ262" i="1"/>
  <c r="BQ259" i="1"/>
  <c r="BQ245" i="1"/>
  <c r="BQ230" i="1"/>
  <c r="BQ221" i="1"/>
  <c r="BQ212" i="1"/>
  <c r="BQ209" i="1"/>
  <c r="BQ206" i="1"/>
  <c r="BQ193" i="1"/>
  <c r="BQ135" i="1"/>
  <c r="BQ109" i="1"/>
  <c r="BQ575" i="1"/>
  <c r="BQ563" i="1"/>
  <c r="BQ561" i="1"/>
  <c r="BQ491" i="1"/>
  <c r="BQ445" i="1"/>
  <c r="BQ372" i="1"/>
  <c r="BQ332" i="1"/>
  <c r="BQ318" i="1"/>
  <c r="BQ270" i="1"/>
  <c r="BQ239" i="1"/>
  <c r="BQ224" i="1"/>
  <c r="BQ168" i="1"/>
  <c r="BQ30" i="1"/>
  <c r="BQ654" i="1"/>
  <c r="BQ649" i="1"/>
  <c r="BQ644" i="1"/>
  <c r="BQ631" i="1"/>
  <c r="BQ622" i="1"/>
  <c r="BQ614" i="1"/>
  <c r="BQ581" i="1"/>
  <c r="BQ538" i="1"/>
  <c r="BQ486" i="1"/>
  <c r="BQ481" i="1"/>
  <c r="BQ439" i="1"/>
  <c r="BQ389" i="1"/>
  <c r="BQ386" i="1"/>
  <c r="BQ358" i="1"/>
  <c r="BQ186" i="1"/>
  <c r="BQ153" i="1"/>
  <c r="BQ33" i="1"/>
  <c r="BQ695" i="1"/>
  <c r="BQ660" i="1"/>
  <c r="BQ646" i="1"/>
  <c r="BQ565" i="1"/>
  <c r="BQ493" i="1"/>
  <c r="BQ368" i="1"/>
  <c r="BQ352" i="1"/>
  <c r="BQ309" i="1"/>
  <c r="BQ306" i="1"/>
  <c r="BQ284" i="1"/>
  <c r="BQ281" i="1"/>
  <c r="BQ202" i="1"/>
  <c r="BQ171" i="1"/>
  <c r="BQ123" i="1"/>
  <c r="BQ118" i="1"/>
  <c r="BQ39" i="1"/>
  <c r="BQ682" i="1"/>
  <c r="BQ669" i="1"/>
  <c r="BQ656" i="1"/>
  <c r="BQ651" i="1"/>
  <c r="BQ637" i="1"/>
  <c r="BQ635" i="1"/>
  <c r="BQ624" i="1"/>
  <c r="BQ548" i="1"/>
  <c r="BQ544" i="1"/>
  <c r="BQ542" i="1"/>
  <c r="BQ529" i="1"/>
  <c r="BQ499" i="1"/>
  <c r="BQ466" i="1"/>
  <c r="BQ431" i="1"/>
  <c r="BQ422" i="1"/>
  <c r="BQ337" i="1"/>
  <c r="BQ334" i="1"/>
  <c r="BQ326" i="1"/>
  <c r="BQ159" i="1"/>
  <c r="BQ140" i="1"/>
  <c r="BQ45" i="1"/>
  <c r="BQ456" i="1"/>
  <c r="BQ428" i="1"/>
  <c r="BQ425" i="1"/>
  <c r="BQ416" i="1"/>
  <c r="BQ407" i="1"/>
  <c r="BQ401" i="1"/>
  <c r="BQ395" i="1"/>
  <c r="BQ383" i="1"/>
  <c r="BQ377" i="1"/>
  <c r="BQ371" i="1"/>
  <c r="BQ365" i="1"/>
  <c r="BQ349" i="1"/>
  <c r="BQ346" i="1"/>
  <c r="BQ311" i="1"/>
  <c r="BQ278" i="1"/>
  <c r="BQ264" i="1"/>
  <c r="BQ261" i="1"/>
  <c r="BQ244" i="1"/>
  <c r="BQ241" i="1"/>
  <c r="BQ232" i="1"/>
  <c r="BQ211" i="1"/>
  <c r="BQ195" i="1"/>
  <c r="BQ192" i="1"/>
  <c r="BQ143" i="1"/>
  <c r="BQ92" i="1"/>
  <c r="BQ238" i="1"/>
  <c r="BQ229" i="1"/>
  <c r="BQ227" i="1"/>
  <c r="BQ155" i="1"/>
  <c r="BQ128" i="1"/>
  <c r="BQ83" i="1"/>
  <c r="BQ80" i="1"/>
  <c r="BQ13" i="1"/>
  <c r="BQ125" i="1"/>
  <c r="BQ51" i="1"/>
  <c r="BQ42" i="1"/>
  <c r="BQ390" i="1"/>
  <c r="BQ360" i="1"/>
  <c r="BQ340" i="1"/>
  <c r="BQ323" i="1"/>
  <c r="BQ315" i="1"/>
  <c r="BQ256" i="1"/>
  <c r="BQ185" i="1"/>
  <c r="BQ183" i="1"/>
  <c r="BQ103" i="1"/>
  <c r="BQ19" i="1"/>
  <c r="BQ394" i="1"/>
  <c r="BQ335" i="1"/>
  <c r="BQ327" i="1"/>
  <c r="BQ233" i="1"/>
  <c r="BQ231" i="1"/>
  <c r="BQ204" i="1"/>
  <c r="BQ197" i="1"/>
  <c r="BQ180" i="1"/>
  <c r="BQ150" i="1"/>
  <c r="BQ145" i="1"/>
  <c r="BQ137" i="1"/>
  <c r="BQ426" i="1"/>
  <c r="BQ369" i="1"/>
  <c r="BQ329" i="1"/>
  <c r="BQ325" i="1"/>
  <c r="BQ304" i="1"/>
  <c r="BQ290" i="1"/>
  <c r="BQ288" i="1"/>
  <c r="BQ282" i="1"/>
  <c r="BQ218" i="1"/>
  <c r="BQ210" i="1"/>
  <c r="BQ169" i="1"/>
  <c r="BQ139" i="1"/>
  <c r="BQ112" i="1"/>
  <c r="BQ82" i="1"/>
  <c r="BQ68" i="1"/>
  <c r="BQ62" i="1"/>
  <c r="BQ36" i="1"/>
  <c r="BQ27" i="1"/>
  <c r="BQ15" i="1"/>
  <c r="BQ477" i="1"/>
  <c r="BQ470" i="1"/>
  <c r="BQ468" i="1"/>
  <c r="BQ355" i="1"/>
  <c r="BQ331" i="1"/>
  <c r="BQ280" i="1"/>
  <c r="BQ220" i="1"/>
  <c r="BQ163" i="1"/>
  <c r="BQ161" i="1"/>
  <c r="BQ127" i="1"/>
  <c r="BQ12" i="1"/>
  <c r="BQ438" i="1"/>
  <c r="BQ417" i="1"/>
  <c r="BQ413" i="1"/>
  <c r="BQ406" i="1"/>
  <c r="BQ402" i="1"/>
  <c r="BQ339" i="1"/>
  <c r="BQ320" i="1"/>
  <c r="BQ298" i="1"/>
  <c r="BQ251" i="1"/>
  <c r="BQ243" i="1"/>
  <c r="BQ228" i="1"/>
  <c r="BQ226" i="1"/>
  <c r="BQ208" i="1"/>
  <c r="BQ175" i="1"/>
  <c r="BQ134" i="1"/>
  <c r="BQ122" i="1"/>
  <c r="BQ99" i="1"/>
  <c r="BQ24" i="1"/>
  <c r="BQ453" i="1"/>
  <c r="BQ434" i="1"/>
  <c r="BQ398" i="1"/>
  <c r="BQ308" i="1"/>
  <c r="BQ296" i="1"/>
  <c r="BQ249" i="1"/>
  <c r="BQ247" i="1"/>
  <c r="BQ199" i="1"/>
  <c r="BQ182" i="1"/>
  <c r="BQ105" i="1"/>
  <c r="BQ90" i="1"/>
  <c r="BQ76" i="1"/>
  <c r="BQ56" i="1"/>
  <c r="BQ44" i="1"/>
  <c r="BQ21" i="1"/>
  <c r="BQ442" i="1"/>
  <c r="BQ440" i="1"/>
  <c r="BQ436" i="1"/>
  <c r="BQ419" i="1"/>
  <c r="BQ408" i="1"/>
  <c r="BQ404" i="1"/>
  <c r="BQ381" i="1"/>
  <c r="BQ322" i="1"/>
  <c r="BQ312" i="1"/>
  <c r="BQ273" i="1"/>
  <c r="BQ271" i="1"/>
  <c r="BQ253" i="1"/>
  <c r="BQ201" i="1"/>
  <c r="BQ177" i="1"/>
  <c r="BQ173" i="1"/>
  <c r="BQ87" i="1"/>
  <c r="BQ47" i="1"/>
  <c r="BQ29" i="1"/>
  <c r="BQ357" i="1"/>
  <c r="BQ257" i="1"/>
  <c r="BQ156" i="1"/>
  <c r="BQ144" i="1"/>
  <c r="BQ117" i="1"/>
  <c r="BQ114" i="1"/>
  <c r="BQ111" i="1"/>
  <c r="BQ70" i="1"/>
  <c r="BQ64" i="1"/>
  <c r="BQ61" i="1"/>
  <c r="BQ410" i="1"/>
  <c r="BQ393" i="1"/>
  <c r="BQ196" i="1"/>
  <c r="BQ190" i="1"/>
  <c r="BQ188" i="1"/>
  <c r="BQ141" i="1"/>
  <c r="BQ136" i="1"/>
  <c r="BQ81" i="1"/>
  <c r="BQ78" i="1"/>
  <c r="BQ67" i="1"/>
  <c r="BQ17" i="1"/>
  <c r="BQ275" i="1"/>
  <c r="BQ263" i="1"/>
  <c r="BQ217" i="1"/>
  <c r="BQ158" i="1"/>
  <c r="BQ107" i="1"/>
  <c r="BQ84" i="1"/>
  <c r="BQ43" i="1"/>
  <c r="BQ8" i="1"/>
  <c r="BQ336" i="1"/>
  <c r="BQ305" i="1"/>
  <c r="BQ303" i="1"/>
  <c r="BQ279" i="1"/>
  <c r="BQ242" i="1"/>
  <c r="BQ213" i="1"/>
  <c r="BQ198" i="1"/>
  <c r="BQ181" i="1"/>
  <c r="BQ162" i="1"/>
  <c r="BQ160" i="1"/>
  <c r="BQ131" i="1"/>
  <c r="BQ104" i="1"/>
  <c r="BQ101" i="1"/>
  <c r="BQ98" i="1"/>
  <c r="BQ72" i="1"/>
  <c r="BQ49" i="1"/>
  <c r="BQ40" i="1"/>
  <c r="BQ469" i="1"/>
  <c r="BQ461" i="1"/>
  <c r="BQ459" i="1"/>
  <c r="BQ457" i="1"/>
  <c r="BQ429" i="1"/>
  <c r="BQ328" i="1"/>
  <c r="BQ307" i="1"/>
  <c r="BQ236" i="1"/>
  <c r="BQ234" i="1"/>
  <c r="BQ215" i="1"/>
  <c r="BQ172" i="1"/>
  <c r="BQ166" i="1"/>
  <c r="BQ138" i="1"/>
  <c r="BQ55" i="1"/>
  <c r="BQ53" i="1"/>
  <c r="BQ20" i="1"/>
  <c r="BQ6" i="1"/>
  <c r="BQ74" i="1"/>
  <c r="BQ46" i="1"/>
  <c r="BQ10" i="1"/>
  <c r="BQ86" i="1"/>
  <c r="BQ52" i="1"/>
  <c r="BQ50" i="1"/>
  <c r="BQ41" i="1"/>
  <c r="BQ35" i="1"/>
  <c r="BQ26" i="1"/>
  <c r="BQ113" i="1"/>
  <c r="BQ14" i="1"/>
  <c r="BQ133" i="1"/>
  <c r="BQ129" i="1"/>
  <c r="BQ115" i="1"/>
  <c r="BQ69" i="1"/>
  <c r="BQ142" i="1"/>
  <c r="BQ121" i="1"/>
  <c r="BQ94" i="1"/>
  <c r="BQ54" i="1"/>
  <c r="BQ7" i="1"/>
  <c r="BQ100" i="1"/>
  <c r="BQ96" i="1"/>
  <c r="BQ75" i="1"/>
  <c r="BQ73" i="1"/>
  <c r="BQ58" i="1"/>
  <c r="BQ32" i="1"/>
  <c r="BQ16" i="1"/>
  <c r="BQ11" i="1"/>
  <c r="BQ119" i="1"/>
  <c r="BQ102" i="1"/>
  <c r="BQ79" i="1"/>
  <c r="BQ71" i="1"/>
  <c r="BQ60" i="1"/>
  <c r="BQ34" i="1"/>
  <c r="BQ18" i="1"/>
  <c r="BQ148" i="1"/>
  <c r="BQ108" i="1"/>
  <c r="BQ77" i="1"/>
  <c r="BQ66" i="1"/>
  <c r="BQ25" i="1"/>
  <c r="BQ146" i="1"/>
  <c r="BQ106" i="1"/>
  <c r="BQ89" i="1"/>
  <c r="BQ38" i="1"/>
  <c r="BQ23" i="1"/>
  <c r="BQ124" i="1"/>
  <c r="BQ126" i="1"/>
  <c r="BQ93" i="1"/>
  <c r="BQ9" i="1"/>
  <c r="AJ2422" i="1"/>
  <c r="AL2421" i="1"/>
  <c r="AP2421" i="1" s="1"/>
  <c r="AJ2002" i="1"/>
  <c r="AL2002" i="1" s="1"/>
  <c r="AP2002" i="1" s="1"/>
  <c r="AL2001" i="1"/>
  <c r="AP2001" i="1" s="1"/>
  <c r="AP1311" i="1"/>
  <c r="AJ930" i="1"/>
  <c r="AL930" i="1" s="1"/>
  <c r="AL929" i="1"/>
  <c r="AK861" i="1"/>
  <c r="AJ861" i="1"/>
  <c r="AJ1198" i="1"/>
  <c r="AL1198" i="1" s="1"/>
  <c r="AP1198" i="1" s="1"/>
  <c r="AL1197" i="1"/>
  <c r="AP1197" i="1" s="1"/>
  <c r="AJ1522" i="1"/>
  <c r="AL1522" i="1" s="1"/>
  <c r="AP1522" i="1" s="1"/>
  <c r="AL1521" i="1"/>
  <c r="AP1521" i="1" s="1"/>
  <c r="AJ928" i="1"/>
  <c r="AL928" i="1" s="1"/>
  <c r="AP928" i="1" s="1"/>
  <c r="AL927" i="1"/>
  <c r="AP927" i="1" s="1"/>
  <c r="AJ1246" i="1"/>
  <c r="AL1245" i="1"/>
  <c r="AP1245" i="1" s="1"/>
  <c r="AP2129" i="1"/>
  <c r="AJ1920" i="1"/>
  <c r="AL1919" i="1"/>
  <c r="AP1919" i="1" s="1"/>
  <c r="AJ1669" i="1"/>
  <c r="AL1668" i="1"/>
  <c r="AP1668" i="1" s="1"/>
  <c r="AJ1008" i="1"/>
  <c r="AL1007" i="1"/>
  <c r="AP1007" i="1" s="1"/>
  <c r="AL2271" i="1"/>
  <c r="AJ1376" i="1"/>
  <c r="AL1376" i="1" s="1"/>
  <c r="AL1375" i="1"/>
  <c r="AP1375" i="1" s="1"/>
  <c r="AJ2085" i="1"/>
  <c r="AL2085" i="1" s="1"/>
  <c r="AL2084" i="1"/>
  <c r="AP2084" i="1" s="1"/>
  <c r="AJ1166" i="1"/>
  <c r="AL1165" i="1"/>
  <c r="AP1165" i="1" s="1"/>
  <c r="AL2095" i="1"/>
  <c r="AL2054" i="1"/>
  <c r="AP2054" i="1" s="1"/>
  <c r="AJ2370" i="1"/>
  <c r="AL2369" i="1"/>
  <c r="AP2369" i="1" s="1"/>
  <c r="AJ1902" i="1"/>
  <c r="AL1901" i="1"/>
  <c r="AP1901" i="1" s="1"/>
  <c r="AJ2046" i="1"/>
  <c r="AL2046" i="1" s="1"/>
  <c r="AL2045" i="1"/>
  <c r="AP2045" i="1" s="1"/>
  <c r="AJ1043" i="1"/>
  <c r="AL1043" i="1" s="1"/>
  <c r="AL1042" i="1"/>
  <c r="AP1042" i="1" s="1"/>
  <c r="AL2317" i="1"/>
  <c r="AL2269" i="1"/>
  <c r="AP2269" i="1" s="1"/>
  <c r="AL1965" i="1"/>
  <c r="AP1965" i="1" s="1"/>
  <c r="AP1966" i="1" s="1"/>
  <c r="AL1789" i="1"/>
  <c r="AP1789" i="1" s="1"/>
  <c r="AL1693" i="1"/>
  <c r="AP1693" i="1" s="1"/>
  <c r="AL941" i="1"/>
  <c r="AL2281" i="1"/>
  <c r="AP2281" i="1" s="1"/>
  <c r="AL1049" i="1"/>
  <c r="AJ1027" i="1"/>
  <c r="AL1027" i="1" s="1"/>
  <c r="AP1027" i="1" s="1"/>
  <c r="AL1026" i="1"/>
  <c r="AP1026" i="1" s="1"/>
  <c r="AL2424" i="1"/>
  <c r="AP2424" i="1" s="1"/>
  <c r="AL1489" i="1"/>
  <c r="AP1489" i="1" s="1"/>
  <c r="AP1490" i="1" s="1"/>
  <c r="AL1441" i="1"/>
  <c r="AP1441" i="1" s="1"/>
  <c r="AL1229" i="1"/>
  <c r="AP1229" i="1" s="1"/>
  <c r="AP1230" i="1" s="1"/>
  <c r="AL2405" i="1"/>
  <c r="AP2405" i="1" s="1"/>
  <c r="AL2357" i="1"/>
  <c r="AP2357" i="1" s="1"/>
  <c r="AL2261" i="1"/>
  <c r="AP2261" i="1" s="1"/>
  <c r="AL2229" i="1"/>
  <c r="AL2197" i="1"/>
  <c r="AP2197" i="1" s="1"/>
  <c r="AL2149" i="1"/>
  <c r="AP2149" i="1" s="1"/>
  <c r="AL2133" i="1"/>
  <c r="AP2133" i="1" s="1"/>
  <c r="AL2101" i="1"/>
  <c r="AP2101" i="1" s="1"/>
  <c r="AL2021" i="1"/>
  <c r="AP2021" i="1" s="1"/>
  <c r="AL1989" i="1"/>
  <c r="AP1989" i="1" s="1"/>
  <c r="AL1941" i="1"/>
  <c r="AP1941" i="1" s="1"/>
  <c r="AL2356" i="1"/>
  <c r="AP2356" i="1" s="1"/>
  <c r="AL2324" i="1"/>
  <c r="AP2324" i="1" s="1"/>
  <c r="AL2276" i="1"/>
  <c r="AP2276" i="1" s="1"/>
  <c r="AL2260" i="1"/>
  <c r="AP2260" i="1" s="1"/>
  <c r="AL2228" i="1"/>
  <c r="AP2228" i="1" s="1"/>
  <c r="AL2148" i="1"/>
  <c r="AP2148" i="1" s="1"/>
  <c r="AL2132" i="1"/>
  <c r="AP2132" i="1" s="1"/>
  <c r="AL2100" i="1"/>
  <c r="AP2100" i="1" s="1"/>
  <c r="AL2068" i="1"/>
  <c r="AP2068" i="1" s="1"/>
  <c r="AL1972" i="1"/>
  <c r="AP1972" i="1" s="1"/>
  <c r="AL1876" i="1"/>
  <c r="AP1876" i="1" s="1"/>
  <c r="AL1860" i="1"/>
  <c r="AP1860" i="1" s="1"/>
  <c r="AL1780" i="1"/>
  <c r="AP1780" i="1" s="1"/>
  <c r="AL1764" i="1"/>
  <c r="AL1684" i="1"/>
  <c r="AP1684" i="1" s="1"/>
  <c r="AL1556" i="1"/>
  <c r="AP1556" i="1" s="1"/>
  <c r="AL1396" i="1"/>
  <c r="AP1396" i="1" s="1"/>
  <c r="AL1284" i="1"/>
  <c r="AP1284" i="1" s="1"/>
  <c r="AL1156" i="1"/>
  <c r="AP1156" i="1" s="1"/>
  <c r="AL1044" i="1"/>
  <c r="AL1012" i="1"/>
  <c r="AL2323" i="1"/>
  <c r="AP2323" i="1" s="1"/>
  <c r="AL2243" i="1"/>
  <c r="AP2243" i="1" s="1"/>
  <c r="AL2227" i="1"/>
  <c r="AP2227" i="1" s="1"/>
  <c r="AL2115" i="1"/>
  <c r="AP2115" i="1" s="1"/>
  <c r="AL2099" i="1"/>
  <c r="AP2099" i="1" s="1"/>
  <c r="AL2083" i="1"/>
  <c r="AP2083" i="1" s="1"/>
  <c r="AL2003" i="1"/>
  <c r="AP2003" i="1" s="1"/>
  <c r="AL1987" i="1"/>
  <c r="AP1987" i="1" s="1"/>
  <c r="AL1923" i="1"/>
  <c r="AP1923" i="1" s="1"/>
  <c r="AL1875" i="1"/>
  <c r="AP1875" i="1" s="1"/>
  <c r="AL1763" i="1"/>
  <c r="AP1763" i="1" s="1"/>
  <c r="AL1715" i="1"/>
  <c r="AP1715" i="1" s="1"/>
  <c r="AL1667" i="1"/>
  <c r="AP1667" i="1" s="1"/>
  <c r="AL1619" i="1"/>
  <c r="AP1619" i="1" s="1"/>
  <c r="AL1539" i="1"/>
  <c r="AP1539" i="1" s="1"/>
  <c r="AL1523" i="1"/>
  <c r="AP1523" i="1" s="1"/>
  <c r="AL1491" i="1"/>
  <c r="AP1491" i="1" s="1"/>
  <c r="AL1443" i="1"/>
  <c r="AL1283" i="1"/>
  <c r="AP1283" i="1" s="1"/>
  <c r="AL1203" i="1"/>
  <c r="AP1203" i="1" s="1"/>
  <c r="AL1552" i="1"/>
  <c r="AP1552" i="1" s="1"/>
  <c r="AJ1363" i="1"/>
  <c r="AL1363" i="1" s="1"/>
  <c r="AP1363" i="1" s="1"/>
  <c r="AL1362" i="1"/>
  <c r="AP1362" i="1" s="1"/>
  <c r="AL1169" i="1"/>
  <c r="AP1169" i="1" s="1"/>
  <c r="AP1170" i="1" s="1"/>
  <c r="AL2362" i="1"/>
  <c r="AP2362" i="1" s="1"/>
  <c r="AP2363" i="1" s="1"/>
  <c r="AL2266" i="1"/>
  <c r="AP2266" i="1" s="1"/>
  <c r="AL2202" i="1"/>
  <c r="AP2202" i="1" s="1"/>
  <c r="AL2106" i="1"/>
  <c r="AL2026" i="1"/>
  <c r="AP2026" i="1" s="1"/>
  <c r="AP2027" i="1" s="1"/>
  <c r="AL2296" i="1"/>
  <c r="AP2296" i="1" s="1"/>
  <c r="AL2280" i="1"/>
  <c r="AP2280" i="1" s="1"/>
  <c r="AL2008" i="1"/>
  <c r="AP2008" i="1" s="1"/>
  <c r="AL1896" i="1"/>
  <c r="AP1896" i="1" s="1"/>
  <c r="AL1608" i="1"/>
  <c r="AP1608" i="1" s="1"/>
  <c r="AL2375" i="1"/>
  <c r="AP2375" i="1" s="1"/>
  <c r="AL2359" i="1"/>
  <c r="AP2359" i="1" s="1"/>
  <c r="AL2406" i="1"/>
  <c r="AP2406" i="1" s="1"/>
  <c r="AL2358" i="1"/>
  <c r="AP2358" i="1" s="1"/>
  <c r="AL2182" i="1"/>
  <c r="AP2182" i="1" s="1"/>
  <c r="AL2134" i="1"/>
  <c r="AP2134" i="1" s="1"/>
  <c r="AL2086" i="1"/>
  <c r="AP2086" i="1" s="1"/>
  <c r="AL2070" i="1"/>
  <c r="AP2070" i="1" s="1"/>
  <c r="AL1910" i="1"/>
  <c r="AP1910" i="1" s="1"/>
  <c r="AL1862" i="1"/>
  <c r="AP1862" i="1" s="1"/>
  <c r="AL1574" i="1"/>
  <c r="AL1318" i="1"/>
  <c r="AP1318" i="1" s="1"/>
  <c r="AL1190" i="1"/>
  <c r="AP1190" i="1" s="1"/>
  <c r="AL1174" i="1"/>
  <c r="AL1158" i="1"/>
  <c r="AP1158" i="1" s="1"/>
  <c r="AL1781" i="1"/>
  <c r="AL1765" i="1"/>
  <c r="AP1765" i="1" s="1"/>
  <c r="AL1621" i="1"/>
  <c r="AP1621" i="1" s="1"/>
  <c r="AL1573" i="1"/>
  <c r="AP1573" i="1" s="1"/>
  <c r="AL1205" i="1"/>
  <c r="AP1205" i="1" s="1"/>
  <c r="AL1173" i="1"/>
  <c r="AP1173" i="1" s="1"/>
  <c r="AL1157" i="1"/>
  <c r="AP1157" i="1" s="1"/>
  <c r="AL1125" i="1"/>
  <c r="AL1061" i="1"/>
  <c r="AP1061" i="1" s="1"/>
  <c r="AL1045" i="1"/>
  <c r="AL1011" i="1"/>
  <c r="AP1011" i="1" s="1"/>
  <c r="AL883" i="1"/>
  <c r="AP883" i="1" s="1"/>
  <c r="AL2364" i="1"/>
  <c r="AP2364" i="1" s="1"/>
  <c r="AL2348" i="1"/>
  <c r="AP2348" i="1" s="1"/>
  <c r="AP2349" i="1" s="1"/>
  <c r="AL2316" i="1"/>
  <c r="AP2316" i="1" s="1"/>
  <c r="AL2204" i="1"/>
  <c r="AP2204" i="1" s="1"/>
  <c r="AL1674" i="1"/>
  <c r="AP1674" i="1" s="1"/>
  <c r="AP1675" i="1" s="1"/>
  <c r="AL1610" i="1"/>
  <c r="AP1610" i="1" s="1"/>
  <c r="AL1498" i="1"/>
  <c r="AP1498" i="1" s="1"/>
  <c r="AL1402" i="1"/>
  <c r="AP1402" i="1" s="1"/>
  <c r="AL1338" i="1"/>
  <c r="AP1338" i="1" s="1"/>
  <c r="AL1114" i="1"/>
  <c r="AP1114" i="1" s="1"/>
  <c r="AL1034" i="1"/>
  <c r="AP1034" i="1" s="1"/>
  <c r="AL2183" i="1"/>
  <c r="AP2183" i="1" s="1"/>
  <c r="AL2135" i="1"/>
  <c r="AL2119" i="1"/>
  <c r="AP2119" i="1" s="1"/>
  <c r="AL2087" i="1"/>
  <c r="AP2087" i="1" s="1"/>
  <c r="AL2071" i="1"/>
  <c r="AP2071" i="1" s="1"/>
  <c r="AL2055" i="1"/>
  <c r="AP2055" i="1" s="1"/>
  <c r="AL2023" i="1"/>
  <c r="AL1911" i="1"/>
  <c r="AP1911" i="1" s="1"/>
  <c r="AL1863" i="1"/>
  <c r="AP1863" i="1" s="1"/>
  <c r="AL1847" i="1"/>
  <c r="AP1847" i="1" s="1"/>
  <c r="AL1671" i="1"/>
  <c r="AP1671" i="1" s="1"/>
  <c r="AL1623" i="1"/>
  <c r="AP1623" i="1" s="1"/>
  <c r="AL1591" i="1"/>
  <c r="AP1591" i="1" s="1"/>
  <c r="AL1575" i="1"/>
  <c r="AP1575" i="1" s="1"/>
  <c r="AL1511" i="1"/>
  <c r="AP1511" i="1" s="1"/>
  <c r="AL1287" i="1"/>
  <c r="AP1287" i="1" s="1"/>
  <c r="AL1207" i="1"/>
  <c r="AP1207" i="1" s="1"/>
  <c r="AP1208" i="1" s="1"/>
  <c r="AL1191" i="1"/>
  <c r="AP1191" i="1" s="1"/>
  <c r="AL999" i="1"/>
  <c r="AP999" i="1" s="1"/>
  <c r="AL935" i="1"/>
  <c r="AP935" i="1" s="1"/>
  <c r="AL919" i="1"/>
  <c r="AL2108" i="1"/>
  <c r="AP2108" i="1" s="1"/>
  <c r="AL2028" i="1"/>
  <c r="AP2028" i="1" s="1"/>
  <c r="AL1996" i="1"/>
  <c r="AP1996" i="1" s="1"/>
  <c r="AL1964" i="1"/>
  <c r="AP1964" i="1" s="1"/>
  <c r="AL1788" i="1"/>
  <c r="AP1788" i="1" s="1"/>
  <c r="AL1772" i="1"/>
  <c r="AL1692" i="1"/>
  <c r="AL1676" i="1"/>
  <c r="AL1660" i="1"/>
  <c r="AP1660" i="1" s="1"/>
  <c r="AL1276" i="1"/>
  <c r="AP1276" i="1" s="1"/>
  <c r="AL1244" i="1"/>
  <c r="AL1196" i="1"/>
  <c r="AP1196" i="1" s="1"/>
  <c r="AL1180" i="1"/>
  <c r="AP1180" i="1" s="1"/>
  <c r="AL1132" i="1"/>
  <c r="AP1132" i="1" s="1"/>
  <c r="AL1116" i="1"/>
  <c r="AL1036" i="1"/>
  <c r="AP1036" i="1" s="1"/>
  <c r="AL924" i="1"/>
  <c r="AP924" i="1" s="1"/>
  <c r="AL892" i="1"/>
  <c r="AP892" i="1" s="1"/>
  <c r="AS87" i="8"/>
  <c r="AO75" i="8"/>
  <c r="AS75" i="8"/>
  <c r="AS62" i="8"/>
  <c r="AO62" i="8"/>
  <c r="AN62" i="8"/>
  <c r="AP62" i="8" s="1"/>
  <c r="AX62" i="8" s="1"/>
  <c r="AW62" i="8" s="1"/>
  <c r="AV40" i="8"/>
  <c r="AY40" i="8" s="1"/>
  <c r="AQ40" i="8"/>
  <c r="AN101" i="8"/>
  <c r="AP101" i="8" s="1"/>
  <c r="AX101" i="8" s="1"/>
  <c r="AW101" i="8" s="1"/>
  <c r="AO101" i="8"/>
  <c r="AS101" i="8"/>
  <c r="AV65" i="8"/>
  <c r="AY65" i="8" s="1"/>
  <c r="AQ65" i="8"/>
  <c r="AV8" i="8"/>
  <c r="AY8" i="8" s="1"/>
  <c r="AQ8" i="8"/>
  <c r="AR99" i="8"/>
  <c r="AR84" i="8"/>
  <c r="AI80" i="8"/>
  <c r="AQ26" i="8"/>
  <c r="AV26" i="8"/>
  <c r="AY26" i="8" s="1"/>
  <c r="AV20" i="8"/>
  <c r="AY20" i="8" s="1"/>
  <c r="AQ20" i="8"/>
  <c r="AV106" i="8"/>
  <c r="AY106" i="8" s="1"/>
  <c r="AQ106" i="8"/>
  <c r="AO68" i="8"/>
  <c r="AN68" i="8"/>
  <c r="AP68" i="8" s="1"/>
  <c r="AX68" i="8" s="1"/>
  <c r="AW68" i="8" s="1"/>
  <c r="AS68" i="8"/>
  <c r="AR52" i="8"/>
  <c r="AO52" i="8"/>
  <c r="AN50" i="8"/>
  <c r="AP50" i="8" s="1"/>
  <c r="AX50" i="8" s="1"/>
  <c r="AW50" i="8" s="1"/>
  <c r="AO50" i="8"/>
  <c r="AR50" i="8" s="1"/>
  <c r="AN102" i="8"/>
  <c r="AP102" i="8" s="1"/>
  <c r="AX102" i="8" s="1"/>
  <c r="AW102" i="8" s="1"/>
  <c r="AS100" i="8"/>
  <c r="AO76" i="8"/>
  <c r="AN76" i="8"/>
  <c r="AP76" i="8" s="1"/>
  <c r="AX76" i="8" s="1"/>
  <c r="AW76" i="8" s="1"/>
  <c r="AR68" i="8"/>
  <c r="AR38" i="8"/>
  <c r="AO38" i="8"/>
  <c r="AS38" i="8"/>
  <c r="AO78" i="8"/>
  <c r="AS78" i="8"/>
  <c r="AS46" i="8"/>
  <c r="AO46" i="8"/>
  <c r="AN46" i="8"/>
  <c r="AP46" i="8" s="1"/>
  <c r="AX46" i="8" s="1"/>
  <c r="AW46" i="8" s="1"/>
  <c r="AO102" i="8"/>
  <c r="AS83" i="8"/>
  <c r="AS55" i="8"/>
  <c r="AO55" i="8"/>
  <c r="AN55" i="8"/>
  <c r="AP55" i="8" s="1"/>
  <c r="AX55" i="8" s="1"/>
  <c r="AW55" i="8" s="1"/>
  <c r="AO85" i="8"/>
  <c r="AR85" i="8"/>
  <c r="AQ79" i="8"/>
  <c r="AV79" i="8"/>
  <c r="AY79" i="8" s="1"/>
  <c r="AV89" i="8"/>
  <c r="AY89" i="8" s="1"/>
  <c r="AQ89" i="8"/>
  <c r="AQ86" i="8"/>
  <c r="AR37" i="8"/>
  <c r="AS37" i="8"/>
  <c r="AO11" i="8"/>
  <c r="AS11" i="8"/>
  <c r="AN11" i="8"/>
  <c r="AP11" i="8" s="1"/>
  <c r="AX11" i="8" s="1"/>
  <c r="AW11" i="8" s="1"/>
  <c r="AV98" i="8"/>
  <c r="AY98" i="8" s="1"/>
  <c r="AQ98" i="8"/>
  <c r="AR83" i="8"/>
  <c r="AN83" i="8"/>
  <c r="AP83" i="8" s="1"/>
  <c r="AX83" i="8" s="1"/>
  <c r="AW83" i="8" s="1"/>
  <c r="AO83" i="8"/>
  <c r="AN75" i="8"/>
  <c r="AP75" i="8" s="1"/>
  <c r="AX75" i="8" s="1"/>
  <c r="AW75" i="8" s="1"/>
  <c r="AR58" i="8"/>
  <c r="AX40" i="8"/>
  <c r="AW40" i="8" s="1"/>
  <c r="AR40" i="8"/>
  <c r="AN99" i="8"/>
  <c r="AP99" i="8" s="1"/>
  <c r="AX99" i="8" s="1"/>
  <c r="AW99" i="8" s="1"/>
  <c r="AS99" i="8"/>
  <c r="AO99" i="8"/>
  <c r="AN69" i="8"/>
  <c r="AP69" i="8" s="1"/>
  <c r="AX69" i="8" s="1"/>
  <c r="AW69" i="8" s="1"/>
  <c r="AO69" i="8"/>
  <c r="AS69" i="8"/>
  <c r="AN100" i="8"/>
  <c r="AP100" i="8" s="1"/>
  <c r="AX100" i="8" s="1"/>
  <c r="AW100" i="8" s="1"/>
  <c r="AO100" i="8"/>
  <c r="AR88" i="8"/>
  <c r="AS84" i="8"/>
  <c r="AO84" i="8"/>
  <c r="AQ77" i="8"/>
  <c r="AO96" i="8"/>
  <c r="AS93" i="8"/>
  <c r="AR78" i="8"/>
  <c r="AS66" i="8"/>
  <c r="AO66" i="8"/>
  <c r="AN29" i="8"/>
  <c r="AP29" i="8" s="1"/>
  <c r="AX29" i="8" s="1"/>
  <c r="AW29" i="8" s="1"/>
  <c r="AO29" i="8"/>
  <c r="AR29" i="8"/>
  <c r="AR14" i="8"/>
  <c r="AN14" i="8"/>
  <c r="AP14" i="8" s="1"/>
  <c r="AX14" i="8" s="1"/>
  <c r="AW14" i="8" s="1"/>
  <c r="AN96" i="8"/>
  <c r="AP96" i="8" s="1"/>
  <c r="AX96" i="8" s="1"/>
  <c r="AW96" i="8" s="1"/>
  <c r="AR93" i="8"/>
  <c r="AS92" i="8"/>
  <c r="AO48" i="8"/>
  <c r="AR27" i="8"/>
  <c r="AN27" i="8"/>
  <c r="AP27" i="8" s="1"/>
  <c r="AX27" i="8" s="1"/>
  <c r="AW27" i="8" s="1"/>
  <c r="AS105" i="8"/>
  <c r="AN105" i="8"/>
  <c r="AP105" i="8" s="1"/>
  <c r="AX105" i="8" s="1"/>
  <c r="AW105" i="8" s="1"/>
  <c r="AR92" i="8"/>
  <c r="AS89" i="8"/>
  <c r="AR66" i="8"/>
  <c r="AV36" i="8"/>
  <c r="AY36" i="8" s="1"/>
  <c r="AQ36" i="8"/>
  <c r="AO12" i="8"/>
  <c r="AS12" i="8"/>
  <c r="AN12" i="8"/>
  <c r="AP12" i="8" s="1"/>
  <c r="AX12" i="8" s="1"/>
  <c r="AW12" i="8" s="1"/>
  <c r="AS9" i="8"/>
  <c r="AO9" i="8"/>
  <c r="AS94" i="8"/>
  <c r="AO93" i="8"/>
  <c r="AS79" i="8"/>
  <c r="AN79" i="8"/>
  <c r="AP79" i="8" s="1"/>
  <c r="AX79" i="8" s="1"/>
  <c r="AW79" i="8" s="1"/>
  <c r="AN51" i="8"/>
  <c r="AP51" i="8" s="1"/>
  <c r="AX51" i="8" s="1"/>
  <c r="AW51" i="8" s="1"/>
  <c r="AO51" i="8"/>
  <c r="AV41" i="8"/>
  <c r="AY41" i="8" s="1"/>
  <c r="AQ41" i="8"/>
  <c r="AQ33" i="8"/>
  <c r="AV33" i="8"/>
  <c r="AY33" i="8" s="1"/>
  <c r="AN25" i="8"/>
  <c r="AP25" i="8" s="1"/>
  <c r="AX25" i="8" s="1"/>
  <c r="AW25" i="8" s="1"/>
  <c r="AO25" i="8"/>
  <c r="AO97" i="8"/>
  <c r="AR97" i="8"/>
  <c r="AO90" i="8"/>
  <c r="AS90" i="8"/>
  <c r="AR79" i="8"/>
  <c r="AI66" i="8"/>
  <c r="AV39" i="8"/>
  <c r="AY39" i="8" s="1"/>
  <c r="AQ39" i="8"/>
  <c r="AI17" i="8"/>
  <c r="AR12" i="8"/>
  <c r="AN103" i="8"/>
  <c r="AP103" i="8" s="1"/>
  <c r="AX103" i="8" s="1"/>
  <c r="AW103" i="8" s="1"/>
  <c r="AO103" i="8"/>
  <c r="AR90" i="8"/>
  <c r="AS64" i="8"/>
  <c r="AN64" i="8"/>
  <c r="AP64" i="8" s="1"/>
  <c r="AX64" i="8" s="1"/>
  <c r="AW64" i="8" s="1"/>
  <c r="AO64" i="8"/>
  <c r="AI60" i="8"/>
  <c r="AS39" i="8"/>
  <c r="AS102" i="8"/>
  <c r="AO94" i="8"/>
  <c r="AR94" i="8"/>
  <c r="AQ73" i="8"/>
  <c r="AO72" i="8"/>
  <c r="AN72" i="8"/>
  <c r="AP72" i="8" s="1"/>
  <c r="AX72" i="8" s="1"/>
  <c r="AW72" i="8" s="1"/>
  <c r="AR72" i="8"/>
  <c r="AN67" i="8"/>
  <c r="AP67" i="8" s="1"/>
  <c r="AX67" i="8" s="1"/>
  <c r="AW67" i="8" s="1"/>
  <c r="AO67" i="8"/>
  <c r="AR67" i="8"/>
  <c r="AS67" i="8"/>
  <c r="AS52" i="8"/>
  <c r="AN52" i="8"/>
  <c r="AP52" i="8" s="1"/>
  <c r="AX52" i="8" s="1"/>
  <c r="AW52" i="8" s="1"/>
  <c r="AN84" i="8"/>
  <c r="AP84" i="8" s="1"/>
  <c r="AX84" i="8" s="1"/>
  <c r="AW84" i="8" s="1"/>
  <c r="AN61" i="8"/>
  <c r="AP61" i="8" s="1"/>
  <c r="AX61" i="8" s="1"/>
  <c r="AW61" i="8" s="1"/>
  <c r="AO61" i="8"/>
  <c r="AS61" i="8"/>
  <c r="AQ42" i="8"/>
  <c r="AV42" i="8"/>
  <c r="AY42" i="8" s="1"/>
  <c r="AS34" i="8"/>
  <c r="AO34" i="8"/>
  <c r="AR34" i="8"/>
  <c r="AN23" i="8"/>
  <c r="AP23" i="8" s="1"/>
  <c r="AX23" i="8" s="1"/>
  <c r="AW23" i="8" s="1"/>
  <c r="AO23" i="8"/>
  <c r="AR103" i="8"/>
  <c r="AN85" i="8"/>
  <c r="AP85" i="8" s="1"/>
  <c r="AX85" i="8" s="1"/>
  <c r="AW85" i="8" s="1"/>
  <c r="AR71" i="8"/>
  <c r="AN71" i="8"/>
  <c r="AP71" i="8" s="1"/>
  <c r="AX71" i="8" s="1"/>
  <c r="AW71" i="8" s="1"/>
  <c r="AO60" i="8"/>
  <c r="AS60" i="8"/>
  <c r="AN60" i="8"/>
  <c r="AP60" i="8" s="1"/>
  <c r="AX60" i="8" s="1"/>
  <c r="AW60" i="8" s="1"/>
  <c r="AR11" i="8"/>
  <c r="AN42" i="8"/>
  <c r="AP42" i="8" s="1"/>
  <c r="AX42" i="8" s="1"/>
  <c r="AW42" i="8" s="1"/>
  <c r="AR42" i="8"/>
  <c r="AS42" i="8"/>
  <c r="AN26" i="8"/>
  <c r="AP26" i="8" s="1"/>
  <c r="AX26" i="8" s="1"/>
  <c r="AW26" i="8" s="1"/>
  <c r="AS26" i="8"/>
  <c r="AQ13" i="8"/>
  <c r="AV13" i="8"/>
  <c r="AY13" i="8" s="1"/>
  <c r="AN53" i="8"/>
  <c r="AP53" i="8" s="1"/>
  <c r="AX53" i="8" s="1"/>
  <c r="AW53" i="8" s="1"/>
  <c r="AO53" i="8"/>
  <c r="AI46" i="8"/>
  <c r="AR39" i="8"/>
  <c r="AO92" i="8"/>
  <c r="AI89" i="8"/>
  <c r="AO87" i="8"/>
  <c r="AS82" i="8"/>
  <c r="AO82" i="8"/>
  <c r="AR70" i="8"/>
  <c r="AR53" i="8"/>
  <c r="AS50" i="8"/>
  <c r="AI39" i="8"/>
  <c r="AS27" i="8"/>
  <c r="AO27" i="8"/>
  <c r="AR13" i="8"/>
  <c r="AN13" i="8"/>
  <c r="AP13" i="8" s="1"/>
  <c r="AX13" i="8" s="1"/>
  <c r="AW13" i="8" s="1"/>
  <c r="AS7" i="8"/>
  <c r="AO7" i="8"/>
  <c r="AI88" i="8"/>
  <c r="AR87" i="8"/>
  <c r="AS85" i="8"/>
  <c r="AR82" i="8"/>
  <c r="AR80" i="8"/>
  <c r="AS63" i="8"/>
  <c r="AS57" i="8"/>
  <c r="AN57" i="8"/>
  <c r="AP57" i="8" s="1"/>
  <c r="AX57" i="8" s="1"/>
  <c r="AW57" i="8" s="1"/>
  <c r="AO57" i="8"/>
  <c r="AI56" i="8"/>
  <c r="AI49" i="8"/>
  <c r="AR43" i="8"/>
  <c r="AQ10" i="8"/>
  <c r="AV10" i="8"/>
  <c r="AY10" i="8" s="1"/>
  <c r="AR7" i="8"/>
  <c r="AO71" i="8"/>
  <c r="AR69" i="8"/>
  <c r="AN70" i="8"/>
  <c r="AP70" i="8" s="1"/>
  <c r="AX70" i="8" s="1"/>
  <c r="AW70" i="8" s="1"/>
  <c r="AS70" i="8"/>
  <c r="AR57" i="8"/>
  <c r="AR54" i="8"/>
  <c r="AS54" i="8"/>
  <c r="AO54" i="8"/>
  <c r="AN37" i="8"/>
  <c r="AP37" i="8" s="1"/>
  <c r="AX37" i="8" s="1"/>
  <c r="AW37" i="8" s="1"/>
  <c r="AO37" i="8"/>
  <c r="AO28" i="8"/>
  <c r="AS28" i="8"/>
  <c r="AN28" i="8"/>
  <c r="AP28" i="8" s="1"/>
  <c r="AX28" i="8" s="1"/>
  <c r="AW28" i="8" s="1"/>
  <c r="AS41" i="8"/>
  <c r="AN41" i="8"/>
  <c r="AP41" i="8" s="1"/>
  <c r="AX41" i="8" s="1"/>
  <c r="AW41" i="8" s="1"/>
  <c r="AS14" i="8"/>
  <c r="AO14" i="8"/>
  <c r="AR30" i="8"/>
  <c r="AR16" i="8"/>
  <c r="AS25" i="8"/>
  <c r="AR18" i="8"/>
  <c r="AR9" i="8"/>
  <c r="AR25" i="8"/>
  <c r="AS23" i="8"/>
  <c r="AN63" i="8"/>
  <c r="AP63" i="8" s="1"/>
  <c r="AX63" i="8" s="1"/>
  <c r="AW63" i="8" s="1"/>
  <c r="AS43" i="8"/>
  <c r="AN35" i="8"/>
  <c r="AP35" i="8" s="1"/>
  <c r="AX35" i="8" s="1"/>
  <c r="AW35" i="8" s="1"/>
  <c r="AO35" i="8"/>
  <c r="AR35" i="8"/>
  <c r="AN32" i="8"/>
  <c r="AP32" i="8" s="1"/>
  <c r="AX32" i="8" s="1"/>
  <c r="AW32" i="8" s="1"/>
  <c r="AR23" i="8"/>
  <c r="AN21" i="8"/>
  <c r="AP21" i="8" s="1"/>
  <c r="AX21" i="8" s="1"/>
  <c r="AW21" i="8" s="1"/>
  <c r="AO21" i="8"/>
  <c r="AR62" i="8"/>
  <c r="AS58" i="8"/>
  <c r="AR48" i="8"/>
  <c r="AN4" i="8"/>
  <c r="AP4" i="8" s="1"/>
  <c r="AX4" i="8" s="1"/>
  <c r="AW4" i="8" s="1"/>
  <c r="AO4" i="8"/>
  <c r="AI24" i="8"/>
  <c r="AR21" i="8"/>
  <c r="AS18" i="8"/>
  <c r="AO16" i="8"/>
  <c r="AS6" i="8"/>
  <c r="AR73" i="8"/>
  <c r="AN30" i="8"/>
  <c r="AP30" i="8" s="1"/>
  <c r="AX30" i="8" s="1"/>
  <c r="AW30" i="8" s="1"/>
  <c r="AN19" i="8"/>
  <c r="AP19" i="8" s="1"/>
  <c r="AX19" i="8" s="1"/>
  <c r="AW19" i="8" s="1"/>
  <c r="AO19" i="8"/>
  <c r="AR19" i="8"/>
  <c r="AO43" i="8"/>
  <c r="AR32" i="8"/>
  <c r="AO6" i="8"/>
  <c r="AN5" i="8"/>
  <c r="AP5" i="8" s="1"/>
  <c r="AX5" i="8" s="1"/>
  <c r="AW5" i="8" s="1"/>
  <c r="AO5" i="8"/>
  <c r="AO58" i="8"/>
  <c r="AO44" i="8"/>
  <c r="AS44" i="8"/>
  <c r="AN44" i="8"/>
  <c r="AP44" i="8" s="1"/>
  <c r="AX44" i="8" s="1"/>
  <c r="AW44" i="8" s="1"/>
  <c r="AS30" i="8"/>
  <c r="AO30" i="8"/>
  <c r="AS16" i="8"/>
  <c r="AN6" i="8"/>
  <c r="AP6" i="8" s="1"/>
  <c r="AX6" i="8" s="1"/>
  <c r="AW6" i="8" s="1"/>
  <c r="AO1050" i="1"/>
  <c r="AS1050" i="1" s="1"/>
  <c r="AO2138" i="1"/>
  <c r="AS2138" i="1" s="1"/>
  <c r="AO1850" i="1"/>
  <c r="AS1850" i="1" s="1"/>
  <c r="AS1851" i="1" s="1"/>
  <c r="AO1626" i="1"/>
  <c r="AS1626" i="1" s="1"/>
  <c r="AO1274" i="1"/>
  <c r="AS1274" i="1" s="1"/>
  <c r="AS1275" i="1" s="1"/>
  <c r="AS2391" i="1"/>
  <c r="AS2392" i="1" s="1"/>
  <c r="AS2244" i="1"/>
  <c r="AS2245" i="1" s="1"/>
  <c r="AS1743" i="1"/>
  <c r="AS1744" i="1" s="1"/>
  <c r="AS1666" i="1"/>
  <c r="AS1667" i="1" s="1"/>
  <c r="AS1668" i="1" s="1"/>
  <c r="AS1669" i="1" s="1"/>
  <c r="AS1670" i="1" s="1"/>
  <c r="AO1916" i="1"/>
  <c r="AS1916" i="1" s="1"/>
  <c r="AS1917" i="1" s="1"/>
  <c r="AS1918" i="1" s="1"/>
  <c r="AO1804" i="1"/>
  <c r="AO1452" i="1"/>
  <c r="AS1452" i="1" s="1"/>
  <c r="AO1228" i="1"/>
  <c r="AS1228" i="1" s="1"/>
  <c r="AO1068" i="1"/>
  <c r="AS1068" i="1" s="1"/>
  <c r="AL940" i="1"/>
  <c r="AP940" i="1" s="1"/>
  <c r="AO940" i="1"/>
  <c r="AS940" i="1" s="1"/>
  <c r="AS941" i="1" s="1"/>
  <c r="AS942" i="1" s="1"/>
  <c r="AO1066" i="1"/>
  <c r="AS1066" i="1" s="1"/>
  <c r="AO2378" i="1"/>
  <c r="AS2378" i="1" s="1"/>
  <c r="AO2154" i="1"/>
  <c r="AS2154" i="1" s="1"/>
  <c r="AS2155" i="1" s="1"/>
  <c r="AO1946" i="1"/>
  <c r="AO1219" i="1"/>
  <c r="AS1218" i="1"/>
  <c r="AO954" i="1"/>
  <c r="AS954" i="1" s="1"/>
  <c r="AS2071" i="1"/>
  <c r="AS2072" i="1" s="1"/>
  <c r="AS2073" i="1" s="1"/>
  <c r="AO2282" i="1"/>
  <c r="AS2282" i="1" s="1"/>
  <c r="AO2010" i="1"/>
  <c r="AS2010" i="1" s="1"/>
  <c r="AO1490" i="1"/>
  <c r="AO1491" i="1" s="1"/>
  <c r="AO1492" i="1" s="1"/>
  <c r="AS1489" i="1"/>
  <c r="AO1450" i="1"/>
  <c r="AS1450" i="1" s="1"/>
  <c r="AS1451" i="1" s="1"/>
  <c r="AO1290" i="1"/>
  <c r="AS1290" i="1" s="1"/>
  <c r="AS1291" i="1" s="1"/>
  <c r="AS1198" i="1"/>
  <c r="AO1178" i="1"/>
  <c r="AS1178" i="1" s="1"/>
  <c r="AS2316" i="1"/>
  <c r="AS2292" i="1"/>
  <c r="AS2293" i="1" s="1"/>
  <c r="AS1711" i="1"/>
  <c r="AS1442" i="1"/>
  <c r="AS1443" i="1" s="1"/>
  <c r="AS1026" i="1"/>
  <c r="AS1027" i="1" s="1"/>
  <c r="AO2117" i="1"/>
  <c r="AS2116" i="1"/>
  <c r="AO2394" i="1"/>
  <c r="AS2046" i="1"/>
  <c r="AS1959" i="1"/>
  <c r="AS1007" i="1"/>
  <c r="AS1008" i="1" s="1"/>
  <c r="AO2057" i="1"/>
  <c r="AS2057" i="1" s="1"/>
  <c r="AO1977" i="1"/>
  <c r="AO1785" i="1"/>
  <c r="AO1433" i="1"/>
  <c r="AS1433" i="1" s="1"/>
  <c r="AO1369" i="1"/>
  <c r="AS1369" i="1" s="1"/>
  <c r="AO1209" i="1"/>
  <c r="AS1209" i="1" s="1"/>
  <c r="AO1193" i="1"/>
  <c r="AS1193" i="1" s="1"/>
  <c r="AO1648" i="1"/>
  <c r="AS1647" i="1"/>
  <c r="AO1600" i="1"/>
  <c r="AS1599" i="1"/>
  <c r="AO2298" i="1"/>
  <c r="AS2298" i="1" s="1"/>
  <c r="AS1524" i="1"/>
  <c r="AS1525" i="1" s="1"/>
  <c r="AO1624" i="1"/>
  <c r="AS1624" i="1" s="1"/>
  <c r="AO1528" i="1"/>
  <c r="AS1528" i="1" s="1"/>
  <c r="AO1352" i="1"/>
  <c r="AS1352" i="1" s="1"/>
  <c r="AO1336" i="1"/>
  <c r="AO1337" i="1" s="1"/>
  <c r="AS1337" i="1" s="1"/>
  <c r="AL1048" i="1"/>
  <c r="AP1048" i="1" s="1"/>
  <c r="AO1048" i="1"/>
  <c r="AS1048" i="1" s="1"/>
  <c r="AO1032" i="1"/>
  <c r="AS1032" i="1" s="1"/>
  <c r="AO920" i="1"/>
  <c r="AS920" i="1" s="1"/>
  <c r="AO938" i="1"/>
  <c r="AS938" i="1" s="1"/>
  <c r="AS2152" i="1"/>
  <c r="AO2170" i="1"/>
  <c r="AS2170" i="1" s="1"/>
  <c r="AS2171" i="1" s="1"/>
  <c r="AO1546" i="1"/>
  <c r="AS1546" i="1" s="1"/>
  <c r="AO986" i="1"/>
  <c r="AS986" i="1" s="1"/>
  <c r="AS987" i="1" s="1"/>
  <c r="AO2090" i="1"/>
  <c r="AS2090" i="1" s="1"/>
  <c r="AO1882" i="1"/>
  <c r="AS1882" i="1" s="1"/>
  <c r="AO1788" i="1"/>
  <c r="AS1788" i="1" s="1"/>
  <c r="AS1787" i="1"/>
  <c r="AO1618" i="1"/>
  <c r="AS1617" i="1"/>
  <c r="AO1466" i="1"/>
  <c r="AS1466" i="1" s="1"/>
  <c r="AS1467" i="1" s="1"/>
  <c r="AO1322" i="1"/>
  <c r="AS1322" i="1" s="1"/>
  <c r="AO1192" i="1"/>
  <c r="AS1191" i="1"/>
  <c r="AO1043" i="1"/>
  <c r="AS1042" i="1"/>
  <c r="AO906" i="1"/>
  <c r="AS906" i="1" s="1"/>
  <c r="AS2230" i="1"/>
  <c r="AS1620" i="1"/>
  <c r="AS1621" i="1" s="1"/>
  <c r="AO1879" i="1"/>
  <c r="AS1879" i="1" s="1"/>
  <c r="AO1767" i="1"/>
  <c r="AS1767" i="1" s="1"/>
  <c r="AL1319" i="1"/>
  <c r="AP1319" i="1" s="1"/>
  <c r="AO1319" i="1"/>
  <c r="AS1319" i="1" s="1"/>
  <c r="AO1175" i="1"/>
  <c r="AS1175" i="1" s="1"/>
  <c r="AS1176" i="1" s="1"/>
  <c r="AL1015" i="1"/>
  <c r="AP1015" i="1" s="1"/>
  <c r="AO1015" i="1"/>
  <c r="AS1015" i="1" s="1"/>
  <c r="AS2009" i="1"/>
  <c r="AO1866" i="1"/>
  <c r="AS1866" i="1" s="1"/>
  <c r="AS1867" i="1" s="1"/>
  <c r="AO1448" i="1"/>
  <c r="AS1448" i="1" s="1"/>
  <c r="AS1447" i="1"/>
  <c r="AO1306" i="1"/>
  <c r="AS1306" i="1" s="1"/>
  <c r="AO1642" i="1"/>
  <c r="AS1642" i="1" s="1"/>
  <c r="AO1402" i="1"/>
  <c r="AS1402" i="1" s="1"/>
  <c r="AO970" i="1"/>
  <c r="AS970" i="1" s="1"/>
  <c r="AO890" i="1"/>
  <c r="AS890" i="1" s="1"/>
  <c r="AS2225" i="1"/>
  <c r="AO2314" i="1"/>
  <c r="AS1902" i="1"/>
  <c r="AS1903" i="1" s="1"/>
  <c r="AO1544" i="1"/>
  <c r="AS1543" i="1"/>
  <c r="AO1232" i="1"/>
  <c r="AS1231" i="1"/>
  <c r="AO1120" i="1"/>
  <c r="AS1119" i="1"/>
  <c r="AO1082" i="1"/>
  <c r="AS1082" i="1" s="1"/>
  <c r="AS1083" i="1" s="1"/>
  <c r="AO928" i="1"/>
  <c r="AS927" i="1"/>
  <c r="AS2182" i="1"/>
  <c r="AS2103" i="1"/>
  <c r="AS2104" i="1" s="1"/>
  <c r="AS1983" i="1"/>
  <c r="AS1945" i="1"/>
  <c r="AS1651" i="1"/>
  <c r="AS1479" i="1"/>
  <c r="AS1480" i="1" s="1"/>
  <c r="AS1481" i="1" s="1"/>
  <c r="AS1407" i="1"/>
  <c r="AS1408" i="1" s="1"/>
  <c r="AS1375" i="1"/>
  <c r="AS1376" i="1" s="1"/>
  <c r="AS1236" i="1"/>
  <c r="AS1237" i="1" s="1"/>
  <c r="AO1898" i="1"/>
  <c r="AS1898" i="1" s="1"/>
  <c r="AO1706" i="1"/>
  <c r="AS1706" i="1" s="1"/>
  <c r="AS1707" i="1" s="1"/>
  <c r="AS1708" i="1" s="1"/>
  <c r="AL1690" i="1"/>
  <c r="AP1690" i="1" s="1"/>
  <c r="AP1691" i="1" s="1"/>
  <c r="AO1690" i="1"/>
  <c r="AS1690" i="1" s="1"/>
  <c r="AS1691" i="1" s="1"/>
  <c r="AS1692" i="1" s="1"/>
  <c r="AL1386" i="1"/>
  <c r="AP1386" i="1" s="1"/>
  <c r="AO1386" i="1"/>
  <c r="AS1386" i="1" s="1"/>
  <c r="AS1387" i="1" s="1"/>
  <c r="AO2135" i="1"/>
  <c r="AS2134" i="1"/>
  <c r="AO1562" i="1"/>
  <c r="AS1562" i="1" s="1"/>
  <c r="AO1194" i="1"/>
  <c r="AS1006" i="1"/>
  <c r="AS2395" i="1"/>
  <c r="AS2353" i="1"/>
  <c r="AS2354" i="1" s="1"/>
  <c r="AO2410" i="1"/>
  <c r="AS2410" i="1" s="1"/>
  <c r="AS2411" i="1" s="1"/>
  <c r="AO2186" i="1"/>
  <c r="AS2186" i="1" s="1"/>
  <c r="AO2087" i="1"/>
  <c r="AO2088" i="1" s="1"/>
  <c r="AS2086" i="1"/>
  <c r="AO2026" i="1"/>
  <c r="AS2025" i="1"/>
  <c r="AO1578" i="1"/>
  <c r="AS1578" i="1" s="1"/>
  <c r="AO2202" i="1"/>
  <c r="AS2202" i="1" s="1"/>
  <c r="AS2129" i="1"/>
  <c r="AO1962" i="1"/>
  <c r="AS1962" i="1" s="1"/>
  <c r="AS1963" i="1" s="1"/>
  <c r="AS1939" i="1"/>
  <c r="AS1940" i="1" s="1"/>
  <c r="AO1920" i="1"/>
  <c r="AO1921" i="1" s="1"/>
  <c r="AS1919" i="1"/>
  <c r="AO1520" i="1"/>
  <c r="AS1519" i="1"/>
  <c r="AO1210" i="1"/>
  <c r="AS1210" i="1" s="1"/>
  <c r="AO1002" i="1"/>
  <c r="AS1002" i="1" s="1"/>
  <c r="AO925" i="1"/>
  <c r="AO926" i="1" s="1"/>
  <c r="AS924" i="1"/>
  <c r="AS2223" i="1"/>
  <c r="AS2114" i="1"/>
  <c r="AS2115" i="1" s="1"/>
  <c r="AS1644" i="1"/>
  <c r="AS1645" i="1" s="1"/>
  <c r="AS1646" i="1" s="1"/>
  <c r="AS1638" i="1"/>
  <c r="AS1601" i="1"/>
  <c r="AO1981" i="1"/>
  <c r="AS1981" i="1" s="1"/>
  <c r="AS1982" i="1" s="1"/>
  <c r="AS1980" i="1"/>
  <c r="AO922" i="1"/>
  <c r="AS922" i="1" s="1"/>
  <c r="AS2313" i="1"/>
  <c r="AS2145" i="1"/>
  <c r="AS2012" i="1"/>
  <c r="AS2013" i="1" s="1"/>
  <c r="AS2006" i="1"/>
  <c r="AS1682" i="1"/>
  <c r="AS1683" i="1" s="1"/>
  <c r="AS1362" i="1"/>
  <c r="AS1363" i="1" s="1"/>
  <c r="AO2042" i="1"/>
  <c r="AO1338" i="1"/>
  <c r="AS1338" i="1" s="1"/>
  <c r="AO1266" i="1"/>
  <c r="AS1266" i="1" s="1"/>
  <c r="AS1265" i="1"/>
  <c r="AO1061" i="1"/>
  <c r="AS1060" i="1"/>
  <c r="AO2330" i="1"/>
  <c r="AO1781" i="1"/>
  <c r="AS1780" i="1"/>
  <c r="AO2426" i="1"/>
  <c r="AS2426" i="1" s="1"/>
  <c r="AO2345" i="1"/>
  <c r="AS2345" i="1" s="1"/>
  <c r="AO2217" i="1"/>
  <c r="AO2105" i="1"/>
  <c r="AO2080" i="1"/>
  <c r="AS2079" i="1"/>
  <c r="AO2060" i="1"/>
  <c r="AO2039" i="1"/>
  <c r="AS2039" i="1" s="1"/>
  <c r="AO1896" i="1"/>
  <c r="AS1896" i="1" s="1"/>
  <c r="AS1838" i="1"/>
  <c r="AS1822" i="1"/>
  <c r="AO1800" i="1"/>
  <c r="AS1800" i="1" s="1"/>
  <c r="AO1720" i="1"/>
  <c r="AS1720" i="1" s="1"/>
  <c r="AO1660" i="1"/>
  <c r="AS1660" i="1" s="1"/>
  <c r="AO1592" i="1"/>
  <c r="AS1592" i="1" s="1"/>
  <c r="AO1418" i="1"/>
  <c r="AO1354" i="1"/>
  <c r="AS1354" i="1" s="1"/>
  <c r="AS1355" i="1" s="1"/>
  <c r="AO1226" i="1"/>
  <c r="AS1226" i="1" s="1"/>
  <c r="AO1205" i="1"/>
  <c r="AS1204" i="1"/>
  <c r="AO1114" i="1"/>
  <c r="AS1114" i="1" s="1"/>
  <c r="AS1115" i="1" s="1"/>
  <c r="AS1116" i="1" s="1"/>
  <c r="AO963" i="1"/>
  <c r="AS962" i="1"/>
  <c r="AS2271" i="1"/>
  <c r="AS2272" i="1" s="1"/>
  <c r="AS2228" i="1"/>
  <c r="AS2229" i="1" s="1"/>
  <c r="AS2162" i="1"/>
  <c r="AS2163" i="1" s="1"/>
  <c r="AS2164" i="1" s="1"/>
  <c r="AS1643" i="1"/>
  <c r="AS1412" i="1"/>
  <c r="AS1413" i="1" s="1"/>
  <c r="AS1414" i="1" s="1"/>
  <c r="AO1722" i="1"/>
  <c r="AS1722" i="1" s="1"/>
  <c r="AO1594" i="1"/>
  <c r="AS1594" i="1" s="1"/>
  <c r="AO1482" i="1"/>
  <c r="AS1482" i="1" s="1"/>
  <c r="AS1483" i="1" s="1"/>
  <c r="AS2356" i="1"/>
  <c r="AS2357" i="1" s="1"/>
  <c r="AS2319" i="1"/>
  <c r="AS2320" i="1" s="1"/>
  <c r="AO2425" i="1"/>
  <c r="AS2425" i="1" s="1"/>
  <c r="AO2364" i="1"/>
  <c r="AS2364" i="1" s="1"/>
  <c r="AO2344" i="1"/>
  <c r="AS2344" i="1" s="1"/>
  <c r="AO2327" i="1"/>
  <c r="AS2327" i="1" s="1"/>
  <c r="AO2236" i="1"/>
  <c r="AS2236" i="1" s="1"/>
  <c r="AS2237" i="1" s="1"/>
  <c r="AO2216" i="1"/>
  <c r="AS2216" i="1" s="1"/>
  <c r="AO2124" i="1"/>
  <c r="AS2124" i="1" s="1"/>
  <c r="AS2125" i="1" s="1"/>
  <c r="AO2058" i="1"/>
  <c r="AS2058" i="1" s="1"/>
  <c r="AO1976" i="1"/>
  <c r="AS1976" i="1" s="1"/>
  <c r="AO1913" i="1"/>
  <c r="AO1895" i="1"/>
  <c r="AS1895" i="1" s="1"/>
  <c r="AO1836" i="1"/>
  <c r="AS1836" i="1" s="1"/>
  <c r="AO1820" i="1"/>
  <c r="AS1820" i="1" s="1"/>
  <c r="AO1799" i="1"/>
  <c r="AS1799" i="1" s="1"/>
  <c r="AO1740" i="1"/>
  <c r="AS1740" i="1" s="1"/>
  <c r="AS1741" i="1" s="1"/>
  <c r="AS1742" i="1" s="1"/>
  <c r="AO1719" i="1"/>
  <c r="AS1719" i="1" s="1"/>
  <c r="AO1610" i="1"/>
  <c r="AS1610" i="1" s="1"/>
  <c r="AO1591" i="1"/>
  <c r="AS1591" i="1" s="1"/>
  <c r="AO1572" i="1"/>
  <c r="AS1572" i="1" s="1"/>
  <c r="AS1571" i="1"/>
  <c r="AO1498" i="1"/>
  <c r="AS1498" i="1" s="1"/>
  <c r="AS1499" i="1" s="1"/>
  <c r="AO1458" i="1"/>
  <c r="AS1457" i="1"/>
  <c r="AO1417" i="1"/>
  <c r="AS1417" i="1" s="1"/>
  <c r="AO1353" i="1"/>
  <c r="AS1353" i="1" s="1"/>
  <c r="AO1315" i="1"/>
  <c r="AS1314" i="1"/>
  <c r="AO1018" i="1"/>
  <c r="AS1018" i="1" s="1"/>
  <c r="AS2180" i="1"/>
  <c r="AS2181" i="1" s="1"/>
  <c r="AS2107" i="1"/>
  <c r="AS1999" i="1"/>
  <c r="AS1863" i="1"/>
  <c r="AS1844" i="1"/>
  <c r="AS1845" i="1" s="1"/>
  <c r="AS1846" i="1" s="1"/>
  <c r="AS1575" i="1"/>
  <c r="AS1576" i="1" s="1"/>
  <c r="AS1503" i="1"/>
  <c r="AS1504" i="1" s="1"/>
  <c r="AS1220" i="1"/>
  <c r="AS1221" i="1" s="1"/>
  <c r="AS1207" i="1"/>
  <c r="AS1208" i="1" s="1"/>
  <c r="AS1010" i="1"/>
  <c r="AS1011" i="1" s="1"/>
  <c r="AO2346" i="1"/>
  <c r="AS2346" i="1" s="1"/>
  <c r="AO2328" i="1"/>
  <c r="AS2328" i="1" s="1"/>
  <c r="AO2424" i="1"/>
  <c r="AS2424" i="1" s="1"/>
  <c r="AO2343" i="1"/>
  <c r="AS2343" i="1" s="1"/>
  <c r="AO2268" i="1"/>
  <c r="AS2268" i="1" s="1"/>
  <c r="AO2252" i="1"/>
  <c r="AS2252" i="1" s="1"/>
  <c r="AS2253" i="1" s="1"/>
  <c r="AS2254" i="1" s="1"/>
  <c r="AO2215" i="1"/>
  <c r="AS2215" i="1" s="1"/>
  <c r="AO2056" i="1"/>
  <c r="AS2056" i="1" s="1"/>
  <c r="AO1975" i="1"/>
  <c r="AS1975" i="1" s="1"/>
  <c r="AS1974" i="1"/>
  <c r="AO1912" i="1"/>
  <c r="AS1912" i="1" s="1"/>
  <c r="AO1717" i="1"/>
  <c r="AS1716" i="1"/>
  <c r="AO1656" i="1"/>
  <c r="AO1609" i="1"/>
  <c r="AO1514" i="1"/>
  <c r="AS1514" i="1" s="1"/>
  <c r="AO1497" i="1"/>
  <c r="AO1436" i="1"/>
  <c r="AS1436" i="1" s="1"/>
  <c r="AO1392" i="1"/>
  <c r="AO1393" i="1" s="1"/>
  <c r="AS1391" i="1"/>
  <c r="AO1370" i="1"/>
  <c r="AS1370" i="1" s="1"/>
  <c r="AO1112" i="1"/>
  <c r="AS1111" i="1"/>
  <c r="AS2348" i="1"/>
  <c r="AS2023" i="1"/>
  <c r="AS2011" i="1"/>
  <c r="AS1924" i="1"/>
  <c r="AS1925" i="1" s="1"/>
  <c r="AS1887" i="1"/>
  <c r="AS1807" i="1"/>
  <c r="AS1681" i="1"/>
  <c r="AS1636" i="1"/>
  <c r="AS1637" i="1" s="1"/>
  <c r="AS1444" i="1"/>
  <c r="AS1445" i="1" s="1"/>
  <c r="AS1279" i="1"/>
  <c r="AS1280" i="1" s="1"/>
  <c r="AS2414" i="1"/>
  <c r="AS1858" i="1"/>
  <c r="AS1859" i="1" s="1"/>
  <c r="AS2350" i="1"/>
  <c r="AS2351" i="1" s="1"/>
  <c r="AO2423" i="1"/>
  <c r="AO2362" i="1"/>
  <c r="AS2362" i="1" s="1"/>
  <c r="AS2363" i="1" s="1"/>
  <c r="AO2234" i="1"/>
  <c r="AS2234" i="1" s="1"/>
  <c r="AS2235" i="1" s="1"/>
  <c r="AO2122" i="1"/>
  <c r="AS2122" i="1" s="1"/>
  <c r="AO2076" i="1"/>
  <c r="AS2076" i="1" s="1"/>
  <c r="AO2055" i="1"/>
  <c r="AS2055" i="1" s="1"/>
  <c r="AO1996" i="1"/>
  <c r="AS1996" i="1" s="1"/>
  <c r="AO1952" i="1"/>
  <c r="AS1951" i="1"/>
  <c r="AO1932" i="1"/>
  <c r="AS1932" i="1" s="1"/>
  <c r="AO1911" i="1"/>
  <c r="AS1911" i="1" s="1"/>
  <c r="AO1834" i="1"/>
  <c r="AS1834" i="1" s="1"/>
  <c r="AO1818" i="1"/>
  <c r="AS1818" i="1" s="1"/>
  <c r="AS1819" i="1" s="1"/>
  <c r="AO1756" i="1"/>
  <c r="AS1756" i="1" s="1"/>
  <c r="AO1738" i="1"/>
  <c r="AS1738" i="1" s="1"/>
  <c r="AS1739" i="1" s="1"/>
  <c r="AO1676" i="1"/>
  <c r="AS1676" i="1" s="1"/>
  <c r="AO1655" i="1"/>
  <c r="AS1655" i="1" s="1"/>
  <c r="AO1608" i="1"/>
  <c r="AS1608" i="1" s="1"/>
  <c r="AO1532" i="1"/>
  <c r="AS1532" i="1" s="1"/>
  <c r="AO1513" i="1"/>
  <c r="AS1513" i="1" s="1"/>
  <c r="AO1496" i="1"/>
  <c r="AS1496" i="1" s="1"/>
  <c r="AO1388" i="1"/>
  <c r="AO1389" i="1" s="1"/>
  <c r="AO1390" i="1" s="1"/>
  <c r="AO1034" i="1"/>
  <c r="AS1034" i="1" s="1"/>
  <c r="AO915" i="1"/>
  <c r="AS914" i="1"/>
  <c r="AS2287" i="1"/>
  <c r="AS2288" i="1" s="1"/>
  <c r="AS2289" i="1" s="1"/>
  <c r="AS2041" i="1"/>
  <c r="AS1961" i="1"/>
  <c r="AS1186" i="1"/>
  <c r="AS1187" i="1" s="1"/>
  <c r="AS996" i="1"/>
  <c r="AS997" i="1" s="1"/>
  <c r="AS998" i="1" s="1"/>
  <c r="AS884" i="1"/>
  <c r="AS885" i="1" s="1"/>
  <c r="AO1802" i="1"/>
  <c r="AS1802" i="1" s="1"/>
  <c r="AO1538" i="1"/>
  <c r="AO1539" i="1" s="1"/>
  <c r="AO1540" i="1" s="1"/>
  <c r="AS1537" i="1"/>
  <c r="AO1098" i="1"/>
  <c r="AS1098" i="1" s="1"/>
  <c r="AS1099" i="1" s="1"/>
  <c r="AS1100" i="1" s="1"/>
  <c r="AO965" i="1"/>
  <c r="AS964" i="1"/>
  <c r="AS2393" i="1"/>
  <c r="AO2361" i="1"/>
  <c r="AS2361" i="1" s="1"/>
  <c r="AO2266" i="1"/>
  <c r="AS2266" i="1" s="1"/>
  <c r="AS2267" i="1" s="1"/>
  <c r="AO2233" i="1"/>
  <c r="AS2233" i="1" s="1"/>
  <c r="AO2140" i="1"/>
  <c r="AS2140" i="1" s="1"/>
  <c r="AO1833" i="1"/>
  <c r="AS1833" i="1" s="1"/>
  <c r="AO1628" i="1"/>
  <c r="AS1628" i="1" s="1"/>
  <c r="AO1607" i="1"/>
  <c r="AS1607" i="1" s="1"/>
  <c r="AS1606" i="1"/>
  <c r="AO1512" i="1"/>
  <c r="AS1512" i="1" s="1"/>
  <c r="AO1434" i="1"/>
  <c r="AO1130" i="1"/>
  <c r="AS1130" i="1" s="1"/>
  <c r="AS2329" i="1"/>
  <c r="AS2281" i="1"/>
  <c r="AS2047" i="1"/>
  <c r="AS2048" i="1" s="1"/>
  <c r="AS1812" i="1"/>
  <c r="AS1813" i="1" s="1"/>
  <c r="AS1423" i="1"/>
  <c r="AS1424" i="1" s="1"/>
  <c r="AS1348" i="1"/>
  <c r="AS1349" i="1" s="1"/>
  <c r="AS1212" i="1"/>
  <c r="AS1213" i="1" s="1"/>
  <c r="AS1087" i="1"/>
  <c r="AS1088" i="1" s="1"/>
  <c r="AS1089" i="1" s="1"/>
  <c r="AS1090" i="1" s="1"/>
  <c r="AS958" i="1"/>
  <c r="AS1839" i="1"/>
  <c r="AO2380" i="1"/>
  <c r="AS2380" i="1" s="1"/>
  <c r="AO2250" i="1"/>
  <c r="AS2250" i="1" s="1"/>
  <c r="AS2251" i="1" s="1"/>
  <c r="AO2121" i="1"/>
  <c r="AS2121" i="1" s="1"/>
  <c r="AO2100" i="1"/>
  <c r="AS2100" i="1" s="1"/>
  <c r="AS2099" i="1"/>
  <c r="AO1852" i="1"/>
  <c r="AS1852" i="1" s="1"/>
  <c r="AO1817" i="1"/>
  <c r="AS1817" i="1" s="1"/>
  <c r="AO1737" i="1"/>
  <c r="AS1737" i="1" s="1"/>
  <c r="AO1242" i="1"/>
  <c r="AS1242" i="1" s="1"/>
  <c r="AS1243" i="1" s="1"/>
  <c r="AO2400" i="1"/>
  <c r="AS2399" i="1"/>
  <c r="AO2284" i="1"/>
  <c r="AS2284" i="1" s="1"/>
  <c r="AO2265" i="1"/>
  <c r="AS2265" i="1" s="1"/>
  <c r="AO2249" i="1"/>
  <c r="AS2249" i="1" s="1"/>
  <c r="AO2232" i="1"/>
  <c r="AS2232" i="1" s="1"/>
  <c r="AO2156" i="1"/>
  <c r="AS2156" i="1" s="1"/>
  <c r="AO2120" i="1"/>
  <c r="AS2120" i="1" s="1"/>
  <c r="AO2074" i="1"/>
  <c r="AS2074" i="1" s="1"/>
  <c r="AS2075" i="1" s="1"/>
  <c r="AO1993" i="1"/>
  <c r="AO1930" i="1"/>
  <c r="AS1930" i="1" s="1"/>
  <c r="AS1931" i="1" s="1"/>
  <c r="AO1909" i="1"/>
  <c r="AS1908" i="1"/>
  <c r="AS1891" i="1"/>
  <c r="AO1832" i="1"/>
  <c r="AS1832" i="1" s="1"/>
  <c r="AO1754" i="1"/>
  <c r="AS1754" i="1" s="1"/>
  <c r="AS1755" i="1" s="1"/>
  <c r="AO1735" i="1"/>
  <c r="AO1674" i="1"/>
  <c r="AS1674" i="1" s="1"/>
  <c r="AS1675" i="1" s="1"/>
  <c r="AO1530" i="1"/>
  <c r="AS1530" i="1" s="1"/>
  <c r="AS1531" i="1" s="1"/>
  <c r="AO1511" i="1"/>
  <c r="AS1511" i="1" s="1"/>
  <c r="AO1431" i="1"/>
  <c r="AO1384" i="1"/>
  <c r="AS1384" i="1" s="1"/>
  <c r="AO1292" i="1"/>
  <c r="AS1292" i="1" s="1"/>
  <c r="AO1258" i="1"/>
  <c r="AS1258" i="1" s="1"/>
  <c r="AS1259" i="1" s="1"/>
  <c r="AO1240" i="1"/>
  <c r="AO1180" i="1"/>
  <c r="AS1180" i="1" s="1"/>
  <c r="AO1146" i="1"/>
  <c r="AS1146" i="1" s="1"/>
  <c r="AO1129" i="1"/>
  <c r="AS1129" i="1" s="1"/>
  <c r="AO1052" i="1"/>
  <c r="AS2372" i="1"/>
  <c r="AS2373" i="1" s="1"/>
  <c r="AS2374" i="1" s="1"/>
  <c r="AS2022" i="1"/>
  <c r="AS1724" i="1"/>
  <c r="AS1586" i="1"/>
  <c r="AS1587" i="1" s="1"/>
  <c r="AS1404" i="1"/>
  <c r="AS1122" i="1"/>
  <c r="AS1123" i="1" s="1"/>
  <c r="AS1073" i="1"/>
  <c r="AO901" i="1"/>
  <c r="AS900" i="1"/>
  <c r="AS1583" i="1"/>
  <c r="AS1584" i="1" s="1"/>
  <c r="AO1728" i="1"/>
  <c r="AS1727" i="1"/>
  <c r="AP1766" i="1"/>
  <c r="AP1476" i="1"/>
  <c r="AP1685" i="1"/>
  <c r="AP1602" i="1"/>
  <c r="AP974" i="1"/>
  <c r="AP1694" i="1"/>
  <c r="AP1553" i="1"/>
  <c r="AP1535" i="1"/>
  <c r="AS2419" i="1"/>
  <c r="AS2420" i="1" s="1"/>
  <c r="AS2422" i="1"/>
  <c r="AS2415" i="1"/>
  <c r="AS2416" i="1" s="1"/>
  <c r="AS2417" i="1" s="1"/>
  <c r="AJ1050" i="1"/>
  <c r="AL1050" i="1" s="1"/>
  <c r="AP1050" i="1" s="1"/>
  <c r="AK1050" i="1"/>
  <c r="AP1268" i="1"/>
  <c r="AJ2184" i="1"/>
  <c r="AL2184" i="1" s="1"/>
  <c r="AP2184" i="1" s="1"/>
  <c r="AJ1897" i="1"/>
  <c r="AL1897" i="1" s="1"/>
  <c r="AP1897" i="1" s="1"/>
  <c r="AJ1592" i="1"/>
  <c r="AL1592" i="1" s="1"/>
  <c r="AP1592" i="1" s="1"/>
  <c r="AJ2332" i="1"/>
  <c r="AJ2333" i="1" s="1"/>
  <c r="AJ2334" i="1" s="1"/>
  <c r="AL2334" i="1" s="1"/>
  <c r="AK2332" i="1"/>
  <c r="AJ2188" i="1"/>
  <c r="AL2188" i="1" s="1"/>
  <c r="AP2188" i="1" s="1"/>
  <c r="AK2188" i="1"/>
  <c r="AJ1932" i="1"/>
  <c r="AJ1933" i="1" s="1"/>
  <c r="AL1933" i="1" s="1"/>
  <c r="AK1932" i="1"/>
  <c r="AK1933" i="1" s="1"/>
  <c r="AJ1916" i="1"/>
  <c r="AJ1917" i="1" s="1"/>
  <c r="AK1916" i="1"/>
  <c r="AK1917" i="1" s="1"/>
  <c r="AK1918" i="1" s="1"/>
  <c r="AJ1596" i="1"/>
  <c r="AL1596" i="1" s="1"/>
  <c r="AP1596" i="1" s="1"/>
  <c r="AK1596" i="1"/>
  <c r="AJ1500" i="1"/>
  <c r="AJ1501" i="1" s="1"/>
  <c r="AL1501" i="1" s="1"/>
  <c r="AK1500" i="1"/>
  <c r="AK1501" i="1" s="1"/>
  <c r="AJ1340" i="1"/>
  <c r="AJ1341" i="1" s="1"/>
  <c r="AL1341" i="1" s="1"/>
  <c r="AK1340" i="1"/>
  <c r="AK1341" i="1" s="1"/>
  <c r="AJ1068" i="1"/>
  <c r="AL1068" i="1" s="1"/>
  <c r="AP1068" i="1" s="1"/>
  <c r="AK1068" i="1"/>
  <c r="AP1830" i="1"/>
  <c r="AJ1368" i="1"/>
  <c r="AL1368" i="1" s="1"/>
  <c r="AP1368" i="1" s="1"/>
  <c r="AJ2090" i="1"/>
  <c r="AL2090" i="1" s="1"/>
  <c r="AP2090" i="1" s="1"/>
  <c r="AK2090" i="1"/>
  <c r="AJ2153" i="1"/>
  <c r="AL2153" i="1" s="1"/>
  <c r="AP2153" i="1" s="1"/>
  <c r="AK2153" i="1"/>
  <c r="AJ2105" i="1"/>
  <c r="AL2105" i="1" s="1"/>
  <c r="AP2105" i="1" s="1"/>
  <c r="AK2105" i="1"/>
  <c r="AJ2025" i="1"/>
  <c r="AL2025" i="1" s="1"/>
  <c r="AP2025" i="1" s="1"/>
  <c r="AK2025" i="1"/>
  <c r="AK2026" i="1" s="1"/>
  <c r="AK2027" i="1" s="1"/>
  <c r="AJ2009" i="1"/>
  <c r="AL2009" i="1" s="1"/>
  <c r="AP2009" i="1" s="1"/>
  <c r="AK2009" i="1"/>
  <c r="AJ1961" i="1"/>
  <c r="AL1961" i="1" s="1"/>
  <c r="AP1961" i="1" s="1"/>
  <c r="AK1961" i="1"/>
  <c r="AJ1945" i="1"/>
  <c r="AL1945" i="1" s="1"/>
  <c r="AP1945" i="1" s="1"/>
  <c r="AK1945" i="1"/>
  <c r="AJ1785" i="1"/>
  <c r="AL1785" i="1" s="1"/>
  <c r="AP1785" i="1" s="1"/>
  <c r="AK1785" i="1"/>
  <c r="AJ1705" i="1"/>
  <c r="AL1705" i="1" s="1"/>
  <c r="AP1705" i="1" s="1"/>
  <c r="AK1705" i="1"/>
  <c r="AJ1609" i="1"/>
  <c r="AL1609" i="1" s="1"/>
  <c r="AP1609" i="1" s="1"/>
  <c r="AK1609" i="1"/>
  <c r="AK1561" i="1"/>
  <c r="AJ1561" i="1"/>
  <c r="AL1561" i="1" s="1"/>
  <c r="AP1561" i="1" s="1"/>
  <c r="AJ1273" i="1"/>
  <c r="AL1273" i="1" s="1"/>
  <c r="AP1273" i="1" s="1"/>
  <c r="AK1273" i="1"/>
  <c r="AK1209" i="1"/>
  <c r="AJ1209" i="1"/>
  <c r="AL1209" i="1" s="1"/>
  <c r="AP1209" i="1" s="1"/>
  <c r="AJ1113" i="1"/>
  <c r="AL1113" i="1" s="1"/>
  <c r="AP1113" i="1" s="1"/>
  <c r="AK1113" i="1"/>
  <c r="AJ905" i="1"/>
  <c r="AL905" i="1" s="1"/>
  <c r="AP905" i="1" s="1"/>
  <c r="AK905" i="1"/>
  <c r="AJ1018" i="1"/>
  <c r="AL1018" i="1" s="1"/>
  <c r="AP1018" i="1" s="1"/>
  <c r="AK1018" i="1"/>
  <c r="AJ954" i="1"/>
  <c r="AL954" i="1" s="1"/>
  <c r="AP954" i="1" s="1"/>
  <c r="AJ2200" i="1"/>
  <c r="AJ2201" i="1" s="1"/>
  <c r="AL2201" i="1" s="1"/>
  <c r="AK2200" i="1"/>
  <c r="AJ1976" i="1"/>
  <c r="AL1976" i="1" s="1"/>
  <c r="AP1976" i="1" s="1"/>
  <c r="AK1976" i="1"/>
  <c r="AJ1784" i="1"/>
  <c r="AL1784" i="1" s="1"/>
  <c r="AP1784" i="1" s="1"/>
  <c r="AK1784" i="1"/>
  <c r="AK1768" i="1"/>
  <c r="AJ1768" i="1"/>
  <c r="AL1768" i="1" s="1"/>
  <c r="AP1768" i="1" s="1"/>
  <c r="AK1720" i="1"/>
  <c r="AJ1720" i="1"/>
  <c r="AL1720" i="1" s="1"/>
  <c r="AP1720" i="1" s="1"/>
  <c r="AJ1704" i="1"/>
  <c r="AL1704" i="1" s="1"/>
  <c r="AP1704" i="1" s="1"/>
  <c r="AK1704" i="1"/>
  <c r="AJ1288" i="1"/>
  <c r="AL1288" i="1" s="1"/>
  <c r="AP1288" i="1" s="1"/>
  <c r="AK1288" i="1"/>
  <c r="AJ1272" i="1"/>
  <c r="AL1272" i="1" s="1"/>
  <c r="AP1272" i="1" s="1"/>
  <c r="AK1272" i="1"/>
  <c r="AJ1080" i="1"/>
  <c r="AL1080" i="1" s="1"/>
  <c r="AP1080" i="1" s="1"/>
  <c r="AK1080" i="1"/>
  <c r="AJ1064" i="1"/>
  <c r="AL1064" i="1" s="1"/>
  <c r="AP1064" i="1" s="1"/>
  <c r="AK1064" i="1"/>
  <c r="AJ1016" i="1"/>
  <c r="AJ1017" i="1" s="1"/>
  <c r="AL1017" i="1" s="1"/>
  <c r="AK1016" i="1"/>
  <c r="AJ2426" i="1"/>
  <c r="AL2426" i="1" s="1"/>
  <c r="AP2426" i="1" s="1"/>
  <c r="AK2426" i="1"/>
  <c r="AJ2170" i="1"/>
  <c r="AJ2171" i="1" s="1"/>
  <c r="AK2170" i="1"/>
  <c r="AK2171" i="1" s="1"/>
  <c r="AK2172" i="1" s="1"/>
  <c r="AP1137" i="1"/>
  <c r="AK2424" i="1"/>
  <c r="AJ2376" i="1"/>
  <c r="AL2376" i="1" s="1"/>
  <c r="AP2376" i="1" s="1"/>
  <c r="AK953" i="1"/>
  <c r="AJ2072" i="1"/>
  <c r="AJ2073" i="1" s="1"/>
  <c r="AL2073" i="1" s="1"/>
  <c r="AJ2024" i="1"/>
  <c r="AL2024" i="1" s="1"/>
  <c r="AJ1864" i="1"/>
  <c r="AJ1865" i="1" s="1"/>
  <c r="AL1865" i="1" s="1"/>
  <c r="AK1208" i="1"/>
  <c r="AK1112" i="1"/>
  <c r="AJ2186" i="1"/>
  <c r="AL2186" i="1" s="1"/>
  <c r="AP2186" i="1" s="1"/>
  <c r="AK2186" i="1"/>
  <c r="AK2202" i="1"/>
  <c r="AK2106" i="1"/>
  <c r="AJ1786" i="1"/>
  <c r="AL1786" i="1" s="1"/>
  <c r="AP1786" i="1" s="1"/>
  <c r="AJ1706" i="1"/>
  <c r="AL1706" i="1" s="1"/>
  <c r="AJ1466" i="1"/>
  <c r="AJ1467" i="1" s="1"/>
  <c r="AK1466" i="1"/>
  <c r="AK1467" i="1" s="1"/>
  <c r="AK1468" i="1" s="1"/>
  <c r="AJ1242" i="1"/>
  <c r="AJ1243" i="1" s="1"/>
  <c r="AL1243" i="1" s="1"/>
  <c r="AP1243" i="1" s="1"/>
  <c r="AK1242" i="1"/>
  <c r="AJ1130" i="1"/>
  <c r="AL1130" i="1" s="1"/>
  <c r="AP1130" i="1" s="1"/>
  <c r="AK1130" i="1"/>
  <c r="AJ890" i="1"/>
  <c r="AL890" i="1" s="1"/>
  <c r="AP890" i="1" s="1"/>
  <c r="AK890" i="1"/>
  <c r="AK1674" i="1"/>
  <c r="AK1675" i="1" s="1"/>
  <c r="AK1676" i="1" s="1"/>
  <c r="AK1402" i="1"/>
  <c r="AK1338" i="1"/>
  <c r="AK1276" i="1"/>
  <c r="AK1277" i="1" s="1"/>
  <c r="AK1278" i="1" s="1"/>
  <c r="AJ1770" i="1"/>
  <c r="AL1770" i="1" s="1"/>
  <c r="AP1770" i="1" s="1"/>
  <c r="AK1770" i="1"/>
  <c r="AK1771" i="1" s="1"/>
  <c r="AK1772" i="1" s="1"/>
  <c r="AJ1450" i="1"/>
  <c r="AL1450" i="1" s="1"/>
  <c r="AP1450" i="1" s="1"/>
  <c r="AP1451" i="1" s="1"/>
  <c r="AK1450" i="1"/>
  <c r="AK1451" i="1" s="1"/>
  <c r="AJ2412" i="1"/>
  <c r="AJ2413" i="1" s="1"/>
  <c r="AJ2360" i="1"/>
  <c r="AL2360" i="1" s="1"/>
  <c r="AP2360" i="1" s="1"/>
  <c r="AK2316" i="1"/>
  <c r="AK2317" i="1" s="1"/>
  <c r="AP2270" i="1"/>
  <c r="AJ2010" i="1"/>
  <c r="AL2010" i="1" s="1"/>
  <c r="AP2010" i="1" s="1"/>
  <c r="AK2410" i="1"/>
  <c r="AK2411" i="1" s="1"/>
  <c r="AJ2410" i="1"/>
  <c r="AL2410" i="1" s="1"/>
  <c r="AP2410" i="1" s="1"/>
  <c r="AK2088" i="1"/>
  <c r="AK2089" i="1" s="1"/>
  <c r="AK1610" i="1"/>
  <c r="AJ2168" i="1"/>
  <c r="AL2168" i="1" s="1"/>
  <c r="AP2168" i="1" s="1"/>
  <c r="AJ2088" i="1"/>
  <c r="AJ2089" i="1" s="1"/>
  <c r="AL2089" i="1" s="1"/>
  <c r="AJ1800" i="1"/>
  <c r="AL1800" i="1" s="1"/>
  <c r="AP1800" i="1" s="1"/>
  <c r="AP1801" i="1" s="1"/>
  <c r="AK1690" i="1"/>
  <c r="AK1498" i="1"/>
  <c r="AK1499" i="1" s="1"/>
  <c r="AJ1401" i="1"/>
  <c r="AL1401" i="1" s="1"/>
  <c r="AP1401" i="1" s="1"/>
  <c r="AK1385" i="1"/>
  <c r="AK1386" i="1" s="1"/>
  <c r="AK1387" i="1" s="1"/>
  <c r="AK1388" i="1" s="1"/>
  <c r="AK1389" i="1" s="1"/>
  <c r="AK1390" i="1" s="1"/>
  <c r="AK1048" i="1"/>
  <c r="AK1033" i="1"/>
  <c r="AK1034" i="1" s="1"/>
  <c r="AK2362" i="1"/>
  <c r="AK2363" i="1" s="1"/>
  <c r="AJ1564" i="1"/>
  <c r="AL1564" i="1" s="1"/>
  <c r="AP1564" i="1" s="1"/>
  <c r="AK2008" i="1"/>
  <c r="AJ2282" i="1"/>
  <c r="AL2282" i="1" s="1"/>
  <c r="AK2282" i="1"/>
  <c r="AJ1946" i="1"/>
  <c r="AL1946" i="1" s="1"/>
  <c r="AP1946" i="1" s="1"/>
  <c r="AP1947" i="1" s="1"/>
  <c r="AK1946" i="1"/>
  <c r="AK1947" i="1" s="1"/>
  <c r="AK1948" i="1" s="1"/>
  <c r="AP1771" i="1"/>
  <c r="AJ2380" i="1"/>
  <c r="AL2380" i="1" s="1"/>
  <c r="AP2380" i="1" s="1"/>
  <c r="AJ2328" i="1"/>
  <c r="AL2328" i="1" s="1"/>
  <c r="AP2328" i="1" s="1"/>
  <c r="AP2206" i="1"/>
  <c r="AJ1818" i="1"/>
  <c r="AL1818" i="1" s="1"/>
  <c r="AP1818" i="1" s="1"/>
  <c r="AP1819" i="1" s="1"/>
  <c r="AK1608" i="1"/>
  <c r="AJ1292" i="1"/>
  <c r="AJ1293" i="1" s="1"/>
  <c r="AJ1294" i="1" s="1"/>
  <c r="AL1294" i="1" s="1"/>
  <c r="AP1294" i="1" s="1"/>
  <c r="AJ1834" i="1"/>
  <c r="AL1834" i="1" s="1"/>
  <c r="AP1834" i="1" s="1"/>
  <c r="AK1834" i="1"/>
  <c r="AJ1722" i="1"/>
  <c r="AL1722" i="1" s="1"/>
  <c r="AP1722" i="1" s="1"/>
  <c r="AK1722" i="1"/>
  <c r="AK1562" i="1"/>
  <c r="AJ1562" i="1"/>
  <c r="AL1562" i="1" s="1"/>
  <c r="AP1562" i="1" s="1"/>
  <c r="AJ938" i="1"/>
  <c r="AL938" i="1" s="1"/>
  <c r="AP938" i="1" s="1"/>
  <c r="AK938" i="1"/>
  <c r="AK1689" i="1"/>
  <c r="AK1065" i="1"/>
  <c r="AJ1962" i="1"/>
  <c r="AL1962" i="1" s="1"/>
  <c r="AP1962" i="1" s="1"/>
  <c r="AP1963" i="1" s="1"/>
  <c r="AK1962" i="1"/>
  <c r="AJ906" i="1"/>
  <c r="AL906" i="1" s="1"/>
  <c r="AP906" i="1" s="1"/>
  <c r="AK906" i="1"/>
  <c r="AP975" i="1"/>
  <c r="AJ1942" i="1"/>
  <c r="AK1684" i="1"/>
  <c r="AK1685" i="1" s="1"/>
  <c r="AJ1492" i="1"/>
  <c r="AL1492" i="1" s="1"/>
  <c r="AK1244" i="1"/>
  <c r="AJ1948" i="1"/>
  <c r="AL1948" i="1" s="1"/>
  <c r="AK1192" i="1"/>
  <c r="AJ2038" i="1"/>
  <c r="AL2038" i="1" s="1"/>
  <c r="AP2038" i="1" s="1"/>
  <c r="AK2038" i="1"/>
  <c r="AJ2006" i="1"/>
  <c r="AJ2007" i="1" s="1"/>
  <c r="AL2007" i="1" s="1"/>
  <c r="AP2007" i="1" s="1"/>
  <c r="AK2006" i="1"/>
  <c r="AK2007" i="1" s="1"/>
  <c r="AJ1782" i="1"/>
  <c r="AJ1783" i="1" s="1"/>
  <c r="AL1783" i="1" s="1"/>
  <c r="AP1783" i="1" s="1"/>
  <c r="AK1782" i="1"/>
  <c r="AK1783" i="1" s="1"/>
  <c r="AJ1478" i="1"/>
  <c r="AJ1479" i="1" s="1"/>
  <c r="AJ1480" i="1" s="1"/>
  <c r="AJ1481" i="1" s="1"/>
  <c r="AL1481" i="1" s="1"/>
  <c r="AK1478" i="1"/>
  <c r="AK1479" i="1" s="1"/>
  <c r="AK1480" i="1" s="1"/>
  <c r="AK1481" i="1" s="1"/>
  <c r="AJ1366" i="1"/>
  <c r="AK1366" i="1"/>
  <c r="AK1367" i="1" s="1"/>
  <c r="AJ966" i="1"/>
  <c r="AK966" i="1"/>
  <c r="AK967" i="1" s="1"/>
  <c r="AK2422" i="1"/>
  <c r="AK2423" i="1" s="1"/>
  <c r="AP2143" i="1"/>
  <c r="AP1990" i="1"/>
  <c r="AK1830" i="1"/>
  <c r="AJ1540" i="1"/>
  <c r="AJ1541" i="1" s="1"/>
  <c r="AL1541" i="1" s="1"/>
  <c r="AK2072" i="1"/>
  <c r="AK2073" i="1" s="1"/>
  <c r="AJ1708" i="1"/>
  <c r="AJ1709" i="1" s="1"/>
  <c r="AL1709" i="1" s="1"/>
  <c r="AP1709" i="1" s="1"/>
  <c r="AK1576" i="1"/>
  <c r="AK1436" i="1"/>
  <c r="AJ1636" i="1"/>
  <c r="AJ1637" i="1" s="1"/>
  <c r="AL1637" i="1" s="1"/>
  <c r="AP1637" i="1" s="1"/>
  <c r="AK1636" i="1"/>
  <c r="AK1637" i="1" s="1"/>
  <c r="AJ1204" i="1"/>
  <c r="AL1204" i="1" s="1"/>
  <c r="AK1204" i="1"/>
  <c r="AK1205" i="1" s="1"/>
  <c r="AJ1124" i="1"/>
  <c r="AL1124" i="1" s="1"/>
  <c r="AP1124" i="1" s="1"/>
  <c r="AK1124" i="1"/>
  <c r="AK1125" i="1" s="1"/>
  <c r="AJ996" i="1"/>
  <c r="AL996" i="1" s="1"/>
  <c r="AP996" i="1" s="1"/>
  <c r="AP997" i="1" s="1"/>
  <c r="AK996" i="1"/>
  <c r="AK997" i="1" s="1"/>
  <c r="AJ932" i="1"/>
  <c r="AL932" i="1" s="1"/>
  <c r="AP932" i="1" s="1"/>
  <c r="AK932" i="1"/>
  <c r="AJ916" i="1"/>
  <c r="AL916" i="1" s="1"/>
  <c r="AP916" i="1" s="1"/>
  <c r="AP917" i="1" s="1"/>
  <c r="AK916" i="1"/>
  <c r="AK917" i="1" s="1"/>
  <c r="AK1622" i="1"/>
  <c r="AJ1576" i="1"/>
  <c r="AL1576" i="1" s="1"/>
  <c r="AJ1436" i="1"/>
  <c r="AL1436" i="1" s="1"/>
  <c r="AP1436" i="1" s="1"/>
  <c r="AJ1192" i="1"/>
  <c r="AL1192" i="1" s="1"/>
  <c r="AK1000" i="1"/>
  <c r="AK1001" i="1" s="1"/>
  <c r="AK1002" i="1" s="1"/>
  <c r="AJ1908" i="1"/>
  <c r="AJ1000" i="1"/>
  <c r="AJ1001" i="1" s="1"/>
  <c r="AJ1002" i="1" s="1"/>
  <c r="AL1002" i="1" s="1"/>
  <c r="AP1002" i="1" s="1"/>
  <c r="AK918" i="1"/>
  <c r="AK919" i="1" s="1"/>
  <c r="AK892" i="1"/>
  <c r="AK940" i="1"/>
  <c r="AK941" i="1" s="1"/>
  <c r="AK942" i="1" s="1"/>
  <c r="AK943" i="1" s="1"/>
  <c r="AK944" i="1" s="1"/>
  <c r="AP942" i="1"/>
  <c r="AK2022" i="1"/>
  <c r="AK2023" i="1" s="1"/>
  <c r="AK1996" i="1"/>
  <c r="AK1862" i="1"/>
  <c r="AK1863" i="1" s="1"/>
  <c r="AK1812" i="1"/>
  <c r="AK1813" i="1" s="1"/>
  <c r="AJ1364" i="1"/>
  <c r="AL1364" i="1" s="1"/>
  <c r="AP1364" i="1" s="1"/>
  <c r="AK998" i="1"/>
  <c r="AP2267" i="1"/>
  <c r="AP1842" i="1"/>
  <c r="AK1804" i="1"/>
  <c r="AK1805" i="1" s="1"/>
  <c r="AK1806" i="1" s="1"/>
  <c r="AK1348" i="1"/>
  <c r="AK1196" i="1"/>
  <c r="AK1174" i="1"/>
  <c r="AK948" i="1"/>
  <c r="AK2132" i="1"/>
  <c r="AK2133" i="1" s="1"/>
  <c r="AK2134" i="1" s="1"/>
  <c r="AK2135" i="1" s="1"/>
  <c r="AK2068" i="1"/>
  <c r="AJ1804" i="1"/>
  <c r="AJ1805" i="1" s="1"/>
  <c r="AK1620" i="1"/>
  <c r="AK1621" i="1" s="1"/>
  <c r="AK1028" i="1"/>
  <c r="AK1014" i="1"/>
  <c r="AK1015" i="1" s="1"/>
  <c r="AK2204" i="1"/>
  <c r="AJ2198" i="1"/>
  <c r="AL2198" i="1" s="1"/>
  <c r="AP2198" i="1" s="1"/>
  <c r="AK1972" i="1"/>
  <c r="AK1036" i="1"/>
  <c r="AK1980" i="1"/>
  <c r="AK1981" i="1" s="1"/>
  <c r="AK1982" i="1" s="1"/>
  <c r="AJ1980" i="1"/>
  <c r="AJ1981" i="1" s="1"/>
  <c r="AJ1848" i="1"/>
  <c r="AJ1849" i="1" s="1"/>
  <c r="AL1849" i="1" s="1"/>
  <c r="AK1660" i="1"/>
  <c r="AJ1672" i="1"/>
  <c r="AJ1673" i="1" s="1"/>
  <c r="AL1673" i="1" s="1"/>
  <c r="AK1644" i="1"/>
  <c r="AK1645" i="1" s="1"/>
  <c r="AK1646" i="1" s="1"/>
  <c r="AK1647" i="1" s="1"/>
  <c r="AK1648" i="1" s="1"/>
  <c r="AJ1110" i="1"/>
  <c r="AK924" i="1"/>
  <c r="AK925" i="1" s="1"/>
  <c r="AK926" i="1" s="1"/>
  <c r="AK1692" i="1"/>
  <c r="AJ1644" i="1"/>
  <c r="AJ1645" i="1" s="1"/>
  <c r="AK1180" i="1"/>
  <c r="AK1044" i="1"/>
  <c r="AK1045" i="1" s="1"/>
  <c r="AK1788" i="1"/>
  <c r="AK1764" i="1"/>
  <c r="AP1935" i="1"/>
  <c r="AP2239" i="1"/>
  <c r="AP1262" i="1"/>
  <c r="AP1263" i="1" s="1"/>
  <c r="AP2117" i="1"/>
  <c r="AP2094" i="1"/>
  <c r="AP2022" i="1"/>
  <c r="AP2402" i="1"/>
  <c r="AP1087" i="1"/>
  <c r="AP1088" i="1" s="1"/>
  <c r="AP1089" i="1" s="1"/>
  <c r="AP1620" i="1"/>
  <c r="AP1349" i="1"/>
  <c r="AP2411" i="1"/>
  <c r="AP1728" i="1"/>
  <c r="AP1729" i="1" s="1"/>
  <c r="AP998" i="1"/>
  <c r="AP1286" i="1"/>
  <c r="AP2241" i="1"/>
  <c r="AP2158" i="1"/>
  <c r="AP2159" i="1" s="1"/>
  <c r="AP1427" i="1"/>
  <c r="AP918" i="1"/>
  <c r="AZ87" i="8" l="1"/>
  <c r="BA87" i="8" s="1"/>
  <c r="BB87" i="8" s="1"/>
  <c r="AZ103" i="8"/>
  <c r="BA103" i="8" s="1"/>
  <c r="BB103" i="8" s="1"/>
  <c r="AZ55" i="8"/>
  <c r="BA55" i="8" s="1"/>
  <c r="BB55" i="8" s="1"/>
  <c r="AZ71" i="8"/>
  <c r="BA71" i="8" s="1"/>
  <c r="BB71" i="8" s="1"/>
  <c r="AZ88" i="8"/>
  <c r="BA88" i="8" s="1"/>
  <c r="BB88" i="8" s="1"/>
  <c r="AZ104" i="8"/>
  <c r="BA104" i="8" s="1"/>
  <c r="BB104" i="8" s="1"/>
  <c r="AZ89" i="8"/>
  <c r="BA89" i="8" s="1"/>
  <c r="BB89" i="8" s="1"/>
  <c r="AZ105" i="8"/>
  <c r="BA105" i="8" s="1"/>
  <c r="BB105" i="8" s="1"/>
  <c r="AZ77" i="8"/>
  <c r="BA77" i="8" s="1"/>
  <c r="BB77" i="8" s="1"/>
  <c r="AZ93" i="8"/>
  <c r="BA93" i="8" s="1"/>
  <c r="BB93" i="8" s="1"/>
  <c r="AZ90" i="8"/>
  <c r="BA90" i="8" s="1"/>
  <c r="BB90" i="8" s="1"/>
  <c r="AZ91" i="8"/>
  <c r="BA91" i="8" s="1"/>
  <c r="BB91" i="8" s="1"/>
  <c r="AZ76" i="8"/>
  <c r="BA76" i="8" s="1"/>
  <c r="BB76" i="8" s="1"/>
  <c r="AZ92" i="8"/>
  <c r="BA92" i="8" s="1"/>
  <c r="BB92" i="8" s="1"/>
  <c r="AZ78" i="8"/>
  <c r="BA78" i="8" s="1"/>
  <c r="BB78" i="8" s="1"/>
  <c r="AZ94" i="8"/>
  <c r="BA94" i="8" s="1"/>
  <c r="BB94" i="8" s="1"/>
  <c r="AZ79" i="8"/>
  <c r="BA79" i="8" s="1"/>
  <c r="BB79" i="8" s="1"/>
  <c r="AZ95" i="8"/>
  <c r="BA95" i="8" s="1"/>
  <c r="BB95" i="8" s="1"/>
  <c r="AZ80" i="8"/>
  <c r="BA80" i="8" s="1"/>
  <c r="BB80" i="8" s="1"/>
  <c r="AZ96" i="8"/>
  <c r="BA96" i="8" s="1"/>
  <c r="BB96" i="8" s="1"/>
  <c r="AZ81" i="8"/>
  <c r="BA81" i="8" s="1"/>
  <c r="BB81" i="8" s="1"/>
  <c r="AZ97" i="8"/>
  <c r="BA97" i="8" s="1"/>
  <c r="BB97" i="8" s="1"/>
  <c r="AZ82" i="8"/>
  <c r="BA82" i="8" s="1"/>
  <c r="BB82" i="8" s="1"/>
  <c r="AZ98" i="8"/>
  <c r="BA98" i="8" s="1"/>
  <c r="BB98" i="8" s="1"/>
  <c r="AZ83" i="8"/>
  <c r="BA83" i="8" s="1"/>
  <c r="BB83" i="8" s="1"/>
  <c r="AZ99" i="8"/>
  <c r="BA99" i="8" s="1"/>
  <c r="BB99" i="8" s="1"/>
  <c r="AZ84" i="8"/>
  <c r="BA84" i="8" s="1"/>
  <c r="BB84" i="8" s="1"/>
  <c r="AZ100" i="8"/>
  <c r="BA100" i="8" s="1"/>
  <c r="BB100" i="8" s="1"/>
  <c r="AZ85" i="8"/>
  <c r="BA85" i="8" s="1"/>
  <c r="BB85" i="8" s="1"/>
  <c r="AZ101" i="8"/>
  <c r="BA101" i="8" s="1"/>
  <c r="BB101" i="8" s="1"/>
  <c r="AZ86" i="8"/>
  <c r="BA86" i="8" s="1"/>
  <c r="BB86" i="8" s="1"/>
  <c r="AZ102" i="8"/>
  <c r="BA102" i="8" s="1"/>
  <c r="BB102" i="8" s="1"/>
  <c r="AZ56" i="8"/>
  <c r="BA56" i="8" s="1"/>
  <c r="BB56" i="8" s="1"/>
  <c r="AZ72" i="8"/>
  <c r="BA72" i="8" s="1"/>
  <c r="BB72" i="8" s="1"/>
  <c r="AZ75" i="8"/>
  <c r="AZ57" i="8"/>
  <c r="BA57" i="8" s="1"/>
  <c r="BB57" i="8" s="1"/>
  <c r="AZ73" i="8"/>
  <c r="BA73" i="8" s="1"/>
  <c r="BB73" i="8" s="1"/>
  <c r="AZ59" i="8"/>
  <c r="BA59" i="8" s="1"/>
  <c r="BB59" i="8" s="1"/>
  <c r="AZ45" i="8"/>
  <c r="BA45" i="8" s="1"/>
  <c r="BB45" i="8" s="1"/>
  <c r="AZ61" i="8"/>
  <c r="BA61" i="8" s="1"/>
  <c r="BB61" i="8" s="1"/>
  <c r="AZ42" i="8"/>
  <c r="BA42" i="8" s="1"/>
  <c r="BB42" i="8" s="1"/>
  <c r="AZ58" i="8"/>
  <c r="BA58" i="8" s="1"/>
  <c r="BB58" i="8" s="1"/>
  <c r="AZ74" i="8"/>
  <c r="BA74" i="8" s="1"/>
  <c r="AZ43" i="8"/>
  <c r="BA43" i="8" s="1"/>
  <c r="BB43" i="8" s="1"/>
  <c r="AZ44" i="8"/>
  <c r="BA44" i="8" s="1"/>
  <c r="BB44" i="8" s="1"/>
  <c r="AZ60" i="8"/>
  <c r="BA60" i="8" s="1"/>
  <c r="BB60" i="8" s="1"/>
  <c r="AZ46" i="8"/>
  <c r="BA46" i="8" s="1"/>
  <c r="BB46" i="8" s="1"/>
  <c r="AZ62" i="8"/>
  <c r="BA62" i="8" s="1"/>
  <c r="BB62" i="8" s="1"/>
  <c r="AZ47" i="8"/>
  <c r="BA47" i="8" s="1"/>
  <c r="BB47" i="8" s="1"/>
  <c r="AZ63" i="8"/>
  <c r="BA63" i="8" s="1"/>
  <c r="BB63" i="8" s="1"/>
  <c r="AZ48" i="8"/>
  <c r="BA48" i="8" s="1"/>
  <c r="BB48" i="8" s="1"/>
  <c r="AZ64" i="8"/>
  <c r="BA64" i="8" s="1"/>
  <c r="BB64" i="8" s="1"/>
  <c r="AZ49" i="8"/>
  <c r="BA49" i="8" s="1"/>
  <c r="BB49" i="8" s="1"/>
  <c r="AZ65" i="8"/>
  <c r="BA65" i="8" s="1"/>
  <c r="BB65" i="8" s="1"/>
  <c r="AZ50" i="8"/>
  <c r="BA50" i="8" s="1"/>
  <c r="BB50" i="8" s="1"/>
  <c r="AZ66" i="8"/>
  <c r="BA66" i="8" s="1"/>
  <c r="BB66" i="8" s="1"/>
  <c r="AZ51" i="8"/>
  <c r="BA51" i="8" s="1"/>
  <c r="BB51" i="8" s="1"/>
  <c r="AZ67" i="8"/>
  <c r="BA67" i="8" s="1"/>
  <c r="BB67" i="8" s="1"/>
  <c r="AZ52" i="8"/>
  <c r="BA52" i="8" s="1"/>
  <c r="BB52" i="8" s="1"/>
  <c r="AZ68" i="8"/>
  <c r="BA68" i="8" s="1"/>
  <c r="BB68" i="8" s="1"/>
  <c r="AZ53" i="8"/>
  <c r="BA53" i="8" s="1"/>
  <c r="BB53" i="8" s="1"/>
  <c r="AZ69" i="8"/>
  <c r="BA69" i="8" s="1"/>
  <c r="BB69" i="8" s="1"/>
  <c r="AZ54" i="8"/>
  <c r="BA54" i="8" s="1"/>
  <c r="BB54" i="8" s="1"/>
  <c r="AZ70" i="8"/>
  <c r="BA70" i="8" s="1"/>
  <c r="BB70" i="8" s="1"/>
  <c r="BO1635" i="1"/>
  <c r="BP1635" i="1" s="1"/>
  <c r="BQ1635" i="1" s="1"/>
  <c r="AL1469" i="1"/>
  <c r="AP1469" i="1" s="1"/>
  <c r="AP1470" i="1" s="1"/>
  <c r="AL1537" i="1"/>
  <c r="AP1537" i="1" s="1"/>
  <c r="AL1985" i="1"/>
  <c r="AP1985" i="1" s="1"/>
  <c r="AL1980" i="1"/>
  <c r="AP1980" i="1" s="1"/>
  <c r="AP2351" i="1"/>
  <c r="AP1090" i="1"/>
  <c r="AS1865" i="1"/>
  <c r="AS2291" i="1"/>
  <c r="AJ1278" i="1"/>
  <c r="AL1278" i="1" s="1"/>
  <c r="AL1277" i="1"/>
  <c r="AP1277" i="1" s="1"/>
  <c r="AP1278" i="1" s="1"/>
  <c r="AL1616" i="1"/>
  <c r="AP1616" i="1" s="1"/>
  <c r="AL1617" i="1"/>
  <c r="AP1617" i="1" s="1"/>
  <c r="AL1761" i="1"/>
  <c r="AP1761" i="1" s="1"/>
  <c r="AP1762" i="1" s="1"/>
  <c r="AL2006" i="1"/>
  <c r="AP2006" i="1" s="1"/>
  <c r="AL1115" i="1"/>
  <c r="AP1115" i="1" s="1"/>
  <c r="AS1600" i="1"/>
  <c r="AS1920" i="1"/>
  <c r="AS1921" i="1" s="1"/>
  <c r="AS2400" i="1"/>
  <c r="AJ926" i="1"/>
  <c r="AL926" i="1" s="1"/>
  <c r="AL925" i="1"/>
  <c r="AP925" i="1" s="1"/>
  <c r="AL1644" i="1"/>
  <c r="AP1644" i="1" s="1"/>
  <c r="AJ1388" i="1"/>
  <c r="AL1387" i="1"/>
  <c r="AP1387" i="1" s="1"/>
  <c r="AL2128" i="1"/>
  <c r="AP2128" i="1" s="1"/>
  <c r="AP1499" i="1"/>
  <c r="AS1640" i="1"/>
  <c r="AL1425" i="1"/>
  <c r="AP1425" i="1" s="1"/>
  <c r="AP1618" i="1"/>
  <c r="AL1442" i="1"/>
  <c r="AP1442" i="1" s="1"/>
  <c r="AP2135" i="1"/>
  <c r="AL2412" i="1"/>
  <c r="AP2412" i="1" s="1"/>
  <c r="AL1841" i="1"/>
  <c r="AP1841" i="1" s="1"/>
  <c r="AS1411" i="1"/>
  <c r="AL1905" i="1"/>
  <c r="AP1905" i="1" s="1"/>
  <c r="AP1906" i="1" s="1"/>
  <c r="AP1125" i="1"/>
  <c r="AL1848" i="1"/>
  <c r="AP1848" i="1" s="1"/>
  <c r="AP2317" i="1"/>
  <c r="AS2042" i="1"/>
  <c r="AS1618" i="1"/>
  <c r="AS915" i="1"/>
  <c r="AS1952" i="1"/>
  <c r="AL1708" i="1"/>
  <c r="AS1490" i="1"/>
  <c r="AS1491" i="1" s="1"/>
  <c r="AP2085" i="1"/>
  <c r="AP2046" i="1"/>
  <c r="AS1648" i="1"/>
  <c r="AP1012" i="1"/>
  <c r="AP1174" i="1"/>
  <c r="AP1948" i="1"/>
  <c r="AS1474" i="1"/>
  <c r="AP1392" i="1"/>
  <c r="AP1393" i="1" s="1"/>
  <c r="AJ1424" i="1"/>
  <c r="AL1424" i="1" s="1"/>
  <c r="AL1423" i="1"/>
  <c r="AP1423" i="1" s="1"/>
  <c r="AP1426" i="1"/>
  <c r="AP1244" i="1"/>
  <c r="AJ944" i="1"/>
  <c r="AL944" i="1" s="1"/>
  <c r="AL943" i="1"/>
  <c r="AP943" i="1" s="1"/>
  <c r="AJ1047" i="1"/>
  <c r="AL1047" i="1" s="1"/>
  <c r="AP1047" i="1" s="1"/>
  <c r="AL1046" i="1"/>
  <c r="AP1046" i="1" s="1"/>
  <c r="AL865" i="1"/>
  <c r="AP865" i="1" s="1"/>
  <c r="AP866" i="1" s="1"/>
  <c r="AS944" i="1"/>
  <c r="AL2097" i="1"/>
  <c r="AP2097" i="1" s="1"/>
  <c r="AL2203" i="1"/>
  <c r="AP2203" i="1" s="1"/>
  <c r="AP977" i="1"/>
  <c r="AL1601" i="1"/>
  <c r="AP1601" i="1" s="1"/>
  <c r="AS1139" i="1"/>
  <c r="AS1140" i="1" s="1"/>
  <c r="AS1461" i="1"/>
  <c r="AS1462" i="1" s="1"/>
  <c r="AL1000" i="1"/>
  <c r="AP1000" i="1" s="1"/>
  <c r="AS963" i="1"/>
  <c r="AS1544" i="1"/>
  <c r="AS1192" i="1"/>
  <c r="AL1016" i="1"/>
  <c r="AP1016" i="1" s="1"/>
  <c r="AL1672" i="1"/>
  <c r="AP1672" i="1" s="1"/>
  <c r="AP1673" i="1" s="1"/>
  <c r="AS1955" i="1"/>
  <c r="AP1849" i="1"/>
  <c r="AL1804" i="1"/>
  <c r="AP1804" i="1" s="1"/>
  <c r="AL1479" i="1"/>
  <c r="AP1479" i="1" s="1"/>
  <c r="AL1466" i="1"/>
  <c r="AP1466" i="1" s="1"/>
  <c r="AL1864" i="1"/>
  <c r="AP1864" i="1" s="1"/>
  <c r="AP2271" i="1"/>
  <c r="AP2272" i="1" s="1"/>
  <c r="AS2394" i="1"/>
  <c r="AS1219" i="1"/>
  <c r="AL1916" i="1"/>
  <c r="AP1916" i="1" s="1"/>
  <c r="AS1497" i="1"/>
  <c r="AS2135" i="1"/>
  <c r="AS1538" i="1"/>
  <c r="AS1539" i="1" s="1"/>
  <c r="AS1061" i="1"/>
  <c r="AP1576" i="1"/>
  <c r="AP1676" i="1"/>
  <c r="AP929" i="1"/>
  <c r="AP930" i="1" s="1"/>
  <c r="AS1392" i="1"/>
  <c r="AS1393" i="1" s="1"/>
  <c r="AP941" i="1"/>
  <c r="AP1764" i="1"/>
  <c r="AP1772" i="1"/>
  <c r="AL1500" i="1"/>
  <c r="AP1500" i="1" s="1"/>
  <c r="AP1501" i="1" s="1"/>
  <c r="AS901" i="1"/>
  <c r="AS1232" i="1"/>
  <c r="AS1043" i="1"/>
  <c r="AS1044" i="1" s="1"/>
  <c r="AS1045" i="1" s="1"/>
  <c r="AL2072" i="1"/>
  <c r="AP2072" i="1" s="1"/>
  <c r="AP2073" i="1" s="1"/>
  <c r="AJ967" i="1"/>
  <c r="AL967" i="1" s="1"/>
  <c r="AP967" i="1" s="1"/>
  <c r="AL966" i="1"/>
  <c r="AP966" i="1" s="1"/>
  <c r="AJ1918" i="1"/>
  <c r="AL1918" i="1" s="1"/>
  <c r="AL1917" i="1"/>
  <c r="AS1717" i="1"/>
  <c r="AS1205" i="1"/>
  <c r="AS1520" i="1"/>
  <c r="AL1340" i="1"/>
  <c r="AP1340" i="1" s="1"/>
  <c r="AP1341" i="1" s="1"/>
  <c r="AL1782" i="1"/>
  <c r="AP1782" i="1" s="1"/>
  <c r="AL2088" i="1"/>
  <c r="AP2088" i="1" s="1"/>
  <c r="AP2089" i="1" s="1"/>
  <c r="AP1043" i="1"/>
  <c r="AP1044" i="1" s="1"/>
  <c r="AP1045" i="1" s="1"/>
  <c r="AJ2423" i="1"/>
  <c r="AL2423" i="1" s="1"/>
  <c r="AL2422" i="1"/>
  <c r="AP2422" i="1" s="1"/>
  <c r="AO866" i="1"/>
  <c r="AS865" i="1"/>
  <c r="AL1932" i="1"/>
  <c r="AP1932" i="1" s="1"/>
  <c r="AP1933" i="1" s="1"/>
  <c r="AJ1909" i="1"/>
  <c r="AL1909" i="1" s="1"/>
  <c r="AL1908" i="1"/>
  <c r="AP1908" i="1" s="1"/>
  <c r="AJ1943" i="1"/>
  <c r="AL1943" i="1" s="1"/>
  <c r="AP1943" i="1" s="1"/>
  <c r="AL1942" i="1"/>
  <c r="AP1942" i="1" s="1"/>
  <c r="AP1116" i="1"/>
  <c r="AJ1468" i="1"/>
  <c r="AL1468" i="1" s="1"/>
  <c r="AL1467" i="1"/>
  <c r="AP1467" i="1" s="1"/>
  <c r="AS2423" i="1"/>
  <c r="AS2330" i="1"/>
  <c r="AS2331" i="1" s="1"/>
  <c r="AS1781" i="1"/>
  <c r="AP1706" i="1"/>
  <c r="AP1707" i="1" s="1"/>
  <c r="AP1708" i="1" s="1"/>
  <c r="AL1478" i="1"/>
  <c r="AP1478" i="1" s="1"/>
  <c r="AL1001" i="1"/>
  <c r="AP919" i="1"/>
  <c r="AJ1806" i="1"/>
  <c r="AL1806" i="1" s="1"/>
  <c r="AL1805" i="1"/>
  <c r="AP1805" i="1" s="1"/>
  <c r="AP1492" i="1"/>
  <c r="AP1192" i="1"/>
  <c r="AP1781" i="1"/>
  <c r="AJ1009" i="1"/>
  <c r="AL1009" i="1" s="1"/>
  <c r="AL1008" i="1"/>
  <c r="AP1008" i="1" s="1"/>
  <c r="AP2095" i="1"/>
  <c r="AP2096" i="1" s="1"/>
  <c r="AJ1982" i="1"/>
  <c r="AL1982" i="1" s="1"/>
  <c r="AL1981" i="1"/>
  <c r="AP1981" i="1" s="1"/>
  <c r="AS1112" i="1"/>
  <c r="AP1017" i="1"/>
  <c r="AL2333" i="1"/>
  <c r="AP2333" i="1" s="1"/>
  <c r="AP2334" i="1" s="1"/>
  <c r="AJ862" i="1"/>
  <c r="AL862" i="1" s="1"/>
  <c r="AP862" i="1" s="1"/>
  <c r="AL861" i="1"/>
  <c r="AP861" i="1" s="1"/>
  <c r="AJ1111" i="1"/>
  <c r="AL1110" i="1"/>
  <c r="AP1110" i="1" s="1"/>
  <c r="AP2229" i="1"/>
  <c r="AJ1367" i="1"/>
  <c r="AL1367" i="1" s="1"/>
  <c r="AL1366" i="1"/>
  <c r="AP1366" i="1" s="1"/>
  <c r="AS1315" i="1"/>
  <c r="AS928" i="1"/>
  <c r="AS929" i="1" s="1"/>
  <c r="AS930" i="1" s="1"/>
  <c r="AL1242" i="1"/>
  <c r="AP1242" i="1" s="1"/>
  <c r="AL2200" i="1"/>
  <c r="AP2200" i="1" s="1"/>
  <c r="AP2201" i="1" s="1"/>
  <c r="AJ1670" i="1"/>
  <c r="AL1670" i="1" s="1"/>
  <c r="AL1669" i="1"/>
  <c r="AP1669" i="1" s="1"/>
  <c r="AJ1921" i="1"/>
  <c r="AL1921" i="1" s="1"/>
  <c r="AL1920" i="1"/>
  <c r="AP1920" i="1" s="1"/>
  <c r="AP1865" i="1"/>
  <c r="AJ1646" i="1"/>
  <c r="AL1645" i="1"/>
  <c r="AP1645" i="1" s="1"/>
  <c r="AJ2414" i="1"/>
  <c r="AL2413" i="1"/>
  <c r="AP2413" i="1" s="1"/>
  <c r="AS1388" i="1"/>
  <c r="AS1389" i="1" s="1"/>
  <c r="AS1390" i="1" s="1"/>
  <c r="AL2170" i="1"/>
  <c r="AP2170" i="1" s="1"/>
  <c r="AP2023" i="1"/>
  <c r="AP2024" i="1" s="1"/>
  <c r="AP1692" i="1"/>
  <c r="AP1049" i="1"/>
  <c r="AP1376" i="1"/>
  <c r="AP2106" i="1"/>
  <c r="AP1574" i="1"/>
  <c r="AL1540" i="1"/>
  <c r="AP1540" i="1" s="1"/>
  <c r="AP1541" i="1" s="1"/>
  <c r="AJ1903" i="1"/>
  <c r="AL1903" i="1" s="1"/>
  <c r="AL1902" i="1"/>
  <c r="AP1902" i="1" s="1"/>
  <c r="AL2332" i="1"/>
  <c r="AP2332" i="1" s="1"/>
  <c r="AL1293" i="1"/>
  <c r="AP1204" i="1"/>
  <c r="AP1443" i="1"/>
  <c r="AL1292" i="1"/>
  <c r="AP1292" i="1" s="1"/>
  <c r="AL1636" i="1"/>
  <c r="AP1636" i="1" s="1"/>
  <c r="AJ2371" i="1"/>
  <c r="AL2371" i="1" s="1"/>
  <c r="AL2370" i="1"/>
  <c r="AP2370" i="1" s="1"/>
  <c r="AP2282" i="1"/>
  <c r="AP1917" i="1"/>
  <c r="AS2314" i="1"/>
  <c r="AS2117" i="1"/>
  <c r="AL1480" i="1"/>
  <c r="AP1480" i="1" s="1"/>
  <c r="AP1481" i="1" s="1"/>
  <c r="AJ1167" i="1"/>
  <c r="AL1167" i="1" s="1"/>
  <c r="AL1166" i="1"/>
  <c r="AP1166" i="1" s="1"/>
  <c r="AJ1247" i="1"/>
  <c r="AL1247" i="1" s="1"/>
  <c r="AL1246" i="1"/>
  <c r="AP1246" i="1" s="1"/>
  <c r="AJ2172" i="1"/>
  <c r="AL2172" i="1" s="1"/>
  <c r="AL2171" i="1"/>
  <c r="AS864" i="1"/>
  <c r="AS2211" i="1"/>
  <c r="AS1673" i="1"/>
  <c r="AS960" i="1"/>
  <c r="BB9" i="1"/>
  <c r="BB10" i="1" s="1"/>
  <c r="BT8" i="1"/>
  <c r="AS1395" i="1"/>
  <c r="AS1396" i="1" s="1"/>
  <c r="AS1125" i="1"/>
  <c r="AS2389" i="1"/>
  <c r="AS1333" i="1"/>
  <c r="AS1334" i="1" s="1"/>
  <c r="AS1301" i="1"/>
  <c r="AS2098" i="1"/>
  <c r="AQ82" i="8"/>
  <c r="AV82" i="8"/>
  <c r="AY82" i="8" s="1"/>
  <c r="AQ100" i="8"/>
  <c r="AV100" i="8"/>
  <c r="AY100" i="8" s="1"/>
  <c r="AQ14" i="8"/>
  <c r="AV14" i="8"/>
  <c r="AY14" i="8" s="1"/>
  <c r="AV11" i="8"/>
  <c r="AY11" i="8" s="1"/>
  <c r="AQ11" i="8"/>
  <c r="AQ85" i="8"/>
  <c r="AV85" i="8"/>
  <c r="AY85" i="8" s="1"/>
  <c r="AV75" i="8"/>
  <c r="AY75" i="8" s="1"/>
  <c r="AQ75" i="8"/>
  <c r="AQ16" i="8"/>
  <c r="AV16" i="8"/>
  <c r="AY16" i="8" s="1"/>
  <c r="AV87" i="8"/>
  <c r="AY87" i="8" s="1"/>
  <c r="AQ87" i="8"/>
  <c r="AV34" i="8"/>
  <c r="AY34" i="8" s="1"/>
  <c r="AQ34" i="8"/>
  <c r="AR51" i="8"/>
  <c r="AV29" i="8"/>
  <c r="AY29" i="8" s="1"/>
  <c r="AQ29" i="8"/>
  <c r="AQ44" i="8"/>
  <c r="AV44" i="8"/>
  <c r="AY44" i="8" s="1"/>
  <c r="AV71" i="8"/>
  <c r="AY71" i="8" s="1"/>
  <c r="AQ71" i="8"/>
  <c r="AV51" i="8"/>
  <c r="AY51" i="8" s="1"/>
  <c r="AQ51" i="8"/>
  <c r="AV83" i="8"/>
  <c r="AY83" i="8" s="1"/>
  <c r="AQ83" i="8"/>
  <c r="AV55" i="8"/>
  <c r="AY55" i="8" s="1"/>
  <c r="AQ55" i="8"/>
  <c r="AV68" i="8"/>
  <c r="AY68" i="8" s="1"/>
  <c r="AQ68" i="8"/>
  <c r="AV101" i="8"/>
  <c r="AY101" i="8" s="1"/>
  <c r="AQ101" i="8"/>
  <c r="AQ58" i="8"/>
  <c r="AV58" i="8"/>
  <c r="AY58" i="8" s="1"/>
  <c r="AQ92" i="8"/>
  <c r="AV92" i="8"/>
  <c r="AY92" i="8" s="1"/>
  <c r="AQ64" i="8"/>
  <c r="AV64" i="8"/>
  <c r="AY64" i="8" s="1"/>
  <c r="AQ69" i="8"/>
  <c r="AV69" i="8"/>
  <c r="AY69" i="8" s="1"/>
  <c r="AR55" i="8"/>
  <c r="AQ46" i="8"/>
  <c r="AV46" i="8"/>
  <c r="AY46" i="8" s="1"/>
  <c r="AR60" i="8"/>
  <c r="AQ67" i="8"/>
  <c r="AV67" i="8"/>
  <c r="AY67" i="8" s="1"/>
  <c r="AQ90" i="8"/>
  <c r="AV90" i="8"/>
  <c r="AY90" i="8" s="1"/>
  <c r="AR102" i="8"/>
  <c r="AQ6" i="8"/>
  <c r="AV6" i="8"/>
  <c r="AY6" i="8" s="1"/>
  <c r="AQ4" i="8"/>
  <c r="AV4" i="8"/>
  <c r="AY4" i="8" s="1"/>
  <c r="AQ28" i="8"/>
  <c r="AV28" i="8"/>
  <c r="AY28" i="8" s="1"/>
  <c r="AV93" i="8"/>
  <c r="AY93" i="8" s="1"/>
  <c r="AQ93" i="8"/>
  <c r="AQ102" i="8"/>
  <c r="AV102" i="8"/>
  <c r="AY102" i="8" s="1"/>
  <c r="AQ37" i="8"/>
  <c r="AV37" i="8"/>
  <c r="AY37" i="8" s="1"/>
  <c r="AV61" i="8"/>
  <c r="AY61" i="8" s="1"/>
  <c r="AQ61" i="8"/>
  <c r="AQ103" i="8"/>
  <c r="AV103" i="8"/>
  <c r="AY103" i="8" s="1"/>
  <c r="AQ97" i="8"/>
  <c r="AV97" i="8"/>
  <c r="AY97" i="8" s="1"/>
  <c r="AQ78" i="8"/>
  <c r="AV78" i="8"/>
  <c r="AY78" i="8" s="1"/>
  <c r="AQ53" i="8"/>
  <c r="AV53" i="8"/>
  <c r="AY53" i="8" s="1"/>
  <c r="AQ60" i="8"/>
  <c r="AV60" i="8"/>
  <c r="AY60" i="8" s="1"/>
  <c r="AR105" i="8"/>
  <c r="AV9" i="8"/>
  <c r="AY9" i="8" s="1"/>
  <c r="AQ9" i="8"/>
  <c r="AV43" i="8"/>
  <c r="AY43" i="8" s="1"/>
  <c r="AQ43" i="8"/>
  <c r="AQ54" i="8"/>
  <c r="AV54" i="8"/>
  <c r="AY54" i="8" s="1"/>
  <c r="AV27" i="8"/>
  <c r="AY27" i="8" s="1"/>
  <c r="AQ27" i="8"/>
  <c r="AQ72" i="8"/>
  <c r="AV72" i="8"/>
  <c r="AY72" i="8" s="1"/>
  <c r="AV96" i="8"/>
  <c r="AY96" i="8" s="1"/>
  <c r="AQ96" i="8"/>
  <c r="AR46" i="8"/>
  <c r="AV57" i="8"/>
  <c r="AY57" i="8" s="1"/>
  <c r="AQ57" i="8"/>
  <c r="AQ48" i="8"/>
  <c r="AV48" i="8"/>
  <c r="AY48" i="8" s="1"/>
  <c r="AQ35" i="8"/>
  <c r="AV35" i="8"/>
  <c r="AY35" i="8" s="1"/>
  <c r="AR41" i="8"/>
  <c r="AV66" i="8"/>
  <c r="AY66" i="8" s="1"/>
  <c r="AQ66" i="8"/>
  <c r="AV25" i="8"/>
  <c r="AY25" i="8" s="1"/>
  <c r="AQ25" i="8"/>
  <c r="AV99" i="8"/>
  <c r="AY99" i="8" s="1"/>
  <c r="AQ99" i="8"/>
  <c r="AV19" i="8"/>
  <c r="AY19" i="8" s="1"/>
  <c r="AQ19" i="8"/>
  <c r="AQ94" i="8"/>
  <c r="AV94" i="8"/>
  <c r="AY94" i="8" s="1"/>
  <c r="AQ12" i="8"/>
  <c r="AV12" i="8"/>
  <c r="AY12" i="8" s="1"/>
  <c r="AQ84" i="8"/>
  <c r="AV84" i="8"/>
  <c r="AY84" i="8" s="1"/>
  <c r="AV50" i="8"/>
  <c r="AY50" i="8" s="1"/>
  <c r="AQ50" i="8"/>
  <c r="AV7" i="8"/>
  <c r="AY7" i="8" s="1"/>
  <c r="AQ7" i="8"/>
  <c r="AV38" i="8"/>
  <c r="AY38" i="8" s="1"/>
  <c r="AQ38" i="8"/>
  <c r="AQ62" i="8"/>
  <c r="AV62" i="8"/>
  <c r="AY62" i="8" s="1"/>
  <c r="AQ5" i="8"/>
  <c r="AV5" i="8"/>
  <c r="AY5" i="8" s="1"/>
  <c r="AQ30" i="8"/>
  <c r="AV30" i="8"/>
  <c r="AY30" i="8" s="1"/>
  <c r="AQ21" i="8"/>
  <c r="AV21" i="8"/>
  <c r="AY21" i="8" s="1"/>
  <c r="AR75" i="8"/>
  <c r="AV23" i="8"/>
  <c r="AY23" i="8" s="1"/>
  <c r="AQ23" i="8"/>
  <c r="AQ76" i="8"/>
  <c r="AV76" i="8"/>
  <c r="AY76" i="8" s="1"/>
  <c r="AV52" i="8"/>
  <c r="AY52" i="8" s="1"/>
  <c r="AQ52" i="8"/>
  <c r="AO1459" i="1"/>
  <c r="AS1458" i="1"/>
  <c r="AO2061" i="1"/>
  <c r="AS2060" i="1"/>
  <c r="AO2089" i="1"/>
  <c r="AS2088" i="1"/>
  <c r="AS2089" i="1" s="1"/>
  <c r="AO1736" i="1"/>
  <c r="AS1736" i="1" s="1"/>
  <c r="AS1735" i="1"/>
  <c r="AO1657" i="1"/>
  <c r="AO1658" i="1" s="1"/>
  <c r="AS1656" i="1"/>
  <c r="AS1657" i="1" s="1"/>
  <c r="AS1658" i="1" s="1"/>
  <c r="AS965" i="1"/>
  <c r="AO2081" i="1"/>
  <c r="AS2080" i="1"/>
  <c r="AS1492" i="1"/>
  <c r="AO2106" i="1"/>
  <c r="AS2105" i="1"/>
  <c r="AO2218" i="1"/>
  <c r="AS2218" i="1" s="1"/>
  <c r="AS2217" i="1"/>
  <c r="AO1053" i="1"/>
  <c r="AS1052" i="1"/>
  <c r="AS1909" i="1"/>
  <c r="AS1434" i="1"/>
  <c r="AO1541" i="1"/>
  <c r="AS1540" i="1"/>
  <c r="AS1609" i="1"/>
  <c r="AO1805" i="1"/>
  <c r="AS1804" i="1"/>
  <c r="AO1994" i="1"/>
  <c r="AS1994" i="1" s="1"/>
  <c r="AS1993" i="1"/>
  <c r="AO1241" i="1"/>
  <c r="AS1240" i="1"/>
  <c r="AO1786" i="1"/>
  <c r="AS1786" i="1" s="1"/>
  <c r="AS1785" i="1"/>
  <c r="AS1194" i="1"/>
  <c r="AO1947" i="1"/>
  <c r="AO1948" i="1" s="1"/>
  <c r="AS1946" i="1"/>
  <c r="AO1978" i="1"/>
  <c r="AS1978" i="1" s="1"/>
  <c r="AS1977" i="1"/>
  <c r="AO1914" i="1"/>
  <c r="AS1913" i="1"/>
  <c r="AO1432" i="1"/>
  <c r="AS1431" i="1"/>
  <c r="AS1432" i="1" s="1"/>
  <c r="AS1418" i="1"/>
  <c r="AO2027" i="1"/>
  <c r="AS2026" i="1"/>
  <c r="AS1336" i="1"/>
  <c r="AS1728" i="1"/>
  <c r="AS1729" i="1" s="1"/>
  <c r="AS925" i="1"/>
  <c r="AS926" i="1" s="1"/>
  <c r="AS2087" i="1"/>
  <c r="AS1120" i="1"/>
  <c r="AS1121" i="1" s="1"/>
  <c r="BB74" i="8" l="1"/>
  <c r="BA75" i="8"/>
  <c r="BB75" i="8" s="1"/>
  <c r="AP1167" i="1"/>
  <c r="AP926" i="1"/>
  <c r="AS866" i="1"/>
  <c r="AP1670" i="1"/>
  <c r="AP1424" i="1"/>
  <c r="AP944" i="1"/>
  <c r="AJ1389" i="1"/>
  <c r="AL1388" i="1"/>
  <c r="AP1388" i="1" s="1"/>
  <c r="AS2106" i="1"/>
  <c r="AP1909" i="1"/>
  <c r="AP1001" i="1"/>
  <c r="AP1293" i="1"/>
  <c r="AS1947" i="1"/>
  <c r="AS1948" i="1" s="1"/>
  <c r="AS1053" i="1"/>
  <c r="AS2061" i="1"/>
  <c r="AP1903" i="1"/>
  <c r="AP2423" i="1"/>
  <c r="AP1918" i="1"/>
  <c r="AP1921" i="1"/>
  <c r="AP1806" i="1"/>
  <c r="AP1247" i="1"/>
  <c r="AP1367" i="1"/>
  <c r="BB11" i="1"/>
  <c r="BT10" i="1"/>
  <c r="AS1914" i="1"/>
  <c r="AS1541" i="1"/>
  <c r="AP1982" i="1"/>
  <c r="AP1468" i="1"/>
  <c r="AP2171" i="1"/>
  <c r="AP2172" i="1" s="1"/>
  <c r="AP1009" i="1"/>
  <c r="BT9" i="1"/>
  <c r="AJ2415" i="1"/>
  <c r="AL2414" i="1"/>
  <c r="AP2414" i="1" s="1"/>
  <c r="AJ1112" i="1"/>
  <c r="AL1112" i="1" s="1"/>
  <c r="AL1111" i="1"/>
  <c r="AP1111" i="1" s="1"/>
  <c r="AS1241" i="1"/>
  <c r="AP2371" i="1"/>
  <c r="AJ1647" i="1"/>
  <c r="AL1646" i="1"/>
  <c r="AP1646" i="1" s="1"/>
  <c r="AS2027" i="1"/>
  <c r="AS2081" i="1"/>
  <c r="AO1806" i="1"/>
  <c r="AS1805" i="1"/>
  <c r="AS1459" i="1"/>
  <c r="AS1806" i="1" l="1"/>
  <c r="AJ1390" i="1"/>
  <c r="AL1390" i="1" s="1"/>
  <c r="AL1389" i="1"/>
  <c r="AP1389" i="1" s="1"/>
  <c r="AP1112" i="1"/>
  <c r="AJ1648" i="1"/>
  <c r="AL1648" i="1" s="1"/>
  <c r="AL1647" i="1"/>
  <c r="AP1647" i="1" s="1"/>
  <c r="AJ2416" i="1"/>
  <c r="AL2415" i="1"/>
  <c r="AP2415" i="1" s="1"/>
  <c r="BB12" i="1"/>
  <c r="BT11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4" i="1"/>
  <c r="BM4" i="1"/>
  <c r="AA861" i="1"/>
  <c r="AB861" i="1"/>
  <c r="AC861" i="1" s="1"/>
  <c r="AA862" i="1"/>
  <c r="AB862" i="1"/>
  <c r="AC862" i="1" s="1"/>
  <c r="AA863" i="1"/>
  <c r="AB863" i="1"/>
  <c r="AC863" i="1" s="1"/>
  <c r="AQ863" i="1" s="1"/>
  <c r="AA864" i="1"/>
  <c r="AB864" i="1"/>
  <c r="AC864" i="1" s="1"/>
  <c r="AA865" i="1"/>
  <c r="AB865" i="1"/>
  <c r="AC865" i="1" s="1"/>
  <c r="AA866" i="1"/>
  <c r="AB866" i="1"/>
  <c r="AC866" i="1" s="1"/>
  <c r="AA867" i="1"/>
  <c r="AB867" i="1"/>
  <c r="AC867" i="1" s="1"/>
  <c r="AA868" i="1"/>
  <c r="AB868" i="1"/>
  <c r="AC868" i="1" s="1"/>
  <c r="AA869" i="1"/>
  <c r="AB869" i="1"/>
  <c r="AC869" i="1" s="1"/>
  <c r="AA870" i="1"/>
  <c r="AB870" i="1"/>
  <c r="AC870" i="1" s="1"/>
  <c r="AA871" i="1"/>
  <c r="AB871" i="1"/>
  <c r="AC871" i="1" s="1"/>
  <c r="AA872" i="1"/>
  <c r="AB872" i="1"/>
  <c r="AC872" i="1" s="1"/>
  <c r="AA873" i="1"/>
  <c r="AB873" i="1"/>
  <c r="AC873" i="1" s="1"/>
  <c r="AA874" i="1"/>
  <c r="AB874" i="1"/>
  <c r="AC874" i="1" s="1"/>
  <c r="AA875" i="1"/>
  <c r="AB875" i="1"/>
  <c r="AC875" i="1" s="1"/>
  <c r="AA876" i="1"/>
  <c r="AB876" i="1"/>
  <c r="AC876" i="1" s="1"/>
  <c r="AA877" i="1"/>
  <c r="AB877" i="1"/>
  <c r="AC877" i="1" s="1"/>
  <c r="AA878" i="1"/>
  <c r="AB878" i="1"/>
  <c r="AC878" i="1" s="1"/>
  <c r="AA879" i="1"/>
  <c r="AB879" i="1"/>
  <c r="AC879" i="1" s="1"/>
  <c r="AA880" i="1"/>
  <c r="AB880" i="1"/>
  <c r="AC880" i="1" s="1"/>
  <c r="AA881" i="1"/>
  <c r="AB881" i="1"/>
  <c r="AC881" i="1" s="1"/>
  <c r="AA882" i="1"/>
  <c r="AB882" i="1"/>
  <c r="AC882" i="1" s="1"/>
  <c r="AQ882" i="1" s="1"/>
  <c r="AA883" i="1"/>
  <c r="AB883" i="1"/>
  <c r="AC883" i="1" s="1"/>
  <c r="AA884" i="1"/>
  <c r="AB884" i="1"/>
  <c r="AC884" i="1" s="1"/>
  <c r="AA885" i="1"/>
  <c r="AB885" i="1"/>
  <c r="AC885" i="1" s="1"/>
  <c r="AA886" i="1"/>
  <c r="AB886" i="1"/>
  <c r="AC886" i="1" s="1"/>
  <c r="AA887" i="1"/>
  <c r="AB887" i="1"/>
  <c r="AC887" i="1" s="1"/>
  <c r="AA888" i="1"/>
  <c r="AB888" i="1"/>
  <c r="AC888" i="1" s="1"/>
  <c r="AA889" i="1"/>
  <c r="AB889" i="1"/>
  <c r="AC889" i="1" s="1"/>
  <c r="AA890" i="1"/>
  <c r="AB890" i="1"/>
  <c r="AC890" i="1" s="1"/>
  <c r="AA891" i="1"/>
  <c r="AB891" i="1"/>
  <c r="AC891" i="1" s="1"/>
  <c r="AA892" i="1"/>
  <c r="AB892" i="1"/>
  <c r="AC892" i="1" s="1"/>
  <c r="AA893" i="1"/>
  <c r="AB893" i="1"/>
  <c r="AC893" i="1" s="1"/>
  <c r="AA894" i="1"/>
  <c r="AB894" i="1"/>
  <c r="AC894" i="1" s="1"/>
  <c r="AA895" i="1"/>
  <c r="AB895" i="1"/>
  <c r="AC895" i="1" s="1"/>
  <c r="AA896" i="1"/>
  <c r="AB896" i="1"/>
  <c r="AC896" i="1" s="1"/>
  <c r="AA897" i="1"/>
  <c r="AB897" i="1"/>
  <c r="AC897" i="1" s="1"/>
  <c r="AA898" i="1"/>
  <c r="AB898" i="1"/>
  <c r="AC898" i="1" s="1"/>
  <c r="AA899" i="1"/>
  <c r="AB899" i="1"/>
  <c r="AC899" i="1" s="1"/>
  <c r="AA900" i="1"/>
  <c r="AB900" i="1"/>
  <c r="AC900" i="1" s="1"/>
  <c r="AA901" i="1"/>
  <c r="AB901" i="1"/>
  <c r="AC901" i="1" s="1"/>
  <c r="AA902" i="1"/>
  <c r="AB902" i="1"/>
  <c r="AC902" i="1" s="1"/>
  <c r="AA903" i="1"/>
  <c r="AB903" i="1"/>
  <c r="AC903" i="1" s="1"/>
  <c r="AA904" i="1"/>
  <c r="AB904" i="1"/>
  <c r="AC904" i="1" s="1"/>
  <c r="AA905" i="1"/>
  <c r="AB905" i="1"/>
  <c r="AC905" i="1" s="1"/>
  <c r="AA906" i="1"/>
  <c r="AB906" i="1"/>
  <c r="AC906" i="1" s="1"/>
  <c r="AA907" i="1"/>
  <c r="AB907" i="1"/>
  <c r="AC907" i="1" s="1"/>
  <c r="AA908" i="1"/>
  <c r="AB908" i="1"/>
  <c r="AC908" i="1" s="1"/>
  <c r="AA909" i="1"/>
  <c r="AB909" i="1"/>
  <c r="AC909" i="1" s="1"/>
  <c r="AA910" i="1"/>
  <c r="AB910" i="1"/>
  <c r="AC910" i="1" s="1"/>
  <c r="AA911" i="1"/>
  <c r="AB911" i="1"/>
  <c r="AC911" i="1" s="1"/>
  <c r="AA912" i="1"/>
  <c r="AB912" i="1"/>
  <c r="AC912" i="1" s="1"/>
  <c r="AA913" i="1"/>
  <c r="AB913" i="1"/>
  <c r="AC913" i="1" s="1"/>
  <c r="AA914" i="1"/>
  <c r="AB914" i="1"/>
  <c r="AC914" i="1" s="1"/>
  <c r="AA915" i="1"/>
  <c r="AB915" i="1"/>
  <c r="AC915" i="1" s="1"/>
  <c r="AA916" i="1"/>
  <c r="AB916" i="1"/>
  <c r="AC916" i="1" s="1"/>
  <c r="AA917" i="1"/>
  <c r="AB917" i="1"/>
  <c r="AC917" i="1" s="1"/>
  <c r="AA918" i="1"/>
  <c r="AB918" i="1"/>
  <c r="AC918" i="1" s="1"/>
  <c r="AA919" i="1"/>
  <c r="AB919" i="1"/>
  <c r="AC919" i="1" s="1"/>
  <c r="AA920" i="1"/>
  <c r="AB920" i="1"/>
  <c r="AC920" i="1" s="1"/>
  <c r="AA921" i="1"/>
  <c r="AB921" i="1"/>
  <c r="AC921" i="1" s="1"/>
  <c r="AA922" i="1"/>
  <c r="AB922" i="1"/>
  <c r="AC922" i="1" s="1"/>
  <c r="AA923" i="1"/>
  <c r="AB923" i="1"/>
  <c r="AC923" i="1" s="1"/>
  <c r="AA924" i="1"/>
  <c r="AB924" i="1"/>
  <c r="AC924" i="1" s="1"/>
  <c r="AA925" i="1"/>
  <c r="AB925" i="1"/>
  <c r="AC925" i="1" s="1"/>
  <c r="AA926" i="1"/>
  <c r="AB926" i="1"/>
  <c r="AC926" i="1" s="1"/>
  <c r="AA927" i="1"/>
  <c r="AB927" i="1"/>
  <c r="AC927" i="1" s="1"/>
  <c r="AA928" i="1"/>
  <c r="AB928" i="1"/>
  <c r="AC928" i="1" s="1"/>
  <c r="AA929" i="1"/>
  <c r="AB929" i="1"/>
  <c r="AC929" i="1" s="1"/>
  <c r="AA930" i="1"/>
  <c r="AB930" i="1"/>
  <c r="AC930" i="1" s="1"/>
  <c r="AA931" i="1"/>
  <c r="AB931" i="1"/>
  <c r="AC931" i="1" s="1"/>
  <c r="AA932" i="1"/>
  <c r="AB932" i="1"/>
  <c r="AC932" i="1" s="1"/>
  <c r="AA933" i="1"/>
  <c r="AB933" i="1"/>
  <c r="AC933" i="1" s="1"/>
  <c r="AA934" i="1"/>
  <c r="AB934" i="1"/>
  <c r="AC934" i="1" s="1"/>
  <c r="AA935" i="1"/>
  <c r="AB935" i="1"/>
  <c r="AC935" i="1" s="1"/>
  <c r="AA936" i="1"/>
  <c r="AB936" i="1"/>
  <c r="AC936" i="1" s="1"/>
  <c r="AA937" i="1"/>
  <c r="AB937" i="1"/>
  <c r="AC937" i="1" s="1"/>
  <c r="AA938" i="1"/>
  <c r="AB938" i="1"/>
  <c r="AC938" i="1" s="1"/>
  <c r="AA939" i="1"/>
  <c r="AB939" i="1"/>
  <c r="AC939" i="1" s="1"/>
  <c r="AA940" i="1"/>
  <c r="AB940" i="1"/>
  <c r="AC940" i="1" s="1"/>
  <c r="AA941" i="1"/>
  <c r="AB941" i="1"/>
  <c r="AC941" i="1" s="1"/>
  <c r="AA942" i="1"/>
  <c r="AB942" i="1"/>
  <c r="AC942" i="1" s="1"/>
  <c r="AA943" i="1"/>
  <c r="AB943" i="1"/>
  <c r="AC943" i="1" s="1"/>
  <c r="AA944" i="1"/>
  <c r="AB944" i="1"/>
  <c r="AC944" i="1" s="1"/>
  <c r="AA945" i="1"/>
  <c r="AB945" i="1"/>
  <c r="AC945" i="1" s="1"/>
  <c r="AA946" i="1"/>
  <c r="AB946" i="1"/>
  <c r="AC946" i="1" s="1"/>
  <c r="AA947" i="1"/>
  <c r="AB947" i="1"/>
  <c r="AC947" i="1" s="1"/>
  <c r="AA948" i="1"/>
  <c r="AB948" i="1"/>
  <c r="AC948" i="1" s="1"/>
  <c r="AA949" i="1"/>
  <c r="AB949" i="1"/>
  <c r="AC949" i="1" s="1"/>
  <c r="AA950" i="1"/>
  <c r="AB950" i="1"/>
  <c r="AC950" i="1" s="1"/>
  <c r="AA951" i="1"/>
  <c r="AB951" i="1"/>
  <c r="AC951" i="1" s="1"/>
  <c r="AA952" i="1"/>
  <c r="AB952" i="1"/>
  <c r="AC952" i="1" s="1"/>
  <c r="AA953" i="1"/>
  <c r="AB953" i="1"/>
  <c r="AC953" i="1" s="1"/>
  <c r="AA954" i="1"/>
  <c r="AB954" i="1"/>
  <c r="AC954" i="1" s="1"/>
  <c r="AA955" i="1"/>
  <c r="AB955" i="1"/>
  <c r="AC955" i="1" s="1"/>
  <c r="AA956" i="1"/>
  <c r="AB956" i="1"/>
  <c r="AC956" i="1" s="1"/>
  <c r="AA957" i="1"/>
  <c r="AB957" i="1"/>
  <c r="AC957" i="1" s="1"/>
  <c r="AA958" i="1"/>
  <c r="AB958" i="1"/>
  <c r="AC958" i="1" s="1"/>
  <c r="AA959" i="1"/>
  <c r="AB959" i="1"/>
  <c r="AC959" i="1" s="1"/>
  <c r="AA960" i="1"/>
  <c r="AB960" i="1"/>
  <c r="AC960" i="1" s="1"/>
  <c r="AA961" i="1"/>
  <c r="AB961" i="1"/>
  <c r="AC961" i="1" s="1"/>
  <c r="AA962" i="1"/>
  <c r="AB962" i="1"/>
  <c r="AC962" i="1" s="1"/>
  <c r="AA963" i="1"/>
  <c r="AB963" i="1"/>
  <c r="AC963" i="1" s="1"/>
  <c r="AA964" i="1"/>
  <c r="AB964" i="1"/>
  <c r="AC964" i="1" s="1"/>
  <c r="AA965" i="1"/>
  <c r="AB965" i="1"/>
  <c r="AC965" i="1" s="1"/>
  <c r="AA966" i="1"/>
  <c r="AB966" i="1"/>
  <c r="AC966" i="1" s="1"/>
  <c r="AA967" i="1"/>
  <c r="AB967" i="1"/>
  <c r="AC967" i="1" s="1"/>
  <c r="AA968" i="1"/>
  <c r="AB968" i="1"/>
  <c r="AC968" i="1" s="1"/>
  <c r="AA969" i="1"/>
  <c r="AB969" i="1"/>
  <c r="AC969" i="1" s="1"/>
  <c r="AA970" i="1"/>
  <c r="AB970" i="1"/>
  <c r="AC970" i="1" s="1"/>
  <c r="AA971" i="1"/>
  <c r="AB971" i="1"/>
  <c r="AC971" i="1" s="1"/>
  <c r="AA972" i="1"/>
  <c r="AB972" i="1"/>
  <c r="AC972" i="1"/>
  <c r="AA973" i="1"/>
  <c r="AB973" i="1"/>
  <c r="AC973" i="1" s="1"/>
  <c r="AA974" i="1"/>
  <c r="AB974" i="1"/>
  <c r="AC974" i="1" s="1"/>
  <c r="AA975" i="1"/>
  <c r="AB975" i="1"/>
  <c r="AC975" i="1" s="1"/>
  <c r="AA976" i="1"/>
  <c r="AB976" i="1"/>
  <c r="AC976" i="1" s="1"/>
  <c r="AA977" i="1"/>
  <c r="AB977" i="1"/>
  <c r="AC977" i="1" s="1"/>
  <c r="AA978" i="1"/>
  <c r="AB978" i="1"/>
  <c r="AC978" i="1" s="1"/>
  <c r="AA979" i="1"/>
  <c r="AB979" i="1"/>
  <c r="AC979" i="1" s="1"/>
  <c r="AA980" i="1"/>
  <c r="AB980" i="1"/>
  <c r="AC980" i="1" s="1"/>
  <c r="AA981" i="1"/>
  <c r="AB981" i="1"/>
  <c r="AC981" i="1" s="1"/>
  <c r="AA982" i="1"/>
  <c r="AB982" i="1"/>
  <c r="AC982" i="1" s="1"/>
  <c r="AA983" i="1"/>
  <c r="AB983" i="1"/>
  <c r="AC983" i="1" s="1"/>
  <c r="AA984" i="1"/>
  <c r="AB984" i="1"/>
  <c r="AC984" i="1" s="1"/>
  <c r="AA985" i="1"/>
  <c r="AB985" i="1"/>
  <c r="AC985" i="1" s="1"/>
  <c r="AA986" i="1"/>
  <c r="AB986" i="1"/>
  <c r="AC986" i="1" s="1"/>
  <c r="AA987" i="1"/>
  <c r="AB987" i="1"/>
  <c r="AC987" i="1" s="1"/>
  <c r="AA988" i="1"/>
  <c r="AB988" i="1"/>
  <c r="AC988" i="1" s="1"/>
  <c r="AA989" i="1"/>
  <c r="AB989" i="1"/>
  <c r="AC989" i="1" s="1"/>
  <c r="AA990" i="1"/>
  <c r="AB990" i="1"/>
  <c r="AC990" i="1" s="1"/>
  <c r="AA991" i="1"/>
  <c r="AB991" i="1"/>
  <c r="AC991" i="1" s="1"/>
  <c r="AA992" i="1"/>
  <c r="AB992" i="1"/>
  <c r="AC992" i="1" s="1"/>
  <c r="AA993" i="1"/>
  <c r="AB993" i="1"/>
  <c r="AC993" i="1" s="1"/>
  <c r="AA994" i="1"/>
  <c r="AB994" i="1"/>
  <c r="AC994" i="1" s="1"/>
  <c r="AA995" i="1"/>
  <c r="AB995" i="1"/>
  <c r="AC995" i="1" s="1"/>
  <c r="AA996" i="1"/>
  <c r="AB996" i="1"/>
  <c r="AC996" i="1" s="1"/>
  <c r="AA997" i="1"/>
  <c r="AB997" i="1"/>
  <c r="AC997" i="1" s="1"/>
  <c r="AA998" i="1"/>
  <c r="AB998" i="1"/>
  <c r="AC998" i="1" s="1"/>
  <c r="AA999" i="1"/>
  <c r="AB999" i="1"/>
  <c r="AC999" i="1" s="1"/>
  <c r="AA1000" i="1"/>
  <c r="AB1000" i="1"/>
  <c r="AC1000" i="1" s="1"/>
  <c r="AA1001" i="1"/>
  <c r="AB1001" i="1"/>
  <c r="AC1001" i="1" s="1"/>
  <c r="AA1002" i="1"/>
  <c r="AB1002" i="1"/>
  <c r="AC1002" i="1" s="1"/>
  <c r="AA1003" i="1"/>
  <c r="AB1003" i="1"/>
  <c r="AC1003" i="1" s="1"/>
  <c r="AA1004" i="1"/>
  <c r="AB1004" i="1"/>
  <c r="AC1004" i="1" s="1"/>
  <c r="AA1005" i="1"/>
  <c r="AB1005" i="1"/>
  <c r="AC1005" i="1" s="1"/>
  <c r="AA1006" i="1"/>
  <c r="AB1006" i="1"/>
  <c r="AC1006" i="1" s="1"/>
  <c r="AA1007" i="1"/>
  <c r="AB1007" i="1"/>
  <c r="AC1007" i="1" s="1"/>
  <c r="AA1008" i="1"/>
  <c r="AB1008" i="1"/>
  <c r="AC1008" i="1" s="1"/>
  <c r="AA1009" i="1"/>
  <c r="AB1009" i="1"/>
  <c r="AC1009" i="1" s="1"/>
  <c r="AA1010" i="1"/>
  <c r="AB1010" i="1"/>
  <c r="AC1010" i="1" s="1"/>
  <c r="AA1011" i="1"/>
  <c r="AB1011" i="1"/>
  <c r="AC1011" i="1" s="1"/>
  <c r="AA1012" i="1"/>
  <c r="AB1012" i="1"/>
  <c r="AC1012" i="1" s="1"/>
  <c r="AA1013" i="1"/>
  <c r="AB1013" i="1"/>
  <c r="AC1013" i="1" s="1"/>
  <c r="AA1014" i="1"/>
  <c r="AB1014" i="1"/>
  <c r="AC1014" i="1" s="1"/>
  <c r="AA1015" i="1"/>
  <c r="AB1015" i="1"/>
  <c r="AC1015" i="1" s="1"/>
  <c r="AA1016" i="1"/>
  <c r="AB1016" i="1"/>
  <c r="AC1016" i="1" s="1"/>
  <c r="AA1017" i="1"/>
  <c r="AB1017" i="1"/>
  <c r="AC1017" i="1" s="1"/>
  <c r="AA1018" i="1"/>
  <c r="AB1018" i="1"/>
  <c r="AC1018" i="1" s="1"/>
  <c r="AA1019" i="1"/>
  <c r="AB1019" i="1"/>
  <c r="AC1019" i="1" s="1"/>
  <c r="AA1020" i="1"/>
  <c r="AB1020" i="1"/>
  <c r="AC1020" i="1" s="1"/>
  <c r="AA1021" i="1"/>
  <c r="AB1021" i="1"/>
  <c r="AC1021" i="1" s="1"/>
  <c r="AA1022" i="1"/>
  <c r="AB1022" i="1"/>
  <c r="AC1022" i="1" s="1"/>
  <c r="AA1023" i="1"/>
  <c r="AB1023" i="1"/>
  <c r="AC1023" i="1" s="1"/>
  <c r="AA1024" i="1"/>
  <c r="AB1024" i="1"/>
  <c r="AC1024" i="1" s="1"/>
  <c r="AA1025" i="1"/>
  <c r="AB1025" i="1"/>
  <c r="AC1025" i="1" s="1"/>
  <c r="AA1026" i="1"/>
  <c r="AB1026" i="1"/>
  <c r="AC1026" i="1" s="1"/>
  <c r="AA1027" i="1"/>
  <c r="AB1027" i="1"/>
  <c r="AC1027" i="1" s="1"/>
  <c r="AA1028" i="1"/>
  <c r="AB1028" i="1"/>
  <c r="AC1028" i="1" s="1"/>
  <c r="AA1029" i="1"/>
  <c r="AB1029" i="1"/>
  <c r="AC1029" i="1" s="1"/>
  <c r="AA1030" i="1"/>
  <c r="AB1030" i="1"/>
  <c r="AC1030" i="1" s="1"/>
  <c r="AA1031" i="1"/>
  <c r="AB1031" i="1"/>
  <c r="AC1031" i="1" s="1"/>
  <c r="AA1032" i="1"/>
  <c r="AB1032" i="1"/>
  <c r="AC1032" i="1" s="1"/>
  <c r="AA1033" i="1"/>
  <c r="AB1033" i="1"/>
  <c r="AC1033" i="1" s="1"/>
  <c r="AA1034" i="1"/>
  <c r="AB1034" i="1"/>
  <c r="AC1034" i="1" s="1"/>
  <c r="AA1035" i="1"/>
  <c r="AB1035" i="1"/>
  <c r="AC1035" i="1" s="1"/>
  <c r="AA1036" i="1"/>
  <c r="AB1036" i="1"/>
  <c r="AC1036" i="1" s="1"/>
  <c r="AA1037" i="1"/>
  <c r="AB1037" i="1"/>
  <c r="AC1037" i="1" s="1"/>
  <c r="AA1038" i="1"/>
  <c r="AB1038" i="1"/>
  <c r="AC1038" i="1" s="1"/>
  <c r="AA1039" i="1"/>
  <c r="AB1039" i="1"/>
  <c r="AC1039" i="1" s="1"/>
  <c r="AA1040" i="1"/>
  <c r="AB1040" i="1"/>
  <c r="AC1040" i="1" s="1"/>
  <c r="AA1041" i="1"/>
  <c r="AB1041" i="1"/>
  <c r="AC1041" i="1" s="1"/>
  <c r="AA1042" i="1"/>
  <c r="AB1042" i="1"/>
  <c r="AC1042" i="1" s="1"/>
  <c r="AA1043" i="1"/>
  <c r="AB1043" i="1"/>
  <c r="AC1043" i="1" s="1"/>
  <c r="AA1044" i="1"/>
  <c r="AB1044" i="1"/>
  <c r="AC1044" i="1" s="1"/>
  <c r="AA1045" i="1"/>
  <c r="AB1045" i="1"/>
  <c r="AC1045" i="1" s="1"/>
  <c r="AA1046" i="1"/>
  <c r="AB1046" i="1"/>
  <c r="AC1046" i="1" s="1"/>
  <c r="AA1047" i="1"/>
  <c r="AB1047" i="1"/>
  <c r="AC1047" i="1" s="1"/>
  <c r="AA1048" i="1"/>
  <c r="AB1048" i="1"/>
  <c r="AC1048" i="1" s="1"/>
  <c r="AA1049" i="1"/>
  <c r="AB1049" i="1"/>
  <c r="AC1049" i="1" s="1"/>
  <c r="AA1050" i="1"/>
  <c r="AB1050" i="1"/>
  <c r="AC1050" i="1" s="1"/>
  <c r="AA1051" i="1"/>
  <c r="AB1051" i="1"/>
  <c r="AC1051" i="1" s="1"/>
  <c r="AA1052" i="1"/>
  <c r="AB1052" i="1"/>
  <c r="AC1052" i="1" s="1"/>
  <c r="AA1053" i="1"/>
  <c r="AB1053" i="1"/>
  <c r="AC1053" i="1" s="1"/>
  <c r="AA1054" i="1"/>
  <c r="AB1054" i="1"/>
  <c r="AC1054" i="1" s="1"/>
  <c r="AA1055" i="1"/>
  <c r="AB1055" i="1"/>
  <c r="AC1055" i="1" s="1"/>
  <c r="AA1056" i="1"/>
  <c r="AB1056" i="1"/>
  <c r="AC1056" i="1" s="1"/>
  <c r="AA1057" i="1"/>
  <c r="AB1057" i="1"/>
  <c r="AC1057" i="1" s="1"/>
  <c r="AA1058" i="1"/>
  <c r="AB1058" i="1"/>
  <c r="AC1058" i="1" s="1"/>
  <c r="AA1059" i="1"/>
  <c r="AB1059" i="1"/>
  <c r="AC1059" i="1" s="1"/>
  <c r="AA1060" i="1"/>
  <c r="AB1060" i="1"/>
  <c r="AC1060" i="1" s="1"/>
  <c r="AA1061" i="1"/>
  <c r="AB1061" i="1"/>
  <c r="AC1061" i="1" s="1"/>
  <c r="AA1062" i="1"/>
  <c r="AB1062" i="1"/>
  <c r="AC1062" i="1" s="1"/>
  <c r="AA1063" i="1"/>
  <c r="AB1063" i="1"/>
  <c r="AC1063" i="1" s="1"/>
  <c r="AA1064" i="1"/>
  <c r="AB1064" i="1"/>
  <c r="AC1064" i="1" s="1"/>
  <c r="AQ1064" i="1" s="1"/>
  <c r="AA1065" i="1"/>
  <c r="AB1065" i="1"/>
  <c r="AC1065" i="1" s="1"/>
  <c r="AA1066" i="1"/>
  <c r="AB1066" i="1"/>
  <c r="AC1066" i="1" s="1"/>
  <c r="AA1067" i="1"/>
  <c r="AB1067" i="1"/>
  <c r="AC1067" i="1" s="1"/>
  <c r="AA1068" i="1"/>
  <c r="AB1068" i="1"/>
  <c r="AC1068" i="1" s="1"/>
  <c r="AA1069" i="1"/>
  <c r="AB1069" i="1"/>
  <c r="AC1069" i="1" s="1"/>
  <c r="AA1070" i="1"/>
  <c r="AB1070" i="1"/>
  <c r="AC1070" i="1" s="1"/>
  <c r="AA1071" i="1"/>
  <c r="AB1071" i="1"/>
  <c r="AC1071" i="1" s="1"/>
  <c r="AA1072" i="1"/>
  <c r="AB1072" i="1"/>
  <c r="AC1072" i="1" s="1"/>
  <c r="AA1073" i="1"/>
  <c r="AB1073" i="1"/>
  <c r="AC1073" i="1" s="1"/>
  <c r="AA1074" i="1"/>
  <c r="AB1074" i="1"/>
  <c r="AC1074" i="1" s="1"/>
  <c r="AA1075" i="1"/>
  <c r="AB1075" i="1"/>
  <c r="AC1075" i="1" s="1"/>
  <c r="AA1076" i="1"/>
  <c r="AB1076" i="1"/>
  <c r="AC1076" i="1" s="1"/>
  <c r="AA1077" i="1"/>
  <c r="AB1077" i="1"/>
  <c r="AC1077" i="1" s="1"/>
  <c r="AA1078" i="1"/>
  <c r="AB1078" i="1"/>
  <c r="AC1078" i="1" s="1"/>
  <c r="AA1079" i="1"/>
  <c r="AB1079" i="1"/>
  <c r="AC1079" i="1" s="1"/>
  <c r="AA1080" i="1"/>
  <c r="AB1080" i="1"/>
  <c r="AC1080" i="1" s="1"/>
  <c r="AQ1080" i="1" s="1"/>
  <c r="AA1081" i="1"/>
  <c r="AB1081" i="1"/>
  <c r="AC1081" i="1" s="1"/>
  <c r="AA1082" i="1"/>
  <c r="AB1082" i="1"/>
  <c r="AC1082" i="1" s="1"/>
  <c r="AA1083" i="1"/>
  <c r="AB1083" i="1"/>
  <c r="AC1083" i="1" s="1"/>
  <c r="AA1084" i="1"/>
  <c r="AB1084" i="1"/>
  <c r="AC1084" i="1" s="1"/>
  <c r="AA1085" i="1"/>
  <c r="AB1085" i="1"/>
  <c r="AC1085" i="1" s="1"/>
  <c r="AA1086" i="1"/>
  <c r="AB1086" i="1"/>
  <c r="AC1086" i="1" s="1"/>
  <c r="AA1087" i="1"/>
  <c r="AB1087" i="1"/>
  <c r="AC1087" i="1" s="1"/>
  <c r="AA1088" i="1"/>
  <c r="AB1088" i="1"/>
  <c r="AC1088" i="1" s="1"/>
  <c r="AA1089" i="1"/>
  <c r="AB1089" i="1"/>
  <c r="AC1089" i="1" s="1"/>
  <c r="AA1090" i="1"/>
  <c r="AB1090" i="1"/>
  <c r="AC1090" i="1" s="1"/>
  <c r="AA1091" i="1"/>
  <c r="AB1091" i="1"/>
  <c r="AC1091" i="1" s="1"/>
  <c r="AA1092" i="1"/>
  <c r="AB1092" i="1"/>
  <c r="AC1092" i="1" s="1"/>
  <c r="AA1093" i="1"/>
  <c r="AB1093" i="1"/>
  <c r="AC1093" i="1" s="1"/>
  <c r="AA1094" i="1"/>
  <c r="AB1094" i="1"/>
  <c r="AC1094" i="1" s="1"/>
  <c r="AA1095" i="1"/>
  <c r="AB1095" i="1"/>
  <c r="AC1095" i="1" s="1"/>
  <c r="AA1096" i="1"/>
  <c r="AB1096" i="1"/>
  <c r="AC1096" i="1" s="1"/>
  <c r="AA1097" i="1"/>
  <c r="AB1097" i="1"/>
  <c r="AC1097" i="1" s="1"/>
  <c r="AA1098" i="1"/>
  <c r="AB1098" i="1"/>
  <c r="AC1098" i="1" s="1"/>
  <c r="AA1099" i="1"/>
  <c r="AB1099" i="1"/>
  <c r="AC1099" i="1" s="1"/>
  <c r="AA1100" i="1"/>
  <c r="AB1100" i="1"/>
  <c r="AC1100" i="1" s="1"/>
  <c r="AA1101" i="1"/>
  <c r="AB1101" i="1"/>
  <c r="AC1101" i="1" s="1"/>
  <c r="AA1102" i="1"/>
  <c r="AB1102" i="1"/>
  <c r="AC1102" i="1" s="1"/>
  <c r="AA1103" i="1"/>
  <c r="AB1103" i="1"/>
  <c r="AC1103" i="1" s="1"/>
  <c r="AA1104" i="1"/>
  <c r="AB1104" i="1"/>
  <c r="AC1104" i="1" s="1"/>
  <c r="AA1105" i="1"/>
  <c r="AB1105" i="1"/>
  <c r="AC1105" i="1" s="1"/>
  <c r="AA1106" i="1"/>
  <c r="AB1106" i="1"/>
  <c r="AC1106" i="1" s="1"/>
  <c r="AA1107" i="1"/>
  <c r="AB1107" i="1"/>
  <c r="AC1107" i="1" s="1"/>
  <c r="AA1108" i="1"/>
  <c r="AB1108" i="1"/>
  <c r="AC1108" i="1" s="1"/>
  <c r="AA1109" i="1"/>
  <c r="AB1109" i="1"/>
  <c r="AC1109" i="1" s="1"/>
  <c r="AA1110" i="1"/>
  <c r="AB1110" i="1"/>
  <c r="AC1110" i="1" s="1"/>
  <c r="AA1111" i="1"/>
  <c r="AB1111" i="1"/>
  <c r="AC1111" i="1" s="1"/>
  <c r="AA1112" i="1"/>
  <c r="AB1112" i="1"/>
  <c r="AC1112" i="1" s="1"/>
  <c r="AA1113" i="1"/>
  <c r="AB1113" i="1"/>
  <c r="AC1113" i="1" s="1"/>
  <c r="AA1114" i="1"/>
  <c r="AB1114" i="1"/>
  <c r="AC1114" i="1" s="1"/>
  <c r="AA1115" i="1"/>
  <c r="AB1115" i="1"/>
  <c r="AC1115" i="1" s="1"/>
  <c r="AA1116" i="1"/>
  <c r="AB1116" i="1"/>
  <c r="AC1116" i="1" s="1"/>
  <c r="AA1117" i="1"/>
  <c r="AB1117" i="1"/>
  <c r="AC1117" i="1" s="1"/>
  <c r="AA1118" i="1"/>
  <c r="AB1118" i="1"/>
  <c r="AC1118" i="1" s="1"/>
  <c r="AA1119" i="1"/>
  <c r="AB1119" i="1"/>
  <c r="AC1119" i="1" s="1"/>
  <c r="AA1120" i="1"/>
  <c r="AB1120" i="1"/>
  <c r="AC1120" i="1" s="1"/>
  <c r="AA1121" i="1"/>
  <c r="AB1121" i="1"/>
  <c r="AC1121" i="1" s="1"/>
  <c r="AA1122" i="1"/>
  <c r="AB1122" i="1"/>
  <c r="AC1122" i="1" s="1"/>
  <c r="AA1123" i="1"/>
  <c r="AB1123" i="1"/>
  <c r="AC1123" i="1" s="1"/>
  <c r="AA1124" i="1"/>
  <c r="AB1124" i="1"/>
  <c r="AC1124" i="1" s="1"/>
  <c r="AA1125" i="1"/>
  <c r="AB1125" i="1"/>
  <c r="AC1125" i="1" s="1"/>
  <c r="AA1126" i="1"/>
  <c r="AB1126" i="1"/>
  <c r="AC1126" i="1" s="1"/>
  <c r="AA1127" i="1"/>
  <c r="AB1127" i="1"/>
  <c r="AC1127" i="1" s="1"/>
  <c r="AA1128" i="1"/>
  <c r="AB1128" i="1"/>
  <c r="AC1128" i="1" s="1"/>
  <c r="AA1129" i="1"/>
  <c r="AB1129" i="1"/>
  <c r="AC1129" i="1" s="1"/>
  <c r="AA1130" i="1"/>
  <c r="AB1130" i="1"/>
  <c r="AC1130" i="1" s="1"/>
  <c r="AA1131" i="1"/>
  <c r="AB1131" i="1"/>
  <c r="AC1131" i="1" s="1"/>
  <c r="AA1132" i="1"/>
  <c r="AB1132" i="1"/>
  <c r="AC1132" i="1" s="1"/>
  <c r="AA1133" i="1"/>
  <c r="AB1133" i="1"/>
  <c r="AC1133" i="1" s="1"/>
  <c r="AA1134" i="1"/>
  <c r="AB1134" i="1"/>
  <c r="AC1134" i="1" s="1"/>
  <c r="AA1135" i="1"/>
  <c r="AB1135" i="1"/>
  <c r="AC1135" i="1" s="1"/>
  <c r="AA1136" i="1"/>
  <c r="AB1136" i="1"/>
  <c r="AC1136" i="1" s="1"/>
  <c r="AA1137" i="1"/>
  <c r="AB1137" i="1"/>
  <c r="AC1137" i="1" s="1"/>
  <c r="AA1138" i="1"/>
  <c r="AB1138" i="1"/>
  <c r="AC1138" i="1" s="1"/>
  <c r="AA1139" i="1"/>
  <c r="AB1139" i="1"/>
  <c r="AC1139" i="1" s="1"/>
  <c r="AA1140" i="1"/>
  <c r="AB1140" i="1"/>
  <c r="AC1140" i="1" s="1"/>
  <c r="AA1141" i="1"/>
  <c r="AB1141" i="1"/>
  <c r="AC1141" i="1" s="1"/>
  <c r="AA1142" i="1"/>
  <c r="AB1142" i="1"/>
  <c r="AC1142" i="1" s="1"/>
  <c r="AA1143" i="1"/>
  <c r="AB1143" i="1"/>
  <c r="AC1143" i="1" s="1"/>
  <c r="AA1144" i="1"/>
  <c r="AB1144" i="1"/>
  <c r="AC1144" i="1" s="1"/>
  <c r="AA1145" i="1"/>
  <c r="AB1145" i="1"/>
  <c r="AC1145" i="1" s="1"/>
  <c r="AA1146" i="1"/>
  <c r="AB1146" i="1"/>
  <c r="AC1146" i="1" s="1"/>
  <c r="AA1147" i="1"/>
  <c r="AB1147" i="1"/>
  <c r="AC1147" i="1" s="1"/>
  <c r="AA1148" i="1"/>
  <c r="AB1148" i="1"/>
  <c r="AC1148" i="1" s="1"/>
  <c r="AA1149" i="1"/>
  <c r="AB1149" i="1"/>
  <c r="AC1149" i="1" s="1"/>
  <c r="AA1150" i="1"/>
  <c r="AB1150" i="1"/>
  <c r="AC1150" i="1" s="1"/>
  <c r="AA1151" i="1"/>
  <c r="AB1151" i="1"/>
  <c r="AC1151" i="1" s="1"/>
  <c r="AA1152" i="1"/>
  <c r="AB1152" i="1"/>
  <c r="AC1152" i="1" s="1"/>
  <c r="AA1153" i="1"/>
  <c r="AB1153" i="1"/>
  <c r="AC1153" i="1"/>
  <c r="AA1154" i="1"/>
  <c r="AB1154" i="1"/>
  <c r="AC1154" i="1" s="1"/>
  <c r="AA1155" i="1"/>
  <c r="AB1155" i="1"/>
  <c r="AC1155" i="1" s="1"/>
  <c r="AA1156" i="1"/>
  <c r="AB1156" i="1"/>
  <c r="AC1156" i="1" s="1"/>
  <c r="AA1157" i="1"/>
  <c r="AB1157" i="1"/>
  <c r="AC1157" i="1" s="1"/>
  <c r="AA1158" i="1"/>
  <c r="AB1158" i="1"/>
  <c r="AC1158" i="1" s="1"/>
  <c r="AA1159" i="1"/>
  <c r="AB1159" i="1"/>
  <c r="AC1159" i="1" s="1"/>
  <c r="AA1160" i="1"/>
  <c r="AB1160" i="1"/>
  <c r="AC1160" i="1" s="1"/>
  <c r="AA1161" i="1"/>
  <c r="AB1161" i="1"/>
  <c r="AC1161" i="1" s="1"/>
  <c r="AA1162" i="1"/>
  <c r="AB1162" i="1"/>
  <c r="AC1162" i="1" s="1"/>
  <c r="AA1163" i="1"/>
  <c r="AB1163" i="1"/>
  <c r="AC1163" i="1" s="1"/>
  <c r="AA1164" i="1"/>
  <c r="AB1164" i="1"/>
  <c r="AC1164" i="1" s="1"/>
  <c r="AA1165" i="1"/>
  <c r="AB1165" i="1"/>
  <c r="AC1165" i="1" s="1"/>
  <c r="AA1166" i="1"/>
  <c r="AB1166" i="1"/>
  <c r="AC1166" i="1" s="1"/>
  <c r="AA1167" i="1"/>
  <c r="AB1167" i="1"/>
  <c r="AC1167" i="1" s="1"/>
  <c r="AA1168" i="1"/>
  <c r="AB1168" i="1"/>
  <c r="AC1168" i="1" s="1"/>
  <c r="AA1169" i="1"/>
  <c r="AB1169" i="1"/>
  <c r="AC1169" i="1" s="1"/>
  <c r="AA1170" i="1"/>
  <c r="AB1170" i="1"/>
  <c r="AC1170" i="1" s="1"/>
  <c r="AA1171" i="1"/>
  <c r="AB1171" i="1"/>
  <c r="AC1171" i="1" s="1"/>
  <c r="AA1172" i="1"/>
  <c r="AB1172" i="1"/>
  <c r="AC1172" i="1" s="1"/>
  <c r="AA1173" i="1"/>
  <c r="AB1173" i="1"/>
  <c r="AC1173" i="1" s="1"/>
  <c r="AA1174" i="1"/>
  <c r="AB1174" i="1"/>
  <c r="AC1174" i="1" s="1"/>
  <c r="AA1175" i="1"/>
  <c r="AB1175" i="1"/>
  <c r="AC1175" i="1" s="1"/>
  <c r="AA1176" i="1"/>
  <c r="AB1176" i="1"/>
  <c r="AC1176" i="1" s="1"/>
  <c r="AA1177" i="1"/>
  <c r="AB1177" i="1"/>
  <c r="AC1177" i="1" s="1"/>
  <c r="AA1178" i="1"/>
  <c r="AB1178" i="1"/>
  <c r="AC1178" i="1" s="1"/>
  <c r="AA1179" i="1"/>
  <c r="AB1179" i="1"/>
  <c r="AC1179" i="1" s="1"/>
  <c r="AA1180" i="1"/>
  <c r="AB1180" i="1"/>
  <c r="AC1180" i="1" s="1"/>
  <c r="AA1181" i="1"/>
  <c r="AB1181" i="1"/>
  <c r="AC1181" i="1" s="1"/>
  <c r="AA1182" i="1"/>
  <c r="AB1182" i="1"/>
  <c r="AC1182" i="1" s="1"/>
  <c r="AA1183" i="1"/>
  <c r="AB1183" i="1"/>
  <c r="AC1183" i="1" s="1"/>
  <c r="AA1184" i="1"/>
  <c r="AB1184" i="1"/>
  <c r="AC1184" i="1" s="1"/>
  <c r="AA1185" i="1"/>
  <c r="AB1185" i="1"/>
  <c r="AC1185" i="1" s="1"/>
  <c r="AA1186" i="1"/>
  <c r="AB1186" i="1"/>
  <c r="AC1186" i="1" s="1"/>
  <c r="AA1187" i="1"/>
  <c r="AB1187" i="1"/>
  <c r="AC1187" i="1" s="1"/>
  <c r="AA1188" i="1"/>
  <c r="AB1188" i="1"/>
  <c r="AC1188" i="1" s="1"/>
  <c r="AA1189" i="1"/>
  <c r="AB1189" i="1"/>
  <c r="AC1189" i="1" s="1"/>
  <c r="AA1190" i="1"/>
  <c r="AB1190" i="1"/>
  <c r="AC1190" i="1" s="1"/>
  <c r="AA1191" i="1"/>
  <c r="AB1191" i="1"/>
  <c r="AC1191" i="1" s="1"/>
  <c r="AA1192" i="1"/>
  <c r="AB1192" i="1"/>
  <c r="AC1192" i="1" s="1"/>
  <c r="AA1193" i="1"/>
  <c r="AB1193" i="1"/>
  <c r="AC1193" i="1" s="1"/>
  <c r="AA1194" i="1"/>
  <c r="AB1194" i="1"/>
  <c r="AC1194" i="1" s="1"/>
  <c r="AA1195" i="1"/>
  <c r="AB1195" i="1"/>
  <c r="AC1195" i="1" s="1"/>
  <c r="AA1196" i="1"/>
  <c r="AB1196" i="1"/>
  <c r="AC1196" i="1" s="1"/>
  <c r="AA1197" i="1"/>
  <c r="AB1197" i="1"/>
  <c r="AC1197" i="1" s="1"/>
  <c r="AA1198" i="1"/>
  <c r="AB1198" i="1"/>
  <c r="AC1198" i="1" s="1"/>
  <c r="AA1199" i="1"/>
  <c r="AB1199" i="1"/>
  <c r="AC1199" i="1" s="1"/>
  <c r="AA1200" i="1"/>
  <c r="AB1200" i="1"/>
  <c r="AC1200" i="1" s="1"/>
  <c r="AA1201" i="1"/>
  <c r="AB1201" i="1"/>
  <c r="AC1201" i="1" s="1"/>
  <c r="AA1202" i="1"/>
  <c r="AB1202" i="1"/>
  <c r="AC1202" i="1" s="1"/>
  <c r="AA1203" i="1"/>
  <c r="AB1203" i="1"/>
  <c r="AC1203" i="1" s="1"/>
  <c r="AQ1203" i="1" s="1"/>
  <c r="AA1204" i="1"/>
  <c r="AB1204" i="1"/>
  <c r="AC1204" i="1" s="1"/>
  <c r="AA1205" i="1"/>
  <c r="AB1205" i="1"/>
  <c r="AC1205" i="1" s="1"/>
  <c r="AA1206" i="1"/>
  <c r="AB1206" i="1"/>
  <c r="AC1206" i="1" s="1"/>
  <c r="AA1207" i="1"/>
  <c r="AB1207" i="1"/>
  <c r="AC1207" i="1" s="1"/>
  <c r="AA1208" i="1"/>
  <c r="AB1208" i="1"/>
  <c r="AC1208" i="1" s="1"/>
  <c r="AA1209" i="1"/>
  <c r="AB1209" i="1"/>
  <c r="AC1209" i="1" s="1"/>
  <c r="AA1210" i="1"/>
  <c r="AB1210" i="1"/>
  <c r="AC1210" i="1" s="1"/>
  <c r="AA1211" i="1"/>
  <c r="AB1211" i="1"/>
  <c r="AC1211" i="1" s="1"/>
  <c r="AA1212" i="1"/>
  <c r="AB1212" i="1"/>
  <c r="AC1212" i="1" s="1"/>
  <c r="AA1213" i="1"/>
  <c r="AB1213" i="1"/>
  <c r="AC1213" i="1" s="1"/>
  <c r="AA1214" i="1"/>
  <c r="AB1214" i="1"/>
  <c r="AC1214" i="1" s="1"/>
  <c r="AA1215" i="1"/>
  <c r="AB1215" i="1"/>
  <c r="AC1215" i="1" s="1"/>
  <c r="AA1216" i="1"/>
  <c r="AB1216" i="1"/>
  <c r="AC1216" i="1"/>
  <c r="AA1217" i="1"/>
  <c r="AB1217" i="1"/>
  <c r="AC1217" i="1" s="1"/>
  <c r="AA1218" i="1"/>
  <c r="AB1218" i="1"/>
  <c r="AC1218" i="1" s="1"/>
  <c r="AA1219" i="1"/>
  <c r="AB1219" i="1"/>
  <c r="AC1219" i="1" s="1"/>
  <c r="AA1220" i="1"/>
  <c r="AB1220" i="1"/>
  <c r="AC1220" i="1" s="1"/>
  <c r="AA1221" i="1"/>
  <c r="AB1221" i="1"/>
  <c r="AC1221" i="1" s="1"/>
  <c r="AA1222" i="1"/>
  <c r="AB1222" i="1"/>
  <c r="AC1222" i="1" s="1"/>
  <c r="AA1223" i="1"/>
  <c r="AB1223" i="1"/>
  <c r="AC1223" i="1" s="1"/>
  <c r="AA1224" i="1"/>
  <c r="AB1224" i="1"/>
  <c r="AC1224" i="1" s="1"/>
  <c r="AA1225" i="1"/>
  <c r="AB1225" i="1"/>
  <c r="AC1225" i="1" s="1"/>
  <c r="AA1226" i="1"/>
  <c r="AB1226" i="1"/>
  <c r="AC1226" i="1" s="1"/>
  <c r="AA1227" i="1"/>
  <c r="AB1227" i="1"/>
  <c r="AC1227" i="1" s="1"/>
  <c r="AA1228" i="1"/>
  <c r="AB1228" i="1"/>
  <c r="AC1228" i="1" s="1"/>
  <c r="AA1229" i="1"/>
  <c r="AB1229" i="1"/>
  <c r="AC1229" i="1" s="1"/>
  <c r="AA1230" i="1"/>
  <c r="AB1230" i="1"/>
  <c r="AC1230" i="1" s="1"/>
  <c r="AA1231" i="1"/>
  <c r="AB1231" i="1"/>
  <c r="AC1231" i="1" s="1"/>
  <c r="AA1232" i="1"/>
  <c r="AB1232" i="1"/>
  <c r="AC1232" i="1" s="1"/>
  <c r="AA1233" i="1"/>
  <c r="AB1233" i="1"/>
  <c r="AC1233" i="1" s="1"/>
  <c r="AA1234" i="1"/>
  <c r="AB1234" i="1"/>
  <c r="AC1234" i="1" s="1"/>
  <c r="AA1235" i="1"/>
  <c r="AB1235" i="1"/>
  <c r="AC1235" i="1" s="1"/>
  <c r="AA1236" i="1"/>
  <c r="AB1236" i="1"/>
  <c r="AC1236" i="1" s="1"/>
  <c r="AA1237" i="1"/>
  <c r="AB1237" i="1"/>
  <c r="AC1237" i="1" s="1"/>
  <c r="AA1238" i="1"/>
  <c r="AB1238" i="1"/>
  <c r="AC1238" i="1" s="1"/>
  <c r="AA1239" i="1"/>
  <c r="AB1239" i="1"/>
  <c r="AC1239" i="1" s="1"/>
  <c r="AA1240" i="1"/>
  <c r="AB1240" i="1"/>
  <c r="AC1240" i="1" s="1"/>
  <c r="AA1241" i="1"/>
  <c r="AB1241" i="1"/>
  <c r="AC1241" i="1" s="1"/>
  <c r="AA1242" i="1"/>
  <c r="AB1242" i="1"/>
  <c r="AC1242" i="1" s="1"/>
  <c r="AA1243" i="1"/>
  <c r="AB1243" i="1"/>
  <c r="AC1243" i="1" s="1"/>
  <c r="AA1244" i="1"/>
  <c r="AB1244" i="1"/>
  <c r="AC1244" i="1" s="1"/>
  <c r="AA1245" i="1"/>
  <c r="AB1245" i="1"/>
  <c r="AC1245" i="1" s="1"/>
  <c r="AA1246" i="1"/>
  <c r="AB1246" i="1"/>
  <c r="AC1246" i="1" s="1"/>
  <c r="AA1247" i="1"/>
  <c r="AB1247" i="1"/>
  <c r="AC1247" i="1" s="1"/>
  <c r="AA1248" i="1"/>
  <c r="AB1248" i="1"/>
  <c r="AC1248" i="1" s="1"/>
  <c r="AA1249" i="1"/>
  <c r="AB1249" i="1"/>
  <c r="AC1249" i="1" s="1"/>
  <c r="AA1250" i="1"/>
  <c r="AB1250" i="1"/>
  <c r="AC1250" i="1" s="1"/>
  <c r="AA1251" i="1"/>
  <c r="AB1251" i="1"/>
  <c r="AC1251" i="1" s="1"/>
  <c r="AA1252" i="1"/>
  <c r="AB1252" i="1"/>
  <c r="AC1252" i="1" s="1"/>
  <c r="AA1253" i="1"/>
  <c r="AB1253" i="1"/>
  <c r="AC1253" i="1" s="1"/>
  <c r="AA1254" i="1"/>
  <c r="AB1254" i="1"/>
  <c r="AC1254" i="1" s="1"/>
  <c r="AA1255" i="1"/>
  <c r="AB1255" i="1"/>
  <c r="AC1255" i="1" s="1"/>
  <c r="AA1256" i="1"/>
  <c r="AB1256" i="1"/>
  <c r="AC1256" i="1" s="1"/>
  <c r="AA1257" i="1"/>
  <c r="AB1257" i="1"/>
  <c r="AC1257" i="1" s="1"/>
  <c r="AA1258" i="1"/>
  <c r="AB1258" i="1"/>
  <c r="AC1258" i="1" s="1"/>
  <c r="AA1259" i="1"/>
  <c r="AB1259" i="1"/>
  <c r="AC1259" i="1" s="1"/>
  <c r="AA1260" i="1"/>
  <c r="AB1260" i="1"/>
  <c r="AC1260" i="1" s="1"/>
  <c r="AA1261" i="1"/>
  <c r="AB1261" i="1"/>
  <c r="AC1261" i="1" s="1"/>
  <c r="AA1262" i="1"/>
  <c r="AB1262" i="1"/>
  <c r="AC1262" i="1" s="1"/>
  <c r="AA1263" i="1"/>
  <c r="AB1263" i="1"/>
  <c r="AC1263" i="1" s="1"/>
  <c r="AA1264" i="1"/>
  <c r="AB1264" i="1"/>
  <c r="AC1264" i="1" s="1"/>
  <c r="AA1265" i="1"/>
  <c r="AB1265" i="1"/>
  <c r="AC1265" i="1" s="1"/>
  <c r="AA1266" i="1"/>
  <c r="AB1266" i="1"/>
  <c r="AC1266" i="1" s="1"/>
  <c r="AA1267" i="1"/>
  <c r="AB1267" i="1"/>
  <c r="AC1267" i="1" s="1"/>
  <c r="AA1268" i="1"/>
  <c r="AB1268" i="1"/>
  <c r="AC1268" i="1" s="1"/>
  <c r="AA1269" i="1"/>
  <c r="AB1269" i="1"/>
  <c r="AC1269" i="1" s="1"/>
  <c r="AA1270" i="1"/>
  <c r="AB1270" i="1"/>
  <c r="AC1270" i="1" s="1"/>
  <c r="AA1271" i="1"/>
  <c r="AB1271" i="1"/>
  <c r="AC1271" i="1" s="1"/>
  <c r="AA1272" i="1"/>
  <c r="AB1272" i="1"/>
  <c r="AC1272" i="1" s="1"/>
  <c r="AA1273" i="1"/>
  <c r="AB1273" i="1"/>
  <c r="AC1273" i="1" s="1"/>
  <c r="AA1274" i="1"/>
  <c r="AB1274" i="1"/>
  <c r="AC1274" i="1" s="1"/>
  <c r="AA1275" i="1"/>
  <c r="AB1275" i="1"/>
  <c r="AC1275" i="1" s="1"/>
  <c r="AA1276" i="1"/>
  <c r="AB1276" i="1"/>
  <c r="AC1276" i="1" s="1"/>
  <c r="AA1277" i="1"/>
  <c r="AB1277" i="1"/>
  <c r="AC1277" i="1" s="1"/>
  <c r="AA1278" i="1"/>
  <c r="AB1278" i="1"/>
  <c r="AC1278" i="1" s="1"/>
  <c r="AA1279" i="1"/>
  <c r="AB1279" i="1"/>
  <c r="AC1279" i="1" s="1"/>
  <c r="AA1280" i="1"/>
  <c r="AB1280" i="1"/>
  <c r="AC1280" i="1" s="1"/>
  <c r="AA1281" i="1"/>
  <c r="AB1281" i="1"/>
  <c r="AC1281" i="1" s="1"/>
  <c r="AA1282" i="1"/>
  <c r="AB1282" i="1"/>
  <c r="AC1282" i="1" s="1"/>
  <c r="AA1283" i="1"/>
  <c r="AB1283" i="1"/>
  <c r="AC1283" i="1" s="1"/>
  <c r="AA1284" i="1"/>
  <c r="AB1284" i="1"/>
  <c r="AC1284" i="1" s="1"/>
  <c r="AA1285" i="1"/>
  <c r="AB1285" i="1"/>
  <c r="AC1285" i="1" s="1"/>
  <c r="AA1286" i="1"/>
  <c r="AB1286" i="1"/>
  <c r="AC1286" i="1" s="1"/>
  <c r="AA1287" i="1"/>
  <c r="AB1287" i="1"/>
  <c r="AC1287" i="1" s="1"/>
  <c r="AA1288" i="1"/>
  <c r="AB1288" i="1"/>
  <c r="AC1288" i="1" s="1"/>
  <c r="AA1289" i="1"/>
  <c r="AB1289" i="1"/>
  <c r="AC1289" i="1" s="1"/>
  <c r="AA1290" i="1"/>
  <c r="AB1290" i="1"/>
  <c r="AC1290" i="1" s="1"/>
  <c r="AA1291" i="1"/>
  <c r="AB1291" i="1"/>
  <c r="AC1291" i="1" s="1"/>
  <c r="AA1292" i="1"/>
  <c r="AB1292" i="1"/>
  <c r="AC1292" i="1" s="1"/>
  <c r="AA1293" i="1"/>
  <c r="AB1293" i="1"/>
  <c r="AC1293" i="1" s="1"/>
  <c r="AA1294" i="1"/>
  <c r="AB1294" i="1"/>
  <c r="AC1294" i="1" s="1"/>
  <c r="AA1295" i="1"/>
  <c r="AB1295" i="1"/>
  <c r="AC1295" i="1" s="1"/>
  <c r="AA1296" i="1"/>
  <c r="AB1296" i="1"/>
  <c r="AC1296" i="1" s="1"/>
  <c r="AA1297" i="1"/>
  <c r="AB1297" i="1"/>
  <c r="AC1297" i="1" s="1"/>
  <c r="AA1298" i="1"/>
  <c r="AB1298" i="1"/>
  <c r="AC1298" i="1" s="1"/>
  <c r="AA1299" i="1"/>
  <c r="AB1299" i="1"/>
  <c r="AC1299" i="1" s="1"/>
  <c r="AA1300" i="1"/>
  <c r="AB1300" i="1"/>
  <c r="AC1300" i="1" s="1"/>
  <c r="AA1301" i="1"/>
  <c r="AB1301" i="1"/>
  <c r="AC1301" i="1" s="1"/>
  <c r="AA1302" i="1"/>
  <c r="AB1302" i="1"/>
  <c r="AC1302" i="1" s="1"/>
  <c r="AA1303" i="1"/>
  <c r="AB1303" i="1"/>
  <c r="AC1303" i="1" s="1"/>
  <c r="AA1304" i="1"/>
  <c r="AB1304" i="1"/>
  <c r="AC1304" i="1" s="1"/>
  <c r="AA1305" i="1"/>
  <c r="AB1305" i="1"/>
  <c r="AC1305" i="1" s="1"/>
  <c r="AA1306" i="1"/>
  <c r="AB1306" i="1"/>
  <c r="AC1306" i="1" s="1"/>
  <c r="AA1307" i="1"/>
  <c r="AB1307" i="1"/>
  <c r="AC1307" i="1" s="1"/>
  <c r="AA1308" i="1"/>
  <c r="AB1308" i="1"/>
  <c r="AC1308" i="1" s="1"/>
  <c r="AA1309" i="1"/>
  <c r="AB1309" i="1"/>
  <c r="AC1309" i="1" s="1"/>
  <c r="AA1310" i="1"/>
  <c r="AB1310" i="1"/>
  <c r="AC1310" i="1" s="1"/>
  <c r="AA1311" i="1"/>
  <c r="AB1311" i="1"/>
  <c r="AC1311" i="1" s="1"/>
  <c r="AA1312" i="1"/>
  <c r="AB1312" i="1"/>
  <c r="AC1312" i="1" s="1"/>
  <c r="AA1313" i="1"/>
  <c r="AB1313" i="1"/>
  <c r="AC1313" i="1" s="1"/>
  <c r="AA1314" i="1"/>
  <c r="AB1314" i="1"/>
  <c r="AC1314" i="1" s="1"/>
  <c r="AA1315" i="1"/>
  <c r="AB1315" i="1"/>
  <c r="AC1315" i="1" s="1"/>
  <c r="AA1316" i="1"/>
  <c r="AB1316" i="1"/>
  <c r="AC1316" i="1" s="1"/>
  <c r="AA1317" i="1"/>
  <c r="AB1317" i="1"/>
  <c r="AC1317" i="1" s="1"/>
  <c r="AA1318" i="1"/>
  <c r="AB1318" i="1"/>
  <c r="AC1318" i="1" s="1"/>
  <c r="AA1319" i="1"/>
  <c r="AB1319" i="1"/>
  <c r="AC1319" i="1" s="1"/>
  <c r="AA1320" i="1"/>
  <c r="AB1320" i="1"/>
  <c r="AC1320" i="1" s="1"/>
  <c r="AA1321" i="1"/>
  <c r="AB1321" i="1"/>
  <c r="AC1321" i="1" s="1"/>
  <c r="AA1322" i="1"/>
  <c r="AB1322" i="1"/>
  <c r="AC1322" i="1" s="1"/>
  <c r="AA1323" i="1"/>
  <c r="AB1323" i="1"/>
  <c r="AC1323" i="1" s="1"/>
  <c r="AA1324" i="1"/>
  <c r="AB1324" i="1"/>
  <c r="AC1324" i="1" s="1"/>
  <c r="AA1325" i="1"/>
  <c r="AB1325" i="1"/>
  <c r="AC1325" i="1" s="1"/>
  <c r="AA1326" i="1"/>
  <c r="AB1326" i="1"/>
  <c r="AC1326" i="1" s="1"/>
  <c r="AA1327" i="1"/>
  <c r="AB1327" i="1"/>
  <c r="AC1327" i="1" s="1"/>
  <c r="AA1328" i="1"/>
  <c r="AB1328" i="1"/>
  <c r="AC1328" i="1" s="1"/>
  <c r="AA1329" i="1"/>
  <c r="AB1329" i="1"/>
  <c r="AC1329" i="1" s="1"/>
  <c r="AA1330" i="1"/>
  <c r="AB1330" i="1"/>
  <c r="AC1330" i="1" s="1"/>
  <c r="AA1331" i="1"/>
  <c r="AB1331" i="1"/>
  <c r="AC1331" i="1" s="1"/>
  <c r="AA1332" i="1"/>
  <c r="AB1332" i="1"/>
  <c r="AC1332" i="1" s="1"/>
  <c r="AA1333" i="1"/>
  <c r="AB1333" i="1"/>
  <c r="AC1333" i="1" s="1"/>
  <c r="AA1334" i="1"/>
  <c r="AB1334" i="1"/>
  <c r="AC1334" i="1" s="1"/>
  <c r="AA1335" i="1"/>
  <c r="AB1335" i="1"/>
  <c r="AC1335" i="1" s="1"/>
  <c r="AA1336" i="1"/>
  <c r="AB1336" i="1"/>
  <c r="AC1336" i="1" s="1"/>
  <c r="AA1337" i="1"/>
  <c r="AB1337" i="1"/>
  <c r="AC1337" i="1" s="1"/>
  <c r="AA1338" i="1"/>
  <c r="AB1338" i="1"/>
  <c r="AC1338" i="1" s="1"/>
  <c r="AA1339" i="1"/>
  <c r="AB1339" i="1"/>
  <c r="AC1339" i="1" s="1"/>
  <c r="AA1340" i="1"/>
  <c r="AB1340" i="1"/>
  <c r="AC1340" i="1" s="1"/>
  <c r="AA1341" i="1"/>
  <c r="AB1341" i="1"/>
  <c r="AC1341" i="1" s="1"/>
  <c r="AA1342" i="1"/>
  <c r="AB1342" i="1"/>
  <c r="AC1342" i="1" s="1"/>
  <c r="AA1343" i="1"/>
  <c r="AB1343" i="1"/>
  <c r="AC1343" i="1" s="1"/>
  <c r="AA1344" i="1"/>
  <c r="AB1344" i="1"/>
  <c r="AC1344" i="1" s="1"/>
  <c r="AA1345" i="1"/>
  <c r="AB1345" i="1"/>
  <c r="AC1345" i="1" s="1"/>
  <c r="AA1346" i="1"/>
  <c r="AB1346" i="1"/>
  <c r="AC1346" i="1" s="1"/>
  <c r="AA1347" i="1"/>
  <c r="AB1347" i="1"/>
  <c r="AC1347" i="1" s="1"/>
  <c r="AA1348" i="1"/>
  <c r="AB1348" i="1"/>
  <c r="AC1348" i="1" s="1"/>
  <c r="AA1349" i="1"/>
  <c r="AB1349" i="1"/>
  <c r="AC1349" i="1" s="1"/>
  <c r="AA1350" i="1"/>
  <c r="AB1350" i="1"/>
  <c r="AC1350" i="1" s="1"/>
  <c r="AA1351" i="1"/>
  <c r="AB1351" i="1"/>
  <c r="AC1351" i="1" s="1"/>
  <c r="AA1352" i="1"/>
  <c r="AB1352" i="1"/>
  <c r="AC1352" i="1" s="1"/>
  <c r="AA1353" i="1"/>
  <c r="AB1353" i="1"/>
  <c r="AC1353" i="1" s="1"/>
  <c r="AA1354" i="1"/>
  <c r="AB1354" i="1"/>
  <c r="AC1354" i="1" s="1"/>
  <c r="AA1355" i="1"/>
  <c r="AB1355" i="1"/>
  <c r="AC1355" i="1" s="1"/>
  <c r="AA1356" i="1"/>
  <c r="AB1356" i="1"/>
  <c r="AC1356" i="1" s="1"/>
  <c r="AA1357" i="1"/>
  <c r="AB1357" i="1"/>
  <c r="AC1357" i="1" s="1"/>
  <c r="AA1358" i="1"/>
  <c r="AB1358" i="1"/>
  <c r="AC1358" i="1" s="1"/>
  <c r="AA1359" i="1"/>
  <c r="AB1359" i="1"/>
  <c r="AC1359" i="1" s="1"/>
  <c r="AA1360" i="1"/>
  <c r="AB1360" i="1"/>
  <c r="AC1360" i="1" s="1"/>
  <c r="AA1361" i="1"/>
  <c r="AB1361" i="1"/>
  <c r="AC1361" i="1" s="1"/>
  <c r="AA1362" i="1"/>
  <c r="AB1362" i="1"/>
  <c r="AC1362" i="1" s="1"/>
  <c r="AA1363" i="1"/>
  <c r="AB1363" i="1"/>
  <c r="AC1363" i="1" s="1"/>
  <c r="AA1364" i="1"/>
  <c r="AB1364" i="1"/>
  <c r="AC1364" i="1" s="1"/>
  <c r="AA1365" i="1"/>
  <c r="AB1365" i="1"/>
  <c r="AC1365" i="1" s="1"/>
  <c r="AA1366" i="1"/>
  <c r="AB1366" i="1"/>
  <c r="AC1366" i="1" s="1"/>
  <c r="AA1367" i="1"/>
  <c r="AB1367" i="1"/>
  <c r="AC1367" i="1" s="1"/>
  <c r="AA1368" i="1"/>
  <c r="AB1368" i="1"/>
  <c r="AC1368" i="1" s="1"/>
  <c r="AA1369" i="1"/>
  <c r="AB1369" i="1"/>
  <c r="AC1369" i="1" s="1"/>
  <c r="AA1370" i="1"/>
  <c r="AB1370" i="1"/>
  <c r="AC1370" i="1" s="1"/>
  <c r="AA1371" i="1"/>
  <c r="AB1371" i="1"/>
  <c r="AC1371" i="1" s="1"/>
  <c r="AA1372" i="1"/>
  <c r="AB1372" i="1"/>
  <c r="AC1372" i="1" s="1"/>
  <c r="AA1373" i="1"/>
  <c r="AB1373" i="1"/>
  <c r="AC1373" i="1" s="1"/>
  <c r="AA1374" i="1"/>
  <c r="AB1374" i="1"/>
  <c r="AC1374" i="1" s="1"/>
  <c r="AA1375" i="1"/>
  <c r="AB1375" i="1"/>
  <c r="AC1375" i="1" s="1"/>
  <c r="AA1376" i="1"/>
  <c r="AB1376" i="1"/>
  <c r="AC1376" i="1" s="1"/>
  <c r="AA1377" i="1"/>
  <c r="AB1377" i="1"/>
  <c r="AC1377" i="1" s="1"/>
  <c r="AA1378" i="1"/>
  <c r="AB1378" i="1"/>
  <c r="AC1378" i="1" s="1"/>
  <c r="AA1379" i="1"/>
  <c r="AB1379" i="1"/>
  <c r="AC1379" i="1" s="1"/>
  <c r="AA1380" i="1"/>
  <c r="AB1380" i="1"/>
  <c r="AC1380" i="1" s="1"/>
  <c r="AA1381" i="1"/>
  <c r="AB1381" i="1"/>
  <c r="AC1381" i="1" s="1"/>
  <c r="AA1382" i="1"/>
  <c r="AB1382" i="1"/>
  <c r="AC1382" i="1" s="1"/>
  <c r="AA1383" i="1"/>
  <c r="AB1383" i="1"/>
  <c r="AC1383" i="1" s="1"/>
  <c r="AA1384" i="1"/>
  <c r="AB1384" i="1"/>
  <c r="AC1384" i="1" s="1"/>
  <c r="AA1385" i="1"/>
  <c r="AB1385" i="1"/>
  <c r="AC1385" i="1" s="1"/>
  <c r="AA1386" i="1"/>
  <c r="AB1386" i="1"/>
  <c r="AC1386" i="1" s="1"/>
  <c r="AA1387" i="1"/>
  <c r="AB1387" i="1"/>
  <c r="AC1387" i="1" s="1"/>
  <c r="AA1388" i="1"/>
  <c r="AB1388" i="1"/>
  <c r="AC1388" i="1" s="1"/>
  <c r="AA1389" i="1"/>
  <c r="AB1389" i="1"/>
  <c r="AC1389" i="1" s="1"/>
  <c r="AA1390" i="1"/>
  <c r="AB1390" i="1"/>
  <c r="AC1390" i="1" s="1"/>
  <c r="AA1391" i="1"/>
  <c r="AB1391" i="1"/>
  <c r="AC1391" i="1" s="1"/>
  <c r="AA1392" i="1"/>
  <c r="AB1392" i="1"/>
  <c r="AC1392" i="1" s="1"/>
  <c r="AA1393" i="1"/>
  <c r="AB1393" i="1"/>
  <c r="AC1393" i="1" s="1"/>
  <c r="AA1394" i="1"/>
  <c r="AB1394" i="1"/>
  <c r="AC1394" i="1" s="1"/>
  <c r="AA1395" i="1"/>
  <c r="AB1395" i="1"/>
  <c r="AC1395" i="1" s="1"/>
  <c r="AA1396" i="1"/>
  <c r="AB1396" i="1"/>
  <c r="AC1396" i="1" s="1"/>
  <c r="AA1397" i="1"/>
  <c r="AB1397" i="1"/>
  <c r="AC1397" i="1" s="1"/>
  <c r="AA1398" i="1"/>
  <c r="AB1398" i="1"/>
  <c r="AC1398" i="1" s="1"/>
  <c r="AA1399" i="1"/>
  <c r="AB1399" i="1"/>
  <c r="AC1399" i="1" s="1"/>
  <c r="AA1400" i="1"/>
  <c r="AB1400" i="1"/>
  <c r="AC1400" i="1" s="1"/>
  <c r="AA1401" i="1"/>
  <c r="AB1401" i="1"/>
  <c r="AC1401" i="1" s="1"/>
  <c r="AA1402" i="1"/>
  <c r="AB1402" i="1"/>
  <c r="AC1402" i="1" s="1"/>
  <c r="AA1403" i="1"/>
  <c r="AB1403" i="1"/>
  <c r="AC1403" i="1" s="1"/>
  <c r="AA1404" i="1"/>
  <c r="AB1404" i="1"/>
  <c r="AC1404" i="1" s="1"/>
  <c r="AA1405" i="1"/>
  <c r="AB1405" i="1"/>
  <c r="AC1405" i="1" s="1"/>
  <c r="AA1406" i="1"/>
  <c r="AB1406" i="1"/>
  <c r="AC1406" i="1" s="1"/>
  <c r="AA1407" i="1"/>
  <c r="AB1407" i="1"/>
  <c r="AC1407" i="1" s="1"/>
  <c r="AA1408" i="1"/>
  <c r="AB1408" i="1"/>
  <c r="AC1408" i="1" s="1"/>
  <c r="AA1409" i="1"/>
  <c r="AB1409" i="1"/>
  <c r="AC1409" i="1" s="1"/>
  <c r="AA1410" i="1"/>
  <c r="AB1410" i="1"/>
  <c r="AC1410" i="1" s="1"/>
  <c r="AA1411" i="1"/>
  <c r="AB1411" i="1"/>
  <c r="AC1411" i="1" s="1"/>
  <c r="AA1412" i="1"/>
  <c r="AB1412" i="1"/>
  <c r="AC1412" i="1" s="1"/>
  <c r="AA1413" i="1"/>
  <c r="AB1413" i="1"/>
  <c r="AC1413" i="1" s="1"/>
  <c r="AA1414" i="1"/>
  <c r="AB1414" i="1"/>
  <c r="AC1414" i="1" s="1"/>
  <c r="AA1415" i="1"/>
  <c r="AB1415" i="1"/>
  <c r="AC1415" i="1" s="1"/>
  <c r="AA1416" i="1"/>
  <c r="AB1416" i="1"/>
  <c r="AC1416" i="1" s="1"/>
  <c r="AA1417" i="1"/>
  <c r="AB1417" i="1"/>
  <c r="AC1417" i="1" s="1"/>
  <c r="AA1418" i="1"/>
  <c r="AB1418" i="1"/>
  <c r="AC1418" i="1" s="1"/>
  <c r="AA1419" i="1"/>
  <c r="AB1419" i="1"/>
  <c r="AC1419" i="1" s="1"/>
  <c r="AA1420" i="1"/>
  <c r="AB1420" i="1"/>
  <c r="AC1420" i="1" s="1"/>
  <c r="AA1421" i="1"/>
  <c r="AB1421" i="1"/>
  <c r="AC1421" i="1" s="1"/>
  <c r="AA1422" i="1"/>
  <c r="AB1422" i="1"/>
  <c r="AC1422" i="1" s="1"/>
  <c r="AA1423" i="1"/>
  <c r="AB1423" i="1"/>
  <c r="AC1423" i="1" s="1"/>
  <c r="AA1424" i="1"/>
  <c r="AB1424" i="1"/>
  <c r="AC1424" i="1" s="1"/>
  <c r="AA1425" i="1"/>
  <c r="AB1425" i="1"/>
  <c r="AC1425" i="1" s="1"/>
  <c r="AA1426" i="1"/>
  <c r="AB1426" i="1"/>
  <c r="AC1426" i="1" s="1"/>
  <c r="AA1427" i="1"/>
  <c r="AB1427" i="1"/>
  <c r="AC1427" i="1" s="1"/>
  <c r="AA1428" i="1"/>
  <c r="AB1428" i="1"/>
  <c r="AC1428" i="1" s="1"/>
  <c r="AA1429" i="1"/>
  <c r="AB1429" i="1"/>
  <c r="AC1429" i="1" s="1"/>
  <c r="AA1430" i="1"/>
  <c r="AB1430" i="1"/>
  <c r="AC1430" i="1" s="1"/>
  <c r="AA1431" i="1"/>
  <c r="AB1431" i="1"/>
  <c r="AC1431" i="1" s="1"/>
  <c r="AA1432" i="1"/>
  <c r="AB1432" i="1"/>
  <c r="AC1432" i="1" s="1"/>
  <c r="AA1433" i="1"/>
  <c r="AB1433" i="1"/>
  <c r="AC1433" i="1" s="1"/>
  <c r="AA1434" i="1"/>
  <c r="AB1434" i="1"/>
  <c r="AC1434" i="1" s="1"/>
  <c r="AA1435" i="1"/>
  <c r="AB1435" i="1"/>
  <c r="AC1435" i="1" s="1"/>
  <c r="AA1436" i="1"/>
  <c r="AB1436" i="1"/>
  <c r="AC1436" i="1" s="1"/>
  <c r="AA1437" i="1"/>
  <c r="AB1437" i="1"/>
  <c r="AC1437" i="1" s="1"/>
  <c r="AA1438" i="1"/>
  <c r="AB1438" i="1"/>
  <c r="AC1438" i="1" s="1"/>
  <c r="AA1439" i="1"/>
  <c r="AB1439" i="1"/>
  <c r="AC1439" i="1" s="1"/>
  <c r="AA1440" i="1"/>
  <c r="AB1440" i="1"/>
  <c r="AC1440" i="1" s="1"/>
  <c r="AA1441" i="1"/>
  <c r="AB1441" i="1"/>
  <c r="AC1441" i="1" s="1"/>
  <c r="AA1442" i="1"/>
  <c r="AB1442" i="1"/>
  <c r="AC1442" i="1" s="1"/>
  <c r="AA1443" i="1"/>
  <c r="AB1443" i="1"/>
  <c r="AC1443" i="1" s="1"/>
  <c r="AA1444" i="1"/>
  <c r="AB1444" i="1"/>
  <c r="AC1444" i="1" s="1"/>
  <c r="AA1445" i="1"/>
  <c r="AB1445" i="1"/>
  <c r="AC1445" i="1" s="1"/>
  <c r="AA1446" i="1"/>
  <c r="AB1446" i="1"/>
  <c r="AC1446" i="1" s="1"/>
  <c r="AA1447" i="1"/>
  <c r="AB1447" i="1"/>
  <c r="AC1447" i="1" s="1"/>
  <c r="AA1448" i="1"/>
  <c r="AB1448" i="1"/>
  <c r="AC1448" i="1" s="1"/>
  <c r="AA1449" i="1"/>
  <c r="AB1449" i="1"/>
  <c r="AC1449" i="1" s="1"/>
  <c r="AA1450" i="1"/>
  <c r="AB1450" i="1"/>
  <c r="AC1450" i="1" s="1"/>
  <c r="AA1451" i="1"/>
  <c r="AB1451" i="1"/>
  <c r="AC1451" i="1" s="1"/>
  <c r="AA1452" i="1"/>
  <c r="AB1452" i="1"/>
  <c r="AC1452" i="1" s="1"/>
  <c r="AA1453" i="1"/>
  <c r="AB1453" i="1"/>
  <c r="AC1453" i="1" s="1"/>
  <c r="AA1454" i="1"/>
  <c r="AB1454" i="1"/>
  <c r="AC1454" i="1" s="1"/>
  <c r="AA1455" i="1"/>
  <c r="AB1455" i="1"/>
  <c r="AC1455" i="1" s="1"/>
  <c r="AA1456" i="1"/>
  <c r="AB1456" i="1"/>
  <c r="AC1456" i="1" s="1"/>
  <c r="AA1457" i="1"/>
  <c r="AB1457" i="1"/>
  <c r="AC1457" i="1" s="1"/>
  <c r="AA1458" i="1"/>
  <c r="AB1458" i="1"/>
  <c r="AC1458" i="1" s="1"/>
  <c r="AA1459" i="1"/>
  <c r="AB1459" i="1"/>
  <c r="AC1459" i="1" s="1"/>
  <c r="AA1460" i="1"/>
  <c r="AB1460" i="1"/>
  <c r="AC1460" i="1" s="1"/>
  <c r="AA1461" i="1"/>
  <c r="AB1461" i="1"/>
  <c r="AC1461" i="1" s="1"/>
  <c r="AA1462" i="1"/>
  <c r="AB1462" i="1"/>
  <c r="AC1462" i="1" s="1"/>
  <c r="AA1463" i="1"/>
  <c r="AB1463" i="1"/>
  <c r="AC1463" i="1" s="1"/>
  <c r="AA1464" i="1"/>
  <c r="AB1464" i="1"/>
  <c r="AC1464" i="1" s="1"/>
  <c r="AA1465" i="1"/>
  <c r="AB1465" i="1"/>
  <c r="AC1465" i="1" s="1"/>
  <c r="AA1466" i="1"/>
  <c r="AB1466" i="1"/>
  <c r="AC1466" i="1" s="1"/>
  <c r="AA1467" i="1"/>
  <c r="AB1467" i="1"/>
  <c r="AC1467" i="1" s="1"/>
  <c r="AA1468" i="1"/>
  <c r="AB1468" i="1"/>
  <c r="AC1468" i="1" s="1"/>
  <c r="AA1469" i="1"/>
  <c r="AB1469" i="1"/>
  <c r="AC1469" i="1" s="1"/>
  <c r="AA1470" i="1"/>
  <c r="AB1470" i="1"/>
  <c r="AC1470" i="1" s="1"/>
  <c r="AA1471" i="1"/>
  <c r="AB1471" i="1"/>
  <c r="AC1471" i="1" s="1"/>
  <c r="AA1472" i="1"/>
  <c r="AB1472" i="1"/>
  <c r="AC1472" i="1" s="1"/>
  <c r="AA1473" i="1"/>
  <c r="AB1473" i="1"/>
  <c r="AC1473" i="1" s="1"/>
  <c r="AA1474" i="1"/>
  <c r="AB1474" i="1"/>
  <c r="AC1474" i="1" s="1"/>
  <c r="AA1475" i="1"/>
  <c r="AB1475" i="1"/>
  <c r="AC1475" i="1" s="1"/>
  <c r="AA1476" i="1"/>
  <c r="AB1476" i="1"/>
  <c r="AC1476" i="1" s="1"/>
  <c r="AA1477" i="1"/>
  <c r="AB1477" i="1"/>
  <c r="AC1477" i="1" s="1"/>
  <c r="AA1478" i="1"/>
  <c r="AB1478" i="1"/>
  <c r="AC1478" i="1" s="1"/>
  <c r="AA1479" i="1"/>
  <c r="AB1479" i="1"/>
  <c r="AC1479" i="1" s="1"/>
  <c r="AA1480" i="1"/>
  <c r="AB1480" i="1"/>
  <c r="AC1480" i="1" s="1"/>
  <c r="AA1481" i="1"/>
  <c r="AB1481" i="1"/>
  <c r="AC1481" i="1" s="1"/>
  <c r="AA1482" i="1"/>
  <c r="AB1482" i="1"/>
  <c r="AC1482" i="1" s="1"/>
  <c r="AA1483" i="1"/>
  <c r="AB1483" i="1"/>
  <c r="AC1483" i="1" s="1"/>
  <c r="AA1484" i="1"/>
  <c r="AB1484" i="1"/>
  <c r="AC1484" i="1" s="1"/>
  <c r="AA1485" i="1"/>
  <c r="AB1485" i="1"/>
  <c r="AC1485" i="1" s="1"/>
  <c r="AA1486" i="1"/>
  <c r="AB1486" i="1"/>
  <c r="AC1486" i="1" s="1"/>
  <c r="AA1487" i="1"/>
  <c r="AB1487" i="1"/>
  <c r="AC1487" i="1" s="1"/>
  <c r="AA1488" i="1"/>
  <c r="AB1488" i="1"/>
  <c r="AC1488" i="1" s="1"/>
  <c r="AA1489" i="1"/>
  <c r="AB1489" i="1"/>
  <c r="AC1489" i="1" s="1"/>
  <c r="AA1490" i="1"/>
  <c r="AB1490" i="1"/>
  <c r="AC1490" i="1" s="1"/>
  <c r="AA1491" i="1"/>
  <c r="AB1491" i="1"/>
  <c r="AC1491" i="1" s="1"/>
  <c r="AA1492" i="1"/>
  <c r="AB1492" i="1"/>
  <c r="AC1492" i="1" s="1"/>
  <c r="AA1493" i="1"/>
  <c r="AB1493" i="1"/>
  <c r="AC1493" i="1" s="1"/>
  <c r="AA1494" i="1"/>
  <c r="AB1494" i="1"/>
  <c r="AC1494" i="1" s="1"/>
  <c r="AA1495" i="1"/>
  <c r="AB1495" i="1"/>
  <c r="AC1495" i="1" s="1"/>
  <c r="AA1496" i="1"/>
  <c r="AB1496" i="1"/>
  <c r="AC1496" i="1" s="1"/>
  <c r="AA1497" i="1"/>
  <c r="AB1497" i="1"/>
  <c r="AC1497" i="1" s="1"/>
  <c r="AA1498" i="1"/>
  <c r="AB1498" i="1"/>
  <c r="AC1498" i="1" s="1"/>
  <c r="AA1499" i="1"/>
  <c r="AB1499" i="1"/>
  <c r="AC1499" i="1" s="1"/>
  <c r="AA1500" i="1"/>
  <c r="AB1500" i="1"/>
  <c r="AC1500" i="1" s="1"/>
  <c r="AA1501" i="1"/>
  <c r="AB1501" i="1"/>
  <c r="AC1501" i="1" s="1"/>
  <c r="AA1502" i="1"/>
  <c r="AB1502" i="1"/>
  <c r="AC1502" i="1" s="1"/>
  <c r="AA1503" i="1"/>
  <c r="AB1503" i="1"/>
  <c r="AC1503" i="1" s="1"/>
  <c r="AA1504" i="1"/>
  <c r="AB1504" i="1"/>
  <c r="AC1504" i="1"/>
  <c r="AA1505" i="1"/>
  <c r="AB1505" i="1"/>
  <c r="AC1505" i="1" s="1"/>
  <c r="AA1506" i="1"/>
  <c r="AB1506" i="1"/>
  <c r="AC1506" i="1" s="1"/>
  <c r="AA1507" i="1"/>
  <c r="AB1507" i="1"/>
  <c r="AC1507" i="1" s="1"/>
  <c r="AA1508" i="1"/>
  <c r="AB1508" i="1"/>
  <c r="AC1508" i="1" s="1"/>
  <c r="AA1509" i="1"/>
  <c r="AB1509" i="1"/>
  <c r="AC1509" i="1" s="1"/>
  <c r="AA1510" i="1"/>
  <c r="AB1510" i="1"/>
  <c r="AC1510" i="1" s="1"/>
  <c r="AA1511" i="1"/>
  <c r="AB1511" i="1"/>
  <c r="AC1511" i="1" s="1"/>
  <c r="AA1512" i="1"/>
  <c r="AB1512" i="1"/>
  <c r="AC1512" i="1" s="1"/>
  <c r="AA1513" i="1"/>
  <c r="AB1513" i="1"/>
  <c r="AC1513" i="1" s="1"/>
  <c r="AA1514" i="1"/>
  <c r="AB1514" i="1"/>
  <c r="AC1514" i="1" s="1"/>
  <c r="AA1515" i="1"/>
  <c r="AB1515" i="1"/>
  <c r="AC1515" i="1" s="1"/>
  <c r="AA1516" i="1"/>
  <c r="AB1516" i="1"/>
  <c r="AC1516" i="1" s="1"/>
  <c r="AA1517" i="1"/>
  <c r="AB1517" i="1"/>
  <c r="AC1517" i="1" s="1"/>
  <c r="AA1518" i="1"/>
  <c r="AB1518" i="1"/>
  <c r="AC1518" i="1" s="1"/>
  <c r="AA1519" i="1"/>
  <c r="AB1519" i="1"/>
  <c r="AC1519" i="1" s="1"/>
  <c r="AA1520" i="1"/>
  <c r="AB1520" i="1"/>
  <c r="AC1520" i="1" s="1"/>
  <c r="AA1521" i="1"/>
  <c r="AB1521" i="1"/>
  <c r="AC1521" i="1" s="1"/>
  <c r="AA1522" i="1"/>
  <c r="AB1522" i="1"/>
  <c r="AC1522" i="1" s="1"/>
  <c r="AA1523" i="1"/>
  <c r="AB1523" i="1"/>
  <c r="AC1523" i="1" s="1"/>
  <c r="AA1524" i="1"/>
  <c r="AB1524" i="1"/>
  <c r="AC1524" i="1" s="1"/>
  <c r="AA1525" i="1"/>
  <c r="AB1525" i="1"/>
  <c r="AC1525" i="1" s="1"/>
  <c r="AA1526" i="1"/>
  <c r="AB1526" i="1"/>
  <c r="AC1526" i="1" s="1"/>
  <c r="AA1527" i="1"/>
  <c r="AB1527" i="1"/>
  <c r="AC1527" i="1" s="1"/>
  <c r="AA1528" i="1"/>
  <c r="AB1528" i="1"/>
  <c r="AC1528" i="1" s="1"/>
  <c r="AA1529" i="1"/>
  <c r="AB1529" i="1"/>
  <c r="AC1529" i="1" s="1"/>
  <c r="AA1530" i="1"/>
  <c r="AB1530" i="1"/>
  <c r="AC1530" i="1" s="1"/>
  <c r="AA1531" i="1"/>
  <c r="AB1531" i="1"/>
  <c r="AC1531" i="1" s="1"/>
  <c r="AA1532" i="1"/>
  <c r="AB1532" i="1"/>
  <c r="AC1532" i="1" s="1"/>
  <c r="AA1533" i="1"/>
  <c r="AB1533" i="1"/>
  <c r="AC1533" i="1" s="1"/>
  <c r="AA1534" i="1"/>
  <c r="AB1534" i="1"/>
  <c r="AC1534" i="1" s="1"/>
  <c r="AA1535" i="1"/>
  <c r="AB1535" i="1"/>
  <c r="AC1535" i="1" s="1"/>
  <c r="AA1536" i="1"/>
  <c r="AB1536" i="1"/>
  <c r="AC1536" i="1" s="1"/>
  <c r="AA1537" i="1"/>
  <c r="AB1537" i="1"/>
  <c r="AC1537" i="1" s="1"/>
  <c r="AA1538" i="1"/>
  <c r="AB1538" i="1"/>
  <c r="AC1538" i="1" s="1"/>
  <c r="AA1539" i="1"/>
  <c r="AB1539" i="1"/>
  <c r="AC1539" i="1" s="1"/>
  <c r="AA1540" i="1"/>
  <c r="AB1540" i="1"/>
  <c r="AC1540" i="1" s="1"/>
  <c r="AA1541" i="1"/>
  <c r="AB1541" i="1"/>
  <c r="AC1541" i="1" s="1"/>
  <c r="AA1542" i="1"/>
  <c r="AB1542" i="1"/>
  <c r="AC1542" i="1" s="1"/>
  <c r="AA1543" i="1"/>
  <c r="AB1543" i="1"/>
  <c r="AC1543" i="1" s="1"/>
  <c r="AA1544" i="1"/>
  <c r="AB1544" i="1"/>
  <c r="AC1544" i="1" s="1"/>
  <c r="AA1545" i="1"/>
  <c r="AB1545" i="1"/>
  <c r="AC1545" i="1" s="1"/>
  <c r="AA1546" i="1"/>
  <c r="AB1546" i="1"/>
  <c r="AC1546" i="1" s="1"/>
  <c r="AA1547" i="1"/>
  <c r="AB1547" i="1"/>
  <c r="AC1547" i="1" s="1"/>
  <c r="AA1548" i="1"/>
  <c r="AB1548" i="1"/>
  <c r="AC1548" i="1" s="1"/>
  <c r="AA1549" i="1"/>
  <c r="AB1549" i="1"/>
  <c r="AC1549" i="1" s="1"/>
  <c r="AA1550" i="1"/>
  <c r="AB1550" i="1"/>
  <c r="AC1550" i="1" s="1"/>
  <c r="AA1551" i="1"/>
  <c r="AB1551" i="1"/>
  <c r="AC1551" i="1" s="1"/>
  <c r="AA1552" i="1"/>
  <c r="AB1552" i="1"/>
  <c r="AC1552" i="1" s="1"/>
  <c r="AA1553" i="1"/>
  <c r="AB1553" i="1"/>
  <c r="AC1553" i="1" s="1"/>
  <c r="AA1554" i="1"/>
  <c r="AB1554" i="1"/>
  <c r="AC1554" i="1" s="1"/>
  <c r="AA1555" i="1"/>
  <c r="AB1555" i="1"/>
  <c r="AC1555" i="1" s="1"/>
  <c r="AA1556" i="1"/>
  <c r="AB1556" i="1"/>
  <c r="AC1556" i="1" s="1"/>
  <c r="AA1557" i="1"/>
  <c r="AB1557" i="1"/>
  <c r="AC1557" i="1" s="1"/>
  <c r="AA1558" i="1"/>
  <c r="AB1558" i="1"/>
  <c r="AC1558" i="1" s="1"/>
  <c r="AA1559" i="1"/>
  <c r="AB1559" i="1"/>
  <c r="AC1559" i="1" s="1"/>
  <c r="AA1560" i="1"/>
  <c r="AB1560" i="1"/>
  <c r="AC1560" i="1" s="1"/>
  <c r="AA1561" i="1"/>
  <c r="AB1561" i="1"/>
  <c r="AC1561" i="1" s="1"/>
  <c r="AA1562" i="1"/>
  <c r="AB1562" i="1"/>
  <c r="AC1562" i="1" s="1"/>
  <c r="AA1563" i="1"/>
  <c r="AB1563" i="1"/>
  <c r="AC1563" i="1" s="1"/>
  <c r="AA1564" i="1"/>
  <c r="AB1564" i="1"/>
  <c r="AC1564" i="1" s="1"/>
  <c r="AA1565" i="1"/>
  <c r="AB1565" i="1"/>
  <c r="AC1565" i="1" s="1"/>
  <c r="AA1566" i="1"/>
  <c r="AB1566" i="1"/>
  <c r="AC1566" i="1" s="1"/>
  <c r="AA1567" i="1"/>
  <c r="AB1567" i="1"/>
  <c r="AC1567" i="1" s="1"/>
  <c r="AA1568" i="1"/>
  <c r="AB1568" i="1"/>
  <c r="AC1568" i="1" s="1"/>
  <c r="AA1569" i="1"/>
  <c r="AB1569" i="1"/>
  <c r="AC1569" i="1" s="1"/>
  <c r="AA1570" i="1"/>
  <c r="AB1570" i="1"/>
  <c r="AC1570" i="1" s="1"/>
  <c r="AA1571" i="1"/>
  <c r="AB1571" i="1"/>
  <c r="AC1571" i="1" s="1"/>
  <c r="AA1572" i="1"/>
  <c r="AB1572" i="1"/>
  <c r="AC1572" i="1" s="1"/>
  <c r="AA1573" i="1"/>
  <c r="AB1573" i="1"/>
  <c r="AC1573" i="1" s="1"/>
  <c r="AA1574" i="1"/>
  <c r="AB1574" i="1"/>
  <c r="AC1574" i="1" s="1"/>
  <c r="AA1575" i="1"/>
  <c r="AB1575" i="1"/>
  <c r="AC1575" i="1" s="1"/>
  <c r="AA1576" i="1"/>
  <c r="AB1576" i="1"/>
  <c r="AC1576" i="1" s="1"/>
  <c r="AA1577" i="1"/>
  <c r="AB1577" i="1"/>
  <c r="AC1577" i="1" s="1"/>
  <c r="AA1578" i="1"/>
  <c r="AB1578" i="1"/>
  <c r="AC1578" i="1" s="1"/>
  <c r="AA1579" i="1"/>
  <c r="AB1579" i="1"/>
  <c r="AC1579" i="1" s="1"/>
  <c r="AA1580" i="1"/>
  <c r="AB1580" i="1"/>
  <c r="AC1580" i="1" s="1"/>
  <c r="AA1581" i="1"/>
  <c r="AB1581" i="1"/>
  <c r="AC1581" i="1" s="1"/>
  <c r="AA1582" i="1"/>
  <c r="AB1582" i="1"/>
  <c r="AC1582" i="1" s="1"/>
  <c r="AA1583" i="1"/>
  <c r="AB1583" i="1"/>
  <c r="AC1583" i="1" s="1"/>
  <c r="AA1584" i="1"/>
  <c r="AB1584" i="1"/>
  <c r="AC1584" i="1" s="1"/>
  <c r="AA1585" i="1"/>
  <c r="AB1585" i="1"/>
  <c r="AC1585" i="1" s="1"/>
  <c r="AA1586" i="1"/>
  <c r="AB1586" i="1"/>
  <c r="AC1586" i="1" s="1"/>
  <c r="AA1587" i="1"/>
  <c r="AB1587" i="1"/>
  <c r="AC1587" i="1" s="1"/>
  <c r="AA1588" i="1"/>
  <c r="AB1588" i="1"/>
  <c r="AC1588" i="1" s="1"/>
  <c r="AA1589" i="1"/>
  <c r="AB1589" i="1"/>
  <c r="AC1589" i="1" s="1"/>
  <c r="AA1590" i="1"/>
  <c r="AB1590" i="1"/>
  <c r="AC1590" i="1" s="1"/>
  <c r="AA1591" i="1"/>
  <c r="AB1591" i="1"/>
  <c r="AC1591" i="1" s="1"/>
  <c r="AA1592" i="1"/>
  <c r="AB1592" i="1"/>
  <c r="AC1592" i="1" s="1"/>
  <c r="AA1593" i="1"/>
  <c r="AB1593" i="1"/>
  <c r="AC1593" i="1" s="1"/>
  <c r="AA1594" i="1"/>
  <c r="AB1594" i="1"/>
  <c r="AC1594" i="1" s="1"/>
  <c r="AA1595" i="1"/>
  <c r="AB1595" i="1"/>
  <c r="AC1595" i="1" s="1"/>
  <c r="AQ1595" i="1" s="1"/>
  <c r="AA1596" i="1"/>
  <c r="AB1596" i="1"/>
  <c r="AC1596" i="1" s="1"/>
  <c r="AA1597" i="1"/>
  <c r="AB1597" i="1"/>
  <c r="AC1597" i="1" s="1"/>
  <c r="AA1598" i="1"/>
  <c r="AB1598" i="1"/>
  <c r="AC1598" i="1" s="1"/>
  <c r="AA1599" i="1"/>
  <c r="AB1599" i="1"/>
  <c r="AC1599" i="1" s="1"/>
  <c r="AA1600" i="1"/>
  <c r="AB1600" i="1"/>
  <c r="AC1600" i="1" s="1"/>
  <c r="AA1601" i="1"/>
  <c r="AB1601" i="1"/>
  <c r="AC1601" i="1" s="1"/>
  <c r="AA1602" i="1"/>
  <c r="AB1602" i="1"/>
  <c r="AC1602" i="1" s="1"/>
  <c r="AA1603" i="1"/>
  <c r="AB1603" i="1"/>
  <c r="AC1603" i="1" s="1"/>
  <c r="AQ1603" i="1" s="1"/>
  <c r="AA1604" i="1"/>
  <c r="AB1604" i="1"/>
  <c r="AC1604" i="1" s="1"/>
  <c r="AA1605" i="1"/>
  <c r="AB1605" i="1"/>
  <c r="AC1605" i="1" s="1"/>
  <c r="AA1606" i="1"/>
  <c r="AB1606" i="1"/>
  <c r="AC1606" i="1" s="1"/>
  <c r="AA1607" i="1"/>
  <c r="AB1607" i="1"/>
  <c r="AC1607" i="1" s="1"/>
  <c r="AA1608" i="1"/>
  <c r="AB1608" i="1"/>
  <c r="AC1608" i="1" s="1"/>
  <c r="AA1609" i="1"/>
  <c r="AB1609" i="1"/>
  <c r="AC1609" i="1" s="1"/>
  <c r="AA1610" i="1"/>
  <c r="AB1610" i="1"/>
  <c r="AC1610" i="1" s="1"/>
  <c r="AA1611" i="1"/>
  <c r="AB1611" i="1"/>
  <c r="AC1611" i="1" s="1"/>
  <c r="AA1612" i="1"/>
  <c r="AB1612" i="1"/>
  <c r="AC1612" i="1" s="1"/>
  <c r="AA1613" i="1"/>
  <c r="AB1613" i="1"/>
  <c r="AC1613" i="1" s="1"/>
  <c r="AA1614" i="1"/>
  <c r="AB1614" i="1"/>
  <c r="AC1614" i="1" s="1"/>
  <c r="AA1615" i="1"/>
  <c r="AB1615" i="1"/>
  <c r="AC1615" i="1" s="1"/>
  <c r="AA1616" i="1"/>
  <c r="AB1616" i="1"/>
  <c r="AC1616" i="1" s="1"/>
  <c r="AA1617" i="1"/>
  <c r="AB1617" i="1"/>
  <c r="AC1617" i="1" s="1"/>
  <c r="AA1618" i="1"/>
  <c r="AB1618" i="1"/>
  <c r="AC1618" i="1" s="1"/>
  <c r="AA1619" i="1"/>
  <c r="AB1619" i="1"/>
  <c r="AC1619" i="1" s="1"/>
  <c r="AA1620" i="1"/>
  <c r="AB1620" i="1"/>
  <c r="AC1620" i="1" s="1"/>
  <c r="AA1621" i="1"/>
  <c r="AB1621" i="1"/>
  <c r="AC1621" i="1" s="1"/>
  <c r="AA1622" i="1"/>
  <c r="AB1622" i="1"/>
  <c r="AC1622" i="1" s="1"/>
  <c r="AA1623" i="1"/>
  <c r="AB1623" i="1"/>
  <c r="AC1623" i="1" s="1"/>
  <c r="AA1624" i="1"/>
  <c r="AB1624" i="1"/>
  <c r="AC1624" i="1" s="1"/>
  <c r="AA1625" i="1"/>
  <c r="AB1625" i="1"/>
  <c r="AC1625" i="1" s="1"/>
  <c r="AA1626" i="1"/>
  <c r="AB1626" i="1"/>
  <c r="AC1626" i="1" s="1"/>
  <c r="AA1627" i="1"/>
  <c r="AB1627" i="1"/>
  <c r="AC1627" i="1" s="1"/>
  <c r="AA1628" i="1"/>
  <c r="AB1628" i="1"/>
  <c r="AC1628" i="1" s="1"/>
  <c r="AA1629" i="1"/>
  <c r="AB1629" i="1"/>
  <c r="AC1629" i="1" s="1"/>
  <c r="AA1630" i="1"/>
  <c r="AB1630" i="1"/>
  <c r="AC1630" i="1" s="1"/>
  <c r="AA1631" i="1"/>
  <c r="AB1631" i="1"/>
  <c r="AC1631" i="1" s="1"/>
  <c r="AA1632" i="1"/>
  <c r="AB1632" i="1"/>
  <c r="AC1632" i="1" s="1"/>
  <c r="AA1633" i="1"/>
  <c r="AB1633" i="1"/>
  <c r="AC1633" i="1" s="1"/>
  <c r="AA1634" i="1"/>
  <c r="AB1634" i="1"/>
  <c r="AC1634" i="1" s="1"/>
  <c r="AA1635" i="1"/>
  <c r="AB1635" i="1"/>
  <c r="AC1635" i="1" s="1"/>
  <c r="AA1636" i="1"/>
  <c r="AB1636" i="1"/>
  <c r="AC1636" i="1" s="1"/>
  <c r="AA1637" i="1"/>
  <c r="AB1637" i="1"/>
  <c r="AC1637" i="1" s="1"/>
  <c r="AA1638" i="1"/>
  <c r="AB1638" i="1"/>
  <c r="AC1638" i="1" s="1"/>
  <c r="AA1639" i="1"/>
  <c r="AB1639" i="1"/>
  <c r="AC1639" i="1" s="1"/>
  <c r="AA1640" i="1"/>
  <c r="AB1640" i="1"/>
  <c r="AC1640" i="1" s="1"/>
  <c r="AA1641" i="1"/>
  <c r="AB1641" i="1"/>
  <c r="AC1641" i="1" s="1"/>
  <c r="AA1642" i="1"/>
  <c r="AB1642" i="1"/>
  <c r="AC1642" i="1" s="1"/>
  <c r="AA1643" i="1"/>
  <c r="AB1643" i="1"/>
  <c r="AC1643" i="1" s="1"/>
  <c r="AA1644" i="1"/>
  <c r="AB1644" i="1"/>
  <c r="AC1644" i="1" s="1"/>
  <c r="AA1645" i="1"/>
  <c r="AB1645" i="1"/>
  <c r="AC1645" i="1" s="1"/>
  <c r="AA1646" i="1"/>
  <c r="AB1646" i="1"/>
  <c r="AC1646" i="1" s="1"/>
  <c r="AA1647" i="1"/>
  <c r="AB1647" i="1"/>
  <c r="AC1647" i="1" s="1"/>
  <c r="AA1648" i="1"/>
  <c r="AB1648" i="1"/>
  <c r="AC1648" i="1" s="1"/>
  <c r="AA1649" i="1"/>
  <c r="AB1649" i="1"/>
  <c r="AC1649" i="1" s="1"/>
  <c r="AA1650" i="1"/>
  <c r="AB1650" i="1"/>
  <c r="AC1650" i="1" s="1"/>
  <c r="AA1651" i="1"/>
  <c r="AB1651" i="1"/>
  <c r="AC1651" i="1" s="1"/>
  <c r="AA1652" i="1"/>
  <c r="AB1652" i="1"/>
  <c r="AC1652" i="1" s="1"/>
  <c r="AA1653" i="1"/>
  <c r="AB1653" i="1"/>
  <c r="AC1653" i="1" s="1"/>
  <c r="AA1654" i="1"/>
  <c r="AB1654" i="1"/>
  <c r="AC1654" i="1" s="1"/>
  <c r="AA1655" i="1"/>
  <c r="AB1655" i="1"/>
  <c r="AC1655" i="1" s="1"/>
  <c r="AA1656" i="1"/>
  <c r="AB1656" i="1"/>
  <c r="AC1656" i="1" s="1"/>
  <c r="AA1657" i="1"/>
  <c r="AB1657" i="1"/>
  <c r="AC1657" i="1" s="1"/>
  <c r="AA1658" i="1"/>
  <c r="AB1658" i="1"/>
  <c r="AC1658" i="1" s="1"/>
  <c r="AA1659" i="1"/>
  <c r="AB1659" i="1"/>
  <c r="AC1659" i="1" s="1"/>
  <c r="AA1660" i="1"/>
  <c r="AB1660" i="1"/>
  <c r="AC1660" i="1" s="1"/>
  <c r="AA1661" i="1"/>
  <c r="AB1661" i="1"/>
  <c r="AC1661" i="1" s="1"/>
  <c r="AA1662" i="1"/>
  <c r="AB1662" i="1"/>
  <c r="AC1662" i="1" s="1"/>
  <c r="AA1663" i="1"/>
  <c r="AB1663" i="1"/>
  <c r="AC1663" i="1" s="1"/>
  <c r="AA1664" i="1"/>
  <c r="AB1664" i="1"/>
  <c r="AC1664" i="1" s="1"/>
  <c r="AA1665" i="1"/>
  <c r="AB1665" i="1"/>
  <c r="AC1665" i="1" s="1"/>
  <c r="AA1666" i="1"/>
  <c r="AB1666" i="1"/>
  <c r="AC1666" i="1" s="1"/>
  <c r="AA1667" i="1"/>
  <c r="AB1667" i="1"/>
  <c r="AC1667" i="1" s="1"/>
  <c r="AA1668" i="1"/>
  <c r="AB1668" i="1"/>
  <c r="AC1668" i="1" s="1"/>
  <c r="AA1669" i="1"/>
  <c r="AB1669" i="1"/>
  <c r="AC1669" i="1" s="1"/>
  <c r="AA1670" i="1"/>
  <c r="AB1670" i="1"/>
  <c r="AC1670" i="1" s="1"/>
  <c r="AA1671" i="1"/>
  <c r="AB1671" i="1"/>
  <c r="AC1671" i="1" s="1"/>
  <c r="AA1672" i="1"/>
  <c r="AB1672" i="1"/>
  <c r="AC1672" i="1" s="1"/>
  <c r="AA1673" i="1"/>
  <c r="AB1673" i="1"/>
  <c r="AC1673" i="1" s="1"/>
  <c r="AA1674" i="1"/>
  <c r="AB1674" i="1"/>
  <c r="AC1674" i="1" s="1"/>
  <c r="AA1675" i="1"/>
  <c r="AB1675" i="1"/>
  <c r="AC1675" i="1" s="1"/>
  <c r="AA1676" i="1"/>
  <c r="AB1676" i="1"/>
  <c r="AC1676" i="1" s="1"/>
  <c r="AA1677" i="1"/>
  <c r="AB1677" i="1"/>
  <c r="AC1677" i="1" s="1"/>
  <c r="AA1678" i="1"/>
  <c r="AB1678" i="1"/>
  <c r="AC1678" i="1" s="1"/>
  <c r="AA1679" i="1"/>
  <c r="AB1679" i="1"/>
  <c r="AC1679" i="1" s="1"/>
  <c r="AA1680" i="1"/>
  <c r="AB1680" i="1"/>
  <c r="AC1680" i="1" s="1"/>
  <c r="AA1681" i="1"/>
  <c r="AB1681" i="1"/>
  <c r="AC1681" i="1" s="1"/>
  <c r="AA1682" i="1"/>
  <c r="AB1682" i="1"/>
  <c r="AC1682" i="1" s="1"/>
  <c r="AA1683" i="1"/>
  <c r="AB1683" i="1"/>
  <c r="AC1683" i="1" s="1"/>
  <c r="AA1684" i="1"/>
  <c r="AB1684" i="1"/>
  <c r="AC1684" i="1" s="1"/>
  <c r="AA1685" i="1"/>
  <c r="AB1685" i="1"/>
  <c r="AC1685" i="1" s="1"/>
  <c r="AA1686" i="1"/>
  <c r="AB1686" i="1"/>
  <c r="AC1686" i="1" s="1"/>
  <c r="AA1687" i="1"/>
  <c r="AB1687" i="1"/>
  <c r="AC1687" i="1" s="1"/>
  <c r="AA1688" i="1"/>
  <c r="AB1688" i="1"/>
  <c r="AC1688" i="1" s="1"/>
  <c r="AA1689" i="1"/>
  <c r="AB1689" i="1"/>
  <c r="AC1689" i="1" s="1"/>
  <c r="AA1690" i="1"/>
  <c r="AB1690" i="1"/>
  <c r="AC1690" i="1" s="1"/>
  <c r="AA1691" i="1"/>
  <c r="AB1691" i="1"/>
  <c r="AC1691" i="1" s="1"/>
  <c r="AA1692" i="1"/>
  <c r="AB1692" i="1"/>
  <c r="AC1692" i="1" s="1"/>
  <c r="AA1693" i="1"/>
  <c r="AB1693" i="1"/>
  <c r="AC1693" i="1" s="1"/>
  <c r="AA1694" i="1"/>
  <c r="AB1694" i="1"/>
  <c r="AC1694" i="1" s="1"/>
  <c r="AA1695" i="1"/>
  <c r="AB1695" i="1"/>
  <c r="AC1695" i="1" s="1"/>
  <c r="AA1696" i="1"/>
  <c r="AB1696" i="1"/>
  <c r="AC1696" i="1" s="1"/>
  <c r="AA1697" i="1"/>
  <c r="AB1697" i="1"/>
  <c r="AC1697" i="1" s="1"/>
  <c r="AA1698" i="1"/>
  <c r="AB1698" i="1"/>
  <c r="AC1698" i="1" s="1"/>
  <c r="AA1699" i="1"/>
  <c r="AB1699" i="1"/>
  <c r="AC1699" i="1" s="1"/>
  <c r="AA1700" i="1"/>
  <c r="AB1700" i="1"/>
  <c r="AC1700" i="1" s="1"/>
  <c r="AA1701" i="1"/>
  <c r="AB1701" i="1"/>
  <c r="AC1701" i="1" s="1"/>
  <c r="AA1702" i="1"/>
  <c r="AB1702" i="1"/>
  <c r="AC1702" i="1" s="1"/>
  <c r="AA1703" i="1"/>
  <c r="AB1703" i="1"/>
  <c r="AC1703" i="1" s="1"/>
  <c r="AA1704" i="1"/>
  <c r="AB1704" i="1"/>
  <c r="AC1704" i="1" s="1"/>
  <c r="AA1705" i="1"/>
  <c r="AB1705" i="1"/>
  <c r="AC1705" i="1" s="1"/>
  <c r="AA1706" i="1"/>
  <c r="AB1706" i="1"/>
  <c r="AC1706" i="1" s="1"/>
  <c r="AA1707" i="1"/>
  <c r="AB1707" i="1"/>
  <c r="AC1707" i="1" s="1"/>
  <c r="AA1708" i="1"/>
  <c r="AB1708" i="1"/>
  <c r="AC1708" i="1" s="1"/>
  <c r="AA1709" i="1"/>
  <c r="AB1709" i="1"/>
  <c r="AC1709" i="1" s="1"/>
  <c r="AA1710" i="1"/>
  <c r="AB1710" i="1"/>
  <c r="AC1710" i="1" s="1"/>
  <c r="AA1711" i="1"/>
  <c r="AB1711" i="1"/>
  <c r="AC1711" i="1" s="1"/>
  <c r="AA1712" i="1"/>
  <c r="AB1712" i="1"/>
  <c r="AC1712" i="1" s="1"/>
  <c r="AA1713" i="1"/>
  <c r="AB1713" i="1"/>
  <c r="AC1713" i="1" s="1"/>
  <c r="AA1714" i="1"/>
  <c r="AB1714" i="1"/>
  <c r="AC1714" i="1" s="1"/>
  <c r="AA1715" i="1"/>
  <c r="AB1715" i="1"/>
  <c r="AC1715" i="1" s="1"/>
  <c r="AA1716" i="1"/>
  <c r="AB1716" i="1"/>
  <c r="AC1716" i="1" s="1"/>
  <c r="AA1717" i="1"/>
  <c r="AB1717" i="1"/>
  <c r="AC1717" i="1" s="1"/>
  <c r="AA1718" i="1"/>
  <c r="AB1718" i="1"/>
  <c r="AC1718" i="1" s="1"/>
  <c r="AA1719" i="1"/>
  <c r="AB1719" i="1"/>
  <c r="AC1719" i="1" s="1"/>
  <c r="AA1720" i="1"/>
  <c r="AB1720" i="1"/>
  <c r="AC1720" i="1" s="1"/>
  <c r="AA1721" i="1"/>
  <c r="AB1721" i="1"/>
  <c r="AC1721" i="1" s="1"/>
  <c r="AA1722" i="1"/>
  <c r="AB1722" i="1"/>
  <c r="AC1722" i="1" s="1"/>
  <c r="AA1723" i="1"/>
  <c r="AB1723" i="1"/>
  <c r="AC1723" i="1" s="1"/>
  <c r="AA1724" i="1"/>
  <c r="AB1724" i="1"/>
  <c r="AC1724" i="1" s="1"/>
  <c r="AA1725" i="1"/>
  <c r="AB1725" i="1"/>
  <c r="AC1725" i="1" s="1"/>
  <c r="AA1726" i="1"/>
  <c r="AB1726" i="1"/>
  <c r="AC1726" i="1" s="1"/>
  <c r="AA1727" i="1"/>
  <c r="AB1727" i="1"/>
  <c r="AC1727" i="1" s="1"/>
  <c r="AA1728" i="1"/>
  <c r="AB1728" i="1"/>
  <c r="AC1728" i="1" s="1"/>
  <c r="AA1729" i="1"/>
  <c r="AB1729" i="1"/>
  <c r="AC1729" i="1" s="1"/>
  <c r="AA1730" i="1"/>
  <c r="AB1730" i="1"/>
  <c r="AC1730" i="1" s="1"/>
  <c r="AA1731" i="1"/>
  <c r="AB1731" i="1"/>
  <c r="AC1731" i="1" s="1"/>
  <c r="AA1732" i="1"/>
  <c r="AB1732" i="1"/>
  <c r="AC1732" i="1" s="1"/>
  <c r="AA1733" i="1"/>
  <c r="AB1733" i="1"/>
  <c r="AC1733" i="1" s="1"/>
  <c r="AA1734" i="1"/>
  <c r="AB1734" i="1"/>
  <c r="AC1734" i="1" s="1"/>
  <c r="AA1735" i="1"/>
  <c r="AB1735" i="1"/>
  <c r="AC1735" i="1" s="1"/>
  <c r="AA1736" i="1"/>
  <c r="AB1736" i="1"/>
  <c r="AC1736" i="1" s="1"/>
  <c r="AA1737" i="1"/>
  <c r="AB1737" i="1"/>
  <c r="AC1737" i="1" s="1"/>
  <c r="AA1738" i="1"/>
  <c r="AB1738" i="1"/>
  <c r="AC1738" i="1" s="1"/>
  <c r="AA1739" i="1"/>
  <c r="AB1739" i="1"/>
  <c r="AC1739" i="1" s="1"/>
  <c r="AA1740" i="1"/>
  <c r="AB1740" i="1"/>
  <c r="AC1740" i="1" s="1"/>
  <c r="AA1741" i="1"/>
  <c r="AB1741" i="1"/>
  <c r="AC1741" i="1" s="1"/>
  <c r="AA1742" i="1"/>
  <c r="AB1742" i="1"/>
  <c r="AC1742" i="1" s="1"/>
  <c r="AA1743" i="1"/>
  <c r="AB1743" i="1"/>
  <c r="AC1743" i="1" s="1"/>
  <c r="AA1744" i="1"/>
  <c r="AB1744" i="1"/>
  <c r="AC1744" i="1" s="1"/>
  <c r="AA1745" i="1"/>
  <c r="AB1745" i="1"/>
  <c r="AC1745" i="1" s="1"/>
  <c r="AA1746" i="1"/>
  <c r="AB1746" i="1"/>
  <c r="AC1746" i="1" s="1"/>
  <c r="AA1747" i="1"/>
  <c r="AB1747" i="1"/>
  <c r="AC1747" i="1" s="1"/>
  <c r="AA1748" i="1"/>
  <c r="AB1748" i="1"/>
  <c r="AC1748" i="1" s="1"/>
  <c r="AA1749" i="1"/>
  <c r="AB1749" i="1"/>
  <c r="AC1749" i="1" s="1"/>
  <c r="AA1750" i="1"/>
  <c r="AB1750" i="1"/>
  <c r="AC1750" i="1" s="1"/>
  <c r="AA1751" i="1"/>
  <c r="AB1751" i="1"/>
  <c r="AC1751" i="1" s="1"/>
  <c r="AA1752" i="1"/>
  <c r="AB1752" i="1"/>
  <c r="AC1752" i="1" s="1"/>
  <c r="AA1753" i="1"/>
  <c r="AB1753" i="1"/>
  <c r="AC1753" i="1" s="1"/>
  <c r="AA1754" i="1"/>
  <c r="AB1754" i="1"/>
  <c r="AC1754" i="1" s="1"/>
  <c r="AA1755" i="1"/>
  <c r="AB1755" i="1"/>
  <c r="AC1755" i="1" s="1"/>
  <c r="AA1756" i="1"/>
  <c r="AB1756" i="1"/>
  <c r="AC1756" i="1" s="1"/>
  <c r="AA1757" i="1"/>
  <c r="AB1757" i="1"/>
  <c r="AC1757" i="1" s="1"/>
  <c r="AA1758" i="1"/>
  <c r="AB1758" i="1"/>
  <c r="AC1758" i="1" s="1"/>
  <c r="AA1759" i="1"/>
  <c r="AB1759" i="1"/>
  <c r="AC1759" i="1" s="1"/>
  <c r="AA1760" i="1"/>
  <c r="AB1760" i="1"/>
  <c r="AC1760" i="1" s="1"/>
  <c r="AA1761" i="1"/>
  <c r="AB1761" i="1"/>
  <c r="AC1761" i="1" s="1"/>
  <c r="AA1762" i="1"/>
  <c r="AB1762" i="1"/>
  <c r="AC1762" i="1" s="1"/>
  <c r="AA1763" i="1"/>
  <c r="AB1763" i="1"/>
  <c r="AC1763" i="1" s="1"/>
  <c r="AA1764" i="1"/>
  <c r="AB1764" i="1"/>
  <c r="AC1764" i="1" s="1"/>
  <c r="AA1765" i="1"/>
  <c r="AB1765" i="1"/>
  <c r="AC1765" i="1" s="1"/>
  <c r="AA1766" i="1"/>
  <c r="AB1766" i="1"/>
  <c r="AC1766" i="1" s="1"/>
  <c r="AA1767" i="1"/>
  <c r="AB1767" i="1"/>
  <c r="AC1767" i="1" s="1"/>
  <c r="AA1768" i="1"/>
  <c r="AB1768" i="1"/>
  <c r="AC1768" i="1" s="1"/>
  <c r="AA1769" i="1"/>
  <c r="AB1769" i="1"/>
  <c r="AC1769" i="1" s="1"/>
  <c r="AA1770" i="1"/>
  <c r="AB1770" i="1"/>
  <c r="AC1770" i="1" s="1"/>
  <c r="AA1771" i="1"/>
  <c r="AB1771" i="1"/>
  <c r="AC1771" i="1" s="1"/>
  <c r="AA1772" i="1"/>
  <c r="AB1772" i="1"/>
  <c r="AC1772" i="1" s="1"/>
  <c r="AA1773" i="1"/>
  <c r="AB1773" i="1"/>
  <c r="AC1773" i="1" s="1"/>
  <c r="AA1774" i="1"/>
  <c r="AB1774" i="1"/>
  <c r="AC1774" i="1" s="1"/>
  <c r="AA1775" i="1"/>
  <c r="AB1775" i="1"/>
  <c r="AC1775" i="1" s="1"/>
  <c r="AA1776" i="1"/>
  <c r="AB1776" i="1"/>
  <c r="AC1776" i="1" s="1"/>
  <c r="AA1777" i="1"/>
  <c r="AB1777" i="1"/>
  <c r="AC1777" i="1" s="1"/>
  <c r="AA1778" i="1"/>
  <c r="AB1778" i="1"/>
  <c r="AC1778" i="1" s="1"/>
  <c r="AA1779" i="1"/>
  <c r="AB1779" i="1"/>
  <c r="AC1779" i="1" s="1"/>
  <c r="AA1780" i="1"/>
  <c r="AB1780" i="1"/>
  <c r="AC1780" i="1" s="1"/>
  <c r="AA1781" i="1"/>
  <c r="AB1781" i="1"/>
  <c r="AC1781" i="1" s="1"/>
  <c r="AA1782" i="1"/>
  <c r="AB1782" i="1"/>
  <c r="AC1782" i="1"/>
  <c r="AA1783" i="1"/>
  <c r="AB1783" i="1"/>
  <c r="AC1783" i="1" s="1"/>
  <c r="AA1784" i="1"/>
  <c r="AB1784" i="1"/>
  <c r="AC1784" i="1" s="1"/>
  <c r="AA1785" i="1"/>
  <c r="AB1785" i="1"/>
  <c r="AC1785" i="1" s="1"/>
  <c r="AA1786" i="1"/>
  <c r="AB1786" i="1"/>
  <c r="AC1786" i="1" s="1"/>
  <c r="AA1787" i="1"/>
  <c r="AB1787" i="1"/>
  <c r="AC1787" i="1" s="1"/>
  <c r="AQ1787" i="1" s="1"/>
  <c r="AQ1788" i="1" s="1"/>
  <c r="AA1788" i="1"/>
  <c r="AB1788" i="1"/>
  <c r="AC1788" i="1" s="1"/>
  <c r="AA1789" i="1"/>
  <c r="AB1789" i="1"/>
  <c r="AC1789" i="1" s="1"/>
  <c r="AQ1789" i="1" s="1"/>
  <c r="AA1790" i="1"/>
  <c r="AB1790" i="1"/>
  <c r="AC1790" i="1" s="1"/>
  <c r="AA1791" i="1"/>
  <c r="AB1791" i="1"/>
  <c r="AC1791" i="1" s="1"/>
  <c r="AA1792" i="1"/>
  <c r="AB1792" i="1"/>
  <c r="AC1792" i="1" s="1"/>
  <c r="AA1793" i="1"/>
  <c r="AB1793" i="1"/>
  <c r="AC1793" i="1" s="1"/>
  <c r="AA1794" i="1"/>
  <c r="AB1794" i="1"/>
  <c r="AC1794" i="1" s="1"/>
  <c r="AA1795" i="1"/>
  <c r="AB1795" i="1"/>
  <c r="AC1795" i="1" s="1"/>
  <c r="AA1796" i="1"/>
  <c r="AB1796" i="1"/>
  <c r="AC1796" i="1" s="1"/>
  <c r="AA1797" i="1"/>
  <c r="AB1797" i="1"/>
  <c r="AC1797" i="1" s="1"/>
  <c r="AA1798" i="1"/>
  <c r="AB1798" i="1"/>
  <c r="AC1798" i="1" s="1"/>
  <c r="AA1799" i="1"/>
  <c r="AB1799" i="1"/>
  <c r="AC1799" i="1" s="1"/>
  <c r="AA1800" i="1"/>
  <c r="AB1800" i="1"/>
  <c r="AC1800" i="1" s="1"/>
  <c r="AA1801" i="1"/>
  <c r="AB1801" i="1"/>
  <c r="AC1801" i="1" s="1"/>
  <c r="AA1802" i="1"/>
  <c r="AB1802" i="1"/>
  <c r="AC1802" i="1" s="1"/>
  <c r="AA1803" i="1"/>
  <c r="AB1803" i="1"/>
  <c r="AC1803" i="1" s="1"/>
  <c r="AA1804" i="1"/>
  <c r="AB1804" i="1"/>
  <c r="AC1804" i="1" s="1"/>
  <c r="AA1805" i="1"/>
  <c r="AB1805" i="1"/>
  <c r="AC1805" i="1" s="1"/>
  <c r="AA1806" i="1"/>
  <c r="AB1806" i="1"/>
  <c r="AC1806" i="1" s="1"/>
  <c r="AA1807" i="1"/>
  <c r="AB1807" i="1"/>
  <c r="AC1807" i="1" s="1"/>
  <c r="AA1808" i="1"/>
  <c r="AB1808" i="1"/>
  <c r="AC1808" i="1" s="1"/>
  <c r="AA1809" i="1"/>
  <c r="AB1809" i="1"/>
  <c r="AC1809" i="1" s="1"/>
  <c r="AA1810" i="1"/>
  <c r="AB1810" i="1"/>
  <c r="AC1810" i="1" s="1"/>
  <c r="AA1811" i="1"/>
  <c r="AB1811" i="1"/>
  <c r="AC1811" i="1" s="1"/>
  <c r="AA1812" i="1"/>
  <c r="AB1812" i="1"/>
  <c r="AC1812" i="1" s="1"/>
  <c r="AA1813" i="1"/>
  <c r="AB1813" i="1"/>
  <c r="AC1813" i="1" s="1"/>
  <c r="AA1814" i="1"/>
  <c r="AB1814" i="1"/>
  <c r="AC1814" i="1" s="1"/>
  <c r="AA1815" i="1"/>
  <c r="AB1815" i="1"/>
  <c r="AC1815" i="1" s="1"/>
  <c r="AA1816" i="1"/>
  <c r="AB1816" i="1"/>
  <c r="AC1816" i="1" s="1"/>
  <c r="AA1817" i="1"/>
  <c r="AB1817" i="1"/>
  <c r="AC1817" i="1" s="1"/>
  <c r="AA1818" i="1"/>
  <c r="AB1818" i="1"/>
  <c r="AC1818" i="1" s="1"/>
  <c r="AA1819" i="1"/>
  <c r="AB1819" i="1"/>
  <c r="AC1819" i="1" s="1"/>
  <c r="AA1820" i="1"/>
  <c r="AB1820" i="1"/>
  <c r="AC1820" i="1" s="1"/>
  <c r="AA1821" i="1"/>
  <c r="AB1821" i="1"/>
  <c r="AC1821" i="1" s="1"/>
  <c r="AA1822" i="1"/>
  <c r="AB1822" i="1"/>
  <c r="AC1822" i="1" s="1"/>
  <c r="AA1823" i="1"/>
  <c r="AB1823" i="1"/>
  <c r="AC1823" i="1" s="1"/>
  <c r="AA1824" i="1"/>
  <c r="AB1824" i="1"/>
  <c r="AC1824" i="1" s="1"/>
  <c r="AA1825" i="1"/>
  <c r="AB1825" i="1"/>
  <c r="AC1825" i="1" s="1"/>
  <c r="AA1826" i="1"/>
  <c r="AB1826" i="1"/>
  <c r="AC1826" i="1" s="1"/>
  <c r="AA1827" i="1"/>
  <c r="AB1827" i="1"/>
  <c r="AC1827" i="1" s="1"/>
  <c r="AA1828" i="1"/>
  <c r="AB1828" i="1"/>
  <c r="AC1828" i="1" s="1"/>
  <c r="AA1829" i="1"/>
  <c r="AB1829" i="1"/>
  <c r="AC1829" i="1" s="1"/>
  <c r="AA1830" i="1"/>
  <c r="AB1830" i="1"/>
  <c r="AC1830" i="1" s="1"/>
  <c r="AA1831" i="1"/>
  <c r="AB1831" i="1"/>
  <c r="AC1831" i="1" s="1"/>
  <c r="AA1832" i="1"/>
  <c r="AB1832" i="1"/>
  <c r="AC1832" i="1" s="1"/>
  <c r="AA1833" i="1"/>
  <c r="AB1833" i="1"/>
  <c r="AC1833" i="1" s="1"/>
  <c r="AA1834" i="1"/>
  <c r="AB1834" i="1"/>
  <c r="AC1834" i="1" s="1"/>
  <c r="AA1835" i="1"/>
  <c r="AB1835" i="1"/>
  <c r="AC1835" i="1" s="1"/>
  <c r="AA1836" i="1"/>
  <c r="AB1836" i="1"/>
  <c r="AC1836" i="1" s="1"/>
  <c r="AA1837" i="1"/>
  <c r="AB1837" i="1"/>
  <c r="AC1837" i="1" s="1"/>
  <c r="AA1838" i="1"/>
  <c r="AB1838" i="1"/>
  <c r="AC1838" i="1" s="1"/>
  <c r="AA1839" i="1"/>
  <c r="AB1839" i="1"/>
  <c r="AC1839" i="1" s="1"/>
  <c r="AA1840" i="1"/>
  <c r="AB1840" i="1"/>
  <c r="AC1840" i="1" s="1"/>
  <c r="AA1841" i="1"/>
  <c r="AB1841" i="1"/>
  <c r="AC1841" i="1" s="1"/>
  <c r="AA1842" i="1"/>
  <c r="AB1842" i="1"/>
  <c r="AC1842" i="1" s="1"/>
  <c r="AA1843" i="1"/>
  <c r="AB1843" i="1"/>
  <c r="AC1843" i="1" s="1"/>
  <c r="AA1844" i="1"/>
  <c r="AB1844" i="1"/>
  <c r="AC1844" i="1" s="1"/>
  <c r="AA1845" i="1"/>
  <c r="AB1845" i="1"/>
  <c r="AC1845" i="1" s="1"/>
  <c r="AA1846" i="1"/>
  <c r="AB1846" i="1"/>
  <c r="AC1846" i="1" s="1"/>
  <c r="AA1847" i="1"/>
  <c r="AB1847" i="1"/>
  <c r="AC1847" i="1" s="1"/>
  <c r="AA1848" i="1"/>
  <c r="AB1848" i="1"/>
  <c r="AC1848" i="1" s="1"/>
  <c r="AA1849" i="1"/>
  <c r="AB1849" i="1"/>
  <c r="AC1849" i="1" s="1"/>
  <c r="AA1850" i="1"/>
  <c r="AB1850" i="1"/>
  <c r="AC1850" i="1" s="1"/>
  <c r="AA1851" i="1"/>
  <c r="AB1851" i="1"/>
  <c r="AC1851" i="1" s="1"/>
  <c r="AA1852" i="1"/>
  <c r="AB1852" i="1"/>
  <c r="AC1852" i="1" s="1"/>
  <c r="AA1853" i="1"/>
  <c r="AB1853" i="1"/>
  <c r="AC1853" i="1" s="1"/>
  <c r="AA1854" i="1"/>
  <c r="AB1854" i="1"/>
  <c r="AC1854" i="1" s="1"/>
  <c r="AA1855" i="1"/>
  <c r="AB1855" i="1"/>
  <c r="AC1855" i="1" s="1"/>
  <c r="AA1856" i="1"/>
  <c r="AB1856" i="1"/>
  <c r="AC1856" i="1" s="1"/>
  <c r="AA1857" i="1"/>
  <c r="AB1857" i="1"/>
  <c r="AC1857" i="1" s="1"/>
  <c r="AA1858" i="1"/>
  <c r="AB1858" i="1"/>
  <c r="AC1858" i="1" s="1"/>
  <c r="AA1859" i="1"/>
  <c r="AB1859" i="1"/>
  <c r="AC1859" i="1" s="1"/>
  <c r="AA1860" i="1"/>
  <c r="AB1860" i="1"/>
  <c r="AC1860" i="1" s="1"/>
  <c r="AA1861" i="1"/>
  <c r="AB1861" i="1"/>
  <c r="AC1861" i="1" s="1"/>
  <c r="AA1862" i="1"/>
  <c r="AB1862" i="1"/>
  <c r="AC1862" i="1" s="1"/>
  <c r="AA1863" i="1"/>
  <c r="AB1863" i="1"/>
  <c r="AC1863" i="1" s="1"/>
  <c r="AA1864" i="1"/>
  <c r="AB1864" i="1"/>
  <c r="AC1864" i="1" s="1"/>
  <c r="AA1865" i="1"/>
  <c r="AB1865" i="1"/>
  <c r="AC1865" i="1" s="1"/>
  <c r="AA1866" i="1"/>
  <c r="AB1866" i="1"/>
  <c r="AC1866" i="1" s="1"/>
  <c r="AA1867" i="1"/>
  <c r="AB1867" i="1"/>
  <c r="AC1867" i="1" s="1"/>
  <c r="AA1868" i="1"/>
  <c r="AB1868" i="1"/>
  <c r="AC1868" i="1" s="1"/>
  <c r="AA1869" i="1"/>
  <c r="AB1869" i="1"/>
  <c r="AC1869" i="1" s="1"/>
  <c r="AA1870" i="1"/>
  <c r="AB1870" i="1"/>
  <c r="AC1870" i="1" s="1"/>
  <c r="AA1871" i="1"/>
  <c r="AB1871" i="1"/>
  <c r="AC1871" i="1" s="1"/>
  <c r="AA1872" i="1"/>
  <c r="AB1872" i="1"/>
  <c r="AC1872" i="1" s="1"/>
  <c r="AA1873" i="1"/>
  <c r="AB1873" i="1"/>
  <c r="AC1873" i="1" s="1"/>
  <c r="AA1874" i="1"/>
  <c r="AB1874" i="1"/>
  <c r="AC1874" i="1" s="1"/>
  <c r="AA1875" i="1"/>
  <c r="AB1875" i="1"/>
  <c r="AC1875" i="1" s="1"/>
  <c r="AA1876" i="1"/>
  <c r="AB1876" i="1"/>
  <c r="AC1876" i="1" s="1"/>
  <c r="AA1877" i="1"/>
  <c r="AB1877" i="1"/>
  <c r="AC1877" i="1" s="1"/>
  <c r="AA1878" i="1"/>
  <c r="AB1878" i="1"/>
  <c r="AC1878" i="1" s="1"/>
  <c r="AA1879" i="1"/>
  <c r="AB1879" i="1"/>
  <c r="AC1879" i="1" s="1"/>
  <c r="AA1880" i="1"/>
  <c r="AB1880" i="1"/>
  <c r="AC1880" i="1" s="1"/>
  <c r="AA1881" i="1"/>
  <c r="AB1881" i="1"/>
  <c r="AC1881" i="1" s="1"/>
  <c r="AA1882" i="1"/>
  <c r="AB1882" i="1"/>
  <c r="AC1882" i="1" s="1"/>
  <c r="AA1883" i="1"/>
  <c r="AB1883" i="1"/>
  <c r="AC1883" i="1" s="1"/>
  <c r="AA1884" i="1"/>
  <c r="AB1884" i="1"/>
  <c r="AC1884" i="1" s="1"/>
  <c r="AA1885" i="1"/>
  <c r="AB1885" i="1"/>
  <c r="AC1885" i="1" s="1"/>
  <c r="AA1886" i="1"/>
  <c r="AB1886" i="1"/>
  <c r="AC1886" i="1" s="1"/>
  <c r="AA1887" i="1"/>
  <c r="AB1887" i="1"/>
  <c r="AC1887" i="1" s="1"/>
  <c r="AA1888" i="1"/>
  <c r="AB1888" i="1"/>
  <c r="AC1888" i="1" s="1"/>
  <c r="AA1889" i="1"/>
  <c r="AB1889" i="1"/>
  <c r="AC1889" i="1" s="1"/>
  <c r="AA1890" i="1"/>
  <c r="AB1890" i="1"/>
  <c r="AC1890" i="1" s="1"/>
  <c r="AA1891" i="1"/>
  <c r="AB1891" i="1"/>
  <c r="AC1891" i="1" s="1"/>
  <c r="AA1892" i="1"/>
  <c r="AB1892" i="1"/>
  <c r="AC1892" i="1" s="1"/>
  <c r="AA1893" i="1"/>
  <c r="AB1893" i="1"/>
  <c r="AC1893" i="1" s="1"/>
  <c r="AA1894" i="1"/>
  <c r="AB1894" i="1"/>
  <c r="AC1894" i="1" s="1"/>
  <c r="AA1895" i="1"/>
  <c r="AB1895" i="1"/>
  <c r="AC1895" i="1" s="1"/>
  <c r="AA1896" i="1"/>
  <c r="AB1896" i="1"/>
  <c r="AC1896" i="1" s="1"/>
  <c r="AA1897" i="1"/>
  <c r="AB1897" i="1"/>
  <c r="AC1897" i="1" s="1"/>
  <c r="AA1898" i="1"/>
  <c r="AB1898" i="1"/>
  <c r="AC1898" i="1" s="1"/>
  <c r="AA1899" i="1"/>
  <c r="AB1899" i="1"/>
  <c r="AC1899" i="1" s="1"/>
  <c r="AA1900" i="1"/>
  <c r="AB1900" i="1"/>
  <c r="AC1900" i="1" s="1"/>
  <c r="AA1901" i="1"/>
  <c r="AB1901" i="1"/>
  <c r="AC1901" i="1" s="1"/>
  <c r="AA1902" i="1"/>
  <c r="AB1902" i="1"/>
  <c r="AC1902" i="1" s="1"/>
  <c r="AA1903" i="1"/>
  <c r="AB1903" i="1"/>
  <c r="AC1903" i="1" s="1"/>
  <c r="AA1904" i="1"/>
  <c r="AB1904" i="1"/>
  <c r="AC1904" i="1" s="1"/>
  <c r="AA1905" i="1"/>
  <c r="AB1905" i="1"/>
  <c r="AC1905" i="1" s="1"/>
  <c r="AA1906" i="1"/>
  <c r="AB1906" i="1"/>
  <c r="AC1906" i="1" s="1"/>
  <c r="AA1907" i="1"/>
  <c r="AB1907" i="1"/>
  <c r="AC1907" i="1" s="1"/>
  <c r="AA1908" i="1"/>
  <c r="AB1908" i="1"/>
  <c r="AC1908" i="1" s="1"/>
  <c r="AA1909" i="1"/>
  <c r="AB1909" i="1"/>
  <c r="AC1909" i="1" s="1"/>
  <c r="AA1910" i="1"/>
  <c r="AB1910" i="1"/>
  <c r="AC1910" i="1" s="1"/>
  <c r="AA1911" i="1"/>
  <c r="AB1911" i="1"/>
  <c r="AC1911" i="1" s="1"/>
  <c r="AA1912" i="1"/>
  <c r="AB1912" i="1"/>
  <c r="AC1912" i="1" s="1"/>
  <c r="AA1913" i="1"/>
  <c r="AB1913" i="1"/>
  <c r="AC1913" i="1" s="1"/>
  <c r="AA1914" i="1"/>
  <c r="AB1914" i="1"/>
  <c r="AC1914" i="1" s="1"/>
  <c r="AA1915" i="1"/>
  <c r="AB1915" i="1"/>
  <c r="AC1915" i="1" s="1"/>
  <c r="AA1916" i="1"/>
  <c r="AB1916" i="1"/>
  <c r="AC1916" i="1" s="1"/>
  <c r="AA1917" i="1"/>
  <c r="AB1917" i="1"/>
  <c r="AC1917" i="1" s="1"/>
  <c r="AA1918" i="1"/>
  <c r="AB1918" i="1"/>
  <c r="AC1918" i="1" s="1"/>
  <c r="AA1919" i="1"/>
  <c r="AB1919" i="1"/>
  <c r="AC1919" i="1" s="1"/>
  <c r="AA1920" i="1"/>
  <c r="AB1920" i="1"/>
  <c r="AC1920" i="1" s="1"/>
  <c r="AA1921" i="1"/>
  <c r="AB1921" i="1"/>
  <c r="AC1921" i="1" s="1"/>
  <c r="AA1922" i="1"/>
  <c r="AB1922" i="1"/>
  <c r="AC1922" i="1" s="1"/>
  <c r="AA1923" i="1"/>
  <c r="AB1923" i="1"/>
  <c r="AC1923" i="1" s="1"/>
  <c r="AA1924" i="1"/>
  <c r="AB1924" i="1"/>
  <c r="AC1924" i="1" s="1"/>
  <c r="AA1925" i="1"/>
  <c r="AB1925" i="1"/>
  <c r="AC1925" i="1" s="1"/>
  <c r="AA1926" i="1"/>
  <c r="AB1926" i="1"/>
  <c r="AC1926" i="1" s="1"/>
  <c r="AA1927" i="1"/>
  <c r="AB1927" i="1"/>
  <c r="AC1927" i="1" s="1"/>
  <c r="AA1928" i="1"/>
  <c r="AB1928" i="1"/>
  <c r="AC1928" i="1" s="1"/>
  <c r="AA1929" i="1"/>
  <c r="AB1929" i="1"/>
  <c r="AC1929" i="1" s="1"/>
  <c r="AA1930" i="1"/>
  <c r="AB1930" i="1"/>
  <c r="AC1930" i="1" s="1"/>
  <c r="AA1931" i="1"/>
  <c r="AB1931" i="1"/>
  <c r="AC1931" i="1" s="1"/>
  <c r="AA1932" i="1"/>
  <c r="AB1932" i="1"/>
  <c r="AC1932" i="1" s="1"/>
  <c r="AA1933" i="1"/>
  <c r="AB1933" i="1"/>
  <c r="AC1933" i="1" s="1"/>
  <c r="AA1934" i="1"/>
  <c r="AB1934" i="1"/>
  <c r="AC1934" i="1" s="1"/>
  <c r="AA1935" i="1"/>
  <c r="AB1935" i="1"/>
  <c r="AC1935" i="1" s="1"/>
  <c r="AA1936" i="1"/>
  <c r="AB1936" i="1"/>
  <c r="AC1936" i="1" s="1"/>
  <c r="AA1937" i="1"/>
  <c r="AB1937" i="1"/>
  <c r="AC1937" i="1" s="1"/>
  <c r="AA1938" i="1"/>
  <c r="AB1938" i="1"/>
  <c r="AC1938" i="1" s="1"/>
  <c r="AA1939" i="1"/>
  <c r="AB1939" i="1"/>
  <c r="AC1939" i="1" s="1"/>
  <c r="AA1940" i="1"/>
  <c r="AB1940" i="1"/>
  <c r="AC1940" i="1" s="1"/>
  <c r="AA1941" i="1"/>
  <c r="AB1941" i="1"/>
  <c r="AC1941" i="1" s="1"/>
  <c r="AA1942" i="1"/>
  <c r="AB1942" i="1"/>
  <c r="AC1942" i="1" s="1"/>
  <c r="AA1943" i="1"/>
  <c r="AB1943" i="1"/>
  <c r="AC1943" i="1" s="1"/>
  <c r="AA1944" i="1"/>
  <c r="AB1944" i="1"/>
  <c r="AC1944" i="1" s="1"/>
  <c r="AA1945" i="1"/>
  <c r="AB1945" i="1"/>
  <c r="AC1945" i="1" s="1"/>
  <c r="AA1946" i="1"/>
  <c r="AB1946" i="1"/>
  <c r="AC1946" i="1" s="1"/>
  <c r="AA1947" i="1"/>
  <c r="AB1947" i="1"/>
  <c r="AC1947" i="1" s="1"/>
  <c r="AA1948" i="1"/>
  <c r="AB1948" i="1"/>
  <c r="AC1948" i="1" s="1"/>
  <c r="AA1949" i="1"/>
  <c r="AB1949" i="1"/>
  <c r="AC1949" i="1" s="1"/>
  <c r="AA1950" i="1"/>
  <c r="AB1950" i="1"/>
  <c r="AC1950" i="1" s="1"/>
  <c r="AA1951" i="1"/>
  <c r="AB1951" i="1"/>
  <c r="AC1951" i="1" s="1"/>
  <c r="AA1952" i="1"/>
  <c r="AB1952" i="1"/>
  <c r="AC1952" i="1" s="1"/>
  <c r="AA1953" i="1"/>
  <c r="AB1953" i="1"/>
  <c r="AC1953" i="1" s="1"/>
  <c r="AA1954" i="1"/>
  <c r="AB1954" i="1"/>
  <c r="AC1954" i="1" s="1"/>
  <c r="AA1955" i="1"/>
  <c r="AB1955" i="1"/>
  <c r="AC1955" i="1" s="1"/>
  <c r="AA1956" i="1"/>
  <c r="AB1956" i="1"/>
  <c r="AC1956" i="1" s="1"/>
  <c r="AA1957" i="1"/>
  <c r="AB1957" i="1"/>
  <c r="AC1957" i="1" s="1"/>
  <c r="AA1958" i="1"/>
  <c r="AB1958" i="1"/>
  <c r="AC1958" i="1" s="1"/>
  <c r="AA1959" i="1"/>
  <c r="AB1959" i="1"/>
  <c r="AC1959" i="1" s="1"/>
  <c r="AA1960" i="1"/>
  <c r="AB1960" i="1"/>
  <c r="AC1960" i="1" s="1"/>
  <c r="AA1961" i="1"/>
  <c r="AB1961" i="1"/>
  <c r="AC1961" i="1" s="1"/>
  <c r="AA1962" i="1"/>
  <c r="AB1962" i="1"/>
  <c r="AC1962" i="1" s="1"/>
  <c r="AA1963" i="1"/>
  <c r="AB1963" i="1"/>
  <c r="AC1963" i="1" s="1"/>
  <c r="AA1964" i="1"/>
  <c r="AB1964" i="1"/>
  <c r="AC1964" i="1" s="1"/>
  <c r="AA1965" i="1"/>
  <c r="AB1965" i="1"/>
  <c r="AC1965" i="1" s="1"/>
  <c r="AA1966" i="1"/>
  <c r="AB1966" i="1"/>
  <c r="AC1966" i="1" s="1"/>
  <c r="AA1967" i="1"/>
  <c r="AB1967" i="1"/>
  <c r="AC1967" i="1" s="1"/>
  <c r="AA1968" i="1"/>
  <c r="AB1968" i="1"/>
  <c r="AC1968" i="1" s="1"/>
  <c r="AA1969" i="1"/>
  <c r="AB1969" i="1"/>
  <c r="AC1969" i="1" s="1"/>
  <c r="AA1970" i="1"/>
  <c r="AB1970" i="1"/>
  <c r="AC1970" i="1" s="1"/>
  <c r="AA1971" i="1"/>
  <c r="AB1971" i="1"/>
  <c r="AC1971" i="1" s="1"/>
  <c r="AA1972" i="1"/>
  <c r="AB1972" i="1"/>
  <c r="AC1972" i="1" s="1"/>
  <c r="AA1973" i="1"/>
  <c r="AB1973" i="1"/>
  <c r="AC1973" i="1" s="1"/>
  <c r="AA1974" i="1"/>
  <c r="AB1974" i="1"/>
  <c r="AC1974" i="1" s="1"/>
  <c r="AA1975" i="1"/>
  <c r="AB1975" i="1"/>
  <c r="AC1975" i="1" s="1"/>
  <c r="AA1976" i="1"/>
  <c r="AB1976" i="1"/>
  <c r="AC1976" i="1" s="1"/>
  <c r="AA1977" i="1"/>
  <c r="AB1977" i="1"/>
  <c r="AC1977" i="1" s="1"/>
  <c r="AA1978" i="1"/>
  <c r="AB1978" i="1"/>
  <c r="AC1978" i="1" s="1"/>
  <c r="AA1979" i="1"/>
  <c r="AB1979" i="1"/>
  <c r="AC1979" i="1" s="1"/>
  <c r="AA1980" i="1"/>
  <c r="AB1980" i="1"/>
  <c r="AC1980" i="1" s="1"/>
  <c r="AA1981" i="1"/>
  <c r="AB1981" i="1"/>
  <c r="AC1981" i="1" s="1"/>
  <c r="AA1982" i="1"/>
  <c r="AB1982" i="1"/>
  <c r="AC1982" i="1" s="1"/>
  <c r="AA1983" i="1"/>
  <c r="AB1983" i="1"/>
  <c r="AC1983" i="1" s="1"/>
  <c r="AA1984" i="1"/>
  <c r="AB1984" i="1"/>
  <c r="AC1984" i="1" s="1"/>
  <c r="AA1985" i="1"/>
  <c r="AB1985" i="1"/>
  <c r="AC1985" i="1" s="1"/>
  <c r="AA1986" i="1"/>
  <c r="AB1986" i="1"/>
  <c r="AC1986" i="1" s="1"/>
  <c r="AA1987" i="1"/>
  <c r="AB1987" i="1"/>
  <c r="AC1987" i="1" s="1"/>
  <c r="AA1988" i="1"/>
  <c r="AB1988" i="1"/>
  <c r="AC1988" i="1" s="1"/>
  <c r="AA1989" i="1"/>
  <c r="AB1989" i="1"/>
  <c r="AC1989" i="1" s="1"/>
  <c r="AA1990" i="1"/>
  <c r="AB1990" i="1"/>
  <c r="AC1990" i="1" s="1"/>
  <c r="AA1991" i="1"/>
  <c r="AB1991" i="1"/>
  <c r="AC1991" i="1" s="1"/>
  <c r="AA1992" i="1"/>
  <c r="AB1992" i="1"/>
  <c r="AC1992" i="1" s="1"/>
  <c r="AA1993" i="1"/>
  <c r="AB1993" i="1"/>
  <c r="AC1993" i="1" s="1"/>
  <c r="AA1994" i="1"/>
  <c r="AB1994" i="1"/>
  <c r="AC1994" i="1" s="1"/>
  <c r="AA1995" i="1"/>
  <c r="AB1995" i="1"/>
  <c r="AC1995" i="1" s="1"/>
  <c r="AA1996" i="1"/>
  <c r="AB1996" i="1"/>
  <c r="AC1996" i="1" s="1"/>
  <c r="AA1997" i="1"/>
  <c r="AB1997" i="1"/>
  <c r="AC1997" i="1" s="1"/>
  <c r="AA1998" i="1"/>
  <c r="AB1998" i="1"/>
  <c r="AC1998" i="1" s="1"/>
  <c r="AA1999" i="1"/>
  <c r="AB1999" i="1"/>
  <c r="AC1999" i="1" s="1"/>
  <c r="AA2000" i="1"/>
  <c r="AB2000" i="1"/>
  <c r="AC2000" i="1" s="1"/>
  <c r="AA2001" i="1"/>
  <c r="AB2001" i="1"/>
  <c r="AC2001" i="1" s="1"/>
  <c r="AA2002" i="1"/>
  <c r="AB2002" i="1"/>
  <c r="AC2002" i="1" s="1"/>
  <c r="AA2003" i="1"/>
  <c r="AB2003" i="1"/>
  <c r="AC2003" i="1" s="1"/>
  <c r="AA2004" i="1"/>
  <c r="AB2004" i="1"/>
  <c r="AC2004" i="1" s="1"/>
  <c r="AA2005" i="1"/>
  <c r="AB2005" i="1"/>
  <c r="AC2005" i="1" s="1"/>
  <c r="AA2006" i="1"/>
  <c r="AB2006" i="1"/>
  <c r="AC2006" i="1" s="1"/>
  <c r="AA2007" i="1"/>
  <c r="AB2007" i="1"/>
  <c r="AC2007" i="1" s="1"/>
  <c r="AA2008" i="1"/>
  <c r="AB2008" i="1"/>
  <c r="AC2008" i="1" s="1"/>
  <c r="AA2009" i="1"/>
  <c r="AB2009" i="1"/>
  <c r="AC2009" i="1" s="1"/>
  <c r="AA2010" i="1"/>
  <c r="AB2010" i="1"/>
  <c r="AC2010" i="1" s="1"/>
  <c r="AA2011" i="1"/>
  <c r="AB2011" i="1"/>
  <c r="AC2011" i="1" s="1"/>
  <c r="AA2012" i="1"/>
  <c r="AB2012" i="1"/>
  <c r="AC2012" i="1" s="1"/>
  <c r="AA2013" i="1"/>
  <c r="AB2013" i="1"/>
  <c r="AC2013" i="1" s="1"/>
  <c r="AA2014" i="1"/>
  <c r="AB2014" i="1"/>
  <c r="AC2014" i="1" s="1"/>
  <c r="AA2015" i="1"/>
  <c r="AB2015" i="1"/>
  <c r="AC2015" i="1" s="1"/>
  <c r="AA2016" i="1"/>
  <c r="AB2016" i="1"/>
  <c r="AC2016" i="1" s="1"/>
  <c r="AA2017" i="1"/>
  <c r="AB2017" i="1"/>
  <c r="AC2017" i="1" s="1"/>
  <c r="AA2018" i="1"/>
  <c r="AB2018" i="1"/>
  <c r="AC2018" i="1" s="1"/>
  <c r="AA2019" i="1"/>
  <c r="AB2019" i="1"/>
  <c r="AC2019" i="1" s="1"/>
  <c r="AA2020" i="1"/>
  <c r="AB2020" i="1"/>
  <c r="AC2020" i="1" s="1"/>
  <c r="AA2021" i="1"/>
  <c r="AB2021" i="1"/>
  <c r="AC2021" i="1" s="1"/>
  <c r="AA2022" i="1"/>
  <c r="AB2022" i="1"/>
  <c r="AC2022" i="1" s="1"/>
  <c r="AA2023" i="1"/>
  <c r="AB2023" i="1"/>
  <c r="AC2023" i="1" s="1"/>
  <c r="AA2024" i="1"/>
  <c r="AB2024" i="1"/>
  <c r="AC2024" i="1" s="1"/>
  <c r="AA2025" i="1"/>
  <c r="AB2025" i="1"/>
  <c r="AC2025" i="1" s="1"/>
  <c r="AA2026" i="1"/>
  <c r="AB2026" i="1"/>
  <c r="AC2026" i="1" s="1"/>
  <c r="AA2027" i="1"/>
  <c r="AB2027" i="1"/>
  <c r="AC2027" i="1" s="1"/>
  <c r="AA2028" i="1"/>
  <c r="AB2028" i="1"/>
  <c r="AC2028" i="1" s="1"/>
  <c r="AA2029" i="1"/>
  <c r="AB2029" i="1"/>
  <c r="AC2029" i="1" s="1"/>
  <c r="AA2030" i="1"/>
  <c r="AB2030" i="1"/>
  <c r="AC2030" i="1" s="1"/>
  <c r="AA2031" i="1"/>
  <c r="AB2031" i="1"/>
  <c r="AC2031" i="1" s="1"/>
  <c r="AA2032" i="1"/>
  <c r="AB2032" i="1"/>
  <c r="AC2032" i="1" s="1"/>
  <c r="AA2033" i="1"/>
  <c r="AB2033" i="1"/>
  <c r="AC2033" i="1" s="1"/>
  <c r="AA2034" i="1"/>
  <c r="AB2034" i="1"/>
  <c r="AC2034" i="1" s="1"/>
  <c r="AA2035" i="1"/>
  <c r="AB2035" i="1"/>
  <c r="AC2035" i="1" s="1"/>
  <c r="AA2036" i="1"/>
  <c r="AB2036" i="1"/>
  <c r="AC2036" i="1" s="1"/>
  <c r="AA2037" i="1"/>
  <c r="AB2037" i="1"/>
  <c r="AC2037" i="1" s="1"/>
  <c r="AA2038" i="1"/>
  <c r="AB2038" i="1"/>
  <c r="AC2038" i="1" s="1"/>
  <c r="AA2039" i="1"/>
  <c r="AB2039" i="1"/>
  <c r="AC2039" i="1" s="1"/>
  <c r="AA2040" i="1"/>
  <c r="AB2040" i="1"/>
  <c r="AC2040" i="1" s="1"/>
  <c r="AA2041" i="1"/>
  <c r="AB2041" i="1"/>
  <c r="AC2041" i="1" s="1"/>
  <c r="AA2042" i="1"/>
  <c r="AB2042" i="1"/>
  <c r="AC2042" i="1" s="1"/>
  <c r="AA2043" i="1"/>
  <c r="AB2043" i="1"/>
  <c r="AC2043" i="1"/>
  <c r="AA2044" i="1"/>
  <c r="AB2044" i="1"/>
  <c r="AC2044" i="1" s="1"/>
  <c r="AA2045" i="1"/>
  <c r="AB2045" i="1"/>
  <c r="AC2045" i="1" s="1"/>
  <c r="AA2046" i="1"/>
  <c r="AB2046" i="1"/>
  <c r="AC2046" i="1" s="1"/>
  <c r="AA2047" i="1"/>
  <c r="AB2047" i="1"/>
  <c r="AC2047" i="1" s="1"/>
  <c r="AA2048" i="1"/>
  <c r="AB2048" i="1"/>
  <c r="AC2048" i="1" s="1"/>
  <c r="AA2049" i="1"/>
  <c r="AB2049" i="1"/>
  <c r="AC2049" i="1" s="1"/>
  <c r="AA2050" i="1"/>
  <c r="AB2050" i="1"/>
  <c r="AC2050" i="1" s="1"/>
  <c r="AA2051" i="1"/>
  <c r="AB2051" i="1"/>
  <c r="AC2051" i="1" s="1"/>
  <c r="AA2052" i="1"/>
  <c r="AB2052" i="1"/>
  <c r="AC2052" i="1" s="1"/>
  <c r="AA2053" i="1"/>
  <c r="AB2053" i="1"/>
  <c r="AC2053" i="1" s="1"/>
  <c r="AA2054" i="1"/>
  <c r="AB2054" i="1"/>
  <c r="AC2054" i="1" s="1"/>
  <c r="AA2055" i="1"/>
  <c r="AB2055" i="1"/>
  <c r="AC2055" i="1" s="1"/>
  <c r="AA2056" i="1"/>
  <c r="AB2056" i="1"/>
  <c r="AC2056" i="1" s="1"/>
  <c r="AA2057" i="1"/>
  <c r="AB2057" i="1"/>
  <c r="AC2057" i="1" s="1"/>
  <c r="AA2058" i="1"/>
  <c r="AB2058" i="1"/>
  <c r="AC2058" i="1" s="1"/>
  <c r="AA2059" i="1"/>
  <c r="AB2059" i="1"/>
  <c r="AC2059" i="1" s="1"/>
  <c r="AA2060" i="1"/>
  <c r="AB2060" i="1"/>
  <c r="AC2060" i="1" s="1"/>
  <c r="AA2061" i="1"/>
  <c r="AB2061" i="1"/>
  <c r="AC2061" i="1" s="1"/>
  <c r="AA2062" i="1"/>
  <c r="AB2062" i="1"/>
  <c r="AC2062" i="1" s="1"/>
  <c r="AA2063" i="1"/>
  <c r="AB2063" i="1"/>
  <c r="AC2063" i="1" s="1"/>
  <c r="AA2064" i="1"/>
  <c r="AB2064" i="1"/>
  <c r="AC2064" i="1" s="1"/>
  <c r="AA2065" i="1"/>
  <c r="AB2065" i="1"/>
  <c r="AC2065" i="1" s="1"/>
  <c r="AA2066" i="1"/>
  <c r="AB2066" i="1"/>
  <c r="AC2066" i="1" s="1"/>
  <c r="AA2067" i="1"/>
  <c r="AB2067" i="1"/>
  <c r="AC2067" i="1" s="1"/>
  <c r="AA2068" i="1"/>
  <c r="AB2068" i="1"/>
  <c r="AC2068" i="1" s="1"/>
  <c r="AA2069" i="1"/>
  <c r="AB2069" i="1"/>
  <c r="AC2069" i="1" s="1"/>
  <c r="AA2070" i="1"/>
  <c r="AB2070" i="1"/>
  <c r="AC2070" i="1" s="1"/>
  <c r="AA2071" i="1"/>
  <c r="AB2071" i="1"/>
  <c r="AC2071" i="1" s="1"/>
  <c r="AA2072" i="1"/>
  <c r="AB2072" i="1"/>
  <c r="AC2072" i="1" s="1"/>
  <c r="AA2073" i="1"/>
  <c r="AB2073" i="1"/>
  <c r="AC2073" i="1" s="1"/>
  <c r="AA2074" i="1"/>
  <c r="AB2074" i="1"/>
  <c r="AC2074" i="1" s="1"/>
  <c r="AA2075" i="1"/>
  <c r="AB2075" i="1"/>
  <c r="AC2075" i="1" s="1"/>
  <c r="AA2076" i="1"/>
  <c r="AB2076" i="1"/>
  <c r="AC2076" i="1" s="1"/>
  <c r="AA2077" i="1"/>
  <c r="AB2077" i="1"/>
  <c r="AC2077" i="1" s="1"/>
  <c r="AA2078" i="1"/>
  <c r="AB2078" i="1"/>
  <c r="AC2078" i="1" s="1"/>
  <c r="AA2079" i="1"/>
  <c r="AB2079" i="1"/>
  <c r="AC2079" i="1" s="1"/>
  <c r="AA2080" i="1"/>
  <c r="AB2080" i="1"/>
  <c r="AC2080" i="1" s="1"/>
  <c r="AA2081" i="1"/>
  <c r="AB2081" i="1"/>
  <c r="AC2081" i="1" s="1"/>
  <c r="AA2082" i="1"/>
  <c r="AB2082" i="1"/>
  <c r="AC2082" i="1" s="1"/>
  <c r="AQ2082" i="1" s="1"/>
  <c r="AA2083" i="1"/>
  <c r="AB2083" i="1"/>
  <c r="AC2083" i="1" s="1"/>
  <c r="AA2084" i="1"/>
  <c r="AB2084" i="1"/>
  <c r="AC2084" i="1" s="1"/>
  <c r="AA2085" i="1"/>
  <c r="AB2085" i="1"/>
  <c r="AC2085" i="1" s="1"/>
  <c r="AA2086" i="1"/>
  <c r="AB2086" i="1"/>
  <c r="AC2086" i="1" s="1"/>
  <c r="AA2087" i="1"/>
  <c r="AB2087" i="1"/>
  <c r="AC2087" i="1" s="1"/>
  <c r="AA2088" i="1"/>
  <c r="AB2088" i="1"/>
  <c r="AC2088" i="1" s="1"/>
  <c r="AA2089" i="1"/>
  <c r="AB2089" i="1"/>
  <c r="AC2089" i="1" s="1"/>
  <c r="AA2090" i="1"/>
  <c r="AB2090" i="1"/>
  <c r="AC2090" i="1" s="1"/>
  <c r="AA2091" i="1"/>
  <c r="AB2091" i="1"/>
  <c r="AC2091" i="1" s="1"/>
  <c r="AA2092" i="1"/>
  <c r="AB2092" i="1"/>
  <c r="AC2092" i="1" s="1"/>
  <c r="AA2093" i="1"/>
  <c r="AB2093" i="1"/>
  <c r="AC2093" i="1" s="1"/>
  <c r="AA2094" i="1"/>
  <c r="AB2094" i="1"/>
  <c r="AC2094" i="1" s="1"/>
  <c r="AA2095" i="1"/>
  <c r="AB2095" i="1"/>
  <c r="AC2095" i="1" s="1"/>
  <c r="AA2096" i="1"/>
  <c r="AB2096" i="1"/>
  <c r="AC2096" i="1" s="1"/>
  <c r="AA2097" i="1"/>
  <c r="AB2097" i="1"/>
  <c r="AC2097" i="1" s="1"/>
  <c r="AA2098" i="1"/>
  <c r="AB2098" i="1"/>
  <c r="AC2098" i="1" s="1"/>
  <c r="AA2099" i="1"/>
  <c r="AB2099" i="1"/>
  <c r="AC2099" i="1" s="1"/>
  <c r="AA2100" i="1"/>
  <c r="AB2100" i="1"/>
  <c r="AC2100" i="1" s="1"/>
  <c r="AA2101" i="1"/>
  <c r="AB2101" i="1"/>
  <c r="AC2101" i="1" s="1"/>
  <c r="AA2102" i="1"/>
  <c r="AB2102" i="1"/>
  <c r="AC2102" i="1" s="1"/>
  <c r="AA2103" i="1"/>
  <c r="AB2103" i="1"/>
  <c r="AC2103" i="1" s="1"/>
  <c r="AA2104" i="1"/>
  <c r="AB2104" i="1"/>
  <c r="AC2104" i="1" s="1"/>
  <c r="AA2105" i="1"/>
  <c r="AB2105" i="1"/>
  <c r="AC2105" i="1"/>
  <c r="AA2106" i="1"/>
  <c r="AB2106" i="1"/>
  <c r="AC2106" i="1" s="1"/>
  <c r="AA2107" i="1"/>
  <c r="AB2107" i="1"/>
  <c r="AC2107" i="1" s="1"/>
  <c r="AA2108" i="1"/>
  <c r="AB2108" i="1"/>
  <c r="AC2108" i="1" s="1"/>
  <c r="AA2109" i="1"/>
  <c r="AB2109" i="1"/>
  <c r="AC2109" i="1" s="1"/>
  <c r="AA2110" i="1"/>
  <c r="AB2110" i="1"/>
  <c r="AC2110" i="1" s="1"/>
  <c r="AA2111" i="1"/>
  <c r="AB2111" i="1"/>
  <c r="AC2111" i="1" s="1"/>
  <c r="AA2112" i="1"/>
  <c r="AB2112" i="1"/>
  <c r="AC2112" i="1" s="1"/>
  <c r="AA2113" i="1"/>
  <c r="AB2113" i="1"/>
  <c r="AC2113" i="1" s="1"/>
  <c r="AA2114" i="1"/>
  <c r="AB2114" i="1"/>
  <c r="AC2114" i="1" s="1"/>
  <c r="AA2115" i="1"/>
  <c r="AB2115" i="1"/>
  <c r="AC2115" i="1" s="1"/>
  <c r="AA2116" i="1"/>
  <c r="AB2116" i="1"/>
  <c r="AC2116" i="1" s="1"/>
  <c r="AA2117" i="1"/>
  <c r="AB2117" i="1"/>
  <c r="AC2117" i="1" s="1"/>
  <c r="AA2118" i="1"/>
  <c r="AB2118" i="1"/>
  <c r="AC2118" i="1" s="1"/>
  <c r="AA2119" i="1"/>
  <c r="AB2119" i="1"/>
  <c r="AC2119" i="1" s="1"/>
  <c r="AA2120" i="1"/>
  <c r="AB2120" i="1"/>
  <c r="AC2120" i="1" s="1"/>
  <c r="AA2121" i="1"/>
  <c r="AB2121" i="1"/>
  <c r="AC2121" i="1" s="1"/>
  <c r="AA2122" i="1"/>
  <c r="AB2122" i="1"/>
  <c r="AC2122" i="1" s="1"/>
  <c r="AA2123" i="1"/>
  <c r="AB2123" i="1"/>
  <c r="AC2123" i="1" s="1"/>
  <c r="AA2124" i="1"/>
  <c r="AB2124" i="1"/>
  <c r="AC2124" i="1" s="1"/>
  <c r="AA2125" i="1"/>
  <c r="AB2125" i="1"/>
  <c r="AC2125" i="1" s="1"/>
  <c r="AA2126" i="1"/>
  <c r="AB2126" i="1"/>
  <c r="AC2126" i="1" s="1"/>
  <c r="AA2127" i="1"/>
  <c r="AB2127" i="1"/>
  <c r="AC2127" i="1" s="1"/>
  <c r="AA2128" i="1"/>
  <c r="AB2128" i="1"/>
  <c r="AC2128" i="1" s="1"/>
  <c r="AA2129" i="1"/>
  <c r="AB2129" i="1"/>
  <c r="AC2129" i="1" s="1"/>
  <c r="AA2130" i="1"/>
  <c r="AB2130" i="1"/>
  <c r="AC2130" i="1" s="1"/>
  <c r="AA2131" i="1"/>
  <c r="AB2131" i="1"/>
  <c r="AC2131" i="1" s="1"/>
  <c r="AA2132" i="1"/>
  <c r="AB2132" i="1"/>
  <c r="AC2132" i="1" s="1"/>
  <c r="AA2133" i="1"/>
  <c r="AB2133" i="1"/>
  <c r="AC2133" i="1" s="1"/>
  <c r="AA2134" i="1"/>
  <c r="AB2134" i="1"/>
  <c r="AC2134" i="1" s="1"/>
  <c r="AA2135" i="1"/>
  <c r="AB2135" i="1"/>
  <c r="AC2135" i="1" s="1"/>
  <c r="AA2136" i="1"/>
  <c r="AB2136" i="1"/>
  <c r="AC2136" i="1" s="1"/>
  <c r="AA2137" i="1"/>
  <c r="AB2137" i="1"/>
  <c r="AC2137" i="1" s="1"/>
  <c r="AA2138" i="1"/>
  <c r="AB2138" i="1"/>
  <c r="AC2138" i="1" s="1"/>
  <c r="AA2139" i="1"/>
  <c r="AB2139" i="1"/>
  <c r="AC2139" i="1" s="1"/>
  <c r="AA2140" i="1"/>
  <c r="AB2140" i="1"/>
  <c r="AC2140" i="1" s="1"/>
  <c r="AA2141" i="1"/>
  <c r="AB2141" i="1"/>
  <c r="AC2141" i="1" s="1"/>
  <c r="AA2142" i="1"/>
  <c r="AB2142" i="1"/>
  <c r="AC2142" i="1" s="1"/>
  <c r="AA2143" i="1"/>
  <c r="AB2143" i="1"/>
  <c r="AC2143" i="1" s="1"/>
  <c r="AA2144" i="1"/>
  <c r="AB2144" i="1"/>
  <c r="AC2144" i="1" s="1"/>
  <c r="AA2145" i="1"/>
  <c r="AB2145" i="1"/>
  <c r="AC2145" i="1" s="1"/>
  <c r="AA2146" i="1"/>
  <c r="AB2146" i="1"/>
  <c r="AC2146" i="1" s="1"/>
  <c r="AA2147" i="1"/>
  <c r="AB2147" i="1"/>
  <c r="AC2147" i="1" s="1"/>
  <c r="AA2148" i="1"/>
  <c r="AB2148" i="1"/>
  <c r="AC2148" i="1" s="1"/>
  <c r="AA2149" i="1"/>
  <c r="AB2149" i="1"/>
  <c r="AC2149" i="1" s="1"/>
  <c r="AA2150" i="1"/>
  <c r="AB2150" i="1"/>
  <c r="AC2150" i="1" s="1"/>
  <c r="AA2151" i="1"/>
  <c r="AB2151" i="1"/>
  <c r="AC2151" i="1" s="1"/>
  <c r="AA2152" i="1"/>
  <c r="AB2152" i="1"/>
  <c r="AC2152" i="1" s="1"/>
  <c r="AA2153" i="1"/>
  <c r="AB2153" i="1"/>
  <c r="AC2153" i="1" s="1"/>
  <c r="AA2154" i="1"/>
  <c r="AB2154" i="1"/>
  <c r="AC2154" i="1" s="1"/>
  <c r="AA2155" i="1"/>
  <c r="AB2155" i="1"/>
  <c r="AC2155" i="1" s="1"/>
  <c r="AA2156" i="1"/>
  <c r="AB2156" i="1"/>
  <c r="AC2156" i="1" s="1"/>
  <c r="AA2157" i="1"/>
  <c r="AB2157" i="1"/>
  <c r="AC2157" i="1" s="1"/>
  <c r="AA2158" i="1"/>
  <c r="AB2158" i="1"/>
  <c r="AC2158" i="1"/>
  <c r="AA2159" i="1"/>
  <c r="AB2159" i="1"/>
  <c r="AC2159" i="1" s="1"/>
  <c r="AA2160" i="1"/>
  <c r="AB2160" i="1"/>
  <c r="AC2160" i="1" s="1"/>
  <c r="AA2161" i="1"/>
  <c r="AB2161" i="1"/>
  <c r="AC2161" i="1" s="1"/>
  <c r="AA2162" i="1"/>
  <c r="AB2162" i="1"/>
  <c r="AC2162" i="1" s="1"/>
  <c r="AA2163" i="1"/>
  <c r="AB2163" i="1"/>
  <c r="AC2163" i="1" s="1"/>
  <c r="AA2164" i="1"/>
  <c r="AB2164" i="1"/>
  <c r="AC2164" i="1" s="1"/>
  <c r="AA2165" i="1"/>
  <c r="AB2165" i="1"/>
  <c r="AC2165" i="1" s="1"/>
  <c r="AA2166" i="1"/>
  <c r="AB2166" i="1"/>
  <c r="AC2166" i="1" s="1"/>
  <c r="AA2167" i="1"/>
  <c r="AB2167" i="1"/>
  <c r="AC2167" i="1" s="1"/>
  <c r="AA2168" i="1"/>
  <c r="AB2168" i="1"/>
  <c r="AC2168" i="1" s="1"/>
  <c r="AQ2168" i="1" s="1"/>
  <c r="AA2169" i="1"/>
  <c r="AB2169" i="1"/>
  <c r="AC2169" i="1" s="1"/>
  <c r="AA2170" i="1"/>
  <c r="AB2170" i="1"/>
  <c r="AC2170" i="1" s="1"/>
  <c r="AA2171" i="1"/>
  <c r="AB2171" i="1"/>
  <c r="AC2171" i="1" s="1"/>
  <c r="AA2172" i="1"/>
  <c r="AB2172" i="1"/>
  <c r="AC2172" i="1" s="1"/>
  <c r="AA2173" i="1"/>
  <c r="AB2173" i="1"/>
  <c r="AC2173" i="1" s="1"/>
  <c r="AA2174" i="1"/>
  <c r="AB2174" i="1"/>
  <c r="AC2174" i="1" s="1"/>
  <c r="AA2175" i="1"/>
  <c r="AB2175" i="1"/>
  <c r="AC2175" i="1" s="1"/>
  <c r="AA2176" i="1"/>
  <c r="AB2176" i="1"/>
  <c r="AC2176" i="1" s="1"/>
  <c r="AA2177" i="1"/>
  <c r="AB2177" i="1"/>
  <c r="AC2177" i="1" s="1"/>
  <c r="AA2178" i="1"/>
  <c r="AB2178" i="1"/>
  <c r="AC2178" i="1" s="1"/>
  <c r="AA2179" i="1"/>
  <c r="AB2179" i="1"/>
  <c r="AC2179" i="1" s="1"/>
  <c r="AA2180" i="1"/>
  <c r="AB2180" i="1"/>
  <c r="AC2180" i="1" s="1"/>
  <c r="AA2181" i="1"/>
  <c r="AB2181" i="1"/>
  <c r="AC2181" i="1" s="1"/>
  <c r="AA2182" i="1"/>
  <c r="AB2182" i="1"/>
  <c r="AC2182" i="1" s="1"/>
  <c r="AA2183" i="1"/>
  <c r="AB2183" i="1"/>
  <c r="AC2183" i="1" s="1"/>
  <c r="AA2184" i="1"/>
  <c r="AB2184" i="1"/>
  <c r="AC2184" i="1" s="1"/>
  <c r="AA2185" i="1"/>
  <c r="AB2185" i="1"/>
  <c r="AC2185" i="1" s="1"/>
  <c r="AA2186" i="1"/>
  <c r="AB2186" i="1"/>
  <c r="AC2186" i="1" s="1"/>
  <c r="AA2187" i="1"/>
  <c r="AB2187" i="1"/>
  <c r="AC2187" i="1" s="1"/>
  <c r="AA2188" i="1"/>
  <c r="AB2188" i="1"/>
  <c r="AC2188" i="1" s="1"/>
  <c r="AA2189" i="1"/>
  <c r="AB2189" i="1"/>
  <c r="AC2189" i="1" s="1"/>
  <c r="AA2190" i="1"/>
  <c r="AB2190" i="1"/>
  <c r="AC2190" i="1" s="1"/>
  <c r="AA2191" i="1"/>
  <c r="AB2191" i="1"/>
  <c r="AC2191" i="1" s="1"/>
  <c r="AA2192" i="1"/>
  <c r="AB2192" i="1"/>
  <c r="AC2192" i="1" s="1"/>
  <c r="AA2193" i="1"/>
  <c r="AB2193" i="1"/>
  <c r="AC2193" i="1" s="1"/>
  <c r="AA2194" i="1"/>
  <c r="AB2194" i="1"/>
  <c r="AC2194" i="1" s="1"/>
  <c r="AA2195" i="1"/>
  <c r="AB2195" i="1"/>
  <c r="AC2195" i="1" s="1"/>
  <c r="AA2196" i="1"/>
  <c r="AB2196" i="1"/>
  <c r="AC2196" i="1" s="1"/>
  <c r="AA2197" i="1"/>
  <c r="AB2197" i="1"/>
  <c r="AC2197" i="1" s="1"/>
  <c r="AA2198" i="1"/>
  <c r="AB2198" i="1"/>
  <c r="AC2198" i="1" s="1"/>
  <c r="AA2199" i="1"/>
  <c r="AB2199" i="1"/>
  <c r="AC2199" i="1" s="1"/>
  <c r="AA2200" i="1"/>
  <c r="AB2200" i="1"/>
  <c r="AC2200" i="1" s="1"/>
  <c r="AA2201" i="1"/>
  <c r="AB2201" i="1"/>
  <c r="AC2201" i="1" s="1"/>
  <c r="AA2202" i="1"/>
  <c r="AB2202" i="1"/>
  <c r="AC2202" i="1" s="1"/>
  <c r="AA2203" i="1"/>
  <c r="AB2203" i="1"/>
  <c r="AC2203" i="1" s="1"/>
  <c r="AA2204" i="1"/>
  <c r="AB2204" i="1"/>
  <c r="AC2204" i="1" s="1"/>
  <c r="AA2205" i="1"/>
  <c r="AB2205" i="1"/>
  <c r="AC2205" i="1" s="1"/>
  <c r="AA2206" i="1"/>
  <c r="AB2206" i="1"/>
  <c r="AC2206" i="1" s="1"/>
  <c r="AA2207" i="1"/>
  <c r="AB2207" i="1"/>
  <c r="AC2207" i="1" s="1"/>
  <c r="AA2208" i="1"/>
  <c r="AB2208" i="1"/>
  <c r="AC2208" i="1" s="1"/>
  <c r="AA2209" i="1"/>
  <c r="AB2209" i="1"/>
  <c r="AC2209" i="1" s="1"/>
  <c r="AA2210" i="1"/>
  <c r="AB2210" i="1"/>
  <c r="AC2210" i="1"/>
  <c r="AA2211" i="1"/>
  <c r="AB2211" i="1"/>
  <c r="AC2211" i="1" s="1"/>
  <c r="AA2212" i="1"/>
  <c r="AB2212" i="1"/>
  <c r="AC2212" i="1" s="1"/>
  <c r="AA2213" i="1"/>
  <c r="AB2213" i="1"/>
  <c r="AC2213" i="1" s="1"/>
  <c r="AA2214" i="1"/>
  <c r="AB2214" i="1"/>
  <c r="AC2214" i="1" s="1"/>
  <c r="AA2215" i="1"/>
  <c r="AB2215" i="1"/>
  <c r="AC2215" i="1" s="1"/>
  <c r="AA2216" i="1"/>
  <c r="AB2216" i="1"/>
  <c r="AC2216" i="1" s="1"/>
  <c r="AA2217" i="1"/>
  <c r="AB2217" i="1"/>
  <c r="AC2217" i="1" s="1"/>
  <c r="AA2218" i="1"/>
  <c r="AB2218" i="1"/>
  <c r="AC2218" i="1" s="1"/>
  <c r="AA2219" i="1"/>
  <c r="AB2219" i="1"/>
  <c r="AC2219" i="1" s="1"/>
  <c r="AA2220" i="1"/>
  <c r="AB2220" i="1"/>
  <c r="AC2220" i="1" s="1"/>
  <c r="AA2221" i="1"/>
  <c r="AB2221" i="1"/>
  <c r="AC2221" i="1" s="1"/>
  <c r="AA2222" i="1"/>
  <c r="AB2222" i="1"/>
  <c r="AC2222" i="1" s="1"/>
  <c r="AA2223" i="1"/>
  <c r="AB2223" i="1"/>
  <c r="AC2223" i="1" s="1"/>
  <c r="AA2224" i="1"/>
  <c r="AB2224" i="1"/>
  <c r="AC2224" i="1" s="1"/>
  <c r="AA2225" i="1"/>
  <c r="AB2225" i="1"/>
  <c r="AC2225" i="1" s="1"/>
  <c r="AA2226" i="1"/>
  <c r="AB2226" i="1"/>
  <c r="AC2226" i="1" s="1"/>
  <c r="AA2227" i="1"/>
  <c r="AB2227" i="1"/>
  <c r="AC2227" i="1" s="1"/>
  <c r="AA2228" i="1"/>
  <c r="AB2228" i="1"/>
  <c r="AC2228" i="1" s="1"/>
  <c r="AA2229" i="1"/>
  <c r="AB2229" i="1"/>
  <c r="AC2229" i="1" s="1"/>
  <c r="AA2230" i="1"/>
  <c r="AB2230" i="1"/>
  <c r="AC2230" i="1" s="1"/>
  <c r="AA2231" i="1"/>
  <c r="AB2231" i="1"/>
  <c r="AC2231" i="1" s="1"/>
  <c r="AA2232" i="1"/>
  <c r="AB2232" i="1"/>
  <c r="AC2232" i="1" s="1"/>
  <c r="AA2233" i="1"/>
  <c r="AB2233" i="1"/>
  <c r="AC2233" i="1" s="1"/>
  <c r="AA2234" i="1"/>
  <c r="AB2234" i="1"/>
  <c r="AC2234" i="1" s="1"/>
  <c r="AA2235" i="1"/>
  <c r="AB2235" i="1"/>
  <c r="AC2235" i="1" s="1"/>
  <c r="AA2236" i="1"/>
  <c r="AB2236" i="1"/>
  <c r="AC2236" i="1" s="1"/>
  <c r="AA2237" i="1"/>
  <c r="AB2237" i="1"/>
  <c r="AC2237" i="1" s="1"/>
  <c r="AA2238" i="1"/>
  <c r="AB2238" i="1"/>
  <c r="AC2238" i="1" s="1"/>
  <c r="AA2239" i="1"/>
  <c r="AB2239" i="1"/>
  <c r="AC2239" i="1" s="1"/>
  <c r="AA2240" i="1"/>
  <c r="AB2240" i="1"/>
  <c r="AC2240" i="1" s="1"/>
  <c r="AA2241" i="1"/>
  <c r="AB2241" i="1"/>
  <c r="AC2241" i="1" s="1"/>
  <c r="AA2242" i="1"/>
  <c r="AB2242" i="1"/>
  <c r="AC2242" i="1" s="1"/>
  <c r="AA2243" i="1"/>
  <c r="AB2243" i="1"/>
  <c r="AC2243" i="1" s="1"/>
  <c r="AA2244" i="1"/>
  <c r="AB2244" i="1"/>
  <c r="AC2244" i="1" s="1"/>
  <c r="AA2245" i="1"/>
  <c r="AB2245" i="1"/>
  <c r="AC2245" i="1" s="1"/>
  <c r="AA2246" i="1"/>
  <c r="AB2246" i="1"/>
  <c r="AC2246" i="1" s="1"/>
  <c r="AA2247" i="1"/>
  <c r="AB2247" i="1"/>
  <c r="AC2247" i="1" s="1"/>
  <c r="AA2248" i="1"/>
  <c r="AB2248" i="1"/>
  <c r="AC2248" i="1" s="1"/>
  <c r="AA2249" i="1"/>
  <c r="AB2249" i="1"/>
  <c r="AC2249" i="1" s="1"/>
  <c r="AA2250" i="1"/>
  <c r="AB2250" i="1"/>
  <c r="AC2250" i="1" s="1"/>
  <c r="AA2251" i="1"/>
  <c r="AB2251" i="1"/>
  <c r="AC2251" i="1" s="1"/>
  <c r="AA2252" i="1"/>
  <c r="AB2252" i="1"/>
  <c r="AC2252" i="1"/>
  <c r="AA2253" i="1"/>
  <c r="AB2253" i="1"/>
  <c r="AC2253" i="1" s="1"/>
  <c r="AA2254" i="1"/>
  <c r="AB2254" i="1"/>
  <c r="AC2254" i="1" s="1"/>
  <c r="AA2255" i="1"/>
  <c r="AB2255" i="1"/>
  <c r="AC2255" i="1" s="1"/>
  <c r="AA2256" i="1"/>
  <c r="AB2256" i="1"/>
  <c r="AC2256" i="1" s="1"/>
  <c r="AA2257" i="1"/>
  <c r="AB2257" i="1"/>
  <c r="AC2257" i="1" s="1"/>
  <c r="AA2258" i="1"/>
  <c r="AB2258" i="1"/>
  <c r="AC2258" i="1" s="1"/>
  <c r="AA2259" i="1"/>
  <c r="AB2259" i="1"/>
  <c r="AC2259" i="1" s="1"/>
  <c r="AA2260" i="1"/>
  <c r="AB2260" i="1"/>
  <c r="AC2260" i="1" s="1"/>
  <c r="AA2261" i="1"/>
  <c r="AB2261" i="1"/>
  <c r="AC2261" i="1" s="1"/>
  <c r="AA2262" i="1"/>
  <c r="AB2262" i="1"/>
  <c r="AC2262" i="1" s="1"/>
  <c r="AA2263" i="1"/>
  <c r="AB2263" i="1"/>
  <c r="AC2263" i="1" s="1"/>
  <c r="AA2264" i="1"/>
  <c r="AB2264" i="1"/>
  <c r="AC2264" i="1" s="1"/>
  <c r="AA2265" i="1"/>
  <c r="AB2265" i="1"/>
  <c r="AC2265" i="1" s="1"/>
  <c r="AA2266" i="1"/>
  <c r="AB2266" i="1"/>
  <c r="AC2266" i="1" s="1"/>
  <c r="AA2267" i="1"/>
  <c r="AB2267" i="1"/>
  <c r="AC2267" i="1" s="1"/>
  <c r="AA2268" i="1"/>
  <c r="AB2268" i="1"/>
  <c r="AC2268" i="1" s="1"/>
  <c r="AA2269" i="1"/>
  <c r="AB2269" i="1"/>
  <c r="AC2269" i="1" s="1"/>
  <c r="AA2270" i="1"/>
  <c r="AB2270" i="1"/>
  <c r="AC2270" i="1" s="1"/>
  <c r="AA2271" i="1"/>
  <c r="AB2271" i="1"/>
  <c r="AC2271" i="1" s="1"/>
  <c r="AA2272" i="1"/>
  <c r="AB2272" i="1"/>
  <c r="AC2272" i="1" s="1"/>
  <c r="AA2273" i="1"/>
  <c r="AB2273" i="1"/>
  <c r="AC2273" i="1" s="1"/>
  <c r="AA2274" i="1"/>
  <c r="AB2274" i="1"/>
  <c r="AC2274" i="1" s="1"/>
  <c r="AA2275" i="1"/>
  <c r="AB2275" i="1"/>
  <c r="AC2275" i="1" s="1"/>
  <c r="AA2276" i="1"/>
  <c r="AB2276" i="1"/>
  <c r="AC2276" i="1" s="1"/>
  <c r="AA2277" i="1"/>
  <c r="AB2277" i="1"/>
  <c r="AC2277" i="1" s="1"/>
  <c r="AA2278" i="1"/>
  <c r="AB2278" i="1"/>
  <c r="AC2278" i="1" s="1"/>
  <c r="AA2279" i="1"/>
  <c r="AB2279" i="1"/>
  <c r="AC2279" i="1" s="1"/>
  <c r="AA2280" i="1"/>
  <c r="AB2280" i="1"/>
  <c r="AC2280" i="1" s="1"/>
  <c r="AA2281" i="1"/>
  <c r="AB2281" i="1"/>
  <c r="AC2281" i="1" s="1"/>
  <c r="AA2282" i="1"/>
  <c r="AB2282" i="1"/>
  <c r="AC2282" i="1" s="1"/>
  <c r="AA2283" i="1"/>
  <c r="AB2283" i="1"/>
  <c r="AC2283" i="1" s="1"/>
  <c r="AA2284" i="1"/>
  <c r="AB2284" i="1"/>
  <c r="AC2284" i="1" s="1"/>
  <c r="AA2285" i="1"/>
  <c r="AB2285" i="1"/>
  <c r="AC2285" i="1" s="1"/>
  <c r="AA2286" i="1"/>
  <c r="AB2286" i="1"/>
  <c r="AC2286" i="1" s="1"/>
  <c r="AA2287" i="1"/>
  <c r="AB2287" i="1"/>
  <c r="AC2287" i="1" s="1"/>
  <c r="AA2288" i="1"/>
  <c r="AB2288" i="1"/>
  <c r="AC2288" i="1" s="1"/>
  <c r="AA2289" i="1"/>
  <c r="AB2289" i="1"/>
  <c r="AC2289" i="1" s="1"/>
  <c r="AA2290" i="1"/>
  <c r="AB2290" i="1"/>
  <c r="AC2290" i="1" s="1"/>
  <c r="AA2291" i="1"/>
  <c r="AB2291" i="1"/>
  <c r="AC2291" i="1" s="1"/>
  <c r="AA2292" i="1"/>
  <c r="AB2292" i="1"/>
  <c r="AC2292" i="1" s="1"/>
  <c r="AA2293" i="1"/>
  <c r="AB2293" i="1"/>
  <c r="AC2293" i="1" s="1"/>
  <c r="AA2294" i="1"/>
  <c r="AB2294" i="1"/>
  <c r="AC2294" i="1" s="1"/>
  <c r="AA2295" i="1"/>
  <c r="AB2295" i="1"/>
  <c r="AC2295" i="1" s="1"/>
  <c r="AA2296" i="1"/>
  <c r="AB2296" i="1"/>
  <c r="AC2296" i="1" s="1"/>
  <c r="AA2297" i="1"/>
  <c r="AB2297" i="1"/>
  <c r="AC2297" i="1" s="1"/>
  <c r="AA2298" i="1"/>
  <c r="AB2298" i="1"/>
  <c r="AC2298" i="1" s="1"/>
  <c r="AA2299" i="1"/>
  <c r="AB2299" i="1"/>
  <c r="AC2299" i="1" s="1"/>
  <c r="AA2300" i="1"/>
  <c r="AB2300" i="1"/>
  <c r="AC2300" i="1" s="1"/>
  <c r="AA2301" i="1"/>
  <c r="AB2301" i="1"/>
  <c r="AC2301" i="1" s="1"/>
  <c r="AA2302" i="1"/>
  <c r="AB2302" i="1"/>
  <c r="AC2302" i="1" s="1"/>
  <c r="AA2303" i="1"/>
  <c r="AB2303" i="1"/>
  <c r="AC2303" i="1" s="1"/>
  <c r="AA2304" i="1"/>
  <c r="AB2304" i="1"/>
  <c r="AC2304" i="1" s="1"/>
  <c r="AA2305" i="1"/>
  <c r="AB2305" i="1"/>
  <c r="AC2305" i="1" s="1"/>
  <c r="AA2306" i="1"/>
  <c r="AB2306" i="1"/>
  <c r="AC2306" i="1" s="1"/>
  <c r="AA2307" i="1"/>
  <c r="AB2307" i="1"/>
  <c r="AC2307" i="1" s="1"/>
  <c r="AA2308" i="1"/>
  <c r="AB2308" i="1"/>
  <c r="AC2308" i="1" s="1"/>
  <c r="AA2309" i="1"/>
  <c r="AB2309" i="1"/>
  <c r="AC2309" i="1" s="1"/>
  <c r="AA2310" i="1"/>
  <c r="AB2310" i="1"/>
  <c r="AC2310" i="1" s="1"/>
  <c r="AA2311" i="1"/>
  <c r="AB2311" i="1"/>
  <c r="AC2311" i="1" s="1"/>
  <c r="AA2312" i="1"/>
  <c r="AB2312" i="1"/>
  <c r="AC2312" i="1" s="1"/>
  <c r="AA2313" i="1"/>
  <c r="AB2313" i="1"/>
  <c r="AC2313" i="1" s="1"/>
  <c r="AA2314" i="1"/>
  <c r="AB2314" i="1"/>
  <c r="AC2314" i="1" s="1"/>
  <c r="AA2315" i="1"/>
  <c r="AB2315" i="1"/>
  <c r="AC2315" i="1" s="1"/>
  <c r="AA2316" i="1"/>
  <c r="AB2316" i="1"/>
  <c r="AC2316" i="1" s="1"/>
  <c r="AA2317" i="1"/>
  <c r="AB2317" i="1"/>
  <c r="AC2317" i="1" s="1"/>
  <c r="AA2318" i="1"/>
  <c r="AB2318" i="1"/>
  <c r="AC2318" i="1" s="1"/>
  <c r="AA2319" i="1"/>
  <c r="AB2319" i="1"/>
  <c r="AC2319" i="1" s="1"/>
  <c r="AA2320" i="1"/>
  <c r="AB2320" i="1"/>
  <c r="AC2320" i="1" s="1"/>
  <c r="AA2321" i="1"/>
  <c r="AB2321" i="1"/>
  <c r="AC2321" i="1" s="1"/>
  <c r="AA2322" i="1"/>
  <c r="AB2322" i="1"/>
  <c r="AC2322" i="1" s="1"/>
  <c r="AA2323" i="1"/>
  <c r="AB2323" i="1"/>
  <c r="AC2323" i="1" s="1"/>
  <c r="AA2324" i="1"/>
  <c r="AB2324" i="1"/>
  <c r="AC2324" i="1" s="1"/>
  <c r="AA2325" i="1"/>
  <c r="AB2325" i="1"/>
  <c r="AC2325" i="1" s="1"/>
  <c r="AA2326" i="1"/>
  <c r="AB2326" i="1"/>
  <c r="AC2326" i="1" s="1"/>
  <c r="AA2327" i="1"/>
  <c r="AB2327" i="1"/>
  <c r="AC2327" i="1" s="1"/>
  <c r="AA2328" i="1"/>
  <c r="AB2328" i="1"/>
  <c r="AC2328" i="1" s="1"/>
  <c r="AA2329" i="1"/>
  <c r="AB2329" i="1"/>
  <c r="AC2329" i="1" s="1"/>
  <c r="AA2330" i="1"/>
  <c r="AB2330" i="1"/>
  <c r="AC2330" i="1" s="1"/>
  <c r="AA2331" i="1"/>
  <c r="AB2331" i="1"/>
  <c r="AC2331" i="1" s="1"/>
  <c r="AA2332" i="1"/>
  <c r="AB2332" i="1"/>
  <c r="AC2332" i="1" s="1"/>
  <c r="AA2333" i="1"/>
  <c r="AB2333" i="1"/>
  <c r="AC2333" i="1" s="1"/>
  <c r="AA2334" i="1"/>
  <c r="AB2334" i="1"/>
  <c r="AC2334" i="1" s="1"/>
  <c r="AA2335" i="1"/>
  <c r="AB2335" i="1"/>
  <c r="AC2335" i="1" s="1"/>
  <c r="AA2336" i="1"/>
  <c r="AB2336" i="1"/>
  <c r="AC2336" i="1" s="1"/>
  <c r="AA2337" i="1"/>
  <c r="AB2337" i="1"/>
  <c r="AC2337" i="1" s="1"/>
  <c r="AA2338" i="1"/>
  <c r="AB2338" i="1"/>
  <c r="AC2338" i="1" s="1"/>
  <c r="AA2339" i="1"/>
  <c r="AB2339" i="1"/>
  <c r="AC2339" i="1" s="1"/>
  <c r="AA2340" i="1"/>
  <c r="AB2340" i="1"/>
  <c r="AC2340" i="1" s="1"/>
  <c r="AA2341" i="1"/>
  <c r="AB2341" i="1"/>
  <c r="AC2341" i="1" s="1"/>
  <c r="AA2342" i="1"/>
  <c r="AB2342" i="1"/>
  <c r="AC2342" i="1" s="1"/>
  <c r="AA2343" i="1"/>
  <c r="AB2343" i="1"/>
  <c r="AC2343" i="1" s="1"/>
  <c r="AA2344" i="1"/>
  <c r="AB2344" i="1"/>
  <c r="AC2344" i="1" s="1"/>
  <c r="AA2345" i="1"/>
  <c r="AB2345" i="1"/>
  <c r="AC2345" i="1" s="1"/>
  <c r="AA2346" i="1"/>
  <c r="AB2346" i="1"/>
  <c r="AC2346" i="1" s="1"/>
  <c r="AA2347" i="1"/>
  <c r="AB2347" i="1"/>
  <c r="AC2347" i="1" s="1"/>
  <c r="AA2348" i="1"/>
  <c r="AB2348" i="1"/>
  <c r="AC2348" i="1" s="1"/>
  <c r="AA2349" i="1"/>
  <c r="AB2349" i="1"/>
  <c r="AC2349" i="1" s="1"/>
  <c r="AA2350" i="1"/>
  <c r="AB2350" i="1"/>
  <c r="AC2350" i="1" s="1"/>
  <c r="AA2351" i="1"/>
  <c r="AB2351" i="1"/>
  <c r="AC2351" i="1" s="1"/>
  <c r="AA2352" i="1"/>
  <c r="AB2352" i="1"/>
  <c r="AC2352" i="1" s="1"/>
  <c r="AA2353" i="1"/>
  <c r="AB2353" i="1"/>
  <c r="AC2353" i="1" s="1"/>
  <c r="AA2354" i="1"/>
  <c r="AB2354" i="1"/>
  <c r="AC2354" i="1" s="1"/>
  <c r="AA2355" i="1"/>
  <c r="AB2355" i="1"/>
  <c r="AC2355" i="1" s="1"/>
  <c r="AA2356" i="1"/>
  <c r="AB2356" i="1"/>
  <c r="AC2356" i="1" s="1"/>
  <c r="AA2357" i="1"/>
  <c r="AB2357" i="1"/>
  <c r="AC2357" i="1" s="1"/>
  <c r="AA2358" i="1"/>
  <c r="AB2358" i="1"/>
  <c r="AC2358" i="1" s="1"/>
  <c r="AA2359" i="1"/>
  <c r="AB2359" i="1"/>
  <c r="AC2359" i="1" s="1"/>
  <c r="AA2360" i="1"/>
  <c r="AB2360" i="1"/>
  <c r="AC2360" i="1" s="1"/>
  <c r="AA2361" i="1"/>
  <c r="AB2361" i="1"/>
  <c r="AC2361" i="1" s="1"/>
  <c r="AA2362" i="1"/>
  <c r="AB2362" i="1"/>
  <c r="AC2362" i="1" s="1"/>
  <c r="AA2363" i="1"/>
  <c r="AB2363" i="1"/>
  <c r="AC2363" i="1" s="1"/>
  <c r="AA2364" i="1"/>
  <c r="AB2364" i="1"/>
  <c r="AC2364" i="1" s="1"/>
  <c r="AA2365" i="1"/>
  <c r="AB2365" i="1"/>
  <c r="AC2365" i="1" s="1"/>
  <c r="AA2366" i="1"/>
  <c r="AB2366" i="1"/>
  <c r="AC2366" i="1" s="1"/>
  <c r="AA2367" i="1"/>
  <c r="AB2367" i="1"/>
  <c r="AC2367" i="1" s="1"/>
  <c r="AA2368" i="1"/>
  <c r="AB2368" i="1"/>
  <c r="AC2368" i="1" s="1"/>
  <c r="AA2369" i="1"/>
  <c r="AB2369" i="1"/>
  <c r="AC2369" i="1" s="1"/>
  <c r="AA2370" i="1"/>
  <c r="AB2370" i="1"/>
  <c r="AC2370" i="1" s="1"/>
  <c r="AA2371" i="1"/>
  <c r="AB2371" i="1"/>
  <c r="AC2371" i="1" s="1"/>
  <c r="AA2372" i="1"/>
  <c r="AB2372" i="1"/>
  <c r="AC2372" i="1" s="1"/>
  <c r="AA2373" i="1"/>
  <c r="AB2373" i="1"/>
  <c r="AC2373" i="1" s="1"/>
  <c r="AA2374" i="1"/>
  <c r="AB2374" i="1"/>
  <c r="AC2374" i="1" s="1"/>
  <c r="AA2375" i="1"/>
  <c r="AB2375" i="1"/>
  <c r="AC2375" i="1" s="1"/>
  <c r="AA2376" i="1"/>
  <c r="AB2376" i="1"/>
  <c r="AC2376" i="1" s="1"/>
  <c r="AA2377" i="1"/>
  <c r="AB2377" i="1"/>
  <c r="AC2377" i="1" s="1"/>
  <c r="AA2378" i="1"/>
  <c r="AB2378" i="1"/>
  <c r="AC2378" i="1" s="1"/>
  <c r="AA2379" i="1"/>
  <c r="AB2379" i="1"/>
  <c r="AC2379" i="1" s="1"/>
  <c r="AA2380" i="1"/>
  <c r="AB2380" i="1"/>
  <c r="AC2380" i="1" s="1"/>
  <c r="AA2381" i="1"/>
  <c r="AB2381" i="1"/>
  <c r="AC2381" i="1"/>
  <c r="AA2382" i="1"/>
  <c r="AB2382" i="1"/>
  <c r="AC2382" i="1" s="1"/>
  <c r="AA2383" i="1"/>
  <c r="AB2383" i="1"/>
  <c r="AC2383" i="1" s="1"/>
  <c r="AA2384" i="1"/>
  <c r="AB2384" i="1"/>
  <c r="AC2384" i="1" s="1"/>
  <c r="AA2385" i="1"/>
  <c r="AB2385" i="1"/>
  <c r="AC2385" i="1" s="1"/>
  <c r="AA2386" i="1"/>
  <c r="AB2386" i="1"/>
  <c r="AC2386" i="1" s="1"/>
  <c r="AA2387" i="1"/>
  <c r="AB2387" i="1"/>
  <c r="AC2387" i="1" s="1"/>
  <c r="AA2388" i="1"/>
  <c r="AB2388" i="1"/>
  <c r="AC2388" i="1" s="1"/>
  <c r="AA2389" i="1"/>
  <c r="AB2389" i="1"/>
  <c r="AC2389" i="1" s="1"/>
  <c r="AA2390" i="1"/>
  <c r="AB2390" i="1"/>
  <c r="AC2390" i="1" s="1"/>
  <c r="AA2391" i="1"/>
  <c r="AB2391" i="1"/>
  <c r="AC2391" i="1" s="1"/>
  <c r="AA2392" i="1"/>
  <c r="AB2392" i="1"/>
  <c r="AC2392" i="1" s="1"/>
  <c r="AA2393" i="1"/>
  <c r="AB2393" i="1"/>
  <c r="AC2393" i="1" s="1"/>
  <c r="AA2394" i="1"/>
  <c r="AB2394" i="1"/>
  <c r="AC2394" i="1" s="1"/>
  <c r="AA2395" i="1"/>
  <c r="AB2395" i="1"/>
  <c r="AC2395" i="1" s="1"/>
  <c r="AA2396" i="1"/>
  <c r="AB2396" i="1"/>
  <c r="AC2396" i="1" s="1"/>
  <c r="AA2397" i="1"/>
  <c r="AB2397" i="1"/>
  <c r="AC2397" i="1" s="1"/>
  <c r="AA2398" i="1"/>
  <c r="AB2398" i="1"/>
  <c r="AC2398" i="1" s="1"/>
  <c r="AA2399" i="1"/>
  <c r="AB2399" i="1"/>
  <c r="AC2399" i="1" s="1"/>
  <c r="AA2400" i="1"/>
  <c r="AB2400" i="1"/>
  <c r="AC2400" i="1" s="1"/>
  <c r="AA2401" i="1"/>
  <c r="AB2401" i="1"/>
  <c r="AC2401" i="1" s="1"/>
  <c r="AA2402" i="1"/>
  <c r="AB2402" i="1"/>
  <c r="AC2402" i="1" s="1"/>
  <c r="AA2403" i="1"/>
  <c r="AB2403" i="1"/>
  <c r="AC2403" i="1" s="1"/>
  <c r="AA2404" i="1"/>
  <c r="AB2404" i="1"/>
  <c r="AC2404" i="1" s="1"/>
  <c r="AA2405" i="1"/>
  <c r="AB2405" i="1"/>
  <c r="AC2405" i="1" s="1"/>
  <c r="AA2406" i="1"/>
  <c r="AB2406" i="1"/>
  <c r="AC2406" i="1" s="1"/>
  <c r="AA2407" i="1"/>
  <c r="AB2407" i="1"/>
  <c r="AC2407" i="1" s="1"/>
  <c r="AA2408" i="1"/>
  <c r="AB2408" i="1"/>
  <c r="AC2408" i="1" s="1"/>
  <c r="AA2409" i="1"/>
  <c r="AB2409" i="1"/>
  <c r="AC2409" i="1" s="1"/>
  <c r="AA2410" i="1"/>
  <c r="AB2410" i="1"/>
  <c r="AC2410" i="1" s="1"/>
  <c r="AA2411" i="1"/>
  <c r="AB2411" i="1"/>
  <c r="AC2411" i="1" s="1"/>
  <c r="AA2412" i="1"/>
  <c r="AB2412" i="1"/>
  <c r="AC2412" i="1" s="1"/>
  <c r="AA2413" i="1"/>
  <c r="AB2413" i="1"/>
  <c r="AC2413" i="1" s="1"/>
  <c r="AA2414" i="1"/>
  <c r="AB2414" i="1"/>
  <c r="AC2414" i="1" s="1"/>
  <c r="AA2415" i="1"/>
  <c r="AB2415" i="1"/>
  <c r="AC2415" i="1" s="1"/>
  <c r="AA2416" i="1"/>
  <c r="AB2416" i="1"/>
  <c r="AC2416" i="1" s="1"/>
  <c r="AA2417" i="1"/>
  <c r="AB2417" i="1"/>
  <c r="AC2417" i="1" s="1"/>
  <c r="AA2418" i="1"/>
  <c r="AB2418" i="1"/>
  <c r="AC2418" i="1" s="1"/>
  <c r="AA2419" i="1"/>
  <c r="AB2419" i="1"/>
  <c r="AC2419" i="1" s="1"/>
  <c r="AA2420" i="1"/>
  <c r="AB2420" i="1"/>
  <c r="AC2420" i="1" s="1"/>
  <c r="AA2421" i="1"/>
  <c r="AB2421" i="1"/>
  <c r="AC2421" i="1" s="1"/>
  <c r="AA2422" i="1"/>
  <c r="AB2422" i="1"/>
  <c r="AC2422" i="1" s="1"/>
  <c r="AA2423" i="1"/>
  <c r="AB2423" i="1"/>
  <c r="AC2423" i="1" s="1"/>
  <c r="AA2424" i="1"/>
  <c r="AB2424" i="1"/>
  <c r="AC2424" i="1" s="1"/>
  <c r="AQ2424" i="1" s="1"/>
  <c r="AA2425" i="1"/>
  <c r="AB2425" i="1"/>
  <c r="AC2425" i="1" s="1"/>
  <c r="AA2426" i="1"/>
  <c r="AB2426" i="1"/>
  <c r="AC2426" i="1" s="1"/>
  <c r="AA2427" i="1"/>
  <c r="AB2427" i="1"/>
  <c r="AC2427" i="1" s="1"/>
  <c r="AA2428" i="1"/>
  <c r="AB2428" i="1"/>
  <c r="AC2428" i="1" s="1"/>
  <c r="AA2429" i="1"/>
  <c r="AB2429" i="1"/>
  <c r="AC2429" i="1" s="1"/>
  <c r="AQ1440" i="1" l="1"/>
  <c r="AQ1441" i="1" s="1"/>
  <c r="AQ2182" i="1"/>
  <c r="AQ1945" i="1"/>
  <c r="AQ1136" i="1"/>
  <c r="AQ2347" i="1"/>
  <c r="AQ2348" i="1" s="1"/>
  <c r="AQ2349" i="1" s="1"/>
  <c r="AQ2350" i="1" s="1"/>
  <c r="AQ2351" i="1" s="1"/>
  <c r="AQ1722" i="1"/>
  <c r="AQ1659" i="1"/>
  <c r="AQ1050" i="1"/>
  <c r="AQ1018" i="1"/>
  <c r="AQ911" i="1"/>
  <c r="AQ2119" i="1"/>
  <c r="AQ1932" i="1"/>
  <c r="AQ1901" i="1"/>
  <c r="AQ1902" i="1" s="1"/>
  <c r="AQ1903" i="1" s="1"/>
  <c r="AQ1368" i="1"/>
  <c r="AQ1024" i="1"/>
  <c r="AQ1016" i="1"/>
  <c r="AQ1017" i="1" s="1"/>
  <c r="AQ2426" i="1"/>
  <c r="AQ2045" i="1"/>
  <c r="AQ1248" i="1"/>
  <c r="AQ2401" i="1"/>
  <c r="AQ2402" i="1" s="1"/>
  <c r="AQ2029" i="1"/>
  <c r="AQ884" i="1"/>
  <c r="AQ885" i="1" s="1"/>
  <c r="AQ1989" i="1"/>
  <c r="AP1390" i="1"/>
  <c r="AQ1511" i="1"/>
  <c r="AQ1168" i="1"/>
  <c r="AQ1770" i="1"/>
  <c r="AQ1636" i="1"/>
  <c r="AQ935" i="1"/>
  <c r="AQ2375" i="1"/>
  <c r="AQ2376" i="1" s="1"/>
  <c r="AQ2240" i="1"/>
  <c r="AQ2025" i="1"/>
  <c r="AQ1486" i="1"/>
  <c r="AQ1455" i="1"/>
  <c r="AQ2321" i="1"/>
  <c r="AQ1922" i="1"/>
  <c r="AQ1785" i="1"/>
  <c r="AQ1786" i="1" s="1"/>
  <c r="AQ1347" i="1"/>
  <c r="AQ959" i="1"/>
  <c r="AQ960" i="1" s="1"/>
  <c r="AQ2269" i="1"/>
  <c r="AQ2270" i="1" s="1"/>
  <c r="AQ2271" i="1" s="1"/>
  <c r="AQ2272" i="1" s="1"/>
  <c r="AQ1048" i="1"/>
  <c r="AQ1049" i="1" s="1"/>
  <c r="AQ2364" i="1"/>
  <c r="AQ1229" i="1"/>
  <c r="AQ2067" i="1"/>
  <c r="AQ2068" i="1" s="1"/>
  <c r="AQ1637" i="1"/>
  <c r="AQ1505" i="1"/>
  <c r="AQ1573" i="1"/>
  <c r="AQ1574" i="1" s="1"/>
  <c r="AQ1575" i="1" s="1"/>
  <c r="AQ1576" i="1" s="1"/>
  <c r="AQ2097" i="1"/>
  <c r="AQ1397" i="1"/>
  <c r="AQ1365" i="1"/>
  <c r="AQ1366" i="1" s="1"/>
  <c r="AQ1367" i="1" s="1"/>
  <c r="AQ2157" i="1"/>
  <c r="AQ1972" i="1"/>
  <c r="AQ1973" i="1" s="1"/>
  <c r="AQ1350" i="1"/>
  <c r="AQ2323" i="1"/>
  <c r="AQ2188" i="1"/>
  <c r="AQ2149" i="1"/>
  <c r="AQ1780" i="1"/>
  <c r="AQ1781" i="1" s="1"/>
  <c r="AQ1342" i="1"/>
  <c r="AQ1158" i="1"/>
  <c r="AQ1771" i="1"/>
  <c r="AQ1772" i="1" s="1"/>
  <c r="AQ1622" i="1"/>
  <c r="AQ1109" i="1"/>
  <c r="AQ1110" i="1" s="1"/>
  <c r="AQ1111" i="1" s="1"/>
  <c r="AQ1233" i="1"/>
  <c r="AQ1169" i="1"/>
  <c r="AQ1170" i="1" s="1"/>
  <c r="AQ2114" i="1"/>
  <c r="AQ2115" i="1" s="1"/>
  <c r="AQ2093" i="1"/>
  <c r="AQ2094" i="1" s="1"/>
  <c r="AQ2095" i="1" s="1"/>
  <c r="AQ2096" i="1" s="1"/>
  <c r="AQ1910" i="1"/>
  <c r="AQ1130" i="1"/>
  <c r="AQ932" i="1"/>
  <c r="AQ2010" i="1"/>
  <c r="AQ1596" i="1"/>
  <c r="AQ2091" i="1"/>
  <c r="AQ1028" i="1"/>
  <c r="AQ1768" i="1"/>
  <c r="AQ2170" i="1"/>
  <c r="AQ2171" i="1" s="1"/>
  <c r="AQ2172" i="1" s="1"/>
  <c r="AQ1391" i="1"/>
  <c r="AQ1267" i="1"/>
  <c r="AQ1268" i="1" s="1"/>
  <c r="AQ2083" i="1"/>
  <c r="AQ2084" i="1" s="1"/>
  <c r="AQ2085" i="1" s="1"/>
  <c r="AQ883" i="1"/>
  <c r="AQ1068" i="1"/>
  <c r="AQ1824" i="1"/>
  <c r="AQ1720" i="1"/>
  <c r="AQ927" i="1"/>
  <c r="AQ928" i="1" s="1"/>
  <c r="AQ929" i="1" s="1"/>
  <c r="AQ930" i="1" s="1"/>
  <c r="AQ2368" i="1"/>
  <c r="AQ2369" i="1" s="1"/>
  <c r="AQ2370" i="1" s="1"/>
  <c r="AQ2371" i="1" s="1"/>
  <c r="AQ2116" i="1"/>
  <c r="AQ2117" i="1" s="1"/>
  <c r="AQ1040" i="1"/>
  <c r="AQ2405" i="1"/>
  <c r="AQ2295" i="1"/>
  <c r="AQ1800" i="1"/>
  <c r="AQ1801" i="1" s="1"/>
  <c r="AQ1689" i="1"/>
  <c r="AQ1690" i="1" s="1"/>
  <c r="AQ1691" i="1" s="1"/>
  <c r="AQ1692" i="1" s="1"/>
  <c r="AQ1570" i="1"/>
  <c r="AQ1498" i="1"/>
  <c r="AQ1499" i="1" s="1"/>
  <c r="AQ1272" i="1"/>
  <c r="AQ1242" i="1"/>
  <c r="AQ1243" i="1" s="1"/>
  <c r="AQ1244" i="1" s="1"/>
  <c r="AQ1206" i="1"/>
  <c r="AQ2003" i="1"/>
  <c r="AQ2019" i="1"/>
  <c r="AQ1896" i="1"/>
  <c r="AQ1897" i="1" s="1"/>
  <c r="AQ1065" i="1"/>
  <c r="AQ1761" i="1"/>
  <c r="AQ1762" i="1" s="1"/>
  <c r="AQ1763" i="1" s="1"/>
  <c r="AQ1764" i="1" s="1"/>
  <c r="AQ1677" i="1"/>
  <c r="AQ1564" i="1"/>
  <c r="AQ1428" i="1"/>
  <c r="AQ1422" i="1"/>
  <c r="AQ1423" i="1" s="1"/>
  <c r="AQ1394" i="1"/>
  <c r="AQ1292" i="1"/>
  <c r="AQ1293" i="1" s="1"/>
  <c r="AQ1294" i="1" s="1"/>
  <c r="AQ1209" i="1"/>
  <c r="AQ1086" i="1"/>
  <c r="AQ1038" i="1"/>
  <c r="AQ889" i="1"/>
  <c r="AQ890" i="1" s="1"/>
  <c r="AQ1818" i="1"/>
  <c r="AQ1819" i="1" s="1"/>
  <c r="AQ1010" i="1"/>
  <c r="AQ1011" i="1" s="1"/>
  <c r="AQ1012" i="1" s="1"/>
  <c r="AQ1204" i="1"/>
  <c r="AQ1205" i="1" s="1"/>
  <c r="AQ1726" i="1"/>
  <c r="AQ1727" i="1" s="1"/>
  <c r="AQ1728" i="1" s="1"/>
  <c r="AQ1729" i="1" s="1"/>
  <c r="AQ864" i="1"/>
  <c r="AQ2054" i="1"/>
  <c r="AQ2055" i="1" s="1"/>
  <c r="AQ2200" i="1"/>
  <c r="AQ2201" i="1" s="1"/>
  <c r="AQ2202" i="1" s="1"/>
  <c r="AQ1619" i="1"/>
  <c r="AQ1620" i="1" s="1"/>
  <c r="AQ1621" i="1" s="1"/>
  <c r="AQ1117" i="1"/>
  <c r="AQ1643" i="1"/>
  <c r="AQ1644" i="1" s="1"/>
  <c r="AQ1645" i="1" s="1"/>
  <c r="AQ1646" i="1" s="1"/>
  <c r="AQ1647" i="1" s="1"/>
  <c r="AQ1648" i="1" s="1"/>
  <c r="AQ2258" i="1"/>
  <c r="AQ2205" i="1"/>
  <c r="AQ2206" i="1" s="1"/>
  <c r="AQ2128" i="1"/>
  <c r="AQ2129" i="1" s="1"/>
  <c r="AQ2107" i="1"/>
  <c r="AQ2108" i="1" s="1"/>
  <c r="AQ1979" i="1"/>
  <c r="AQ1980" i="1" s="1"/>
  <c r="AQ1981" i="1" s="1"/>
  <c r="AQ1982" i="1" s="1"/>
  <c r="AQ1907" i="1"/>
  <c r="AQ1908" i="1" s="1"/>
  <c r="AQ1909" i="1" s="1"/>
  <c r="AQ1442" i="1"/>
  <c r="AQ1443" i="1" s="1"/>
  <c r="AQ1042" i="1"/>
  <c r="AQ1043" i="1" s="1"/>
  <c r="AQ1044" i="1" s="1"/>
  <c r="AQ1045" i="1" s="1"/>
  <c r="AQ1475" i="1"/>
  <c r="AQ1476" i="1" s="1"/>
  <c r="AQ2338" i="1"/>
  <c r="AQ2303" i="1"/>
  <c r="AQ2275" i="1"/>
  <c r="AQ2276" i="1" s="1"/>
  <c r="AQ2255" i="1"/>
  <c r="AQ2227" i="1"/>
  <c r="AQ2228" i="1" s="1"/>
  <c r="AQ2229" i="1" s="1"/>
  <c r="AQ2219" i="1"/>
  <c r="AQ2184" i="1"/>
  <c r="AQ2008" i="1"/>
  <c r="AQ2009" i="1" s="1"/>
  <c r="AQ1674" i="1"/>
  <c r="AQ1276" i="1"/>
  <c r="AQ1277" i="1" s="1"/>
  <c r="AQ1278" i="1" s="1"/>
  <c r="AQ1014" i="1"/>
  <c r="AQ1015" i="1" s="1"/>
  <c r="AQ1007" i="1"/>
  <c r="AQ1008" i="1" s="1"/>
  <c r="AQ1009" i="1" s="1"/>
  <c r="AQ1964" i="1"/>
  <c r="AQ1965" i="1" s="1"/>
  <c r="AQ1966" i="1" s="1"/>
  <c r="AQ1829" i="1"/>
  <c r="AQ1830" i="1" s="1"/>
  <c r="AQ905" i="1"/>
  <c r="AQ906" i="1" s="1"/>
  <c r="AQ1552" i="1"/>
  <c r="AQ1553" i="1" s="1"/>
  <c r="AQ2208" i="1"/>
  <c r="AQ2398" i="1"/>
  <c r="AQ2197" i="1"/>
  <c r="AQ2198" i="1" s="1"/>
  <c r="AQ2043" i="1"/>
  <c r="AQ1841" i="1"/>
  <c r="AQ1842" i="1" s="1"/>
  <c r="AQ2380" i="1"/>
  <c r="AQ1132" i="1"/>
  <c r="AQ2315" i="1"/>
  <c r="AQ2316" i="1" s="1"/>
  <c r="AQ2317" i="1" s="1"/>
  <c r="AQ2260" i="1"/>
  <c r="AQ2203" i="1"/>
  <c r="AQ2204" i="1" s="1"/>
  <c r="AQ2183" i="1"/>
  <c r="AQ1666" i="1"/>
  <c r="AQ1667" i="1" s="1"/>
  <c r="AQ1668" i="1" s="1"/>
  <c r="AQ1669" i="1" s="1"/>
  <c r="AQ1670" i="1" s="1"/>
  <c r="AQ1288" i="1"/>
  <c r="AQ1137" i="1"/>
  <c r="AQ1060" i="1"/>
  <c r="AQ1061" i="1" s="1"/>
  <c r="AQ973" i="1"/>
  <c r="AQ916" i="1"/>
  <c r="AQ917" i="1" s="1"/>
  <c r="AQ918" i="1" s="1"/>
  <c r="AQ919" i="1" s="1"/>
  <c r="AQ2280" i="1"/>
  <c r="AQ2281" i="1" s="1"/>
  <c r="AQ2266" i="1"/>
  <c r="AQ2098" i="1"/>
  <c r="AQ1812" i="1"/>
  <c r="AQ1813" i="1" s="1"/>
  <c r="AQ1623" i="1"/>
  <c r="AQ1601" i="1"/>
  <c r="AQ1602" i="1" s="1"/>
  <c r="AQ1375" i="1"/>
  <c r="AQ1376" i="1" s="1"/>
  <c r="AQ1245" i="1"/>
  <c r="AQ1246" i="1" s="1"/>
  <c r="AQ1247" i="1" s="1"/>
  <c r="AQ966" i="1"/>
  <c r="AQ967" i="1" s="1"/>
  <c r="AQ913" i="1"/>
  <c r="AQ2362" i="1"/>
  <c r="AQ2363" i="1" s="1"/>
  <c r="AQ2328" i="1"/>
  <c r="AQ2286" i="1"/>
  <c r="AQ1911" i="1"/>
  <c r="AQ1904" i="1"/>
  <c r="AQ1608" i="1"/>
  <c r="AQ1609" i="1" s="1"/>
  <c r="AQ1478" i="1"/>
  <c r="AQ1410" i="1"/>
  <c r="AQ1411" i="1" s="1"/>
  <c r="AQ1046" i="1"/>
  <c r="AQ1047" i="1" s="1"/>
  <c r="AQ1026" i="1"/>
  <c r="AQ1027" i="1" s="1"/>
  <c r="AQ2217" i="1"/>
  <c r="AQ2218" i="1" s="1"/>
  <c r="AK2217" i="1"/>
  <c r="AK2218" i="1" s="1"/>
  <c r="AJ2217" i="1"/>
  <c r="AQ1977" i="1"/>
  <c r="AQ1978" i="1" s="1"/>
  <c r="AJ1977" i="1"/>
  <c r="AL1977" i="1" s="1"/>
  <c r="AP1977" i="1" s="1"/>
  <c r="AK1977" i="1"/>
  <c r="AK1978" i="1" s="1"/>
  <c r="AQ1884" i="1"/>
  <c r="AK1884" i="1"/>
  <c r="AJ1884" i="1"/>
  <c r="AL1884" i="1" s="1"/>
  <c r="AP1884" i="1" s="1"/>
  <c r="AQ1820" i="1"/>
  <c r="AJ1820" i="1"/>
  <c r="AL1820" i="1" s="1"/>
  <c r="AP1820" i="1" s="1"/>
  <c r="AK1820" i="1"/>
  <c r="AQ1588" i="1"/>
  <c r="AK1588" i="1"/>
  <c r="AJ1588" i="1"/>
  <c r="AL1588" i="1" s="1"/>
  <c r="AP1588" i="1" s="1"/>
  <c r="AQ1513" i="1"/>
  <c r="AQ1514" i="1" s="1"/>
  <c r="AK1513" i="1"/>
  <c r="AK1514" i="1" s="1"/>
  <c r="AJ1513" i="1"/>
  <c r="AQ1274" i="1"/>
  <c r="AQ1275" i="1" s="1"/>
  <c r="AJ1274" i="1"/>
  <c r="AK1274" i="1"/>
  <c r="AK1275" i="1" s="1"/>
  <c r="AQ1184" i="1"/>
  <c r="AQ1185" i="1" s="1"/>
  <c r="AK1184" i="1"/>
  <c r="AK1185" i="1" s="1"/>
  <c r="AJ1184" i="1"/>
  <c r="AQ1020" i="1"/>
  <c r="AQ1021" i="1" s="1"/>
  <c r="AK1020" i="1"/>
  <c r="AK1021" i="1" s="1"/>
  <c r="AJ1020" i="1"/>
  <c r="AJ1005" i="1"/>
  <c r="AQ1005" i="1"/>
  <c r="AQ1006" i="1" s="1"/>
  <c r="AK1005" i="1"/>
  <c r="AK1006" i="1" s="1"/>
  <c r="AQ1457" i="1"/>
  <c r="AQ1458" i="1" s="1"/>
  <c r="AQ1459" i="1" s="1"/>
  <c r="AK1457" i="1"/>
  <c r="AK1458" i="1" s="1"/>
  <c r="AK1459" i="1" s="1"/>
  <c r="AJ1457" i="1"/>
  <c r="AQ1403" i="1"/>
  <c r="AQ1404" i="1" s="1"/>
  <c r="AQ1405" i="1" s="1"/>
  <c r="AK1403" i="1"/>
  <c r="AK1404" i="1" s="1"/>
  <c r="AK1405" i="1" s="1"/>
  <c r="AJ1403" i="1"/>
  <c r="AL1403" i="1" s="1"/>
  <c r="AP1403" i="1" s="1"/>
  <c r="AQ1019" i="1"/>
  <c r="AJ1019" i="1"/>
  <c r="AL1019" i="1" s="1"/>
  <c r="AP1019" i="1" s="1"/>
  <c r="AK1019" i="1"/>
  <c r="AQ1004" i="1"/>
  <c r="AK1004" i="1"/>
  <c r="AJ1004" i="1"/>
  <c r="AL1004" i="1" s="1"/>
  <c r="AP1004" i="1" s="1"/>
  <c r="AQ922" i="1"/>
  <c r="AK922" i="1"/>
  <c r="AJ922" i="1"/>
  <c r="AL922" i="1" s="1"/>
  <c r="AP922" i="1" s="1"/>
  <c r="AJ903" i="1"/>
  <c r="AL903" i="1" s="1"/>
  <c r="AP903" i="1" s="1"/>
  <c r="AQ903" i="1"/>
  <c r="AQ904" i="1" s="1"/>
  <c r="AK903" i="1"/>
  <c r="AK904" i="1" s="1"/>
  <c r="AQ1506" i="1"/>
  <c r="AJ1506" i="1"/>
  <c r="AL1506" i="1" s="1"/>
  <c r="AP1506" i="1" s="1"/>
  <c r="AK1506" i="1"/>
  <c r="AQ1211" i="1"/>
  <c r="AQ1212" i="1" s="1"/>
  <c r="AQ1213" i="1" s="1"/>
  <c r="AJ1211" i="1"/>
  <c r="AL1211" i="1" s="1"/>
  <c r="AP1211" i="1" s="1"/>
  <c r="AK1211" i="1"/>
  <c r="AK1212" i="1" s="1"/>
  <c r="AK1213" i="1" s="1"/>
  <c r="AQ1128" i="1"/>
  <c r="AQ1129" i="1" s="1"/>
  <c r="AK1128" i="1"/>
  <c r="AK1129" i="1" s="1"/>
  <c r="AJ1128" i="1"/>
  <c r="AQ1081" i="1"/>
  <c r="AK1081" i="1"/>
  <c r="AJ1081" i="1"/>
  <c r="AL1081" i="1" s="1"/>
  <c r="AP1081" i="1" s="1"/>
  <c r="AQ986" i="1"/>
  <c r="AQ987" i="1" s="1"/>
  <c r="AJ986" i="1"/>
  <c r="AK986" i="1"/>
  <c r="AK987" i="1" s="1"/>
  <c r="AJ2382" i="1"/>
  <c r="AL2382" i="1" s="1"/>
  <c r="AP2382" i="1" s="1"/>
  <c r="AK2382" i="1"/>
  <c r="AQ2382" i="1"/>
  <c r="AQ1868" i="1"/>
  <c r="AQ1869" i="1" s="1"/>
  <c r="AJ1868" i="1"/>
  <c r="AK1868" i="1"/>
  <c r="AK1869" i="1" s="1"/>
  <c r="AQ1861" i="1"/>
  <c r="AJ1861" i="1"/>
  <c r="AL1861" i="1" s="1"/>
  <c r="AP1861" i="1" s="1"/>
  <c r="AK1861" i="1"/>
  <c r="AQ1791" i="1"/>
  <c r="AJ1791" i="1"/>
  <c r="AL1791" i="1" s="1"/>
  <c r="AP1791" i="1" s="1"/>
  <c r="AK1791" i="1"/>
  <c r="AQ1450" i="1"/>
  <c r="AQ1451" i="1" s="1"/>
  <c r="AQ1107" i="1"/>
  <c r="AJ1107" i="1"/>
  <c r="AL1107" i="1" s="1"/>
  <c r="AP1107" i="1" s="1"/>
  <c r="AK1107" i="1"/>
  <c r="AQ1073" i="1"/>
  <c r="AQ1074" i="1" s="1"/>
  <c r="AJ1073" i="1"/>
  <c r="AK1073" i="1"/>
  <c r="AK1074" i="1" s="1"/>
  <c r="AQ1066" i="1"/>
  <c r="AJ1066" i="1"/>
  <c r="AL1066" i="1" s="1"/>
  <c r="AP1066" i="1" s="1"/>
  <c r="AK1066" i="1"/>
  <c r="AQ991" i="1"/>
  <c r="AJ991" i="1"/>
  <c r="AL991" i="1" s="1"/>
  <c r="AP991" i="1" s="1"/>
  <c r="AK991" i="1"/>
  <c r="AQ953" i="1"/>
  <c r="AQ954" i="1" s="1"/>
  <c r="AQ872" i="1"/>
  <c r="AQ873" i="1" s="1"/>
  <c r="AJ872" i="1"/>
  <c r="AK872" i="1"/>
  <c r="AK873" i="1" s="1"/>
  <c r="AQ1999" i="1"/>
  <c r="AQ2000" i="1" s="1"/>
  <c r="AJ1999" i="1"/>
  <c r="AK1999" i="1"/>
  <c r="AK2000" i="1" s="1"/>
  <c r="AJ2403" i="1"/>
  <c r="AL2403" i="1" s="1"/>
  <c r="AP2403" i="1" s="1"/>
  <c r="AK2403" i="1"/>
  <c r="AK2404" i="1" s="1"/>
  <c r="AQ2403" i="1"/>
  <c r="AQ2404" i="1" s="1"/>
  <c r="AQ2341" i="1"/>
  <c r="AQ2342" i="1" s="1"/>
  <c r="AQ2343" i="1" s="1"/>
  <c r="AJ2341" i="1"/>
  <c r="AL2341" i="1" s="1"/>
  <c r="AP2341" i="1" s="1"/>
  <c r="AK2341" i="1"/>
  <c r="AK2342" i="1" s="1"/>
  <c r="AK2343" i="1" s="1"/>
  <c r="AK2299" i="1"/>
  <c r="AQ2299" i="1"/>
  <c r="AJ2299" i="1"/>
  <c r="AL2299" i="1" s="1"/>
  <c r="AP2299" i="1" s="1"/>
  <c r="AQ2138" i="1"/>
  <c r="AJ2138" i="1"/>
  <c r="AL2138" i="1" s="1"/>
  <c r="AP2138" i="1" s="1"/>
  <c r="AK2138" i="1"/>
  <c r="AK2131" i="1"/>
  <c r="AJ2131" i="1"/>
  <c r="AL2131" i="1" s="1"/>
  <c r="AP2131" i="1" s="1"/>
  <c r="AQ2131" i="1"/>
  <c r="AQ2124" i="1"/>
  <c r="AQ2125" i="1" s="1"/>
  <c r="AK2124" i="1"/>
  <c r="AK2125" i="1" s="1"/>
  <c r="AJ2124" i="1"/>
  <c r="AQ2076" i="1"/>
  <c r="AQ2077" i="1" s="1"/>
  <c r="AQ2078" i="1" s="1"/>
  <c r="AJ2076" i="1"/>
  <c r="AK2076" i="1"/>
  <c r="AK2077" i="1" s="1"/>
  <c r="AK2078" i="1" s="1"/>
  <c r="AK1954" i="1"/>
  <c r="AK1955" i="1" s="1"/>
  <c r="AK1956" i="1" s="1"/>
  <c r="AQ1954" i="1"/>
  <c r="AQ1955" i="1" s="1"/>
  <c r="AQ1956" i="1" s="1"/>
  <c r="AJ1954" i="1"/>
  <c r="AL1954" i="1" s="1"/>
  <c r="AP1954" i="1" s="1"/>
  <c r="AQ1882" i="1"/>
  <c r="AJ1882" i="1"/>
  <c r="AL1882" i="1" s="1"/>
  <c r="AP1882" i="1" s="1"/>
  <c r="AK1882" i="1"/>
  <c r="AJ1565" i="1"/>
  <c r="AL1565" i="1" s="1"/>
  <c r="AP1565" i="1" s="1"/>
  <c r="AQ1565" i="1"/>
  <c r="AK1565" i="1"/>
  <c r="AQ1545" i="1"/>
  <c r="AJ1545" i="1"/>
  <c r="AL1545" i="1" s="1"/>
  <c r="AP1545" i="1" s="1"/>
  <c r="AK1545" i="1"/>
  <c r="AQ1348" i="1"/>
  <c r="AQ1349" i="1" s="1"/>
  <c r="AQ1340" i="1"/>
  <c r="AQ1341" i="1" s="1"/>
  <c r="AQ1162" i="1"/>
  <c r="AJ1162" i="1"/>
  <c r="AL1162" i="1" s="1"/>
  <c r="AP1162" i="1" s="1"/>
  <c r="AK1162" i="1"/>
  <c r="AQ902" i="1"/>
  <c r="AK902" i="1"/>
  <c r="AJ902" i="1"/>
  <c r="AL902" i="1" s="1"/>
  <c r="AP902" i="1" s="1"/>
  <c r="AK1518" i="1"/>
  <c r="AJ1518" i="1"/>
  <c r="AL1518" i="1" s="1"/>
  <c r="AP1518" i="1" s="1"/>
  <c r="AQ1518" i="1"/>
  <c r="AQ1449" i="1"/>
  <c r="AJ1449" i="1"/>
  <c r="AL1449" i="1" s="1"/>
  <c r="AP1449" i="1" s="1"/>
  <c r="AK1449" i="1"/>
  <c r="AQ984" i="1"/>
  <c r="AQ985" i="1" s="1"/>
  <c r="AJ984" i="1"/>
  <c r="AK984" i="1"/>
  <c r="AK985" i="1" s="1"/>
  <c r="AJ2214" i="1"/>
  <c r="AK2214" i="1"/>
  <c r="AK2215" i="1" s="1"/>
  <c r="AQ2214" i="1"/>
  <c r="AQ2215" i="1" s="1"/>
  <c r="AJ1974" i="1"/>
  <c r="AQ1974" i="1"/>
  <c r="AQ1975" i="1" s="1"/>
  <c r="AK1974" i="1"/>
  <c r="AK1975" i="1" s="1"/>
  <c r="AQ1395" i="1"/>
  <c r="AQ1396" i="1" s="1"/>
  <c r="AQ1339" i="1"/>
  <c r="AK1339" i="1"/>
  <c r="AJ1339" i="1"/>
  <c r="AL1339" i="1" s="1"/>
  <c r="AP1339" i="1" s="1"/>
  <c r="AQ1257" i="1"/>
  <c r="AQ1258" i="1" s="1"/>
  <c r="AQ1259" i="1" s="1"/>
  <c r="AJ1257" i="1"/>
  <c r="AL1257" i="1" s="1"/>
  <c r="AP1257" i="1" s="1"/>
  <c r="AK1257" i="1"/>
  <c r="AK1258" i="1" s="1"/>
  <c r="AK1259" i="1" s="1"/>
  <c r="AJ1202" i="1"/>
  <c r="AL1202" i="1" s="1"/>
  <c r="AP1202" i="1" s="1"/>
  <c r="AQ1202" i="1"/>
  <c r="AK1202" i="1"/>
  <c r="AQ920" i="1"/>
  <c r="AQ921" i="1" s="1"/>
  <c r="AJ920" i="1"/>
  <c r="AK920" i="1"/>
  <c r="AK921" i="1" s="1"/>
  <c r="AK914" i="1"/>
  <c r="AK915" i="1" s="1"/>
  <c r="AQ914" i="1"/>
  <c r="AJ914" i="1"/>
  <c r="AQ895" i="1"/>
  <c r="AK895" i="1"/>
  <c r="AJ895" i="1"/>
  <c r="AL895" i="1" s="1"/>
  <c r="AP895" i="1" s="1"/>
  <c r="AQ2395" i="1"/>
  <c r="AJ2395" i="1"/>
  <c r="AL2395" i="1" s="1"/>
  <c r="AP2395" i="1" s="1"/>
  <c r="AK2395" i="1"/>
  <c r="AK2396" i="1" s="1"/>
  <c r="AJ2151" i="1"/>
  <c r="AL2151" i="1" s="1"/>
  <c r="AP2151" i="1" s="1"/>
  <c r="AQ2151" i="1"/>
  <c r="AQ2152" i="1" s="1"/>
  <c r="AK2151" i="1"/>
  <c r="AQ2033" i="1"/>
  <c r="AK2033" i="1"/>
  <c r="AJ2033" i="1"/>
  <c r="AL2033" i="1" s="1"/>
  <c r="AP2033" i="1" s="1"/>
  <c r="AQ1802" i="1"/>
  <c r="AK1802" i="1"/>
  <c r="AJ1802" i="1"/>
  <c r="AL1802" i="1" s="1"/>
  <c r="AP1802" i="1" s="1"/>
  <c r="AQ1713" i="1"/>
  <c r="AJ1713" i="1"/>
  <c r="AL1713" i="1" s="1"/>
  <c r="AP1713" i="1" s="1"/>
  <c r="AK1713" i="1"/>
  <c r="AJ1698" i="1"/>
  <c r="AL1698" i="1" s="1"/>
  <c r="AP1698" i="1" s="1"/>
  <c r="AK1698" i="1"/>
  <c r="AQ1698" i="1"/>
  <c r="AQ1649" i="1"/>
  <c r="AQ1650" i="1" s="1"/>
  <c r="AJ1649" i="1"/>
  <c r="AK1649" i="1"/>
  <c r="AK1650" i="1" s="1"/>
  <c r="AJ1634" i="1"/>
  <c r="AQ1634" i="1"/>
  <c r="AK1634" i="1"/>
  <c r="AR1634" i="1"/>
  <c r="BU1634" i="1" s="1"/>
  <c r="AO1634" i="1"/>
  <c r="AS1634" i="1" s="1"/>
  <c r="AP1634" i="1"/>
  <c r="AQ1312" i="1"/>
  <c r="AJ1312" i="1"/>
  <c r="AL1312" i="1" s="1"/>
  <c r="AP1312" i="1" s="1"/>
  <c r="AK1312" i="1"/>
  <c r="AQ1264" i="1"/>
  <c r="AQ1265" i="1" s="1"/>
  <c r="AQ1266" i="1" s="1"/>
  <c r="AJ1264" i="1"/>
  <c r="AK1264" i="1"/>
  <c r="AQ1147" i="1"/>
  <c r="AQ1148" i="1" s="1"/>
  <c r="AK1147" i="1"/>
  <c r="AK1148" i="1" s="1"/>
  <c r="AJ1147" i="1"/>
  <c r="AL1147" i="1" s="1"/>
  <c r="AP1147" i="1" s="1"/>
  <c r="AQ945" i="1"/>
  <c r="AQ946" i="1" s="1"/>
  <c r="AK945" i="1"/>
  <c r="AK946" i="1" s="1"/>
  <c r="AJ945" i="1"/>
  <c r="AQ2312" i="1"/>
  <c r="AQ2313" i="1" s="1"/>
  <c r="AQ2314" i="1" s="1"/>
  <c r="AJ2312" i="1"/>
  <c r="AL2312" i="1" s="1"/>
  <c r="AP2312" i="1" s="1"/>
  <c r="AK2312" i="1"/>
  <c r="AK2313" i="1" s="1"/>
  <c r="AK2314" i="1" s="1"/>
  <c r="AQ2250" i="1"/>
  <c r="AQ2251" i="1" s="1"/>
  <c r="AJ2250" i="1"/>
  <c r="AK2250" i="1"/>
  <c r="AK2251" i="1" s="1"/>
  <c r="AQ2074" i="1"/>
  <c r="AQ2075" i="1" s="1"/>
  <c r="AK2074" i="1"/>
  <c r="AK2075" i="1" s="1"/>
  <c r="AJ2074" i="1"/>
  <c r="AK1733" i="1"/>
  <c r="AK1734" i="1" s="1"/>
  <c r="AK1735" i="1" s="1"/>
  <c r="AK1736" i="1" s="1"/>
  <c r="AJ1733" i="1"/>
  <c r="AL1733" i="1" s="1"/>
  <c r="AP1733" i="1" s="1"/>
  <c r="AQ1733" i="1"/>
  <c r="AQ1734" i="1" s="1"/>
  <c r="AQ1735" i="1" s="1"/>
  <c r="AQ1736" i="1" s="1"/>
  <c r="AQ1663" i="1"/>
  <c r="AK1663" i="1"/>
  <c r="AJ1663" i="1"/>
  <c r="AL1663" i="1" s="1"/>
  <c r="AP1663" i="1" s="1"/>
  <c r="AK1605" i="1"/>
  <c r="AJ1605" i="1"/>
  <c r="AL1605" i="1" s="1"/>
  <c r="AP1605" i="1" s="1"/>
  <c r="AQ1605" i="1"/>
  <c r="AJ1571" i="1"/>
  <c r="AL1571" i="1" s="1"/>
  <c r="AP1571" i="1" s="1"/>
  <c r="AQ1571" i="1"/>
  <c r="AQ1572" i="1" s="1"/>
  <c r="AK1571" i="1"/>
  <c r="AK1572" i="1" s="1"/>
  <c r="AQ1503" i="1"/>
  <c r="AQ1504" i="1" s="1"/>
  <c r="AJ1503" i="1"/>
  <c r="AK1503" i="1"/>
  <c r="AK1504" i="1" s="1"/>
  <c r="AQ1256" i="1"/>
  <c r="AJ1256" i="1"/>
  <c r="AL1256" i="1" s="1"/>
  <c r="AP1256" i="1" s="1"/>
  <c r="AK1256" i="1"/>
  <c r="AQ1235" i="1"/>
  <c r="AQ1236" i="1" s="1"/>
  <c r="AQ1237" i="1" s="1"/>
  <c r="AJ1235" i="1"/>
  <c r="AL1235" i="1" s="1"/>
  <c r="AP1235" i="1" s="1"/>
  <c r="AK1235" i="1"/>
  <c r="AK1236" i="1" s="1"/>
  <c r="AK1237" i="1" s="1"/>
  <c r="AQ978" i="1"/>
  <c r="AK978" i="1"/>
  <c r="AJ978" i="1"/>
  <c r="AL978" i="1" s="1"/>
  <c r="AP978" i="1" s="1"/>
  <c r="AQ1201" i="1"/>
  <c r="AJ1201" i="1"/>
  <c r="AL1201" i="1" s="1"/>
  <c r="AP1201" i="1" s="1"/>
  <c r="AK1201" i="1"/>
  <c r="AQ2297" i="1"/>
  <c r="AK2297" i="1"/>
  <c r="AJ2297" i="1"/>
  <c r="AL2297" i="1" s="1"/>
  <c r="AP2297" i="1" s="1"/>
  <c r="AQ2263" i="1"/>
  <c r="AJ2263" i="1"/>
  <c r="AL2263" i="1" s="1"/>
  <c r="AP2263" i="1" s="1"/>
  <c r="AK2263" i="1"/>
  <c r="AQ2122" i="1"/>
  <c r="AJ2122" i="1"/>
  <c r="AL2122" i="1" s="1"/>
  <c r="AP2122" i="1" s="1"/>
  <c r="AK2122" i="1"/>
  <c r="AK1938" i="1"/>
  <c r="AK1939" i="1" s="1"/>
  <c r="AK1940" i="1" s="1"/>
  <c r="AQ1938" i="1"/>
  <c r="AQ1939" i="1" s="1"/>
  <c r="AQ1940" i="1" s="1"/>
  <c r="AJ1938" i="1"/>
  <c r="AQ1930" i="1"/>
  <c r="AQ1931" i="1" s="1"/>
  <c r="AJ1930" i="1"/>
  <c r="AK1930" i="1"/>
  <c r="AK1931" i="1" s="1"/>
  <c r="AQ1816" i="1"/>
  <c r="AQ1817" i="1" s="1"/>
  <c r="AJ1816" i="1"/>
  <c r="AK1816" i="1"/>
  <c r="AK1817" i="1" s="1"/>
  <c r="AQ1641" i="1"/>
  <c r="AQ1642" i="1" s="1"/>
  <c r="AK1641" i="1"/>
  <c r="AK1642" i="1" s="1"/>
  <c r="AJ1641" i="1"/>
  <c r="AL1641" i="1" s="1"/>
  <c r="AP1641" i="1" s="1"/>
  <c r="AQ1612" i="1"/>
  <c r="AJ1612" i="1"/>
  <c r="AL1612" i="1" s="1"/>
  <c r="AP1612" i="1" s="1"/>
  <c r="AK1612" i="1"/>
  <c r="AQ1249" i="1"/>
  <c r="AQ1250" i="1" s="1"/>
  <c r="AK1249" i="1"/>
  <c r="AK1250" i="1" s="1"/>
  <c r="AJ1249" i="1"/>
  <c r="AQ865" i="1"/>
  <c r="AQ866" i="1" s="1"/>
  <c r="AJ2195" i="1"/>
  <c r="AL2195" i="1" s="1"/>
  <c r="AP2195" i="1" s="1"/>
  <c r="AK2195" i="1"/>
  <c r="AK2196" i="1" s="1"/>
  <c r="AQ2195" i="1"/>
  <c r="AQ2196" i="1" s="1"/>
  <c r="AQ1313" i="1"/>
  <c r="AQ1314" i="1" s="1"/>
  <c r="AQ1315" i="1" s="1"/>
  <c r="AK1313" i="1"/>
  <c r="AK1314" i="1" s="1"/>
  <c r="AK1315" i="1" s="1"/>
  <c r="AJ1313" i="1"/>
  <c r="AQ1072" i="1"/>
  <c r="AJ1072" i="1"/>
  <c r="AL1072" i="1" s="1"/>
  <c r="AP1072" i="1" s="1"/>
  <c r="AK1072" i="1"/>
  <c r="AK2220" i="1"/>
  <c r="AK2221" i="1" s="1"/>
  <c r="AK2222" i="1" s="1"/>
  <c r="AQ2220" i="1"/>
  <c r="AQ2221" i="1" s="1"/>
  <c r="AQ2222" i="1" s="1"/>
  <c r="AJ2220" i="1"/>
  <c r="AQ2185" i="1"/>
  <c r="AJ2185" i="1"/>
  <c r="AL2185" i="1" s="1"/>
  <c r="AP2185" i="1" s="1"/>
  <c r="AK2185" i="1"/>
  <c r="AQ2058" i="1"/>
  <c r="AJ2058" i="1"/>
  <c r="AL2058" i="1" s="1"/>
  <c r="AP2058" i="1" s="1"/>
  <c r="AK2058" i="1"/>
  <c r="AQ1420" i="1"/>
  <c r="AQ1421" i="1" s="1"/>
  <c r="AJ1420" i="1"/>
  <c r="AK1420" i="1"/>
  <c r="AK1421" i="1" s="1"/>
  <c r="AQ1385" i="1"/>
  <c r="AQ1386" i="1" s="1"/>
  <c r="AQ1387" i="1" s="1"/>
  <c r="AQ1388" i="1" s="1"/>
  <c r="AQ1389" i="1" s="1"/>
  <c r="AQ1390" i="1" s="1"/>
  <c r="AQ1352" i="1"/>
  <c r="AJ1352" i="1"/>
  <c r="AL1352" i="1" s="1"/>
  <c r="AP1352" i="1" s="1"/>
  <c r="AK1352" i="1"/>
  <c r="AQ1200" i="1"/>
  <c r="AK1200" i="1"/>
  <c r="AJ1200" i="1"/>
  <c r="AL1200" i="1" s="1"/>
  <c r="AP1200" i="1" s="1"/>
  <c r="AQ1193" i="1"/>
  <c r="AQ1194" i="1" s="1"/>
  <c r="AJ1193" i="1"/>
  <c r="AK1193" i="1"/>
  <c r="AK1194" i="1" s="1"/>
  <c r="AK1091" i="1"/>
  <c r="AK1092" i="1" s="1"/>
  <c r="AQ1091" i="1"/>
  <c r="AQ1092" i="1" s="1"/>
  <c r="AJ1091" i="1"/>
  <c r="AQ1084" i="1"/>
  <c r="AQ1085" i="1" s="1"/>
  <c r="AJ1084" i="1"/>
  <c r="AK1084" i="1"/>
  <c r="AK1085" i="1" s="1"/>
  <c r="AQ982" i="1"/>
  <c r="AQ983" i="1" s="1"/>
  <c r="AK982" i="1"/>
  <c r="AK983" i="1" s="1"/>
  <c r="AJ982" i="1"/>
  <c r="AL982" i="1" s="1"/>
  <c r="AP982" i="1" s="1"/>
  <c r="AQ938" i="1"/>
  <c r="AJ869" i="1"/>
  <c r="AL869" i="1" s="1"/>
  <c r="AP869" i="1" s="1"/>
  <c r="AQ869" i="1"/>
  <c r="AQ870" i="1" s="1"/>
  <c r="AQ871" i="1" s="1"/>
  <c r="AK869" i="1"/>
  <c r="AK870" i="1" s="1"/>
  <c r="AK871" i="1" s="1"/>
  <c r="AQ1915" i="1"/>
  <c r="AJ1915" i="1"/>
  <c r="AL1915" i="1" s="1"/>
  <c r="AP1915" i="1" s="1"/>
  <c r="AK1915" i="1"/>
  <c r="AJ2162" i="1"/>
  <c r="AK2162" i="1"/>
  <c r="AK2163" i="1" s="1"/>
  <c r="AK2164" i="1" s="1"/>
  <c r="AQ2162" i="1"/>
  <c r="AQ2163" i="1" s="1"/>
  <c r="AQ2164" i="1" s="1"/>
  <c r="AQ1929" i="1"/>
  <c r="AJ1929" i="1"/>
  <c r="AL1929" i="1" s="1"/>
  <c r="AP1929" i="1" s="1"/>
  <c r="AK1929" i="1"/>
  <c r="AQ1850" i="1"/>
  <c r="AQ1851" i="1" s="1"/>
  <c r="AJ1850" i="1"/>
  <c r="AK1850" i="1"/>
  <c r="AK1851" i="1" s="1"/>
  <c r="AQ1752" i="1"/>
  <c r="AQ1753" i="1" s="1"/>
  <c r="AJ1752" i="1"/>
  <c r="AK1752" i="1"/>
  <c r="AK1753" i="1" s="1"/>
  <c r="AQ1611" i="1"/>
  <c r="AJ1611" i="1"/>
  <c r="AL1611" i="1" s="1"/>
  <c r="AP1611" i="1" s="1"/>
  <c r="AK1611" i="1"/>
  <c r="AQ1172" i="1"/>
  <c r="AJ1172" i="1"/>
  <c r="AL1172" i="1" s="1"/>
  <c r="AP1172" i="1" s="1"/>
  <c r="AK1172" i="1"/>
  <c r="AJ1138" i="1"/>
  <c r="AQ1138" i="1"/>
  <c r="AQ1139" i="1" s="1"/>
  <c r="AQ1140" i="1" s="1"/>
  <c r="AK1138" i="1"/>
  <c r="AK1139" i="1" s="1"/>
  <c r="AK1140" i="1" s="1"/>
  <c r="AQ1056" i="1"/>
  <c r="AQ1057" i="1" s="1"/>
  <c r="AQ1058" i="1" s="1"/>
  <c r="AK1056" i="1"/>
  <c r="AK1057" i="1" s="1"/>
  <c r="AK1058" i="1" s="1"/>
  <c r="AJ1056" i="1"/>
  <c r="AL1056" i="1" s="1"/>
  <c r="AP1056" i="1" s="1"/>
  <c r="AQ969" i="1"/>
  <c r="AQ970" i="1" s="1"/>
  <c r="AJ969" i="1"/>
  <c r="AL969" i="1" s="1"/>
  <c r="AP969" i="1" s="1"/>
  <c r="AK969" i="1"/>
  <c r="AK970" i="1" s="1"/>
  <c r="AQ2268" i="1"/>
  <c r="AK2268" i="1"/>
  <c r="AJ2268" i="1"/>
  <c r="AL2268" i="1" s="1"/>
  <c r="AP2268" i="1" s="1"/>
  <c r="AQ2234" i="1"/>
  <c r="AQ2235" i="1" s="1"/>
  <c r="AJ2234" i="1"/>
  <c r="AK2234" i="1"/>
  <c r="AK2235" i="1" s="1"/>
  <c r="AQ2176" i="1"/>
  <c r="AQ2177" i="1" s="1"/>
  <c r="AQ2178" i="1" s="1"/>
  <c r="AJ2176" i="1"/>
  <c r="AK2176" i="1"/>
  <c r="AK2177" i="1" s="1"/>
  <c r="AK2178" i="1" s="1"/>
  <c r="AQ2169" i="1"/>
  <c r="AK2169" i="1"/>
  <c r="AJ2169" i="1"/>
  <c r="AL2169" i="1" s="1"/>
  <c r="AP2169" i="1" s="1"/>
  <c r="AQ1944" i="1"/>
  <c r="AJ1944" i="1"/>
  <c r="AL1944" i="1" s="1"/>
  <c r="AP1944" i="1" s="1"/>
  <c r="AK1944" i="1"/>
  <c r="AQ1836" i="1"/>
  <c r="AJ1836" i="1"/>
  <c r="AL1836" i="1" s="1"/>
  <c r="AP1836" i="1" s="1"/>
  <c r="AK1836" i="1"/>
  <c r="AQ1718" i="1"/>
  <c r="AQ1719" i="1" s="1"/>
  <c r="AJ1718" i="1"/>
  <c r="AK1718" i="1"/>
  <c r="AK1719" i="1" s="1"/>
  <c r="AQ1227" i="1"/>
  <c r="AQ1228" i="1" s="1"/>
  <c r="AJ1227" i="1"/>
  <c r="AL1227" i="1" s="1"/>
  <c r="AP1227" i="1" s="1"/>
  <c r="AK1227" i="1"/>
  <c r="AK1228" i="1" s="1"/>
  <c r="AK994" i="1"/>
  <c r="AQ994" i="1"/>
  <c r="AJ994" i="1"/>
  <c r="AL994" i="1" s="1"/>
  <c r="AP994" i="1" s="1"/>
  <c r="AQ1993" i="1"/>
  <c r="AQ1994" i="1" s="1"/>
  <c r="AK1993" i="1"/>
  <c r="AK1994" i="1" s="1"/>
  <c r="AJ1993" i="1"/>
  <c r="AL1993" i="1" s="1"/>
  <c r="AP1993" i="1" s="1"/>
  <c r="AQ1871" i="1"/>
  <c r="AQ1872" i="1" s="1"/>
  <c r="AK1871" i="1"/>
  <c r="AK1872" i="1" s="1"/>
  <c r="AJ1871" i="1"/>
  <c r="AQ1807" i="1"/>
  <c r="AQ1808" i="1" s="1"/>
  <c r="AJ1807" i="1"/>
  <c r="AK1807" i="1"/>
  <c r="AK1808" i="1" s="1"/>
  <c r="AJ1703" i="1"/>
  <c r="AL1703" i="1" s="1"/>
  <c r="AP1703" i="1" s="1"/>
  <c r="AK1703" i="1"/>
  <c r="AQ1703" i="1"/>
  <c r="AQ1473" i="1"/>
  <c r="AQ1474" i="1" s="1"/>
  <c r="AK1473" i="1"/>
  <c r="AK1474" i="1" s="1"/>
  <c r="AJ1473" i="1"/>
  <c r="AL1473" i="1" s="1"/>
  <c r="AP1473" i="1" s="1"/>
  <c r="AQ1412" i="1"/>
  <c r="AQ1413" i="1" s="1"/>
  <c r="AQ1414" i="1" s="1"/>
  <c r="AQ1415" i="1" s="1"/>
  <c r="AJ1412" i="1"/>
  <c r="AL1412" i="1" s="1"/>
  <c r="AP1412" i="1" s="1"/>
  <c r="AK1412" i="1"/>
  <c r="AK1413" i="1" s="1"/>
  <c r="AK1414" i="1" s="1"/>
  <c r="AK1415" i="1" s="1"/>
  <c r="AQ1377" i="1"/>
  <c r="AJ1377" i="1"/>
  <c r="AL1377" i="1" s="1"/>
  <c r="AP1377" i="1" s="1"/>
  <c r="AK1377" i="1"/>
  <c r="AQ1220" i="1"/>
  <c r="AQ1221" i="1" s="1"/>
  <c r="AK1220" i="1"/>
  <c r="AK1221" i="1" s="1"/>
  <c r="AJ1220" i="1"/>
  <c r="AQ968" i="1"/>
  <c r="AJ968" i="1"/>
  <c r="AL968" i="1" s="1"/>
  <c r="AP968" i="1" s="1"/>
  <c r="AK968" i="1"/>
  <c r="AK2226" i="1"/>
  <c r="AQ2226" i="1"/>
  <c r="AJ2226" i="1"/>
  <c r="AL2226" i="1" s="1"/>
  <c r="AP2226" i="1" s="1"/>
  <c r="AQ1487" i="1"/>
  <c r="AK1487" i="1"/>
  <c r="AJ1487" i="1"/>
  <c r="AL1487" i="1" s="1"/>
  <c r="AP1487" i="1" s="1"/>
  <c r="AQ1329" i="1"/>
  <c r="AQ1330" i="1" s="1"/>
  <c r="AK1329" i="1"/>
  <c r="AK1330" i="1" s="1"/>
  <c r="AJ1329" i="1"/>
  <c r="AL1329" i="1" s="1"/>
  <c r="AP1329" i="1" s="1"/>
  <c r="AQ1144" i="1"/>
  <c r="AJ1144" i="1"/>
  <c r="AL1144" i="1" s="1"/>
  <c r="AP1144" i="1" s="1"/>
  <c r="AK1144" i="1"/>
  <c r="AQ993" i="1"/>
  <c r="AK993" i="1"/>
  <c r="AJ993" i="1"/>
  <c r="AL993" i="1" s="1"/>
  <c r="AP993" i="1" s="1"/>
  <c r="AQ961" i="1"/>
  <c r="AQ962" i="1" s="1"/>
  <c r="AQ963" i="1" s="1"/>
  <c r="AK961" i="1"/>
  <c r="AK962" i="1" s="1"/>
  <c r="AK963" i="1" s="1"/>
  <c r="AJ961" i="1"/>
  <c r="AL961" i="1" s="1"/>
  <c r="AP961" i="1" s="1"/>
  <c r="AQ936" i="1"/>
  <c r="AQ937" i="1" s="1"/>
  <c r="AK936" i="1"/>
  <c r="AK937" i="1" s="1"/>
  <c r="AJ936" i="1"/>
  <c r="AQ886" i="1"/>
  <c r="AQ887" i="1" s="1"/>
  <c r="AJ886" i="1"/>
  <c r="AL886" i="1" s="1"/>
  <c r="AP886" i="1" s="1"/>
  <c r="AK886" i="1"/>
  <c r="AK887" i="1" s="1"/>
  <c r="AJ2407" i="1"/>
  <c r="AL2407" i="1" s="1"/>
  <c r="AP2407" i="1" s="1"/>
  <c r="AK2407" i="1"/>
  <c r="AQ2407" i="1"/>
  <c r="AQ1856" i="1"/>
  <c r="AQ1857" i="1" s="1"/>
  <c r="AJ1856" i="1"/>
  <c r="AK1856" i="1"/>
  <c r="AK1857" i="1" s="1"/>
  <c r="AQ1778" i="1"/>
  <c r="AQ1779" i="1" s="1"/>
  <c r="AK1778" i="1"/>
  <c r="AK1779" i="1" s="1"/>
  <c r="AJ1778" i="1"/>
  <c r="AL1778" i="1" s="1"/>
  <c r="AP1778" i="1" s="1"/>
  <c r="AQ1308" i="1"/>
  <c r="AQ1309" i="1" s="1"/>
  <c r="AJ1308" i="1"/>
  <c r="AK1308" i="1"/>
  <c r="AK1309" i="1" s="1"/>
  <c r="AQ1260" i="1"/>
  <c r="AK1260" i="1"/>
  <c r="AJ1260" i="1"/>
  <c r="AL1260" i="1" s="1"/>
  <c r="AP1260" i="1" s="1"/>
  <c r="AJ1075" i="1"/>
  <c r="AL1075" i="1" s="1"/>
  <c r="AP1075" i="1" s="1"/>
  <c r="AK1075" i="1"/>
  <c r="AQ1075" i="1"/>
  <c r="AQ1076" i="1" s="1"/>
  <c r="AQ898" i="1"/>
  <c r="AK2393" i="1"/>
  <c r="AQ2393" i="1"/>
  <c r="AQ2394" i="1" s="1"/>
  <c r="AJ2393" i="1"/>
  <c r="AL2393" i="1" s="1"/>
  <c r="AP2393" i="1" s="1"/>
  <c r="AQ2305" i="1"/>
  <c r="AK2305" i="1"/>
  <c r="AJ2305" i="1"/>
  <c r="AL2305" i="1" s="1"/>
  <c r="AP2305" i="1" s="1"/>
  <c r="AQ2256" i="1"/>
  <c r="AJ2256" i="1"/>
  <c r="AL2256" i="1" s="1"/>
  <c r="AP2256" i="1" s="1"/>
  <c r="AK2256" i="1"/>
  <c r="AQ2230" i="1"/>
  <c r="AQ2231" i="1" s="1"/>
  <c r="AK2230" i="1"/>
  <c r="AK2231" i="1" s="1"/>
  <c r="AJ2230" i="1"/>
  <c r="AK2039" i="1"/>
  <c r="AQ2039" i="1"/>
  <c r="AQ2040" i="1" s="1"/>
  <c r="AJ2039" i="1"/>
  <c r="AL2039" i="1" s="1"/>
  <c r="AP2039" i="1" s="1"/>
  <c r="AK1927" i="1"/>
  <c r="AK1928" i="1" s="1"/>
  <c r="AQ1927" i="1"/>
  <c r="AQ1928" i="1" s="1"/>
  <c r="AJ1927" i="1"/>
  <c r="AQ1887" i="1"/>
  <c r="AQ1888" i="1" s="1"/>
  <c r="AJ1887" i="1"/>
  <c r="AL1887" i="1" s="1"/>
  <c r="AP1887" i="1" s="1"/>
  <c r="AK1887" i="1"/>
  <c r="AK1888" i="1" s="1"/>
  <c r="AQ1406" i="1"/>
  <c r="AQ1407" i="1" s="1"/>
  <c r="AQ1408" i="1" s="1"/>
  <c r="AK1406" i="1"/>
  <c r="AK1407" i="1" s="1"/>
  <c r="AK1408" i="1" s="1"/>
  <c r="AJ1406" i="1"/>
  <c r="AL1406" i="1" s="1"/>
  <c r="AP1406" i="1" s="1"/>
  <c r="AQ1199" i="1"/>
  <c r="AJ1150" i="1"/>
  <c r="AL1150" i="1" s="1"/>
  <c r="AP1150" i="1" s="1"/>
  <c r="AQ1150" i="1"/>
  <c r="AK1150" i="1"/>
  <c r="AK1101" i="1"/>
  <c r="AK1102" i="1" s="1"/>
  <c r="AK1103" i="1" s="1"/>
  <c r="AJ1101" i="1"/>
  <c r="AQ1101" i="1"/>
  <c r="AQ1102" i="1" s="1"/>
  <c r="AQ1103" i="1" s="1"/>
  <c r="AJ1022" i="1"/>
  <c r="AL1022" i="1" s="1"/>
  <c r="AP1022" i="1" s="1"/>
  <c r="AQ1022" i="1"/>
  <c r="AK1022" i="1"/>
  <c r="AK1023" i="1" s="1"/>
  <c r="AQ1610" i="1"/>
  <c r="AQ1516" i="1"/>
  <c r="AQ1517" i="1" s="1"/>
  <c r="AK1516" i="1"/>
  <c r="AK1517" i="1" s="1"/>
  <c r="AJ1516" i="1"/>
  <c r="AQ1466" i="1"/>
  <c r="AQ1467" i="1" s="1"/>
  <c r="AQ1468" i="1" s="1"/>
  <c r="AJ1454" i="1"/>
  <c r="AL1454" i="1" s="1"/>
  <c r="AP1454" i="1" s="1"/>
  <c r="AK1454" i="1"/>
  <c r="AQ1454" i="1"/>
  <c r="AQ1356" i="1"/>
  <c r="AQ1357" i="1" s="1"/>
  <c r="AQ1358" i="1" s="1"/>
  <c r="AK1356" i="1"/>
  <c r="AK1357" i="1" s="1"/>
  <c r="AK1358" i="1" s="1"/>
  <c r="AJ1356" i="1"/>
  <c r="AQ1338" i="1"/>
  <c r="AJ1326" i="1"/>
  <c r="AL1326" i="1" s="1"/>
  <c r="AP1326" i="1" s="1"/>
  <c r="AK1326" i="1"/>
  <c r="AK1327" i="1" s="1"/>
  <c r="AQ1326" i="1"/>
  <c r="AQ1327" i="1" s="1"/>
  <c r="AQ1320" i="1"/>
  <c r="AQ1321" i="1" s="1"/>
  <c r="AQ1322" i="1" s="1"/>
  <c r="AK1320" i="1"/>
  <c r="AK1321" i="1" s="1"/>
  <c r="AK1322" i="1" s="1"/>
  <c r="AJ1320" i="1"/>
  <c r="AL1320" i="1" s="1"/>
  <c r="AP1320" i="1" s="1"/>
  <c r="AQ1283" i="1"/>
  <c r="AQ1284" i="1" s="1"/>
  <c r="AK1265" i="1"/>
  <c r="AK1266" i="1" s="1"/>
  <c r="AQ1210" i="1"/>
  <c r="AK1210" i="1"/>
  <c r="AJ1210" i="1"/>
  <c r="AL1210" i="1" s="1"/>
  <c r="AP1210" i="1" s="1"/>
  <c r="AQ1155" i="1"/>
  <c r="AQ1156" i="1" s="1"/>
  <c r="AK1149" i="1"/>
  <c r="AJ1149" i="1"/>
  <c r="AL1149" i="1" s="1"/>
  <c r="AP1149" i="1" s="1"/>
  <c r="AQ1149" i="1"/>
  <c r="AQ1082" i="1"/>
  <c r="AQ1083" i="1" s="1"/>
  <c r="AJ1082" i="1"/>
  <c r="AK1082" i="1"/>
  <c r="AK1083" i="1" s="1"/>
  <c r="AQ1070" i="1"/>
  <c r="AQ1071" i="1" s="1"/>
  <c r="AJ1070" i="1"/>
  <c r="AL1070" i="1" s="1"/>
  <c r="AP1070" i="1" s="1"/>
  <c r="AK1070" i="1"/>
  <c r="AK1071" i="1" s="1"/>
  <c r="AQ1003" i="1"/>
  <c r="AQ992" i="1"/>
  <c r="AJ992" i="1"/>
  <c r="AL992" i="1" s="1"/>
  <c r="AP992" i="1" s="1"/>
  <c r="AK992" i="1"/>
  <c r="AQ976" i="1"/>
  <c r="AQ977" i="1" s="1"/>
  <c r="AQ912" i="1"/>
  <c r="AK912" i="1"/>
  <c r="AJ912" i="1"/>
  <c r="AL912" i="1" s="1"/>
  <c r="AP912" i="1" s="1"/>
  <c r="AQ896" i="1"/>
  <c r="AQ897" i="1" s="1"/>
  <c r="AJ896" i="1"/>
  <c r="AL896" i="1" s="1"/>
  <c r="AP896" i="1" s="1"/>
  <c r="AK896" i="1"/>
  <c r="AK897" i="1" s="1"/>
  <c r="AQ880" i="1"/>
  <c r="AQ881" i="1" s="1"/>
  <c r="AJ880" i="1"/>
  <c r="AL880" i="1" s="1"/>
  <c r="AP880" i="1" s="1"/>
  <c r="AK880" i="1"/>
  <c r="AK881" i="1" s="1"/>
  <c r="AQ2273" i="1"/>
  <c r="AQ2274" i="1" s="1"/>
  <c r="AJ2273" i="1"/>
  <c r="AK2273" i="1"/>
  <c r="AK2274" i="1" s="1"/>
  <c r="AJ2150" i="1"/>
  <c r="AL2150" i="1" s="1"/>
  <c r="AP2150" i="1" s="1"/>
  <c r="AQ2150" i="1"/>
  <c r="AK2150" i="1"/>
  <c r="AQ2032" i="1"/>
  <c r="AJ2032" i="1"/>
  <c r="AL2032" i="1" s="1"/>
  <c r="AP2032" i="1" s="1"/>
  <c r="AK2032" i="1"/>
  <c r="AQ1796" i="1"/>
  <c r="AQ1797" i="1" s="1"/>
  <c r="AJ1796" i="1"/>
  <c r="AK1796" i="1"/>
  <c r="AK1797" i="1" s="1"/>
  <c r="AQ1693" i="1"/>
  <c r="AQ1694" i="1" s="1"/>
  <c r="AJ1662" i="1"/>
  <c r="AL1662" i="1" s="1"/>
  <c r="AP1662" i="1" s="1"/>
  <c r="AK1662" i="1"/>
  <c r="AQ1662" i="1"/>
  <c r="AJ1598" i="1"/>
  <c r="AL1598" i="1" s="1"/>
  <c r="AP1598" i="1" s="1"/>
  <c r="AQ1598" i="1"/>
  <c r="AK1598" i="1"/>
  <c r="AQ1580" i="1"/>
  <c r="AQ1581" i="1" s="1"/>
  <c r="AJ1580" i="1"/>
  <c r="AK1580" i="1"/>
  <c r="AK1581" i="1" s="1"/>
  <c r="AK1554" i="1"/>
  <c r="AQ1554" i="1"/>
  <c r="AJ1554" i="1"/>
  <c r="AL1554" i="1" s="1"/>
  <c r="AP1554" i="1" s="1"/>
  <c r="AQ1430" i="1"/>
  <c r="AQ1431" i="1" s="1"/>
  <c r="AQ1432" i="1" s="1"/>
  <c r="AJ1430" i="1"/>
  <c r="AK1430" i="1"/>
  <c r="AK1431" i="1" s="1"/>
  <c r="AK1432" i="1" s="1"/>
  <c r="AQ1302" i="1"/>
  <c r="AQ1303" i="1" s="1"/>
  <c r="AQ1304" i="1" s="1"/>
  <c r="AJ1302" i="1"/>
  <c r="AK1302" i="1"/>
  <c r="AK1303" i="1" s="1"/>
  <c r="AK1304" i="1" s="1"/>
  <c r="AK1253" i="1"/>
  <c r="AJ1253" i="1"/>
  <c r="AL1253" i="1" s="1"/>
  <c r="AP1253" i="1" s="1"/>
  <c r="AQ1253" i="1"/>
  <c r="AQ1223" i="1"/>
  <c r="AQ1224" i="1" s="1"/>
  <c r="AJ1223" i="1"/>
  <c r="AL1223" i="1" s="1"/>
  <c r="AP1223" i="1" s="1"/>
  <c r="AK1223" i="1"/>
  <c r="AK1224" i="1" s="1"/>
  <c r="AQ1186" i="1"/>
  <c r="AQ1187" i="1" s="1"/>
  <c r="AQ1113" i="1"/>
  <c r="AQ1114" i="1" s="1"/>
  <c r="AQ1115" i="1" s="1"/>
  <c r="AQ1116" i="1" s="1"/>
  <c r="AQ971" i="1"/>
  <c r="AQ955" i="1"/>
  <c r="AQ923" i="1"/>
  <c r="AQ924" i="1" s="1"/>
  <c r="AQ925" i="1" s="1"/>
  <c r="AQ926" i="1" s="1"/>
  <c r="AQ2304" i="1"/>
  <c r="AQ2123" i="1"/>
  <c r="AK2123" i="1"/>
  <c r="AJ2123" i="1"/>
  <c r="AL2123" i="1" s="1"/>
  <c r="AP2123" i="1" s="1"/>
  <c r="AQ2026" i="1"/>
  <c r="AQ2027" i="1" s="1"/>
  <c r="AQ1847" i="1"/>
  <c r="AQ1848" i="1" s="1"/>
  <c r="AQ1849" i="1" s="1"/>
  <c r="AQ1750" i="1"/>
  <c r="AQ1751" i="1" s="1"/>
  <c r="AJ1750" i="1"/>
  <c r="AK1750" i="1"/>
  <c r="AK1751" i="1" s="1"/>
  <c r="AQ1616" i="1"/>
  <c r="AQ1617" i="1" s="1"/>
  <c r="AQ1618" i="1" s="1"/>
  <c r="AJ1566" i="1"/>
  <c r="AL1566" i="1" s="1"/>
  <c r="AP1566" i="1" s="1"/>
  <c r="AQ1566" i="1"/>
  <c r="AQ1567" i="1" s="1"/>
  <c r="AK1566" i="1"/>
  <c r="AK1567" i="1" s="1"/>
  <c r="AJ2404" i="1"/>
  <c r="AL2404" i="1" s="1"/>
  <c r="AP2404" i="1" s="1"/>
  <c r="AK2279" i="1"/>
  <c r="AQ2279" i="1"/>
  <c r="AJ2279" i="1"/>
  <c r="AL2279" i="1" s="1"/>
  <c r="AP2279" i="1" s="1"/>
  <c r="AQ2180" i="1"/>
  <c r="AQ2181" i="1" s="1"/>
  <c r="AK2180" i="1"/>
  <c r="AK2181" i="1" s="1"/>
  <c r="AJ2180" i="1"/>
  <c r="AQ2142" i="1"/>
  <c r="AQ2143" i="1" s="1"/>
  <c r="AQ2110" i="1"/>
  <c r="AQ2111" i="1" s="1"/>
  <c r="AJ2110" i="1"/>
  <c r="AL2110" i="1" s="1"/>
  <c r="AP2110" i="1" s="1"/>
  <c r="AK2110" i="1"/>
  <c r="AK2111" i="1" s="1"/>
  <c r="AQ2064" i="1"/>
  <c r="AQ2065" i="1" s="1"/>
  <c r="AK2064" i="1"/>
  <c r="AK2065" i="1" s="1"/>
  <c r="AJ2064" i="1"/>
  <c r="AQ2057" i="1"/>
  <c r="AK2057" i="1"/>
  <c r="AJ2057" i="1"/>
  <c r="AL2057" i="1" s="1"/>
  <c r="AP2057" i="1" s="1"/>
  <c r="AQ2011" i="1"/>
  <c r="AQ2012" i="1" s="1"/>
  <c r="AQ2013" i="1" s="1"/>
  <c r="AJ2011" i="1"/>
  <c r="AL2011" i="1" s="1"/>
  <c r="AP2011" i="1" s="1"/>
  <c r="AK2011" i="1"/>
  <c r="AK2012" i="1" s="1"/>
  <c r="AK2013" i="1" s="1"/>
  <c r="AQ1985" i="1"/>
  <c r="AQ1986" i="1" s="1"/>
  <c r="AQ1933" i="1"/>
  <c r="AQ1899" i="1"/>
  <c r="AJ1899" i="1"/>
  <c r="AL1899" i="1" s="1"/>
  <c r="AP1899" i="1" s="1"/>
  <c r="AK1899" i="1"/>
  <c r="AJ1893" i="1"/>
  <c r="AL1893" i="1" s="1"/>
  <c r="AP1893" i="1" s="1"/>
  <c r="AK1893" i="1"/>
  <c r="AQ1893" i="1"/>
  <c r="AQ1873" i="1"/>
  <c r="AQ1874" i="1" s="1"/>
  <c r="AJ1873" i="1"/>
  <c r="AK1873" i="1"/>
  <c r="AK1874" i="1" s="1"/>
  <c r="AQ1866" i="1"/>
  <c r="AQ1867" i="1" s="1"/>
  <c r="AJ1866" i="1"/>
  <c r="AK1866" i="1"/>
  <c r="AK1867" i="1" s="1"/>
  <c r="AQ1815" i="1"/>
  <c r="AJ1815" i="1"/>
  <c r="AL1815" i="1" s="1"/>
  <c r="AP1815" i="1" s="1"/>
  <c r="AK1815" i="1"/>
  <c r="AQ1782" i="1"/>
  <c r="AQ1783" i="1" s="1"/>
  <c r="AQ1776" i="1"/>
  <c r="AQ1777" i="1" s="1"/>
  <c r="AJ1776" i="1"/>
  <c r="AL1776" i="1" s="1"/>
  <c r="AP1776" i="1" s="1"/>
  <c r="AK1776" i="1"/>
  <c r="AK1777" i="1" s="1"/>
  <c r="AQ1756" i="1"/>
  <c r="AQ1757" i="1" s="1"/>
  <c r="AJ1756" i="1"/>
  <c r="AK1756" i="1"/>
  <c r="AK1757" i="1" s="1"/>
  <c r="AQ1743" i="1"/>
  <c r="AQ1744" i="1" s="1"/>
  <c r="AJ1743" i="1"/>
  <c r="AK1743" i="1"/>
  <c r="AK1744" i="1" s="1"/>
  <c r="AJ1699" i="1"/>
  <c r="AL1699" i="1" s="1"/>
  <c r="AP1699" i="1" s="1"/>
  <c r="AK1699" i="1"/>
  <c r="AQ1699" i="1"/>
  <c r="AQ1687" i="1"/>
  <c r="AQ1688" i="1" s="1"/>
  <c r="AJ1687" i="1"/>
  <c r="AL1687" i="1" s="1"/>
  <c r="AP1687" i="1" s="1"/>
  <c r="AK1687" i="1"/>
  <c r="AK1688" i="1" s="1"/>
  <c r="AQ1680" i="1"/>
  <c r="AQ1681" i="1" s="1"/>
  <c r="AQ1682" i="1" s="1"/>
  <c r="AQ1683" i="1" s="1"/>
  <c r="AJ1680" i="1"/>
  <c r="AK1680" i="1"/>
  <c r="AK1681" i="1" s="1"/>
  <c r="AK1682" i="1" s="1"/>
  <c r="AK1683" i="1" s="1"/>
  <c r="AJ1661" i="1"/>
  <c r="AL1661" i="1" s="1"/>
  <c r="AP1661" i="1" s="1"/>
  <c r="AK1661" i="1"/>
  <c r="AQ1661" i="1"/>
  <c r="AK1635" i="1"/>
  <c r="AJ1635" i="1"/>
  <c r="AP1635" i="1"/>
  <c r="AQ1635" i="1"/>
  <c r="AR1635" i="1"/>
  <c r="BU1635" i="1" s="1"/>
  <c r="AO1635" i="1"/>
  <c r="AS1635" i="1" s="1"/>
  <c r="AJ1628" i="1"/>
  <c r="AL1628" i="1" s="1"/>
  <c r="AP1628" i="1" s="1"/>
  <c r="AQ1628" i="1"/>
  <c r="AK1628" i="1"/>
  <c r="AQ1591" i="1"/>
  <c r="AQ1592" i="1" s="1"/>
  <c r="AQ1579" i="1"/>
  <c r="AJ1579" i="1"/>
  <c r="AL1579" i="1" s="1"/>
  <c r="AP1579" i="1" s="1"/>
  <c r="AK1579" i="1"/>
  <c r="AK1559" i="1"/>
  <c r="AK1560" i="1" s="1"/>
  <c r="AQ1559" i="1"/>
  <c r="AQ1560" i="1" s="1"/>
  <c r="AJ1559" i="1"/>
  <c r="AL1559" i="1" s="1"/>
  <c r="AP1559" i="1" s="1"/>
  <c r="AQ1547" i="1"/>
  <c r="AJ1547" i="1"/>
  <c r="AL1547" i="1" s="1"/>
  <c r="AP1547" i="1" s="1"/>
  <c r="AK1547" i="1"/>
  <c r="AQ1534" i="1"/>
  <c r="AQ1535" i="1" s="1"/>
  <c r="AQ1521" i="1"/>
  <c r="AQ1522" i="1" s="1"/>
  <c r="AQ1479" i="1"/>
  <c r="AQ1480" i="1" s="1"/>
  <c r="AQ1481" i="1" s="1"/>
  <c r="AQ1472" i="1"/>
  <c r="AJ1472" i="1"/>
  <c r="AL1472" i="1" s="1"/>
  <c r="AP1472" i="1" s="1"/>
  <c r="AK1472" i="1"/>
  <c r="AK1435" i="1"/>
  <c r="AQ1435" i="1"/>
  <c r="AQ1436" i="1" s="1"/>
  <c r="AJ1435" i="1"/>
  <c r="AL1435" i="1" s="1"/>
  <c r="AP1435" i="1" s="1"/>
  <c r="AQ1429" i="1"/>
  <c r="AJ1399" i="1"/>
  <c r="AL1399" i="1" s="1"/>
  <c r="AP1399" i="1" s="1"/>
  <c r="AQ1399" i="1"/>
  <c r="AQ1400" i="1" s="1"/>
  <c r="AK1399" i="1"/>
  <c r="AK1400" i="1" s="1"/>
  <c r="AQ1380" i="1"/>
  <c r="AK1380" i="1"/>
  <c r="AJ1380" i="1"/>
  <c r="AL1380" i="1" s="1"/>
  <c r="AP1380" i="1" s="1"/>
  <c r="AQ1362" i="1"/>
  <c r="AQ1363" i="1" s="1"/>
  <c r="AQ1364" i="1" s="1"/>
  <c r="AQ1344" i="1"/>
  <c r="AQ1345" i="1" s="1"/>
  <c r="AQ1346" i="1" s="1"/>
  <c r="AK1344" i="1"/>
  <c r="AK1345" i="1" s="1"/>
  <c r="AK1346" i="1" s="1"/>
  <c r="AJ1344" i="1"/>
  <c r="AQ1307" i="1"/>
  <c r="AQ1289" i="1"/>
  <c r="AQ1290" i="1" s="1"/>
  <c r="AQ1291" i="1" s="1"/>
  <c r="AK1289" i="1"/>
  <c r="AK1290" i="1" s="1"/>
  <c r="AK1291" i="1" s="1"/>
  <c r="AJ1289" i="1"/>
  <c r="AL1289" i="1" s="1"/>
  <c r="AP1289" i="1" s="1"/>
  <c r="AQ1234" i="1"/>
  <c r="AQ1222" i="1"/>
  <c r="AK1222" i="1"/>
  <c r="AJ1222" i="1"/>
  <c r="AL1222" i="1" s="1"/>
  <c r="AP1222" i="1" s="1"/>
  <c r="AQ1216" i="1"/>
  <c r="AQ1217" i="1" s="1"/>
  <c r="AK1216" i="1"/>
  <c r="AK1217" i="1" s="1"/>
  <c r="AJ1216" i="1"/>
  <c r="AQ1179" i="1"/>
  <c r="AQ1180" i="1" s="1"/>
  <c r="AQ1173" i="1"/>
  <c r="AQ1174" i="1" s="1"/>
  <c r="AK1143" i="1"/>
  <c r="AQ1143" i="1"/>
  <c r="AJ1143" i="1"/>
  <c r="AL1143" i="1" s="1"/>
  <c r="AP1143" i="1" s="1"/>
  <c r="AQ1124" i="1"/>
  <c r="AQ1125" i="1" s="1"/>
  <c r="AQ1051" i="1"/>
  <c r="AQ1052" i="1" s="1"/>
  <c r="AQ1053" i="1" s="1"/>
  <c r="AK1051" i="1"/>
  <c r="AK1052" i="1" s="1"/>
  <c r="AK1053" i="1" s="1"/>
  <c r="AJ1051" i="1"/>
  <c r="AL1051" i="1" s="1"/>
  <c r="AP1051" i="1" s="1"/>
  <c r="AQ1033" i="1"/>
  <c r="AQ1034" i="1" s="1"/>
  <c r="AK981" i="1"/>
  <c r="AQ981" i="1"/>
  <c r="AJ981" i="1"/>
  <c r="AL981" i="1" s="1"/>
  <c r="AP981" i="1" s="1"/>
  <c r="AJ949" i="1"/>
  <c r="AK949" i="1"/>
  <c r="AK950" i="1" s="1"/>
  <c r="AQ949" i="1"/>
  <c r="AQ950" i="1" s="1"/>
  <c r="AK933" i="1"/>
  <c r="AK934" i="1" s="1"/>
  <c r="AJ933" i="1"/>
  <c r="AL933" i="1" s="1"/>
  <c r="AP933" i="1" s="1"/>
  <c r="AQ933" i="1"/>
  <c r="AQ934" i="1" s="1"/>
  <c r="AQ2361" i="1"/>
  <c r="AK2361" i="1"/>
  <c r="AJ2361" i="1"/>
  <c r="AL2361" i="1" s="1"/>
  <c r="AP2361" i="1" s="1"/>
  <c r="AQ2282" i="1"/>
  <c r="AQ2052" i="1"/>
  <c r="AQ2053" i="1" s="1"/>
  <c r="AK2052" i="1"/>
  <c r="AK2053" i="1" s="1"/>
  <c r="AJ2052" i="1"/>
  <c r="AL2052" i="1" s="1"/>
  <c r="AP2052" i="1" s="1"/>
  <c r="AQ1809" i="1"/>
  <c r="AQ1810" i="1" s="1"/>
  <c r="AK1809" i="1"/>
  <c r="AK1810" i="1" s="1"/>
  <c r="AJ1809" i="1"/>
  <c r="AL1809" i="1" s="1"/>
  <c r="AP1809" i="1" s="1"/>
  <c r="AJ1790" i="1"/>
  <c r="AL1790" i="1" s="1"/>
  <c r="AP1790" i="1" s="1"/>
  <c r="AK1790" i="1"/>
  <c r="AQ1790" i="1"/>
  <c r="AQ1738" i="1"/>
  <c r="AQ1739" i="1" s="1"/>
  <c r="AJ1738" i="1"/>
  <c r="AK1738" i="1"/>
  <c r="AK1739" i="1" s="1"/>
  <c r="AJ1655" i="1"/>
  <c r="AL1655" i="1" s="1"/>
  <c r="AP1655" i="1" s="1"/>
  <c r="AK1655" i="1"/>
  <c r="AQ1655" i="1"/>
  <c r="AQ1656" i="1" s="1"/>
  <c r="AQ1657" i="1" s="1"/>
  <c r="AQ1658" i="1" s="1"/>
  <c r="AJ1642" i="1"/>
  <c r="AL1642" i="1" s="1"/>
  <c r="AP1642" i="1" s="1"/>
  <c r="AJ1629" i="1"/>
  <c r="AL1629" i="1" s="1"/>
  <c r="AP1629" i="1" s="1"/>
  <c r="AK1629" i="1"/>
  <c r="AQ1629" i="1"/>
  <c r="AK1604" i="1"/>
  <c r="AQ1604" i="1"/>
  <c r="AJ1604" i="1"/>
  <c r="AL1604" i="1" s="1"/>
  <c r="AP1604" i="1" s="1"/>
  <c r="AJ1560" i="1"/>
  <c r="AL1560" i="1" s="1"/>
  <c r="AP1560" i="1" s="1"/>
  <c r="AQ1548" i="1"/>
  <c r="AQ1549" i="1" s="1"/>
  <c r="AK1548" i="1"/>
  <c r="AK1549" i="1" s="1"/>
  <c r="AJ1548" i="1"/>
  <c r="AQ1460" i="1"/>
  <c r="AQ1461" i="1" s="1"/>
  <c r="AQ1462" i="1" s="1"/>
  <c r="AJ1460" i="1"/>
  <c r="AL1460" i="1" s="1"/>
  <c r="AP1460" i="1" s="1"/>
  <c r="AK1460" i="1"/>
  <c r="AK1461" i="1" s="1"/>
  <c r="AK1462" i="1" s="1"/>
  <c r="AJ1381" i="1"/>
  <c r="AL1381" i="1" s="1"/>
  <c r="AP1381" i="1" s="1"/>
  <c r="AQ1381" i="1"/>
  <c r="AK1381" i="1"/>
  <c r="AQ1332" i="1"/>
  <c r="AQ1333" i="1" s="1"/>
  <c r="AQ1334" i="1" s="1"/>
  <c r="AK1332" i="1"/>
  <c r="AK1333" i="1" s="1"/>
  <c r="AK1334" i="1" s="1"/>
  <c r="AJ1332" i="1"/>
  <c r="AL1332" i="1" s="1"/>
  <c r="AP1332" i="1" s="1"/>
  <c r="AQ1296" i="1"/>
  <c r="AQ1297" i="1" s="1"/>
  <c r="AQ1298" i="1" s="1"/>
  <c r="AJ1296" i="1"/>
  <c r="AL1296" i="1" s="1"/>
  <c r="AP1296" i="1" s="1"/>
  <c r="AK1296" i="1"/>
  <c r="AK1297" i="1" s="1"/>
  <c r="AK1298" i="1" s="1"/>
  <c r="AQ1131" i="1"/>
  <c r="AJ1131" i="1"/>
  <c r="AL1131" i="1" s="1"/>
  <c r="AP1131" i="1" s="1"/>
  <c r="AK1131" i="1"/>
  <c r="AQ1095" i="1"/>
  <c r="AQ1096" i="1" s="1"/>
  <c r="AQ1097" i="1" s="1"/>
  <c r="AJ1095" i="1"/>
  <c r="AL1095" i="1" s="1"/>
  <c r="AP1095" i="1" s="1"/>
  <c r="AK1095" i="1"/>
  <c r="AQ939" i="1"/>
  <c r="AJ939" i="1"/>
  <c r="AL939" i="1" s="1"/>
  <c r="AP939" i="1" s="1"/>
  <c r="AK939" i="1"/>
  <c r="AQ907" i="1"/>
  <c r="AK907" i="1"/>
  <c r="AK908" i="1" s="1"/>
  <c r="AJ907" i="1"/>
  <c r="AL907" i="1" s="1"/>
  <c r="AP907" i="1" s="1"/>
  <c r="AQ891" i="1"/>
  <c r="AQ892" i="1" s="1"/>
  <c r="AQ875" i="1"/>
  <c r="AJ875" i="1"/>
  <c r="AL875" i="1" s="1"/>
  <c r="AP875" i="1" s="1"/>
  <c r="AK875" i="1"/>
  <c r="AJ2342" i="1"/>
  <c r="AL2342" i="1" s="1"/>
  <c r="AP2342" i="1" s="1"/>
  <c r="AQ2298" i="1"/>
  <c r="AJ2298" i="1"/>
  <c r="AL2298" i="1" s="1"/>
  <c r="AP2298" i="1" s="1"/>
  <c r="AK2298" i="1"/>
  <c r="AQ2267" i="1"/>
  <c r="AQ2136" i="1"/>
  <c r="AQ2137" i="1" s="1"/>
  <c r="AJ2136" i="1"/>
  <c r="AK2136" i="1"/>
  <c r="AK2137" i="1" s="1"/>
  <c r="AQ1860" i="1"/>
  <c r="AJ1821" i="1"/>
  <c r="AQ1821" i="1"/>
  <c r="AQ1822" i="1" s="1"/>
  <c r="AQ1823" i="1" s="1"/>
  <c r="AK1821" i="1"/>
  <c r="AK1822" i="1" s="1"/>
  <c r="AK1823" i="1" s="1"/>
  <c r="AJ2429" i="1"/>
  <c r="AP2429" i="1"/>
  <c r="AK2429" i="1"/>
  <c r="AQ2429" i="1"/>
  <c r="AO2429" i="1"/>
  <c r="AS2429" i="1" s="1"/>
  <c r="AR2429" i="1"/>
  <c r="BU2429" i="1" s="1"/>
  <c r="AQ2329" i="1"/>
  <c r="AQ2330" i="1" s="1"/>
  <c r="AQ2331" i="1" s="1"/>
  <c r="AJ2329" i="1"/>
  <c r="AL2329" i="1" s="1"/>
  <c r="AP2329" i="1" s="1"/>
  <c r="AK2329" i="1"/>
  <c r="AK2330" i="1" s="1"/>
  <c r="AK2331" i="1" s="1"/>
  <c r="AK2285" i="1"/>
  <c r="AJ2285" i="1"/>
  <c r="AL2285" i="1" s="1"/>
  <c r="AP2285" i="1" s="1"/>
  <c r="AQ2285" i="1"/>
  <c r="AQ2261" i="1"/>
  <c r="AQ2410" i="1"/>
  <c r="AQ2411" i="1" s="1"/>
  <c r="AJ2397" i="1"/>
  <c r="AL2397" i="1" s="1"/>
  <c r="AP2397" i="1" s="1"/>
  <c r="AK2397" i="1"/>
  <c r="AQ2397" i="1"/>
  <c r="AQ2385" i="1"/>
  <c r="AQ2386" i="1" s="1"/>
  <c r="AQ2387" i="1" s="1"/>
  <c r="AK2385" i="1"/>
  <c r="AK2386" i="1" s="1"/>
  <c r="AK2387" i="1" s="1"/>
  <c r="AJ2385" i="1"/>
  <c r="AK2366" i="1"/>
  <c r="AK2367" i="1" s="1"/>
  <c r="AJ2366" i="1"/>
  <c r="AL2366" i="1" s="1"/>
  <c r="AP2366" i="1" s="1"/>
  <c r="AQ2366" i="1"/>
  <c r="AQ2360" i="1"/>
  <c r="AJ2322" i="1"/>
  <c r="AL2322" i="1" s="1"/>
  <c r="AP2322" i="1" s="1"/>
  <c r="AQ2322" i="1"/>
  <c r="AK2322" i="1"/>
  <c r="AQ2310" i="1"/>
  <c r="AQ2192" i="1"/>
  <c r="AJ2192" i="1"/>
  <c r="AL2192" i="1" s="1"/>
  <c r="AP2192" i="1" s="1"/>
  <c r="AK2192" i="1"/>
  <c r="AK2173" i="1"/>
  <c r="AK2174" i="1" s="1"/>
  <c r="AK2175" i="1" s="1"/>
  <c r="AQ2173" i="1"/>
  <c r="AQ2174" i="1" s="1"/>
  <c r="AQ2175" i="1" s="1"/>
  <c r="AJ2173" i="1"/>
  <c r="AQ2090" i="1"/>
  <c r="AK2051" i="1"/>
  <c r="AJ2051" i="1"/>
  <c r="AL2051" i="1" s="1"/>
  <c r="AP2051" i="1" s="1"/>
  <c r="AQ2051" i="1"/>
  <c r="AQ2044" i="1"/>
  <c r="AK2044" i="1"/>
  <c r="AJ2044" i="1"/>
  <c r="AL2044" i="1" s="1"/>
  <c r="AP2044" i="1" s="1"/>
  <c r="AK2004" i="1"/>
  <c r="AQ2004" i="1"/>
  <c r="AJ2004" i="1"/>
  <c r="AL2004" i="1" s="1"/>
  <c r="AP2004" i="1" s="1"/>
  <c r="AK1991" i="1"/>
  <c r="AK1992" i="1" s="1"/>
  <c r="AQ1991" i="1"/>
  <c r="AQ1992" i="1" s="1"/>
  <c r="AJ1991" i="1"/>
  <c r="AL1991" i="1" s="1"/>
  <c r="AP1991" i="1" s="1"/>
  <c r="AQ1951" i="1"/>
  <c r="AQ1952" i="1" s="1"/>
  <c r="AQ1953" i="1" s="1"/>
  <c r="AJ1951" i="1"/>
  <c r="AK1951" i="1"/>
  <c r="AK1952" i="1" s="1"/>
  <c r="AK1953" i="1" s="1"/>
  <c r="AQ1879" i="1"/>
  <c r="AQ1880" i="1" s="1"/>
  <c r="AQ1881" i="1" s="1"/>
  <c r="AK1879" i="1"/>
  <c r="AK1880" i="1" s="1"/>
  <c r="AK1881" i="1" s="1"/>
  <c r="AJ1879" i="1"/>
  <c r="AL1879" i="1" s="1"/>
  <c r="AP1879" i="1" s="1"/>
  <c r="AQ1834" i="1"/>
  <c r="AJ1827" i="1"/>
  <c r="AL1827" i="1" s="1"/>
  <c r="AP1827" i="1" s="1"/>
  <c r="AK1827" i="1"/>
  <c r="AK1828" i="1" s="1"/>
  <c r="AQ1827" i="1"/>
  <c r="AQ1828" i="1" s="1"/>
  <c r="AK1795" i="1"/>
  <c r="AQ1795" i="1"/>
  <c r="AJ1795" i="1"/>
  <c r="AL1795" i="1" s="1"/>
  <c r="AP1795" i="1" s="1"/>
  <c r="AQ1769" i="1"/>
  <c r="AK1769" i="1"/>
  <c r="AJ1769" i="1"/>
  <c r="AL1769" i="1" s="1"/>
  <c r="AP1769" i="1" s="1"/>
  <c r="AQ1737" i="1"/>
  <c r="AJ1737" i="1"/>
  <c r="AL1737" i="1" s="1"/>
  <c r="AP1737" i="1" s="1"/>
  <c r="AK1737" i="1"/>
  <c r="AK1597" i="1"/>
  <c r="AQ1597" i="1"/>
  <c r="AJ1597" i="1"/>
  <c r="AL1597" i="1" s="1"/>
  <c r="AP1597" i="1" s="1"/>
  <c r="AQ1585" i="1"/>
  <c r="AQ1586" i="1" s="1"/>
  <c r="AQ1587" i="1" s="1"/>
  <c r="AJ1585" i="1"/>
  <c r="AL1585" i="1" s="1"/>
  <c r="AP1585" i="1" s="1"/>
  <c r="AK1585" i="1"/>
  <c r="AK1586" i="1" s="1"/>
  <c r="AK1587" i="1" s="1"/>
  <c r="AQ1528" i="1"/>
  <c r="AQ1529" i="1" s="1"/>
  <c r="AK1528" i="1"/>
  <c r="AK1529" i="1" s="1"/>
  <c r="AJ1528" i="1"/>
  <c r="AQ1515" i="1"/>
  <c r="AK1515" i="1"/>
  <c r="AJ1515" i="1"/>
  <c r="AL1515" i="1" s="1"/>
  <c r="AP1515" i="1" s="1"/>
  <c r="AK1509" i="1"/>
  <c r="AK1510" i="1" s="1"/>
  <c r="AQ1509" i="1"/>
  <c r="AQ1510" i="1" s="1"/>
  <c r="AJ1509" i="1"/>
  <c r="AL1509" i="1" s="1"/>
  <c r="AP1509" i="1" s="1"/>
  <c r="AJ1485" i="1"/>
  <c r="AL1485" i="1" s="1"/>
  <c r="AP1485" i="1" s="1"/>
  <c r="AQ1485" i="1"/>
  <c r="AK1485" i="1"/>
  <c r="AQ1453" i="1"/>
  <c r="AK1331" i="1"/>
  <c r="AJ1331" i="1"/>
  <c r="AL1331" i="1" s="1"/>
  <c r="AP1331" i="1" s="1"/>
  <c r="AQ1331" i="1"/>
  <c r="AQ1295" i="1"/>
  <c r="AK1295" i="1"/>
  <c r="AJ1295" i="1"/>
  <c r="AL1295" i="1" s="1"/>
  <c r="AP1295" i="1" s="1"/>
  <c r="AQ1197" i="1"/>
  <c r="AQ1198" i="1" s="1"/>
  <c r="AK1118" i="1"/>
  <c r="AK1119" i="1" s="1"/>
  <c r="AK1120" i="1" s="1"/>
  <c r="AK1121" i="1" s="1"/>
  <c r="AJ1118" i="1"/>
  <c r="AQ1118" i="1"/>
  <c r="AQ1119" i="1" s="1"/>
  <c r="AQ1120" i="1" s="1"/>
  <c r="AQ1121" i="1" s="1"/>
  <c r="AJ1069" i="1"/>
  <c r="AL1069" i="1" s="1"/>
  <c r="AP1069" i="1" s="1"/>
  <c r="AK1069" i="1"/>
  <c r="AQ1069" i="1"/>
  <c r="AQ1039" i="1"/>
  <c r="AQ874" i="1"/>
  <c r="AJ874" i="1"/>
  <c r="AL874" i="1" s="1"/>
  <c r="AP874" i="1" s="1"/>
  <c r="AK874" i="1"/>
  <c r="AQ2367" i="1"/>
  <c r="AJ2311" i="1"/>
  <c r="AL2311" i="1" s="1"/>
  <c r="AP2311" i="1" s="1"/>
  <c r="AK2311" i="1"/>
  <c r="AQ2311" i="1"/>
  <c r="AJ2292" i="1"/>
  <c r="AQ2292" i="1"/>
  <c r="AQ2293" i="1" s="1"/>
  <c r="AQ2294" i="1" s="1"/>
  <c r="AK2292" i="1"/>
  <c r="AK2293" i="1" s="1"/>
  <c r="AK2294" i="1" s="1"/>
  <c r="AQ2193" i="1"/>
  <c r="AQ2194" i="1" s="1"/>
  <c r="AJ2193" i="1"/>
  <c r="AL2193" i="1" s="1"/>
  <c r="AP2193" i="1" s="1"/>
  <c r="AK2193" i="1"/>
  <c r="AK2194" i="1" s="1"/>
  <c r="AQ2046" i="1"/>
  <c r="AJ1978" i="1"/>
  <c r="AL1978" i="1" s="1"/>
  <c r="AP1978" i="1" s="1"/>
  <c r="AQ1926" i="1"/>
  <c r="AK1926" i="1"/>
  <c r="AJ1926" i="1"/>
  <c r="AL1926" i="1" s="1"/>
  <c r="AP1926" i="1" s="1"/>
  <c r="AK1854" i="1"/>
  <c r="AK1855" i="1" s="1"/>
  <c r="AQ1854" i="1"/>
  <c r="AQ1855" i="1" s="1"/>
  <c r="AJ1854" i="1"/>
  <c r="AL1854" i="1" s="1"/>
  <c r="AP1854" i="1" s="1"/>
  <c r="AJ2379" i="1"/>
  <c r="AL2379" i="1" s="1"/>
  <c r="AP2379" i="1" s="1"/>
  <c r="AQ2379" i="1"/>
  <c r="AK2379" i="1"/>
  <c r="AQ2336" i="1"/>
  <c r="AJ2336" i="1"/>
  <c r="AL2336" i="1" s="1"/>
  <c r="AP2336" i="1" s="1"/>
  <c r="AK2336" i="1"/>
  <c r="AQ2216" i="1"/>
  <c r="AJ2216" i="1"/>
  <c r="AL2216" i="1" s="1"/>
  <c r="AP2216" i="1" s="1"/>
  <c r="AK2216" i="1"/>
  <c r="AK2372" i="1"/>
  <c r="AK2373" i="1" s="1"/>
  <c r="AK2374" i="1" s="1"/>
  <c r="AQ2372" i="1"/>
  <c r="AQ2373" i="1" s="1"/>
  <c r="AQ2374" i="1" s="1"/>
  <c r="AJ2372" i="1"/>
  <c r="AQ2335" i="1"/>
  <c r="AQ2209" i="1"/>
  <c r="AQ2210" i="1" s="1"/>
  <c r="AQ2211" i="1" s="1"/>
  <c r="AK2209" i="1"/>
  <c r="AK2210" i="1" s="1"/>
  <c r="AK2211" i="1" s="1"/>
  <c r="AJ2209" i="1"/>
  <c r="AJ2179" i="1"/>
  <c r="AL2179" i="1" s="1"/>
  <c r="AP2179" i="1" s="1"/>
  <c r="AK2179" i="1"/>
  <c r="AQ2179" i="1"/>
  <c r="AQ2148" i="1"/>
  <c r="AQ2109" i="1"/>
  <c r="AQ2070" i="1"/>
  <c r="AQ2071" i="1" s="1"/>
  <c r="AQ2072" i="1" s="1"/>
  <c r="AQ2073" i="1" s="1"/>
  <c r="AQ2037" i="1"/>
  <c r="AQ2038" i="1" s="1"/>
  <c r="AK2030" i="1"/>
  <c r="AK2031" i="1" s="1"/>
  <c r="AJ2030" i="1"/>
  <c r="AQ2030" i="1"/>
  <c r="AQ2031" i="1" s="1"/>
  <c r="AQ2017" i="1"/>
  <c r="AQ2018" i="1" s="1"/>
  <c r="AK2017" i="1"/>
  <c r="AK2018" i="1" s="1"/>
  <c r="AJ2017" i="1"/>
  <c r="AJ1997" i="1"/>
  <c r="AK1997" i="1"/>
  <c r="AK1998" i="1" s="1"/>
  <c r="AQ1997" i="1"/>
  <c r="AQ1998" i="1" s="1"/>
  <c r="AQ1958" i="1"/>
  <c r="AQ1959" i="1" s="1"/>
  <c r="AQ1960" i="1" s="1"/>
  <c r="AJ1958" i="1"/>
  <c r="AK1958" i="1"/>
  <c r="AK1959" i="1" s="1"/>
  <c r="AK1960" i="1" s="1"/>
  <c r="AQ1919" i="1"/>
  <c r="AQ1920" i="1" s="1"/>
  <c r="AQ1921" i="1" s="1"/>
  <c r="AQ1912" i="1"/>
  <c r="AQ1913" i="1" s="1"/>
  <c r="AQ1914" i="1" s="1"/>
  <c r="AJ1912" i="1"/>
  <c r="AK1912" i="1"/>
  <c r="AK1913" i="1" s="1"/>
  <c r="AK1914" i="1" s="1"/>
  <c r="AQ1892" i="1"/>
  <c r="AJ1892" i="1"/>
  <c r="AL1892" i="1" s="1"/>
  <c r="AP1892" i="1" s="1"/>
  <c r="AK1892" i="1"/>
  <c r="AK1885" i="1"/>
  <c r="AK1886" i="1" s="1"/>
  <c r="AQ1885" i="1"/>
  <c r="AQ1886" i="1" s="1"/>
  <c r="AJ1885" i="1"/>
  <c r="AQ1814" i="1"/>
  <c r="AJ1814" i="1"/>
  <c r="AL1814" i="1" s="1"/>
  <c r="AP1814" i="1" s="1"/>
  <c r="AK1814" i="1"/>
  <c r="AQ1686" i="1"/>
  <c r="AK1686" i="1"/>
  <c r="AJ1686" i="1"/>
  <c r="AL1686" i="1" s="1"/>
  <c r="AP1686" i="1" s="1"/>
  <c r="AQ1660" i="1"/>
  <c r="AQ1546" i="1"/>
  <c r="AK1546" i="1"/>
  <c r="AJ1546" i="1"/>
  <c r="AL1546" i="1" s="1"/>
  <c r="AP1546" i="1" s="1"/>
  <c r="AK1477" i="1"/>
  <c r="AJ1477" i="1"/>
  <c r="AL1477" i="1" s="1"/>
  <c r="AP1477" i="1" s="1"/>
  <c r="AQ1477" i="1"/>
  <c r="AQ1398" i="1"/>
  <c r="AJ1398" i="1"/>
  <c r="AL1398" i="1" s="1"/>
  <c r="AP1398" i="1" s="1"/>
  <c r="AK1398" i="1"/>
  <c r="AQ1270" i="1"/>
  <c r="AQ1271" i="1" s="1"/>
  <c r="AJ1270" i="1"/>
  <c r="AK1270" i="1"/>
  <c r="AK1271" i="1" s="1"/>
  <c r="AJ1093" i="1"/>
  <c r="AL1093" i="1" s="1"/>
  <c r="AP1093" i="1" s="1"/>
  <c r="AQ1093" i="1"/>
  <c r="AQ1094" i="1" s="1"/>
  <c r="AK1093" i="1"/>
  <c r="AK1094" i="1" s="1"/>
  <c r="AK2236" i="1"/>
  <c r="AK2237" i="1" s="1"/>
  <c r="AQ2236" i="1"/>
  <c r="AQ2237" i="1" s="1"/>
  <c r="AJ2236" i="1"/>
  <c r="AQ2186" i="1"/>
  <c r="AJ2005" i="1"/>
  <c r="AL2005" i="1" s="1"/>
  <c r="AP2005" i="1" s="1"/>
  <c r="AK2005" i="1"/>
  <c r="AQ2005" i="1"/>
  <c r="AJ1076" i="1"/>
  <c r="AL1076" i="1" s="1"/>
  <c r="AP1076" i="1" s="1"/>
  <c r="AK1076" i="1"/>
  <c r="AK2428" i="1"/>
  <c r="AJ2428" i="1"/>
  <c r="AQ2428" i="1"/>
  <c r="AO2428" i="1"/>
  <c r="AS2428" i="1" s="1"/>
  <c r="AR2428" i="1"/>
  <c r="BU2428" i="1" s="1"/>
  <c r="AP2428" i="1"/>
  <c r="AQ2378" i="1"/>
  <c r="AK2378" i="1"/>
  <c r="AJ2378" i="1"/>
  <c r="AL2378" i="1" s="1"/>
  <c r="AP2378" i="1" s="1"/>
  <c r="AK2102" i="1"/>
  <c r="AK2103" i="1" s="1"/>
  <c r="AK2104" i="1" s="1"/>
  <c r="AQ2102" i="1"/>
  <c r="AQ2103" i="1" s="1"/>
  <c r="AQ2104" i="1" s="1"/>
  <c r="AJ2102" i="1"/>
  <c r="AQ2056" i="1"/>
  <c r="AJ2056" i="1"/>
  <c r="AL2056" i="1" s="1"/>
  <c r="AP2056" i="1" s="1"/>
  <c r="AK2056" i="1"/>
  <c r="AQ1852" i="1"/>
  <c r="AQ1853" i="1" s="1"/>
  <c r="AK1852" i="1"/>
  <c r="AK1853" i="1" s="1"/>
  <c r="AJ1852" i="1"/>
  <c r="AJ1826" i="1"/>
  <c r="AL1826" i="1" s="1"/>
  <c r="AP1826" i="1" s="1"/>
  <c r="AQ1826" i="1"/>
  <c r="AK1826" i="1"/>
  <c r="AQ1558" i="1"/>
  <c r="AK1558" i="1"/>
  <c r="AJ1558" i="1"/>
  <c r="AL1558" i="1" s="1"/>
  <c r="AP1558" i="1" s="1"/>
  <c r="AQ1452" i="1"/>
  <c r="AK1452" i="1"/>
  <c r="AJ1452" i="1"/>
  <c r="AL1452" i="1" s="1"/>
  <c r="AP1452" i="1" s="1"/>
  <c r="AK1251" i="1"/>
  <c r="AK1252" i="1" s="1"/>
  <c r="AJ1251" i="1"/>
  <c r="AL1251" i="1" s="1"/>
  <c r="AP1251" i="1" s="1"/>
  <c r="AQ1251" i="1"/>
  <c r="AQ1252" i="1" s="1"/>
  <c r="AQ2396" i="1"/>
  <c r="AJ2396" i="1"/>
  <c r="AL2396" i="1" s="1"/>
  <c r="AP2396" i="1" s="1"/>
  <c r="AK2277" i="1"/>
  <c r="AK2278" i="1" s="1"/>
  <c r="AJ2277" i="1"/>
  <c r="AL2277" i="1" s="1"/>
  <c r="AP2277" i="1" s="1"/>
  <c r="AQ2277" i="1"/>
  <c r="AQ2278" i="1" s="1"/>
  <c r="AJ2247" i="1"/>
  <c r="AL2247" i="1" s="1"/>
  <c r="AP2247" i="1" s="1"/>
  <c r="AK2247" i="1"/>
  <c r="AK2248" i="1" s="1"/>
  <c r="AK2249" i="1" s="1"/>
  <c r="AQ2247" i="1"/>
  <c r="AQ2248" i="1" s="1"/>
  <c r="AQ2249" i="1" s="1"/>
  <c r="AQ2241" i="1"/>
  <c r="AK2147" i="1"/>
  <c r="AJ2147" i="1"/>
  <c r="AL2147" i="1" s="1"/>
  <c r="AP2147" i="1" s="1"/>
  <c r="AQ2147" i="1"/>
  <c r="AJ2069" i="1"/>
  <c r="AL2069" i="1" s="1"/>
  <c r="AP2069" i="1" s="1"/>
  <c r="AQ2069" i="1"/>
  <c r="AK2069" i="1"/>
  <c r="AQ2016" i="1"/>
  <c r="AJ2016" i="1"/>
  <c r="AL2016" i="1" s="1"/>
  <c r="AP2016" i="1" s="1"/>
  <c r="AK2016" i="1"/>
  <c r="AJ1957" i="1"/>
  <c r="AL1957" i="1" s="1"/>
  <c r="AP1957" i="1" s="1"/>
  <c r="AK1957" i="1"/>
  <c r="AQ1957" i="1"/>
  <c r="AQ1839" i="1"/>
  <c r="AQ1840" i="1" s="1"/>
  <c r="AJ1839" i="1"/>
  <c r="AK1839" i="1"/>
  <c r="AK1840" i="1" s="1"/>
  <c r="AQ1748" i="1"/>
  <c r="AQ1749" i="1" s="1"/>
  <c r="AK1748" i="1"/>
  <c r="AK1749" i="1" s="1"/>
  <c r="AJ1748" i="1"/>
  <c r="AQ1446" i="1"/>
  <c r="AQ1447" i="1" s="1"/>
  <c r="AQ1448" i="1" s="1"/>
  <c r="AK1446" i="1"/>
  <c r="AK1447" i="1" s="1"/>
  <c r="AK1448" i="1" s="1"/>
  <c r="AJ1446" i="1"/>
  <c r="AJ1269" i="1"/>
  <c r="AL1269" i="1" s="1"/>
  <c r="AP1269" i="1" s="1"/>
  <c r="AK1269" i="1"/>
  <c r="AQ1269" i="1"/>
  <c r="AQ1239" i="1"/>
  <c r="AQ1240" i="1" s="1"/>
  <c r="AQ1241" i="1" s="1"/>
  <c r="AK1239" i="1"/>
  <c r="AK1240" i="1" s="1"/>
  <c r="AK1241" i="1" s="1"/>
  <c r="AJ1239" i="1"/>
  <c r="AL1239" i="1" s="1"/>
  <c r="AP1239" i="1" s="1"/>
  <c r="AJ1141" i="1"/>
  <c r="AL1141" i="1" s="1"/>
  <c r="AP1141" i="1" s="1"/>
  <c r="AK1141" i="1"/>
  <c r="AK1142" i="1" s="1"/>
  <c r="AQ1141" i="1"/>
  <c r="AQ1142" i="1" s="1"/>
  <c r="AK1062" i="1"/>
  <c r="AK1063" i="1" s="1"/>
  <c r="AQ1062" i="1"/>
  <c r="AQ1063" i="1" s="1"/>
  <c r="AJ1062" i="1"/>
  <c r="AQ1013" i="1"/>
  <c r="AK2418" i="1"/>
  <c r="AK2419" i="1" s="1"/>
  <c r="AK2420" i="1" s="1"/>
  <c r="AQ2418" i="1"/>
  <c r="AQ2419" i="1" s="1"/>
  <c r="AQ2420" i="1" s="1"/>
  <c r="AJ2418" i="1"/>
  <c r="AL2418" i="1" s="1"/>
  <c r="AP2418" i="1" s="1"/>
  <c r="AQ2242" i="1"/>
  <c r="AQ2223" i="1"/>
  <c r="AQ2224" i="1" s="1"/>
  <c r="AQ2225" i="1" s="1"/>
  <c r="AJ2223" i="1"/>
  <c r="AK2223" i="1"/>
  <c r="AK2224" i="1" s="1"/>
  <c r="AK2225" i="1" s="1"/>
  <c r="AK2199" i="1"/>
  <c r="AQ2199" i="1"/>
  <c r="AJ2199" i="1"/>
  <c r="AL2199" i="1" s="1"/>
  <c r="AP2199" i="1" s="1"/>
  <c r="AQ1835" i="1"/>
  <c r="AJ1835" i="1"/>
  <c r="AL1835" i="1" s="1"/>
  <c r="AP1835" i="1" s="1"/>
  <c r="AK1835" i="1"/>
  <c r="AQ1700" i="1"/>
  <c r="AJ1700" i="1"/>
  <c r="AL1700" i="1" s="1"/>
  <c r="AP1700" i="1" s="1"/>
  <c r="AK1700" i="1"/>
  <c r="AK2141" i="1"/>
  <c r="AQ2141" i="1"/>
  <c r="AJ2141" i="1"/>
  <c r="AL2141" i="1" s="1"/>
  <c r="AP2141" i="1" s="1"/>
  <c r="AQ1898" i="1"/>
  <c r="AJ1898" i="1"/>
  <c r="AL1898" i="1" s="1"/>
  <c r="AP1898" i="1" s="1"/>
  <c r="AK1898" i="1"/>
  <c r="AQ1723" i="1"/>
  <c r="AQ1724" i="1" s="1"/>
  <c r="AQ1725" i="1" s="1"/>
  <c r="AK1723" i="1"/>
  <c r="AK1724" i="1" s="1"/>
  <c r="AK1725" i="1" s="1"/>
  <c r="AJ1723" i="1"/>
  <c r="AL1723" i="1" s="1"/>
  <c r="AP1723" i="1" s="1"/>
  <c r="AQ1496" i="1"/>
  <c r="AQ1497" i="1" s="1"/>
  <c r="AJ1496" i="1"/>
  <c r="AK1496" i="1"/>
  <c r="AK1497" i="1" s="1"/>
  <c r="AQ1424" i="1"/>
  <c r="AQ1343" i="1"/>
  <c r="AJ1343" i="1"/>
  <c r="AL1343" i="1" s="1"/>
  <c r="AP1343" i="1" s="1"/>
  <c r="AK1343" i="1"/>
  <c r="AQ2383" i="1"/>
  <c r="AJ2383" i="1"/>
  <c r="AL2383" i="1" s="1"/>
  <c r="AP2383" i="1" s="1"/>
  <c r="AK2383" i="1"/>
  <c r="AQ2346" i="1"/>
  <c r="AJ2346" i="1"/>
  <c r="AL2346" i="1" s="1"/>
  <c r="AP2346" i="1" s="1"/>
  <c r="AK2346" i="1"/>
  <c r="AQ2340" i="1"/>
  <c r="AJ2340" i="1"/>
  <c r="AL2340" i="1" s="1"/>
  <c r="AP2340" i="1" s="1"/>
  <c r="AK2340" i="1"/>
  <c r="AK2327" i="1"/>
  <c r="AJ2327" i="1"/>
  <c r="AL2327" i="1" s="1"/>
  <c r="AP2327" i="1" s="1"/>
  <c r="AQ2327" i="1"/>
  <c r="AQ2308" i="1"/>
  <c r="AQ2309" i="1" s="1"/>
  <c r="AK2308" i="1"/>
  <c r="AK2309" i="1" s="1"/>
  <c r="AJ2308" i="1"/>
  <c r="AK2290" i="1"/>
  <c r="AK2291" i="1" s="1"/>
  <c r="AQ2290" i="1"/>
  <c r="AQ2291" i="1" s="1"/>
  <c r="AJ2290" i="1"/>
  <c r="AL2290" i="1" s="1"/>
  <c r="AP2290" i="1" s="1"/>
  <c r="AJ2259" i="1"/>
  <c r="AL2259" i="1" s="1"/>
  <c r="AP2259" i="1" s="1"/>
  <c r="AK2259" i="1"/>
  <c r="AQ2259" i="1"/>
  <c r="AJ2190" i="1"/>
  <c r="AL2190" i="1" s="1"/>
  <c r="AP2190" i="1" s="1"/>
  <c r="AK2190" i="1"/>
  <c r="AQ2190" i="1"/>
  <c r="AQ2140" i="1"/>
  <c r="AK2140" i="1"/>
  <c r="AJ2140" i="1"/>
  <c r="AL2140" i="1" s="1"/>
  <c r="AP2140" i="1" s="1"/>
  <c r="AJ2062" i="1"/>
  <c r="AL2062" i="1" s="1"/>
  <c r="AP2062" i="1" s="1"/>
  <c r="AK2062" i="1"/>
  <c r="AK2063" i="1" s="1"/>
  <c r="AQ2062" i="1"/>
  <c r="AQ2063" i="1" s="1"/>
  <c r="AQ1990" i="1"/>
  <c r="AQ1983" i="1"/>
  <c r="AQ1984" i="1" s="1"/>
  <c r="AJ1983" i="1"/>
  <c r="AL1983" i="1" s="1"/>
  <c r="AP1983" i="1" s="1"/>
  <c r="AK1983" i="1"/>
  <c r="AK1984" i="1" s="1"/>
  <c r="AQ1976" i="1"/>
  <c r="AQ1937" i="1"/>
  <c r="AK1937" i="1"/>
  <c r="AJ1937" i="1"/>
  <c r="AL1937" i="1" s="1"/>
  <c r="AP1937" i="1" s="1"/>
  <c r="AQ1924" i="1"/>
  <c r="AQ1925" i="1" s="1"/>
  <c r="AJ1924" i="1"/>
  <c r="AK1924" i="1"/>
  <c r="AK1925" i="1" s="1"/>
  <c r="AQ1905" i="1"/>
  <c r="AQ1906" i="1" s="1"/>
  <c r="AQ1877" i="1"/>
  <c r="AQ1878" i="1" s="1"/>
  <c r="AJ1877" i="1"/>
  <c r="AL1877" i="1" s="1"/>
  <c r="AP1877" i="1" s="1"/>
  <c r="AK1877" i="1"/>
  <c r="AK1878" i="1" s="1"/>
  <c r="AK1858" i="1"/>
  <c r="AK1859" i="1" s="1"/>
  <c r="AQ1858" i="1"/>
  <c r="AQ1859" i="1" s="1"/>
  <c r="AJ1858" i="1"/>
  <c r="AQ1754" i="1"/>
  <c r="AQ1755" i="1" s="1"/>
  <c r="AJ1754" i="1"/>
  <c r="AK1754" i="1"/>
  <c r="AK1755" i="1" s="1"/>
  <c r="AK1710" i="1"/>
  <c r="AK1711" i="1" s="1"/>
  <c r="AK1712" i="1" s="1"/>
  <c r="AQ1710" i="1"/>
  <c r="AQ1711" i="1" s="1"/>
  <c r="AQ1712" i="1" s="1"/>
  <c r="AJ1710" i="1"/>
  <c r="AL1710" i="1" s="1"/>
  <c r="AP1710" i="1" s="1"/>
  <c r="AQ1704" i="1"/>
  <c r="AQ1705" i="1" s="1"/>
  <c r="AQ1706" i="1" s="1"/>
  <c r="AQ1707" i="1" s="1"/>
  <c r="AQ1708" i="1" s="1"/>
  <c r="AQ1709" i="1" s="1"/>
  <c r="AJ1678" i="1"/>
  <c r="AQ1678" i="1"/>
  <c r="AQ1679" i="1" s="1"/>
  <c r="AK1678" i="1"/>
  <c r="AK1679" i="1" s="1"/>
  <c r="AQ1633" i="1"/>
  <c r="AJ1633" i="1"/>
  <c r="AL1633" i="1" s="1"/>
  <c r="AP1633" i="1" s="1"/>
  <c r="AK1633" i="1"/>
  <c r="AQ1626" i="1"/>
  <c r="AK1626" i="1"/>
  <c r="AJ1626" i="1"/>
  <c r="AL1626" i="1" s="1"/>
  <c r="AP1626" i="1" s="1"/>
  <c r="AQ1577" i="1"/>
  <c r="AQ1578" i="1" s="1"/>
  <c r="AJ1577" i="1"/>
  <c r="AL1577" i="1" s="1"/>
  <c r="AP1577" i="1" s="1"/>
  <c r="AK1577" i="1"/>
  <c r="AK1578" i="1" s="1"/>
  <c r="AQ1526" i="1"/>
  <c r="AQ1527" i="1" s="1"/>
  <c r="AK1526" i="1"/>
  <c r="AK1527" i="1" s="1"/>
  <c r="AJ1526" i="1"/>
  <c r="AQ1502" i="1"/>
  <c r="AQ1464" i="1"/>
  <c r="AQ1465" i="1" s="1"/>
  <c r="AK1464" i="1"/>
  <c r="AK1465" i="1" s="1"/>
  <c r="AJ1464" i="1"/>
  <c r="AQ1409" i="1"/>
  <c r="AJ1409" i="1"/>
  <c r="AL1409" i="1" s="1"/>
  <c r="AP1409" i="1" s="1"/>
  <c r="AK1409" i="1"/>
  <c r="AQ1392" i="1"/>
  <c r="AQ1393" i="1" s="1"/>
  <c r="AQ1354" i="1"/>
  <c r="AQ1355" i="1" s="1"/>
  <c r="AK1354" i="1"/>
  <c r="AK1355" i="1" s="1"/>
  <c r="AJ1354" i="1"/>
  <c r="AJ1299" i="1"/>
  <c r="AL1299" i="1" s="1"/>
  <c r="AP1299" i="1" s="1"/>
  <c r="AK1299" i="1"/>
  <c r="AK1300" i="1" s="1"/>
  <c r="AK1301" i="1" s="1"/>
  <c r="AQ1299" i="1"/>
  <c r="AQ1300" i="1" s="1"/>
  <c r="AQ1301" i="1" s="1"/>
  <c r="AK1214" i="1"/>
  <c r="AK1215" i="1" s="1"/>
  <c r="AJ1214" i="1"/>
  <c r="AL1214" i="1" s="1"/>
  <c r="AP1214" i="1" s="1"/>
  <c r="AQ1214" i="1"/>
  <c r="AQ1215" i="1" s="1"/>
  <c r="AQ1171" i="1"/>
  <c r="AQ1165" i="1"/>
  <c r="AQ1166" i="1" s="1"/>
  <c r="AQ1167" i="1" s="1"/>
  <c r="AQ1098" i="1"/>
  <c r="AQ1099" i="1" s="1"/>
  <c r="AQ1100" i="1" s="1"/>
  <c r="AJ1098" i="1"/>
  <c r="AK1098" i="1"/>
  <c r="AK1099" i="1" s="1"/>
  <c r="AK1100" i="1" s="1"/>
  <c r="AQ1087" i="1"/>
  <c r="AQ1088" i="1" s="1"/>
  <c r="AQ1089" i="1" s="1"/>
  <c r="AQ1090" i="1" s="1"/>
  <c r="AQ1037" i="1"/>
  <c r="AJ1037" i="1"/>
  <c r="AL1037" i="1" s="1"/>
  <c r="AP1037" i="1" s="1"/>
  <c r="AK1037" i="1"/>
  <c r="AJ990" i="1"/>
  <c r="AL990" i="1" s="1"/>
  <c r="AP990" i="1" s="1"/>
  <c r="AQ990" i="1"/>
  <c r="AK990" i="1"/>
  <c r="AK894" i="1"/>
  <c r="AJ894" i="1"/>
  <c r="AL894" i="1" s="1"/>
  <c r="AP894" i="1" s="1"/>
  <c r="AQ894" i="1"/>
  <c r="AJ878" i="1"/>
  <c r="AL878" i="1" s="1"/>
  <c r="AP878" i="1" s="1"/>
  <c r="AK878" i="1"/>
  <c r="AK879" i="1" s="1"/>
  <c r="AQ878" i="1"/>
  <c r="AQ879" i="1" s="1"/>
  <c r="AQ2283" i="1"/>
  <c r="AQ2284" i="1" s="1"/>
  <c r="AK2283" i="1"/>
  <c r="AK2284" i="1" s="1"/>
  <c r="AJ2283" i="1"/>
  <c r="AL2283" i="1" s="1"/>
  <c r="AP2283" i="1" s="1"/>
  <c r="AQ2207" i="1"/>
  <c r="AK2165" i="1"/>
  <c r="AK2166" i="1" s="1"/>
  <c r="AK2167" i="1" s="1"/>
  <c r="AJ2165" i="1"/>
  <c r="AL2165" i="1" s="1"/>
  <c r="AP2165" i="1" s="1"/>
  <c r="AQ2165" i="1"/>
  <c r="AQ2166" i="1" s="1"/>
  <c r="AQ2167" i="1" s="1"/>
  <c r="AQ2153" i="1"/>
  <c r="AQ2146" i="1"/>
  <c r="AQ2101" i="1"/>
  <c r="AQ2049" i="1"/>
  <c r="AQ2050" i="1" s="1"/>
  <c r="AJ2049" i="1"/>
  <c r="AK2049" i="1"/>
  <c r="AK2050" i="1" s="1"/>
  <c r="AQ2015" i="1"/>
  <c r="AK2015" i="1"/>
  <c r="AJ2015" i="1"/>
  <c r="AL2015" i="1" s="1"/>
  <c r="AP2015" i="1" s="1"/>
  <c r="AQ1969" i="1"/>
  <c r="AQ1970" i="1" s="1"/>
  <c r="AQ1971" i="1" s="1"/>
  <c r="AK1969" i="1"/>
  <c r="AK1970" i="1" s="1"/>
  <c r="AK1971" i="1" s="1"/>
  <c r="AJ1969" i="1"/>
  <c r="AL1969" i="1" s="1"/>
  <c r="AP1969" i="1" s="1"/>
  <c r="AJ1949" i="1"/>
  <c r="AK1949" i="1"/>
  <c r="AK1950" i="1" s="1"/>
  <c r="AQ1949" i="1"/>
  <c r="AQ1950" i="1" s="1"/>
  <c r="AQ1832" i="1"/>
  <c r="AQ1833" i="1" s="1"/>
  <c r="AK1832" i="1"/>
  <c r="AK1833" i="1" s="1"/>
  <c r="AJ1832" i="1"/>
  <c r="AQ1825" i="1"/>
  <c r="AK1825" i="1"/>
  <c r="AJ1825" i="1"/>
  <c r="AL1825" i="1" s="1"/>
  <c r="AP1825" i="1" s="1"/>
  <c r="AJ1773" i="1"/>
  <c r="AK1773" i="1"/>
  <c r="AK1774" i="1" s="1"/>
  <c r="AK1775" i="1" s="1"/>
  <c r="AQ1773" i="1"/>
  <c r="AQ1774" i="1" s="1"/>
  <c r="AQ1775" i="1" s="1"/>
  <c r="AJ1767" i="1"/>
  <c r="AL1767" i="1" s="1"/>
  <c r="AP1767" i="1" s="1"/>
  <c r="AK1767" i="1"/>
  <c r="AQ1767" i="1"/>
  <c r="AQ1716" i="1"/>
  <c r="AQ1717" i="1" s="1"/>
  <c r="AJ1716" i="1"/>
  <c r="AK1716" i="1"/>
  <c r="AK1717" i="1" s="1"/>
  <c r="AQ1684" i="1"/>
  <c r="AQ1685" i="1" s="1"/>
  <c r="AQ1671" i="1"/>
  <c r="AQ1672" i="1" s="1"/>
  <c r="AQ1673" i="1" s="1"/>
  <c r="AJ1589" i="1"/>
  <c r="AL1589" i="1" s="1"/>
  <c r="AP1589" i="1" s="1"/>
  <c r="AQ1589" i="1"/>
  <c r="AQ1590" i="1" s="1"/>
  <c r="AK1589" i="1"/>
  <c r="AK1590" i="1" s="1"/>
  <c r="AQ1583" i="1"/>
  <c r="AQ1584" i="1" s="1"/>
  <c r="AJ1583" i="1"/>
  <c r="AL1583" i="1" s="1"/>
  <c r="AP1583" i="1" s="1"/>
  <c r="AK1583" i="1"/>
  <c r="AK1584" i="1" s="1"/>
  <c r="AJ1557" i="1"/>
  <c r="AL1557" i="1" s="1"/>
  <c r="AP1557" i="1" s="1"/>
  <c r="AK1557" i="1"/>
  <c r="AQ1557" i="1"/>
  <c r="AQ1532" i="1"/>
  <c r="AQ1533" i="1" s="1"/>
  <c r="AK1532" i="1"/>
  <c r="AK1533" i="1" s="1"/>
  <c r="AJ1532" i="1"/>
  <c r="AQ1519" i="1"/>
  <c r="AQ1520" i="1" s="1"/>
  <c r="AK1507" i="1"/>
  <c r="AJ1507" i="1"/>
  <c r="AL1507" i="1" s="1"/>
  <c r="AP1507" i="1" s="1"/>
  <c r="AQ1507" i="1"/>
  <c r="AQ1433" i="1"/>
  <c r="AQ1434" i="1" s="1"/>
  <c r="AJ1433" i="1"/>
  <c r="AK1433" i="1"/>
  <c r="AK1434" i="1" s="1"/>
  <c r="AQ1378" i="1"/>
  <c r="AQ1360" i="1"/>
  <c r="AQ1361" i="1" s="1"/>
  <c r="AJ1360" i="1"/>
  <c r="AL1360" i="1" s="1"/>
  <c r="AP1360" i="1" s="1"/>
  <c r="AK1360" i="1"/>
  <c r="AK1361" i="1" s="1"/>
  <c r="AQ1323" i="1"/>
  <c r="AQ1317" i="1"/>
  <c r="AQ1318" i="1" s="1"/>
  <c r="AQ1319" i="1" s="1"/>
  <c r="AQ1305" i="1"/>
  <c r="AQ1306" i="1" s="1"/>
  <c r="AK1305" i="1"/>
  <c r="AK1306" i="1" s="1"/>
  <c r="AJ1305" i="1"/>
  <c r="AL1305" i="1" s="1"/>
  <c r="AP1305" i="1" s="1"/>
  <c r="AQ1287" i="1"/>
  <c r="AQ1238" i="1"/>
  <c r="AK1238" i="1"/>
  <c r="AJ1238" i="1"/>
  <c r="AL1238" i="1" s="1"/>
  <c r="AP1238" i="1" s="1"/>
  <c r="AQ1195" i="1"/>
  <c r="AQ1196" i="1" s="1"/>
  <c r="AQ1189" i="1"/>
  <c r="AQ1190" i="1" s="1"/>
  <c r="AQ1191" i="1" s="1"/>
  <c r="AQ1192" i="1" s="1"/>
  <c r="AQ1177" i="1"/>
  <c r="AQ1178" i="1" s="1"/>
  <c r="AK1177" i="1"/>
  <c r="AK1178" i="1" s="1"/>
  <c r="AJ1177" i="1"/>
  <c r="AK1159" i="1"/>
  <c r="AK1160" i="1" s="1"/>
  <c r="AK1161" i="1" s="1"/>
  <c r="AQ1159" i="1"/>
  <c r="AQ1160" i="1" s="1"/>
  <c r="AQ1161" i="1" s="1"/>
  <c r="AJ1159" i="1"/>
  <c r="AL1159" i="1" s="1"/>
  <c r="AP1159" i="1" s="1"/>
  <c r="AJ1122" i="1"/>
  <c r="AQ1122" i="1"/>
  <c r="AQ1123" i="1" s="1"/>
  <c r="AK1122" i="1"/>
  <c r="AK1123" i="1" s="1"/>
  <c r="AQ1104" i="1"/>
  <c r="AQ1105" i="1" s="1"/>
  <c r="AQ1106" i="1" s="1"/>
  <c r="AJ1104" i="1"/>
  <c r="AL1104" i="1" s="1"/>
  <c r="AP1104" i="1" s="1"/>
  <c r="AK1104" i="1"/>
  <c r="AK1105" i="1" s="1"/>
  <c r="AK1106" i="1" s="1"/>
  <c r="AQ1067" i="1"/>
  <c r="AJ1031" i="1"/>
  <c r="AL1031" i="1" s="1"/>
  <c r="AP1031" i="1" s="1"/>
  <c r="AQ1031" i="1"/>
  <c r="AQ1032" i="1" s="1"/>
  <c r="AK1031" i="1"/>
  <c r="AK1032" i="1" s="1"/>
  <c r="AQ995" i="1"/>
  <c r="AQ996" i="1" s="1"/>
  <c r="AQ997" i="1" s="1"/>
  <c r="AQ998" i="1" s="1"/>
  <c r="AJ979" i="1"/>
  <c r="AL979" i="1" s="1"/>
  <c r="AP979" i="1" s="1"/>
  <c r="AQ979" i="1"/>
  <c r="AQ980" i="1" s="1"/>
  <c r="AK979" i="1"/>
  <c r="AK980" i="1" s="1"/>
  <c r="AQ947" i="1"/>
  <c r="AQ948" i="1" s="1"/>
  <c r="AQ931" i="1"/>
  <c r="AQ915" i="1"/>
  <c r="AQ899" i="1"/>
  <c r="AJ867" i="1"/>
  <c r="AL867" i="1" s="1"/>
  <c r="AP867" i="1" s="1"/>
  <c r="AK867" i="1"/>
  <c r="AK868" i="1" s="1"/>
  <c r="AQ867" i="1"/>
  <c r="AQ868" i="1" s="1"/>
  <c r="AQ2337" i="1"/>
  <c r="AJ2337" i="1"/>
  <c r="AL2337" i="1" s="1"/>
  <c r="AP2337" i="1" s="1"/>
  <c r="AK2337" i="1"/>
  <c r="AQ2384" i="1"/>
  <c r="AO2384" i="1"/>
  <c r="AS2384" i="1" s="1"/>
  <c r="AR2384" i="1"/>
  <c r="BU2384" i="1" s="1"/>
  <c r="AJ2384" i="1"/>
  <c r="AK2384" i="1"/>
  <c r="AP2384" i="1"/>
  <c r="AQ1730" i="1"/>
  <c r="AQ1731" i="1" s="1"/>
  <c r="AQ1732" i="1" s="1"/>
  <c r="AJ1730" i="1"/>
  <c r="AK1730" i="1"/>
  <c r="AK1731" i="1" s="1"/>
  <c r="AK1732" i="1" s="1"/>
  <c r="AQ1471" i="1"/>
  <c r="AK1471" i="1"/>
  <c r="AJ1471" i="1"/>
  <c r="AL1471" i="1" s="1"/>
  <c r="AP1471" i="1" s="1"/>
  <c r="AK1373" i="1"/>
  <c r="AK1374" i="1" s="1"/>
  <c r="AJ1373" i="1"/>
  <c r="AL1373" i="1" s="1"/>
  <c r="AP1373" i="1" s="1"/>
  <c r="AQ1373" i="1"/>
  <c r="AQ1374" i="1" s="1"/>
  <c r="AQ1324" i="1"/>
  <c r="AQ1325" i="1" s="1"/>
  <c r="AK1324" i="1"/>
  <c r="AK1325" i="1" s="1"/>
  <c r="AJ1324" i="1"/>
  <c r="AK964" i="1"/>
  <c r="AK965" i="1" s="1"/>
  <c r="AQ964" i="1"/>
  <c r="AQ965" i="1" s="1"/>
  <c r="AJ964" i="1"/>
  <c r="AQ2390" i="1"/>
  <c r="AQ2391" i="1" s="1"/>
  <c r="AQ2392" i="1" s="1"/>
  <c r="AJ2390" i="1"/>
  <c r="AK2390" i="1"/>
  <c r="AK2391" i="1" s="1"/>
  <c r="AK2392" i="1" s="1"/>
  <c r="AQ2352" i="1"/>
  <c r="AQ2353" i="1" s="1"/>
  <c r="AQ2354" i="1" s="1"/>
  <c r="AJ2352" i="1"/>
  <c r="AL2352" i="1" s="1"/>
  <c r="AP2352" i="1" s="1"/>
  <c r="AK2352" i="1"/>
  <c r="AK2353" i="1" s="1"/>
  <c r="AK2354" i="1" s="1"/>
  <c r="AQ2427" i="1"/>
  <c r="AQ2421" i="1"/>
  <c r="AQ2422" i="1" s="1"/>
  <c r="AQ2423" i="1" s="1"/>
  <c r="AQ2377" i="1"/>
  <c r="AK2377" i="1"/>
  <c r="AJ2377" i="1"/>
  <c r="AL2377" i="1" s="1"/>
  <c r="AP2377" i="1" s="1"/>
  <c r="AQ2358" i="1"/>
  <c r="AQ2359" i="1" s="1"/>
  <c r="AJ2252" i="1"/>
  <c r="AQ2252" i="1"/>
  <c r="AQ2253" i="1" s="1"/>
  <c r="AQ2254" i="1" s="1"/>
  <c r="AK2252" i="1"/>
  <c r="AK2253" i="1" s="1"/>
  <c r="AK2254" i="1" s="1"/>
  <c r="AQ2408" i="1"/>
  <c r="AQ2409" i="1" s="1"/>
  <c r="AJ2408" i="1"/>
  <c r="AL2408" i="1" s="1"/>
  <c r="AP2408" i="1" s="1"/>
  <c r="AK2408" i="1"/>
  <c r="AK2409" i="1" s="1"/>
  <c r="AK2189" i="1"/>
  <c r="AJ2189" i="1"/>
  <c r="AL2189" i="1" s="1"/>
  <c r="AP2189" i="1" s="1"/>
  <c r="AQ2189" i="1"/>
  <c r="AQ2028" i="1"/>
  <c r="AQ1995" i="1"/>
  <c r="AQ1996" i="1" s="1"/>
  <c r="AQ1936" i="1"/>
  <c r="AK1936" i="1"/>
  <c r="AJ1936" i="1"/>
  <c r="AL1936" i="1" s="1"/>
  <c r="AP1936" i="1" s="1"/>
  <c r="AQ1883" i="1"/>
  <c r="AK1883" i="1"/>
  <c r="AJ1883" i="1"/>
  <c r="AL1883" i="1" s="1"/>
  <c r="AP1883" i="1" s="1"/>
  <c r="AJ1870" i="1"/>
  <c r="AL1870" i="1" s="1"/>
  <c r="AP1870" i="1" s="1"/>
  <c r="AK1870" i="1"/>
  <c r="AQ1870" i="1"/>
  <c r="AQ1844" i="1"/>
  <c r="AQ1845" i="1" s="1"/>
  <c r="AQ1846" i="1" s="1"/>
  <c r="AK1844" i="1"/>
  <c r="AK1845" i="1" s="1"/>
  <c r="AK1846" i="1" s="1"/>
  <c r="AJ1844" i="1"/>
  <c r="AQ1760" i="1"/>
  <c r="AJ1760" i="1"/>
  <c r="AL1760" i="1" s="1"/>
  <c r="AP1760" i="1" s="1"/>
  <c r="AK1760" i="1"/>
  <c r="AQ1696" i="1"/>
  <c r="AQ1697" i="1" s="1"/>
  <c r="AK1696" i="1"/>
  <c r="AK1697" i="1" s="1"/>
  <c r="AJ1696" i="1"/>
  <c r="AK1613" i="1"/>
  <c r="AK1614" i="1" s="1"/>
  <c r="AK1615" i="1" s="1"/>
  <c r="AJ1613" i="1"/>
  <c r="AQ1613" i="1"/>
  <c r="AQ1614" i="1" s="1"/>
  <c r="AQ1615" i="1" s="1"/>
  <c r="AQ1563" i="1"/>
  <c r="AK1563" i="1"/>
  <c r="AJ1563" i="1"/>
  <c r="AL1563" i="1" s="1"/>
  <c r="AP1563" i="1" s="1"/>
  <c r="AQ1469" i="1"/>
  <c r="AQ1470" i="1" s="1"/>
  <c r="AK1134" i="1"/>
  <c r="AK1135" i="1" s="1"/>
  <c r="AJ1134" i="1"/>
  <c r="AQ1134" i="1"/>
  <c r="AQ1135" i="1" s="1"/>
  <c r="AJ904" i="1"/>
  <c r="AL904" i="1" s="1"/>
  <c r="AP904" i="1" s="1"/>
  <c r="AQ888" i="1"/>
  <c r="AJ888" i="1"/>
  <c r="AL888" i="1" s="1"/>
  <c r="AP888" i="1" s="1"/>
  <c r="AK888" i="1"/>
  <c r="AK2307" i="1"/>
  <c r="AJ2307" i="1"/>
  <c r="AL2307" i="1" s="1"/>
  <c r="AP2307" i="1" s="1"/>
  <c r="AQ2307" i="1"/>
  <c r="AQ2296" i="1"/>
  <c r="AQ2232" i="1"/>
  <c r="AQ2233" i="1" s="1"/>
  <c r="AJ2232" i="1"/>
  <c r="AL2232" i="1" s="1"/>
  <c r="AP2232" i="1" s="1"/>
  <c r="AK2232" i="1"/>
  <c r="AK2233" i="1" s="1"/>
  <c r="AQ2158" i="1"/>
  <c r="AQ2159" i="1" s="1"/>
  <c r="AJ2152" i="1"/>
  <c r="AL2152" i="1" s="1"/>
  <c r="AP2152" i="1" s="1"/>
  <c r="AK2152" i="1"/>
  <c r="AQ2139" i="1"/>
  <c r="AK2139" i="1"/>
  <c r="AJ2139" i="1"/>
  <c r="AL2139" i="1" s="1"/>
  <c r="AP2139" i="1" s="1"/>
  <c r="AJ2126" i="1"/>
  <c r="AQ2126" i="1"/>
  <c r="AQ2127" i="1" s="1"/>
  <c r="AK2126" i="1"/>
  <c r="AK2127" i="1" s="1"/>
  <c r="AQ2120" i="1"/>
  <c r="AQ2121" i="1" s="1"/>
  <c r="AJ2120" i="1"/>
  <c r="AK2120" i="1"/>
  <c r="AK2121" i="1" s="1"/>
  <c r="AQ2034" i="1"/>
  <c r="AQ2035" i="1" s="1"/>
  <c r="AQ2036" i="1" s="1"/>
  <c r="AK2034" i="1"/>
  <c r="AK2035" i="1" s="1"/>
  <c r="AK2036" i="1" s="1"/>
  <c r="AJ2034" i="1"/>
  <c r="AL2034" i="1" s="1"/>
  <c r="AP2034" i="1" s="1"/>
  <c r="AJ2014" i="1"/>
  <c r="AL2014" i="1" s="1"/>
  <c r="AP2014" i="1" s="1"/>
  <c r="AK2014" i="1"/>
  <c r="AQ2014" i="1"/>
  <c r="AQ1988" i="1"/>
  <c r="AJ1988" i="1"/>
  <c r="AL1988" i="1" s="1"/>
  <c r="AP1988" i="1" s="1"/>
  <c r="AK1988" i="1"/>
  <c r="AQ1923" i="1"/>
  <c r="AQ1916" i="1"/>
  <c r="AQ1917" i="1" s="1"/>
  <c r="AQ1918" i="1" s="1"/>
  <c r="AK1837" i="1"/>
  <c r="AK1838" i="1" s="1"/>
  <c r="AJ1837" i="1"/>
  <c r="AL1837" i="1" s="1"/>
  <c r="AP1837" i="1" s="1"/>
  <c r="AQ1837" i="1"/>
  <c r="AQ1838" i="1" s="1"/>
  <c r="AQ1831" i="1"/>
  <c r="AJ1831" i="1"/>
  <c r="AL1831" i="1" s="1"/>
  <c r="AP1831" i="1" s="1"/>
  <c r="AK1831" i="1"/>
  <c r="AK1811" i="1"/>
  <c r="AJ1811" i="1"/>
  <c r="AL1811" i="1" s="1"/>
  <c r="AP1811" i="1" s="1"/>
  <c r="AQ1811" i="1"/>
  <c r="AQ1798" i="1"/>
  <c r="AQ1799" i="1" s="1"/>
  <c r="AJ1798" i="1"/>
  <c r="AK1798" i="1"/>
  <c r="AK1799" i="1" s="1"/>
  <c r="AQ1792" i="1"/>
  <c r="AQ1793" i="1" s="1"/>
  <c r="AQ1794" i="1" s="1"/>
  <c r="AK1792" i="1"/>
  <c r="AK1793" i="1" s="1"/>
  <c r="AK1794" i="1" s="1"/>
  <c r="AJ1792" i="1"/>
  <c r="AQ1740" i="1"/>
  <c r="AQ1741" i="1" s="1"/>
  <c r="AQ1742" i="1" s="1"/>
  <c r="AK1740" i="1"/>
  <c r="AK1741" i="1" s="1"/>
  <c r="AK1742" i="1" s="1"/>
  <c r="AJ1740" i="1"/>
  <c r="AJ1734" i="1"/>
  <c r="AQ1721" i="1"/>
  <c r="AJ1721" i="1"/>
  <c r="AL1721" i="1" s="1"/>
  <c r="AP1721" i="1" s="1"/>
  <c r="AK1721" i="1"/>
  <c r="AQ1664" i="1"/>
  <c r="AQ1665" i="1" s="1"/>
  <c r="AJ1664" i="1"/>
  <c r="AK1664" i="1"/>
  <c r="AK1665" i="1" s="1"/>
  <c r="AK1651" i="1"/>
  <c r="AK1652" i="1" s="1"/>
  <c r="AJ1651" i="1"/>
  <c r="AL1651" i="1" s="1"/>
  <c r="AP1651" i="1" s="1"/>
  <c r="AQ1651" i="1"/>
  <c r="AQ1652" i="1" s="1"/>
  <c r="AQ1625" i="1"/>
  <c r="AK1625" i="1"/>
  <c r="AJ1625" i="1"/>
  <c r="AL1625" i="1" s="1"/>
  <c r="AP1625" i="1" s="1"/>
  <c r="AQ1488" i="1"/>
  <c r="AQ1489" i="1" s="1"/>
  <c r="AQ1490" i="1" s="1"/>
  <c r="AQ1491" i="1" s="1"/>
  <c r="AQ1492" i="1" s="1"/>
  <c r="AQ1482" i="1"/>
  <c r="AQ1483" i="1" s="1"/>
  <c r="AQ1484" i="1" s="1"/>
  <c r="AK1482" i="1"/>
  <c r="AK1483" i="1" s="1"/>
  <c r="AK1484" i="1" s="1"/>
  <c r="AJ1482" i="1"/>
  <c r="AQ1463" i="1"/>
  <c r="AJ1463" i="1"/>
  <c r="AL1463" i="1" s="1"/>
  <c r="AP1463" i="1" s="1"/>
  <c r="AK1463" i="1"/>
  <c r="AQ1444" i="1"/>
  <c r="AQ1445" i="1" s="1"/>
  <c r="AK1444" i="1"/>
  <c r="AK1445" i="1" s="1"/>
  <c r="AJ1444" i="1"/>
  <c r="AQ1371" i="1"/>
  <c r="AQ1372" i="1" s="1"/>
  <c r="AJ1371" i="1"/>
  <c r="AL1371" i="1" s="1"/>
  <c r="AP1371" i="1" s="1"/>
  <c r="AK1371" i="1"/>
  <c r="AK1372" i="1" s="1"/>
  <c r="AQ1353" i="1"/>
  <c r="AK1353" i="1"/>
  <c r="AJ1353" i="1"/>
  <c r="AL1353" i="1" s="1"/>
  <c r="AP1353" i="1" s="1"/>
  <c r="AJ1335" i="1"/>
  <c r="AL1335" i="1" s="1"/>
  <c r="AP1335" i="1" s="1"/>
  <c r="AQ1335" i="1"/>
  <c r="AQ1336" i="1" s="1"/>
  <c r="AQ1337" i="1" s="1"/>
  <c r="AK1335" i="1"/>
  <c r="AK1336" i="1" s="1"/>
  <c r="AK1337" i="1" s="1"/>
  <c r="AQ1316" i="1"/>
  <c r="AJ1316" i="1"/>
  <c r="AL1316" i="1" s="1"/>
  <c r="AP1316" i="1" s="1"/>
  <c r="AK1316" i="1"/>
  <c r="AQ1225" i="1"/>
  <c r="AQ1226" i="1" s="1"/>
  <c r="AJ1225" i="1"/>
  <c r="AL1225" i="1" s="1"/>
  <c r="AP1225" i="1" s="1"/>
  <c r="AK1225" i="1"/>
  <c r="AK1226" i="1" s="1"/>
  <c r="AQ1188" i="1"/>
  <c r="AJ1188" i="1"/>
  <c r="AL1188" i="1" s="1"/>
  <c r="AP1188" i="1" s="1"/>
  <c r="AK1188" i="1"/>
  <c r="AQ1152" i="1"/>
  <c r="AQ1153" i="1" s="1"/>
  <c r="AQ1154" i="1" s="1"/>
  <c r="AK1152" i="1"/>
  <c r="AK1153" i="1" s="1"/>
  <c r="AK1154" i="1" s="1"/>
  <c r="AJ1152" i="1"/>
  <c r="AQ1112" i="1"/>
  <c r="AQ1025" i="1"/>
  <c r="AQ974" i="1"/>
  <c r="AQ975" i="1" s="1"/>
  <c r="AQ957" i="1"/>
  <c r="AQ958" i="1" s="1"/>
  <c r="AJ957" i="1"/>
  <c r="AK957" i="1"/>
  <c r="AK958" i="1" s="1"/>
  <c r="AQ909" i="1"/>
  <c r="AQ910" i="1" s="1"/>
  <c r="AJ909" i="1"/>
  <c r="AL909" i="1" s="1"/>
  <c r="AP909" i="1" s="1"/>
  <c r="AK909" i="1"/>
  <c r="AK910" i="1" s="1"/>
  <c r="AK893" i="1"/>
  <c r="AQ893" i="1"/>
  <c r="AJ893" i="1"/>
  <c r="AL893" i="1" s="1"/>
  <c r="AP893" i="1" s="1"/>
  <c r="AP1648" i="1"/>
  <c r="AJ2355" i="1"/>
  <c r="AL2355" i="1" s="1"/>
  <c r="AP2355" i="1" s="1"/>
  <c r="AK2355" i="1"/>
  <c r="AQ2355" i="1"/>
  <c r="AQ2262" i="1"/>
  <c r="AJ2262" i="1"/>
  <c r="AL2262" i="1" s="1"/>
  <c r="AP2262" i="1" s="1"/>
  <c r="AK2262" i="1"/>
  <c r="AQ2130" i="1"/>
  <c r="AK2130" i="1"/>
  <c r="AJ2130" i="1"/>
  <c r="AL2130" i="1" s="1"/>
  <c r="AP2130" i="1" s="1"/>
  <c r="AK2365" i="1"/>
  <c r="AQ2365" i="1"/>
  <c r="AJ2365" i="1"/>
  <c r="AL2365" i="1" s="1"/>
  <c r="AP2365" i="1" s="1"/>
  <c r="AQ2191" i="1"/>
  <c r="AJ2191" i="1"/>
  <c r="AL2191" i="1" s="1"/>
  <c r="AP2191" i="1" s="1"/>
  <c r="AK2191" i="1"/>
  <c r="AQ2160" i="1"/>
  <c r="AQ2161" i="1" s="1"/>
  <c r="AJ2160" i="1"/>
  <c r="AL2160" i="1" s="1"/>
  <c r="AP2160" i="1" s="1"/>
  <c r="AK2160" i="1"/>
  <c r="AK2161" i="1" s="1"/>
  <c r="AJ1653" i="1"/>
  <c r="AL1653" i="1" s="1"/>
  <c r="AP1653" i="1" s="1"/>
  <c r="AQ1653" i="1"/>
  <c r="AQ1654" i="1" s="1"/>
  <c r="AK1653" i="1"/>
  <c r="AK1654" i="1" s="1"/>
  <c r="AQ1627" i="1"/>
  <c r="AK1627" i="1"/>
  <c r="AJ1627" i="1"/>
  <c r="AL1627" i="1" s="1"/>
  <c r="AP1627" i="1" s="1"/>
  <c r="AQ1508" i="1"/>
  <c r="AJ1508" i="1"/>
  <c r="AL1508" i="1" s="1"/>
  <c r="AP1508" i="1" s="1"/>
  <c r="AK1508" i="1"/>
  <c r="AQ1416" i="1"/>
  <c r="AQ1417" i="1" s="1"/>
  <c r="AQ1418" i="1" s="1"/>
  <c r="AK1416" i="1"/>
  <c r="AK1417" i="1" s="1"/>
  <c r="AK1418" i="1" s="1"/>
  <c r="AJ1416" i="1"/>
  <c r="AJ1306" i="1"/>
  <c r="AL1306" i="1" s="1"/>
  <c r="AP1306" i="1" s="1"/>
  <c r="AQ900" i="1"/>
  <c r="AQ901" i="1" s="1"/>
  <c r="AJ900" i="1"/>
  <c r="AL900" i="1" s="1"/>
  <c r="AP900" i="1" s="1"/>
  <c r="AK900" i="1"/>
  <c r="AK901" i="1" s="1"/>
  <c r="AQ2339" i="1"/>
  <c r="AJ2339" i="1"/>
  <c r="AL2339" i="1" s="1"/>
  <c r="AP2339" i="1" s="1"/>
  <c r="AK2339" i="1"/>
  <c r="AQ2332" i="1"/>
  <c r="AQ2333" i="1" s="1"/>
  <c r="AQ2334" i="1" s="1"/>
  <c r="AQ2264" i="1"/>
  <c r="AQ2265" i="1" s="1"/>
  <c r="AJ2264" i="1"/>
  <c r="AK2264" i="1"/>
  <c r="AK2265" i="1" s="1"/>
  <c r="AQ2238" i="1"/>
  <c r="AQ2239" i="1" s="1"/>
  <c r="AQ2132" i="1"/>
  <c r="AQ2133" i="1" s="1"/>
  <c r="AQ2134" i="1" s="1"/>
  <c r="AQ2135" i="1" s="1"/>
  <c r="AQ2113" i="1"/>
  <c r="AJ2113" i="1"/>
  <c r="AL2113" i="1" s="1"/>
  <c r="AP2113" i="1" s="1"/>
  <c r="AK2113" i="1"/>
  <c r="AQ2041" i="1"/>
  <c r="AQ2042" i="1" s="1"/>
  <c r="AK2041" i="1"/>
  <c r="AK2042" i="1" s="1"/>
  <c r="AJ2041" i="1"/>
  <c r="AL2041" i="1" s="1"/>
  <c r="AP2041" i="1" s="1"/>
  <c r="AQ2021" i="1"/>
  <c r="AQ2022" i="1" s="1"/>
  <c r="AQ2023" i="1" s="1"/>
  <c r="AQ2024" i="1" s="1"/>
  <c r="AQ2001" i="1"/>
  <c r="AQ2002" i="1" s="1"/>
  <c r="AQ1968" i="1"/>
  <c r="AQ1889" i="1"/>
  <c r="AQ1890" i="1" s="1"/>
  <c r="AQ1891" i="1" s="1"/>
  <c r="AK1889" i="1"/>
  <c r="AK1890" i="1" s="1"/>
  <c r="AK1891" i="1" s="1"/>
  <c r="AJ1889" i="1"/>
  <c r="AK1843" i="1"/>
  <c r="AQ1843" i="1"/>
  <c r="AJ1843" i="1"/>
  <c r="AL1843" i="1" s="1"/>
  <c r="AP1843" i="1" s="1"/>
  <c r="AQ1695" i="1"/>
  <c r="AJ1695" i="1"/>
  <c r="AL1695" i="1" s="1"/>
  <c r="AP1695" i="1" s="1"/>
  <c r="AK1695" i="1"/>
  <c r="AQ1606" i="1"/>
  <c r="AQ1607" i="1" s="1"/>
  <c r="AJ1606" i="1"/>
  <c r="AK1606" i="1"/>
  <c r="AK1607" i="1" s="1"/>
  <c r="AQ1582" i="1"/>
  <c r="AQ1556" i="1"/>
  <c r="AK1550" i="1"/>
  <c r="AK1551" i="1" s="1"/>
  <c r="AJ1550" i="1"/>
  <c r="AQ1550" i="1"/>
  <c r="AQ1551" i="1" s="1"/>
  <c r="AQ1537" i="1"/>
  <c r="AQ1538" i="1" s="1"/>
  <c r="AQ1539" i="1" s="1"/>
  <c r="AQ1540" i="1" s="1"/>
  <c r="AQ1541" i="1" s="1"/>
  <c r="AQ1524" i="1"/>
  <c r="AQ1525" i="1" s="1"/>
  <c r="AK1524" i="1"/>
  <c r="AK1525" i="1" s="1"/>
  <c r="AJ1524" i="1"/>
  <c r="AL1524" i="1" s="1"/>
  <c r="AP1524" i="1" s="1"/>
  <c r="AK1438" i="1"/>
  <c r="AK1439" i="1" s="1"/>
  <c r="AJ1438" i="1"/>
  <c r="AQ1438" i="1"/>
  <c r="AQ1439" i="1" s="1"/>
  <c r="AQ1359" i="1"/>
  <c r="AJ1359" i="1"/>
  <c r="AL1359" i="1" s="1"/>
  <c r="AP1359" i="1" s="1"/>
  <c r="AK1359" i="1"/>
  <c r="AQ1310" i="1"/>
  <c r="AQ1311" i="1" s="1"/>
  <c r="AQ1261" i="1"/>
  <c r="AQ1262" i="1" s="1"/>
  <c r="AQ1263" i="1" s="1"/>
  <c r="AQ1231" i="1"/>
  <c r="AQ1232" i="1" s="1"/>
  <c r="AK1182" i="1"/>
  <c r="AK1183" i="1" s="1"/>
  <c r="AJ1182" i="1"/>
  <c r="AQ1182" i="1"/>
  <c r="AQ1183" i="1" s="1"/>
  <c r="AJ1133" i="1"/>
  <c r="AL1133" i="1" s="1"/>
  <c r="AP1133" i="1" s="1"/>
  <c r="AK1133" i="1"/>
  <c r="AQ1133" i="1"/>
  <c r="AK1054" i="1"/>
  <c r="AK1055" i="1" s="1"/>
  <c r="AJ1054" i="1"/>
  <c r="AL1054" i="1" s="1"/>
  <c r="AP1054" i="1" s="1"/>
  <c r="AQ1054" i="1"/>
  <c r="AQ1055" i="1" s="1"/>
  <c r="AQ1900" i="1"/>
  <c r="AJ1900" i="1"/>
  <c r="AL1900" i="1" s="1"/>
  <c r="AP1900" i="1" s="1"/>
  <c r="AK1900" i="1"/>
  <c r="AJ2394" i="1"/>
  <c r="AL2394" i="1" s="1"/>
  <c r="AP2394" i="1" s="1"/>
  <c r="AK2394" i="1"/>
  <c r="AJ2388" i="1"/>
  <c r="AQ2388" i="1"/>
  <c r="AQ2389" i="1" s="1"/>
  <c r="AK2388" i="1"/>
  <c r="AK2389" i="1" s="1"/>
  <c r="AQ2381" i="1"/>
  <c r="AJ2381" i="1"/>
  <c r="AL2381" i="1" s="1"/>
  <c r="AP2381" i="1" s="1"/>
  <c r="AK2381" i="1"/>
  <c r="AQ2344" i="1"/>
  <c r="AQ2345" i="1" s="1"/>
  <c r="AK2344" i="1"/>
  <c r="AK2345" i="1" s="1"/>
  <c r="AJ2344" i="1"/>
  <c r="AJ2325" i="1"/>
  <c r="AL2325" i="1" s="1"/>
  <c r="AP2325" i="1" s="1"/>
  <c r="AQ2325" i="1"/>
  <c r="AQ2326" i="1" s="1"/>
  <c r="AK2325" i="1"/>
  <c r="AK2326" i="1" s="1"/>
  <c r="AQ2300" i="1"/>
  <c r="AQ2301" i="1" s="1"/>
  <c r="AQ2302" i="1" s="1"/>
  <c r="AJ2300" i="1"/>
  <c r="AK2300" i="1"/>
  <c r="AK2301" i="1" s="1"/>
  <c r="AK2302" i="1" s="1"/>
  <c r="AQ2257" i="1"/>
  <c r="AJ2257" i="1"/>
  <c r="AL2257" i="1" s="1"/>
  <c r="AP2257" i="1" s="1"/>
  <c r="AK2257" i="1"/>
  <c r="AJ2244" i="1"/>
  <c r="AQ2244" i="1"/>
  <c r="AQ2245" i="1" s="1"/>
  <c r="AQ2246" i="1" s="1"/>
  <c r="AK2244" i="1"/>
  <c r="AK2245" i="1" s="1"/>
  <c r="AK2246" i="1" s="1"/>
  <c r="AQ2099" i="1"/>
  <c r="AQ2100" i="1" s="1"/>
  <c r="AQ2079" i="1"/>
  <c r="AQ2080" i="1" s="1"/>
  <c r="AQ2081" i="1" s="1"/>
  <c r="AJ2079" i="1"/>
  <c r="AK2079" i="1"/>
  <c r="AK2080" i="1" s="1"/>
  <c r="AK2081" i="1" s="1"/>
  <c r="AQ1875" i="1"/>
  <c r="AQ1876" i="1" s="1"/>
  <c r="AQ1862" i="1"/>
  <c r="AQ1863" i="1" s="1"/>
  <c r="AQ1864" i="1" s="1"/>
  <c r="AQ1865" i="1" s="1"/>
  <c r="AQ1714" i="1"/>
  <c r="AQ1715" i="1" s="1"/>
  <c r="AQ1702" i="1"/>
  <c r="AJ1702" i="1"/>
  <c r="AL1702" i="1" s="1"/>
  <c r="AP1702" i="1" s="1"/>
  <c r="AK1702" i="1"/>
  <c r="AJ1638" i="1"/>
  <c r="AQ1638" i="1"/>
  <c r="AQ1639" i="1" s="1"/>
  <c r="AQ1640" i="1" s="1"/>
  <c r="AK1638" i="1"/>
  <c r="AK1639" i="1" s="1"/>
  <c r="AK1640" i="1" s="1"/>
  <c r="AQ1624" i="1"/>
  <c r="AK1624" i="1"/>
  <c r="AJ1624" i="1"/>
  <c r="AL1624" i="1" s="1"/>
  <c r="AP1624" i="1" s="1"/>
  <c r="AQ1512" i="1"/>
  <c r="AK1512" i="1"/>
  <c r="AJ1512" i="1"/>
  <c r="AL1512" i="1" s="1"/>
  <c r="AP1512" i="1" s="1"/>
  <c r="AK1493" i="1"/>
  <c r="AK1494" i="1" s="1"/>
  <c r="AK1495" i="1" s="1"/>
  <c r="AJ1493" i="1"/>
  <c r="AL1493" i="1" s="1"/>
  <c r="AP1493" i="1" s="1"/>
  <c r="AQ1493" i="1"/>
  <c r="AQ1494" i="1" s="1"/>
  <c r="AQ1495" i="1" s="1"/>
  <c r="AQ1456" i="1"/>
  <c r="AK1456" i="1"/>
  <c r="AJ1456" i="1"/>
  <c r="AL1456" i="1" s="1"/>
  <c r="AP1456" i="1" s="1"/>
  <c r="AQ1419" i="1"/>
  <c r="AJ1419" i="1"/>
  <c r="AL1419" i="1" s="1"/>
  <c r="AP1419" i="1" s="1"/>
  <c r="AK1419" i="1"/>
  <c r="AJ1413" i="1"/>
  <c r="AQ1401" i="1"/>
  <c r="AQ1402" i="1" s="1"/>
  <c r="AQ1383" i="1"/>
  <c r="AQ1384" i="1" s="1"/>
  <c r="AJ1383" i="1"/>
  <c r="AL1383" i="1" s="1"/>
  <c r="AP1383" i="1" s="1"/>
  <c r="AK1383" i="1"/>
  <c r="AK1384" i="1" s="1"/>
  <c r="AQ1328" i="1"/>
  <c r="AJ1328" i="1"/>
  <c r="AL1328" i="1" s="1"/>
  <c r="AP1328" i="1" s="1"/>
  <c r="AK1328" i="1"/>
  <c r="AQ1285" i="1"/>
  <c r="AQ1286" i="1" s="1"/>
  <c r="AQ1273" i="1"/>
  <c r="AQ1218" i="1"/>
  <c r="AQ1219" i="1" s="1"/>
  <c r="AK1218" i="1"/>
  <c r="AK1219" i="1" s="1"/>
  <c r="AJ1218" i="1"/>
  <c r="AQ1207" i="1"/>
  <c r="AQ1208" i="1" s="1"/>
  <c r="AQ1163" i="1"/>
  <c r="AQ1164" i="1" s="1"/>
  <c r="AK1163" i="1"/>
  <c r="AK1164" i="1" s="1"/>
  <c r="AJ1163" i="1"/>
  <c r="AL1163" i="1" s="1"/>
  <c r="AP1163" i="1" s="1"/>
  <c r="AQ1157" i="1"/>
  <c r="AQ1145" i="1"/>
  <c r="AQ1146" i="1" s="1"/>
  <c r="AK1145" i="1"/>
  <c r="AK1146" i="1" s="1"/>
  <c r="AJ1145" i="1"/>
  <c r="AQ1108" i="1"/>
  <c r="AJ1108" i="1"/>
  <c r="AL1108" i="1" s="1"/>
  <c r="AP1108" i="1" s="1"/>
  <c r="AK1108" i="1"/>
  <c r="AQ1078" i="1"/>
  <c r="AQ1079" i="1" s="1"/>
  <c r="AJ1078" i="1"/>
  <c r="AK1078" i="1"/>
  <c r="AK1079" i="1" s="1"/>
  <c r="AQ1035" i="1"/>
  <c r="AQ1036" i="1" s="1"/>
  <c r="AJ1029" i="1"/>
  <c r="AL1029" i="1" s="1"/>
  <c r="AP1029" i="1" s="1"/>
  <c r="AK1029" i="1"/>
  <c r="AK1030" i="1" s="1"/>
  <c r="AQ1029" i="1"/>
  <c r="AQ1030" i="1" s="1"/>
  <c r="AQ951" i="1"/>
  <c r="AQ952" i="1" s="1"/>
  <c r="AJ951" i="1"/>
  <c r="AL951" i="1" s="1"/>
  <c r="AP951" i="1" s="1"/>
  <c r="AK951" i="1"/>
  <c r="AK952" i="1" s="1"/>
  <c r="AJ887" i="1"/>
  <c r="AL887" i="1" s="1"/>
  <c r="AP887" i="1" s="1"/>
  <c r="AQ1894" i="1"/>
  <c r="AQ1895" i="1" s="1"/>
  <c r="AJ1894" i="1"/>
  <c r="AK1894" i="1"/>
  <c r="AK1895" i="1" s="1"/>
  <c r="AQ1369" i="1"/>
  <c r="AJ1369" i="1"/>
  <c r="AL1369" i="1" s="1"/>
  <c r="AP1369" i="1" s="1"/>
  <c r="AK1369" i="1"/>
  <c r="AQ2154" i="1"/>
  <c r="AQ2155" i="1" s="1"/>
  <c r="AQ2156" i="1" s="1"/>
  <c r="AJ2154" i="1"/>
  <c r="AK2154" i="1"/>
  <c r="AK2155" i="1" s="1"/>
  <c r="AK2156" i="1" s="1"/>
  <c r="AJ1379" i="1"/>
  <c r="AL1379" i="1" s="1"/>
  <c r="AP1379" i="1" s="1"/>
  <c r="AK1379" i="1"/>
  <c r="AQ1379" i="1"/>
  <c r="AQ2306" i="1"/>
  <c r="AK2212" i="1"/>
  <c r="AK2213" i="1" s="1"/>
  <c r="AQ2212" i="1"/>
  <c r="AQ2213" i="1" s="1"/>
  <c r="AJ2212" i="1"/>
  <c r="AQ2112" i="1"/>
  <c r="AJ2112" i="1"/>
  <c r="AL2112" i="1" s="1"/>
  <c r="AP2112" i="1" s="1"/>
  <c r="AK2112" i="1"/>
  <c r="AQ2105" i="1"/>
  <c r="AQ2106" i="1" s="1"/>
  <c r="AQ2092" i="1"/>
  <c r="AK2092" i="1"/>
  <c r="AJ2092" i="1"/>
  <c r="AL2092" i="1" s="1"/>
  <c r="AP2092" i="1" s="1"/>
  <c r="AQ2086" i="1"/>
  <c r="AQ2087" i="1" s="1"/>
  <c r="AQ2088" i="1" s="1"/>
  <c r="AQ2089" i="1" s="1"/>
  <c r="AJ2066" i="1"/>
  <c r="AL2066" i="1" s="1"/>
  <c r="AP2066" i="1" s="1"/>
  <c r="AK2066" i="1"/>
  <c r="AQ2066" i="1"/>
  <c r="AQ2059" i="1"/>
  <c r="AQ2060" i="1" s="1"/>
  <c r="AQ2061" i="1" s="1"/>
  <c r="AK2059" i="1"/>
  <c r="AK2060" i="1" s="1"/>
  <c r="AK2061" i="1" s="1"/>
  <c r="AJ2059" i="1"/>
  <c r="AJ2053" i="1"/>
  <c r="AL2053" i="1" s="1"/>
  <c r="AP2053" i="1" s="1"/>
  <c r="AQ2047" i="1"/>
  <c r="AQ2048" i="1" s="1"/>
  <c r="AK2047" i="1"/>
  <c r="AK2048" i="1" s="1"/>
  <c r="AJ2047" i="1"/>
  <c r="AL2047" i="1" s="1"/>
  <c r="AP2047" i="1" s="1"/>
  <c r="AK2040" i="1"/>
  <c r="AK2020" i="1"/>
  <c r="AQ2020" i="1"/>
  <c r="AJ2020" i="1"/>
  <c r="AL2020" i="1" s="1"/>
  <c r="AP2020" i="1" s="1"/>
  <c r="AQ1987" i="1"/>
  <c r="AQ1967" i="1"/>
  <c r="AQ1961" i="1"/>
  <c r="AQ1962" i="1" s="1"/>
  <c r="AQ1963" i="1" s="1"/>
  <c r="AQ1941" i="1"/>
  <c r="AQ1942" i="1" s="1"/>
  <c r="AQ1943" i="1" s="1"/>
  <c r="AQ1803" i="1"/>
  <c r="AQ1804" i="1" s="1"/>
  <c r="AQ1805" i="1" s="1"/>
  <c r="AQ1806" i="1" s="1"/>
  <c r="AQ1765" i="1"/>
  <c r="AQ1766" i="1" s="1"/>
  <c r="AQ1758" i="1"/>
  <c r="AQ1759" i="1" s="1"/>
  <c r="AQ1675" i="1"/>
  <c r="AQ1676" i="1" s="1"/>
  <c r="AQ1593" i="1"/>
  <c r="AQ1594" i="1" s="1"/>
  <c r="AJ1593" i="1"/>
  <c r="AL1593" i="1" s="1"/>
  <c r="AP1593" i="1" s="1"/>
  <c r="AK1593" i="1"/>
  <c r="AK1594" i="1" s="1"/>
  <c r="AQ1568" i="1"/>
  <c r="AQ1569" i="1" s="1"/>
  <c r="AJ1568" i="1"/>
  <c r="AK1568" i="1"/>
  <c r="AK1569" i="1" s="1"/>
  <c r="AK1555" i="1"/>
  <c r="AQ1555" i="1"/>
  <c r="AJ1555" i="1"/>
  <c r="AL1555" i="1" s="1"/>
  <c r="AP1555" i="1" s="1"/>
  <c r="AQ1542" i="1"/>
  <c r="AQ1543" i="1" s="1"/>
  <c r="AQ1544" i="1" s="1"/>
  <c r="AK1542" i="1"/>
  <c r="AK1543" i="1" s="1"/>
  <c r="AK1544" i="1" s="1"/>
  <c r="AJ1542" i="1"/>
  <c r="AQ1536" i="1"/>
  <c r="AK1536" i="1"/>
  <c r="AJ1536" i="1"/>
  <c r="AL1536" i="1" s="1"/>
  <c r="AP1536" i="1" s="1"/>
  <c r="AQ1523" i="1"/>
  <c r="AQ1500" i="1"/>
  <c r="AQ1501" i="1" s="1"/>
  <c r="AJ1437" i="1"/>
  <c r="AL1437" i="1" s="1"/>
  <c r="AP1437" i="1" s="1"/>
  <c r="AQ1437" i="1"/>
  <c r="AK1437" i="1"/>
  <c r="AQ1425" i="1"/>
  <c r="AQ1426" i="1" s="1"/>
  <c r="AQ1427" i="1" s="1"/>
  <c r="AQ1370" i="1"/>
  <c r="AJ1370" i="1"/>
  <c r="AL1370" i="1" s="1"/>
  <c r="AP1370" i="1" s="1"/>
  <c r="AK1370" i="1"/>
  <c r="AQ1279" i="1"/>
  <c r="AQ1280" i="1" s="1"/>
  <c r="AQ1281" i="1" s="1"/>
  <c r="AQ1282" i="1" s="1"/>
  <c r="AK1279" i="1"/>
  <c r="AK1280" i="1" s="1"/>
  <c r="AK1281" i="1" s="1"/>
  <c r="AK1282" i="1" s="1"/>
  <c r="AJ1279" i="1"/>
  <c r="AL1279" i="1" s="1"/>
  <c r="AP1279" i="1" s="1"/>
  <c r="AQ1230" i="1"/>
  <c r="AQ1181" i="1"/>
  <c r="AQ1151" i="1"/>
  <c r="AK1151" i="1"/>
  <c r="AJ1151" i="1"/>
  <c r="AL1151" i="1" s="1"/>
  <c r="AP1151" i="1" s="1"/>
  <c r="AJ1096" i="1"/>
  <c r="AK1096" i="1"/>
  <c r="AK1097" i="1" s="1"/>
  <c r="AJ1059" i="1"/>
  <c r="AL1059" i="1" s="1"/>
  <c r="AP1059" i="1" s="1"/>
  <c r="AK1059" i="1"/>
  <c r="AQ1059" i="1"/>
  <c r="AQ1041" i="1"/>
  <c r="AK1041" i="1"/>
  <c r="AJ1041" i="1"/>
  <c r="AL1041" i="1" s="1"/>
  <c r="AP1041" i="1" s="1"/>
  <c r="AQ1023" i="1"/>
  <c r="AJ1023" i="1"/>
  <c r="AL1023" i="1" s="1"/>
  <c r="AP1023" i="1" s="1"/>
  <c r="AQ999" i="1"/>
  <c r="AQ1000" i="1" s="1"/>
  <c r="AQ1001" i="1" s="1"/>
  <c r="AQ1002" i="1" s="1"/>
  <c r="AK988" i="1"/>
  <c r="AK989" i="1" s="1"/>
  <c r="AQ988" i="1"/>
  <c r="AQ989" i="1" s="1"/>
  <c r="AJ988" i="1"/>
  <c r="AQ972" i="1"/>
  <c r="AJ972" i="1"/>
  <c r="AL972" i="1" s="1"/>
  <c r="AP972" i="1" s="1"/>
  <c r="AK972" i="1"/>
  <c r="AQ956" i="1"/>
  <c r="AJ956" i="1"/>
  <c r="AL956" i="1" s="1"/>
  <c r="AP956" i="1" s="1"/>
  <c r="AK956" i="1"/>
  <c r="AQ940" i="1"/>
  <c r="AQ941" i="1" s="1"/>
  <c r="AQ942" i="1" s="1"/>
  <c r="AQ943" i="1" s="1"/>
  <c r="AQ944" i="1" s="1"/>
  <c r="AQ908" i="1"/>
  <c r="AQ876" i="1"/>
  <c r="AQ877" i="1" s="1"/>
  <c r="AJ876" i="1"/>
  <c r="AK876" i="1"/>
  <c r="AK877" i="1" s="1"/>
  <c r="AQ1946" i="1"/>
  <c r="AQ1947" i="1" s="1"/>
  <c r="AQ1948" i="1" s="1"/>
  <c r="AJ1351" i="1"/>
  <c r="AL1351" i="1" s="1"/>
  <c r="AP1351" i="1" s="1"/>
  <c r="AQ1351" i="1"/>
  <c r="AK1351" i="1"/>
  <c r="AQ2425" i="1"/>
  <c r="AJ2425" i="1"/>
  <c r="AL2425" i="1" s="1"/>
  <c r="AP2425" i="1" s="1"/>
  <c r="AK2425" i="1"/>
  <c r="AQ2412" i="1"/>
  <c r="AQ2413" i="1" s="1"/>
  <c r="AQ2414" i="1" s="1"/>
  <c r="AQ2415" i="1" s="1"/>
  <c r="AQ2416" i="1" s="1"/>
  <c r="AQ2417" i="1" s="1"/>
  <c r="AQ2406" i="1"/>
  <c r="AQ2399" i="1"/>
  <c r="AQ2400" i="1" s="1"/>
  <c r="AJ2399" i="1"/>
  <c r="AK2399" i="1"/>
  <c r="AK2400" i="1" s="1"/>
  <c r="AQ2356" i="1"/>
  <c r="AQ2357" i="1" s="1"/>
  <c r="AQ2324" i="1"/>
  <c r="AQ2318" i="1"/>
  <c r="AQ2319" i="1" s="1"/>
  <c r="AQ2320" i="1" s="1"/>
  <c r="AJ2318" i="1"/>
  <c r="AL2318" i="1" s="1"/>
  <c r="AP2318" i="1" s="1"/>
  <c r="AK2318" i="1"/>
  <c r="AK2319" i="1" s="1"/>
  <c r="AK2320" i="1" s="1"/>
  <c r="AQ2287" i="1"/>
  <c r="AQ2288" i="1" s="1"/>
  <c r="AQ2289" i="1" s="1"/>
  <c r="AJ2287" i="1"/>
  <c r="AK2287" i="1"/>
  <c r="AK2288" i="1" s="1"/>
  <c r="AK2289" i="1" s="1"/>
  <c r="AQ2243" i="1"/>
  <c r="AQ2187" i="1"/>
  <c r="AJ2187" i="1"/>
  <c r="AL2187" i="1" s="1"/>
  <c r="AP2187" i="1" s="1"/>
  <c r="AK2187" i="1"/>
  <c r="AQ2144" i="1"/>
  <c r="AQ2145" i="1" s="1"/>
  <c r="AQ2118" i="1"/>
  <c r="AQ2006" i="1"/>
  <c r="AQ2007" i="1" s="1"/>
  <c r="AQ1934" i="1"/>
  <c r="AQ1935" i="1" s="1"/>
  <c r="AQ1784" i="1"/>
  <c r="AQ1745" i="1"/>
  <c r="AQ1746" i="1" s="1"/>
  <c r="AQ1747" i="1" s="1"/>
  <c r="AJ1745" i="1"/>
  <c r="AK1745" i="1"/>
  <c r="AK1746" i="1" s="1"/>
  <c r="AK1747" i="1" s="1"/>
  <c r="AQ1701" i="1"/>
  <c r="AJ1656" i="1"/>
  <c r="AK1656" i="1"/>
  <c r="AK1657" i="1" s="1"/>
  <c r="AK1658" i="1" s="1"/>
  <c r="AJ1630" i="1"/>
  <c r="AL1630" i="1" s="1"/>
  <c r="AP1630" i="1" s="1"/>
  <c r="AQ1630" i="1"/>
  <c r="AQ1631" i="1" s="1"/>
  <c r="AQ1632" i="1" s="1"/>
  <c r="AK1630" i="1"/>
  <c r="AK1631" i="1" s="1"/>
  <c r="AK1632" i="1" s="1"/>
  <c r="AQ1599" i="1"/>
  <c r="AQ1600" i="1" s="1"/>
  <c r="AJ1599" i="1"/>
  <c r="AL1599" i="1" s="1"/>
  <c r="AP1599" i="1" s="1"/>
  <c r="AK1599" i="1"/>
  <c r="AK1600" i="1" s="1"/>
  <c r="AQ1561" i="1"/>
  <c r="AQ1562" i="1" s="1"/>
  <c r="AQ1530" i="1"/>
  <c r="AQ1531" i="1" s="1"/>
  <c r="AJ1530" i="1"/>
  <c r="AK1530" i="1"/>
  <c r="AK1531" i="1" s="1"/>
  <c r="AJ1461" i="1"/>
  <c r="AL1461" i="1" s="1"/>
  <c r="AP1461" i="1" s="1"/>
  <c r="AQ1382" i="1"/>
  <c r="AJ1382" i="1"/>
  <c r="AL1382" i="1" s="1"/>
  <c r="AP1382" i="1" s="1"/>
  <c r="AK1382" i="1"/>
  <c r="AQ1254" i="1"/>
  <c r="AQ1255" i="1" s="1"/>
  <c r="AK1254" i="1"/>
  <c r="AK1255" i="1" s="1"/>
  <c r="AJ1254" i="1"/>
  <c r="AJ1175" i="1"/>
  <c r="AL1175" i="1" s="1"/>
  <c r="AP1175" i="1" s="1"/>
  <c r="AQ1175" i="1"/>
  <c r="AQ1176" i="1" s="1"/>
  <c r="AK1175" i="1"/>
  <c r="AK1176" i="1" s="1"/>
  <c r="AQ1126" i="1"/>
  <c r="AQ1127" i="1" s="1"/>
  <c r="AJ1126" i="1"/>
  <c r="AK1126" i="1"/>
  <c r="AK1127" i="1" s="1"/>
  <c r="AJ1077" i="1"/>
  <c r="AL1077" i="1" s="1"/>
  <c r="AP1077" i="1" s="1"/>
  <c r="AK1077" i="1"/>
  <c r="AQ1077" i="1"/>
  <c r="BB13" i="1"/>
  <c r="BT12" i="1"/>
  <c r="AJ2417" i="1"/>
  <c r="AL2417" i="1" s="1"/>
  <c r="AL2416" i="1"/>
  <c r="AP2416" i="1" s="1"/>
  <c r="Y2" i="1"/>
  <c r="J5" i="1"/>
  <c r="AJ1228" i="1" l="1"/>
  <c r="AL1228" i="1" s="1"/>
  <c r="AP1228" i="1" s="1"/>
  <c r="AJ1779" i="1"/>
  <c r="AL1779" i="1" s="1"/>
  <c r="AP1779" i="1" s="1"/>
  <c r="AJ2196" i="1"/>
  <c r="AL2196" i="1" s="1"/>
  <c r="AP2196" i="1" s="1"/>
  <c r="AJ1212" i="1"/>
  <c r="AJ2367" i="1"/>
  <c r="AL2367" i="1" s="1"/>
  <c r="AP2367" i="1" s="1"/>
  <c r="AJ2040" i="1"/>
  <c r="AL2040" i="1" s="1"/>
  <c r="AP2040" i="1" s="1"/>
  <c r="AJ1164" i="1"/>
  <c r="AL1164" i="1" s="1"/>
  <c r="AP1164" i="1" s="1"/>
  <c r="AJ1970" i="1"/>
  <c r="AL1970" i="1" s="1"/>
  <c r="AP1970" i="1" s="1"/>
  <c r="AJ1888" i="1"/>
  <c r="AL1888" i="1" s="1"/>
  <c r="AP1888" i="1" s="1"/>
  <c r="AJ908" i="1"/>
  <c r="AL908" i="1" s="1"/>
  <c r="AP908" i="1" s="1"/>
  <c r="AJ962" i="1"/>
  <c r="AJ1057" i="1"/>
  <c r="AJ980" i="1"/>
  <c r="AL980" i="1" s="1"/>
  <c r="AP980" i="1" s="1"/>
  <c r="AJ1590" i="1"/>
  <c r="AL1590" i="1" s="1"/>
  <c r="AP1590" i="1" s="1"/>
  <c r="AJ1236" i="1"/>
  <c r="AJ910" i="1"/>
  <c r="AL910" i="1" s="1"/>
  <c r="AP910" i="1" s="1"/>
  <c r="AJ1224" i="1"/>
  <c r="AL1224" i="1" s="1"/>
  <c r="AP1224" i="1" s="1"/>
  <c r="AJ1880" i="1"/>
  <c r="AJ1881" i="1" s="1"/>
  <c r="AL1881" i="1" s="1"/>
  <c r="AJ1071" i="1"/>
  <c r="AL1071" i="1" s="1"/>
  <c r="AP1071" i="1" s="1"/>
  <c r="AJ1810" i="1"/>
  <c r="AL1810" i="1" s="1"/>
  <c r="AP1810" i="1" s="1"/>
  <c r="AJ1631" i="1"/>
  <c r="AL1631" i="1" s="1"/>
  <c r="AP1631" i="1" s="1"/>
  <c r="AJ970" i="1"/>
  <c r="AL970" i="1" s="1"/>
  <c r="AP970" i="1" s="1"/>
  <c r="AJ983" i="1"/>
  <c r="AL983" i="1" s="1"/>
  <c r="AP983" i="1" s="1"/>
  <c r="AJ1030" i="1"/>
  <c r="AL1030" i="1" s="1"/>
  <c r="AP1030" i="1" s="1"/>
  <c r="AJ2048" i="1"/>
  <c r="AL2048" i="1" s="1"/>
  <c r="AP2048" i="1" s="1"/>
  <c r="AJ1711" i="1"/>
  <c r="AL1711" i="1" s="1"/>
  <c r="AP1711" i="1" s="1"/>
  <c r="AJ1971" i="1"/>
  <c r="AL1971" i="1" s="1"/>
  <c r="AP1971" i="1" s="1"/>
  <c r="AJ1586" i="1"/>
  <c r="AL1586" i="1" s="1"/>
  <c r="AP1586" i="1" s="1"/>
  <c r="AJ1336" i="1"/>
  <c r="AJ1337" i="1" s="1"/>
  <c r="AL1337" i="1" s="1"/>
  <c r="AJ2161" i="1"/>
  <c r="AL2161" i="1" s="1"/>
  <c r="AP2161" i="1" s="1"/>
  <c r="AJ1407" i="1"/>
  <c r="AJ1828" i="1"/>
  <c r="AL1828" i="1" s="1"/>
  <c r="AP1828" i="1" s="1"/>
  <c r="AJ1955" i="1"/>
  <c r="AL1955" i="1" s="1"/>
  <c r="AP1955" i="1" s="1"/>
  <c r="AJ1160" i="1"/>
  <c r="AL1160" i="1" s="1"/>
  <c r="AP1160" i="1" s="1"/>
  <c r="AJ1032" i="1"/>
  <c r="AL1032" i="1" s="1"/>
  <c r="AP1032" i="1" s="1"/>
  <c r="AJ1572" i="1"/>
  <c r="AL1572" i="1" s="1"/>
  <c r="AP1572" i="1" s="1"/>
  <c r="AJ1333" i="1"/>
  <c r="AJ2330" i="1"/>
  <c r="AJ2331" i="1" s="1"/>
  <c r="AL2331" i="1" s="1"/>
  <c r="AJ1290" i="1"/>
  <c r="AJ2224" i="1"/>
  <c r="AL2223" i="1"/>
  <c r="AP2223" i="1" s="1"/>
  <c r="AJ1886" i="1"/>
  <c r="AL1886" i="1" s="1"/>
  <c r="AL1885" i="1"/>
  <c r="AP1885" i="1" s="1"/>
  <c r="AJ2018" i="1"/>
  <c r="AL2018" i="1" s="1"/>
  <c r="AL2017" i="1"/>
  <c r="AP2017" i="1" s="1"/>
  <c r="AJ2248" i="1"/>
  <c r="AJ1751" i="1"/>
  <c r="AL1751" i="1" s="1"/>
  <c r="AL1750" i="1"/>
  <c r="AP1750" i="1" s="1"/>
  <c r="AJ1431" i="1"/>
  <c r="AL1430" i="1"/>
  <c r="AP1430" i="1" s="1"/>
  <c r="AJ1855" i="1"/>
  <c r="AL1855" i="1" s="1"/>
  <c r="AP1855" i="1" s="1"/>
  <c r="AJ1176" i="1"/>
  <c r="AL1176" i="1" s="1"/>
  <c r="AP1176" i="1" s="1"/>
  <c r="AJ1021" i="1"/>
  <c r="AL1021" i="1" s="1"/>
  <c r="AL1020" i="1"/>
  <c r="AP1020" i="1" s="1"/>
  <c r="AJ1345" i="1"/>
  <c r="AL1344" i="1"/>
  <c r="AP1344" i="1" s="1"/>
  <c r="AJ2181" i="1"/>
  <c r="AL2181" i="1" s="1"/>
  <c r="AL2180" i="1"/>
  <c r="AP2180" i="1" s="1"/>
  <c r="AJ1213" i="1"/>
  <c r="AL1213" i="1" s="1"/>
  <c r="AL1212" i="1"/>
  <c r="AP1212" i="1" s="1"/>
  <c r="AJ1719" i="1"/>
  <c r="AL1719" i="1" s="1"/>
  <c r="AL1718" i="1"/>
  <c r="AP1718" i="1" s="1"/>
  <c r="AJ1851" i="1"/>
  <c r="AL1851" i="1" s="1"/>
  <c r="AL1850" i="1"/>
  <c r="AP1850" i="1" s="1"/>
  <c r="AJ2075" i="1"/>
  <c r="AL2075" i="1" s="1"/>
  <c r="AL2074" i="1"/>
  <c r="AP2074" i="1" s="1"/>
  <c r="AJ897" i="1"/>
  <c r="AL897" i="1" s="1"/>
  <c r="AP897" i="1" s="1"/>
  <c r="AJ1777" i="1"/>
  <c r="AL1777" i="1" s="1"/>
  <c r="AP1777" i="1" s="1"/>
  <c r="AJ1890" i="1"/>
  <c r="AL1889" i="1"/>
  <c r="AP1889" i="1" s="1"/>
  <c r="AJ1462" i="1"/>
  <c r="AL1462" i="1" s="1"/>
  <c r="AJ2389" i="1"/>
  <c r="AL2389" i="1" s="1"/>
  <c r="AL2388" i="1"/>
  <c r="AP2388" i="1" s="1"/>
  <c r="AJ1445" i="1"/>
  <c r="AL1445" i="1" s="1"/>
  <c r="AL1444" i="1"/>
  <c r="AP1444" i="1" s="1"/>
  <c r="AJ1845" i="1"/>
  <c r="AL1844" i="1"/>
  <c r="AP1844" i="1" s="1"/>
  <c r="AJ1652" i="1"/>
  <c r="AL1652" i="1" s="1"/>
  <c r="AP1652" i="1" s="1"/>
  <c r="AJ1447" i="1"/>
  <c r="AL1446" i="1"/>
  <c r="AP1446" i="1" s="1"/>
  <c r="AJ1139" i="1"/>
  <c r="AL1138" i="1"/>
  <c r="AP1138" i="1" s="1"/>
  <c r="AJ1817" i="1"/>
  <c r="AL1817" i="1" s="1"/>
  <c r="AL1816" i="1"/>
  <c r="AP1816" i="1" s="1"/>
  <c r="AJ1650" i="1"/>
  <c r="AL1650" i="1" s="1"/>
  <c r="AL1649" i="1"/>
  <c r="AP1649" i="1" s="1"/>
  <c r="AJ921" i="1"/>
  <c r="AL921" i="1" s="1"/>
  <c r="AL920" i="1"/>
  <c r="AP920" i="1" s="1"/>
  <c r="AJ1975" i="1"/>
  <c r="AL1975" i="1" s="1"/>
  <c r="AL1974" i="1"/>
  <c r="AP1974" i="1" s="1"/>
  <c r="AJ2125" i="1"/>
  <c r="AL2125" i="1" s="1"/>
  <c r="AL2124" i="1"/>
  <c r="AP2124" i="1" s="1"/>
  <c r="AJ1185" i="1"/>
  <c r="AL1185" i="1" s="1"/>
  <c r="AL1184" i="1"/>
  <c r="AP1184" i="1" s="1"/>
  <c r="AJ1797" i="1"/>
  <c r="AL1797" i="1" s="1"/>
  <c r="AL1796" i="1"/>
  <c r="AP1796" i="1" s="1"/>
  <c r="AJ1857" i="1"/>
  <c r="AL1857" i="1" s="1"/>
  <c r="AL1856" i="1"/>
  <c r="AP1856" i="1" s="1"/>
  <c r="AJ1529" i="1"/>
  <c r="AL1529" i="1" s="1"/>
  <c r="AL1528" i="1"/>
  <c r="AP1528" i="1" s="1"/>
  <c r="AJ1895" i="1"/>
  <c r="AL1895" i="1" s="1"/>
  <c r="AL1894" i="1"/>
  <c r="AP1894" i="1" s="1"/>
  <c r="AJ1474" i="1"/>
  <c r="AL1474" i="1" s="1"/>
  <c r="AP1474" i="1" s="1"/>
  <c r="AJ1417" i="1"/>
  <c r="AL1416" i="1"/>
  <c r="AP1416" i="1" s="1"/>
  <c r="AJ1280" i="1"/>
  <c r="AJ1525" i="1"/>
  <c r="AL1525" i="1" s="1"/>
  <c r="AP1525" i="1" s="1"/>
  <c r="AJ2391" i="1"/>
  <c r="AL2390" i="1"/>
  <c r="AP2390" i="1" s="1"/>
  <c r="AJ2031" i="1"/>
  <c r="AL2031" i="1" s="1"/>
  <c r="AL2030" i="1"/>
  <c r="AP2030" i="1" s="1"/>
  <c r="AJ2373" i="1"/>
  <c r="AL2372" i="1"/>
  <c r="AP2372" i="1" s="1"/>
  <c r="AJ950" i="1"/>
  <c r="AL950" i="1" s="1"/>
  <c r="AL949" i="1"/>
  <c r="AP949" i="1" s="1"/>
  <c r="AJ1102" i="1"/>
  <c r="AL1101" i="1"/>
  <c r="AP1101" i="1" s="1"/>
  <c r="AJ2343" i="1"/>
  <c r="AL2343" i="1" s="1"/>
  <c r="AP2343" i="1" s="1"/>
  <c r="AJ1504" i="1"/>
  <c r="AL1504" i="1" s="1"/>
  <c r="AL1503" i="1"/>
  <c r="AP1503" i="1" s="1"/>
  <c r="AJ987" i="1"/>
  <c r="AL987" i="1" s="1"/>
  <c r="AL986" i="1"/>
  <c r="AP986" i="1" s="1"/>
  <c r="AJ1300" i="1"/>
  <c r="AJ1226" i="1"/>
  <c r="AL1226" i="1" s="1"/>
  <c r="AP1226" i="1" s="1"/>
  <c r="AJ2309" i="1"/>
  <c r="AL2309" i="1" s="1"/>
  <c r="AL2308" i="1"/>
  <c r="AP2308" i="1" s="1"/>
  <c r="AJ1594" i="1"/>
  <c r="AL1594" i="1" s="1"/>
  <c r="AP1594" i="1" s="1"/>
  <c r="AJ1434" i="1"/>
  <c r="AL1434" i="1" s="1"/>
  <c r="AL1433" i="1"/>
  <c r="AP1433" i="1" s="1"/>
  <c r="AJ2035" i="1"/>
  <c r="AJ2237" i="1"/>
  <c r="AL2237" i="1" s="1"/>
  <c r="AL2236" i="1"/>
  <c r="AP2236" i="1" s="1"/>
  <c r="AJ1374" i="1"/>
  <c r="AL1374" i="1" s="1"/>
  <c r="AP1374" i="1" s="1"/>
  <c r="AJ1822" i="1"/>
  <c r="AL1821" i="1"/>
  <c r="AP1821" i="1" s="1"/>
  <c r="AJ1217" i="1"/>
  <c r="AL1217" i="1" s="1"/>
  <c r="AL1216" i="1"/>
  <c r="AP1216" i="1" s="1"/>
  <c r="AJ1867" i="1"/>
  <c r="AL1867" i="1" s="1"/>
  <c r="AL1866" i="1"/>
  <c r="AP1866" i="1" s="1"/>
  <c r="AJ1928" i="1"/>
  <c r="AL1928" i="1" s="1"/>
  <c r="AL1927" i="1"/>
  <c r="AP1927" i="1" s="1"/>
  <c r="AJ2221" i="1"/>
  <c r="AL2220" i="1"/>
  <c r="AP2220" i="1" s="1"/>
  <c r="AJ1265" i="1"/>
  <c r="AL1264" i="1"/>
  <c r="AP1264" i="1" s="1"/>
  <c r="AJ2194" i="1"/>
  <c r="AL2194" i="1" s="1"/>
  <c r="AP2194" i="1" s="1"/>
  <c r="AJ1178" i="1"/>
  <c r="AL1178" i="1" s="1"/>
  <c r="AL1177" i="1"/>
  <c r="AP1177" i="1" s="1"/>
  <c r="AJ1183" i="1"/>
  <c r="AL1183" i="1" s="1"/>
  <c r="AL1182" i="1"/>
  <c r="AP1182" i="1" s="1"/>
  <c r="AJ2235" i="1"/>
  <c r="AL2235" i="1" s="1"/>
  <c r="AL2234" i="1"/>
  <c r="AP2234" i="1" s="1"/>
  <c r="AJ1543" i="1"/>
  <c r="AL1542" i="1"/>
  <c r="AP1542" i="1" s="1"/>
  <c r="AJ1297" i="1"/>
  <c r="AJ1146" i="1"/>
  <c r="AL1146" i="1" s="1"/>
  <c r="AL1145" i="1"/>
  <c r="AP1145" i="1" s="1"/>
  <c r="AJ2301" i="1"/>
  <c r="AL2300" i="1"/>
  <c r="AP2300" i="1" s="1"/>
  <c r="AJ1584" i="1"/>
  <c r="AL1584" i="1" s="1"/>
  <c r="AP1584" i="1" s="1"/>
  <c r="AJ1799" i="1"/>
  <c r="AL1799" i="1" s="1"/>
  <c r="AL1798" i="1"/>
  <c r="AP1798" i="1" s="1"/>
  <c r="AJ2127" i="1"/>
  <c r="AL2127" i="1" s="1"/>
  <c r="AL2126" i="1"/>
  <c r="AP2126" i="1" s="1"/>
  <c r="AJ965" i="1"/>
  <c r="AL965" i="1" s="1"/>
  <c r="AL964" i="1"/>
  <c r="AP964" i="1" s="1"/>
  <c r="AJ1833" i="1"/>
  <c r="AL1833" i="1" s="1"/>
  <c r="AL1832" i="1"/>
  <c r="AP1832" i="1" s="1"/>
  <c r="AJ2042" i="1"/>
  <c r="AL2042" i="1" s="1"/>
  <c r="AP2042" i="1" s="1"/>
  <c r="AJ1527" i="1"/>
  <c r="AL1527" i="1" s="1"/>
  <c r="AL1526" i="1"/>
  <c r="AP1526" i="1" s="1"/>
  <c r="AJ1992" i="1"/>
  <c r="AL1992" i="1" s="1"/>
  <c r="AP1992" i="1" s="1"/>
  <c r="AJ1083" i="1"/>
  <c r="AL1083" i="1" s="1"/>
  <c r="AL1082" i="1"/>
  <c r="AP1082" i="1" s="1"/>
  <c r="AJ1688" i="1"/>
  <c r="AL1688" i="1" s="1"/>
  <c r="AP1688" i="1" s="1"/>
  <c r="AJ1931" i="1"/>
  <c r="AL1931" i="1" s="1"/>
  <c r="AL1930" i="1"/>
  <c r="AP1930" i="1" s="1"/>
  <c r="AJ2251" i="1"/>
  <c r="AL2251" i="1" s="1"/>
  <c r="AL2250" i="1"/>
  <c r="AP2250" i="1" s="1"/>
  <c r="AJ2319" i="1"/>
  <c r="AJ1052" i="1"/>
  <c r="AJ1665" i="1"/>
  <c r="AL1665" i="1" s="1"/>
  <c r="AL1664" i="1"/>
  <c r="AP1664" i="1" s="1"/>
  <c r="AJ1679" i="1"/>
  <c r="AL1679" i="1" s="1"/>
  <c r="AL1678" i="1"/>
  <c r="AP1678" i="1" s="1"/>
  <c r="AJ1925" i="1"/>
  <c r="AL1925" i="1" s="1"/>
  <c r="AL1924" i="1"/>
  <c r="AP1924" i="1" s="1"/>
  <c r="AJ1063" i="1"/>
  <c r="AL1063" i="1" s="1"/>
  <c r="AL1062" i="1"/>
  <c r="AP1062" i="1" s="1"/>
  <c r="AJ1749" i="1"/>
  <c r="AL1749" i="1" s="1"/>
  <c r="AL1748" i="1"/>
  <c r="AP1748" i="1" s="1"/>
  <c r="AJ2409" i="1"/>
  <c r="AL2409" i="1" s="1"/>
  <c r="AP2409" i="1" s="1"/>
  <c r="AJ1913" i="1"/>
  <c r="AL1912" i="1"/>
  <c r="AP1912" i="1" s="1"/>
  <c r="AJ1581" i="1"/>
  <c r="AL1581" i="1" s="1"/>
  <c r="AL1580" i="1"/>
  <c r="AP1580" i="1" s="1"/>
  <c r="AJ952" i="1"/>
  <c r="AL952" i="1" s="1"/>
  <c r="AP952" i="1" s="1"/>
  <c r="AJ1994" i="1"/>
  <c r="AL1994" i="1" s="1"/>
  <c r="AP1994" i="1" s="1"/>
  <c r="AJ1085" i="1"/>
  <c r="AL1085" i="1" s="1"/>
  <c r="AL1084" i="1"/>
  <c r="AP1084" i="1" s="1"/>
  <c r="AJ1250" i="1"/>
  <c r="AL1250" i="1" s="1"/>
  <c r="AP1250" i="1" s="1"/>
  <c r="AL1249" i="1"/>
  <c r="AP1249" i="1" s="1"/>
  <c r="AJ2215" i="1"/>
  <c r="AL2215" i="1" s="1"/>
  <c r="AL2214" i="1"/>
  <c r="AP2214" i="1" s="1"/>
  <c r="AJ1984" i="1"/>
  <c r="AL1984" i="1" s="1"/>
  <c r="AP1984" i="1" s="1"/>
  <c r="AJ1275" i="1"/>
  <c r="AL1275" i="1" s="1"/>
  <c r="AL1274" i="1"/>
  <c r="AP1274" i="1" s="1"/>
  <c r="AJ1079" i="1"/>
  <c r="AL1079" i="1" s="1"/>
  <c r="AL1078" i="1"/>
  <c r="AP1078" i="1" s="1"/>
  <c r="AJ2121" i="1"/>
  <c r="AL2121" i="1" s="1"/>
  <c r="AL2120" i="1"/>
  <c r="AP2120" i="1" s="1"/>
  <c r="AJ1731" i="1"/>
  <c r="AL1730" i="1"/>
  <c r="AP1730" i="1" s="1"/>
  <c r="AJ1497" i="1"/>
  <c r="AL1497" i="1" s="1"/>
  <c r="AL1496" i="1"/>
  <c r="AP1496" i="1" s="1"/>
  <c r="AJ1215" i="1"/>
  <c r="AL1215" i="1" s="1"/>
  <c r="AP1215" i="1" s="1"/>
  <c r="AJ1744" i="1"/>
  <c r="AL1744" i="1" s="1"/>
  <c r="AP1744" i="1" s="1"/>
  <c r="AL1743" i="1"/>
  <c r="AP1743" i="1" s="1"/>
  <c r="AJ1874" i="1"/>
  <c r="AL1874" i="1" s="1"/>
  <c r="AL1873" i="1"/>
  <c r="AP1873" i="1" s="1"/>
  <c r="AJ1510" i="1"/>
  <c r="AL1510" i="1" s="1"/>
  <c r="AP1510" i="1" s="1"/>
  <c r="AJ1240" i="1"/>
  <c r="AJ1221" i="1"/>
  <c r="AL1221" i="1" s="1"/>
  <c r="AL1220" i="1"/>
  <c r="AP1220" i="1" s="1"/>
  <c r="AJ881" i="1"/>
  <c r="AL881" i="1" s="1"/>
  <c r="AP881" i="1" s="1"/>
  <c r="AJ1939" i="1"/>
  <c r="AL1938" i="1"/>
  <c r="AP1938" i="1" s="1"/>
  <c r="AJ2291" i="1"/>
  <c r="AL2291" i="1" s="1"/>
  <c r="AP2291" i="1" s="1"/>
  <c r="AJ2313" i="1"/>
  <c r="AJ2103" i="1"/>
  <c r="AL2102" i="1"/>
  <c r="AP2102" i="1" s="1"/>
  <c r="AP1462" i="1"/>
  <c r="AJ1639" i="1"/>
  <c r="AL1638" i="1"/>
  <c r="AP1638" i="1" s="1"/>
  <c r="AJ958" i="1"/>
  <c r="AL958" i="1" s="1"/>
  <c r="AL957" i="1"/>
  <c r="AP957" i="1" s="1"/>
  <c r="AJ2213" i="1"/>
  <c r="AL2213" i="1" s="1"/>
  <c r="AL2212" i="1"/>
  <c r="AP2212" i="1" s="1"/>
  <c r="AJ1607" i="1"/>
  <c r="AL1607" i="1" s="1"/>
  <c r="AL1606" i="1"/>
  <c r="AP1606" i="1" s="1"/>
  <c r="AJ2284" i="1"/>
  <c r="AL2284" i="1" s="1"/>
  <c r="AP2284" i="1" s="1"/>
  <c r="AJ1483" i="1"/>
  <c r="AL1482" i="1"/>
  <c r="AP1482" i="1" s="1"/>
  <c r="AJ2253" i="1"/>
  <c r="AL2252" i="1"/>
  <c r="AP2252" i="1" s="1"/>
  <c r="AJ1105" i="1"/>
  <c r="AJ1838" i="1"/>
  <c r="AL1838" i="1" s="1"/>
  <c r="AP1838" i="1" s="1"/>
  <c r="AJ2050" i="1"/>
  <c r="AL2050" i="1" s="1"/>
  <c r="AL2049" i="1"/>
  <c r="AP2049" i="1" s="1"/>
  <c r="AJ1355" i="1"/>
  <c r="AL1355" i="1" s="1"/>
  <c r="AL1354" i="1"/>
  <c r="AP1354" i="1" s="1"/>
  <c r="AP1355" i="1" s="1"/>
  <c r="AJ1853" i="1"/>
  <c r="AL1853" i="1" s="1"/>
  <c r="AL1852" i="1"/>
  <c r="AP1852" i="1" s="1"/>
  <c r="AJ2137" i="1"/>
  <c r="AL2137" i="1" s="1"/>
  <c r="AL2136" i="1"/>
  <c r="AP2136" i="1" s="1"/>
  <c r="AJ1654" i="1"/>
  <c r="AL1654" i="1" s="1"/>
  <c r="AP1654" i="1" s="1"/>
  <c r="AJ2065" i="1"/>
  <c r="AL2065" i="1" s="1"/>
  <c r="AL2064" i="1"/>
  <c r="AP2064" i="1" s="1"/>
  <c r="AJ2111" i="1"/>
  <c r="AL2111" i="1" s="1"/>
  <c r="AP2111" i="1" s="1"/>
  <c r="AJ1517" i="1"/>
  <c r="AL1517" i="1" s="1"/>
  <c r="AL1516" i="1"/>
  <c r="AP1516" i="1" s="1"/>
  <c r="AJ1309" i="1"/>
  <c r="AL1309" i="1" s="1"/>
  <c r="AL1308" i="1"/>
  <c r="AP1308" i="1" s="1"/>
  <c r="AJ1092" i="1"/>
  <c r="AL1092" i="1" s="1"/>
  <c r="AL1091" i="1"/>
  <c r="AP1091" i="1" s="1"/>
  <c r="AJ1421" i="1"/>
  <c r="AL1421" i="1" s="1"/>
  <c r="AL1420" i="1"/>
  <c r="AP1420" i="1" s="1"/>
  <c r="AJ2326" i="1"/>
  <c r="AL2326" i="1" s="1"/>
  <c r="AP2326" i="1" s="1"/>
  <c r="AJ1129" i="1"/>
  <c r="AL1129" i="1" s="1"/>
  <c r="AL1128" i="1"/>
  <c r="AP1128" i="1" s="1"/>
  <c r="AJ934" i="1"/>
  <c r="AL934" i="1" s="1"/>
  <c r="AP934" i="1" s="1"/>
  <c r="AJ1458" i="1"/>
  <c r="AL1457" i="1"/>
  <c r="AP1457" i="1" s="1"/>
  <c r="AJ1404" i="1"/>
  <c r="AJ1717" i="1"/>
  <c r="AL1717" i="1" s="1"/>
  <c r="AL1716" i="1"/>
  <c r="AP1716" i="1" s="1"/>
  <c r="AJ1578" i="1"/>
  <c r="AL1578" i="1" s="1"/>
  <c r="AP1578" i="1" s="1"/>
  <c r="AJ1327" i="1"/>
  <c r="AL1327" i="1" s="1"/>
  <c r="AP1327" i="1" s="1"/>
  <c r="AJ2163" i="1"/>
  <c r="AL2162" i="1"/>
  <c r="AP2162" i="1" s="1"/>
  <c r="AJ870" i="1"/>
  <c r="AJ2000" i="1"/>
  <c r="AL2000" i="1" s="1"/>
  <c r="AL1999" i="1"/>
  <c r="AP1999" i="1" s="1"/>
  <c r="AJ2063" i="1"/>
  <c r="AL2063" i="1" s="1"/>
  <c r="AP2063" i="1" s="1"/>
  <c r="AJ1746" i="1"/>
  <c r="AL1745" i="1"/>
  <c r="AP1745" i="1" s="1"/>
  <c r="AJ1551" i="1"/>
  <c r="AL1551" i="1" s="1"/>
  <c r="AL1550" i="1"/>
  <c r="AP1550" i="1" s="1"/>
  <c r="AJ1465" i="1"/>
  <c r="AL1465" i="1" s="1"/>
  <c r="AL1464" i="1"/>
  <c r="AP1464" i="1" s="1"/>
  <c r="AJ1439" i="1"/>
  <c r="AL1439" i="1" s="1"/>
  <c r="AL1438" i="1"/>
  <c r="AP1438" i="1" s="1"/>
  <c r="AJ1153" i="1"/>
  <c r="AL1152" i="1"/>
  <c r="AP1152" i="1" s="1"/>
  <c r="AJ1255" i="1"/>
  <c r="AL1255" i="1" s="1"/>
  <c r="AL1254" i="1"/>
  <c r="AP1254" i="1" s="1"/>
  <c r="AJ1097" i="1"/>
  <c r="AL1097" i="1" s="1"/>
  <c r="AL1096" i="1"/>
  <c r="AP1096" i="1" s="1"/>
  <c r="AJ1600" i="1"/>
  <c r="AL1600" i="1" s="1"/>
  <c r="AP1600" i="1" s="1"/>
  <c r="AJ2345" i="1"/>
  <c r="AL2345" i="1" s="1"/>
  <c r="AL2344" i="1"/>
  <c r="AP2344" i="1" s="1"/>
  <c r="AJ868" i="1"/>
  <c r="AL868" i="1" s="1"/>
  <c r="AP868" i="1" s="1"/>
  <c r="AJ1055" i="1"/>
  <c r="AL1055" i="1" s="1"/>
  <c r="AP1055" i="1" s="1"/>
  <c r="AJ1614" i="1"/>
  <c r="AL1613" i="1"/>
  <c r="AP1613" i="1" s="1"/>
  <c r="AJ1123" i="1"/>
  <c r="AL1123" i="1" s="1"/>
  <c r="AL1122" i="1"/>
  <c r="AP1122" i="1" s="1"/>
  <c r="AJ1533" i="1"/>
  <c r="AL1533" i="1" s="1"/>
  <c r="AL1532" i="1"/>
  <c r="AP1532" i="1" s="1"/>
  <c r="AJ1099" i="1"/>
  <c r="AL1098" i="1"/>
  <c r="AP1098" i="1" s="1"/>
  <c r="AJ2233" i="1"/>
  <c r="AL2233" i="1" s="1"/>
  <c r="AP2233" i="1" s="1"/>
  <c r="AJ1959" i="1"/>
  <c r="AL1958" i="1"/>
  <c r="AP1958" i="1" s="1"/>
  <c r="AJ1757" i="1"/>
  <c r="AL1757" i="1" s="1"/>
  <c r="AL1756" i="1"/>
  <c r="AP1756" i="1" s="1"/>
  <c r="AJ2166" i="1"/>
  <c r="AJ937" i="1"/>
  <c r="AL937" i="1" s="1"/>
  <c r="AL936" i="1"/>
  <c r="AP936" i="1" s="1"/>
  <c r="AJ1808" i="1"/>
  <c r="AL1808" i="1" s="1"/>
  <c r="AL1807" i="1"/>
  <c r="AP1807" i="1" s="1"/>
  <c r="AJ1314" i="1"/>
  <c r="AL1313" i="1"/>
  <c r="AP1313" i="1" s="1"/>
  <c r="AJ1400" i="1"/>
  <c r="AL1400" i="1" s="1"/>
  <c r="AP1400" i="1" s="1"/>
  <c r="AJ1321" i="1"/>
  <c r="AJ1258" i="1"/>
  <c r="AJ1074" i="1"/>
  <c r="AL1074" i="1" s="1"/>
  <c r="AL1073" i="1"/>
  <c r="AP1073" i="1" s="1"/>
  <c r="AJ1869" i="1"/>
  <c r="AL1869" i="1" s="1"/>
  <c r="AL1868" i="1"/>
  <c r="AP1868" i="1" s="1"/>
  <c r="AJ1514" i="1"/>
  <c r="AL1514" i="1" s="1"/>
  <c r="AL1513" i="1"/>
  <c r="AP1513" i="1" s="1"/>
  <c r="AJ2077" i="1"/>
  <c r="AL2076" i="1"/>
  <c r="AP2076" i="1" s="1"/>
  <c r="AJ1127" i="1"/>
  <c r="AL1127" i="1" s="1"/>
  <c r="AL1126" i="1"/>
  <c r="AP1126" i="1" s="1"/>
  <c r="AJ2060" i="1"/>
  <c r="AL2059" i="1"/>
  <c r="AP2059" i="1" s="1"/>
  <c r="AJ2353" i="1"/>
  <c r="AJ1372" i="1"/>
  <c r="AL1372" i="1" s="1"/>
  <c r="AP1372" i="1" s="1"/>
  <c r="AJ1840" i="1"/>
  <c r="AL1840" i="1" s="1"/>
  <c r="AL1839" i="1"/>
  <c r="AP1839" i="1" s="1"/>
  <c r="AJ1142" i="1"/>
  <c r="AL1142" i="1" s="1"/>
  <c r="AP1142" i="1" s="1"/>
  <c r="AJ1119" i="1"/>
  <c r="AL1118" i="1"/>
  <c r="AP1118" i="1" s="1"/>
  <c r="AJ1252" i="1"/>
  <c r="AL1252" i="1" s="1"/>
  <c r="AP1252" i="1" s="1"/>
  <c r="AJ1357" i="1"/>
  <c r="AL1356" i="1"/>
  <c r="AP1356" i="1" s="1"/>
  <c r="AJ1148" i="1"/>
  <c r="AL1148" i="1" s="1"/>
  <c r="AP1148" i="1" s="1"/>
  <c r="AJ985" i="1"/>
  <c r="AL985" i="1" s="1"/>
  <c r="AL984" i="1"/>
  <c r="AP984" i="1" s="1"/>
  <c r="AJ879" i="1"/>
  <c r="AL879" i="1" s="1"/>
  <c r="AP879" i="1" s="1"/>
  <c r="AJ2218" i="1"/>
  <c r="AL2218" i="1" s="1"/>
  <c r="AL2217" i="1"/>
  <c r="AP2217" i="1" s="1"/>
  <c r="AJ877" i="1"/>
  <c r="AL877" i="1" s="1"/>
  <c r="AL876" i="1"/>
  <c r="AP876" i="1" s="1"/>
  <c r="AJ2265" i="1"/>
  <c r="AL2265" i="1" s="1"/>
  <c r="AL2264" i="1"/>
  <c r="AP2264" i="1" s="1"/>
  <c r="AJ1793" i="1"/>
  <c r="AL1792" i="1"/>
  <c r="AP1792" i="1" s="1"/>
  <c r="AJ2278" i="1"/>
  <c r="AL2278" i="1" s="1"/>
  <c r="AP2278" i="1" s="1"/>
  <c r="AJ1414" i="1"/>
  <c r="AL1413" i="1"/>
  <c r="AP1413" i="1" s="1"/>
  <c r="AJ2080" i="1"/>
  <c r="AL2079" i="1"/>
  <c r="AP2079" i="1" s="1"/>
  <c r="AJ1569" i="1"/>
  <c r="AL1569" i="1" s="1"/>
  <c r="AL1568" i="1"/>
  <c r="AP1568" i="1" s="1"/>
  <c r="AJ1494" i="1"/>
  <c r="AJ1735" i="1"/>
  <c r="AL1734" i="1"/>
  <c r="AP1734" i="1" s="1"/>
  <c r="AJ1697" i="1"/>
  <c r="AL1697" i="1" s="1"/>
  <c r="AL1696" i="1"/>
  <c r="AP1696" i="1" s="1"/>
  <c r="AJ1950" i="1"/>
  <c r="AL1950" i="1" s="1"/>
  <c r="AL1949" i="1"/>
  <c r="AP1949" i="1" s="1"/>
  <c r="AJ1755" i="1"/>
  <c r="AL1755" i="1" s="1"/>
  <c r="AL1754" i="1"/>
  <c r="AP1754" i="1" s="1"/>
  <c r="AJ1878" i="1"/>
  <c r="AL1878" i="1" s="1"/>
  <c r="AP1878" i="1" s="1"/>
  <c r="AJ2210" i="1"/>
  <c r="AL2209" i="1"/>
  <c r="AP2209" i="1" s="1"/>
  <c r="AJ2293" i="1"/>
  <c r="AL2292" i="1"/>
  <c r="AP2292" i="1" s="1"/>
  <c r="AJ1724" i="1"/>
  <c r="AJ1549" i="1"/>
  <c r="AL1549" i="1" s="1"/>
  <c r="AL1548" i="1"/>
  <c r="AP1548" i="1" s="1"/>
  <c r="AJ901" i="1"/>
  <c r="AL901" i="1" s="1"/>
  <c r="AP901" i="1" s="1"/>
  <c r="AJ1094" i="1"/>
  <c r="AL1094" i="1" s="1"/>
  <c r="AP1094" i="1" s="1"/>
  <c r="AJ1303" i="1"/>
  <c r="AL1302" i="1"/>
  <c r="AP1302" i="1" s="1"/>
  <c r="AJ1872" i="1"/>
  <c r="AL1872" i="1" s="1"/>
  <c r="AL1871" i="1"/>
  <c r="AP1871" i="1" s="1"/>
  <c r="AJ1194" i="1"/>
  <c r="AL1194" i="1" s="1"/>
  <c r="AL1193" i="1"/>
  <c r="AP1193" i="1" s="1"/>
  <c r="AJ873" i="1"/>
  <c r="AL873" i="1" s="1"/>
  <c r="AL872" i="1"/>
  <c r="AP872" i="1" s="1"/>
  <c r="AJ2245" i="1"/>
  <c r="AL2244" i="1"/>
  <c r="AP2244" i="1" s="1"/>
  <c r="AJ1361" i="1"/>
  <c r="AL1361" i="1" s="1"/>
  <c r="AP1361" i="1" s="1"/>
  <c r="AJ1774" i="1"/>
  <c r="AL1773" i="1"/>
  <c r="AP1773" i="1" s="1"/>
  <c r="AJ1531" i="1"/>
  <c r="AL1531" i="1" s="1"/>
  <c r="AL1530" i="1"/>
  <c r="AP1530" i="1" s="1"/>
  <c r="AP1531" i="1" s="1"/>
  <c r="AJ2400" i="1"/>
  <c r="AL2400" i="1" s="1"/>
  <c r="AL2399" i="1"/>
  <c r="AP2399" i="1" s="1"/>
  <c r="AJ2288" i="1"/>
  <c r="AL2287" i="1"/>
  <c r="AP2287" i="1" s="1"/>
  <c r="AJ989" i="1"/>
  <c r="AL989" i="1" s="1"/>
  <c r="AL988" i="1"/>
  <c r="AP988" i="1" s="1"/>
  <c r="AP2417" i="1"/>
  <c r="AJ1657" i="1"/>
  <c r="AL1656" i="1"/>
  <c r="AP1656" i="1" s="1"/>
  <c r="AJ2155" i="1"/>
  <c r="AL2154" i="1"/>
  <c r="AP2154" i="1" s="1"/>
  <c r="AJ1219" i="1"/>
  <c r="AL1219" i="1" s="1"/>
  <c r="AL1218" i="1"/>
  <c r="AP1218" i="1" s="1"/>
  <c r="AJ1741" i="1"/>
  <c r="AL1740" i="1"/>
  <c r="AP1740" i="1" s="1"/>
  <c r="AJ1135" i="1"/>
  <c r="AL1135" i="1" s="1"/>
  <c r="AL1134" i="1"/>
  <c r="AP1134" i="1" s="1"/>
  <c r="AJ1325" i="1"/>
  <c r="AL1325" i="1" s="1"/>
  <c r="AL1324" i="1"/>
  <c r="AP1324" i="1" s="1"/>
  <c r="AJ1271" i="1"/>
  <c r="AL1271" i="1" s="1"/>
  <c r="AL1270" i="1"/>
  <c r="AP1270" i="1" s="1"/>
  <c r="AJ2386" i="1"/>
  <c r="AL2385" i="1"/>
  <c r="AP2385" i="1" s="1"/>
  <c r="AJ1739" i="1"/>
  <c r="AL1739" i="1" s="1"/>
  <c r="AL1738" i="1"/>
  <c r="AP1738" i="1" s="1"/>
  <c r="AJ1681" i="1"/>
  <c r="AL1680" i="1"/>
  <c r="AP1680" i="1" s="1"/>
  <c r="AJ1567" i="1"/>
  <c r="AL1567" i="1" s="1"/>
  <c r="AP1567" i="1" s="1"/>
  <c r="AJ2231" i="1"/>
  <c r="AL2231" i="1" s="1"/>
  <c r="AL2230" i="1"/>
  <c r="AP2230" i="1" s="1"/>
  <c r="AJ1330" i="1"/>
  <c r="AL1330" i="1" s="1"/>
  <c r="AP1330" i="1" s="1"/>
  <c r="AJ2177" i="1"/>
  <c r="AL2176" i="1"/>
  <c r="AP2176" i="1" s="1"/>
  <c r="AJ946" i="1"/>
  <c r="AL946" i="1" s="1"/>
  <c r="AL945" i="1"/>
  <c r="AP945" i="1" s="1"/>
  <c r="AJ1859" i="1"/>
  <c r="AL1859" i="1" s="1"/>
  <c r="AL1858" i="1"/>
  <c r="AP1858" i="1" s="1"/>
  <c r="AJ1998" i="1"/>
  <c r="AL1998" i="1" s="1"/>
  <c r="AL1997" i="1"/>
  <c r="AP1997" i="1" s="1"/>
  <c r="AJ1952" i="1"/>
  <c r="AL1951" i="1"/>
  <c r="AP1951" i="1" s="1"/>
  <c r="AJ2174" i="1"/>
  <c r="AL2173" i="1"/>
  <c r="AP2173" i="1" s="1"/>
  <c r="AJ2274" i="1"/>
  <c r="AL2274" i="1" s="1"/>
  <c r="AL2273" i="1"/>
  <c r="AP2273" i="1" s="1"/>
  <c r="AJ1384" i="1"/>
  <c r="AL1384" i="1" s="1"/>
  <c r="AP1384" i="1" s="1"/>
  <c r="AJ1753" i="1"/>
  <c r="AL1753" i="1" s="1"/>
  <c r="AL1752" i="1"/>
  <c r="AP1752" i="1" s="1"/>
  <c r="AJ915" i="1"/>
  <c r="AL915" i="1" s="1"/>
  <c r="AL914" i="1"/>
  <c r="AP914" i="1" s="1"/>
  <c r="AJ2012" i="1"/>
  <c r="AJ1006" i="1"/>
  <c r="AL1006" i="1" s="1"/>
  <c r="AL1005" i="1"/>
  <c r="AP1005" i="1" s="1"/>
  <c r="AJ2419" i="1"/>
  <c r="AK5" i="1"/>
  <c r="AJ5" i="1"/>
  <c r="AL5" i="1" s="1"/>
  <c r="AP5" i="1" s="1"/>
  <c r="BB14" i="1"/>
  <c r="BT1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AL2" i="1"/>
  <c r="AM2" i="1"/>
  <c r="AK3" i="1"/>
  <c r="AJ3" i="1"/>
  <c r="BM3" i="1"/>
  <c r="AT3" i="8"/>
  <c r="AL1336" i="1" l="1"/>
  <c r="AP1336" i="1" s="1"/>
  <c r="AP1085" i="1"/>
  <c r="AJ1956" i="1"/>
  <c r="AL1956" i="1" s="1"/>
  <c r="AP1956" i="1" s="1"/>
  <c r="AP1213" i="1"/>
  <c r="AP1217" i="1"/>
  <c r="AP1833" i="1"/>
  <c r="AP2218" i="1"/>
  <c r="AJ1587" i="1"/>
  <c r="AL1587" i="1" s="1"/>
  <c r="AP1587" i="1" s="1"/>
  <c r="AP1221" i="1"/>
  <c r="AP2137" i="1"/>
  <c r="AP1271" i="1"/>
  <c r="AP989" i="1"/>
  <c r="AP1074" i="1"/>
  <c r="AP2309" i="1"/>
  <c r="AP987" i="1"/>
  <c r="AP1185" i="1"/>
  <c r="AP1751" i="1"/>
  <c r="AP1753" i="1"/>
  <c r="AP1123" i="1"/>
  <c r="AP1665" i="1"/>
  <c r="AP1504" i="1"/>
  <c r="AP2125" i="1"/>
  <c r="AP1719" i="1"/>
  <c r="AJ1161" i="1"/>
  <c r="AL1161" i="1" s="1"/>
  <c r="AP1161" i="1" s="1"/>
  <c r="AP965" i="1"/>
  <c r="AP1183" i="1"/>
  <c r="AL962" i="1"/>
  <c r="AP962" i="1" s="1"/>
  <c r="AJ963" i="1"/>
  <c r="AL963" i="1" s="1"/>
  <c r="AP1219" i="1"/>
  <c r="AP985" i="1"/>
  <c r="AP937" i="1"/>
  <c r="AL1880" i="1"/>
  <c r="AP1880" i="1" s="1"/>
  <c r="AP1881" i="1" s="1"/>
  <c r="AP1757" i="1"/>
  <c r="AP921" i="1"/>
  <c r="AP2181" i="1"/>
  <c r="AP1998" i="1"/>
  <c r="AP1097" i="1"/>
  <c r="AP1421" i="1"/>
  <c r="AP1874" i="1"/>
  <c r="AP1872" i="1"/>
  <c r="AP1950" i="1"/>
  <c r="AP1925" i="1"/>
  <c r="AP1840" i="1"/>
  <c r="AJ1712" i="1"/>
  <c r="AL1712" i="1" s="1"/>
  <c r="AP1712" i="1" s="1"/>
  <c r="AP1135" i="1"/>
  <c r="AP877" i="1"/>
  <c r="AP1497" i="1"/>
  <c r="AJ1632" i="1"/>
  <c r="AL1632" i="1" s="1"/>
  <c r="AP1632" i="1" s="1"/>
  <c r="AP1465" i="1"/>
  <c r="AL1236" i="1"/>
  <c r="AP1236" i="1" s="1"/>
  <c r="AJ1237" i="1"/>
  <c r="AL1237" i="1" s="1"/>
  <c r="AP1237" i="1" s="1"/>
  <c r="AP2065" i="1"/>
  <c r="AP2121" i="1"/>
  <c r="AL1057" i="1"/>
  <c r="AP1057" i="1" s="1"/>
  <c r="AJ1058" i="1"/>
  <c r="AL1058" i="1" s="1"/>
  <c r="AL1290" i="1"/>
  <c r="AP1290" i="1" s="1"/>
  <c r="AJ1291" i="1"/>
  <c r="AL1291" i="1" s="1"/>
  <c r="AP915" i="1"/>
  <c r="AL1333" i="1"/>
  <c r="AP1333" i="1" s="1"/>
  <c r="AJ1334" i="1"/>
  <c r="AL1334" i="1" s="1"/>
  <c r="AP1439" i="1"/>
  <c r="AP1517" i="1"/>
  <c r="AP1867" i="1"/>
  <c r="AP2274" i="1"/>
  <c r="AP1697" i="1"/>
  <c r="AP2050" i="1"/>
  <c r="AL1407" i="1"/>
  <c r="AP1407" i="1" s="1"/>
  <c r="AJ1408" i="1"/>
  <c r="AL1408" i="1" s="1"/>
  <c r="AP1533" i="1"/>
  <c r="AL2330" i="1"/>
  <c r="AP2330" i="1" s="1"/>
  <c r="AP2331" i="1" s="1"/>
  <c r="AP873" i="1"/>
  <c r="AP1869" i="1"/>
  <c r="AP2345" i="1"/>
  <c r="AP2213" i="1"/>
  <c r="AP1749" i="1"/>
  <c r="AP1931" i="1"/>
  <c r="AP2127" i="1"/>
  <c r="AP1755" i="1"/>
  <c r="AP1853" i="1"/>
  <c r="AP1799" i="1"/>
  <c r="AP1006" i="1"/>
  <c r="AP1859" i="1"/>
  <c r="AP946" i="1"/>
  <c r="AJ2289" i="1"/>
  <c r="AL2289" i="1" s="1"/>
  <c r="AL2288" i="1"/>
  <c r="AP2288" i="1" s="1"/>
  <c r="AL1321" i="1"/>
  <c r="AP1321" i="1" s="1"/>
  <c r="AJ1322" i="1"/>
  <c r="AL1322" i="1" s="1"/>
  <c r="AL2163" i="1"/>
  <c r="AP2163" i="1" s="1"/>
  <c r="AJ2164" i="1"/>
  <c r="AL2164" i="1" s="1"/>
  <c r="AL1639" i="1"/>
  <c r="AP1639" i="1" s="1"/>
  <c r="AJ1640" i="1"/>
  <c r="AL1640" i="1" s="1"/>
  <c r="AJ2302" i="1"/>
  <c r="AL2302" i="1" s="1"/>
  <c r="AL2301" i="1"/>
  <c r="AP2301" i="1" s="1"/>
  <c r="AJ2222" i="1"/>
  <c r="AL2222" i="1" s="1"/>
  <c r="AL2221" i="1"/>
  <c r="AP2221" i="1" s="1"/>
  <c r="AP1021" i="1"/>
  <c r="AL2353" i="1"/>
  <c r="AP2353" i="1" s="1"/>
  <c r="AJ2354" i="1"/>
  <c r="AL2354" i="1" s="1"/>
  <c r="AJ1154" i="1"/>
  <c r="AL1154" i="1" s="1"/>
  <c r="AL1153" i="1"/>
  <c r="AP1153" i="1" s="1"/>
  <c r="AP1309" i="1"/>
  <c r="AP1679" i="1"/>
  <c r="AP1146" i="1"/>
  <c r="AP1928" i="1"/>
  <c r="AP1857" i="1"/>
  <c r="AL1139" i="1"/>
  <c r="AP1139" i="1" s="1"/>
  <c r="AJ1140" i="1"/>
  <c r="AL1140" i="1" s="1"/>
  <c r="AP2400" i="1"/>
  <c r="AJ1736" i="1"/>
  <c r="AL1736" i="1" s="1"/>
  <c r="AL1735" i="1"/>
  <c r="AP1735" i="1" s="1"/>
  <c r="AJ1315" i="1"/>
  <c r="AL1315" i="1" s="1"/>
  <c r="AL1314" i="1"/>
  <c r="AP1314" i="1" s="1"/>
  <c r="AL1105" i="1"/>
  <c r="AP1105" i="1" s="1"/>
  <c r="AJ1106" i="1"/>
  <c r="AL1106" i="1" s="1"/>
  <c r="AL2103" i="1"/>
  <c r="AP2103" i="1" s="1"/>
  <c r="AJ2104" i="1"/>
  <c r="AL2104" i="1" s="1"/>
  <c r="AJ1298" i="1"/>
  <c r="AL1298" i="1" s="1"/>
  <c r="AL1297" i="1"/>
  <c r="AP1297" i="1" s="1"/>
  <c r="AP2031" i="1"/>
  <c r="AP2075" i="1"/>
  <c r="AL1303" i="1"/>
  <c r="AP1303" i="1" s="1"/>
  <c r="AJ1304" i="1"/>
  <c r="AL1304" i="1" s="1"/>
  <c r="AP2231" i="1"/>
  <c r="AL1741" i="1"/>
  <c r="AP1741" i="1" s="1"/>
  <c r="AJ1742" i="1"/>
  <c r="AL1742" i="1" s="1"/>
  <c r="AP1549" i="1"/>
  <c r="AJ1495" i="1"/>
  <c r="AL1495" i="1" s="1"/>
  <c r="AL1494" i="1"/>
  <c r="AP1494" i="1" s="1"/>
  <c r="AJ2061" i="1"/>
  <c r="AL2061" i="1" s="1"/>
  <c r="AL2060" i="1"/>
  <c r="AP2060" i="1" s="1"/>
  <c r="AP1808" i="1"/>
  <c r="AP1717" i="1"/>
  <c r="AJ2314" i="1"/>
  <c r="AL2314" i="1" s="1"/>
  <c r="AL2313" i="1"/>
  <c r="AP2313" i="1" s="1"/>
  <c r="AP1337" i="1"/>
  <c r="AP1527" i="1"/>
  <c r="AJ1301" i="1"/>
  <c r="AL1301" i="1" s="1"/>
  <c r="AL1300" i="1"/>
  <c r="AP1300" i="1" s="1"/>
  <c r="AP1797" i="1"/>
  <c r="AP1851" i="1"/>
  <c r="AJ1775" i="1"/>
  <c r="AL1775" i="1" s="1"/>
  <c r="AL1774" i="1"/>
  <c r="AP1774" i="1" s="1"/>
  <c r="AJ1725" i="1"/>
  <c r="AL1725" i="1" s="1"/>
  <c r="AL1724" i="1"/>
  <c r="AP1724" i="1" s="1"/>
  <c r="AP1569" i="1"/>
  <c r="AP1127" i="1"/>
  <c r="AP1581" i="1"/>
  <c r="AP2235" i="1"/>
  <c r="AL1431" i="1"/>
  <c r="AP1431" i="1" s="1"/>
  <c r="AJ1432" i="1"/>
  <c r="AL1432" i="1" s="1"/>
  <c r="AJ1405" i="1"/>
  <c r="AL1405" i="1" s="1"/>
  <c r="AL1404" i="1"/>
  <c r="AP1404" i="1" s="1"/>
  <c r="AP1405" i="1" s="1"/>
  <c r="AJ2254" i="1"/>
  <c r="AL2254" i="1" s="1"/>
  <c r="AL2253" i="1"/>
  <c r="AP2253" i="1" s="1"/>
  <c r="AJ1544" i="1"/>
  <c r="AL1544" i="1" s="1"/>
  <c r="AL1543" i="1"/>
  <c r="AP1543" i="1" s="1"/>
  <c r="AJ2175" i="1"/>
  <c r="AL2175" i="1" s="1"/>
  <c r="AL2174" i="1"/>
  <c r="AP2174" i="1" s="1"/>
  <c r="AL1614" i="1"/>
  <c r="AP1614" i="1" s="1"/>
  <c r="AJ1615" i="1"/>
  <c r="AL1615" i="1" s="1"/>
  <c r="AL1458" i="1"/>
  <c r="AP1458" i="1" s="1"/>
  <c r="AJ1459" i="1"/>
  <c r="AL1459" i="1" s="1"/>
  <c r="AP1459" i="1" s="1"/>
  <c r="AL1483" i="1"/>
  <c r="AP1483" i="1" s="1"/>
  <c r="AJ1484" i="1"/>
  <c r="AL1484" i="1" s="1"/>
  <c r="AL1939" i="1"/>
  <c r="AP1939" i="1" s="1"/>
  <c r="AJ1940" i="1"/>
  <c r="AL1940" i="1" s="1"/>
  <c r="AJ1053" i="1"/>
  <c r="AL1053" i="1" s="1"/>
  <c r="AL1052" i="1"/>
  <c r="AP1052" i="1" s="1"/>
  <c r="AP1053" i="1" s="1"/>
  <c r="AJ2178" i="1"/>
  <c r="AL2178" i="1" s="1"/>
  <c r="AL2177" i="1"/>
  <c r="AP2177" i="1" s="1"/>
  <c r="AJ1682" i="1"/>
  <c r="AL1681" i="1"/>
  <c r="AP1681" i="1" s="1"/>
  <c r="AJ2294" i="1"/>
  <c r="AL2294" i="1" s="1"/>
  <c r="AL2293" i="1"/>
  <c r="AP2293" i="1" s="1"/>
  <c r="AL2080" i="1"/>
  <c r="AP2080" i="1" s="1"/>
  <c r="AJ2081" i="1"/>
  <c r="AL2081" i="1" s="1"/>
  <c r="AL2077" i="1"/>
  <c r="AP2077" i="1" s="1"/>
  <c r="AJ2078" i="1"/>
  <c r="AL2078" i="1" s="1"/>
  <c r="AJ2167" i="1"/>
  <c r="AL2167" i="1" s="1"/>
  <c r="AL2166" i="1"/>
  <c r="AP2166" i="1" s="1"/>
  <c r="AP1551" i="1"/>
  <c r="AJ2320" i="1"/>
  <c r="AL2320" i="1" s="1"/>
  <c r="AL2319" i="1"/>
  <c r="AP2319" i="1" s="1"/>
  <c r="AJ1823" i="1"/>
  <c r="AL1823" i="1" s="1"/>
  <c r="AL1822" i="1"/>
  <c r="AP1822" i="1" s="1"/>
  <c r="AJ1846" i="1"/>
  <c r="AL1846" i="1" s="1"/>
  <c r="AL1845" i="1"/>
  <c r="AP1845" i="1" s="1"/>
  <c r="AL1731" i="1"/>
  <c r="AP1731" i="1" s="1"/>
  <c r="AJ1732" i="1"/>
  <c r="AL1732" i="1" s="1"/>
  <c r="AP1732" i="1" s="1"/>
  <c r="AL1952" i="1"/>
  <c r="AP1952" i="1" s="1"/>
  <c r="AJ1953" i="1"/>
  <c r="AL1953" i="1" s="1"/>
  <c r="AP1739" i="1"/>
  <c r="AJ2156" i="1"/>
  <c r="AL2156" i="1" s="1"/>
  <c r="AL2155" i="1"/>
  <c r="AP2155" i="1" s="1"/>
  <c r="AJ2246" i="1"/>
  <c r="AL2246" i="1" s="1"/>
  <c r="AL2245" i="1"/>
  <c r="AP2245" i="1" s="1"/>
  <c r="AP1514" i="1"/>
  <c r="AP1129" i="1"/>
  <c r="AP1607" i="1"/>
  <c r="AP1079" i="1"/>
  <c r="AJ1914" i="1"/>
  <c r="AL1914" i="1" s="1"/>
  <c r="AL1913" i="1"/>
  <c r="AP1913" i="1" s="1"/>
  <c r="AP2251" i="1"/>
  <c r="AL1280" i="1"/>
  <c r="AP1280" i="1" s="1"/>
  <c r="AJ1281" i="1"/>
  <c r="AJ2249" i="1"/>
  <c r="AL2249" i="1" s="1"/>
  <c r="AL2248" i="1"/>
  <c r="AP2248" i="1" s="1"/>
  <c r="AJ2211" i="1"/>
  <c r="AL2211" i="1" s="1"/>
  <c r="AL2210" i="1"/>
  <c r="AP2210" i="1" s="1"/>
  <c r="AL1414" i="1"/>
  <c r="AP1414" i="1" s="1"/>
  <c r="AJ1415" i="1"/>
  <c r="AL1415" i="1" s="1"/>
  <c r="AJ1358" i="1"/>
  <c r="AL1358" i="1" s="1"/>
  <c r="AL1357" i="1"/>
  <c r="AP1357" i="1" s="1"/>
  <c r="AL1746" i="1"/>
  <c r="AP1746" i="1" s="1"/>
  <c r="AJ1747" i="1"/>
  <c r="AL1747" i="1" s="1"/>
  <c r="AP1275" i="1"/>
  <c r="AP1178" i="1"/>
  <c r="AP2237" i="1"/>
  <c r="AP1975" i="1"/>
  <c r="AP1445" i="1"/>
  <c r="AP2018" i="1"/>
  <c r="AL2419" i="1"/>
  <c r="AP2419" i="1" s="1"/>
  <c r="AJ2420" i="1"/>
  <c r="AL2420" i="1" s="1"/>
  <c r="AJ1658" i="1"/>
  <c r="AL1658" i="1" s="1"/>
  <c r="AL1657" i="1"/>
  <c r="AP1657" i="1" s="1"/>
  <c r="AL1240" i="1"/>
  <c r="AP1240" i="1" s="1"/>
  <c r="AJ1241" i="1"/>
  <c r="AL1241" i="1" s="1"/>
  <c r="AJ1103" i="1"/>
  <c r="AL1103" i="1" s="1"/>
  <c r="AL1102" i="1"/>
  <c r="AP1102" i="1" s="1"/>
  <c r="AJ1418" i="1"/>
  <c r="AL1418" i="1" s="1"/>
  <c r="AL1417" i="1"/>
  <c r="AP1417" i="1" s="1"/>
  <c r="AL1447" i="1"/>
  <c r="AP1447" i="1" s="1"/>
  <c r="AJ1448" i="1"/>
  <c r="AL1448" i="1" s="1"/>
  <c r="AJ2387" i="1"/>
  <c r="AL2387" i="1" s="1"/>
  <c r="AL2386" i="1"/>
  <c r="AP2386" i="1" s="1"/>
  <c r="AP1194" i="1"/>
  <c r="AL1959" i="1"/>
  <c r="AP1959" i="1" s="1"/>
  <c r="AJ1960" i="1"/>
  <c r="AL1960" i="1" s="1"/>
  <c r="AP2000" i="1"/>
  <c r="AL2035" i="1"/>
  <c r="AP2035" i="1" s="1"/>
  <c r="AJ2036" i="1"/>
  <c r="AL2036" i="1" s="1"/>
  <c r="AP2389" i="1"/>
  <c r="AP1886" i="1"/>
  <c r="AJ1120" i="1"/>
  <c r="AL1119" i="1"/>
  <c r="AP1119" i="1" s="1"/>
  <c r="AJ2374" i="1"/>
  <c r="AL2374" i="1" s="1"/>
  <c r="AL2373" i="1"/>
  <c r="AP2373" i="1" s="1"/>
  <c r="AL2391" i="1"/>
  <c r="AP2391" i="1" s="1"/>
  <c r="AJ2392" i="1"/>
  <c r="AL2392" i="1" s="1"/>
  <c r="AJ2013" i="1"/>
  <c r="AL2013" i="1" s="1"/>
  <c r="AL2012" i="1"/>
  <c r="AP2012" i="1" s="1"/>
  <c r="AL1793" i="1"/>
  <c r="AP1793" i="1" s="1"/>
  <c r="AJ1794" i="1"/>
  <c r="AL1794" i="1" s="1"/>
  <c r="AL870" i="1"/>
  <c r="AP870" i="1" s="1"/>
  <c r="AJ871" i="1"/>
  <c r="AL871" i="1" s="1"/>
  <c r="AP958" i="1"/>
  <c r="AP2215" i="1"/>
  <c r="AP1063" i="1"/>
  <c r="AL1265" i="1"/>
  <c r="AP1265" i="1" s="1"/>
  <c r="AJ1266" i="1"/>
  <c r="AL1266" i="1" s="1"/>
  <c r="AP1434" i="1"/>
  <c r="AP1895" i="1"/>
  <c r="AP1650" i="1"/>
  <c r="AP1325" i="1"/>
  <c r="AP2265" i="1"/>
  <c r="AJ1259" i="1"/>
  <c r="AL1259" i="1" s="1"/>
  <c r="AL1258" i="1"/>
  <c r="AP1258" i="1" s="1"/>
  <c r="AL1099" i="1"/>
  <c r="AP1099" i="1" s="1"/>
  <c r="AJ1100" i="1"/>
  <c r="AL1100" i="1" s="1"/>
  <c r="AP1255" i="1"/>
  <c r="AP1092" i="1"/>
  <c r="AP1083" i="1"/>
  <c r="AP950" i="1"/>
  <c r="AP1529" i="1"/>
  <c r="AP1817" i="1"/>
  <c r="AL1890" i="1"/>
  <c r="AP1890" i="1" s="1"/>
  <c r="AJ1891" i="1"/>
  <c r="AL1891" i="1" s="1"/>
  <c r="AJ1346" i="1"/>
  <c r="AL1346" i="1" s="1"/>
  <c r="AL1345" i="1"/>
  <c r="AP1345" i="1" s="1"/>
  <c r="AJ2225" i="1"/>
  <c r="AL2225" i="1" s="1"/>
  <c r="AL2224" i="1"/>
  <c r="AP2224" i="1" s="1"/>
  <c r="AJ624" i="1"/>
  <c r="AL624" i="1" s="1"/>
  <c r="AP624" i="1" s="1"/>
  <c r="AK624" i="1"/>
  <c r="AJ701" i="1"/>
  <c r="AL701" i="1" s="1"/>
  <c r="AP701" i="1" s="1"/>
  <c r="AK701" i="1"/>
  <c r="AJ173" i="1"/>
  <c r="AL173" i="1" s="1"/>
  <c r="AP173" i="1" s="1"/>
  <c r="AK173" i="1"/>
  <c r="AJ795" i="1"/>
  <c r="AL795" i="1" s="1"/>
  <c r="AP795" i="1" s="1"/>
  <c r="AK795" i="1"/>
  <c r="AJ619" i="1"/>
  <c r="AL619" i="1" s="1"/>
  <c r="AP619" i="1" s="1"/>
  <c r="AK619" i="1"/>
  <c r="AJ299" i="1"/>
  <c r="AL299" i="1" s="1"/>
  <c r="AP299" i="1" s="1"/>
  <c r="AK299" i="1"/>
  <c r="AK817" i="1"/>
  <c r="AJ817" i="1"/>
  <c r="AL817" i="1" s="1"/>
  <c r="AP817" i="1" s="1"/>
  <c r="AJ769" i="1"/>
  <c r="AL769" i="1" s="1"/>
  <c r="AP769" i="1" s="1"/>
  <c r="AK769" i="1"/>
  <c r="AJ705" i="1"/>
  <c r="AL705" i="1" s="1"/>
  <c r="AP705" i="1" s="1"/>
  <c r="AK705" i="1"/>
  <c r="AJ689" i="1"/>
  <c r="AL689" i="1" s="1"/>
  <c r="AP689" i="1" s="1"/>
  <c r="AK689" i="1"/>
  <c r="AJ673" i="1"/>
  <c r="AL673" i="1" s="1"/>
  <c r="AP673" i="1" s="1"/>
  <c r="AK673" i="1"/>
  <c r="AJ625" i="1"/>
  <c r="AL625" i="1" s="1"/>
  <c r="AP625" i="1" s="1"/>
  <c r="AK625" i="1"/>
  <c r="AJ609" i="1"/>
  <c r="AL609" i="1" s="1"/>
  <c r="AP609" i="1" s="1"/>
  <c r="AK609" i="1"/>
  <c r="AJ593" i="1"/>
  <c r="AL593" i="1" s="1"/>
  <c r="AP593" i="1" s="1"/>
  <c r="AK593" i="1"/>
  <c r="AJ561" i="1"/>
  <c r="AL561" i="1" s="1"/>
  <c r="AP561" i="1" s="1"/>
  <c r="AK561" i="1"/>
  <c r="AJ545" i="1"/>
  <c r="AL545" i="1" s="1"/>
  <c r="AP545" i="1" s="1"/>
  <c r="AK545" i="1"/>
  <c r="AJ497" i="1"/>
  <c r="AL497" i="1" s="1"/>
  <c r="AP497" i="1" s="1"/>
  <c r="AK497" i="1"/>
  <c r="AJ465" i="1"/>
  <c r="AL465" i="1" s="1"/>
  <c r="AP465" i="1" s="1"/>
  <c r="AK465" i="1"/>
  <c r="AK433" i="1"/>
  <c r="AJ433" i="1"/>
  <c r="AL433" i="1" s="1"/>
  <c r="AP433" i="1" s="1"/>
  <c r="AJ305" i="1"/>
  <c r="AL305" i="1" s="1"/>
  <c r="AP305" i="1" s="1"/>
  <c r="AK305" i="1"/>
  <c r="AJ273" i="1"/>
  <c r="AL273" i="1" s="1"/>
  <c r="AP273" i="1" s="1"/>
  <c r="AK273" i="1"/>
  <c r="AJ241" i="1"/>
  <c r="AL241" i="1" s="1"/>
  <c r="AP241" i="1" s="1"/>
  <c r="AK241" i="1"/>
  <c r="AJ225" i="1"/>
  <c r="AL225" i="1" s="1"/>
  <c r="AP225" i="1" s="1"/>
  <c r="AK225" i="1"/>
  <c r="AJ129" i="1"/>
  <c r="AL129" i="1" s="1"/>
  <c r="AP129" i="1" s="1"/>
  <c r="AK129" i="1"/>
  <c r="AJ97" i="1"/>
  <c r="AL97" i="1" s="1"/>
  <c r="AP97" i="1" s="1"/>
  <c r="AK97" i="1"/>
  <c r="AJ33" i="1"/>
  <c r="AL33" i="1" s="1"/>
  <c r="AP33" i="1" s="1"/>
  <c r="AK33" i="1"/>
  <c r="AJ544" i="1"/>
  <c r="AL544" i="1" s="1"/>
  <c r="AP544" i="1" s="1"/>
  <c r="AK544" i="1"/>
  <c r="AJ464" i="1"/>
  <c r="AL464" i="1" s="1"/>
  <c r="AP464" i="1" s="1"/>
  <c r="AK464" i="1"/>
  <c r="AJ432" i="1"/>
  <c r="AL432" i="1" s="1"/>
  <c r="AP432" i="1" s="1"/>
  <c r="AK432" i="1"/>
  <c r="AJ416" i="1"/>
  <c r="AL416" i="1" s="1"/>
  <c r="AP416" i="1" s="1"/>
  <c r="AK416" i="1"/>
  <c r="AJ304" i="1"/>
  <c r="AL304" i="1" s="1"/>
  <c r="AP304" i="1" s="1"/>
  <c r="AK304" i="1"/>
  <c r="AJ272" i="1"/>
  <c r="AL272" i="1" s="1"/>
  <c r="AP272" i="1" s="1"/>
  <c r="AK272" i="1"/>
  <c r="AJ256" i="1"/>
  <c r="AL256" i="1" s="1"/>
  <c r="AP256" i="1" s="1"/>
  <c r="AK256" i="1"/>
  <c r="AK240" i="1"/>
  <c r="AJ240" i="1"/>
  <c r="AL240" i="1" s="1"/>
  <c r="AP240" i="1" s="1"/>
  <c r="AJ208" i="1"/>
  <c r="AL208" i="1" s="1"/>
  <c r="AP208" i="1" s="1"/>
  <c r="AK208" i="1"/>
  <c r="AJ144" i="1"/>
  <c r="AL144" i="1" s="1"/>
  <c r="AP144" i="1" s="1"/>
  <c r="AK144" i="1"/>
  <c r="AJ96" i="1"/>
  <c r="AL96" i="1" s="1"/>
  <c r="AP96" i="1" s="1"/>
  <c r="AK96" i="1"/>
  <c r="AJ80" i="1"/>
  <c r="AL80" i="1" s="1"/>
  <c r="AP80" i="1" s="1"/>
  <c r="AK80" i="1"/>
  <c r="AJ48" i="1"/>
  <c r="AL48" i="1" s="1"/>
  <c r="AP48" i="1" s="1"/>
  <c r="AK48" i="1"/>
  <c r="AJ32" i="1"/>
  <c r="AL32" i="1" s="1"/>
  <c r="AP32" i="1" s="1"/>
  <c r="AK32" i="1"/>
  <c r="AJ687" i="1"/>
  <c r="AL687" i="1" s="1"/>
  <c r="AP687" i="1" s="1"/>
  <c r="AK687" i="1"/>
  <c r="AK447" i="1"/>
  <c r="AJ447" i="1"/>
  <c r="AL447" i="1" s="1"/>
  <c r="AP447" i="1" s="1"/>
  <c r="AK415" i="1"/>
  <c r="AJ415" i="1"/>
  <c r="AL415" i="1" s="1"/>
  <c r="AP415" i="1" s="1"/>
  <c r="AJ383" i="1"/>
  <c r="AL383" i="1" s="1"/>
  <c r="AP383" i="1" s="1"/>
  <c r="AK383" i="1"/>
  <c r="AK303" i="1"/>
  <c r="AJ303" i="1"/>
  <c r="AL303" i="1" s="1"/>
  <c r="AP303" i="1" s="1"/>
  <c r="AJ271" i="1"/>
  <c r="AL271" i="1" s="1"/>
  <c r="AP271" i="1" s="1"/>
  <c r="AK271" i="1"/>
  <c r="AJ239" i="1"/>
  <c r="AL239" i="1" s="1"/>
  <c r="AP239" i="1" s="1"/>
  <c r="AK239" i="1"/>
  <c r="AJ223" i="1"/>
  <c r="AL223" i="1" s="1"/>
  <c r="AP223" i="1" s="1"/>
  <c r="AK223" i="1"/>
  <c r="AJ207" i="1"/>
  <c r="AL207" i="1" s="1"/>
  <c r="AP207" i="1" s="1"/>
  <c r="AK207" i="1"/>
  <c r="AJ143" i="1"/>
  <c r="AL143" i="1" s="1"/>
  <c r="AP143" i="1" s="1"/>
  <c r="AK143" i="1"/>
  <c r="AK111" i="1"/>
  <c r="AJ111" i="1"/>
  <c r="AL111" i="1" s="1"/>
  <c r="AP111" i="1" s="1"/>
  <c r="AJ79" i="1"/>
  <c r="AL79" i="1" s="1"/>
  <c r="AP79" i="1" s="1"/>
  <c r="AK79" i="1"/>
  <c r="AK31" i="1"/>
  <c r="AJ31" i="1"/>
  <c r="AL31" i="1" s="1"/>
  <c r="AP31" i="1" s="1"/>
  <c r="AJ688" i="1"/>
  <c r="AL688" i="1" s="1"/>
  <c r="AP688" i="1" s="1"/>
  <c r="AK688" i="1"/>
  <c r="AJ815" i="1"/>
  <c r="AL815" i="1" s="1"/>
  <c r="AP815" i="1" s="1"/>
  <c r="AK815" i="1"/>
  <c r="AJ767" i="1"/>
  <c r="AL767" i="1" s="1"/>
  <c r="AP767" i="1" s="1"/>
  <c r="AK767" i="1"/>
  <c r="AK703" i="1"/>
  <c r="AJ703" i="1"/>
  <c r="AL703" i="1" s="1"/>
  <c r="AP703" i="1" s="1"/>
  <c r="AJ639" i="1"/>
  <c r="AL639" i="1" s="1"/>
  <c r="AP639" i="1" s="1"/>
  <c r="AK639" i="1"/>
  <c r="AJ623" i="1"/>
  <c r="AL623" i="1" s="1"/>
  <c r="AP623" i="1" s="1"/>
  <c r="AK623" i="1"/>
  <c r="AJ607" i="1"/>
  <c r="AL607" i="1" s="1"/>
  <c r="AP607" i="1" s="1"/>
  <c r="AK607" i="1"/>
  <c r="AK543" i="1"/>
  <c r="AJ543" i="1"/>
  <c r="AL543" i="1" s="1"/>
  <c r="AP543" i="1" s="1"/>
  <c r="AJ511" i="1"/>
  <c r="AL511" i="1" s="1"/>
  <c r="AP511" i="1" s="1"/>
  <c r="AK511" i="1"/>
  <c r="AJ431" i="1"/>
  <c r="AL431" i="1" s="1"/>
  <c r="AP431" i="1" s="1"/>
  <c r="AK431" i="1"/>
  <c r="AJ830" i="1"/>
  <c r="AL830" i="1" s="1"/>
  <c r="AP830" i="1" s="1"/>
  <c r="AK830" i="1"/>
  <c r="AJ814" i="1"/>
  <c r="AL814" i="1" s="1"/>
  <c r="AP814" i="1" s="1"/>
  <c r="AK814" i="1"/>
  <c r="AK766" i="1"/>
  <c r="AJ766" i="1"/>
  <c r="AL766" i="1" s="1"/>
  <c r="AP766" i="1" s="1"/>
  <c r="AJ734" i="1"/>
  <c r="AL734" i="1" s="1"/>
  <c r="AP734" i="1" s="1"/>
  <c r="AK734" i="1"/>
  <c r="AK702" i="1"/>
  <c r="AJ702" i="1"/>
  <c r="AL702" i="1" s="1"/>
  <c r="AP702" i="1" s="1"/>
  <c r="AK670" i="1"/>
  <c r="AJ670" i="1"/>
  <c r="AL670" i="1" s="1"/>
  <c r="AP670" i="1" s="1"/>
  <c r="AK638" i="1"/>
  <c r="AJ638" i="1"/>
  <c r="AL638" i="1" s="1"/>
  <c r="AP638" i="1" s="1"/>
  <c r="AJ622" i="1"/>
  <c r="AL622" i="1" s="1"/>
  <c r="AP622" i="1" s="1"/>
  <c r="AK622" i="1"/>
  <c r="AJ542" i="1"/>
  <c r="AL542" i="1" s="1"/>
  <c r="AP542" i="1" s="1"/>
  <c r="AK542" i="1"/>
  <c r="AJ494" i="1"/>
  <c r="AL494" i="1" s="1"/>
  <c r="AP494" i="1" s="1"/>
  <c r="AK494" i="1"/>
  <c r="AK446" i="1"/>
  <c r="AJ446" i="1"/>
  <c r="AL446" i="1" s="1"/>
  <c r="AP446" i="1" s="1"/>
  <c r="AK430" i="1"/>
  <c r="AJ430" i="1"/>
  <c r="AL430" i="1" s="1"/>
  <c r="AP430" i="1" s="1"/>
  <c r="AJ382" i="1"/>
  <c r="AL382" i="1" s="1"/>
  <c r="AP382" i="1" s="1"/>
  <c r="AK382" i="1"/>
  <c r="AJ366" i="1"/>
  <c r="AL366" i="1" s="1"/>
  <c r="AP366" i="1" s="1"/>
  <c r="AK366" i="1"/>
  <c r="AJ350" i="1"/>
  <c r="AL350" i="1" s="1"/>
  <c r="AP350" i="1" s="1"/>
  <c r="AK350" i="1"/>
  <c r="AJ334" i="1"/>
  <c r="AL334" i="1" s="1"/>
  <c r="AP334" i="1" s="1"/>
  <c r="AK334" i="1"/>
  <c r="AJ302" i="1"/>
  <c r="AL302" i="1" s="1"/>
  <c r="AP302" i="1" s="1"/>
  <c r="AK302" i="1"/>
  <c r="AJ270" i="1"/>
  <c r="AL270" i="1" s="1"/>
  <c r="AP270" i="1" s="1"/>
  <c r="AK270" i="1"/>
  <c r="AK238" i="1"/>
  <c r="AJ238" i="1"/>
  <c r="AL238" i="1" s="1"/>
  <c r="AP238" i="1" s="1"/>
  <c r="AJ174" i="1"/>
  <c r="AL174" i="1" s="1"/>
  <c r="AP174" i="1" s="1"/>
  <c r="AK174" i="1"/>
  <c r="AJ142" i="1"/>
  <c r="AL142" i="1" s="1"/>
  <c r="AP142" i="1" s="1"/>
  <c r="AK142" i="1"/>
  <c r="AJ110" i="1"/>
  <c r="AL110" i="1" s="1"/>
  <c r="AP110" i="1" s="1"/>
  <c r="AK110" i="1"/>
  <c r="AJ30" i="1"/>
  <c r="AL30" i="1" s="1"/>
  <c r="AP30" i="1" s="1"/>
  <c r="AK30" i="1"/>
  <c r="AK592" i="1"/>
  <c r="AJ592" i="1"/>
  <c r="AL592" i="1" s="1"/>
  <c r="AP592" i="1" s="1"/>
  <c r="AJ765" i="1"/>
  <c r="AL765" i="1" s="1"/>
  <c r="AP765" i="1" s="1"/>
  <c r="AK765" i="1"/>
  <c r="AJ493" i="1"/>
  <c r="AL493" i="1" s="1"/>
  <c r="AP493" i="1" s="1"/>
  <c r="AK493" i="1"/>
  <c r="AJ365" i="1"/>
  <c r="AL365" i="1" s="1"/>
  <c r="AP365" i="1" s="1"/>
  <c r="AK365" i="1"/>
  <c r="AJ349" i="1"/>
  <c r="AL349" i="1" s="1"/>
  <c r="AP349" i="1" s="1"/>
  <c r="AK349" i="1"/>
  <c r="AJ141" i="1"/>
  <c r="AL141" i="1" s="1"/>
  <c r="AP141" i="1" s="1"/>
  <c r="AK141" i="1"/>
  <c r="AK109" i="1"/>
  <c r="AJ109" i="1"/>
  <c r="AL109" i="1" s="1"/>
  <c r="AP109" i="1" s="1"/>
  <c r="AK45" i="1"/>
  <c r="AJ45" i="1"/>
  <c r="AL45" i="1" s="1"/>
  <c r="AP45" i="1" s="1"/>
  <c r="AJ29" i="1"/>
  <c r="AL29" i="1" s="1"/>
  <c r="AP29" i="1" s="1"/>
  <c r="AK29" i="1"/>
  <c r="AJ13" i="1"/>
  <c r="AL13" i="1" s="1"/>
  <c r="AP13" i="1" s="1"/>
  <c r="AK13" i="1"/>
  <c r="AJ860" i="1"/>
  <c r="AL860" i="1" s="1"/>
  <c r="AP860" i="1" s="1"/>
  <c r="AK860" i="1"/>
  <c r="AK828" i="1"/>
  <c r="AJ828" i="1"/>
  <c r="AL828" i="1" s="1"/>
  <c r="AP828" i="1" s="1"/>
  <c r="AJ796" i="1"/>
  <c r="AL796" i="1" s="1"/>
  <c r="AP796" i="1" s="1"/>
  <c r="AK796" i="1"/>
  <c r="AJ764" i="1"/>
  <c r="AL764" i="1" s="1"/>
  <c r="AP764" i="1" s="1"/>
  <c r="AK764" i="1"/>
  <c r="AJ700" i="1"/>
  <c r="AL700" i="1" s="1"/>
  <c r="AP700" i="1" s="1"/>
  <c r="AK700" i="1"/>
  <c r="AJ668" i="1"/>
  <c r="AL668" i="1" s="1"/>
  <c r="AP668" i="1" s="1"/>
  <c r="AK668" i="1"/>
  <c r="AJ620" i="1"/>
  <c r="AL620" i="1" s="1"/>
  <c r="AP620" i="1" s="1"/>
  <c r="AK620" i="1"/>
  <c r="AJ572" i="1"/>
  <c r="AL572" i="1" s="1"/>
  <c r="AP572" i="1" s="1"/>
  <c r="AK572" i="1"/>
  <c r="AJ540" i="1"/>
  <c r="AL540" i="1" s="1"/>
  <c r="AP540" i="1" s="1"/>
  <c r="AK540" i="1"/>
  <c r="AJ524" i="1"/>
  <c r="AL524" i="1" s="1"/>
  <c r="AP524" i="1" s="1"/>
  <c r="AK524" i="1"/>
  <c r="AJ492" i="1"/>
  <c r="AL492" i="1" s="1"/>
  <c r="AP492" i="1" s="1"/>
  <c r="AK492" i="1"/>
  <c r="AJ444" i="1"/>
  <c r="AL444" i="1" s="1"/>
  <c r="AP444" i="1" s="1"/>
  <c r="AK444" i="1"/>
  <c r="AJ364" i="1"/>
  <c r="AL364" i="1" s="1"/>
  <c r="AP364" i="1" s="1"/>
  <c r="AK364" i="1"/>
  <c r="AJ348" i="1"/>
  <c r="AL348" i="1" s="1"/>
  <c r="AP348" i="1" s="1"/>
  <c r="AK348" i="1"/>
  <c r="AJ332" i="1"/>
  <c r="AL332" i="1" s="1"/>
  <c r="AP332" i="1" s="1"/>
  <c r="AK332" i="1"/>
  <c r="AJ268" i="1"/>
  <c r="AL268" i="1" s="1"/>
  <c r="AP268" i="1" s="1"/>
  <c r="AK268" i="1"/>
  <c r="AJ236" i="1"/>
  <c r="AL236" i="1" s="1"/>
  <c r="AP236" i="1" s="1"/>
  <c r="AK236" i="1"/>
  <c r="AJ172" i="1"/>
  <c r="AL172" i="1" s="1"/>
  <c r="AP172" i="1" s="1"/>
  <c r="AK172" i="1"/>
  <c r="AJ140" i="1"/>
  <c r="AL140" i="1" s="1"/>
  <c r="AP140" i="1" s="1"/>
  <c r="AK140" i="1"/>
  <c r="AK108" i="1"/>
  <c r="AJ108" i="1"/>
  <c r="AL108" i="1" s="1"/>
  <c r="AP108" i="1" s="1"/>
  <c r="AK76" i="1"/>
  <c r="AJ76" i="1"/>
  <c r="AL76" i="1" s="1"/>
  <c r="AP76" i="1" s="1"/>
  <c r="AJ44" i="1"/>
  <c r="AL44" i="1" s="1"/>
  <c r="AP44" i="1" s="1"/>
  <c r="AK44" i="1"/>
  <c r="AK28" i="1"/>
  <c r="AJ28" i="1"/>
  <c r="AL28" i="1" s="1"/>
  <c r="AP28" i="1" s="1"/>
  <c r="AJ12" i="1"/>
  <c r="AL12" i="1" s="1"/>
  <c r="AP12" i="1" s="1"/>
  <c r="AK12" i="1"/>
  <c r="AJ656" i="1"/>
  <c r="AL656" i="1" s="1"/>
  <c r="AP656" i="1" s="1"/>
  <c r="AK656" i="1"/>
  <c r="AJ829" i="1"/>
  <c r="AL829" i="1" s="1"/>
  <c r="AP829" i="1" s="1"/>
  <c r="AK829" i="1"/>
  <c r="AJ573" i="1"/>
  <c r="AL573" i="1" s="1"/>
  <c r="AP573" i="1" s="1"/>
  <c r="AK573" i="1"/>
  <c r="AJ429" i="1"/>
  <c r="AL429" i="1" s="1"/>
  <c r="AP429" i="1" s="1"/>
  <c r="AK429" i="1"/>
  <c r="AJ333" i="1"/>
  <c r="AL333" i="1" s="1"/>
  <c r="AP333" i="1" s="1"/>
  <c r="AK333" i="1"/>
  <c r="AK27" i="1"/>
  <c r="AJ27" i="1"/>
  <c r="AL27" i="1" s="1"/>
  <c r="AP27" i="1" s="1"/>
  <c r="AK810" i="1"/>
  <c r="AJ810" i="1"/>
  <c r="AL810" i="1" s="1"/>
  <c r="AP810" i="1" s="1"/>
  <c r="AK794" i="1"/>
  <c r="AJ794" i="1"/>
  <c r="AL794" i="1" s="1"/>
  <c r="AP794" i="1" s="1"/>
  <c r="AJ762" i="1"/>
  <c r="AL762" i="1" s="1"/>
  <c r="AP762" i="1" s="1"/>
  <c r="AK762" i="1"/>
  <c r="AK714" i="1"/>
  <c r="AJ714" i="1"/>
  <c r="AL714" i="1" s="1"/>
  <c r="AP714" i="1" s="1"/>
  <c r="AK698" i="1"/>
  <c r="AJ698" i="1"/>
  <c r="AL698" i="1" s="1"/>
  <c r="AP698" i="1" s="1"/>
  <c r="AK666" i="1"/>
  <c r="AJ666" i="1"/>
  <c r="AL666" i="1" s="1"/>
  <c r="AP666" i="1" s="1"/>
  <c r="AK618" i="1"/>
  <c r="AJ618" i="1"/>
  <c r="AL618" i="1" s="1"/>
  <c r="AP618" i="1" s="1"/>
  <c r="AJ602" i="1"/>
  <c r="AL602" i="1" s="1"/>
  <c r="AP602" i="1" s="1"/>
  <c r="AK602" i="1"/>
  <c r="AJ586" i="1"/>
  <c r="AL586" i="1" s="1"/>
  <c r="AP586" i="1" s="1"/>
  <c r="AK586" i="1"/>
  <c r="AJ490" i="1"/>
  <c r="AL490" i="1" s="1"/>
  <c r="AP490" i="1" s="1"/>
  <c r="AK490" i="1"/>
  <c r="AJ442" i="1"/>
  <c r="AL442" i="1" s="1"/>
  <c r="AP442" i="1" s="1"/>
  <c r="AK442" i="1"/>
  <c r="AJ378" i="1"/>
  <c r="AL378" i="1" s="1"/>
  <c r="AP378" i="1" s="1"/>
  <c r="AK378" i="1"/>
  <c r="AJ362" i="1"/>
  <c r="AL362" i="1" s="1"/>
  <c r="AP362" i="1" s="1"/>
  <c r="AK362" i="1"/>
  <c r="AJ314" i="1"/>
  <c r="AL314" i="1" s="1"/>
  <c r="AP314" i="1" s="1"/>
  <c r="AK314" i="1"/>
  <c r="AK266" i="1"/>
  <c r="AJ266" i="1"/>
  <c r="AL266" i="1" s="1"/>
  <c r="AP266" i="1" s="1"/>
  <c r="AK218" i="1"/>
  <c r="AJ218" i="1"/>
  <c r="AL218" i="1" s="1"/>
  <c r="AP218" i="1" s="1"/>
  <c r="AJ186" i="1"/>
  <c r="AL186" i="1" s="1"/>
  <c r="AP186" i="1" s="1"/>
  <c r="AK186" i="1"/>
  <c r="AJ170" i="1"/>
  <c r="AL170" i="1" s="1"/>
  <c r="AP170" i="1" s="1"/>
  <c r="AK170" i="1"/>
  <c r="AK154" i="1"/>
  <c r="AJ154" i="1"/>
  <c r="AL154" i="1" s="1"/>
  <c r="AP154" i="1" s="1"/>
  <c r="AJ138" i="1"/>
  <c r="AL138" i="1" s="1"/>
  <c r="AP138" i="1" s="1"/>
  <c r="AK138" i="1"/>
  <c r="AK74" i="1"/>
  <c r="AJ74" i="1"/>
  <c r="AL74" i="1" s="1"/>
  <c r="AP74" i="1" s="1"/>
  <c r="AJ58" i="1"/>
  <c r="AL58" i="1" s="1"/>
  <c r="AP58" i="1" s="1"/>
  <c r="AK58" i="1"/>
  <c r="AJ10" i="1"/>
  <c r="AL10" i="1" s="1"/>
  <c r="AP10" i="1" s="1"/>
  <c r="AK10" i="1"/>
  <c r="AJ269" i="1"/>
  <c r="AL269" i="1" s="1"/>
  <c r="AP269" i="1" s="1"/>
  <c r="AK269" i="1"/>
  <c r="AJ811" i="1"/>
  <c r="AL811" i="1" s="1"/>
  <c r="AP811" i="1" s="1"/>
  <c r="AK811" i="1"/>
  <c r="AJ491" i="1"/>
  <c r="AL491" i="1" s="1"/>
  <c r="AP491" i="1" s="1"/>
  <c r="AK491" i="1"/>
  <c r="AJ347" i="1"/>
  <c r="AL347" i="1" s="1"/>
  <c r="AP347" i="1" s="1"/>
  <c r="AK347" i="1"/>
  <c r="AK139" i="1"/>
  <c r="AJ139" i="1"/>
  <c r="AL139" i="1" s="1"/>
  <c r="AP139" i="1" s="1"/>
  <c r="AJ793" i="1"/>
  <c r="AL793" i="1" s="1"/>
  <c r="AP793" i="1" s="1"/>
  <c r="AK793" i="1"/>
  <c r="AK761" i="1"/>
  <c r="AJ761" i="1"/>
  <c r="AL761" i="1" s="1"/>
  <c r="AP761" i="1" s="1"/>
  <c r="AJ697" i="1"/>
  <c r="AL697" i="1" s="1"/>
  <c r="AP697" i="1" s="1"/>
  <c r="AK697" i="1"/>
  <c r="AJ681" i="1"/>
  <c r="AL681" i="1" s="1"/>
  <c r="AP681" i="1" s="1"/>
  <c r="AK681" i="1"/>
  <c r="AJ649" i="1"/>
  <c r="AL649" i="1" s="1"/>
  <c r="AP649" i="1" s="1"/>
  <c r="AK649" i="1"/>
  <c r="AJ633" i="1"/>
  <c r="AL633" i="1" s="1"/>
  <c r="AP633" i="1" s="1"/>
  <c r="AK633" i="1"/>
  <c r="AJ617" i="1"/>
  <c r="AL617" i="1" s="1"/>
  <c r="AP617" i="1" s="1"/>
  <c r="AK617" i="1"/>
  <c r="AJ601" i="1"/>
  <c r="AL601" i="1" s="1"/>
  <c r="AP601" i="1" s="1"/>
  <c r="AK601" i="1"/>
  <c r="AJ585" i="1"/>
  <c r="AL585" i="1" s="1"/>
  <c r="AP585" i="1" s="1"/>
  <c r="AK585" i="1"/>
  <c r="AJ569" i="1"/>
  <c r="AL569" i="1" s="1"/>
  <c r="AP569" i="1" s="1"/>
  <c r="AK569" i="1"/>
  <c r="AJ553" i="1"/>
  <c r="AL553" i="1" s="1"/>
  <c r="AP553" i="1" s="1"/>
  <c r="AK553" i="1"/>
  <c r="AJ537" i="1"/>
  <c r="AL537" i="1" s="1"/>
  <c r="AP537" i="1" s="1"/>
  <c r="AK537" i="1"/>
  <c r="AJ489" i="1"/>
  <c r="AL489" i="1" s="1"/>
  <c r="AP489" i="1" s="1"/>
  <c r="AK489" i="1"/>
  <c r="AK473" i="1"/>
  <c r="AJ473" i="1"/>
  <c r="AL473" i="1" s="1"/>
  <c r="AP473" i="1" s="1"/>
  <c r="AJ441" i="1"/>
  <c r="AL441" i="1" s="1"/>
  <c r="AP441" i="1" s="1"/>
  <c r="AK441" i="1"/>
  <c r="AK361" i="1"/>
  <c r="AJ361" i="1"/>
  <c r="AL361" i="1" s="1"/>
  <c r="AP361" i="1" s="1"/>
  <c r="AJ297" i="1"/>
  <c r="AL297" i="1" s="1"/>
  <c r="AP297" i="1" s="1"/>
  <c r="AK297" i="1"/>
  <c r="AJ281" i="1"/>
  <c r="AL281" i="1" s="1"/>
  <c r="AP281" i="1" s="1"/>
  <c r="AK281" i="1"/>
  <c r="AJ265" i="1"/>
  <c r="AL265" i="1" s="1"/>
  <c r="AP265" i="1" s="1"/>
  <c r="AK265" i="1"/>
  <c r="AJ233" i="1"/>
  <c r="AL233" i="1" s="1"/>
  <c r="AP233" i="1" s="1"/>
  <c r="AK233" i="1"/>
  <c r="AK185" i="1"/>
  <c r="AJ185" i="1"/>
  <c r="AL185" i="1" s="1"/>
  <c r="AP185" i="1" s="1"/>
  <c r="AJ169" i="1"/>
  <c r="AL169" i="1" s="1"/>
  <c r="AP169" i="1" s="1"/>
  <c r="AK169" i="1"/>
  <c r="AJ137" i="1"/>
  <c r="AL137" i="1" s="1"/>
  <c r="AP137" i="1" s="1"/>
  <c r="AK137" i="1"/>
  <c r="AJ57" i="1"/>
  <c r="AL57" i="1" s="1"/>
  <c r="AP57" i="1" s="1"/>
  <c r="AK57" i="1"/>
  <c r="AJ25" i="1"/>
  <c r="AL25" i="1" s="1"/>
  <c r="AP25" i="1" s="1"/>
  <c r="AK25" i="1"/>
  <c r="AJ9" i="1"/>
  <c r="AL9" i="1" s="1"/>
  <c r="AP9" i="1" s="1"/>
  <c r="AK9" i="1"/>
  <c r="AJ669" i="1"/>
  <c r="AL669" i="1" s="1"/>
  <c r="AP669" i="1" s="1"/>
  <c r="AK669" i="1"/>
  <c r="AJ541" i="1"/>
  <c r="AL541" i="1" s="1"/>
  <c r="AP541" i="1" s="1"/>
  <c r="AK541" i="1"/>
  <c r="AK827" i="1"/>
  <c r="AJ827" i="1"/>
  <c r="AL827" i="1" s="1"/>
  <c r="AP827" i="1" s="1"/>
  <c r="AJ667" i="1"/>
  <c r="AL667" i="1" s="1"/>
  <c r="AP667" i="1" s="1"/>
  <c r="AK667" i="1"/>
  <c r="AJ459" i="1"/>
  <c r="AL459" i="1" s="1"/>
  <c r="AP459" i="1" s="1"/>
  <c r="AK459" i="1"/>
  <c r="AJ824" i="1"/>
  <c r="AL824" i="1" s="1"/>
  <c r="AP824" i="1" s="1"/>
  <c r="AK824" i="1"/>
  <c r="AJ808" i="1"/>
  <c r="AL808" i="1" s="1"/>
  <c r="AP808" i="1" s="1"/>
  <c r="AK808" i="1"/>
  <c r="AK792" i="1"/>
  <c r="AJ792" i="1"/>
  <c r="AL792" i="1" s="1"/>
  <c r="AP792" i="1" s="1"/>
  <c r="AK760" i="1"/>
  <c r="AJ760" i="1"/>
  <c r="AL760" i="1" s="1"/>
  <c r="AP760" i="1" s="1"/>
  <c r="AJ728" i="1"/>
  <c r="AL728" i="1" s="1"/>
  <c r="AP728" i="1" s="1"/>
  <c r="AK728" i="1"/>
  <c r="AK696" i="1"/>
  <c r="AJ696" i="1"/>
  <c r="AL696" i="1" s="1"/>
  <c r="AP696" i="1" s="1"/>
  <c r="AJ680" i="1"/>
  <c r="AL680" i="1" s="1"/>
  <c r="AP680" i="1" s="1"/>
  <c r="AK680" i="1"/>
  <c r="AJ648" i="1"/>
  <c r="AL648" i="1" s="1"/>
  <c r="AP648" i="1" s="1"/>
  <c r="AK648" i="1"/>
  <c r="AJ616" i="1"/>
  <c r="AL616" i="1" s="1"/>
  <c r="AP616" i="1" s="1"/>
  <c r="AK616" i="1"/>
  <c r="AK600" i="1"/>
  <c r="AJ600" i="1"/>
  <c r="AL600" i="1" s="1"/>
  <c r="AP600" i="1" s="1"/>
  <c r="AJ584" i="1"/>
  <c r="AL584" i="1" s="1"/>
  <c r="AP584" i="1" s="1"/>
  <c r="AK584" i="1"/>
  <c r="AJ568" i="1"/>
  <c r="AL568" i="1" s="1"/>
  <c r="AP568" i="1" s="1"/>
  <c r="AK568" i="1"/>
  <c r="AJ552" i="1"/>
  <c r="AL552" i="1" s="1"/>
  <c r="AP552" i="1" s="1"/>
  <c r="AK552" i="1"/>
  <c r="AK536" i="1"/>
  <c r="AJ536" i="1"/>
  <c r="AL536" i="1" s="1"/>
  <c r="AP536" i="1" s="1"/>
  <c r="AJ440" i="1"/>
  <c r="AL440" i="1" s="1"/>
  <c r="AP440" i="1" s="1"/>
  <c r="AK440" i="1"/>
  <c r="AJ360" i="1"/>
  <c r="AL360" i="1" s="1"/>
  <c r="AP360" i="1" s="1"/>
  <c r="AK360" i="1"/>
  <c r="AK344" i="1"/>
  <c r="AJ344" i="1"/>
  <c r="AL344" i="1" s="1"/>
  <c r="AP344" i="1" s="1"/>
  <c r="AJ328" i="1"/>
  <c r="AL328" i="1" s="1"/>
  <c r="AP328" i="1" s="1"/>
  <c r="AK328" i="1"/>
  <c r="AJ280" i="1"/>
  <c r="AL280" i="1" s="1"/>
  <c r="AP280" i="1" s="1"/>
  <c r="AK280" i="1"/>
  <c r="AJ264" i="1"/>
  <c r="AL264" i="1" s="1"/>
  <c r="AP264" i="1" s="1"/>
  <c r="AK264" i="1"/>
  <c r="AJ168" i="1"/>
  <c r="AL168" i="1" s="1"/>
  <c r="AP168" i="1" s="1"/>
  <c r="AK168" i="1"/>
  <c r="AJ136" i="1"/>
  <c r="AL136" i="1" s="1"/>
  <c r="AP136" i="1" s="1"/>
  <c r="AK136" i="1"/>
  <c r="AJ56" i="1"/>
  <c r="AL56" i="1" s="1"/>
  <c r="AP56" i="1" s="1"/>
  <c r="AK56" i="1"/>
  <c r="AJ24" i="1"/>
  <c r="AL24" i="1" s="1"/>
  <c r="AP24" i="1" s="1"/>
  <c r="AK24" i="1"/>
  <c r="AK8" i="1"/>
  <c r="AJ8" i="1"/>
  <c r="AL8" i="1" s="1"/>
  <c r="AP8" i="1" s="1"/>
  <c r="AJ859" i="1"/>
  <c r="AL859" i="1" s="1"/>
  <c r="AP859" i="1" s="1"/>
  <c r="AK859" i="1"/>
  <c r="AJ699" i="1"/>
  <c r="AL699" i="1" s="1"/>
  <c r="AP699" i="1" s="1"/>
  <c r="AK699" i="1"/>
  <c r="AJ379" i="1"/>
  <c r="AL379" i="1" s="1"/>
  <c r="AP379" i="1" s="1"/>
  <c r="AK379" i="1"/>
  <c r="AJ315" i="1"/>
  <c r="AL315" i="1" s="1"/>
  <c r="AP315" i="1" s="1"/>
  <c r="AK315" i="1"/>
  <c r="AJ43" i="1"/>
  <c r="AL43" i="1" s="1"/>
  <c r="AP43" i="1" s="1"/>
  <c r="AK43" i="1"/>
  <c r="AJ823" i="1"/>
  <c r="AL823" i="1" s="1"/>
  <c r="AP823" i="1" s="1"/>
  <c r="AK823" i="1"/>
  <c r="AJ807" i="1"/>
  <c r="AL807" i="1" s="1"/>
  <c r="AP807" i="1" s="1"/>
  <c r="AK807" i="1"/>
  <c r="AJ727" i="1"/>
  <c r="AL727" i="1" s="1"/>
  <c r="AP727" i="1" s="1"/>
  <c r="AK727" i="1"/>
  <c r="AJ695" i="1"/>
  <c r="AL695" i="1" s="1"/>
  <c r="AP695" i="1" s="1"/>
  <c r="AK695" i="1"/>
  <c r="AJ663" i="1"/>
  <c r="AL663" i="1" s="1"/>
  <c r="AP663" i="1" s="1"/>
  <c r="AK663" i="1"/>
  <c r="AJ647" i="1"/>
  <c r="AL647" i="1" s="1"/>
  <c r="AP647" i="1" s="1"/>
  <c r="AK647" i="1"/>
  <c r="AK615" i="1"/>
  <c r="AJ615" i="1"/>
  <c r="AL615" i="1" s="1"/>
  <c r="AP615" i="1" s="1"/>
  <c r="AJ599" i="1"/>
  <c r="AL599" i="1" s="1"/>
  <c r="AP599" i="1" s="1"/>
  <c r="AK599" i="1"/>
  <c r="AK583" i="1"/>
  <c r="AJ583" i="1"/>
  <c r="AL583" i="1" s="1"/>
  <c r="AP583" i="1" s="1"/>
  <c r="AJ567" i="1"/>
  <c r="AL567" i="1" s="1"/>
  <c r="AP567" i="1" s="1"/>
  <c r="AK567" i="1"/>
  <c r="AJ551" i="1"/>
  <c r="AL551" i="1" s="1"/>
  <c r="AP551" i="1" s="1"/>
  <c r="AK551" i="1"/>
  <c r="AJ535" i="1"/>
  <c r="AL535" i="1" s="1"/>
  <c r="AP535" i="1" s="1"/>
  <c r="AK535" i="1"/>
  <c r="AK439" i="1"/>
  <c r="AJ439" i="1"/>
  <c r="AL439" i="1" s="1"/>
  <c r="AP439" i="1" s="1"/>
  <c r="AK343" i="1"/>
  <c r="AJ343" i="1"/>
  <c r="AL343" i="1" s="1"/>
  <c r="AP343" i="1" s="1"/>
  <c r="AJ327" i="1"/>
  <c r="AL327" i="1" s="1"/>
  <c r="AP327" i="1" s="1"/>
  <c r="AK327" i="1"/>
  <c r="AJ295" i="1"/>
  <c r="AL295" i="1" s="1"/>
  <c r="AP295" i="1" s="1"/>
  <c r="AK295" i="1"/>
  <c r="AJ279" i="1"/>
  <c r="AL279" i="1" s="1"/>
  <c r="AP279" i="1" s="1"/>
  <c r="AK279" i="1"/>
  <c r="AJ199" i="1"/>
  <c r="AL199" i="1" s="1"/>
  <c r="AP199" i="1" s="1"/>
  <c r="AK199" i="1"/>
  <c r="AJ167" i="1"/>
  <c r="AL167" i="1" s="1"/>
  <c r="AP167" i="1" s="1"/>
  <c r="AK167" i="1"/>
  <c r="AK151" i="1"/>
  <c r="AJ151" i="1"/>
  <c r="AL151" i="1" s="1"/>
  <c r="AP151" i="1" s="1"/>
  <c r="AK135" i="1"/>
  <c r="AJ135" i="1"/>
  <c r="AL135" i="1" s="1"/>
  <c r="AP135" i="1" s="1"/>
  <c r="AJ55" i="1"/>
  <c r="AL55" i="1" s="1"/>
  <c r="AP55" i="1" s="1"/>
  <c r="AK55" i="1"/>
  <c r="AJ640" i="1"/>
  <c r="AL640" i="1" s="1"/>
  <c r="AP640" i="1" s="1"/>
  <c r="AK640" i="1"/>
  <c r="AK621" i="1"/>
  <c r="AJ621" i="1"/>
  <c r="AL621" i="1" s="1"/>
  <c r="AP621" i="1" s="1"/>
  <c r="AJ587" i="1"/>
  <c r="AL587" i="1" s="1"/>
  <c r="AP587" i="1" s="1"/>
  <c r="AK587" i="1"/>
  <c r="AJ331" i="1"/>
  <c r="AL331" i="1" s="1"/>
  <c r="AP331" i="1" s="1"/>
  <c r="AK331" i="1"/>
  <c r="AJ267" i="1"/>
  <c r="AL267" i="1" s="1"/>
  <c r="AP267" i="1" s="1"/>
  <c r="AK267" i="1"/>
  <c r="AK219" i="1"/>
  <c r="AJ219" i="1"/>
  <c r="AL219" i="1" s="1"/>
  <c r="AP219" i="1" s="1"/>
  <c r="AJ171" i="1"/>
  <c r="AL171" i="1" s="1"/>
  <c r="AP171" i="1" s="1"/>
  <c r="AK171" i="1"/>
  <c r="AK59" i="1"/>
  <c r="AJ59" i="1"/>
  <c r="AL59" i="1" s="1"/>
  <c r="AP59" i="1" s="1"/>
  <c r="AJ790" i="1"/>
  <c r="AL790" i="1" s="1"/>
  <c r="AP790" i="1" s="1"/>
  <c r="AK790" i="1"/>
  <c r="AJ758" i="1"/>
  <c r="AL758" i="1" s="1"/>
  <c r="AP758" i="1" s="1"/>
  <c r="AK758" i="1"/>
  <c r="AJ726" i="1"/>
  <c r="AL726" i="1" s="1"/>
  <c r="AP726" i="1" s="1"/>
  <c r="AK726" i="1"/>
  <c r="AJ694" i="1"/>
  <c r="AL694" i="1" s="1"/>
  <c r="AP694" i="1" s="1"/>
  <c r="AK694" i="1"/>
  <c r="AJ662" i="1"/>
  <c r="AL662" i="1" s="1"/>
  <c r="AP662" i="1" s="1"/>
  <c r="AK662" i="1"/>
  <c r="AJ646" i="1"/>
  <c r="AL646" i="1" s="1"/>
  <c r="AP646" i="1" s="1"/>
  <c r="AK646" i="1"/>
  <c r="AJ614" i="1"/>
  <c r="AL614" i="1" s="1"/>
  <c r="AP614" i="1" s="1"/>
  <c r="AK614" i="1"/>
  <c r="AJ598" i="1"/>
  <c r="AL598" i="1" s="1"/>
  <c r="AP598" i="1" s="1"/>
  <c r="AK598" i="1"/>
  <c r="AJ550" i="1"/>
  <c r="AL550" i="1" s="1"/>
  <c r="AP550" i="1" s="1"/>
  <c r="AK550" i="1"/>
  <c r="AJ438" i="1"/>
  <c r="AL438" i="1" s="1"/>
  <c r="AP438" i="1" s="1"/>
  <c r="AK438" i="1"/>
  <c r="AJ358" i="1"/>
  <c r="AL358" i="1" s="1"/>
  <c r="AP358" i="1" s="1"/>
  <c r="AK358" i="1"/>
  <c r="AJ342" i="1"/>
  <c r="AL342" i="1" s="1"/>
  <c r="AP342" i="1" s="1"/>
  <c r="AK342" i="1"/>
  <c r="AJ326" i="1"/>
  <c r="AL326" i="1" s="1"/>
  <c r="AP326" i="1" s="1"/>
  <c r="AK326" i="1"/>
  <c r="AJ278" i="1"/>
  <c r="AL278" i="1" s="1"/>
  <c r="AP278" i="1" s="1"/>
  <c r="AK278" i="1"/>
  <c r="AJ262" i="1"/>
  <c r="AL262" i="1" s="1"/>
  <c r="AP262" i="1" s="1"/>
  <c r="AK262" i="1"/>
  <c r="AJ246" i="1"/>
  <c r="AL246" i="1" s="1"/>
  <c r="AP246" i="1" s="1"/>
  <c r="AK246" i="1"/>
  <c r="AJ230" i="1"/>
  <c r="AL230" i="1" s="1"/>
  <c r="AP230" i="1" s="1"/>
  <c r="AK230" i="1"/>
  <c r="AJ198" i="1"/>
  <c r="AL198" i="1" s="1"/>
  <c r="AP198" i="1" s="1"/>
  <c r="AK198" i="1"/>
  <c r="AJ166" i="1"/>
  <c r="AL166" i="1" s="1"/>
  <c r="AP166" i="1" s="1"/>
  <c r="AK166" i="1"/>
  <c r="AJ150" i="1"/>
  <c r="AL150" i="1" s="1"/>
  <c r="AP150" i="1" s="1"/>
  <c r="AK150" i="1"/>
  <c r="AK134" i="1"/>
  <c r="AJ134" i="1"/>
  <c r="AL134" i="1" s="1"/>
  <c r="AP134" i="1" s="1"/>
  <c r="AJ54" i="1"/>
  <c r="AL54" i="1" s="1"/>
  <c r="AP54" i="1" s="1"/>
  <c r="AK54" i="1"/>
  <c r="AK768" i="1"/>
  <c r="AJ768" i="1"/>
  <c r="AL768" i="1" s="1"/>
  <c r="AP768" i="1" s="1"/>
  <c r="AJ763" i="1"/>
  <c r="AL763" i="1" s="1"/>
  <c r="AP763" i="1" s="1"/>
  <c r="AK763" i="1"/>
  <c r="AK603" i="1"/>
  <c r="AJ603" i="1"/>
  <c r="AL603" i="1" s="1"/>
  <c r="AP603" i="1" s="1"/>
  <c r="AK856" i="1"/>
  <c r="AJ856" i="1"/>
  <c r="AL856" i="1" s="1"/>
  <c r="AP856" i="1" s="1"/>
  <c r="AJ757" i="1"/>
  <c r="AL757" i="1" s="1"/>
  <c r="AP757" i="1" s="1"/>
  <c r="AK757" i="1"/>
  <c r="AJ661" i="1"/>
  <c r="AL661" i="1" s="1"/>
  <c r="AP661" i="1" s="1"/>
  <c r="AK661" i="1"/>
  <c r="AK645" i="1"/>
  <c r="AJ645" i="1"/>
  <c r="AL645" i="1" s="1"/>
  <c r="AP645" i="1" s="1"/>
  <c r="AJ629" i="1"/>
  <c r="AL629" i="1" s="1"/>
  <c r="AP629" i="1" s="1"/>
  <c r="AK629" i="1"/>
  <c r="AJ613" i="1"/>
  <c r="AL613" i="1" s="1"/>
  <c r="AP613" i="1" s="1"/>
  <c r="AK613" i="1"/>
  <c r="AJ597" i="1"/>
  <c r="AL597" i="1" s="1"/>
  <c r="AP597" i="1" s="1"/>
  <c r="AK597" i="1"/>
  <c r="AJ549" i="1"/>
  <c r="AL549" i="1" s="1"/>
  <c r="AP549" i="1" s="1"/>
  <c r="AK549" i="1"/>
  <c r="AK437" i="1"/>
  <c r="AJ437" i="1"/>
  <c r="AL437" i="1" s="1"/>
  <c r="AP437" i="1" s="1"/>
  <c r="AJ325" i="1"/>
  <c r="AL325" i="1" s="1"/>
  <c r="AP325" i="1" s="1"/>
  <c r="AK325" i="1"/>
  <c r="AJ277" i="1"/>
  <c r="AL277" i="1" s="1"/>
  <c r="AP277" i="1" s="1"/>
  <c r="AK277" i="1"/>
  <c r="AK261" i="1"/>
  <c r="AJ261" i="1"/>
  <c r="AL261" i="1" s="1"/>
  <c r="AP261" i="1" s="1"/>
  <c r="AJ245" i="1"/>
  <c r="AL245" i="1" s="1"/>
  <c r="AP245" i="1" s="1"/>
  <c r="AK245" i="1"/>
  <c r="AJ213" i="1"/>
  <c r="AL213" i="1" s="1"/>
  <c r="AP213" i="1" s="1"/>
  <c r="AK213" i="1"/>
  <c r="AK197" i="1"/>
  <c r="AJ197" i="1"/>
  <c r="AL197" i="1" s="1"/>
  <c r="AP197" i="1" s="1"/>
  <c r="AJ165" i="1"/>
  <c r="AL165" i="1" s="1"/>
  <c r="AP165" i="1" s="1"/>
  <c r="AK165" i="1"/>
  <c r="AK53" i="1"/>
  <c r="AJ53" i="1"/>
  <c r="AL53" i="1" s="1"/>
  <c r="AP53" i="1" s="1"/>
  <c r="AJ37" i="1"/>
  <c r="AL37" i="1" s="1"/>
  <c r="AP37" i="1" s="1"/>
  <c r="AK37" i="1"/>
  <c r="AJ608" i="1"/>
  <c r="AL608" i="1" s="1"/>
  <c r="AP608" i="1" s="1"/>
  <c r="AK608" i="1"/>
  <c r="AJ445" i="1"/>
  <c r="AL445" i="1" s="1"/>
  <c r="AP445" i="1" s="1"/>
  <c r="AK445" i="1"/>
  <c r="AJ443" i="1"/>
  <c r="AL443" i="1" s="1"/>
  <c r="AP443" i="1" s="1"/>
  <c r="AK443" i="1"/>
  <c r="AK363" i="1"/>
  <c r="AJ363" i="1"/>
  <c r="AL363" i="1" s="1"/>
  <c r="AP363" i="1" s="1"/>
  <c r="AJ203" i="1"/>
  <c r="AL203" i="1" s="1"/>
  <c r="AP203" i="1" s="1"/>
  <c r="AK203" i="1"/>
  <c r="AJ804" i="1"/>
  <c r="AL804" i="1" s="1"/>
  <c r="AP804" i="1" s="1"/>
  <c r="AK804" i="1"/>
  <c r="AJ692" i="1"/>
  <c r="AL692" i="1" s="1"/>
  <c r="AP692" i="1" s="1"/>
  <c r="AK692" i="1"/>
  <c r="AK660" i="1"/>
  <c r="AJ660" i="1"/>
  <c r="AL660" i="1" s="1"/>
  <c r="AP660" i="1" s="1"/>
  <c r="AJ644" i="1"/>
  <c r="AL644" i="1" s="1"/>
  <c r="AP644" i="1" s="1"/>
  <c r="AK644" i="1"/>
  <c r="AK628" i="1"/>
  <c r="AJ628" i="1"/>
  <c r="AL628" i="1" s="1"/>
  <c r="AP628" i="1" s="1"/>
  <c r="AJ612" i="1"/>
  <c r="AL612" i="1" s="1"/>
  <c r="AP612" i="1" s="1"/>
  <c r="AK612" i="1"/>
  <c r="AK596" i="1"/>
  <c r="AJ596" i="1"/>
  <c r="AL596" i="1" s="1"/>
  <c r="AP596" i="1" s="1"/>
  <c r="AJ548" i="1"/>
  <c r="AL548" i="1" s="1"/>
  <c r="AP548" i="1" s="1"/>
  <c r="AK548" i="1"/>
  <c r="AJ468" i="1"/>
  <c r="AL468" i="1" s="1"/>
  <c r="AP468" i="1" s="1"/>
  <c r="AK468" i="1"/>
  <c r="AJ436" i="1"/>
  <c r="AL436" i="1" s="1"/>
  <c r="AP436" i="1" s="1"/>
  <c r="AK436" i="1"/>
  <c r="AJ404" i="1"/>
  <c r="AL404" i="1" s="1"/>
  <c r="AP404" i="1" s="1"/>
  <c r="AK404" i="1"/>
  <c r="AJ308" i="1"/>
  <c r="AL308" i="1" s="1"/>
  <c r="AP308" i="1" s="1"/>
  <c r="AK308" i="1"/>
  <c r="AJ244" i="1"/>
  <c r="AL244" i="1" s="1"/>
  <c r="AP244" i="1" s="1"/>
  <c r="AK244" i="1"/>
  <c r="AJ212" i="1"/>
  <c r="AL212" i="1" s="1"/>
  <c r="AP212" i="1" s="1"/>
  <c r="AK212" i="1"/>
  <c r="AJ164" i="1"/>
  <c r="AL164" i="1" s="1"/>
  <c r="AP164" i="1" s="1"/>
  <c r="AK164" i="1"/>
  <c r="AK52" i="1"/>
  <c r="AJ52" i="1"/>
  <c r="AL52" i="1" s="1"/>
  <c r="AP52" i="1" s="1"/>
  <c r="AK36" i="1"/>
  <c r="AJ36" i="1"/>
  <c r="AL36" i="1" s="1"/>
  <c r="AP36" i="1" s="1"/>
  <c r="BB15" i="1"/>
  <c r="BT14" i="1"/>
  <c r="AJ237" i="1"/>
  <c r="AL237" i="1" s="1"/>
  <c r="AP237" i="1" s="1"/>
  <c r="AK237" i="1"/>
  <c r="AJ715" i="1"/>
  <c r="AL715" i="1" s="1"/>
  <c r="AP715" i="1" s="1"/>
  <c r="AK715" i="1"/>
  <c r="AK75" i="1"/>
  <c r="AJ75" i="1"/>
  <c r="AL75" i="1" s="1"/>
  <c r="AP75" i="1" s="1"/>
  <c r="AJ858" i="1"/>
  <c r="AL858" i="1" s="1"/>
  <c r="AP858" i="1" s="1"/>
  <c r="AK858" i="1"/>
  <c r="AJ855" i="1"/>
  <c r="AL855" i="1" s="1"/>
  <c r="AP855" i="1" s="1"/>
  <c r="AK855" i="1"/>
  <c r="AJ819" i="1"/>
  <c r="AL819" i="1" s="1"/>
  <c r="AP819" i="1" s="1"/>
  <c r="AK819" i="1"/>
  <c r="AJ803" i="1"/>
  <c r="AL803" i="1" s="1"/>
  <c r="AP803" i="1" s="1"/>
  <c r="AK803" i="1"/>
  <c r="AK659" i="1"/>
  <c r="AJ659" i="1"/>
  <c r="AL659" i="1" s="1"/>
  <c r="AP659" i="1" s="1"/>
  <c r="AJ627" i="1"/>
  <c r="AL627" i="1" s="1"/>
  <c r="AP627" i="1" s="1"/>
  <c r="AK627" i="1"/>
  <c r="AJ611" i="1"/>
  <c r="AL611" i="1" s="1"/>
  <c r="AP611" i="1" s="1"/>
  <c r="AK611" i="1"/>
  <c r="AK563" i="1"/>
  <c r="AJ563" i="1"/>
  <c r="AL563" i="1" s="1"/>
  <c r="AP563" i="1" s="1"/>
  <c r="AK547" i="1"/>
  <c r="AJ547" i="1"/>
  <c r="AL547" i="1" s="1"/>
  <c r="AP547" i="1" s="1"/>
  <c r="AJ515" i="1"/>
  <c r="AL515" i="1" s="1"/>
  <c r="AP515" i="1" s="1"/>
  <c r="AK515" i="1"/>
  <c r="AJ467" i="1"/>
  <c r="AL467" i="1" s="1"/>
  <c r="AP467" i="1" s="1"/>
  <c r="AK467" i="1"/>
  <c r="AK435" i="1"/>
  <c r="AJ435" i="1"/>
  <c r="AL435" i="1" s="1"/>
  <c r="AP435" i="1" s="1"/>
  <c r="AJ403" i="1"/>
  <c r="AL403" i="1" s="1"/>
  <c r="AP403" i="1" s="1"/>
  <c r="AK403" i="1"/>
  <c r="AJ387" i="1"/>
  <c r="AL387" i="1" s="1"/>
  <c r="AP387" i="1" s="1"/>
  <c r="AK387" i="1"/>
  <c r="AJ243" i="1"/>
  <c r="AL243" i="1" s="1"/>
  <c r="AP243" i="1" s="1"/>
  <c r="AK243" i="1"/>
  <c r="AK211" i="1"/>
  <c r="AJ211" i="1"/>
  <c r="AL211" i="1" s="1"/>
  <c r="AP211" i="1" s="1"/>
  <c r="AJ179" i="1"/>
  <c r="AL179" i="1" s="1"/>
  <c r="AP179" i="1" s="1"/>
  <c r="AK179" i="1"/>
  <c r="AJ163" i="1"/>
  <c r="AL163" i="1" s="1"/>
  <c r="AP163" i="1" s="1"/>
  <c r="AK163" i="1"/>
  <c r="AJ99" i="1"/>
  <c r="AL99" i="1" s="1"/>
  <c r="AP99" i="1" s="1"/>
  <c r="AK99" i="1"/>
  <c r="AJ51" i="1"/>
  <c r="AL51" i="1" s="1"/>
  <c r="AP51" i="1" s="1"/>
  <c r="AK51" i="1"/>
  <c r="AJ35" i="1"/>
  <c r="AL35" i="1" s="1"/>
  <c r="AP35" i="1" s="1"/>
  <c r="AK35" i="1"/>
  <c r="AJ11" i="1"/>
  <c r="AL11" i="1" s="1"/>
  <c r="AP11" i="1" s="1"/>
  <c r="AK11" i="1"/>
  <c r="AK857" i="1"/>
  <c r="AJ857" i="1"/>
  <c r="AL857" i="1" s="1"/>
  <c r="AP857" i="1" s="1"/>
  <c r="AJ854" i="1"/>
  <c r="AL854" i="1" s="1"/>
  <c r="AP854" i="1" s="1"/>
  <c r="AK854" i="1"/>
  <c r="AJ820" i="1"/>
  <c r="AL820" i="1" s="1"/>
  <c r="AP820" i="1" s="1"/>
  <c r="AK820" i="1"/>
  <c r="AJ818" i="1"/>
  <c r="AL818" i="1" s="1"/>
  <c r="AP818" i="1" s="1"/>
  <c r="AK818" i="1"/>
  <c r="AK770" i="1"/>
  <c r="AJ770" i="1"/>
  <c r="AL770" i="1" s="1"/>
  <c r="AP770" i="1" s="1"/>
  <c r="AJ674" i="1"/>
  <c r="AL674" i="1" s="1"/>
  <c r="AP674" i="1" s="1"/>
  <c r="AK674" i="1"/>
  <c r="AJ658" i="1"/>
  <c r="AL658" i="1" s="1"/>
  <c r="AP658" i="1" s="1"/>
  <c r="AK658" i="1"/>
  <c r="AJ626" i="1"/>
  <c r="AL626" i="1" s="1"/>
  <c r="AP626" i="1" s="1"/>
  <c r="AK626" i="1"/>
  <c r="AJ610" i="1"/>
  <c r="AL610" i="1" s="1"/>
  <c r="AP610" i="1" s="1"/>
  <c r="AK610" i="1"/>
  <c r="AJ594" i="1"/>
  <c r="AL594" i="1" s="1"/>
  <c r="AP594" i="1" s="1"/>
  <c r="AK594" i="1"/>
  <c r="AJ562" i="1"/>
  <c r="AL562" i="1" s="1"/>
  <c r="AP562" i="1" s="1"/>
  <c r="AK562" i="1"/>
  <c r="AJ546" i="1"/>
  <c r="AL546" i="1" s="1"/>
  <c r="AP546" i="1" s="1"/>
  <c r="AK546" i="1"/>
  <c r="AJ514" i="1"/>
  <c r="AL514" i="1" s="1"/>
  <c r="AP514" i="1" s="1"/>
  <c r="AK514" i="1"/>
  <c r="AK498" i="1"/>
  <c r="AJ498" i="1"/>
  <c r="AL498" i="1" s="1"/>
  <c r="AP498" i="1" s="1"/>
  <c r="AJ466" i="1"/>
  <c r="AL466" i="1" s="1"/>
  <c r="AP466" i="1" s="1"/>
  <c r="AK466" i="1"/>
  <c r="AJ386" i="1"/>
  <c r="AL386" i="1" s="1"/>
  <c r="AP386" i="1" s="1"/>
  <c r="AK386" i="1"/>
  <c r="AJ242" i="1"/>
  <c r="AL242" i="1" s="1"/>
  <c r="AP242" i="1" s="1"/>
  <c r="AK242" i="1"/>
  <c r="AJ178" i="1"/>
  <c r="AL178" i="1" s="1"/>
  <c r="AP178" i="1" s="1"/>
  <c r="AK178" i="1"/>
  <c r="AJ162" i="1"/>
  <c r="AL162" i="1" s="1"/>
  <c r="AP162" i="1" s="1"/>
  <c r="AK162" i="1"/>
  <c r="AK130" i="1"/>
  <c r="AJ130" i="1"/>
  <c r="AL130" i="1" s="1"/>
  <c r="AP130" i="1" s="1"/>
  <c r="AJ98" i="1"/>
  <c r="AL98" i="1" s="1"/>
  <c r="AP98" i="1" s="1"/>
  <c r="AK98" i="1"/>
  <c r="AK50" i="1"/>
  <c r="AJ50" i="1"/>
  <c r="AL50" i="1" s="1"/>
  <c r="AP50" i="1" s="1"/>
  <c r="AJ34" i="1"/>
  <c r="AL34" i="1" s="1"/>
  <c r="AP34" i="1" s="1"/>
  <c r="AK34" i="1"/>
  <c r="A5" i="1"/>
  <c r="AP1334" i="1" l="1"/>
  <c r="AP963" i="1"/>
  <c r="AP1058" i="1"/>
  <c r="AP2081" i="1"/>
  <c r="AP1775" i="1"/>
  <c r="AP1736" i="1"/>
  <c r="AP2225" i="1"/>
  <c r="AP2392" i="1"/>
  <c r="AP1291" i="1"/>
  <c r="AP1747" i="1"/>
  <c r="AP2320" i="1"/>
  <c r="AP1241" i="1"/>
  <c r="AP2211" i="1"/>
  <c r="AP1408" i="1"/>
  <c r="AP1914" i="1"/>
  <c r="AP2178" i="1"/>
  <c r="AP2254" i="1"/>
  <c r="AP1304" i="1"/>
  <c r="AP2175" i="1"/>
  <c r="AP2387" i="1"/>
  <c r="AP1846" i="1"/>
  <c r="AP1346" i="1"/>
  <c r="AP1103" i="1"/>
  <c r="AP2246" i="1"/>
  <c r="AP2167" i="1"/>
  <c r="AP2104" i="1"/>
  <c r="AP1154" i="1"/>
  <c r="AP2420" i="1"/>
  <c r="AP1315" i="1"/>
  <c r="AP1415" i="1"/>
  <c r="AP1484" i="1"/>
  <c r="AP1106" i="1"/>
  <c r="AP2354" i="1"/>
  <c r="AP2294" i="1"/>
  <c r="AP1615" i="1"/>
  <c r="AP1742" i="1"/>
  <c r="AP1891" i="1"/>
  <c r="AP1432" i="1"/>
  <c r="AP1298" i="1"/>
  <c r="AP2013" i="1"/>
  <c r="AP2249" i="1"/>
  <c r="AP1953" i="1"/>
  <c r="AP1725" i="1"/>
  <c r="AL1281" i="1"/>
  <c r="AP1281" i="1" s="1"/>
  <c r="AJ1282" i="1"/>
  <c r="AL1282" i="1" s="1"/>
  <c r="AP1495" i="1"/>
  <c r="AP1448" i="1"/>
  <c r="AJ1683" i="1"/>
  <c r="AL1683" i="1" s="1"/>
  <c r="AL1682" i="1"/>
  <c r="AP1682" i="1" s="1"/>
  <c r="AP1544" i="1"/>
  <c r="AP2222" i="1"/>
  <c r="AP2374" i="1"/>
  <c r="AP1418" i="1"/>
  <c r="AP1301" i="1"/>
  <c r="AP1140" i="1"/>
  <c r="AP2302" i="1"/>
  <c r="AP1823" i="1"/>
  <c r="AP1266" i="1"/>
  <c r="AL1120" i="1"/>
  <c r="AP1120" i="1" s="1"/>
  <c r="AJ1121" i="1"/>
  <c r="AL1121" i="1" s="1"/>
  <c r="AP1640" i="1"/>
  <c r="AP1358" i="1"/>
  <c r="AP1940" i="1"/>
  <c r="AP2314" i="1"/>
  <c r="AP2164" i="1"/>
  <c r="AP871" i="1"/>
  <c r="AP2036" i="1"/>
  <c r="AP1658" i="1"/>
  <c r="AP1322" i="1"/>
  <c r="AP1100" i="1"/>
  <c r="AP2156" i="1"/>
  <c r="AP2078" i="1"/>
  <c r="AP1259" i="1"/>
  <c r="AP1794" i="1"/>
  <c r="AP1960" i="1"/>
  <c r="AP2061" i="1"/>
  <c r="AP2289" i="1"/>
  <c r="BB16" i="1"/>
  <c r="BT15" i="1"/>
  <c r="AA852" i="1"/>
  <c r="AA853" i="1"/>
  <c r="AA854" i="1"/>
  <c r="AA855" i="1"/>
  <c r="AA856" i="1"/>
  <c r="AA857" i="1"/>
  <c r="AA858" i="1"/>
  <c r="AA859" i="1"/>
  <c r="AA7" i="1"/>
  <c r="AA9" i="1"/>
  <c r="AA12" i="1"/>
  <c r="AA13" i="1"/>
  <c r="AA14" i="1"/>
  <c r="AA15" i="1"/>
  <c r="AA16" i="1"/>
  <c r="AA17" i="1"/>
  <c r="AA18" i="1"/>
  <c r="AA19" i="1"/>
  <c r="AA21" i="1"/>
  <c r="AA23" i="1"/>
  <c r="AA25" i="1"/>
  <c r="AA29" i="1"/>
  <c r="AA30" i="1"/>
  <c r="AA31" i="1"/>
  <c r="AA32" i="1"/>
  <c r="AA33" i="1"/>
  <c r="AA34" i="1"/>
  <c r="AA35" i="1"/>
  <c r="AA37" i="1"/>
  <c r="AA39" i="1"/>
  <c r="AA41" i="1"/>
  <c r="AA45" i="1"/>
  <c r="AA46" i="1"/>
  <c r="AA47" i="1"/>
  <c r="AA48" i="1"/>
  <c r="AA49" i="1"/>
  <c r="AA50" i="1"/>
  <c r="AA51" i="1"/>
  <c r="AA53" i="1"/>
  <c r="AA55" i="1"/>
  <c r="AA57" i="1"/>
  <c r="AA61" i="1"/>
  <c r="AA62" i="1"/>
  <c r="AA63" i="1"/>
  <c r="AA64" i="1"/>
  <c r="AA66" i="1"/>
  <c r="AA67" i="1"/>
  <c r="AA69" i="1"/>
  <c r="AA71" i="1"/>
  <c r="AA73" i="1"/>
  <c r="AA77" i="1"/>
  <c r="AA78" i="1"/>
  <c r="AA79" i="1"/>
  <c r="AA80" i="1"/>
  <c r="AA83" i="1"/>
  <c r="AA85" i="1"/>
  <c r="AA87" i="1"/>
  <c r="AA89" i="1"/>
  <c r="AA93" i="1"/>
  <c r="AA94" i="1"/>
  <c r="AA95" i="1"/>
  <c r="AA96" i="1"/>
  <c r="AA99" i="1"/>
  <c r="AA101" i="1"/>
  <c r="AA103" i="1"/>
  <c r="AA105" i="1"/>
  <c r="AA109" i="1"/>
  <c r="AA110" i="1"/>
  <c r="AA111" i="1"/>
  <c r="AA112" i="1"/>
  <c r="AA115" i="1"/>
  <c r="AA117" i="1"/>
  <c r="AA119" i="1"/>
  <c r="AA121" i="1"/>
  <c r="AA125" i="1"/>
  <c r="AA127" i="1"/>
  <c r="AA128" i="1"/>
  <c r="AA131" i="1"/>
  <c r="AA133" i="1"/>
  <c r="AA135" i="1"/>
  <c r="AA137" i="1"/>
  <c r="AA141" i="1"/>
  <c r="AA142" i="1"/>
  <c r="AA143" i="1"/>
  <c r="AA144" i="1"/>
  <c r="AA147" i="1"/>
  <c r="AA149" i="1"/>
  <c r="AA151" i="1"/>
  <c r="AA153" i="1"/>
  <c r="AA157" i="1"/>
  <c r="AA159" i="1"/>
  <c r="AA160" i="1"/>
  <c r="AA163" i="1"/>
  <c r="AA165" i="1"/>
  <c r="AA167" i="1"/>
  <c r="AA169" i="1"/>
  <c r="AA173" i="1"/>
  <c r="AA175" i="1"/>
  <c r="AA176" i="1"/>
  <c r="AA179" i="1"/>
  <c r="AA181" i="1"/>
  <c r="AA183" i="1"/>
  <c r="AA185" i="1"/>
  <c r="AA189" i="1"/>
  <c r="AA190" i="1"/>
  <c r="AA191" i="1"/>
  <c r="AA192" i="1"/>
  <c r="AA195" i="1"/>
  <c r="AA197" i="1"/>
  <c r="AA199" i="1"/>
  <c r="AA201" i="1"/>
  <c r="AA205" i="1"/>
  <c r="AA206" i="1"/>
  <c r="AA207" i="1"/>
  <c r="AA208" i="1"/>
  <c r="AA211" i="1"/>
  <c r="AA213" i="1"/>
  <c r="AA215" i="1"/>
  <c r="AA217" i="1"/>
  <c r="AA221" i="1"/>
  <c r="AA223" i="1"/>
  <c r="AA224" i="1"/>
  <c r="AA227" i="1"/>
  <c r="AA229" i="1"/>
  <c r="AA231" i="1"/>
  <c r="AA233" i="1"/>
  <c r="AA237" i="1"/>
  <c r="AA239" i="1"/>
  <c r="AA240" i="1"/>
  <c r="AA243" i="1"/>
  <c r="AA245" i="1"/>
  <c r="AA247" i="1"/>
  <c r="AA249" i="1"/>
  <c r="AA253" i="1"/>
  <c r="AA254" i="1"/>
  <c r="AA255" i="1"/>
  <c r="AA256" i="1"/>
  <c r="AA259" i="1"/>
  <c r="AA261" i="1"/>
  <c r="AA263" i="1"/>
  <c r="AA265" i="1"/>
  <c r="AA269" i="1"/>
  <c r="AA270" i="1"/>
  <c r="AA272" i="1"/>
  <c r="AA275" i="1"/>
  <c r="AA277" i="1"/>
  <c r="AA279" i="1"/>
  <c r="AA281" i="1"/>
  <c r="AA285" i="1"/>
  <c r="AA286" i="1"/>
  <c r="AA288" i="1"/>
  <c r="AA291" i="1"/>
  <c r="AA293" i="1"/>
  <c r="AA295" i="1"/>
  <c r="AA297" i="1"/>
  <c r="AA301" i="1"/>
  <c r="AA302" i="1"/>
  <c r="AA304" i="1"/>
  <c r="AA307" i="1"/>
  <c r="AA309" i="1"/>
  <c r="AA311" i="1"/>
  <c r="AA313" i="1"/>
  <c r="AA317" i="1"/>
  <c r="AA318" i="1"/>
  <c r="AA320" i="1"/>
  <c r="AA323" i="1"/>
  <c r="AA325" i="1"/>
  <c r="AA327" i="1"/>
  <c r="AA329" i="1"/>
  <c r="AA333" i="1"/>
  <c r="AA336" i="1"/>
  <c r="AA339" i="1"/>
  <c r="AA341" i="1"/>
  <c r="AA343" i="1"/>
  <c r="AA345" i="1"/>
  <c r="AA349" i="1"/>
  <c r="AA350" i="1"/>
  <c r="AA352" i="1"/>
  <c r="AA355" i="1"/>
  <c r="AA357" i="1"/>
  <c r="AA359" i="1"/>
  <c r="AA361" i="1"/>
  <c r="AA365" i="1"/>
  <c r="AA366" i="1"/>
  <c r="AA368" i="1"/>
  <c r="AA371" i="1"/>
  <c r="AA373" i="1"/>
  <c r="AA375" i="1"/>
  <c r="AA377" i="1"/>
  <c r="AA381" i="1"/>
  <c r="AA382" i="1"/>
  <c r="AA384" i="1"/>
  <c r="AA387" i="1"/>
  <c r="AA389" i="1"/>
  <c r="AA391" i="1"/>
  <c r="AA393" i="1"/>
  <c r="AA397" i="1"/>
  <c r="AA398" i="1"/>
  <c r="AA400" i="1"/>
  <c r="AA403" i="1"/>
  <c r="AA405" i="1"/>
  <c r="AA407" i="1"/>
  <c r="AA409" i="1"/>
  <c r="AA413" i="1"/>
  <c r="AA414" i="1"/>
  <c r="AA416" i="1"/>
  <c r="AA419" i="1"/>
  <c r="AA421" i="1"/>
  <c r="AA423" i="1"/>
  <c r="AA425" i="1"/>
  <c r="AA429" i="1"/>
  <c r="AA430" i="1"/>
  <c r="AA432" i="1"/>
  <c r="AA435" i="1"/>
  <c r="AA437" i="1"/>
  <c r="AA439" i="1"/>
  <c r="AA441" i="1"/>
  <c r="AA445" i="1"/>
  <c r="AA446" i="1"/>
  <c r="AA448" i="1"/>
  <c r="AA451" i="1"/>
  <c r="AA453" i="1"/>
  <c r="AA455" i="1"/>
  <c r="AA457" i="1"/>
  <c r="AA461" i="1"/>
  <c r="AA462" i="1"/>
  <c r="AA464" i="1"/>
  <c r="AA467" i="1"/>
  <c r="AA469" i="1"/>
  <c r="AA471" i="1"/>
  <c r="AA473" i="1"/>
  <c r="AA477" i="1"/>
  <c r="AA478" i="1"/>
  <c r="AA480" i="1"/>
  <c r="AA483" i="1"/>
  <c r="AA485" i="1"/>
  <c r="AA487" i="1"/>
  <c r="AA489" i="1"/>
  <c r="AA493" i="1"/>
  <c r="AA496" i="1"/>
  <c r="AA499" i="1"/>
  <c r="AA501" i="1"/>
  <c r="AA503" i="1"/>
  <c r="AA505" i="1"/>
  <c r="AA509" i="1"/>
  <c r="AA510" i="1"/>
  <c r="AA512" i="1"/>
  <c r="AA515" i="1"/>
  <c r="AA517" i="1"/>
  <c r="AA519" i="1"/>
  <c r="AA521" i="1"/>
  <c r="AA525" i="1"/>
  <c r="AA526" i="1"/>
  <c r="AA528" i="1"/>
  <c r="AA531" i="1"/>
  <c r="AA533" i="1"/>
  <c r="AA535" i="1"/>
  <c r="AA537" i="1"/>
  <c r="AA541" i="1"/>
  <c r="AA542" i="1"/>
  <c r="AA544" i="1"/>
  <c r="AA547" i="1"/>
  <c r="AA549" i="1"/>
  <c r="AA551" i="1"/>
  <c r="AA552" i="1"/>
  <c r="AA553" i="1"/>
  <c r="AA557" i="1"/>
  <c r="AA558" i="1"/>
  <c r="AA560" i="1"/>
  <c r="AA563" i="1"/>
  <c r="AA565" i="1"/>
  <c r="AA567" i="1"/>
  <c r="AA568" i="1"/>
  <c r="AA569" i="1"/>
  <c r="AA573" i="1"/>
  <c r="AA574" i="1"/>
  <c r="AA576" i="1"/>
  <c r="AA579" i="1"/>
  <c r="AA581" i="1"/>
  <c r="AA583" i="1"/>
  <c r="AA584" i="1"/>
  <c r="AA585" i="1"/>
  <c r="AA589" i="1"/>
  <c r="AA590" i="1"/>
  <c r="AA592" i="1"/>
  <c r="AA595" i="1"/>
  <c r="AA597" i="1"/>
  <c r="AA599" i="1"/>
  <c r="AA600" i="1"/>
  <c r="AA601" i="1"/>
  <c r="AA605" i="1"/>
  <c r="AA606" i="1"/>
  <c r="AA608" i="1"/>
  <c r="AA611" i="1"/>
  <c r="AA613" i="1"/>
  <c r="AA615" i="1"/>
  <c r="AA616" i="1"/>
  <c r="AA617" i="1"/>
  <c r="AA621" i="1"/>
  <c r="AA622" i="1"/>
  <c r="AA624" i="1"/>
  <c r="AA627" i="1"/>
  <c r="AA629" i="1"/>
  <c r="AA631" i="1"/>
  <c r="AA632" i="1"/>
  <c r="AA633" i="1"/>
  <c r="AA637" i="1"/>
  <c r="AA638" i="1"/>
  <c r="AA640" i="1"/>
  <c r="AA643" i="1"/>
  <c r="AA645" i="1"/>
  <c r="AA647" i="1"/>
  <c r="AA648" i="1"/>
  <c r="AA649" i="1"/>
  <c r="AA653" i="1"/>
  <c r="AA654" i="1"/>
  <c r="AA656" i="1"/>
  <c r="AA659" i="1"/>
  <c r="AA661" i="1"/>
  <c r="AA663" i="1"/>
  <c r="AA664" i="1"/>
  <c r="AA665" i="1"/>
  <c r="AA669" i="1"/>
  <c r="AA670" i="1"/>
  <c r="AA672" i="1"/>
  <c r="AA675" i="1"/>
  <c r="AA677" i="1"/>
  <c r="AA679" i="1"/>
  <c r="AA680" i="1"/>
  <c r="AA681" i="1"/>
  <c r="AA685" i="1"/>
  <c r="AA686" i="1"/>
  <c r="AA688" i="1"/>
  <c r="AA691" i="1"/>
  <c r="AA693" i="1"/>
  <c r="AA695" i="1"/>
  <c r="AA696" i="1"/>
  <c r="AA697" i="1"/>
  <c r="AA701" i="1"/>
  <c r="AA702" i="1"/>
  <c r="AA704" i="1"/>
  <c r="AA707" i="1"/>
  <c r="AA709" i="1"/>
  <c r="AA711" i="1"/>
  <c r="AA712" i="1"/>
  <c r="AA713" i="1"/>
  <c r="AA717" i="1"/>
  <c r="AA720" i="1"/>
  <c r="AA723" i="1"/>
  <c r="AA725" i="1"/>
  <c r="AA727" i="1"/>
  <c r="AA728" i="1"/>
  <c r="AA729" i="1"/>
  <c r="AA733" i="1"/>
  <c r="AA734" i="1"/>
  <c r="AA736" i="1"/>
  <c r="AA739" i="1"/>
  <c r="AA741" i="1"/>
  <c r="AA743" i="1"/>
  <c r="AA744" i="1"/>
  <c r="AA745" i="1"/>
  <c r="AA749" i="1"/>
  <c r="AA750" i="1"/>
  <c r="AA752" i="1"/>
  <c r="AA755" i="1"/>
  <c r="AA757" i="1"/>
  <c r="AA759" i="1"/>
  <c r="AA760" i="1"/>
  <c r="AA761" i="1"/>
  <c r="AA765" i="1"/>
  <c r="AA766" i="1"/>
  <c r="AA768" i="1"/>
  <c r="AA771" i="1"/>
  <c r="AA773" i="1"/>
  <c r="AA775" i="1"/>
  <c r="AA776" i="1"/>
  <c r="AA777" i="1"/>
  <c r="AA781" i="1"/>
  <c r="AA782" i="1"/>
  <c r="AA784" i="1"/>
  <c r="AA787" i="1"/>
  <c r="AA789" i="1"/>
  <c r="AA791" i="1"/>
  <c r="AA792" i="1"/>
  <c r="AA793" i="1"/>
  <c r="AA797" i="1"/>
  <c r="AA798" i="1"/>
  <c r="AA800" i="1"/>
  <c r="AA803" i="1"/>
  <c r="AA805" i="1"/>
  <c r="AA807" i="1"/>
  <c r="AA808" i="1"/>
  <c r="AA809" i="1"/>
  <c r="AA813" i="1"/>
  <c r="AA814" i="1"/>
  <c r="AA816" i="1"/>
  <c r="AA819" i="1"/>
  <c r="AA821" i="1"/>
  <c r="AA823" i="1"/>
  <c r="AA824" i="1"/>
  <c r="AA825" i="1"/>
  <c r="AA829" i="1"/>
  <c r="AA830" i="1"/>
  <c r="AA832" i="1"/>
  <c r="AA835" i="1"/>
  <c r="AA837" i="1"/>
  <c r="AA839" i="1"/>
  <c r="AA840" i="1"/>
  <c r="AA841" i="1"/>
  <c r="AA845" i="1"/>
  <c r="AA846" i="1"/>
  <c r="AA848" i="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" i="11"/>
  <c r="D44" i="11" a="1"/>
  <c r="D44" i="11" s="1"/>
  <c r="C44" i="11" a="1"/>
  <c r="AV2" i="1"/>
  <c r="AU2" i="1"/>
  <c r="AZ2" i="1" a="1"/>
  <c r="AZ2" i="1" s="1"/>
  <c r="AY2" i="1" a="1"/>
  <c r="AY2" i="1" s="1"/>
  <c r="AX2" i="1" a="1"/>
  <c r="AX2" i="1" s="1"/>
  <c r="AW2" i="1" a="1"/>
  <c r="AW2" i="1" s="1"/>
  <c r="N5" i="1"/>
  <c r="Q5" i="1"/>
  <c r="N6" i="1"/>
  <c r="Q6" i="1"/>
  <c r="N7" i="1"/>
  <c r="Q7" i="1"/>
  <c r="N8" i="1"/>
  <c r="Q8" i="1"/>
  <c r="N9" i="1"/>
  <c r="Q9" i="1"/>
  <c r="N10" i="1"/>
  <c r="Q10" i="1"/>
  <c r="N11" i="1"/>
  <c r="Q11" i="1"/>
  <c r="N12" i="1"/>
  <c r="Q12" i="1"/>
  <c r="N13" i="1"/>
  <c r="Q13" i="1"/>
  <c r="N14" i="1"/>
  <c r="Q14" i="1"/>
  <c r="N15" i="1"/>
  <c r="Q15" i="1"/>
  <c r="N16" i="1"/>
  <c r="Q16" i="1"/>
  <c r="N17" i="1"/>
  <c r="Q17" i="1"/>
  <c r="N18" i="1"/>
  <c r="Q18" i="1"/>
  <c r="N19" i="1"/>
  <c r="Q19" i="1"/>
  <c r="N20" i="1"/>
  <c r="Q20" i="1"/>
  <c r="N21" i="1"/>
  <c r="Q21" i="1"/>
  <c r="N22" i="1"/>
  <c r="Q22" i="1"/>
  <c r="N23" i="1"/>
  <c r="Q23" i="1"/>
  <c r="N24" i="1"/>
  <c r="Q24" i="1"/>
  <c r="N25" i="1"/>
  <c r="Q25" i="1"/>
  <c r="N26" i="1"/>
  <c r="Q26" i="1"/>
  <c r="N27" i="1"/>
  <c r="Q27" i="1"/>
  <c r="N28" i="1"/>
  <c r="Q28" i="1"/>
  <c r="N29" i="1"/>
  <c r="Q29" i="1"/>
  <c r="N30" i="1"/>
  <c r="Q30" i="1"/>
  <c r="N31" i="1"/>
  <c r="Q31" i="1"/>
  <c r="N32" i="1"/>
  <c r="Q32" i="1"/>
  <c r="N33" i="1"/>
  <c r="Q33" i="1"/>
  <c r="N34" i="1"/>
  <c r="Q34" i="1"/>
  <c r="N35" i="1"/>
  <c r="Q35" i="1"/>
  <c r="N36" i="1"/>
  <c r="Q36" i="1"/>
  <c r="N37" i="1"/>
  <c r="Q37" i="1"/>
  <c r="N38" i="1"/>
  <c r="Q38" i="1"/>
  <c r="N39" i="1"/>
  <c r="Q39" i="1"/>
  <c r="N40" i="1"/>
  <c r="Q40" i="1"/>
  <c r="N41" i="1"/>
  <c r="Q41" i="1"/>
  <c r="N42" i="1"/>
  <c r="Q42" i="1"/>
  <c r="N43" i="1"/>
  <c r="Q43" i="1"/>
  <c r="N44" i="1"/>
  <c r="Q44" i="1"/>
  <c r="N45" i="1"/>
  <c r="Q45" i="1"/>
  <c r="N46" i="1"/>
  <c r="Q46" i="1"/>
  <c r="N47" i="1"/>
  <c r="Q47" i="1"/>
  <c r="N48" i="1"/>
  <c r="Q48" i="1"/>
  <c r="N49" i="1"/>
  <c r="Q49" i="1"/>
  <c r="N50" i="1"/>
  <c r="Q50" i="1"/>
  <c r="N51" i="1"/>
  <c r="Q51" i="1"/>
  <c r="N52" i="1"/>
  <c r="Q52" i="1"/>
  <c r="N53" i="1"/>
  <c r="Q53" i="1"/>
  <c r="N54" i="1"/>
  <c r="Q54" i="1"/>
  <c r="N55" i="1"/>
  <c r="Q55" i="1"/>
  <c r="N56" i="1"/>
  <c r="Q56" i="1"/>
  <c r="N57" i="1"/>
  <c r="Q57" i="1"/>
  <c r="N58" i="1"/>
  <c r="Q58" i="1"/>
  <c r="N59" i="1"/>
  <c r="Q59" i="1"/>
  <c r="N60" i="1"/>
  <c r="Q60" i="1"/>
  <c r="N61" i="1"/>
  <c r="Q61" i="1"/>
  <c r="N62" i="1"/>
  <c r="Q62" i="1"/>
  <c r="N63" i="1"/>
  <c r="Q63" i="1"/>
  <c r="N64" i="1"/>
  <c r="Q64" i="1"/>
  <c r="N65" i="1"/>
  <c r="Q65" i="1"/>
  <c r="N66" i="1"/>
  <c r="Q66" i="1"/>
  <c r="N67" i="1"/>
  <c r="Q67" i="1"/>
  <c r="N68" i="1"/>
  <c r="Q68" i="1"/>
  <c r="N69" i="1"/>
  <c r="Q69" i="1"/>
  <c r="N70" i="1"/>
  <c r="Q70" i="1"/>
  <c r="N71" i="1"/>
  <c r="Q71" i="1"/>
  <c r="N72" i="1"/>
  <c r="Q72" i="1"/>
  <c r="N73" i="1"/>
  <c r="Q73" i="1"/>
  <c r="N74" i="1"/>
  <c r="Q74" i="1"/>
  <c r="N75" i="1"/>
  <c r="Q75" i="1"/>
  <c r="N76" i="1"/>
  <c r="Q76" i="1"/>
  <c r="N77" i="1"/>
  <c r="Q77" i="1"/>
  <c r="N78" i="1"/>
  <c r="Q78" i="1"/>
  <c r="N79" i="1"/>
  <c r="Q79" i="1"/>
  <c r="N80" i="1"/>
  <c r="Q80" i="1"/>
  <c r="N81" i="1"/>
  <c r="Q81" i="1"/>
  <c r="N82" i="1"/>
  <c r="Q82" i="1"/>
  <c r="N83" i="1"/>
  <c r="Q83" i="1"/>
  <c r="N84" i="1"/>
  <c r="Q84" i="1"/>
  <c r="N85" i="1"/>
  <c r="Q85" i="1"/>
  <c r="N86" i="1"/>
  <c r="Q86" i="1"/>
  <c r="N87" i="1"/>
  <c r="Q87" i="1"/>
  <c r="N88" i="1"/>
  <c r="Q88" i="1"/>
  <c r="N89" i="1"/>
  <c r="Q89" i="1"/>
  <c r="N90" i="1"/>
  <c r="Q90" i="1"/>
  <c r="N91" i="1"/>
  <c r="Q91" i="1"/>
  <c r="N92" i="1"/>
  <c r="Q92" i="1"/>
  <c r="N93" i="1"/>
  <c r="Q93" i="1"/>
  <c r="N94" i="1"/>
  <c r="Q94" i="1"/>
  <c r="N95" i="1"/>
  <c r="Q95" i="1"/>
  <c r="N96" i="1"/>
  <c r="Q96" i="1"/>
  <c r="N97" i="1"/>
  <c r="Q97" i="1"/>
  <c r="N98" i="1"/>
  <c r="Q98" i="1"/>
  <c r="N99" i="1"/>
  <c r="Q99" i="1"/>
  <c r="N100" i="1"/>
  <c r="Q100" i="1"/>
  <c r="N101" i="1"/>
  <c r="Q101" i="1"/>
  <c r="N102" i="1"/>
  <c r="Q102" i="1"/>
  <c r="N103" i="1"/>
  <c r="Q103" i="1"/>
  <c r="N104" i="1"/>
  <c r="Q104" i="1"/>
  <c r="N105" i="1"/>
  <c r="Q105" i="1"/>
  <c r="N106" i="1"/>
  <c r="Q106" i="1"/>
  <c r="N107" i="1"/>
  <c r="Q107" i="1"/>
  <c r="N108" i="1"/>
  <c r="Q108" i="1"/>
  <c r="N109" i="1"/>
  <c r="Q109" i="1"/>
  <c r="N110" i="1"/>
  <c r="Q110" i="1"/>
  <c r="N111" i="1"/>
  <c r="Q111" i="1"/>
  <c r="N112" i="1"/>
  <c r="Q112" i="1"/>
  <c r="N113" i="1"/>
  <c r="Q113" i="1"/>
  <c r="N114" i="1"/>
  <c r="Q114" i="1"/>
  <c r="N115" i="1"/>
  <c r="Q115" i="1"/>
  <c r="N116" i="1"/>
  <c r="Q116" i="1"/>
  <c r="N117" i="1"/>
  <c r="Q117" i="1"/>
  <c r="N118" i="1"/>
  <c r="Q118" i="1"/>
  <c r="N119" i="1"/>
  <c r="Q119" i="1"/>
  <c r="N120" i="1"/>
  <c r="Q120" i="1"/>
  <c r="N121" i="1"/>
  <c r="Q121" i="1"/>
  <c r="N122" i="1"/>
  <c r="Q122" i="1"/>
  <c r="N123" i="1"/>
  <c r="Q123" i="1"/>
  <c r="N124" i="1"/>
  <c r="Q124" i="1"/>
  <c r="N125" i="1"/>
  <c r="Q125" i="1"/>
  <c r="N126" i="1"/>
  <c r="Q126" i="1"/>
  <c r="N127" i="1"/>
  <c r="Q127" i="1"/>
  <c r="N128" i="1"/>
  <c r="Q128" i="1"/>
  <c r="N129" i="1"/>
  <c r="Q129" i="1"/>
  <c r="N130" i="1"/>
  <c r="Q130" i="1"/>
  <c r="N131" i="1"/>
  <c r="Q131" i="1"/>
  <c r="N132" i="1"/>
  <c r="Q132" i="1"/>
  <c r="N133" i="1"/>
  <c r="Q133" i="1"/>
  <c r="N134" i="1"/>
  <c r="Q134" i="1"/>
  <c r="N135" i="1"/>
  <c r="Q135" i="1"/>
  <c r="N136" i="1"/>
  <c r="Q136" i="1"/>
  <c r="N137" i="1"/>
  <c r="Q137" i="1"/>
  <c r="N138" i="1"/>
  <c r="Q138" i="1"/>
  <c r="N139" i="1"/>
  <c r="Q139" i="1"/>
  <c r="N140" i="1"/>
  <c r="Q140" i="1"/>
  <c r="N141" i="1"/>
  <c r="Q141" i="1"/>
  <c r="N142" i="1"/>
  <c r="Q142" i="1"/>
  <c r="N143" i="1"/>
  <c r="Q143" i="1"/>
  <c r="N144" i="1"/>
  <c r="Q144" i="1"/>
  <c r="N145" i="1"/>
  <c r="Q145" i="1"/>
  <c r="N146" i="1"/>
  <c r="Q146" i="1"/>
  <c r="N147" i="1"/>
  <c r="Q147" i="1"/>
  <c r="N148" i="1"/>
  <c r="Q148" i="1"/>
  <c r="N149" i="1"/>
  <c r="Q149" i="1"/>
  <c r="N150" i="1"/>
  <c r="Q150" i="1"/>
  <c r="N151" i="1"/>
  <c r="Q151" i="1"/>
  <c r="N152" i="1"/>
  <c r="Q152" i="1"/>
  <c r="N153" i="1"/>
  <c r="Q153" i="1"/>
  <c r="N154" i="1"/>
  <c r="Q154" i="1"/>
  <c r="N155" i="1"/>
  <c r="Q155" i="1"/>
  <c r="N156" i="1"/>
  <c r="Q156" i="1"/>
  <c r="N157" i="1"/>
  <c r="Q157" i="1"/>
  <c r="N158" i="1"/>
  <c r="Q158" i="1"/>
  <c r="N159" i="1"/>
  <c r="Q159" i="1"/>
  <c r="N160" i="1"/>
  <c r="Q160" i="1"/>
  <c r="N161" i="1"/>
  <c r="Q161" i="1"/>
  <c r="N162" i="1"/>
  <c r="Q162" i="1"/>
  <c r="N163" i="1"/>
  <c r="Q163" i="1"/>
  <c r="N164" i="1"/>
  <c r="Q164" i="1"/>
  <c r="N165" i="1"/>
  <c r="Q165" i="1"/>
  <c r="N166" i="1"/>
  <c r="Q166" i="1"/>
  <c r="N167" i="1"/>
  <c r="Q167" i="1"/>
  <c r="N168" i="1"/>
  <c r="Q168" i="1"/>
  <c r="N169" i="1"/>
  <c r="Q169" i="1"/>
  <c r="N170" i="1"/>
  <c r="Q170" i="1"/>
  <c r="N171" i="1"/>
  <c r="Q171" i="1"/>
  <c r="N172" i="1"/>
  <c r="Q172" i="1"/>
  <c r="N173" i="1"/>
  <c r="Q173" i="1"/>
  <c r="N174" i="1"/>
  <c r="Q174" i="1"/>
  <c r="N175" i="1"/>
  <c r="Q175" i="1"/>
  <c r="N176" i="1"/>
  <c r="Q176" i="1"/>
  <c r="N177" i="1"/>
  <c r="Q177" i="1"/>
  <c r="N178" i="1"/>
  <c r="Q178" i="1"/>
  <c r="N179" i="1"/>
  <c r="Q179" i="1"/>
  <c r="N180" i="1"/>
  <c r="Q180" i="1"/>
  <c r="N181" i="1"/>
  <c r="Q181" i="1"/>
  <c r="N182" i="1"/>
  <c r="Q182" i="1"/>
  <c r="N183" i="1"/>
  <c r="Q183" i="1"/>
  <c r="N184" i="1"/>
  <c r="Q184" i="1"/>
  <c r="N185" i="1"/>
  <c r="Q185" i="1"/>
  <c r="N186" i="1"/>
  <c r="Q186" i="1"/>
  <c r="N187" i="1"/>
  <c r="Q187" i="1"/>
  <c r="N188" i="1"/>
  <c r="Q188" i="1"/>
  <c r="N189" i="1"/>
  <c r="Q189" i="1"/>
  <c r="N190" i="1"/>
  <c r="Q190" i="1"/>
  <c r="N191" i="1"/>
  <c r="Q191" i="1"/>
  <c r="N192" i="1"/>
  <c r="Q192" i="1"/>
  <c r="N193" i="1"/>
  <c r="Q193" i="1"/>
  <c r="N194" i="1"/>
  <c r="Q194" i="1"/>
  <c r="N195" i="1"/>
  <c r="Q195" i="1"/>
  <c r="N196" i="1"/>
  <c r="Q196" i="1"/>
  <c r="N197" i="1"/>
  <c r="Q197" i="1"/>
  <c r="N198" i="1"/>
  <c r="Q198" i="1"/>
  <c r="N199" i="1"/>
  <c r="Q199" i="1"/>
  <c r="N200" i="1"/>
  <c r="Q200" i="1"/>
  <c r="N201" i="1"/>
  <c r="Q201" i="1"/>
  <c r="N202" i="1"/>
  <c r="Q202" i="1"/>
  <c r="N203" i="1"/>
  <c r="Q203" i="1"/>
  <c r="N204" i="1"/>
  <c r="Q204" i="1"/>
  <c r="N205" i="1"/>
  <c r="Q205" i="1"/>
  <c r="N206" i="1"/>
  <c r="Q206" i="1"/>
  <c r="N207" i="1"/>
  <c r="Q207" i="1"/>
  <c r="N208" i="1"/>
  <c r="Q208" i="1"/>
  <c r="N209" i="1"/>
  <c r="Q209" i="1"/>
  <c r="N210" i="1"/>
  <c r="Q210" i="1"/>
  <c r="N211" i="1"/>
  <c r="Q211" i="1"/>
  <c r="N212" i="1"/>
  <c r="Q212" i="1"/>
  <c r="N213" i="1"/>
  <c r="Q213" i="1"/>
  <c r="N214" i="1"/>
  <c r="Q214" i="1"/>
  <c r="N215" i="1"/>
  <c r="Q215" i="1"/>
  <c r="N216" i="1"/>
  <c r="Q216" i="1"/>
  <c r="N217" i="1"/>
  <c r="Q217" i="1"/>
  <c r="N218" i="1"/>
  <c r="Q218" i="1"/>
  <c r="N219" i="1"/>
  <c r="Q219" i="1"/>
  <c r="N220" i="1"/>
  <c r="Q220" i="1"/>
  <c r="N221" i="1"/>
  <c r="Q221" i="1"/>
  <c r="N222" i="1"/>
  <c r="Q222" i="1"/>
  <c r="N223" i="1"/>
  <c r="Q223" i="1"/>
  <c r="N224" i="1"/>
  <c r="Q224" i="1"/>
  <c r="N225" i="1"/>
  <c r="Q225" i="1"/>
  <c r="N226" i="1"/>
  <c r="Q226" i="1"/>
  <c r="N227" i="1"/>
  <c r="Q227" i="1"/>
  <c r="N228" i="1"/>
  <c r="Q228" i="1"/>
  <c r="N229" i="1"/>
  <c r="Q229" i="1"/>
  <c r="N230" i="1"/>
  <c r="Q230" i="1"/>
  <c r="N231" i="1"/>
  <c r="Q231" i="1"/>
  <c r="N232" i="1"/>
  <c r="Q232" i="1"/>
  <c r="N233" i="1"/>
  <c r="Q233" i="1"/>
  <c r="N234" i="1"/>
  <c r="Q234" i="1"/>
  <c r="N235" i="1"/>
  <c r="Q235" i="1"/>
  <c r="N236" i="1"/>
  <c r="Q236" i="1"/>
  <c r="N237" i="1"/>
  <c r="Q237" i="1"/>
  <c r="N238" i="1"/>
  <c r="Q238" i="1"/>
  <c r="N239" i="1"/>
  <c r="Q239" i="1"/>
  <c r="N240" i="1"/>
  <c r="Q240" i="1"/>
  <c r="N241" i="1"/>
  <c r="Q241" i="1"/>
  <c r="N242" i="1"/>
  <c r="Q242" i="1"/>
  <c r="N243" i="1"/>
  <c r="Q243" i="1"/>
  <c r="N244" i="1"/>
  <c r="Q244" i="1"/>
  <c r="N245" i="1"/>
  <c r="Q245" i="1"/>
  <c r="N246" i="1"/>
  <c r="Q246" i="1"/>
  <c r="N247" i="1"/>
  <c r="Q247" i="1"/>
  <c r="N248" i="1"/>
  <c r="Q248" i="1"/>
  <c r="N249" i="1"/>
  <c r="Q249" i="1"/>
  <c r="N250" i="1"/>
  <c r="Q250" i="1"/>
  <c r="N251" i="1"/>
  <c r="Q251" i="1"/>
  <c r="N252" i="1"/>
  <c r="Q252" i="1"/>
  <c r="N253" i="1"/>
  <c r="Q253" i="1"/>
  <c r="N254" i="1"/>
  <c r="Q254" i="1"/>
  <c r="N255" i="1"/>
  <c r="Q255" i="1"/>
  <c r="N256" i="1"/>
  <c r="Q256" i="1"/>
  <c r="N257" i="1"/>
  <c r="Q257" i="1"/>
  <c r="N258" i="1"/>
  <c r="Q258" i="1"/>
  <c r="N259" i="1"/>
  <c r="Q259" i="1"/>
  <c r="N260" i="1"/>
  <c r="Q260" i="1"/>
  <c r="N261" i="1"/>
  <c r="Q261" i="1"/>
  <c r="N262" i="1"/>
  <c r="Q262" i="1"/>
  <c r="N263" i="1"/>
  <c r="Q263" i="1"/>
  <c r="N264" i="1"/>
  <c r="Q264" i="1"/>
  <c r="N265" i="1"/>
  <c r="Q265" i="1"/>
  <c r="N266" i="1"/>
  <c r="Q266" i="1"/>
  <c r="N267" i="1"/>
  <c r="Q267" i="1"/>
  <c r="N268" i="1"/>
  <c r="Q268" i="1"/>
  <c r="N269" i="1"/>
  <c r="Q269" i="1"/>
  <c r="N270" i="1"/>
  <c r="Q270" i="1"/>
  <c r="N271" i="1"/>
  <c r="Q271" i="1"/>
  <c r="N272" i="1"/>
  <c r="Q272" i="1"/>
  <c r="N273" i="1"/>
  <c r="Q273" i="1"/>
  <c r="N274" i="1"/>
  <c r="Q274" i="1"/>
  <c r="N275" i="1"/>
  <c r="Q275" i="1"/>
  <c r="N276" i="1"/>
  <c r="Q276" i="1"/>
  <c r="N277" i="1"/>
  <c r="Q277" i="1"/>
  <c r="N278" i="1"/>
  <c r="Q278" i="1"/>
  <c r="N279" i="1"/>
  <c r="Q279" i="1"/>
  <c r="N280" i="1"/>
  <c r="Q280" i="1"/>
  <c r="N281" i="1"/>
  <c r="Q281" i="1"/>
  <c r="N282" i="1"/>
  <c r="Q282" i="1"/>
  <c r="N283" i="1"/>
  <c r="Q283" i="1"/>
  <c r="N284" i="1"/>
  <c r="Q284" i="1"/>
  <c r="N285" i="1"/>
  <c r="Q285" i="1"/>
  <c r="N286" i="1"/>
  <c r="Q286" i="1"/>
  <c r="N287" i="1"/>
  <c r="Q287" i="1"/>
  <c r="N288" i="1"/>
  <c r="Q288" i="1"/>
  <c r="N289" i="1"/>
  <c r="Q289" i="1"/>
  <c r="N290" i="1"/>
  <c r="Q290" i="1"/>
  <c r="N291" i="1"/>
  <c r="Q291" i="1"/>
  <c r="N292" i="1"/>
  <c r="Q292" i="1"/>
  <c r="N293" i="1"/>
  <c r="Q293" i="1"/>
  <c r="N294" i="1"/>
  <c r="Q294" i="1"/>
  <c r="N295" i="1"/>
  <c r="Q295" i="1"/>
  <c r="N296" i="1"/>
  <c r="Q296" i="1"/>
  <c r="N297" i="1"/>
  <c r="Q297" i="1"/>
  <c r="N298" i="1"/>
  <c r="Q298" i="1"/>
  <c r="N299" i="1"/>
  <c r="Q299" i="1"/>
  <c r="N300" i="1"/>
  <c r="Q300" i="1"/>
  <c r="N301" i="1"/>
  <c r="Q301" i="1"/>
  <c r="N302" i="1"/>
  <c r="Q302" i="1"/>
  <c r="N303" i="1"/>
  <c r="Q303" i="1"/>
  <c r="N304" i="1"/>
  <c r="Q304" i="1"/>
  <c r="N305" i="1"/>
  <c r="Q305" i="1"/>
  <c r="N306" i="1"/>
  <c r="Q306" i="1"/>
  <c r="N307" i="1"/>
  <c r="Q307" i="1"/>
  <c r="N308" i="1"/>
  <c r="Q308" i="1"/>
  <c r="N309" i="1"/>
  <c r="Q309" i="1"/>
  <c r="N310" i="1"/>
  <c r="Q310" i="1"/>
  <c r="N311" i="1"/>
  <c r="Q311" i="1"/>
  <c r="N312" i="1"/>
  <c r="Q312" i="1"/>
  <c r="N313" i="1"/>
  <c r="Q313" i="1"/>
  <c r="N314" i="1"/>
  <c r="Q314" i="1"/>
  <c r="N315" i="1"/>
  <c r="Q315" i="1"/>
  <c r="N316" i="1"/>
  <c r="Q316" i="1"/>
  <c r="N317" i="1"/>
  <c r="Q317" i="1"/>
  <c r="N318" i="1"/>
  <c r="Q318" i="1"/>
  <c r="N319" i="1"/>
  <c r="Q319" i="1"/>
  <c r="N320" i="1"/>
  <c r="Q320" i="1"/>
  <c r="N321" i="1"/>
  <c r="Q321" i="1"/>
  <c r="N322" i="1"/>
  <c r="Q322" i="1"/>
  <c r="N323" i="1"/>
  <c r="Q323" i="1"/>
  <c r="N324" i="1"/>
  <c r="Q324" i="1"/>
  <c r="N325" i="1"/>
  <c r="Q325" i="1"/>
  <c r="N326" i="1"/>
  <c r="Q326" i="1"/>
  <c r="N327" i="1"/>
  <c r="Q327" i="1"/>
  <c r="N328" i="1"/>
  <c r="Q328" i="1"/>
  <c r="N329" i="1"/>
  <c r="Q329" i="1"/>
  <c r="N330" i="1"/>
  <c r="Q330" i="1"/>
  <c r="N331" i="1"/>
  <c r="Q331" i="1"/>
  <c r="N332" i="1"/>
  <c r="Q332" i="1"/>
  <c r="N333" i="1"/>
  <c r="Q333" i="1"/>
  <c r="N334" i="1"/>
  <c r="Q334" i="1"/>
  <c r="N335" i="1"/>
  <c r="Q335" i="1"/>
  <c r="N336" i="1"/>
  <c r="Q336" i="1"/>
  <c r="N337" i="1"/>
  <c r="Q337" i="1"/>
  <c r="N338" i="1"/>
  <c r="Q338" i="1"/>
  <c r="N339" i="1"/>
  <c r="Q339" i="1"/>
  <c r="N340" i="1"/>
  <c r="Q340" i="1"/>
  <c r="N341" i="1"/>
  <c r="Q341" i="1"/>
  <c r="N342" i="1"/>
  <c r="Q342" i="1"/>
  <c r="N343" i="1"/>
  <c r="Q343" i="1"/>
  <c r="N344" i="1"/>
  <c r="Q344" i="1"/>
  <c r="N345" i="1"/>
  <c r="Q345" i="1"/>
  <c r="N346" i="1"/>
  <c r="Q346" i="1"/>
  <c r="N347" i="1"/>
  <c r="Q347" i="1"/>
  <c r="N348" i="1"/>
  <c r="Q348" i="1"/>
  <c r="N349" i="1"/>
  <c r="Q349" i="1"/>
  <c r="N350" i="1"/>
  <c r="Q350" i="1"/>
  <c r="N351" i="1"/>
  <c r="Q351" i="1"/>
  <c r="N352" i="1"/>
  <c r="Q352" i="1"/>
  <c r="N353" i="1"/>
  <c r="Q353" i="1"/>
  <c r="N354" i="1"/>
  <c r="Q354" i="1"/>
  <c r="N355" i="1"/>
  <c r="Q355" i="1"/>
  <c r="N356" i="1"/>
  <c r="Q356" i="1"/>
  <c r="N357" i="1"/>
  <c r="Q357" i="1"/>
  <c r="N358" i="1"/>
  <c r="Q358" i="1"/>
  <c r="N359" i="1"/>
  <c r="Q359" i="1"/>
  <c r="N360" i="1"/>
  <c r="Q360" i="1"/>
  <c r="N361" i="1"/>
  <c r="Q361" i="1"/>
  <c r="N362" i="1"/>
  <c r="Q362" i="1"/>
  <c r="N363" i="1"/>
  <c r="Q363" i="1"/>
  <c r="N364" i="1"/>
  <c r="Q364" i="1"/>
  <c r="N365" i="1"/>
  <c r="Q365" i="1"/>
  <c r="N366" i="1"/>
  <c r="Q366" i="1"/>
  <c r="N367" i="1"/>
  <c r="Q367" i="1"/>
  <c r="N368" i="1"/>
  <c r="Q368" i="1"/>
  <c r="N369" i="1"/>
  <c r="Q369" i="1"/>
  <c r="N370" i="1"/>
  <c r="Q370" i="1"/>
  <c r="N371" i="1"/>
  <c r="Q371" i="1"/>
  <c r="N372" i="1"/>
  <c r="Q372" i="1"/>
  <c r="N373" i="1"/>
  <c r="Q373" i="1"/>
  <c r="N374" i="1"/>
  <c r="Q374" i="1"/>
  <c r="N375" i="1"/>
  <c r="Q375" i="1"/>
  <c r="N376" i="1"/>
  <c r="Q376" i="1"/>
  <c r="N377" i="1"/>
  <c r="Q377" i="1"/>
  <c r="N378" i="1"/>
  <c r="Q378" i="1"/>
  <c r="N379" i="1"/>
  <c r="Q379" i="1"/>
  <c r="N380" i="1"/>
  <c r="Q380" i="1"/>
  <c r="N381" i="1"/>
  <c r="Q381" i="1"/>
  <c r="N382" i="1"/>
  <c r="Q382" i="1"/>
  <c r="N383" i="1"/>
  <c r="Q383" i="1"/>
  <c r="N384" i="1"/>
  <c r="Q384" i="1"/>
  <c r="N385" i="1"/>
  <c r="Q385" i="1"/>
  <c r="N386" i="1"/>
  <c r="Q386" i="1"/>
  <c r="N387" i="1"/>
  <c r="Q387" i="1"/>
  <c r="N388" i="1"/>
  <c r="Q388" i="1"/>
  <c r="N389" i="1"/>
  <c r="Q389" i="1"/>
  <c r="N390" i="1"/>
  <c r="Q390" i="1"/>
  <c r="N391" i="1"/>
  <c r="Q391" i="1"/>
  <c r="N392" i="1"/>
  <c r="Q392" i="1"/>
  <c r="N393" i="1"/>
  <c r="Q393" i="1"/>
  <c r="N394" i="1"/>
  <c r="Q394" i="1"/>
  <c r="N395" i="1"/>
  <c r="Q395" i="1"/>
  <c r="N396" i="1"/>
  <c r="Q396" i="1"/>
  <c r="N397" i="1"/>
  <c r="Q397" i="1"/>
  <c r="N398" i="1"/>
  <c r="Q398" i="1"/>
  <c r="N399" i="1"/>
  <c r="Q399" i="1"/>
  <c r="N400" i="1"/>
  <c r="Q400" i="1"/>
  <c r="N401" i="1"/>
  <c r="Q401" i="1"/>
  <c r="N402" i="1"/>
  <c r="Q402" i="1"/>
  <c r="N403" i="1"/>
  <c r="Q403" i="1"/>
  <c r="N404" i="1"/>
  <c r="Q404" i="1"/>
  <c r="N405" i="1"/>
  <c r="Q405" i="1"/>
  <c r="N406" i="1"/>
  <c r="Q406" i="1"/>
  <c r="N407" i="1"/>
  <c r="Q407" i="1"/>
  <c r="N408" i="1"/>
  <c r="Q408" i="1"/>
  <c r="N409" i="1"/>
  <c r="Q409" i="1"/>
  <c r="N410" i="1"/>
  <c r="Q410" i="1"/>
  <c r="N411" i="1"/>
  <c r="Q411" i="1"/>
  <c r="N412" i="1"/>
  <c r="Q412" i="1"/>
  <c r="N413" i="1"/>
  <c r="Q413" i="1"/>
  <c r="N414" i="1"/>
  <c r="Q414" i="1"/>
  <c r="N415" i="1"/>
  <c r="Q415" i="1"/>
  <c r="N416" i="1"/>
  <c r="Q416" i="1"/>
  <c r="N417" i="1"/>
  <c r="Q417" i="1"/>
  <c r="N418" i="1"/>
  <c r="Q418" i="1"/>
  <c r="N419" i="1"/>
  <c r="Q419" i="1"/>
  <c r="N420" i="1"/>
  <c r="Q420" i="1"/>
  <c r="N421" i="1"/>
  <c r="Q421" i="1"/>
  <c r="N422" i="1"/>
  <c r="Q422" i="1"/>
  <c r="N423" i="1"/>
  <c r="Q423" i="1"/>
  <c r="N424" i="1"/>
  <c r="Q424" i="1"/>
  <c r="N425" i="1"/>
  <c r="Q425" i="1"/>
  <c r="N426" i="1"/>
  <c r="Q426" i="1"/>
  <c r="N427" i="1"/>
  <c r="Q427" i="1"/>
  <c r="N428" i="1"/>
  <c r="Q428" i="1"/>
  <c r="N429" i="1"/>
  <c r="Q429" i="1"/>
  <c r="N430" i="1"/>
  <c r="Q430" i="1"/>
  <c r="N431" i="1"/>
  <c r="Q431" i="1"/>
  <c r="N432" i="1"/>
  <c r="Q432" i="1"/>
  <c r="N433" i="1"/>
  <c r="Q433" i="1"/>
  <c r="N434" i="1"/>
  <c r="Q434" i="1"/>
  <c r="N435" i="1"/>
  <c r="Q435" i="1"/>
  <c r="N436" i="1"/>
  <c r="Q436" i="1"/>
  <c r="N437" i="1"/>
  <c r="Q437" i="1"/>
  <c r="N438" i="1"/>
  <c r="Q438" i="1"/>
  <c r="N439" i="1"/>
  <c r="Q439" i="1"/>
  <c r="N440" i="1"/>
  <c r="Q440" i="1"/>
  <c r="N441" i="1"/>
  <c r="Q441" i="1"/>
  <c r="N442" i="1"/>
  <c r="Q442" i="1"/>
  <c r="N443" i="1"/>
  <c r="Q443" i="1"/>
  <c r="N444" i="1"/>
  <c r="Q444" i="1"/>
  <c r="N445" i="1"/>
  <c r="Q445" i="1"/>
  <c r="N446" i="1"/>
  <c r="Q446" i="1"/>
  <c r="N447" i="1"/>
  <c r="Q447" i="1"/>
  <c r="N448" i="1"/>
  <c r="Q448" i="1"/>
  <c r="N449" i="1"/>
  <c r="Q449" i="1"/>
  <c r="N450" i="1"/>
  <c r="Q450" i="1"/>
  <c r="N451" i="1"/>
  <c r="Q451" i="1"/>
  <c r="N452" i="1"/>
  <c r="Q452" i="1"/>
  <c r="N453" i="1"/>
  <c r="Q453" i="1"/>
  <c r="N454" i="1"/>
  <c r="Q454" i="1"/>
  <c r="N455" i="1"/>
  <c r="Q455" i="1"/>
  <c r="N456" i="1"/>
  <c r="Q456" i="1"/>
  <c r="N457" i="1"/>
  <c r="Q457" i="1"/>
  <c r="N458" i="1"/>
  <c r="Q458" i="1"/>
  <c r="N459" i="1"/>
  <c r="Q459" i="1"/>
  <c r="N460" i="1"/>
  <c r="Q460" i="1"/>
  <c r="N461" i="1"/>
  <c r="Q461" i="1"/>
  <c r="N462" i="1"/>
  <c r="Q462" i="1"/>
  <c r="N463" i="1"/>
  <c r="Q463" i="1"/>
  <c r="N464" i="1"/>
  <c r="Q464" i="1"/>
  <c r="N465" i="1"/>
  <c r="Q465" i="1"/>
  <c r="N466" i="1"/>
  <c r="Q466" i="1"/>
  <c r="N467" i="1"/>
  <c r="Q467" i="1"/>
  <c r="N468" i="1"/>
  <c r="Q468" i="1"/>
  <c r="N469" i="1"/>
  <c r="Q469" i="1"/>
  <c r="N470" i="1"/>
  <c r="Q470" i="1"/>
  <c r="N471" i="1"/>
  <c r="Q471" i="1"/>
  <c r="N472" i="1"/>
  <c r="Q472" i="1"/>
  <c r="N473" i="1"/>
  <c r="Q473" i="1"/>
  <c r="N474" i="1"/>
  <c r="Q474" i="1"/>
  <c r="N475" i="1"/>
  <c r="Q475" i="1"/>
  <c r="N476" i="1"/>
  <c r="Q476" i="1"/>
  <c r="N477" i="1"/>
  <c r="Q477" i="1"/>
  <c r="N478" i="1"/>
  <c r="Q478" i="1"/>
  <c r="N479" i="1"/>
  <c r="Q479" i="1"/>
  <c r="N480" i="1"/>
  <c r="Q480" i="1"/>
  <c r="N481" i="1"/>
  <c r="Q481" i="1"/>
  <c r="N482" i="1"/>
  <c r="Q482" i="1"/>
  <c r="N483" i="1"/>
  <c r="Q483" i="1"/>
  <c r="N484" i="1"/>
  <c r="Q484" i="1"/>
  <c r="N485" i="1"/>
  <c r="Q485" i="1"/>
  <c r="N486" i="1"/>
  <c r="Q486" i="1"/>
  <c r="N487" i="1"/>
  <c r="Q487" i="1"/>
  <c r="N488" i="1"/>
  <c r="Q488" i="1"/>
  <c r="N489" i="1"/>
  <c r="Q489" i="1"/>
  <c r="N490" i="1"/>
  <c r="Q490" i="1"/>
  <c r="N491" i="1"/>
  <c r="Q491" i="1"/>
  <c r="N492" i="1"/>
  <c r="Q492" i="1"/>
  <c r="N493" i="1"/>
  <c r="Q493" i="1"/>
  <c r="N494" i="1"/>
  <c r="Q494" i="1"/>
  <c r="N495" i="1"/>
  <c r="Q495" i="1"/>
  <c r="N496" i="1"/>
  <c r="Q496" i="1"/>
  <c r="N497" i="1"/>
  <c r="Q497" i="1"/>
  <c r="N498" i="1"/>
  <c r="Q498" i="1"/>
  <c r="N499" i="1"/>
  <c r="Q499" i="1"/>
  <c r="N500" i="1"/>
  <c r="Q500" i="1"/>
  <c r="N501" i="1"/>
  <c r="Q501" i="1"/>
  <c r="N502" i="1"/>
  <c r="Q502" i="1"/>
  <c r="N503" i="1"/>
  <c r="Q503" i="1"/>
  <c r="N504" i="1"/>
  <c r="Q504" i="1"/>
  <c r="N505" i="1"/>
  <c r="Q505" i="1"/>
  <c r="N506" i="1"/>
  <c r="Q506" i="1"/>
  <c r="N507" i="1"/>
  <c r="Q507" i="1"/>
  <c r="N508" i="1"/>
  <c r="Q508" i="1"/>
  <c r="N509" i="1"/>
  <c r="Q509" i="1"/>
  <c r="N510" i="1"/>
  <c r="Q510" i="1"/>
  <c r="N511" i="1"/>
  <c r="Q511" i="1"/>
  <c r="N512" i="1"/>
  <c r="Q512" i="1"/>
  <c r="N513" i="1"/>
  <c r="Q513" i="1"/>
  <c r="N514" i="1"/>
  <c r="Q514" i="1"/>
  <c r="N515" i="1"/>
  <c r="Q515" i="1"/>
  <c r="N516" i="1"/>
  <c r="Q516" i="1"/>
  <c r="N517" i="1"/>
  <c r="Q517" i="1"/>
  <c r="N518" i="1"/>
  <c r="Q518" i="1"/>
  <c r="N519" i="1"/>
  <c r="Q519" i="1"/>
  <c r="N520" i="1"/>
  <c r="Q520" i="1"/>
  <c r="N521" i="1"/>
  <c r="Q521" i="1"/>
  <c r="N522" i="1"/>
  <c r="Q522" i="1"/>
  <c r="N523" i="1"/>
  <c r="Q523" i="1"/>
  <c r="N524" i="1"/>
  <c r="Q524" i="1"/>
  <c r="N525" i="1"/>
  <c r="Q525" i="1"/>
  <c r="N526" i="1"/>
  <c r="Q526" i="1"/>
  <c r="N527" i="1"/>
  <c r="Q527" i="1"/>
  <c r="N528" i="1"/>
  <c r="Q528" i="1"/>
  <c r="N529" i="1"/>
  <c r="Q529" i="1"/>
  <c r="N530" i="1"/>
  <c r="Q530" i="1"/>
  <c r="N531" i="1"/>
  <c r="Q531" i="1"/>
  <c r="N532" i="1"/>
  <c r="Q532" i="1"/>
  <c r="N533" i="1"/>
  <c r="Q533" i="1"/>
  <c r="N534" i="1"/>
  <c r="Q534" i="1"/>
  <c r="N535" i="1"/>
  <c r="Q535" i="1"/>
  <c r="N536" i="1"/>
  <c r="Q536" i="1"/>
  <c r="N537" i="1"/>
  <c r="Q537" i="1"/>
  <c r="N538" i="1"/>
  <c r="Q538" i="1"/>
  <c r="N539" i="1"/>
  <c r="Q539" i="1"/>
  <c r="N540" i="1"/>
  <c r="Q540" i="1"/>
  <c r="N541" i="1"/>
  <c r="Q541" i="1"/>
  <c r="N542" i="1"/>
  <c r="Q542" i="1"/>
  <c r="N543" i="1"/>
  <c r="Q543" i="1"/>
  <c r="N544" i="1"/>
  <c r="Q544" i="1"/>
  <c r="N545" i="1"/>
  <c r="Q545" i="1"/>
  <c r="N546" i="1"/>
  <c r="Q546" i="1"/>
  <c r="N547" i="1"/>
  <c r="Q547" i="1"/>
  <c r="N548" i="1"/>
  <c r="Q548" i="1"/>
  <c r="N549" i="1"/>
  <c r="Q549" i="1"/>
  <c r="N550" i="1"/>
  <c r="Q550" i="1"/>
  <c r="N551" i="1"/>
  <c r="Q551" i="1"/>
  <c r="N552" i="1"/>
  <c r="Q552" i="1"/>
  <c r="N553" i="1"/>
  <c r="Q553" i="1"/>
  <c r="N554" i="1"/>
  <c r="Q554" i="1"/>
  <c r="N555" i="1"/>
  <c r="Q555" i="1"/>
  <c r="N556" i="1"/>
  <c r="Q556" i="1"/>
  <c r="N557" i="1"/>
  <c r="Q557" i="1"/>
  <c r="N558" i="1"/>
  <c r="Q558" i="1"/>
  <c r="N559" i="1"/>
  <c r="Q559" i="1"/>
  <c r="N560" i="1"/>
  <c r="Q560" i="1"/>
  <c r="N561" i="1"/>
  <c r="Q561" i="1"/>
  <c r="N562" i="1"/>
  <c r="Q562" i="1"/>
  <c r="N563" i="1"/>
  <c r="Q563" i="1"/>
  <c r="N564" i="1"/>
  <c r="Q564" i="1"/>
  <c r="N565" i="1"/>
  <c r="Q565" i="1"/>
  <c r="N566" i="1"/>
  <c r="Q566" i="1"/>
  <c r="N567" i="1"/>
  <c r="Q567" i="1"/>
  <c r="N568" i="1"/>
  <c r="Q568" i="1"/>
  <c r="N569" i="1"/>
  <c r="Q569" i="1"/>
  <c r="N570" i="1"/>
  <c r="Q570" i="1"/>
  <c r="N571" i="1"/>
  <c r="Q571" i="1"/>
  <c r="N572" i="1"/>
  <c r="Q572" i="1"/>
  <c r="N573" i="1"/>
  <c r="Q573" i="1"/>
  <c r="N574" i="1"/>
  <c r="Q574" i="1"/>
  <c r="N575" i="1"/>
  <c r="Q575" i="1"/>
  <c r="N576" i="1"/>
  <c r="Q576" i="1"/>
  <c r="N577" i="1"/>
  <c r="Q577" i="1"/>
  <c r="N578" i="1"/>
  <c r="Q578" i="1"/>
  <c r="N579" i="1"/>
  <c r="Q579" i="1"/>
  <c r="N580" i="1"/>
  <c r="Q580" i="1"/>
  <c r="N581" i="1"/>
  <c r="Q581" i="1"/>
  <c r="N582" i="1"/>
  <c r="Q582" i="1"/>
  <c r="N583" i="1"/>
  <c r="Q583" i="1"/>
  <c r="N584" i="1"/>
  <c r="Q584" i="1"/>
  <c r="N585" i="1"/>
  <c r="Q585" i="1"/>
  <c r="N586" i="1"/>
  <c r="Q586" i="1"/>
  <c r="N587" i="1"/>
  <c r="Q587" i="1"/>
  <c r="N588" i="1"/>
  <c r="Q588" i="1"/>
  <c r="N589" i="1"/>
  <c r="Q589" i="1"/>
  <c r="N590" i="1"/>
  <c r="Q590" i="1"/>
  <c r="N591" i="1"/>
  <c r="Q591" i="1"/>
  <c r="N592" i="1"/>
  <c r="Q592" i="1"/>
  <c r="N593" i="1"/>
  <c r="Q593" i="1"/>
  <c r="N594" i="1"/>
  <c r="Q594" i="1"/>
  <c r="N595" i="1"/>
  <c r="Q595" i="1"/>
  <c r="N596" i="1"/>
  <c r="Q596" i="1"/>
  <c r="N597" i="1"/>
  <c r="Q597" i="1"/>
  <c r="N598" i="1"/>
  <c r="Q598" i="1"/>
  <c r="N599" i="1"/>
  <c r="Q599" i="1"/>
  <c r="N600" i="1"/>
  <c r="Q600" i="1"/>
  <c r="N601" i="1"/>
  <c r="Q601" i="1"/>
  <c r="N602" i="1"/>
  <c r="Q602" i="1"/>
  <c r="N603" i="1"/>
  <c r="Q603" i="1"/>
  <c r="N604" i="1"/>
  <c r="Q604" i="1"/>
  <c r="N605" i="1"/>
  <c r="Q605" i="1"/>
  <c r="N606" i="1"/>
  <c r="Q606" i="1"/>
  <c r="N607" i="1"/>
  <c r="Q607" i="1"/>
  <c r="N608" i="1"/>
  <c r="Q608" i="1"/>
  <c r="N609" i="1"/>
  <c r="Q609" i="1"/>
  <c r="N610" i="1"/>
  <c r="Q610" i="1"/>
  <c r="N611" i="1"/>
  <c r="Q611" i="1"/>
  <c r="N612" i="1"/>
  <c r="Q612" i="1"/>
  <c r="N613" i="1"/>
  <c r="Q613" i="1"/>
  <c r="N614" i="1"/>
  <c r="Q614" i="1"/>
  <c r="N615" i="1"/>
  <c r="Q615" i="1"/>
  <c r="N616" i="1"/>
  <c r="Q616" i="1"/>
  <c r="N617" i="1"/>
  <c r="Q617" i="1"/>
  <c r="N618" i="1"/>
  <c r="Q618" i="1"/>
  <c r="N619" i="1"/>
  <c r="Q619" i="1"/>
  <c r="N620" i="1"/>
  <c r="Q620" i="1"/>
  <c r="N621" i="1"/>
  <c r="Q621" i="1"/>
  <c r="N622" i="1"/>
  <c r="Q622" i="1"/>
  <c r="N623" i="1"/>
  <c r="Q623" i="1"/>
  <c r="N624" i="1"/>
  <c r="Q624" i="1"/>
  <c r="N625" i="1"/>
  <c r="Q625" i="1"/>
  <c r="N626" i="1"/>
  <c r="Q626" i="1"/>
  <c r="N627" i="1"/>
  <c r="Q627" i="1"/>
  <c r="N628" i="1"/>
  <c r="Q628" i="1"/>
  <c r="N629" i="1"/>
  <c r="Q629" i="1"/>
  <c r="N630" i="1"/>
  <c r="Q630" i="1"/>
  <c r="N631" i="1"/>
  <c r="Q631" i="1"/>
  <c r="N632" i="1"/>
  <c r="Q632" i="1"/>
  <c r="N633" i="1"/>
  <c r="Q633" i="1"/>
  <c r="N634" i="1"/>
  <c r="Q634" i="1"/>
  <c r="N635" i="1"/>
  <c r="Q635" i="1"/>
  <c r="N636" i="1"/>
  <c r="Q636" i="1"/>
  <c r="N637" i="1"/>
  <c r="Q637" i="1"/>
  <c r="N638" i="1"/>
  <c r="Q638" i="1"/>
  <c r="N639" i="1"/>
  <c r="Q639" i="1"/>
  <c r="N640" i="1"/>
  <c r="Q640" i="1"/>
  <c r="N641" i="1"/>
  <c r="Q641" i="1"/>
  <c r="N642" i="1"/>
  <c r="Q642" i="1"/>
  <c r="N643" i="1"/>
  <c r="Q643" i="1"/>
  <c r="N644" i="1"/>
  <c r="Q644" i="1"/>
  <c r="N645" i="1"/>
  <c r="Q645" i="1"/>
  <c r="N646" i="1"/>
  <c r="Q646" i="1"/>
  <c r="N647" i="1"/>
  <c r="Q647" i="1"/>
  <c r="N648" i="1"/>
  <c r="Q648" i="1"/>
  <c r="N649" i="1"/>
  <c r="Q649" i="1"/>
  <c r="N650" i="1"/>
  <c r="Q650" i="1"/>
  <c r="N651" i="1"/>
  <c r="Q651" i="1"/>
  <c r="N652" i="1"/>
  <c r="Q652" i="1"/>
  <c r="N653" i="1"/>
  <c r="Q653" i="1"/>
  <c r="N654" i="1"/>
  <c r="Q654" i="1"/>
  <c r="N655" i="1"/>
  <c r="Q655" i="1"/>
  <c r="N656" i="1"/>
  <c r="Q656" i="1"/>
  <c r="N657" i="1"/>
  <c r="Q657" i="1"/>
  <c r="N658" i="1"/>
  <c r="Q658" i="1"/>
  <c r="N659" i="1"/>
  <c r="Q659" i="1"/>
  <c r="N660" i="1"/>
  <c r="Q660" i="1"/>
  <c r="N661" i="1"/>
  <c r="Q661" i="1"/>
  <c r="N662" i="1"/>
  <c r="Q662" i="1"/>
  <c r="N663" i="1"/>
  <c r="Q663" i="1"/>
  <c r="N664" i="1"/>
  <c r="Q664" i="1"/>
  <c r="N665" i="1"/>
  <c r="Q665" i="1"/>
  <c r="N666" i="1"/>
  <c r="Q666" i="1"/>
  <c r="N667" i="1"/>
  <c r="Q667" i="1"/>
  <c r="N668" i="1"/>
  <c r="Q668" i="1"/>
  <c r="N669" i="1"/>
  <c r="Q669" i="1"/>
  <c r="N670" i="1"/>
  <c r="Q670" i="1"/>
  <c r="N671" i="1"/>
  <c r="Q671" i="1"/>
  <c r="N672" i="1"/>
  <c r="Q672" i="1"/>
  <c r="N673" i="1"/>
  <c r="Q673" i="1"/>
  <c r="N674" i="1"/>
  <c r="Q674" i="1"/>
  <c r="N675" i="1"/>
  <c r="Q675" i="1"/>
  <c r="N676" i="1"/>
  <c r="Q676" i="1"/>
  <c r="N677" i="1"/>
  <c r="Q677" i="1"/>
  <c r="N678" i="1"/>
  <c r="Q678" i="1"/>
  <c r="N679" i="1"/>
  <c r="Q679" i="1"/>
  <c r="N680" i="1"/>
  <c r="Q680" i="1"/>
  <c r="N681" i="1"/>
  <c r="Q681" i="1"/>
  <c r="N682" i="1"/>
  <c r="Q682" i="1"/>
  <c r="N683" i="1"/>
  <c r="Q683" i="1"/>
  <c r="N684" i="1"/>
  <c r="Q684" i="1"/>
  <c r="N685" i="1"/>
  <c r="Q685" i="1"/>
  <c r="N686" i="1"/>
  <c r="Q686" i="1"/>
  <c r="N687" i="1"/>
  <c r="Q687" i="1"/>
  <c r="N688" i="1"/>
  <c r="Q688" i="1"/>
  <c r="N689" i="1"/>
  <c r="Q689" i="1"/>
  <c r="N690" i="1"/>
  <c r="Q690" i="1"/>
  <c r="N691" i="1"/>
  <c r="Q691" i="1"/>
  <c r="N692" i="1"/>
  <c r="Q692" i="1"/>
  <c r="N693" i="1"/>
  <c r="Q693" i="1"/>
  <c r="N694" i="1"/>
  <c r="Q694" i="1"/>
  <c r="N695" i="1"/>
  <c r="Q695" i="1"/>
  <c r="N696" i="1"/>
  <c r="Q696" i="1"/>
  <c r="N697" i="1"/>
  <c r="Q697" i="1"/>
  <c r="N698" i="1"/>
  <c r="Q698" i="1"/>
  <c r="N699" i="1"/>
  <c r="Q699" i="1"/>
  <c r="N700" i="1"/>
  <c r="Q700" i="1"/>
  <c r="N701" i="1"/>
  <c r="Q701" i="1"/>
  <c r="N702" i="1"/>
  <c r="Q702" i="1"/>
  <c r="N703" i="1"/>
  <c r="Q703" i="1"/>
  <c r="N704" i="1"/>
  <c r="Q704" i="1"/>
  <c r="N705" i="1"/>
  <c r="Q705" i="1"/>
  <c r="N706" i="1"/>
  <c r="Q706" i="1"/>
  <c r="N707" i="1"/>
  <c r="Q707" i="1"/>
  <c r="N708" i="1"/>
  <c r="Q708" i="1"/>
  <c r="N709" i="1"/>
  <c r="Q709" i="1"/>
  <c r="N710" i="1"/>
  <c r="Q710" i="1"/>
  <c r="N711" i="1"/>
  <c r="Q711" i="1"/>
  <c r="N712" i="1"/>
  <c r="Q712" i="1"/>
  <c r="N713" i="1"/>
  <c r="Q713" i="1"/>
  <c r="N714" i="1"/>
  <c r="Q714" i="1"/>
  <c r="N715" i="1"/>
  <c r="Q715" i="1"/>
  <c r="N716" i="1"/>
  <c r="Q716" i="1"/>
  <c r="N717" i="1"/>
  <c r="Q717" i="1"/>
  <c r="N718" i="1"/>
  <c r="Q718" i="1"/>
  <c r="N719" i="1"/>
  <c r="Q719" i="1"/>
  <c r="N720" i="1"/>
  <c r="Q720" i="1"/>
  <c r="N721" i="1"/>
  <c r="Q721" i="1"/>
  <c r="N722" i="1"/>
  <c r="Q722" i="1"/>
  <c r="N723" i="1"/>
  <c r="Q723" i="1"/>
  <c r="N724" i="1"/>
  <c r="Q724" i="1"/>
  <c r="N725" i="1"/>
  <c r="Q725" i="1"/>
  <c r="N726" i="1"/>
  <c r="Q726" i="1"/>
  <c r="N727" i="1"/>
  <c r="Q727" i="1"/>
  <c r="N728" i="1"/>
  <c r="Q728" i="1"/>
  <c r="N729" i="1"/>
  <c r="Q729" i="1"/>
  <c r="N730" i="1"/>
  <c r="Q730" i="1"/>
  <c r="N731" i="1"/>
  <c r="Q731" i="1"/>
  <c r="N732" i="1"/>
  <c r="Q732" i="1"/>
  <c r="N733" i="1"/>
  <c r="Q733" i="1"/>
  <c r="N734" i="1"/>
  <c r="Q734" i="1"/>
  <c r="N735" i="1"/>
  <c r="Q735" i="1"/>
  <c r="N736" i="1"/>
  <c r="Q736" i="1"/>
  <c r="N737" i="1"/>
  <c r="Q737" i="1"/>
  <c r="N738" i="1"/>
  <c r="Q738" i="1"/>
  <c r="N739" i="1"/>
  <c r="Q739" i="1"/>
  <c r="N740" i="1"/>
  <c r="Q740" i="1"/>
  <c r="N741" i="1"/>
  <c r="Q741" i="1"/>
  <c r="N742" i="1"/>
  <c r="Q742" i="1"/>
  <c r="N743" i="1"/>
  <c r="Q743" i="1"/>
  <c r="N744" i="1"/>
  <c r="Q744" i="1"/>
  <c r="N745" i="1"/>
  <c r="Q745" i="1"/>
  <c r="N746" i="1"/>
  <c r="Q746" i="1"/>
  <c r="N747" i="1"/>
  <c r="Q747" i="1"/>
  <c r="N748" i="1"/>
  <c r="Q748" i="1"/>
  <c r="N749" i="1"/>
  <c r="Q749" i="1"/>
  <c r="N750" i="1"/>
  <c r="Q750" i="1"/>
  <c r="N751" i="1"/>
  <c r="Q751" i="1"/>
  <c r="N752" i="1"/>
  <c r="Q752" i="1"/>
  <c r="N753" i="1"/>
  <c r="Q753" i="1"/>
  <c r="N754" i="1"/>
  <c r="Q754" i="1"/>
  <c r="N755" i="1"/>
  <c r="Q755" i="1"/>
  <c r="N756" i="1"/>
  <c r="Q756" i="1"/>
  <c r="N757" i="1"/>
  <c r="Q757" i="1"/>
  <c r="N758" i="1"/>
  <c r="Q758" i="1"/>
  <c r="N759" i="1"/>
  <c r="Q759" i="1"/>
  <c r="N760" i="1"/>
  <c r="Q760" i="1"/>
  <c r="N761" i="1"/>
  <c r="Q761" i="1"/>
  <c r="N762" i="1"/>
  <c r="Q762" i="1"/>
  <c r="N763" i="1"/>
  <c r="Q763" i="1"/>
  <c r="N764" i="1"/>
  <c r="Q764" i="1"/>
  <c r="N765" i="1"/>
  <c r="Q765" i="1"/>
  <c r="N766" i="1"/>
  <c r="Q766" i="1"/>
  <c r="N767" i="1"/>
  <c r="Q767" i="1"/>
  <c r="N768" i="1"/>
  <c r="Q768" i="1"/>
  <c r="N769" i="1"/>
  <c r="Q769" i="1"/>
  <c r="N770" i="1"/>
  <c r="Q770" i="1"/>
  <c r="N771" i="1"/>
  <c r="Q771" i="1"/>
  <c r="N772" i="1"/>
  <c r="Q772" i="1"/>
  <c r="N773" i="1"/>
  <c r="Q773" i="1"/>
  <c r="N774" i="1"/>
  <c r="Q774" i="1"/>
  <c r="N775" i="1"/>
  <c r="Q775" i="1"/>
  <c r="N776" i="1"/>
  <c r="Q776" i="1"/>
  <c r="N777" i="1"/>
  <c r="Q777" i="1"/>
  <c r="N778" i="1"/>
  <c r="Q778" i="1"/>
  <c r="N779" i="1"/>
  <c r="Q779" i="1"/>
  <c r="N780" i="1"/>
  <c r="Q780" i="1"/>
  <c r="N781" i="1"/>
  <c r="Q781" i="1"/>
  <c r="N782" i="1"/>
  <c r="Q782" i="1"/>
  <c r="N783" i="1"/>
  <c r="Q783" i="1"/>
  <c r="N784" i="1"/>
  <c r="Q784" i="1"/>
  <c r="N785" i="1"/>
  <c r="Q785" i="1"/>
  <c r="N786" i="1"/>
  <c r="Q786" i="1"/>
  <c r="N787" i="1"/>
  <c r="Q787" i="1"/>
  <c r="N788" i="1"/>
  <c r="Q788" i="1"/>
  <c r="N789" i="1"/>
  <c r="Q789" i="1"/>
  <c r="N790" i="1"/>
  <c r="Q790" i="1"/>
  <c r="N791" i="1"/>
  <c r="Q791" i="1"/>
  <c r="N792" i="1"/>
  <c r="Q792" i="1"/>
  <c r="N793" i="1"/>
  <c r="Q793" i="1"/>
  <c r="N794" i="1"/>
  <c r="Q794" i="1"/>
  <c r="N795" i="1"/>
  <c r="Q795" i="1"/>
  <c r="N796" i="1"/>
  <c r="Q796" i="1"/>
  <c r="N797" i="1"/>
  <c r="Q797" i="1"/>
  <c r="N798" i="1"/>
  <c r="Q798" i="1"/>
  <c r="N799" i="1"/>
  <c r="Q799" i="1"/>
  <c r="N800" i="1"/>
  <c r="Q800" i="1"/>
  <c r="N801" i="1"/>
  <c r="Q801" i="1"/>
  <c r="N802" i="1"/>
  <c r="Q802" i="1"/>
  <c r="N803" i="1"/>
  <c r="Q803" i="1"/>
  <c r="N804" i="1"/>
  <c r="Q804" i="1"/>
  <c r="N805" i="1"/>
  <c r="Q805" i="1"/>
  <c r="N806" i="1"/>
  <c r="Q806" i="1"/>
  <c r="N807" i="1"/>
  <c r="Q807" i="1"/>
  <c r="N808" i="1"/>
  <c r="Q808" i="1"/>
  <c r="N809" i="1"/>
  <c r="Q809" i="1"/>
  <c r="N810" i="1"/>
  <c r="Q810" i="1"/>
  <c r="N811" i="1"/>
  <c r="Q811" i="1"/>
  <c r="N812" i="1"/>
  <c r="Q812" i="1"/>
  <c r="N813" i="1"/>
  <c r="Q813" i="1"/>
  <c r="N814" i="1"/>
  <c r="Q814" i="1"/>
  <c r="N815" i="1"/>
  <c r="Q815" i="1"/>
  <c r="N816" i="1"/>
  <c r="Q816" i="1"/>
  <c r="N817" i="1"/>
  <c r="Q817" i="1"/>
  <c r="N818" i="1"/>
  <c r="Q818" i="1"/>
  <c r="N819" i="1"/>
  <c r="Q819" i="1"/>
  <c r="N820" i="1"/>
  <c r="Q820" i="1"/>
  <c r="N821" i="1"/>
  <c r="Q821" i="1"/>
  <c r="N822" i="1"/>
  <c r="Q822" i="1"/>
  <c r="N823" i="1"/>
  <c r="Q823" i="1"/>
  <c r="N824" i="1"/>
  <c r="Q824" i="1"/>
  <c r="N825" i="1"/>
  <c r="Q825" i="1"/>
  <c r="N826" i="1"/>
  <c r="Q826" i="1"/>
  <c r="N827" i="1"/>
  <c r="Q827" i="1"/>
  <c r="N828" i="1"/>
  <c r="Q828" i="1"/>
  <c r="N829" i="1"/>
  <c r="Q829" i="1"/>
  <c r="N830" i="1"/>
  <c r="Q830" i="1"/>
  <c r="N831" i="1"/>
  <c r="Q831" i="1"/>
  <c r="N832" i="1"/>
  <c r="Q832" i="1"/>
  <c r="N833" i="1"/>
  <c r="Q833" i="1"/>
  <c r="N834" i="1"/>
  <c r="Q834" i="1"/>
  <c r="N835" i="1"/>
  <c r="Q835" i="1"/>
  <c r="N836" i="1"/>
  <c r="Q836" i="1"/>
  <c r="N837" i="1"/>
  <c r="Q837" i="1"/>
  <c r="N838" i="1"/>
  <c r="Q838" i="1"/>
  <c r="N839" i="1"/>
  <c r="Q839" i="1"/>
  <c r="N840" i="1"/>
  <c r="Q840" i="1"/>
  <c r="N841" i="1"/>
  <c r="Q841" i="1"/>
  <c r="N842" i="1"/>
  <c r="Q842" i="1"/>
  <c r="N843" i="1"/>
  <c r="Q843" i="1"/>
  <c r="N844" i="1"/>
  <c r="Q844" i="1"/>
  <c r="N845" i="1"/>
  <c r="Q845" i="1"/>
  <c r="N846" i="1"/>
  <c r="Q846" i="1"/>
  <c r="N847" i="1"/>
  <c r="Q847" i="1"/>
  <c r="N848" i="1"/>
  <c r="Q848" i="1"/>
  <c r="N849" i="1"/>
  <c r="Q849" i="1"/>
  <c r="N850" i="1"/>
  <c r="Q850" i="1"/>
  <c r="N851" i="1"/>
  <c r="Q851" i="1"/>
  <c r="N852" i="1"/>
  <c r="Q852" i="1"/>
  <c r="N853" i="1"/>
  <c r="Q853" i="1"/>
  <c r="N854" i="1"/>
  <c r="Q854" i="1"/>
  <c r="N855" i="1"/>
  <c r="Q855" i="1"/>
  <c r="N856" i="1"/>
  <c r="Q856" i="1"/>
  <c r="N857" i="1"/>
  <c r="Q857" i="1"/>
  <c r="N858" i="1"/>
  <c r="Q858" i="1"/>
  <c r="N859" i="1"/>
  <c r="Q859" i="1"/>
  <c r="N860" i="1"/>
  <c r="Q860" i="1"/>
  <c r="Q3" i="1"/>
  <c r="Q4" i="1"/>
  <c r="N3" i="1"/>
  <c r="N4" i="1"/>
  <c r="AL3" i="8"/>
  <c r="AH3" i="8"/>
  <c r="AU3" i="8"/>
  <c r="W27" i="8" l="1"/>
  <c r="W8" i="8"/>
  <c r="W21" i="8"/>
  <c r="W19" i="8"/>
  <c r="W6" i="8"/>
  <c r="W36" i="8"/>
  <c r="W4" i="8"/>
  <c r="W47" i="8"/>
  <c r="W33" i="8"/>
  <c r="W31" i="8"/>
  <c r="W12" i="8"/>
  <c r="W42" i="8"/>
  <c r="W40" i="8"/>
  <c r="W23" i="8"/>
  <c r="W38" i="8"/>
  <c r="W11" i="8"/>
  <c r="W56" i="8"/>
  <c r="W34" i="8"/>
  <c r="W50" i="8"/>
  <c r="W41" i="8"/>
  <c r="W48" i="8"/>
  <c r="W30" i="8"/>
  <c r="W57" i="8"/>
  <c r="W37" i="8"/>
  <c r="W13" i="8"/>
  <c r="W35" i="8"/>
  <c r="W24" i="8"/>
  <c r="W53" i="8"/>
  <c r="W49" i="8"/>
  <c r="W94" i="8"/>
  <c r="W66" i="8"/>
  <c r="W55" i="8"/>
  <c r="W64" i="8"/>
  <c r="W51" i="8"/>
  <c r="W60" i="8"/>
  <c r="W58" i="8"/>
  <c r="W22" i="8"/>
  <c r="W69" i="8"/>
  <c r="W67" i="8"/>
  <c r="W18" i="8"/>
  <c r="W43" i="8"/>
  <c r="W25" i="8"/>
  <c r="W96" i="8"/>
  <c r="AP1121" i="1"/>
  <c r="W26" i="8"/>
  <c r="W17" i="8"/>
  <c r="W63" i="8"/>
  <c r="W72" i="8"/>
  <c r="W61" i="8"/>
  <c r="W70" i="8"/>
  <c r="W54" i="8"/>
  <c r="W29" i="8"/>
  <c r="W59" i="8"/>
  <c r="W52" i="8"/>
  <c r="W83" i="8"/>
  <c r="W81" i="8"/>
  <c r="W75" i="8"/>
  <c r="W62" i="8"/>
  <c r="W71" i="8"/>
  <c r="W98" i="8"/>
  <c r="AP1683" i="1"/>
  <c r="W82" i="8"/>
  <c r="W80" i="8"/>
  <c r="W46" i="8"/>
  <c r="W103" i="8"/>
  <c r="W78" i="8"/>
  <c r="W44" i="8"/>
  <c r="W39" i="8"/>
  <c r="W74" i="8"/>
  <c r="W65" i="8"/>
  <c r="W68" i="8"/>
  <c r="AP1282" i="1"/>
  <c r="W2" i="8"/>
  <c r="W90" i="8"/>
  <c r="W79" i="8"/>
  <c r="W77" i="8"/>
  <c r="W84" i="8"/>
  <c r="W87" i="8"/>
  <c r="W85" i="8"/>
  <c r="W76" i="8"/>
  <c r="W92" i="8"/>
  <c r="W106" i="8"/>
  <c r="W99" i="8"/>
  <c r="W104" i="8"/>
  <c r="W97" i="8"/>
  <c r="W88" i="8"/>
  <c r="W95" i="8"/>
  <c r="W102" i="8"/>
  <c r="W86" i="8"/>
  <c r="W93" i="8"/>
  <c r="W100" i="8"/>
  <c r="W91" i="8"/>
  <c r="W105" i="8"/>
  <c r="W89" i="8"/>
  <c r="W73" i="8"/>
  <c r="W101" i="8"/>
  <c r="BB17" i="1"/>
  <c r="BT16" i="1"/>
  <c r="AA842" i="1"/>
  <c r="AA826" i="1"/>
  <c r="AA810" i="1"/>
  <c r="AA794" i="1"/>
  <c r="AA778" i="1"/>
  <c r="AA762" i="1"/>
  <c r="AA746" i="1"/>
  <c r="AA730" i="1"/>
  <c r="AA714" i="1"/>
  <c r="AA698" i="1"/>
  <c r="AA682" i="1"/>
  <c r="AA666" i="1"/>
  <c r="AA650" i="1"/>
  <c r="AA634" i="1"/>
  <c r="AA618" i="1"/>
  <c r="AA602" i="1"/>
  <c r="AA586" i="1"/>
  <c r="AA570" i="1"/>
  <c r="AA554" i="1"/>
  <c r="AA538" i="1"/>
  <c r="AA522" i="1"/>
  <c r="AA506" i="1"/>
  <c r="AA490" i="1"/>
  <c r="AA474" i="1"/>
  <c r="AA458" i="1"/>
  <c r="AA442" i="1"/>
  <c r="AA426" i="1"/>
  <c r="AA410" i="1"/>
  <c r="AA394" i="1"/>
  <c r="AA378" i="1"/>
  <c r="AA362" i="1"/>
  <c r="AA346" i="1"/>
  <c r="AA330" i="1"/>
  <c r="AA314" i="1"/>
  <c r="AA298" i="1"/>
  <c r="AA282" i="1"/>
  <c r="AA266" i="1"/>
  <c r="AA250" i="1"/>
  <c r="AA234" i="1"/>
  <c r="AA218" i="1"/>
  <c r="AA202" i="1"/>
  <c r="AA186" i="1"/>
  <c r="AA170" i="1"/>
  <c r="AA154" i="1"/>
  <c r="AA138" i="1"/>
  <c r="AA122" i="1"/>
  <c r="AA106" i="1"/>
  <c r="AA90" i="1"/>
  <c r="AA74" i="1"/>
  <c r="AA58" i="1"/>
  <c r="AA42" i="1"/>
  <c r="AA26" i="1"/>
  <c r="AA10" i="1"/>
  <c r="AA536" i="1"/>
  <c r="AA520" i="1"/>
  <c r="AA504" i="1"/>
  <c r="AA488" i="1"/>
  <c r="AA472" i="1"/>
  <c r="AA456" i="1"/>
  <c r="AA440" i="1"/>
  <c r="AA424" i="1"/>
  <c r="AA408" i="1"/>
  <c r="AA392" i="1"/>
  <c r="AA376" i="1"/>
  <c r="AA360" i="1"/>
  <c r="AA344" i="1"/>
  <c r="AA328" i="1"/>
  <c r="AA312" i="1"/>
  <c r="AA296" i="1"/>
  <c r="AA280" i="1"/>
  <c r="AA264" i="1"/>
  <c r="AA248" i="1"/>
  <c r="AA232" i="1"/>
  <c r="AA216" i="1"/>
  <c r="AA200" i="1"/>
  <c r="AA184" i="1"/>
  <c r="AA168" i="1"/>
  <c r="AA152" i="1"/>
  <c r="AA136" i="1"/>
  <c r="AA120" i="1"/>
  <c r="AA104" i="1"/>
  <c r="AA88" i="1"/>
  <c r="AA72" i="1"/>
  <c r="AA56" i="1"/>
  <c r="AA40" i="1"/>
  <c r="AA24" i="1"/>
  <c r="AA8" i="1"/>
  <c r="AA38" i="1"/>
  <c r="AA5" i="1"/>
  <c r="AA822" i="1"/>
  <c r="AA758" i="1"/>
  <c r="AA710" i="1"/>
  <c r="AA646" i="1"/>
  <c r="AA598" i="1"/>
  <c r="AA550" i="1"/>
  <c r="AA486" i="1"/>
  <c r="AA406" i="1"/>
  <c r="AA326" i="1"/>
  <c r="AA262" i="1"/>
  <c r="AA214" i="1"/>
  <c r="AA166" i="1"/>
  <c r="AA118" i="1"/>
  <c r="AA86" i="1"/>
  <c r="AA70" i="1"/>
  <c r="AA836" i="1"/>
  <c r="AA820" i="1"/>
  <c r="AA804" i="1"/>
  <c r="AA788" i="1"/>
  <c r="AA772" i="1"/>
  <c r="AA756" i="1"/>
  <c r="AA740" i="1"/>
  <c r="AA724" i="1"/>
  <c r="AA708" i="1"/>
  <c r="AA692" i="1"/>
  <c r="AA676" i="1"/>
  <c r="AA660" i="1"/>
  <c r="AA644" i="1"/>
  <c r="AA628" i="1"/>
  <c r="AA612" i="1"/>
  <c r="AA596" i="1"/>
  <c r="AA580" i="1"/>
  <c r="AA564" i="1"/>
  <c r="AA548" i="1"/>
  <c r="AA532" i="1"/>
  <c r="AA516" i="1"/>
  <c r="AA500" i="1"/>
  <c r="AA484" i="1"/>
  <c r="AA468" i="1"/>
  <c r="AA452" i="1"/>
  <c r="AA436" i="1"/>
  <c r="AA420" i="1"/>
  <c r="AA404" i="1"/>
  <c r="AA388" i="1"/>
  <c r="AA372" i="1"/>
  <c r="AA356" i="1"/>
  <c r="AA340" i="1"/>
  <c r="AA324" i="1"/>
  <c r="AA308" i="1"/>
  <c r="AA292" i="1"/>
  <c r="AA276" i="1"/>
  <c r="AA260" i="1"/>
  <c r="AA244" i="1"/>
  <c r="AA228" i="1"/>
  <c r="AA212" i="1"/>
  <c r="AA196" i="1"/>
  <c r="AA180" i="1"/>
  <c r="AA164" i="1"/>
  <c r="AA148" i="1"/>
  <c r="AA132" i="1"/>
  <c r="AA116" i="1"/>
  <c r="AA100" i="1"/>
  <c r="AA84" i="1"/>
  <c r="AA68" i="1"/>
  <c r="AA52" i="1"/>
  <c r="AA36" i="1"/>
  <c r="AA20" i="1"/>
  <c r="AA860" i="1"/>
  <c r="AA54" i="1"/>
  <c r="AA806" i="1"/>
  <c r="AA774" i="1"/>
  <c r="AA726" i="1"/>
  <c r="AA678" i="1"/>
  <c r="AA630" i="1"/>
  <c r="AA566" i="1"/>
  <c r="AA518" i="1"/>
  <c r="AA454" i="1"/>
  <c r="AA422" i="1"/>
  <c r="AA374" i="1"/>
  <c r="AA342" i="1"/>
  <c r="AA294" i="1"/>
  <c r="AA246" i="1"/>
  <c r="AA198" i="1"/>
  <c r="AA150" i="1"/>
  <c r="AA102" i="1"/>
  <c r="AA22" i="1"/>
  <c r="AA850" i="1"/>
  <c r="AA834" i="1"/>
  <c r="AA818" i="1"/>
  <c r="AA802" i="1"/>
  <c r="AA786" i="1"/>
  <c r="AA770" i="1"/>
  <c r="AA754" i="1"/>
  <c r="AA738" i="1"/>
  <c r="AA722" i="1"/>
  <c r="AA706" i="1"/>
  <c r="AA690" i="1"/>
  <c r="AA674" i="1"/>
  <c r="AA658" i="1"/>
  <c r="AA642" i="1"/>
  <c r="AA626" i="1"/>
  <c r="AA610" i="1"/>
  <c r="AA594" i="1"/>
  <c r="AA578" i="1"/>
  <c r="AA562" i="1"/>
  <c r="AA546" i="1"/>
  <c r="AA530" i="1"/>
  <c r="AA514" i="1"/>
  <c r="AA498" i="1"/>
  <c r="AA482" i="1"/>
  <c r="AA466" i="1"/>
  <c r="AA450" i="1"/>
  <c r="AA434" i="1"/>
  <c r="AA418" i="1"/>
  <c r="AA402" i="1"/>
  <c r="AA386" i="1"/>
  <c r="AA370" i="1"/>
  <c r="AA354" i="1"/>
  <c r="AA338" i="1"/>
  <c r="AA322" i="1"/>
  <c r="AA306" i="1"/>
  <c r="AA290" i="1"/>
  <c r="AA274" i="1"/>
  <c r="AA258" i="1"/>
  <c r="AA242" i="1"/>
  <c r="AA226" i="1"/>
  <c r="AA210" i="1"/>
  <c r="AA194" i="1"/>
  <c r="AA178" i="1"/>
  <c r="AA162" i="1"/>
  <c r="AA146" i="1"/>
  <c r="AA130" i="1"/>
  <c r="AA114" i="1"/>
  <c r="AA98" i="1"/>
  <c r="AA82" i="1"/>
  <c r="AA838" i="1"/>
  <c r="AA790" i="1"/>
  <c r="AA742" i="1"/>
  <c r="AA694" i="1"/>
  <c r="AA662" i="1"/>
  <c r="AA614" i="1"/>
  <c r="AA582" i="1"/>
  <c r="AA534" i="1"/>
  <c r="AA502" i="1"/>
  <c r="AA470" i="1"/>
  <c r="AA438" i="1"/>
  <c r="AA390" i="1"/>
  <c r="AA358" i="1"/>
  <c r="AA310" i="1"/>
  <c r="AA278" i="1"/>
  <c r="AA230" i="1"/>
  <c r="AA182" i="1"/>
  <c r="AA134" i="1"/>
  <c r="AA6" i="1"/>
  <c r="AA849" i="1"/>
  <c r="AA833" i="1"/>
  <c r="AA817" i="1"/>
  <c r="AA801" i="1"/>
  <c r="AA785" i="1"/>
  <c r="AA769" i="1"/>
  <c r="AA753" i="1"/>
  <c r="AA737" i="1"/>
  <c r="AA721" i="1"/>
  <c r="AA705" i="1"/>
  <c r="AA689" i="1"/>
  <c r="AA673" i="1"/>
  <c r="AA657" i="1"/>
  <c r="AA641" i="1"/>
  <c r="AA625" i="1"/>
  <c r="AA609" i="1"/>
  <c r="AA593" i="1"/>
  <c r="AA577" i="1"/>
  <c r="AA561" i="1"/>
  <c r="AA545" i="1"/>
  <c r="AA529" i="1"/>
  <c r="AA513" i="1"/>
  <c r="AA497" i="1"/>
  <c r="AA481" i="1"/>
  <c r="AA465" i="1"/>
  <c r="AA449" i="1"/>
  <c r="AA433" i="1"/>
  <c r="AA417" i="1"/>
  <c r="AA401" i="1"/>
  <c r="AA385" i="1"/>
  <c r="AA369" i="1"/>
  <c r="AA353" i="1"/>
  <c r="AA337" i="1"/>
  <c r="AA321" i="1"/>
  <c r="AA305" i="1"/>
  <c r="AA289" i="1"/>
  <c r="AA273" i="1"/>
  <c r="AA257" i="1"/>
  <c r="AA241" i="1"/>
  <c r="AA225" i="1"/>
  <c r="AA209" i="1"/>
  <c r="AA193" i="1"/>
  <c r="AA177" i="1"/>
  <c r="AA161" i="1"/>
  <c r="AA145" i="1"/>
  <c r="AA129" i="1"/>
  <c r="AA113" i="1"/>
  <c r="AA97" i="1"/>
  <c r="AA81" i="1"/>
  <c r="AA65" i="1"/>
  <c r="AA847" i="1"/>
  <c r="AA831" i="1"/>
  <c r="AA815" i="1"/>
  <c r="AA799" i="1"/>
  <c r="AA783" i="1"/>
  <c r="AA767" i="1"/>
  <c r="AA751" i="1"/>
  <c r="AA735" i="1"/>
  <c r="AA719" i="1"/>
  <c r="AA703" i="1"/>
  <c r="AA687" i="1"/>
  <c r="AA671" i="1"/>
  <c r="AA655" i="1"/>
  <c r="AA639" i="1"/>
  <c r="AA623" i="1"/>
  <c r="AA607" i="1"/>
  <c r="AA591" i="1"/>
  <c r="AA575" i="1"/>
  <c r="AA559" i="1"/>
  <c r="AA543" i="1"/>
  <c r="AA527" i="1"/>
  <c r="AA511" i="1"/>
  <c r="AA495" i="1"/>
  <c r="AA479" i="1"/>
  <c r="AA463" i="1"/>
  <c r="AA447" i="1"/>
  <c r="AA431" i="1"/>
  <c r="AA415" i="1"/>
  <c r="AA399" i="1"/>
  <c r="AA383" i="1"/>
  <c r="AA367" i="1"/>
  <c r="AA351" i="1"/>
  <c r="AA335" i="1"/>
  <c r="AA319" i="1"/>
  <c r="AA303" i="1"/>
  <c r="AA287" i="1"/>
  <c r="AA271" i="1"/>
  <c r="AA718" i="1"/>
  <c r="AA494" i="1"/>
  <c r="AA334" i="1"/>
  <c r="AA238" i="1"/>
  <c r="AA222" i="1"/>
  <c r="AA174" i="1"/>
  <c r="AA158" i="1"/>
  <c r="AA126" i="1"/>
  <c r="AA844" i="1"/>
  <c r="AA828" i="1"/>
  <c r="AA812" i="1"/>
  <c r="AA796" i="1"/>
  <c r="AA780" i="1"/>
  <c r="AA764" i="1"/>
  <c r="AA748" i="1"/>
  <c r="AA732" i="1"/>
  <c r="AA716" i="1"/>
  <c r="AA700" i="1"/>
  <c r="AA684" i="1"/>
  <c r="AA668" i="1"/>
  <c r="AA652" i="1"/>
  <c r="AA636" i="1"/>
  <c r="AA620" i="1"/>
  <c r="AA604" i="1"/>
  <c r="AA588" i="1"/>
  <c r="AA572" i="1"/>
  <c r="AA556" i="1"/>
  <c r="AA540" i="1"/>
  <c r="AA524" i="1"/>
  <c r="AA508" i="1"/>
  <c r="AA492" i="1"/>
  <c r="AA476" i="1"/>
  <c r="AA460" i="1"/>
  <c r="AA444" i="1"/>
  <c r="AA428" i="1"/>
  <c r="AA412" i="1"/>
  <c r="AA396" i="1"/>
  <c r="AA380" i="1"/>
  <c r="AA364" i="1"/>
  <c r="AA348" i="1"/>
  <c r="AA332" i="1"/>
  <c r="AA316" i="1"/>
  <c r="AA300" i="1"/>
  <c r="AA284" i="1"/>
  <c r="AA268" i="1"/>
  <c r="AA252" i="1"/>
  <c r="AA236" i="1"/>
  <c r="AA220" i="1"/>
  <c r="AA204" i="1"/>
  <c r="AA188" i="1"/>
  <c r="AA172" i="1"/>
  <c r="AA156" i="1"/>
  <c r="AA140" i="1"/>
  <c r="AA124" i="1"/>
  <c r="AA108" i="1"/>
  <c r="AA92" i="1"/>
  <c r="AA76" i="1"/>
  <c r="AA60" i="1"/>
  <c r="AA44" i="1"/>
  <c r="AA28" i="1"/>
  <c r="AA843" i="1"/>
  <c r="AA827" i="1"/>
  <c r="AA811" i="1"/>
  <c r="AA795" i="1"/>
  <c r="AA779" i="1"/>
  <c r="AA763" i="1"/>
  <c r="AA747" i="1"/>
  <c r="AA731" i="1"/>
  <c r="AA715" i="1"/>
  <c r="AA699" i="1"/>
  <c r="AA683" i="1"/>
  <c r="AA667" i="1"/>
  <c r="AA651" i="1"/>
  <c r="AA635" i="1"/>
  <c r="AA619" i="1"/>
  <c r="AA603" i="1"/>
  <c r="AA587" i="1"/>
  <c r="AA571" i="1"/>
  <c r="AA555" i="1"/>
  <c r="AA539" i="1"/>
  <c r="AA523" i="1"/>
  <c r="AA507" i="1"/>
  <c r="AA491" i="1"/>
  <c r="AA475" i="1"/>
  <c r="AA459" i="1"/>
  <c r="AA443" i="1"/>
  <c r="AA427" i="1"/>
  <c r="AA411" i="1"/>
  <c r="AA395" i="1"/>
  <c r="AA379" i="1"/>
  <c r="AA363" i="1"/>
  <c r="AA347" i="1"/>
  <c r="AA331" i="1"/>
  <c r="AA315" i="1"/>
  <c r="AA299" i="1"/>
  <c r="AA283" i="1"/>
  <c r="AA267" i="1"/>
  <c r="AA251" i="1"/>
  <c r="AA235" i="1"/>
  <c r="AA219" i="1"/>
  <c r="AA203" i="1"/>
  <c r="AA187" i="1"/>
  <c r="AA171" i="1"/>
  <c r="AA155" i="1"/>
  <c r="AA139" i="1"/>
  <c r="AA123" i="1"/>
  <c r="AA107" i="1"/>
  <c r="AA91" i="1"/>
  <c r="AA75" i="1"/>
  <c r="AA59" i="1"/>
  <c r="AA43" i="1"/>
  <c r="AA27" i="1"/>
  <c r="AA11" i="1"/>
  <c r="AA851" i="1"/>
  <c r="AB825" i="1"/>
  <c r="AC825" i="1" s="1"/>
  <c r="AB809" i="1"/>
  <c r="AC809" i="1" s="1"/>
  <c r="AB777" i="1"/>
  <c r="AC777" i="1" s="1"/>
  <c r="AB761" i="1"/>
  <c r="AC761" i="1" s="1"/>
  <c r="AB697" i="1"/>
  <c r="AC697" i="1" s="1"/>
  <c r="AB681" i="1"/>
  <c r="AC681" i="1" s="1"/>
  <c r="AB649" i="1"/>
  <c r="AC649" i="1" s="1"/>
  <c r="AB569" i="1"/>
  <c r="AC569" i="1" s="1"/>
  <c r="AB553" i="1"/>
  <c r="AC553" i="1" s="1"/>
  <c r="AB521" i="1"/>
  <c r="AC521" i="1" s="1"/>
  <c r="AB441" i="1"/>
  <c r="AC441" i="1" s="1"/>
  <c r="AB425" i="1"/>
  <c r="AC425" i="1" s="1"/>
  <c r="AB393" i="1"/>
  <c r="AC393" i="1" s="1"/>
  <c r="AB377" i="1"/>
  <c r="AC377" i="1" s="1"/>
  <c r="AB313" i="1"/>
  <c r="AC313" i="1" s="1"/>
  <c r="AB297" i="1"/>
  <c r="AC297" i="1" s="1"/>
  <c r="AB265" i="1"/>
  <c r="AC265" i="1" s="1"/>
  <c r="AB217" i="1"/>
  <c r="AC217" i="1" s="1"/>
  <c r="AB185" i="1"/>
  <c r="AC185" i="1" s="1"/>
  <c r="AB169" i="1"/>
  <c r="AC169" i="1" s="1"/>
  <c r="AB137" i="1"/>
  <c r="AC137" i="1" s="1"/>
  <c r="AB57" i="1"/>
  <c r="AC57" i="1" s="1"/>
  <c r="AB41" i="1"/>
  <c r="AC41" i="1" s="1"/>
  <c r="AB9" i="1"/>
  <c r="AC9" i="1" s="1"/>
  <c r="AB776" i="1"/>
  <c r="AC776" i="1" s="1"/>
  <c r="AB760" i="1"/>
  <c r="AC760" i="1" s="1"/>
  <c r="AB728" i="1"/>
  <c r="AC728" i="1" s="1"/>
  <c r="AB648" i="1"/>
  <c r="AC648" i="1" s="1"/>
  <c r="AB632" i="1"/>
  <c r="AC632" i="1" s="1"/>
  <c r="AB600" i="1"/>
  <c r="AC600" i="1" s="1"/>
  <c r="AB711" i="1"/>
  <c r="AC711" i="1" s="1"/>
  <c r="AB647" i="1"/>
  <c r="AC647" i="1" s="1"/>
  <c r="AB519" i="1"/>
  <c r="AC519" i="1" s="1"/>
  <c r="AB821" i="1"/>
  <c r="AC821" i="1" s="1"/>
  <c r="AB805" i="1"/>
  <c r="AC805" i="1" s="1"/>
  <c r="AB773" i="1"/>
  <c r="AC773" i="1" s="1"/>
  <c r="AB757" i="1"/>
  <c r="AC757" i="1" s="1"/>
  <c r="AB725" i="1"/>
  <c r="AC725" i="1" s="1"/>
  <c r="AB693" i="1"/>
  <c r="AC693" i="1" s="1"/>
  <c r="AB677" i="1"/>
  <c r="AC677" i="1" s="1"/>
  <c r="AB645" i="1"/>
  <c r="AC645" i="1" s="1"/>
  <c r="AB629" i="1"/>
  <c r="AC629" i="1" s="1"/>
  <c r="AB597" i="1"/>
  <c r="AC597" i="1" s="1"/>
  <c r="AB565" i="1"/>
  <c r="AC565" i="1" s="1"/>
  <c r="AB549" i="1"/>
  <c r="AC549" i="1" s="1"/>
  <c r="AB517" i="1"/>
  <c r="AC517" i="1" s="1"/>
  <c r="AB501" i="1"/>
  <c r="AC501" i="1" s="1"/>
  <c r="AB469" i="1"/>
  <c r="AC469" i="1" s="1"/>
  <c r="AB437" i="1"/>
  <c r="AC437" i="1" s="1"/>
  <c r="AB421" i="1"/>
  <c r="AC421" i="1" s="1"/>
  <c r="AB389" i="1"/>
  <c r="AC389" i="1" s="1"/>
  <c r="AB373" i="1"/>
  <c r="AC373" i="1" s="1"/>
  <c r="AB341" i="1"/>
  <c r="AC341" i="1" s="1"/>
  <c r="AB309" i="1"/>
  <c r="AC309" i="1" s="1"/>
  <c r="AB293" i="1"/>
  <c r="AC293" i="1" s="1"/>
  <c r="AB261" i="1"/>
  <c r="AC261" i="1" s="1"/>
  <c r="AB245" i="1"/>
  <c r="AC245" i="1" s="1"/>
  <c r="AB213" i="1"/>
  <c r="AC213" i="1" s="1"/>
  <c r="AB181" i="1"/>
  <c r="AC181" i="1" s="1"/>
  <c r="AB165" i="1"/>
  <c r="AC165" i="1" s="1"/>
  <c r="AB133" i="1"/>
  <c r="AC133" i="1" s="1"/>
  <c r="AB117" i="1"/>
  <c r="AC117" i="1" s="1"/>
  <c r="AB85" i="1"/>
  <c r="AC85" i="1" s="1"/>
  <c r="AB53" i="1"/>
  <c r="AC53" i="1" s="1"/>
  <c r="AB37" i="1"/>
  <c r="AC37" i="1" s="1"/>
  <c r="AB759" i="1"/>
  <c r="AC759" i="1" s="1"/>
  <c r="AB679" i="1"/>
  <c r="AC679" i="1" s="1"/>
  <c r="AB407" i="1"/>
  <c r="AC407" i="1" s="1"/>
  <c r="AB359" i="1"/>
  <c r="AC359" i="1" s="1"/>
  <c r="AB247" i="1"/>
  <c r="AC247" i="1" s="1"/>
  <c r="AB167" i="1"/>
  <c r="AC167" i="1" s="1"/>
  <c r="AB83" i="1"/>
  <c r="AC83" i="1" s="1"/>
  <c r="AB67" i="1"/>
  <c r="AC67" i="1" s="1"/>
  <c r="AB35" i="1"/>
  <c r="AC35" i="1" s="1"/>
  <c r="AB19" i="1"/>
  <c r="AC19" i="1" s="1"/>
  <c r="AB771" i="1"/>
  <c r="AC771" i="1" s="1"/>
  <c r="AB723" i="1"/>
  <c r="AC723" i="1" s="1"/>
  <c r="AB579" i="1"/>
  <c r="AC579" i="1" s="1"/>
  <c r="AB34" i="1"/>
  <c r="AC34" i="1" s="1"/>
  <c r="AB18" i="1"/>
  <c r="AC18" i="1" s="1"/>
  <c r="AB807" i="1"/>
  <c r="AC807" i="1" s="1"/>
  <c r="AB743" i="1"/>
  <c r="AC743" i="1" s="1"/>
  <c r="AB535" i="1"/>
  <c r="AC535" i="1" s="1"/>
  <c r="AB471" i="1"/>
  <c r="AC471" i="1" s="1"/>
  <c r="AB375" i="1"/>
  <c r="AC375" i="1" s="1"/>
  <c r="AB135" i="1"/>
  <c r="AC135" i="1" s="1"/>
  <c r="AB103" i="1"/>
  <c r="AC103" i="1" s="1"/>
  <c r="AB835" i="1"/>
  <c r="AC835" i="1" s="1"/>
  <c r="AB531" i="1"/>
  <c r="AC531" i="1" s="1"/>
  <c r="AB499" i="1"/>
  <c r="AC499" i="1" s="1"/>
  <c r="AB387" i="1"/>
  <c r="AC387" i="1" s="1"/>
  <c r="AB339" i="1"/>
  <c r="AC339" i="1" s="1"/>
  <c r="AB163" i="1"/>
  <c r="AC163" i="1" s="1"/>
  <c r="AB49" i="1"/>
  <c r="AC49" i="1" s="1"/>
  <c r="AB17" i="1"/>
  <c r="AC17" i="1" s="1"/>
  <c r="AB567" i="1"/>
  <c r="AC567" i="1" s="1"/>
  <c r="AB503" i="1"/>
  <c r="AC503" i="1" s="1"/>
  <c r="AB391" i="1"/>
  <c r="AC391" i="1" s="1"/>
  <c r="AB231" i="1"/>
  <c r="AC231" i="1" s="1"/>
  <c r="AB151" i="1"/>
  <c r="AC151" i="1" s="1"/>
  <c r="AB119" i="1"/>
  <c r="AC119" i="1" s="1"/>
  <c r="AB819" i="1"/>
  <c r="AC819" i="1" s="1"/>
  <c r="AB755" i="1"/>
  <c r="AC755" i="1" s="1"/>
  <c r="AB483" i="1"/>
  <c r="AC483" i="1" s="1"/>
  <c r="AB419" i="1"/>
  <c r="AC419" i="1" s="1"/>
  <c r="AB307" i="1"/>
  <c r="AC307" i="1" s="1"/>
  <c r="AB848" i="1"/>
  <c r="AC848" i="1" s="1"/>
  <c r="AB832" i="1"/>
  <c r="AC832" i="1" s="1"/>
  <c r="AB800" i="1"/>
  <c r="AC800" i="1" s="1"/>
  <c r="AB784" i="1"/>
  <c r="AC784" i="1" s="1"/>
  <c r="AB752" i="1"/>
  <c r="AC752" i="1" s="1"/>
  <c r="AB720" i="1"/>
  <c r="AC720" i="1" s="1"/>
  <c r="AB704" i="1"/>
  <c r="AC704" i="1" s="1"/>
  <c r="AB672" i="1"/>
  <c r="AC672" i="1" s="1"/>
  <c r="AB624" i="1"/>
  <c r="AC624" i="1" s="1"/>
  <c r="AB592" i="1"/>
  <c r="AC592" i="1" s="1"/>
  <c r="AB576" i="1"/>
  <c r="AC576" i="1" s="1"/>
  <c r="AB544" i="1"/>
  <c r="AC544" i="1" s="1"/>
  <c r="AB512" i="1"/>
  <c r="AC512" i="1" s="1"/>
  <c r="AB464" i="1"/>
  <c r="AC464" i="1" s="1"/>
  <c r="AB448" i="1"/>
  <c r="AC448" i="1" s="1"/>
  <c r="U432" i="1"/>
  <c r="AB416" i="1"/>
  <c r="AC416" i="1" s="1"/>
  <c r="AB400" i="1"/>
  <c r="AC400" i="1" s="1"/>
  <c r="AB384" i="1"/>
  <c r="AC384" i="1" s="1"/>
  <c r="AB368" i="1"/>
  <c r="AC368" i="1" s="1"/>
  <c r="AB336" i="1"/>
  <c r="AC336" i="1" s="1"/>
  <c r="AB320" i="1"/>
  <c r="AC320" i="1" s="1"/>
  <c r="AB288" i="1"/>
  <c r="AC288" i="1" s="1"/>
  <c r="AB208" i="1"/>
  <c r="AC208" i="1" s="1"/>
  <c r="AB192" i="1"/>
  <c r="AC192" i="1" s="1"/>
  <c r="AB160" i="1"/>
  <c r="AC160" i="1" s="1"/>
  <c r="AB80" i="1"/>
  <c r="AC80" i="1" s="1"/>
  <c r="AB64" i="1"/>
  <c r="AC64" i="1" s="1"/>
  <c r="AB32" i="1"/>
  <c r="AC32" i="1" s="1"/>
  <c r="AB803" i="1"/>
  <c r="AC803" i="1" s="1"/>
  <c r="AB739" i="1"/>
  <c r="AC739" i="1" s="1"/>
  <c r="AB675" i="1"/>
  <c r="AC675" i="1" s="1"/>
  <c r="AB611" i="1"/>
  <c r="AC611" i="1" s="1"/>
  <c r="AB563" i="1"/>
  <c r="AC563" i="1" s="1"/>
  <c r="AB515" i="1"/>
  <c r="AC515" i="1" s="1"/>
  <c r="AB403" i="1"/>
  <c r="AC403" i="1" s="1"/>
  <c r="AB371" i="1"/>
  <c r="AC371" i="1" s="1"/>
  <c r="AB323" i="1"/>
  <c r="AC323" i="1" s="1"/>
  <c r="AB259" i="1"/>
  <c r="AC259" i="1" s="1"/>
  <c r="AB147" i="1"/>
  <c r="AC147" i="1" s="1"/>
  <c r="AB255" i="1"/>
  <c r="AC255" i="1" s="1"/>
  <c r="AB239" i="1"/>
  <c r="AC239" i="1" s="1"/>
  <c r="AB207" i="1"/>
  <c r="AC207" i="1" s="1"/>
  <c r="AB191" i="1"/>
  <c r="AC191" i="1" s="1"/>
  <c r="AB175" i="1"/>
  <c r="AC175" i="1" s="1"/>
  <c r="AB143" i="1"/>
  <c r="AC143" i="1" s="1"/>
  <c r="AB127" i="1"/>
  <c r="AC127" i="1" s="1"/>
  <c r="AB79" i="1"/>
  <c r="AC79" i="1" s="1"/>
  <c r="AB63" i="1"/>
  <c r="AC63" i="1" s="1"/>
  <c r="AB47" i="1"/>
  <c r="AC47" i="1" s="1"/>
  <c r="AB15" i="1"/>
  <c r="AC15" i="1" s="1"/>
  <c r="AB814" i="1"/>
  <c r="AC814" i="1" s="1"/>
  <c r="AB798" i="1"/>
  <c r="AC798" i="1" s="1"/>
  <c r="AB782" i="1"/>
  <c r="AC782" i="1" s="1"/>
  <c r="AB750" i="1"/>
  <c r="AC750" i="1" s="1"/>
  <c r="AB670" i="1"/>
  <c r="AC670" i="1" s="1"/>
  <c r="AB654" i="1"/>
  <c r="AC654" i="1" s="1"/>
  <c r="AB638" i="1"/>
  <c r="AC638" i="1" s="1"/>
  <c r="AB606" i="1"/>
  <c r="AC606" i="1" s="1"/>
  <c r="AB542" i="1"/>
  <c r="AC542" i="1" s="1"/>
  <c r="AB526" i="1"/>
  <c r="AC526" i="1" s="1"/>
  <c r="AB510" i="1"/>
  <c r="AC510" i="1" s="1"/>
  <c r="AB478" i="1"/>
  <c r="AC478" i="1" s="1"/>
  <c r="AB462" i="1"/>
  <c r="AC462" i="1" s="1"/>
  <c r="AB398" i="1"/>
  <c r="AC398" i="1" s="1"/>
  <c r="AB382" i="1"/>
  <c r="AC382" i="1" s="1"/>
  <c r="AB366" i="1"/>
  <c r="AC366" i="1" s="1"/>
  <c r="AB350" i="1"/>
  <c r="AC350" i="1" s="1"/>
  <c r="AB318" i="1"/>
  <c r="AC318" i="1" s="1"/>
  <c r="AB302" i="1"/>
  <c r="AC302" i="1" s="1"/>
  <c r="AB286" i="1"/>
  <c r="AC286" i="1" s="1"/>
  <c r="AB254" i="1"/>
  <c r="AC254" i="1" s="1"/>
  <c r="AB206" i="1"/>
  <c r="AC206" i="1" s="1"/>
  <c r="AB190" i="1"/>
  <c r="AC190" i="1" s="1"/>
  <c r="AB110" i="1"/>
  <c r="AC110" i="1" s="1"/>
  <c r="AB46" i="1"/>
  <c r="AC46" i="1" s="1"/>
  <c r="AB30" i="1"/>
  <c r="AC30" i="1" s="1"/>
  <c r="AB14" i="1"/>
  <c r="AC14" i="1" s="1"/>
  <c r="AB854" i="1"/>
  <c r="AC854" i="1" s="1"/>
  <c r="AB845" i="1"/>
  <c r="AC845" i="1" s="1"/>
  <c r="AB781" i="1"/>
  <c r="AC781" i="1" s="1"/>
  <c r="AB765" i="1"/>
  <c r="AC765" i="1" s="1"/>
  <c r="AB749" i="1"/>
  <c r="AC749" i="1" s="1"/>
  <c r="AB717" i="1"/>
  <c r="AC717" i="1" s="1"/>
  <c r="AB653" i="1"/>
  <c r="AC653" i="1" s="1"/>
  <c r="AB637" i="1"/>
  <c r="AC637" i="1" s="1"/>
  <c r="AB621" i="1"/>
  <c r="AC621" i="1" s="1"/>
  <c r="AB605" i="1"/>
  <c r="AC605" i="1" s="1"/>
  <c r="AB589" i="1"/>
  <c r="AC589" i="1" s="1"/>
  <c r="AB525" i="1"/>
  <c r="AC525" i="1" s="1"/>
  <c r="AB509" i="1"/>
  <c r="AC509" i="1" s="1"/>
  <c r="AB493" i="1"/>
  <c r="AC493" i="1" s="1"/>
  <c r="AB477" i="1"/>
  <c r="AC477" i="1" s="1"/>
  <c r="AB461" i="1"/>
  <c r="AC461" i="1" s="1"/>
  <c r="AB445" i="1"/>
  <c r="AC445" i="1" s="1"/>
  <c r="AB397" i="1"/>
  <c r="AC397" i="1" s="1"/>
  <c r="AB381" i="1"/>
  <c r="AC381" i="1" s="1"/>
  <c r="AB365" i="1"/>
  <c r="AC365" i="1" s="1"/>
  <c r="AB349" i="1"/>
  <c r="AC349" i="1" s="1"/>
  <c r="AB333" i="1"/>
  <c r="AC333" i="1" s="1"/>
  <c r="AB269" i="1"/>
  <c r="AC269" i="1" s="1"/>
  <c r="AB253" i="1"/>
  <c r="AC253" i="1" s="1"/>
  <c r="AB237" i="1"/>
  <c r="AC237" i="1" s="1"/>
  <c r="AB221" i="1"/>
  <c r="AC221" i="1" s="1"/>
  <c r="AB205" i="1"/>
  <c r="AC205" i="1" s="1"/>
  <c r="AB173" i="1"/>
  <c r="AC173" i="1" s="1"/>
  <c r="AB141" i="1"/>
  <c r="AC141" i="1" s="1"/>
  <c r="AB125" i="1"/>
  <c r="AC125" i="1" s="1"/>
  <c r="AB109" i="1"/>
  <c r="AC109" i="1" s="1"/>
  <c r="AB93" i="1"/>
  <c r="AC93" i="1" s="1"/>
  <c r="AB77" i="1"/>
  <c r="AC77" i="1" s="1"/>
  <c r="AB13" i="1"/>
  <c r="AC13" i="1" s="1"/>
  <c r="AB853" i="1"/>
  <c r="AC853" i="1" s="1"/>
  <c r="AB12" i="1"/>
  <c r="AC12" i="1" s="1"/>
  <c r="AB852" i="1"/>
  <c r="AC852" i="1" s="1"/>
  <c r="C44" i="11"/>
  <c r="E45" i="11" s="1"/>
  <c r="AB746" i="1"/>
  <c r="AC746" i="1" s="1"/>
  <c r="AB730" i="1"/>
  <c r="AC730" i="1" s="1"/>
  <c r="AB618" i="1"/>
  <c r="AC618" i="1" s="1"/>
  <c r="AB602" i="1"/>
  <c r="AC602" i="1" s="1"/>
  <c r="AB490" i="1"/>
  <c r="AC490" i="1" s="1"/>
  <c r="AB474" i="1"/>
  <c r="AC474" i="1" s="1"/>
  <c r="AB362" i="1"/>
  <c r="AC362" i="1" s="1"/>
  <c r="AB346" i="1"/>
  <c r="AC346" i="1" s="1"/>
  <c r="AB234" i="1"/>
  <c r="AC234" i="1" s="1"/>
  <c r="AB218" i="1"/>
  <c r="AC218" i="1" s="1"/>
  <c r="AB106" i="1"/>
  <c r="AC106" i="1" s="1"/>
  <c r="AB90" i="1"/>
  <c r="AC90" i="1" s="1"/>
  <c r="U792" i="1"/>
  <c r="V760" i="1"/>
  <c r="U744" i="1"/>
  <c r="V744" i="1"/>
  <c r="AB520" i="1"/>
  <c r="AC520" i="1" s="1"/>
  <c r="AB504" i="1"/>
  <c r="AC504" i="1" s="1"/>
  <c r="AB376" i="1"/>
  <c r="AC376" i="1" s="1"/>
  <c r="U313" i="1"/>
  <c r="AB248" i="1"/>
  <c r="AC248" i="1" s="1"/>
  <c r="AB120" i="1"/>
  <c r="AC120" i="1" s="1"/>
  <c r="V25" i="1"/>
  <c r="AB774" i="1"/>
  <c r="AC774" i="1" s="1"/>
  <c r="AB742" i="1"/>
  <c r="AC742" i="1" s="1"/>
  <c r="AB582" i="1"/>
  <c r="AC582" i="1" s="1"/>
  <c r="AB550" i="1"/>
  <c r="AC550" i="1" s="1"/>
  <c r="AB486" i="1"/>
  <c r="AC486" i="1" s="1"/>
  <c r="AB438" i="1"/>
  <c r="AC438" i="1" s="1"/>
  <c r="U295" i="1"/>
  <c r="AB278" i="1"/>
  <c r="AC278" i="1" s="1"/>
  <c r="AB246" i="1"/>
  <c r="AC246" i="1" s="1"/>
  <c r="AB230" i="1"/>
  <c r="AC230" i="1" s="1"/>
  <c r="AB38" i="1"/>
  <c r="AC38" i="1" s="1"/>
  <c r="AB22" i="1"/>
  <c r="AC22" i="1" s="1"/>
  <c r="U761" i="1"/>
  <c r="V761" i="1"/>
  <c r="U821" i="1"/>
  <c r="U405" i="1"/>
  <c r="U53" i="1"/>
  <c r="AB740" i="1"/>
  <c r="AC740" i="1" s="1"/>
  <c r="AB724" i="1"/>
  <c r="AC724" i="1" s="1"/>
  <c r="AB612" i="1"/>
  <c r="AC612" i="1" s="1"/>
  <c r="AB596" i="1"/>
  <c r="AC596" i="1" s="1"/>
  <c r="AB484" i="1"/>
  <c r="AC484" i="1" s="1"/>
  <c r="AB468" i="1"/>
  <c r="AC468" i="1" s="1"/>
  <c r="AB356" i="1"/>
  <c r="AC356" i="1" s="1"/>
  <c r="AB340" i="1"/>
  <c r="AC340" i="1" s="1"/>
  <c r="AB228" i="1"/>
  <c r="AC228" i="1" s="1"/>
  <c r="AB212" i="1"/>
  <c r="AC212" i="1" s="1"/>
  <c r="V100" i="1"/>
  <c r="V649" i="1"/>
  <c r="U489" i="1"/>
  <c r="AB850" i="1"/>
  <c r="AC850" i="1" s="1"/>
  <c r="AB802" i="1"/>
  <c r="AC802" i="1" s="1"/>
  <c r="AB674" i="1"/>
  <c r="AC674" i="1" s="1"/>
  <c r="AB546" i="1"/>
  <c r="AC546" i="1" s="1"/>
  <c r="AB466" i="1"/>
  <c r="AC466" i="1" s="1"/>
  <c r="AB418" i="1"/>
  <c r="AC418" i="1" s="1"/>
  <c r="AB354" i="1"/>
  <c r="AC354" i="1" s="1"/>
  <c r="AB290" i="1"/>
  <c r="AC290" i="1" s="1"/>
  <c r="AB226" i="1"/>
  <c r="AC226" i="1" s="1"/>
  <c r="AB210" i="1"/>
  <c r="AC210" i="1" s="1"/>
  <c r="AB82" i="1"/>
  <c r="AC82" i="1" s="1"/>
  <c r="U361" i="1"/>
  <c r="U265" i="1"/>
  <c r="U819" i="1"/>
  <c r="V659" i="1"/>
  <c r="AB801" i="1"/>
  <c r="AC801" i="1" s="1"/>
  <c r="AB785" i="1"/>
  <c r="AC785" i="1" s="1"/>
  <c r="V737" i="1"/>
  <c r="AB657" i="1"/>
  <c r="AC657" i="1" s="1"/>
  <c r="AB545" i="1"/>
  <c r="AC545" i="1" s="1"/>
  <c r="AB529" i="1"/>
  <c r="AC529" i="1" s="1"/>
  <c r="AB417" i="1"/>
  <c r="AC417" i="1" s="1"/>
  <c r="AB401" i="1"/>
  <c r="AC401" i="1" s="1"/>
  <c r="AB289" i="1"/>
  <c r="AC289" i="1" s="1"/>
  <c r="AB273" i="1"/>
  <c r="AC273" i="1" s="1"/>
  <c r="AB161" i="1"/>
  <c r="AC161" i="1" s="1"/>
  <c r="AB145" i="1"/>
  <c r="AC145" i="1" s="1"/>
  <c r="AB97" i="1"/>
  <c r="AC97" i="1" s="1"/>
  <c r="U784" i="1"/>
  <c r="U208" i="1"/>
  <c r="V208" i="1"/>
  <c r="V32" i="1"/>
  <c r="U35" i="1"/>
  <c r="AB767" i="1"/>
  <c r="AC767" i="1" s="1"/>
  <c r="AB639" i="1"/>
  <c r="AC639" i="1" s="1"/>
  <c r="AB511" i="1"/>
  <c r="AC511" i="1" s="1"/>
  <c r="AB431" i="1"/>
  <c r="AC431" i="1" s="1"/>
  <c r="AB383" i="1"/>
  <c r="AC383" i="1" s="1"/>
  <c r="AB303" i="1"/>
  <c r="AC303" i="1" s="1"/>
  <c r="V143" i="1"/>
  <c r="AB718" i="1"/>
  <c r="AC718" i="1" s="1"/>
  <c r="V606" i="1"/>
  <c r="U478" i="1"/>
  <c r="V478" i="1"/>
  <c r="U462" i="1"/>
  <c r="V462" i="1"/>
  <c r="V398" i="1"/>
  <c r="AB222" i="1"/>
  <c r="AC222" i="1" s="1"/>
  <c r="U854" i="1"/>
  <c r="U189" i="1"/>
  <c r="V189" i="1"/>
  <c r="V853" i="1"/>
  <c r="V777" i="1"/>
  <c r="V73" i="1"/>
  <c r="AB780" i="1"/>
  <c r="AC780" i="1" s="1"/>
  <c r="AB636" i="1"/>
  <c r="AC636" i="1" s="1"/>
  <c r="AB524" i="1"/>
  <c r="AC524" i="1" s="1"/>
  <c r="AB508" i="1"/>
  <c r="AC508" i="1" s="1"/>
  <c r="AB380" i="1"/>
  <c r="AC380" i="1" s="1"/>
  <c r="AB268" i="1"/>
  <c r="AC268" i="1" s="1"/>
  <c r="AB252" i="1"/>
  <c r="AC252" i="1" s="1"/>
  <c r="V221" i="1"/>
  <c r="AB124" i="1"/>
  <c r="AC124" i="1" s="1"/>
  <c r="AB843" i="1"/>
  <c r="AC843" i="1" s="1"/>
  <c r="AB827" i="1"/>
  <c r="AC827" i="1" s="1"/>
  <c r="AB779" i="1"/>
  <c r="AC779" i="1" s="1"/>
  <c r="AB731" i="1"/>
  <c r="AC731" i="1" s="1"/>
  <c r="AB715" i="1"/>
  <c r="AC715" i="1" s="1"/>
  <c r="AB699" i="1"/>
  <c r="AC699" i="1" s="1"/>
  <c r="AB651" i="1"/>
  <c r="AC651" i="1" s="1"/>
  <c r="AB603" i="1"/>
  <c r="AC603" i="1" s="1"/>
  <c r="AB587" i="1"/>
  <c r="AC587" i="1" s="1"/>
  <c r="AB571" i="1"/>
  <c r="AC571" i="1" s="1"/>
  <c r="AB523" i="1"/>
  <c r="AC523" i="1" s="1"/>
  <c r="AB475" i="1"/>
  <c r="AC475" i="1" s="1"/>
  <c r="AB459" i="1"/>
  <c r="AC459" i="1" s="1"/>
  <c r="AB443" i="1"/>
  <c r="AC443" i="1" s="1"/>
  <c r="AB395" i="1"/>
  <c r="AC395" i="1" s="1"/>
  <c r="AB363" i="1"/>
  <c r="AC363" i="1" s="1"/>
  <c r="AB347" i="1"/>
  <c r="AC347" i="1" s="1"/>
  <c r="AB331" i="1"/>
  <c r="AC331" i="1" s="1"/>
  <c r="AB315" i="1"/>
  <c r="AC315" i="1" s="1"/>
  <c r="AB267" i="1"/>
  <c r="AC267" i="1" s="1"/>
  <c r="AB235" i="1"/>
  <c r="AC235" i="1" s="1"/>
  <c r="AB219" i="1"/>
  <c r="AC219" i="1" s="1"/>
  <c r="AB203" i="1"/>
  <c r="AC203" i="1" s="1"/>
  <c r="AB187" i="1"/>
  <c r="AC187" i="1" s="1"/>
  <c r="AB139" i="1"/>
  <c r="AC139" i="1" s="1"/>
  <c r="AB107" i="1"/>
  <c r="AC107" i="1" s="1"/>
  <c r="AB91" i="1"/>
  <c r="AC91" i="1" s="1"/>
  <c r="AB75" i="1"/>
  <c r="AC75" i="1" s="1"/>
  <c r="AB59" i="1"/>
  <c r="AC59" i="1" s="1"/>
  <c r="T3" i="1"/>
  <c r="AM3" i="8"/>
  <c r="AY3" i="11" a="1"/>
  <c r="AY3" i="11" s="1"/>
  <c r="AW3" i="11" a="1"/>
  <c r="AW3" i="11" s="1"/>
  <c r="AX3" i="11" a="1"/>
  <c r="AX3" i="11" s="1"/>
  <c r="AZ3" i="11" a="1"/>
  <c r="AZ3" i="11" s="1"/>
  <c r="BA3" i="11" a="1"/>
  <c r="BA3" i="11" s="1"/>
  <c r="BB3" i="11" a="1"/>
  <c r="BB3" i="11" s="1"/>
  <c r="AQ246" i="1" l="1"/>
  <c r="AQ347" i="1"/>
  <c r="AQ803" i="1"/>
  <c r="AQ110" i="1"/>
  <c r="AQ382" i="1"/>
  <c r="AQ383" i="1" s="1"/>
  <c r="AQ525" i="1"/>
  <c r="AK525" i="1"/>
  <c r="AJ525" i="1"/>
  <c r="AL525" i="1" s="1"/>
  <c r="AP525" i="1" s="1"/>
  <c r="AQ743" i="1"/>
  <c r="AJ743" i="1"/>
  <c r="AL743" i="1" s="1"/>
  <c r="AP743" i="1" s="1"/>
  <c r="AK743" i="1"/>
  <c r="AQ638" i="1"/>
  <c r="AQ639" i="1" s="1"/>
  <c r="AQ750" i="1"/>
  <c r="AK750" i="1"/>
  <c r="AJ750" i="1"/>
  <c r="AL750" i="1" s="1"/>
  <c r="AP750" i="1" s="1"/>
  <c r="AQ475" i="1"/>
  <c r="AK475" i="1"/>
  <c r="AJ475" i="1"/>
  <c r="AL475" i="1" s="1"/>
  <c r="AP475" i="1" s="1"/>
  <c r="AQ377" i="1"/>
  <c r="AJ377" i="1"/>
  <c r="AL377" i="1" s="1"/>
  <c r="AP377" i="1" s="1"/>
  <c r="AK377" i="1"/>
  <c r="AQ38" i="1"/>
  <c r="AK38" i="1"/>
  <c r="AJ38" i="1"/>
  <c r="AL38" i="1" s="1"/>
  <c r="AP38" i="1" s="1"/>
  <c r="AQ269" i="1"/>
  <c r="AQ15" i="1"/>
  <c r="AJ15" i="1"/>
  <c r="AL15" i="1" s="1"/>
  <c r="AP15" i="1" s="1"/>
  <c r="AK15" i="1"/>
  <c r="AQ384" i="1"/>
  <c r="AJ384" i="1"/>
  <c r="AL384" i="1" s="1"/>
  <c r="AP384" i="1" s="1"/>
  <c r="AK384" i="1"/>
  <c r="AQ398" i="1"/>
  <c r="AJ398" i="1"/>
  <c r="AL398" i="1" s="1"/>
  <c r="AP398" i="1" s="1"/>
  <c r="AK398" i="1"/>
  <c r="AQ19" i="1"/>
  <c r="AK19" i="1"/>
  <c r="AJ19" i="1"/>
  <c r="AL19" i="1" s="1"/>
  <c r="AP19" i="1" s="1"/>
  <c r="AQ718" i="1"/>
  <c r="AJ718" i="1"/>
  <c r="AL718" i="1" s="1"/>
  <c r="AP718" i="1" s="1"/>
  <c r="AK718" i="1"/>
  <c r="AQ290" i="1"/>
  <c r="AK290" i="1"/>
  <c r="AJ290" i="1"/>
  <c r="AL290" i="1" s="1"/>
  <c r="AP290" i="1" s="1"/>
  <c r="AQ603" i="1"/>
  <c r="AQ780" i="1"/>
  <c r="AQ781" i="1" s="1"/>
  <c r="AQ782" i="1" s="1"/>
  <c r="AJ780" i="1"/>
  <c r="AL780" i="1" s="1"/>
  <c r="AP780" i="1" s="1"/>
  <c r="AK780" i="1"/>
  <c r="AK781" i="1" s="1"/>
  <c r="AK782" i="1" s="1"/>
  <c r="AQ401" i="1"/>
  <c r="AK401" i="1"/>
  <c r="AJ401" i="1"/>
  <c r="AL401" i="1" s="1"/>
  <c r="AP401" i="1" s="1"/>
  <c r="AQ462" i="1"/>
  <c r="AK462" i="1"/>
  <c r="AJ462" i="1"/>
  <c r="AL462" i="1" s="1"/>
  <c r="AP462" i="1" s="1"/>
  <c r="AQ675" i="1"/>
  <c r="AJ675" i="1"/>
  <c r="AL675" i="1" s="1"/>
  <c r="AP675" i="1" s="1"/>
  <c r="AK675" i="1"/>
  <c r="AQ213" i="1"/>
  <c r="AQ760" i="1"/>
  <c r="AQ761" i="1" s="1"/>
  <c r="AQ469" i="1"/>
  <c r="AK469" i="1"/>
  <c r="AJ469" i="1"/>
  <c r="AL469" i="1" s="1"/>
  <c r="AP469" i="1" s="1"/>
  <c r="AQ419" i="1"/>
  <c r="AJ419" i="1"/>
  <c r="AL419" i="1" s="1"/>
  <c r="AP419" i="1" s="1"/>
  <c r="AK419" i="1"/>
  <c r="AQ853" i="1"/>
  <c r="AK853" i="1"/>
  <c r="AJ853" i="1"/>
  <c r="AL853" i="1" s="1"/>
  <c r="AP853" i="1" s="1"/>
  <c r="AQ83" i="1"/>
  <c r="AJ83" i="1"/>
  <c r="AL83" i="1" s="1"/>
  <c r="AP83" i="1" s="1"/>
  <c r="AK83" i="1"/>
  <c r="AQ289" i="1"/>
  <c r="AJ289" i="1"/>
  <c r="AL289" i="1" s="1"/>
  <c r="AP289" i="1" s="1"/>
  <c r="AK289" i="1"/>
  <c r="AQ417" i="1"/>
  <c r="AQ418" i="1" s="1"/>
  <c r="AJ417" i="1"/>
  <c r="AL417" i="1" s="1"/>
  <c r="AP417" i="1" s="1"/>
  <c r="AK417" i="1"/>
  <c r="AK418" i="1" s="1"/>
  <c r="AQ854" i="1"/>
  <c r="AQ724" i="1"/>
  <c r="AQ725" i="1" s="1"/>
  <c r="AJ724" i="1"/>
  <c r="AK724" i="1"/>
  <c r="AK725" i="1" s="1"/>
  <c r="AQ218" i="1"/>
  <c r="AQ219" i="1" s="1"/>
  <c r="AQ14" i="1"/>
  <c r="AK14" i="1"/>
  <c r="AJ14" i="1"/>
  <c r="AL14" i="1" s="1"/>
  <c r="AP14" i="1" s="1"/>
  <c r="AQ235" i="1"/>
  <c r="AJ235" i="1"/>
  <c r="AL235" i="1" s="1"/>
  <c r="AP235" i="1" s="1"/>
  <c r="AK235" i="1"/>
  <c r="AQ511" i="1"/>
  <c r="AQ546" i="1"/>
  <c r="AQ740" i="1"/>
  <c r="AJ740" i="1"/>
  <c r="AK740" i="1"/>
  <c r="AQ526" i="1"/>
  <c r="AK526" i="1"/>
  <c r="AJ526" i="1"/>
  <c r="AL526" i="1" s="1"/>
  <c r="AP526" i="1" s="1"/>
  <c r="AQ512" i="1"/>
  <c r="AK512" i="1"/>
  <c r="AJ512" i="1"/>
  <c r="AL512" i="1" s="1"/>
  <c r="AP512" i="1" s="1"/>
  <c r="AQ649" i="1"/>
  <c r="AQ253" i="1"/>
  <c r="AQ254" i="1" s="1"/>
  <c r="AQ255" i="1" s="1"/>
  <c r="AK253" i="1"/>
  <c r="AK254" i="1" s="1"/>
  <c r="AK255" i="1" s="1"/>
  <c r="AJ253" i="1"/>
  <c r="AL253" i="1" s="1"/>
  <c r="AP253" i="1" s="1"/>
  <c r="AQ91" i="1"/>
  <c r="AJ91" i="1"/>
  <c r="AL91" i="1" s="1"/>
  <c r="AP91" i="1" s="1"/>
  <c r="AK91" i="1"/>
  <c r="AQ191" i="1"/>
  <c r="AJ191" i="1"/>
  <c r="AL191" i="1" s="1"/>
  <c r="AP191" i="1" s="1"/>
  <c r="AK191" i="1"/>
  <c r="AQ247" i="1"/>
  <c r="AQ248" i="1" s="1"/>
  <c r="AJ247" i="1"/>
  <c r="AL247" i="1" s="1"/>
  <c r="AP247" i="1" s="1"/>
  <c r="AK247" i="1"/>
  <c r="AK248" i="1" s="1"/>
  <c r="AQ524" i="1"/>
  <c r="AQ731" i="1"/>
  <c r="AJ731" i="1"/>
  <c r="AL731" i="1" s="1"/>
  <c r="AP731" i="1" s="1"/>
  <c r="AK731" i="1"/>
  <c r="AQ509" i="1"/>
  <c r="AQ510" i="1" s="1"/>
  <c r="AK509" i="1"/>
  <c r="AK510" i="1" s="1"/>
  <c r="AJ509" i="1"/>
  <c r="AL509" i="1" s="1"/>
  <c r="AP509" i="1" s="1"/>
  <c r="AQ606" i="1"/>
  <c r="AK606" i="1"/>
  <c r="AJ606" i="1"/>
  <c r="AL606" i="1" s="1"/>
  <c r="AP606" i="1" s="1"/>
  <c r="AQ207" i="1"/>
  <c r="AQ208" i="1" s="1"/>
  <c r="AQ80" i="1"/>
  <c r="AQ161" i="1"/>
  <c r="AJ161" i="1"/>
  <c r="AL161" i="1" s="1"/>
  <c r="AP161" i="1" s="1"/>
  <c r="AK161" i="1"/>
  <c r="AQ785" i="1"/>
  <c r="AK785" i="1"/>
  <c r="AJ785" i="1"/>
  <c r="AL785" i="1" s="1"/>
  <c r="AP785" i="1" s="1"/>
  <c r="AQ120" i="1"/>
  <c r="AK120" i="1"/>
  <c r="AJ120" i="1"/>
  <c r="AQ801" i="1"/>
  <c r="AQ802" i="1" s="1"/>
  <c r="AK801" i="1"/>
  <c r="AK802" i="1" s="1"/>
  <c r="AJ801" i="1"/>
  <c r="AL801" i="1" s="1"/>
  <c r="AP801" i="1" s="1"/>
  <c r="AQ192" i="1"/>
  <c r="AJ192" i="1"/>
  <c r="AL192" i="1" s="1"/>
  <c r="AP192" i="1" s="1"/>
  <c r="AK192" i="1"/>
  <c r="AQ231" i="1"/>
  <c r="AJ231" i="1"/>
  <c r="AL231" i="1" s="1"/>
  <c r="AP231" i="1" s="1"/>
  <c r="AK231" i="1"/>
  <c r="AQ777" i="1"/>
  <c r="AK777" i="1"/>
  <c r="AJ777" i="1"/>
  <c r="AL777" i="1" s="1"/>
  <c r="AP777" i="1" s="1"/>
  <c r="BB18" i="1"/>
  <c r="BT17" i="1"/>
  <c r="E55" i="11"/>
  <c r="AB480" i="1"/>
  <c r="AC480" i="1" s="1"/>
  <c r="AB816" i="1"/>
  <c r="AC816" i="1" s="1"/>
  <c r="AB858" i="1"/>
  <c r="AC858" i="1" s="1"/>
  <c r="AB21" i="1"/>
  <c r="AC21" i="1" s="1"/>
  <c r="AB533" i="1"/>
  <c r="AC533" i="1" s="1"/>
  <c r="AB616" i="1"/>
  <c r="AC616" i="1" s="1"/>
  <c r="AB281" i="1"/>
  <c r="AC281" i="1" s="1"/>
  <c r="AB251" i="1"/>
  <c r="AC251" i="1" s="1"/>
  <c r="AJ252" i="1" s="1"/>
  <c r="AL252" i="1" s="1"/>
  <c r="AP252" i="1" s="1"/>
  <c r="AB507" i="1"/>
  <c r="AC507" i="1" s="1"/>
  <c r="AB763" i="1"/>
  <c r="AC763" i="1" s="1"/>
  <c r="AB188" i="1"/>
  <c r="AC188" i="1" s="1"/>
  <c r="AB444" i="1"/>
  <c r="AC444" i="1" s="1"/>
  <c r="AB700" i="1"/>
  <c r="AC700" i="1" s="1"/>
  <c r="U777" i="1"/>
  <c r="AB238" i="1"/>
  <c r="AC238" i="1" s="1"/>
  <c r="V798" i="1"/>
  <c r="AB433" i="1"/>
  <c r="AC433" i="1" s="1"/>
  <c r="AB689" i="1"/>
  <c r="AC689" i="1" s="1"/>
  <c r="AB306" i="1"/>
  <c r="AC306" i="1" s="1"/>
  <c r="AB562" i="1"/>
  <c r="AC562" i="1" s="1"/>
  <c r="AB818" i="1"/>
  <c r="AC818" i="1" s="1"/>
  <c r="AQ819" i="1" s="1"/>
  <c r="AB52" i="1"/>
  <c r="AC52" i="1" s="1"/>
  <c r="V565" i="1"/>
  <c r="AB820" i="1"/>
  <c r="AC820" i="1" s="1"/>
  <c r="AQ821" i="1" s="1"/>
  <c r="AB342" i="1"/>
  <c r="AC342" i="1" s="1"/>
  <c r="AQ342" i="1" s="1"/>
  <c r="AB42" i="1"/>
  <c r="AC42" i="1" s="1"/>
  <c r="AB298" i="1"/>
  <c r="AC298" i="1" s="1"/>
  <c r="AB554" i="1"/>
  <c r="AC554" i="1" s="1"/>
  <c r="AB810" i="1"/>
  <c r="AC810" i="1" s="1"/>
  <c r="AQ810" i="1" s="1"/>
  <c r="AB547" i="1"/>
  <c r="AC547" i="1" s="1"/>
  <c r="AB595" i="1"/>
  <c r="AC595" i="1" s="1"/>
  <c r="AQ596" i="1" s="1"/>
  <c r="AQ597" i="1" s="1"/>
  <c r="AB87" i="1"/>
  <c r="AC87" i="1" s="1"/>
  <c r="AB197" i="1"/>
  <c r="AC197" i="1" s="1"/>
  <c r="AB709" i="1"/>
  <c r="AC709" i="1" s="1"/>
  <c r="AB792" i="1"/>
  <c r="AC792" i="1" s="1"/>
  <c r="AB457" i="1"/>
  <c r="AC457" i="1" s="1"/>
  <c r="AB614" i="1"/>
  <c r="AC614" i="1" s="1"/>
  <c r="U583" i="1"/>
  <c r="AB58" i="1"/>
  <c r="AC58" i="1" s="1"/>
  <c r="U191" i="1"/>
  <c r="U32" i="1"/>
  <c r="AB209" i="1"/>
  <c r="AC209" i="1" s="1"/>
  <c r="AB465" i="1"/>
  <c r="AC465" i="1" s="1"/>
  <c r="AB721" i="1"/>
  <c r="AC721" i="1" s="1"/>
  <c r="V37" i="1"/>
  <c r="AB74" i="1"/>
  <c r="AC74" i="1" s="1"/>
  <c r="AB330" i="1"/>
  <c r="AC330" i="1" s="1"/>
  <c r="AQ331" i="1" s="1"/>
  <c r="AB586" i="1"/>
  <c r="AC586" i="1" s="1"/>
  <c r="AB842" i="1"/>
  <c r="AC842" i="1" s="1"/>
  <c r="AJ843" i="1" s="1"/>
  <c r="AL843" i="1" s="1"/>
  <c r="AP843" i="1" s="1"/>
  <c r="AB352" i="1"/>
  <c r="AC352" i="1" s="1"/>
  <c r="AB707" i="1"/>
  <c r="AC707" i="1" s="1"/>
  <c r="AB741" i="1"/>
  <c r="AC741" i="1" s="1"/>
  <c r="AB489" i="1"/>
  <c r="AC489" i="1" s="1"/>
  <c r="AB747" i="1"/>
  <c r="AC747" i="1" s="1"/>
  <c r="AB184" i="1"/>
  <c r="AC184" i="1" s="1"/>
  <c r="AQ185" i="1" s="1"/>
  <c r="AB826" i="1"/>
  <c r="AC826" i="1" s="1"/>
  <c r="AQ827" i="1" s="1"/>
  <c r="V160" i="1"/>
  <c r="AB216" i="1"/>
  <c r="AC216" i="1" s="1"/>
  <c r="AB472" i="1"/>
  <c r="AC472" i="1" s="1"/>
  <c r="AB583" i="1"/>
  <c r="AC583" i="1" s="1"/>
  <c r="AQ583" i="1" s="1"/>
  <c r="AB153" i="1"/>
  <c r="AC153" i="1" s="1"/>
  <c r="AB665" i="1"/>
  <c r="AC665" i="1" s="1"/>
  <c r="AB326" i="1"/>
  <c r="AC326" i="1" s="1"/>
  <c r="AB282" i="1"/>
  <c r="AC282" i="1" s="1"/>
  <c r="AB449" i="1"/>
  <c r="AC449" i="1" s="1"/>
  <c r="AB27" i="1"/>
  <c r="AC27" i="1" s="1"/>
  <c r="AB283" i="1"/>
  <c r="AC283" i="1" s="1"/>
  <c r="AB539" i="1"/>
  <c r="AC539" i="1" s="1"/>
  <c r="AB795" i="1"/>
  <c r="AC795" i="1" s="1"/>
  <c r="AB455" i="1"/>
  <c r="AC455" i="1" s="1"/>
  <c r="AB423" i="1"/>
  <c r="AC423" i="1" s="1"/>
  <c r="AB295" i="1"/>
  <c r="AC295" i="1" s="1"/>
  <c r="AB405" i="1"/>
  <c r="AC405" i="1" s="1"/>
  <c r="V382" i="1"/>
  <c r="AB495" i="1"/>
  <c r="AC495" i="1" s="1"/>
  <c r="AB751" i="1"/>
  <c r="AC751" i="1" s="1"/>
  <c r="AB241" i="1"/>
  <c r="AC241" i="1" s="1"/>
  <c r="AB497" i="1"/>
  <c r="AC497" i="1" s="1"/>
  <c r="AB753" i="1"/>
  <c r="AC753" i="1" s="1"/>
  <c r="AB114" i="1"/>
  <c r="AC114" i="1" s="1"/>
  <c r="AB626" i="1"/>
  <c r="AC626" i="1" s="1"/>
  <c r="AB372" i="1"/>
  <c r="AC372" i="1" s="1"/>
  <c r="AQ373" i="1" s="1"/>
  <c r="AB628" i="1"/>
  <c r="AC628" i="1" s="1"/>
  <c r="V53" i="1"/>
  <c r="AB150" i="1"/>
  <c r="AC150" i="1" s="1"/>
  <c r="AB406" i="1"/>
  <c r="AC406" i="1" s="1"/>
  <c r="AB662" i="1"/>
  <c r="AC662" i="1" s="1"/>
  <c r="V185" i="1"/>
  <c r="AB232" i="1"/>
  <c r="AC232" i="1" s="1"/>
  <c r="AB488" i="1"/>
  <c r="AC488" i="1" s="1"/>
  <c r="AB131" i="1"/>
  <c r="AC131" i="1" s="1"/>
  <c r="AB195" i="1"/>
  <c r="AC195" i="1" s="1"/>
  <c r="AB50" i="1"/>
  <c r="AC50" i="1" s="1"/>
  <c r="AQ50" i="1" s="1"/>
  <c r="AB69" i="1"/>
  <c r="AC69" i="1" s="1"/>
  <c r="AB581" i="1"/>
  <c r="AC581" i="1" s="1"/>
  <c r="AB664" i="1"/>
  <c r="AC664" i="1" s="1"/>
  <c r="AB329" i="1"/>
  <c r="AC329" i="1" s="1"/>
  <c r="AB841" i="1"/>
  <c r="AC841" i="1" s="1"/>
  <c r="AB428" i="1"/>
  <c r="AC428" i="1" s="1"/>
  <c r="AB257" i="1"/>
  <c r="AC257" i="1" s="1"/>
  <c r="AB513" i="1"/>
  <c r="AC513" i="1" s="1"/>
  <c r="AB769" i="1"/>
  <c r="AC769" i="1" s="1"/>
  <c r="AB642" i="1"/>
  <c r="AC642" i="1" s="1"/>
  <c r="V803" i="1"/>
  <c r="AB132" i="1"/>
  <c r="AC132" i="1" s="1"/>
  <c r="AB388" i="1"/>
  <c r="AC388" i="1" s="1"/>
  <c r="AB644" i="1"/>
  <c r="AC644" i="1" s="1"/>
  <c r="AB678" i="1"/>
  <c r="AC678" i="1" s="1"/>
  <c r="V377" i="1"/>
  <c r="AB122" i="1"/>
  <c r="AC122" i="1" s="1"/>
  <c r="AB378" i="1"/>
  <c r="AC378" i="1" s="1"/>
  <c r="AQ378" i="1" s="1"/>
  <c r="AB634" i="1"/>
  <c r="AC634" i="1" s="1"/>
  <c r="AB838" i="1"/>
  <c r="AC838" i="1" s="1"/>
  <c r="AB26" i="1"/>
  <c r="AC26" i="1" s="1"/>
  <c r="AB538" i="1"/>
  <c r="AC538" i="1" s="1"/>
  <c r="AB794" i="1"/>
  <c r="AC794" i="1" s="1"/>
  <c r="AB314" i="1"/>
  <c r="AC314" i="1" s="1"/>
  <c r="AQ314" i="1" s="1"/>
  <c r="AQ315" i="1" s="1"/>
  <c r="AB570" i="1"/>
  <c r="AC570" i="1" s="1"/>
  <c r="V859" i="1"/>
  <c r="AB166" i="1"/>
  <c r="AC166" i="1" s="1"/>
  <c r="AQ167" i="1" s="1"/>
  <c r="AB224" i="1"/>
  <c r="AC224" i="1" s="1"/>
  <c r="AB28" i="1"/>
  <c r="AC28" i="1" s="1"/>
  <c r="AB284" i="1"/>
  <c r="AC284" i="1" s="1"/>
  <c r="AB540" i="1"/>
  <c r="AC540" i="1" s="1"/>
  <c r="AB796" i="1"/>
  <c r="AC796" i="1" s="1"/>
  <c r="AB271" i="1"/>
  <c r="AC271" i="1" s="1"/>
  <c r="AB527" i="1"/>
  <c r="AC527" i="1" s="1"/>
  <c r="AB783" i="1"/>
  <c r="AC783" i="1" s="1"/>
  <c r="AJ784" i="1" s="1"/>
  <c r="AL784" i="1" s="1"/>
  <c r="AP784" i="1" s="1"/>
  <c r="AB658" i="1"/>
  <c r="AC658" i="1" s="1"/>
  <c r="AQ658" i="1" s="1"/>
  <c r="U803" i="1"/>
  <c r="AB404" i="1"/>
  <c r="AC404" i="1" s="1"/>
  <c r="AB660" i="1"/>
  <c r="AC660" i="1" s="1"/>
  <c r="V741" i="1"/>
  <c r="AB182" i="1"/>
  <c r="AC182" i="1" s="1"/>
  <c r="AB694" i="1"/>
  <c r="AC694" i="1" s="1"/>
  <c r="AQ694" i="1" s="1"/>
  <c r="AB138" i="1"/>
  <c r="AC138" i="1" s="1"/>
  <c r="AQ139" i="1" s="1"/>
  <c r="AB394" i="1"/>
  <c r="AC394" i="1" s="1"/>
  <c r="AJ395" i="1" s="1"/>
  <c r="AL395" i="1" s="1"/>
  <c r="AP395" i="1" s="1"/>
  <c r="AB650" i="1"/>
  <c r="AC650" i="1" s="1"/>
  <c r="AB243" i="1"/>
  <c r="AC243" i="1" s="1"/>
  <c r="AB101" i="1"/>
  <c r="AC101" i="1" s="1"/>
  <c r="AB613" i="1"/>
  <c r="AC613" i="1" s="1"/>
  <c r="AQ613" i="1" s="1"/>
  <c r="AB172" i="1"/>
  <c r="AC172" i="1" s="1"/>
  <c r="AQ173" i="1" s="1"/>
  <c r="AB671" i="1"/>
  <c r="AC671" i="1" s="1"/>
  <c r="AQ672" i="1" s="1"/>
  <c r="AB334" i="1"/>
  <c r="AC334" i="1" s="1"/>
  <c r="AB705" i="1"/>
  <c r="AC705" i="1" s="1"/>
  <c r="AQ705" i="1" s="1"/>
  <c r="AB322" i="1"/>
  <c r="AC322" i="1" s="1"/>
  <c r="AQ323" i="1" s="1"/>
  <c r="AB43" i="1"/>
  <c r="AC43" i="1" s="1"/>
  <c r="AB555" i="1"/>
  <c r="AC555" i="1" s="1"/>
  <c r="AB454" i="1"/>
  <c r="AC454" i="1" s="1"/>
  <c r="AB24" i="1"/>
  <c r="AC24" i="1" s="1"/>
  <c r="AB280" i="1"/>
  <c r="AC280" i="1" s="1"/>
  <c r="AB536" i="1"/>
  <c r="AC536" i="1" s="1"/>
  <c r="AB154" i="1"/>
  <c r="AC154" i="1" s="1"/>
  <c r="AB410" i="1"/>
  <c r="AC410" i="1" s="1"/>
  <c r="AB666" i="1"/>
  <c r="AC666" i="1" s="1"/>
  <c r="AB560" i="1"/>
  <c r="AC560" i="1" s="1"/>
  <c r="AB7" i="1"/>
  <c r="AC7" i="1" s="1"/>
  <c r="AB51" i="1"/>
  <c r="AC51" i="1" s="1"/>
  <c r="AB277" i="1"/>
  <c r="AC277" i="1" s="1"/>
  <c r="AB789" i="1"/>
  <c r="AC789" i="1" s="1"/>
  <c r="AB25" i="1"/>
  <c r="AC25" i="1" s="1"/>
  <c r="AB537" i="1"/>
  <c r="AC537" i="1" s="1"/>
  <c r="AB684" i="1"/>
  <c r="AC684" i="1" s="1"/>
  <c r="AB415" i="1"/>
  <c r="AC415" i="1" s="1"/>
  <c r="AB299" i="1"/>
  <c r="AC299" i="1" s="1"/>
  <c r="AB811" i="1"/>
  <c r="AC811" i="1" s="1"/>
  <c r="V207" i="1"/>
  <c r="AB619" i="1"/>
  <c r="AC619" i="1" s="1"/>
  <c r="AQ619" i="1" s="1"/>
  <c r="AB44" i="1"/>
  <c r="AC44" i="1" s="1"/>
  <c r="AB300" i="1"/>
  <c r="AC300" i="1" s="1"/>
  <c r="AB556" i="1"/>
  <c r="AC556" i="1" s="1"/>
  <c r="AB812" i="1"/>
  <c r="AC812" i="1" s="1"/>
  <c r="U477" i="1"/>
  <c r="AB799" i="1"/>
  <c r="AC799" i="1" s="1"/>
  <c r="AQ800" i="1" s="1"/>
  <c r="V804" i="1"/>
  <c r="AB123" i="1"/>
  <c r="AC123" i="1" s="1"/>
  <c r="AB379" i="1"/>
  <c r="AC379" i="1" s="1"/>
  <c r="AB635" i="1"/>
  <c r="AC635" i="1" s="1"/>
  <c r="AQ636" i="1" s="1"/>
  <c r="AQ637" i="1" s="1"/>
  <c r="AB60" i="1"/>
  <c r="AC60" i="1" s="1"/>
  <c r="AB316" i="1"/>
  <c r="AC316" i="1" s="1"/>
  <c r="AB572" i="1"/>
  <c r="AC572" i="1" s="1"/>
  <c r="AQ572" i="1" s="1"/>
  <c r="AB828" i="1"/>
  <c r="AC828" i="1" s="1"/>
  <c r="V854" i="1"/>
  <c r="AB305" i="1"/>
  <c r="AC305" i="1" s="1"/>
  <c r="AB561" i="1"/>
  <c r="AC561" i="1" s="1"/>
  <c r="AB817" i="1"/>
  <c r="AC817" i="1" s="1"/>
  <c r="AB178" i="1"/>
  <c r="AC178" i="1" s="1"/>
  <c r="AB434" i="1"/>
  <c r="AC434" i="1" s="1"/>
  <c r="AB690" i="1"/>
  <c r="AC690" i="1" s="1"/>
  <c r="AB436" i="1"/>
  <c r="AC436" i="1" s="1"/>
  <c r="V665" i="1"/>
  <c r="AB214" i="1"/>
  <c r="AC214" i="1" s="1"/>
  <c r="AB170" i="1"/>
  <c r="AC170" i="1" s="1"/>
  <c r="AQ170" i="1" s="1"/>
  <c r="AB426" i="1"/>
  <c r="AC426" i="1" s="1"/>
  <c r="AB682" i="1"/>
  <c r="AC682" i="1" s="1"/>
  <c r="AB96" i="1"/>
  <c r="AC96" i="1" s="1"/>
  <c r="AB736" i="1"/>
  <c r="AC736" i="1" s="1"/>
  <c r="AB631" i="1"/>
  <c r="AC631" i="1" s="1"/>
  <c r="AB599" i="1"/>
  <c r="AC599" i="1" s="1"/>
  <c r="AB487" i="1"/>
  <c r="AC487" i="1" s="1"/>
  <c r="AB453" i="1"/>
  <c r="AC453" i="1" s="1"/>
  <c r="AB791" i="1"/>
  <c r="AC791" i="1" s="1"/>
  <c r="AB201" i="1"/>
  <c r="AC201" i="1" s="1"/>
  <c r="AB713" i="1"/>
  <c r="AC713" i="1" s="1"/>
  <c r="AB768" i="1"/>
  <c r="AC768" i="1" s="1"/>
  <c r="AB233" i="1"/>
  <c r="AC233" i="1" s="1"/>
  <c r="AQ234" i="1" s="1"/>
  <c r="AB491" i="1"/>
  <c r="AC491" i="1" s="1"/>
  <c r="AB577" i="1"/>
  <c r="AC577" i="1" s="1"/>
  <c r="AB452" i="1"/>
  <c r="AC452" i="1" s="1"/>
  <c r="AB593" i="1"/>
  <c r="AC593" i="1" s="1"/>
  <c r="AB502" i="1"/>
  <c r="AC502" i="1" s="1"/>
  <c r="AB328" i="1"/>
  <c r="AC328" i="1" s="1"/>
  <c r="AB714" i="1"/>
  <c r="AC714" i="1" s="1"/>
  <c r="AB171" i="1"/>
  <c r="AC171" i="1" s="1"/>
  <c r="AB427" i="1"/>
  <c r="AC427" i="1" s="1"/>
  <c r="AB683" i="1"/>
  <c r="AC683" i="1" s="1"/>
  <c r="AB659" i="1"/>
  <c r="AC659" i="1" s="1"/>
  <c r="AB321" i="1"/>
  <c r="AC321" i="1" s="1"/>
  <c r="AB833" i="1"/>
  <c r="AC833" i="1" s="1"/>
  <c r="AB706" i="1"/>
  <c r="AC706" i="1" s="1"/>
  <c r="AB155" i="1"/>
  <c r="AC155" i="1" s="1"/>
  <c r="AB411" i="1"/>
  <c r="AC411" i="1" s="1"/>
  <c r="AB667" i="1"/>
  <c r="AC667" i="1" s="1"/>
  <c r="AB348" i="1"/>
  <c r="AC348" i="1" s="1"/>
  <c r="AQ348" i="1" s="1"/>
  <c r="AQ349" i="1" s="1"/>
  <c r="AQ350" i="1" s="1"/>
  <c r="AB494" i="1"/>
  <c r="AC494" i="1" s="1"/>
  <c r="AB81" i="1"/>
  <c r="AC81" i="1" s="1"/>
  <c r="AB72" i="1"/>
  <c r="AC72" i="1" s="1"/>
  <c r="AB202" i="1"/>
  <c r="AC202" i="1" s="1"/>
  <c r="AQ203" i="1" s="1"/>
  <c r="AB71" i="1"/>
  <c r="AC71" i="1" s="1"/>
  <c r="AB158" i="1"/>
  <c r="AC158" i="1" s="1"/>
  <c r="AB262" i="1"/>
  <c r="AC262" i="1" s="1"/>
  <c r="AB451" i="1"/>
  <c r="AC451" i="1" s="1"/>
  <c r="AB149" i="1"/>
  <c r="AC149" i="1" s="1"/>
  <c r="AB661" i="1"/>
  <c r="AC661" i="1" s="1"/>
  <c r="AB744" i="1"/>
  <c r="AC744" i="1" s="1"/>
  <c r="AB409" i="1"/>
  <c r="AC409" i="1" s="1"/>
  <c r="V313" i="1"/>
  <c r="U606" i="1"/>
  <c r="AB367" i="1"/>
  <c r="AC367" i="1" s="1"/>
  <c r="AB623" i="1"/>
  <c r="AC623" i="1" s="1"/>
  <c r="AQ624" i="1" s="1"/>
  <c r="V35" i="1"/>
  <c r="AB369" i="1"/>
  <c r="AC369" i="1" s="1"/>
  <c r="AB625" i="1"/>
  <c r="AC625" i="1" s="1"/>
  <c r="U483" i="1"/>
  <c r="AB242" i="1"/>
  <c r="AC242" i="1" s="1"/>
  <c r="AB498" i="1"/>
  <c r="AC498" i="1" s="1"/>
  <c r="AK499" i="1" s="1"/>
  <c r="AB754" i="1"/>
  <c r="AC754" i="1" s="1"/>
  <c r="U649" i="1"/>
  <c r="AB244" i="1"/>
  <c r="AC244" i="1" s="1"/>
  <c r="AB500" i="1"/>
  <c r="AC500" i="1" s="1"/>
  <c r="AK501" i="1" s="1"/>
  <c r="AK502" i="1" s="1"/>
  <c r="AB756" i="1"/>
  <c r="AC756" i="1" s="1"/>
  <c r="AB790" i="1"/>
  <c r="AC790" i="1" s="1"/>
  <c r="AB104" i="1"/>
  <c r="AC104" i="1" s="1"/>
  <c r="AB360" i="1"/>
  <c r="AC360" i="1" s="1"/>
  <c r="AQ360" i="1" s="1"/>
  <c r="V792" i="1"/>
  <c r="AB608" i="1"/>
  <c r="AC608" i="1" s="1"/>
  <c r="AB199" i="1"/>
  <c r="AC199" i="1" s="1"/>
  <c r="AB183" i="1"/>
  <c r="AC183" i="1" s="1"/>
  <c r="AB99" i="1"/>
  <c r="AC99" i="1" s="1"/>
  <c r="AB325" i="1"/>
  <c r="AC325" i="1" s="1"/>
  <c r="AB837" i="1"/>
  <c r="AC837" i="1" s="1"/>
  <c r="AB73" i="1"/>
  <c r="AC73" i="1" s="1"/>
  <c r="AB585" i="1"/>
  <c r="AC585" i="1" s="1"/>
  <c r="AB56" i="1"/>
  <c r="AC56" i="1" s="1"/>
  <c r="AB312" i="1"/>
  <c r="AC312" i="1" s="1"/>
  <c r="AB186" i="1"/>
  <c r="AC186" i="1" s="1"/>
  <c r="AQ186" i="1" s="1"/>
  <c r="AB442" i="1"/>
  <c r="AC442" i="1" s="1"/>
  <c r="AB698" i="1"/>
  <c r="AC698" i="1" s="1"/>
  <c r="AQ699" i="1" s="1"/>
  <c r="AB847" i="1"/>
  <c r="AC847" i="1" s="1"/>
  <c r="AQ848" i="1" s="1"/>
  <c r="AB337" i="1"/>
  <c r="AC337" i="1" s="1"/>
  <c r="AB849" i="1"/>
  <c r="AC849" i="1" s="1"/>
  <c r="AB758" i="1"/>
  <c r="AC758" i="1" s="1"/>
  <c r="AQ759" i="1" s="1"/>
  <c r="AB458" i="1"/>
  <c r="AC458" i="1" s="1"/>
  <c r="AQ459" i="1" s="1"/>
  <c r="AB294" i="1"/>
  <c r="AC294" i="1" s="1"/>
  <c r="AB88" i="1"/>
  <c r="AC88" i="1" s="1"/>
  <c r="AB344" i="1"/>
  <c r="AC344" i="1" s="1"/>
  <c r="V206" i="1"/>
  <c r="V654" i="1"/>
  <c r="V531" i="1"/>
  <c r="AB129" i="1"/>
  <c r="AC129" i="1" s="1"/>
  <c r="AB385" i="1"/>
  <c r="AC385" i="1" s="1"/>
  <c r="AB641" i="1"/>
  <c r="AC641" i="1" s="1"/>
  <c r="AB258" i="1"/>
  <c r="AC258" i="1" s="1"/>
  <c r="AQ259" i="1" s="1"/>
  <c r="AB514" i="1"/>
  <c r="AC514" i="1" s="1"/>
  <c r="AQ514" i="1" s="1"/>
  <c r="AB770" i="1"/>
  <c r="AC770" i="1" s="1"/>
  <c r="AJ771" i="1" s="1"/>
  <c r="AL771" i="1" s="1"/>
  <c r="AP771" i="1" s="1"/>
  <c r="AB860" i="1"/>
  <c r="AC860" i="1" s="1"/>
  <c r="AB772" i="1"/>
  <c r="AC772" i="1" s="1"/>
  <c r="AQ773" i="1" s="1"/>
  <c r="AQ774" i="1" s="1"/>
  <c r="AB250" i="1"/>
  <c r="AC250" i="1" s="1"/>
  <c r="AB506" i="1"/>
  <c r="AC506" i="1" s="1"/>
  <c r="AB762" i="1"/>
  <c r="AC762" i="1" s="1"/>
  <c r="AB467" i="1"/>
  <c r="AC467" i="1" s="1"/>
  <c r="AB304" i="1"/>
  <c r="AC304" i="1" s="1"/>
  <c r="AB156" i="1"/>
  <c r="AC156" i="1" s="1"/>
  <c r="AB412" i="1"/>
  <c r="AC412" i="1" s="1"/>
  <c r="AB668" i="1"/>
  <c r="AC668" i="1" s="1"/>
  <c r="U206" i="1"/>
  <c r="U654" i="1"/>
  <c r="AB399" i="1"/>
  <c r="AC399" i="1" s="1"/>
  <c r="AB655" i="1"/>
  <c r="AC655" i="1" s="1"/>
  <c r="U329" i="1"/>
  <c r="U659" i="1"/>
  <c r="AB274" i="1"/>
  <c r="AC274" i="1" s="1"/>
  <c r="AB530" i="1"/>
  <c r="AC530" i="1" s="1"/>
  <c r="AB786" i="1"/>
  <c r="AC786" i="1" s="1"/>
  <c r="U533" i="1"/>
  <c r="AB788" i="1"/>
  <c r="AC788" i="1" s="1"/>
  <c r="AB54" i="1"/>
  <c r="AC54" i="1" s="1"/>
  <c r="AB310" i="1"/>
  <c r="AC310" i="1" s="1"/>
  <c r="AB566" i="1"/>
  <c r="AC566" i="1" s="1"/>
  <c r="AQ567" i="1" s="1"/>
  <c r="AB822" i="1"/>
  <c r="AC822" i="1" s="1"/>
  <c r="AB10" i="1"/>
  <c r="AC10" i="1" s="1"/>
  <c r="AB266" i="1"/>
  <c r="AC266" i="1" s="1"/>
  <c r="AQ266" i="1" s="1"/>
  <c r="AB522" i="1"/>
  <c r="AC522" i="1" s="1"/>
  <c r="AB778" i="1"/>
  <c r="AC778" i="1" s="1"/>
  <c r="AJ779" i="1" s="1"/>
  <c r="AL779" i="1" s="1"/>
  <c r="AP779" i="1" s="1"/>
  <c r="AB640" i="1"/>
  <c r="AC640" i="1" s="1"/>
  <c r="AQ640" i="1" s="1"/>
  <c r="AB263" i="1"/>
  <c r="AC263" i="1" s="1"/>
  <c r="AB23" i="1"/>
  <c r="AC23" i="1" s="1"/>
  <c r="AB357" i="1"/>
  <c r="AC357" i="1" s="1"/>
  <c r="U109" i="1"/>
  <c r="AB108" i="1"/>
  <c r="AC108" i="1" s="1"/>
  <c r="AQ108" i="1" s="1"/>
  <c r="AQ109" i="1" s="1"/>
  <c r="U365" i="1"/>
  <c r="AB364" i="1"/>
  <c r="AC364" i="1" s="1"/>
  <c r="AQ364" i="1" s="1"/>
  <c r="AQ365" i="1" s="1"/>
  <c r="AQ366" i="1" s="1"/>
  <c r="AB620" i="1"/>
  <c r="AC620" i="1" s="1"/>
  <c r="U73" i="1"/>
  <c r="U207" i="1"/>
  <c r="V480" i="1"/>
  <c r="AB479" i="1"/>
  <c r="AC479" i="1" s="1"/>
  <c r="U736" i="1"/>
  <c r="AB735" i="1"/>
  <c r="AC735" i="1" s="1"/>
  <c r="V633" i="1"/>
  <c r="V225" i="1"/>
  <c r="U673" i="1"/>
  <c r="AB673" i="1"/>
  <c r="AC673" i="1" s="1"/>
  <c r="AQ673" i="1" s="1"/>
  <c r="AQ674" i="1" s="1"/>
  <c r="U547" i="1"/>
  <c r="AB146" i="1"/>
  <c r="AC146" i="1" s="1"/>
  <c r="U403" i="1"/>
  <c r="AB402" i="1"/>
  <c r="AC402" i="1" s="1"/>
  <c r="AQ403" i="1" s="1"/>
  <c r="U739" i="1"/>
  <c r="U116" i="1"/>
  <c r="AB116" i="1"/>
  <c r="AC116" i="1" s="1"/>
  <c r="U665" i="1"/>
  <c r="U471" i="1"/>
  <c r="AB470" i="1"/>
  <c r="AC470" i="1" s="1"/>
  <c r="U726" i="1"/>
  <c r="AB726" i="1"/>
  <c r="AC726" i="1" s="1"/>
  <c r="AQ726" i="1" s="1"/>
  <c r="V648" i="1"/>
  <c r="U441" i="1"/>
  <c r="AB440" i="1"/>
  <c r="AC440" i="1" s="1"/>
  <c r="U760" i="1"/>
  <c r="V77" i="1"/>
  <c r="AB76" i="1"/>
  <c r="AC76" i="1" s="1"/>
  <c r="AQ76" i="1" s="1"/>
  <c r="U448" i="1"/>
  <c r="AB447" i="1"/>
  <c r="AC447" i="1" s="1"/>
  <c r="AQ448" i="1" s="1"/>
  <c r="U84" i="1"/>
  <c r="AB84" i="1"/>
  <c r="AC84" i="1" s="1"/>
  <c r="AQ85" i="1" s="1"/>
  <c r="AB396" i="1"/>
  <c r="AC396" i="1" s="1"/>
  <c r="U254" i="1"/>
  <c r="U809" i="1"/>
  <c r="V195" i="1"/>
  <c r="AB194" i="1"/>
  <c r="AC194" i="1" s="1"/>
  <c r="V451" i="1"/>
  <c r="AB450" i="1"/>
  <c r="AC450" i="1" s="1"/>
  <c r="AB164" i="1"/>
  <c r="AC164" i="1" s="1"/>
  <c r="AB420" i="1"/>
  <c r="AC420" i="1" s="1"/>
  <c r="U677" i="1"/>
  <c r="AB676" i="1"/>
  <c r="AC676" i="1" s="1"/>
  <c r="AQ677" i="1" s="1"/>
  <c r="U7" i="1"/>
  <c r="AB6" i="1"/>
  <c r="AC6" i="1" s="1"/>
  <c r="V519" i="1"/>
  <c r="AB518" i="1"/>
  <c r="AC518" i="1" s="1"/>
  <c r="AQ519" i="1" s="1"/>
  <c r="AQ520" i="1" s="1"/>
  <c r="AQ521" i="1" s="1"/>
  <c r="U185" i="1"/>
  <c r="V793" i="1"/>
  <c r="V845" i="1"/>
  <c r="AB844" i="1"/>
  <c r="AC844" i="1" s="1"/>
  <c r="AQ845" i="1" s="1"/>
  <c r="AB408" i="1"/>
  <c r="AC408" i="1" s="1"/>
  <c r="U387" i="1"/>
  <c r="AB386" i="1"/>
  <c r="AC386" i="1" s="1"/>
  <c r="AQ386" i="1" s="1"/>
  <c r="AQ387" i="1" s="1"/>
  <c r="V254" i="1"/>
  <c r="U510" i="1"/>
  <c r="U288" i="1"/>
  <c r="AB287" i="1"/>
  <c r="AC287" i="1" s="1"/>
  <c r="AQ288" i="1" s="1"/>
  <c r="AB543" i="1"/>
  <c r="AC543" i="1" s="1"/>
  <c r="U225" i="1"/>
  <c r="AB225" i="1"/>
  <c r="AC225" i="1" s="1"/>
  <c r="U481" i="1"/>
  <c r="AB481" i="1"/>
  <c r="AC481" i="1" s="1"/>
  <c r="U737" i="1"/>
  <c r="AB737" i="1"/>
  <c r="AC737" i="1" s="1"/>
  <c r="AB722" i="1"/>
  <c r="AC722" i="1" s="1"/>
  <c r="V181" i="1"/>
  <c r="AB180" i="1"/>
  <c r="AC180" i="1" s="1"/>
  <c r="V693" i="1"/>
  <c r="AB692" i="1"/>
  <c r="AC692" i="1" s="1"/>
  <c r="AQ693" i="1" s="1"/>
  <c r="U453" i="1"/>
  <c r="V535" i="1"/>
  <c r="AB534" i="1"/>
  <c r="AC534" i="1" s="1"/>
  <c r="AQ535" i="1" s="1"/>
  <c r="AB29" i="1"/>
  <c r="AC29" i="1" s="1"/>
  <c r="U157" i="1"/>
  <c r="AB157" i="1"/>
  <c r="AC157" i="1" s="1"/>
  <c r="V286" i="1"/>
  <c r="AB285" i="1"/>
  <c r="AC285" i="1" s="1"/>
  <c r="U413" i="1"/>
  <c r="V414" i="1" s="1"/>
  <c r="AB413" i="1"/>
  <c r="AC413" i="1" s="1"/>
  <c r="AB541" i="1"/>
  <c r="AC541" i="1" s="1"/>
  <c r="V670" i="1"/>
  <c r="AB669" i="1"/>
  <c r="AC669" i="1" s="1"/>
  <c r="AQ670" i="1" s="1"/>
  <c r="U798" i="1"/>
  <c r="AB797" i="1"/>
  <c r="AC797" i="1" s="1"/>
  <c r="U62" i="1"/>
  <c r="AB62" i="1"/>
  <c r="AC62" i="1" s="1"/>
  <c r="U270" i="1"/>
  <c r="AB270" i="1"/>
  <c r="AC270" i="1" s="1"/>
  <c r="AQ270" i="1" s="1"/>
  <c r="AB414" i="1"/>
  <c r="AC414" i="1" s="1"/>
  <c r="U558" i="1"/>
  <c r="AB558" i="1"/>
  <c r="AC558" i="1" s="1"/>
  <c r="U686" i="1"/>
  <c r="AB686" i="1"/>
  <c r="AC686" i="1" s="1"/>
  <c r="AB830" i="1"/>
  <c r="AC830" i="1" s="1"/>
  <c r="V96" i="1"/>
  <c r="AB95" i="1"/>
  <c r="AC95" i="1" s="1"/>
  <c r="V224" i="1"/>
  <c r="AB223" i="1"/>
  <c r="AC223" i="1" s="1"/>
  <c r="AQ223" i="1" s="1"/>
  <c r="U839" i="1"/>
  <c r="AB839" i="1"/>
  <c r="AC839" i="1" s="1"/>
  <c r="V112" i="1"/>
  <c r="AB112" i="1"/>
  <c r="AC112" i="1" s="1"/>
  <c r="U240" i="1"/>
  <c r="AB240" i="1"/>
  <c r="AC240" i="1" s="1"/>
  <c r="AQ240" i="1" s="1"/>
  <c r="V496" i="1"/>
  <c r="AB496" i="1"/>
  <c r="AC496" i="1" s="1"/>
  <c r="V211" i="1"/>
  <c r="AB211" i="1"/>
  <c r="AC211" i="1" s="1"/>
  <c r="AQ211" i="1" s="1"/>
  <c r="U627" i="1"/>
  <c r="AB627" i="1"/>
  <c r="AC627" i="1" s="1"/>
  <c r="AQ627" i="1" s="1"/>
  <c r="U695" i="1"/>
  <c r="AB695" i="1"/>
  <c r="AC695" i="1" s="1"/>
  <c r="V227" i="1"/>
  <c r="AB227" i="1"/>
  <c r="AC227" i="1" s="1"/>
  <c r="V643" i="1"/>
  <c r="AB643" i="1"/>
  <c r="AC643" i="1" s="1"/>
  <c r="U215" i="1"/>
  <c r="AB215" i="1"/>
  <c r="AC215" i="1" s="1"/>
  <c r="U664" i="1"/>
  <c r="AB663" i="1"/>
  <c r="AC663" i="1" s="1"/>
  <c r="AB66" i="1"/>
  <c r="AC66" i="1" s="1"/>
  <c r="U823" i="1"/>
  <c r="AB823" i="1"/>
  <c r="AC823" i="1" s="1"/>
  <c r="U115" i="1"/>
  <c r="AB115" i="1"/>
  <c r="AC115" i="1" s="1"/>
  <c r="AB551" i="1"/>
  <c r="AC551" i="1" s="1"/>
  <c r="U39" i="1"/>
  <c r="AB39" i="1"/>
  <c r="AC39" i="1" s="1"/>
  <c r="U553" i="1"/>
  <c r="AB552" i="1"/>
  <c r="AC552" i="1" s="1"/>
  <c r="AQ553" i="1" s="1"/>
  <c r="V681" i="1"/>
  <c r="AB680" i="1"/>
  <c r="AC680" i="1" s="1"/>
  <c r="AQ680" i="1" s="1"/>
  <c r="V808" i="1"/>
  <c r="AB808" i="1"/>
  <c r="AC808" i="1" s="1"/>
  <c r="AQ808" i="1" s="1"/>
  <c r="U89" i="1"/>
  <c r="AB89" i="1"/>
  <c r="AC89" i="1" s="1"/>
  <c r="U345" i="1"/>
  <c r="AB345" i="1"/>
  <c r="AC345" i="1" s="1"/>
  <c r="V473" i="1"/>
  <c r="AB473" i="1"/>
  <c r="AC473" i="1" s="1"/>
  <c r="AQ474" i="1" s="1"/>
  <c r="AB601" i="1"/>
  <c r="AC601" i="1" s="1"/>
  <c r="AQ602" i="1" s="1"/>
  <c r="U729" i="1"/>
  <c r="AB729" i="1"/>
  <c r="AC729" i="1" s="1"/>
  <c r="U199" i="1"/>
  <c r="AB198" i="1"/>
  <c r="AC198" i="1" s="1"/>
  <c r="U148" i="1"/>
  <c r="AB148" i="1"/>
  <c r="AC148" i="1" s="1"/>
  <c r="U681" i="1"/>
  <c r="V270" i="1"/>
  <c r="V510" i="1"/>
  <c r="AB559" i="1"/>
  <c r="AC559" i="1" s="1"/>
  <c r="U815" i="1"/>
  <c r="AB815" i="1"/>
  <c r="AC815" i="1" s="1"/>
  <c r="AQ815" i="1" s="1"/>
  <c r="V784" i="1"/>
  <c r="V483" i="1"/>
  <c r="AB482" i="1"/>
  <c r="AC482" i="1" s="1"/>
  <c r="V739" i="1"/>
  <c r="AB738" i="1"/>
  <c r="AC738" i="1" s="1"/>
  <c r="U197" i="1"/>
  <c r="AB196" i="1"/>
  <c r="AC196" i="1" s="1"/>
  <c r="U709" i="1"/>
  <c r="AB708" i="1"/>
  <c r="AC708" i="1" s="1"/>
  <c r="V807" i="1"/>
  <c r="AB806" i="1"/>
  <c r="AC806" i="1" s="1"/>
  <c r="AQ807" i="1" s="1"/>
  <c r="U9" i="1"/>
  <c r="AB8" i="1"/>
  <c r="AC8" i="1" s="1"/>
  <c r="V265" i="1"/>
  <c r="AB264" i="1"/>
  <c r="AC264" i="1" s="1"/>
  <c r="AQ264" i="1" s="1"/>
  <c r="AB332" i="1"/>
  <c r="AC332" i="1" s="1"/>
  <c r="U93" i="1"/>
  <c r="AB92" i="1"/>
  <c r="AC92" i="1" s="1"/>
  <c r="AJ93" i="1" s="1"/>
  <c r="AL93" i="1" s="1"/>
  <c r="AP93" i="1" s="1"/>
  <c r="V464" i="1"/>
  <c r="AB463" i="1"/>
  <c r="AC463" i="1" s="1"/>
  <c r="V717" i="1"/>
  <c r="AB716" i="1"/>
  <c r="AC716" i="1" s="1"/>
  <c r="U320" i="1"/>
  <c r="AB319" i="1"/>
  <c r="AC319" i="1" s="1"/>
  <c r="V831" i="1"/>
  <c r="AB831" i="1"/>
  <c r="AC831" i="1" s="1"/>
  <c r="U800" i="1"/>
  <c r="V549" i="1"/>
  <c r="U46" i="1"/>
  <c r="AB45" i="1"/>
  <c r="AC45" i="1" s="1"/>
  <c r="AQ46" i="1" s="1"/>
  <c r="AQ47" i="1" s="1"/>
  <c r="U301" i="1"/>
  <c r="AB301" i="1"/>
  <c r="AC301" i="1" s="1"/>
  <c r="AQ302" i="1" s="1"/>
  <c r="AQ303" i="1" s="1"/>
  <c r="V429" i="1"/>
  <c r="AB429" i="1"/>
  <c r="AC429" i="1" s="1"/>
  <c r="AQ429" i="1" s="1"/>
  <c r="V557" i="1"/>
  <c r="AB557" i="1"/>
  <c r="AC557" i="1" s="1"/>
  <c r="V685" i="1"/>
  <c r="AB685" i="1"/>
  <c r="AC685" i="1" s="1"/>
  <c r="U814" i="1"/>
  <c r="AB813" i="1"/>
  <c r="AC813" i="1" s="1"/>
  <c r="AQ814" i="1" s="1"/>
  <c r="U78" i="1"/>
  <c r="AB78" i="1"/>
  <c r="AC78" i="1" s="1"/>
  <c r="V430" i="1"/>
  <c r="AB430" i="1"/>
  <c r="AC430" i="1" s="1"/>
  <c r="V574" i="1"/>
  <c r="AB574" i="1"/>
  <c r="AC574" i="1" s="1"/>
  <c r="V702" i="1"/>
  <c r="AB702" i="1"/>
  <c r="AC702" i="1" s="1"/>
  <c r="V846" i="1"/>
  <c r="AB846" i="1"/>
  <c r="AC846" i="1" s="1"/>
  <c r="V111" i="1"/>
  <c r="AB111" i="1"/>
  <c r="AC111" i="1" s="1"/>
  <c r="AQ111" i="1" s="1"/>
  <c r="AB856" i="1"/>
  <c r="AC856" i="1" s="1"/>
  <c r="V128" i="1"/>
  <c r="AB128" i="1"/>
  <c r="AC128" i="1" s="1"/>
  <c r="U256" i="1"/>
  <c r="AB256" i="1"/>
  <c r="AC256" i="1" s="1"/>
  <c r="AQ256" i="1" s="1"/>
  <c r="U691" i="1"/>
  <c r="AB691" i="1"/>
  <c r="AC691" i="1" s="1"/>
  <c r="AB279" i="1"/>
  <c r="AC279" i="1" s="1"/>
  <c r="V775" i="1"/>
  <c r="AB775" i="1"/>
  <c r="AC775" i="1" s="1"/>
  <c r="V291" i="1"/>
  <c r="AB291" i="1"/>
  <c r="AC291" i="1" s="1"/>
  <c r="AB727" i="1"/>
  <c r="AC727" i="1" s="1"/>
  <c r="U179" i="1"/>
  <c r="AB179" i="1"/>
  <c r="AC179" i="1" s="1"/>
  <c r="U859" i="1"/>
  <c r="AB859" i="1"/>
  <c r="AC859" i="1" s="1"/>
  <c r="AQ859" i="1" s="1"/>
  <c r="V616" i="1"/>
  <c r="AB615" i="1"/>
  <c r="AC615" i="1" s="1"/>
  <c r="AQ615" i="1" s="1"/>
  <c r="U229" i="1"/>
  <c r="AB229" i="1"/>
  <c r="AC229" i="1" s="1"/>
  <c r="AB485" i="1"/>
  <c r="AC485" i="1" s="1"/>
  <c r="AQ486" i="1" s="1"/>
  <c r="AQ487" i="1" s="1"/>
  <c r="U327" i="1"/>
  <c r="AB327" i="1"/>
  <c r="AC327" i="1" s="1"/>
  <c r="AQ327" i="1" s="1"/>
  <c r="V568" i="1"/>
  <c r="AB568" i="1"/>
  <c r="AC568" i="1" s="1"/>
  <c r="U696" i="1"/>
  <c r="AB696" i="1"/>
  <c r="AC696" i="1" s="1"/>
  <c r="U824" i="1"/>
  <c r="AB824" i="1"/>
  <c r="AC824" i="1" s="1"/>
  <c r="AQ825" i="1" s="1"/>
  <c r="U105" i="1"/>
  <c r="AB105" i="1"/>
  <c r="AC105" i="1" s="1"/>
  <c r="V361" i="1"/>
  <c r="AB361" i="1"/>
  <c r="AC361" i="1" s="1"/>
  <c r="U617" i="1"/>
  <c r="AB617" i="1"/>
  <c r="AC617" i="1" s="1"/>
  <c r="V745" i="1"/>
  <c r="AB745" i="1"/>
  <c r="AC745" i="1" s="1"/>
  <c r="AB168" i="1"/>
  <c r="AC168" i="1" s="1"/>
  <c r="AA4" i="1"/>
  <c r="U461" i="1"/>
  <c r="AB460" i="1"/>
  <c r="AC460" i="1" s="1"/>
  <c r="AK461" i="1" s="1"/>
  <c r="V14" i="1"/>
  <c r="U526" i="1"/>
  <c r="V814" i="1"/>
  <c r="U576" i="1"/>
  <c r="AB575" i="1"/>
  <c r="AC575" i="1" s="1"/>
  <c r="AQ576" i="1" s="1"/>
  <c r="U221" i="1"/>
  <c r="AB220" i="1"/>
  <c r="AC220" i="1" s="1"/>
  <c r="AK221" i="1" s="1"/>
  <c r="AK222" i="1" s="1"/>
  <c r="V477" i="1"/>
  <c r="AB476" i="1"/>
  <c r="AC476" i="1" s="1"/>
  <c r="AQ477" i="1" s="1"/>
  <c r="AQ478" i="1" s="1"/>
  <c r="V733" i="1"/>
  <c r="AB732" i="1"/>
  <c r="AC732" i="1" s="1"/>
  <c r="U14" i="1"/>
  <c r="V526" i="1"/>
  <c r="V815" i="1"/>
  <c r="V336" i="1"/>
  <c r="AB335" i="1"/>
  <c r="AC335" i="1" s="1"/>
  <c r="U592" i="1"/>
  <c r="AB591" i="1"/>
  <c r="AC591" i="1" s="1"/>
  <c r="AQ592" i="1" s="1"/>
  <c r="V816" i="1"/>
  <c r="U71" i="1"/>
  <c r="AB70" i="1"/>
  <c r="AC70" i="1" s="1"/>
  <c r="V41" i="1"/>
  <c r="AB40" i="1"/>
  <c r="AC40" i="1" s="1"/>
  <c r="U297" i="1"/>
  <c r="AB296" i="1"/>
  <c r="AC296" i="1" s="1"/>
  <c r="U704" i="1"/>
  <c r="AB703" i="1"/>
  <c r="AC703" i="1" s="1"/>
  <c r="V84" i="1"/>
  <c r="V131" i="1"/>
  <c r="AB130" i="1"/>
  <c r="AC130" i="1" s="1"/>
  <c r="V750" i="1"/>
  <c r="U852" i="1"/>
  <c r="AB851" i="1"/>
  <c r="AC851" i="1" s="1"/>
  <c r="V12" i="1"/>
  <c r="AB11" i="1"/>
  <c r="AC11" i="1" s="1"/>
  <c r="AQ12" i="1" s="1"/>
  <c r="AQ13" i="1" s="1"/>
  <c r="AB492" i="1"/>
  <c r="AC492" i="1" s="1"/>
  <c r="V352" i="1"/>
  <c r="AB351" i="1"/>
  <c r="AC351" i="1" s="1"/>
  <c r="U608" i="1"/>
  <c r="AB607" i="1"/>
  <c r="AC607" i="1" s="1"/>
  <c r="AQ607" i="1" s="1"/>
  <c r="V80" i="1"/>
  <c r="V51" i="1"/>
  <c r="U18" i="1"/>
  <c r="U87" i="1"/>
  <c r="AB86" i="1"/>
  <c r="AC86" i="1" s="1"/>
  <c r="AB598" i="1"/>
  <c r="AC598" i="1" s="1"/>
  <c r="V183" i="1"/>
  <c r="V61" i="1"/>
  <c r="AB61" i="1"/>
  <c r="AC61" i="1" s="1"/>
  <c r="V190" i="1"/>
  <c r="AB189" i="1"/>
  <c r="AC189" i="1" s="1"/>
  <c r="V317" i="1"/>
  <c r="AB317" i="1"/>
  <c r="AC317" i="1" s="1"/>
  <c r="U573" i="1"/>
  <c r="AB573" i="1"/>
  <c r="AC573" i="1" s="1"/>
  <c r="V701" i="1"/>
  <c r="AB701" i="1"/>
  <c r="AC701" i="1" s="1"/>
  <c r="AB829" i="1"/>
  <c r="AC829" i="1" s="1"/>
  <c r="V94" i="1"/>
  <c r="AB94" i="1"/>
  <c r="AC94" i="1" s="1"/>
  <c r="V446" i="1"/>
  <c r="AB446" i="1"/>
  <c r="AC446" i="1" s="1"/>
  <c r="AQ446" i="1" s="1"/>
  <c r="V590" i="1"/>
  <c r="AB590" i="1"/>
  <c r="AC590" i="1" s="1"/>
  <c r="U734" i="1"/>
  <c r="AB734" i="1"/>
  <c r="AC734" i="1" s="1"/>
  <c r="U855" i="1"/>
  <c r="U856" i="1" s="1"/>
  <c r="AB855" i="1"/>
  <c r="AC855" i="1" s="1"/>
  <c r="V17" i="1"/>
  <c r="AB16" i="1"/>
  <c r="AC16" i="1" s="1"/>
  <c r="U144" i="1"/>
  <c r="AB144" i="1"/>
  <c r="AC144" i="1" s="1"/>
  <c r="AQ144" i="1" s="1"/>
  <c r="V272" i="1"/>
  <c r="AB272" i="1"/>
  <c r="AC272" i="1" s="1"/>
  <c r="U528" i="1"/>
  <c r="AB528" i="1"/>
  <c r="AC528" i="1" s="1"/>
  <c r="V656" i="1"/>
  <c r="AB656" i="1"/>
  <c r="AC656" i="1" s="1"/>
  <c r="V275" i="1"/>
  <c r="AB275" i="1"/>
  <c r="AC275" i="1" s="1"/>
  <c r="V343" i="1"/>
  <c r="AB343" i="1"/>
  <c r="AC343" i="1" s="1"/>
  <c r="U858" i="1"/>
  <c r="AB857" i="1"/>
  <c r="AC857" i="1" s="1"/>
  <c r="U787" i="1"/>
  <c r="AB787" i="1"/>
  <c r="AC787" i="1" s="1"/>
  <c r="V311" i="1"/>
  <c r="AB311" i="1"/>
  <c r="AC311" i="1" s="1"/>
  <c r="V435" i="1"/>
  <c r="AB435" i="1"/>
  <c r="AC435" i="1" s="1"/>
  <c r="AB439" i="1"/>
  <c r="AC439" i="1" s="1"/>
  <c r="U584" i="1"/>
  <c r="V585" i="1" s="1"/>
  <c r="AB584" i="1"/>
  <c r="AC584" i="1" s="1"/>
  <c r="U712" i="1"/>
  <c r="AB712" i="1"/>
  <c r="AC712" i="1" s="1"/>
  <c r="U840" i="1"/>
  <c r="AB840" i="1"/>
  <c r="AC840" i="1" s="1"/>
  <c r="U121" i="1"/>
  <c r="AB121" i="1"/>
  <c r="AC121" i="1" s="1"/>
  <c r="AQ121" i="1" s="1"/>
  <c r="U249" i="1"/>
  <c r="AB249" i="1"/>
  <c r="AC249" i="1" s="1"/>
  <c r="U505" i="1"/>
  <c r="AB505" i="1"/>
  <c r="AC505" i="1" s="1"/>
  <c r="U633" i="1"/>
  <c r="AB633" i="1"/>
  <c r="AC633" i="1" s="1"/>
  <c r="AQ633" i="1" s="1"/>
  <c r="U153" i="1"/>
  <c r="AB152" i="1"/>
  <c r="AC152" i="1" s="1"/>
  <c r="AB719" i="1"/>
  <c r="AC719" i="1" s="1"/>
  <c r="U100" i="1"/>
  <c r="AB100" i="1"/>
  <c r="AC100" i="1" s="1"/>
  <c r="AB424" i="1"/>
  <c r="AC424" i="1" s="1"/>
  <c r="AB456" i="1"/>
  <c r="AC456" i="1" s="1"/>
  <c r="V205" i="1"/>
  <c r="AB204" i="1"/>
  <c r="AC204" i="1" s="1"/>
  <c r="AQ205" i="1" s="1"/>
  <c r="AQ206" i="1" s="1"/>
  <c r="U237" i="1"/>
  <c r="AB236" i="1"/>
  <c r="AC236" i="1" s="1"/>
  <c r="AQ236" i="1" s="1"/>
  <c r="AQ237" i="1" s="1"/>
  <c r="AQ238" i="1" s="1"/>
  <c r="AQ239" i="1" s="1"/>
  <c r="V749" i="1"/>
  <c r="AB748" i="1"/>
  <c r="AC748" i="1" s="1"/>
  <c r="AQ749" i="1" s="1"/>
  <c r="U110" i="1"/>
  <c r="V15" i="1"/>
  <c r="AB764" i="1"/>
  <c r="AC764" i="1" s="1"/>
  <c r="U853" i="1"/>
  <c r="V110" i="1"/>
  <c r="V366" i="1"/>
  <c r="U15" i="1"/>
  <c r="U80" i="1"/>
  <c r="U51" i="1"/>
  <c r="V18" i="1"/>
  <c r="V261" i="1"/>
  <c r="AB260" i="1"/>
  <c r="AC260" i="1" s="1"/>
  <c r="AQ261" i="1" s="1"/>
  <c r="V517" i="1"/>
  <c r="AB516" i="1"/>
  <c r="AC516" i="1" s="1"/>
  <c r="U773" i="1"/>
  <c r="U103" i="1"/>
  <c r="AB102" i="1"/>
  <c r="AC102" i="1" s="1"/>
  <c r="AQ103" i="1" s="1"/>
  <c r="U359" i="1"/>
  <c r="AB358" i="1"/>
  <c r="AC358" i="1" s="1"/>
  <c r="V263" i="1"/>
  <c r="U141" i="1"/>
  <c r="AB140" i="1"/>
  <c r="AC140" i="1" s="1"/>
  <c r="V13" i="1"/>
  <c r="U323" i="1"/>
  <c r="V66" i="1"/>
  <c r="AB65" i="1"/>
  <c r="AC65" i="1" s="1"/>
  <c r="U50" i="1"/>
  <c r="U21" i="1"/>
  <c r="AB20" i="1"/>
  <c r="AC20" i="1" s="1"/>
  <c r="U277" i="1"/>
  <c r="AB276" i="1"/>
  <c r="AC276" i="1" s="1"/>
  <c r="V533" i="1"/>
  <c r="AB532" i="1"/>
  <c r="AC532" i="1" s="1"/>
  <c r="V789" i="1"/>
  <c r="V119" i="1"/>
  <c r="AB118" i="1"/>
  <c r="AC118" i="1" s="1"/>
  <c r="U375" i="1"/>
  <c r="AB374" i="1"/>
  <c r="AC374" i="1" s="1"/>
  <c r="AQ375" i="1" s="1"/>
  <c r="AQ376" i="1" s="1"/>
  <c r="U631" i="1"/>
  <c r="AB630" i="1"/>
  <c r="AC630" i="1" s="1"/>
  <c r="V632" i="1"/>
  <c r="U175" i="1"/>
  <c r="AB174" i="1"/>
  <c r="AC174" i="1" s="1"/>
  <c r="AQ174" i="1" s="1"/>
  <c r="V711" i="1"/>
  <c r="AB710" i="1"/>
  <c r="AC710" i="1" s="1"/>
  <c r="AJ711" i="1" s="1"/>
  <c r="AL711" i="1" s="1"/>
  <c r="AP711" i="1" s="1"/>
  <c r="AB177" i="1"/>
  <c r="AC177" i="1" s="1"/>
  <c r="U750" i="1"/>
  <c r="U13" i="1"/>
  <c r="U142" i="1"/>
  <c r="U382" i="1"/>
  <c r="U47" i="1"/>
  <c r="V419" i="1"/>
  <c r="U192" i="1"/>
  <c r="V50" i="1"/>
  <c r="U579" i="1"/>
  <c r="AB578" i="1"/>
  <c r="AC578" i="1" s="1"/>
  <c r="U835" i="1"/>
  <c r="AB834" i="1"/>
  <c r="AC834" i="1" s="1"/>
  <c r="U37" i="1"/>
  <c r="AB36" i="1"/>
  <c r="AC36" i="1" s="1"/>
  <c r="AQ37" i="1" s="1"/>
  <c r="U293" i="1"/>
  <c r="AB292" i="1"/>
  <c r="AC292" i="1" s="1"/>
  <c r="AQ293" i="1" s="1"/>
  <c r="U549" i="1"/>
  <c r="AB548" i="1"/>
  <c r="AC548" i="1" s="1"/>
  <c r="U804" i="1"/>
  <c r="AB804" i="1"/>
  <c r="AC804" i="1" s="1"/>
  <c r="AQ804" i="1" s="1"/>
  <c r="U789" i="1"/>
  <c r="U135" i="1"/>
  <c r="AB134" i="1"/>
  <c r="AC134" i="1" s="1"/>
  <c r="AQ134" i="1" s="1"/>
  <c r="AQ135" i="1" s="1"/>
  <c r="U391" i="1"/>
  <c r="AB390" i="1"/>
  <c r="AC390" i="1" s="1"/>
  <c r="U647" i="1"/>
  <c r="AB646" i="1"/>
  <c r="AC646" i="1" s="1"/>
  <c r="AQ646" i="1" s="1"/>
  <c r="U567" i="1"/>
  <c r="U632" i="1"/>
  <c r="V653" i="1"/>
  <c r="AB652" i="1"/>
  <c r="AC652" i="1" s="1"/>
  <c r="AQ653" i="1" s="1"/>
  <c r="AQ654" i="1" s="1"/>
  <c r="V47" i="1"/>
  <c r="V173" i="1"/>
  <c r="V638" i="1"/>
  <c r="U419" i="1"/>
  <c r="V192" i="1"/>
  <c r="U353" i="1"/>
  <c r="AB353" i="1"/>
  <c r="AC353" i="1" s="1"/>
  <c r="U609" i="1"/>
  <c r="AB609" i="1"/>
  <c r="AC609" i="1" s="1"/>
  <c r="U19" i="1"/>
  <c r="U339" i="1"/>
  <c r="AB338" i="1"/>
  <c r="AC338" i="1" s="1"/>
  <c r="U595" i="1"/>
  <c r="AB594" i="1"/>
  <c r="AC594" i="1" s="1"/>
  <c r="U309" i="1"/>
  <c r="AB308" i="1"/>
  <c r="AC308" i="1" s="1"/>
  <c r="AQ308" i="1" s="1"/>
  <c r="U565" i="1"/>
  <c r="U566" i="1" s="1"/>
  <c r="AB564" i="1"/>
  <c r="AC564" i="1" s="1"/>
  <c r="V805" i="1"/>
  <c r="V567" i="1"/>
  <c r="U733" i="1"/>
  <c r="AB733" i="1"/>
  <c r="AC733" i="1" s="1"/>
  <c r="U143" i="1"/>
  <c r="AB142" i="1"/>
  <c r="AC142" i="1" s="1"/>
  <c r="U622" i="1"/>
  <c r="AB622" i="1"/>
  <c r="AC622" i="1" s="1"/>
  <c r="AQ622" i="1" s="1"/>
  <c r="U766" i="1"/>
  <c r="AB766" i="1"/>
  <c r="AC766" i="1" s="1"/>
  <c r="AQ766" i="1" s="1"/>
  <c r="AQ767" i="1" s="1"/>
  <c r="U31" i="1"/>
  <c r="AB31" i="1"/>
  <c r="AC31" i="1" s="1"/>
  <c r="AQ31" i="1" s="1"/>
  <c r="AQ32" i="1" s="1"/>
  <c r="U160" i="1"/>
  <c r="AB159" i="1"/>
  <c r="AC159" i="1" s="1"/>
  <c r="U49" i="1"/>
  <c r="AB48" i="1"/>
  <c r="AC48" i="1" s="1"/>
  <c r="AQ48" i="1" s="1"/>
  <c r="U176" i="1"/>
  <c r="V177" i="1" s="1"/>
  <c r="AB176" i="1"/>
  <c r="AC176" i="1" s="1"/>
  <c r="V432" i="1"/>
  <c r="AB432" i="1"/>
  <c r="AC432" i="1" s="1"/>
  <c r="AQ432" i="1" s="1"/>
  <c r="V688" i="1"/>
  <c r="AB688" i="1"/>
  <c r="AC688" i="1" s="1"/>
  <c r="U355" i="1"/>
  <c r="AB355" i="1"/>
  <c r="AC355" i="1" s="1"/>
  <c r="U55" i="1"/>
  <c r="AB55" i="1"/>
  <c r="AC55" i="1" s="1"/>
  <c r="V34" i="1"/>
  <c r="AB33" i="1"/>
  <c r="AC33" i="1" s="1"/>
  <c r="AQ34" i="1" s="1"/>
  <c r="AQ35" i="1" s="1"/>
  <c r="U793" i="1"/>
  <c r="U794" i="1" s="1"/>
  <c r="AB793" i="1"/>
  <c r="AC793" i="1" s="1"/>
  <c r="V589" i="1"/>
  <c r="AB588" i="1"/>
  <c r="AC588" i="1" s="1"/>
  <c r="U371" i="1"/>
  <c r="U372" i="1" s="1"/>
  <c r="AB370" i="1"/>
  <c r="AC370" i="1" s="1"/>
  <c r="U605" i="1"/>
  <c r="AB604" i="1"/>
  <c r="AC604" i="1" s="1"/>
  <c r="U163" i="1"/>
  <c r="U164" i="1" s="1"/>
  <c r="AB162" i="1"/>
  <c r="AC162" i="1" s="1"/>
  <c r="AQ162" i="1" s="1"/>
  <c r="U201" i="1"/>
  <c r="AB200" i="1"/>
  <c r="AC200" i="1" s="1"/>
  <c r="U193" i="1"/>
  <c r="AB193" i="1"/>
  <c r="AC193" i="1" s="1"/>
  <c r="V127" i="1"/>
  <c r="AB126" i="1"/>
  <c r="AC126" i="1" s="1"/>
  <c r="AJ127" i="1" s="1"/>
  <c r="AL127" i="1" s="1"/>
  <c r="AP127" i="1" s="1"/>
  <c r="U366" i="1"/>
  <c r="V142" i="1"/>
  <c r="U173" i="1"/>
  <c r="U398" i="1"/>
  <c r="U638" i="1"/>
  <c r="V191" i="1"/>
  <c r="U688" i="1"/>
  <c r="V689" i="1" s="1"/>
  <c r="AB687" i="1"/>
  <c r="AC687" i="1" s="1"/>
  <c r="U499" i="1"/>
  <c r="V193" i="1"/>
  <c r="V113" i="1"/>
  <c r="AB113" i="1"/>
  <c r="AC113" i="1" s="1"/>
  <c r="V19" i="1"/>
  <c r="U99" i="1"/>
  <c r="AB98" i="1"/>
  <c r="AC98" i="1" s="1"/>
  <c r="AQ98" i="1" s="1"/>
  <c r="AQ99" i="1" s="1"/>
  <c r="V611" i="1"/>
  <c r="AB610" i="1"/>
  <c r="AC610" i="1" s="1"/>
  <c r="AQ611" i="1" s="1"/>
  <c r="AQ612" i="1" s="1"/>
  <c r="U69" i="1"/>
  <c r="AB68" i="1"/>
  <c r="AC68" i="1" s="1"/>
  <c r="U325" i="1"/>
  <c r="AB324" i="1"/>
  <c r="AC324" i="1" s="1"/>
  <c r="U581" i="1"/>
  <c r="U582" i="1" s="1"/>
  <c r="AB580" i="1"/>
  <c r="AC580" i="1" s="1"/>
  <c r="U837" i="1"/>
  <c r="AB836" i="1"/>
  <c r="AC836" i="1" s="1"/>
  <c r="V821" i="1"/>
  <c r="V423" i="1"/>
  <c r="AB422" i="1"/>
  <c r="AC422" i="1" s="1"/>
  <c r="V583" i="1"/>
  <c r="AB136" i="1"/>
  <c r="AC136" i="1" s="1"/>
  <c r="U393" i="1"/>
  <c r="AB392" i="1"/>
  <c r="AC392" i="1" s="1"/>
  <c r="AK393" i="1" s="1"/>
  <c r="V371" i="1"/>
  <c r="V223" i="1"/>
  <c r="U302" i="1"/>
  <c r="V302" i="1"/>
  <c r="U480" i="1"/>
  <c r="V627" i="1"/>
  <c r="U285" i="1"/>
  <c r="U557" i="1"/>
  <c r="U318" i="1"/>
  <c r="U446" i="1"/>
  <c r="U574" i="1"/>
  <c r="U702" i="1"/>
  <c r="U79" i="1"/>
  <c r="U272" i="1"/>
  <c r="V856" i="1"/>
  <c r="U224" i="1"/>
  <c r="U832" i="1"/>
  <c r="U145" i="1"/>
  <c r="V401" i="1"/>
  <c r="V729" i="1"/>
  <c r="U745" i="1"/>
  <c r="U517" i="1"/>
  <c r="U311" i="1"/>
  <c r="V776" i="1"/>
  <c r="V448" i="1"/>
  <c r="U63" i="1"/>
  <c r="U113" i="1"/>
  <c r="V579" i="1"/>
  <c r="V137" i="1"/>
  <c r="V79" i="1"/>
  <c r="V301" i="1"/>
  <c r="V318" i="1"/>
  <c r="V95" i="1"/>
  <c r="U128" i="1"/>
  <c r="V99" i="1"/>
  <c r="U675" i="1"/>
  <c r="V835" i="1"/>
  <c r="V697" i="1"/>
  <c r="U776" i="1"/>
  <c r="U430" i="1"/>
  <c r="U431" i="1" s="1"/>
  <c r="U616" i="1"/>
  <c r="V558" i="1"/>
  <c r="U409" i="1"/>
  <c r="U190" i="1"/>
  <c r="U590" i="1"/>
  <c r="U95" i="1"/>
  <c r="V16" i="1"/>
  <c r="V240" i="1"/>
  <c r="U825" i="1"/>
  <c r="U841" i="1"/>
  <c r="V229" i="1"/>
  <c r="V153" i="1"/>
  <c r="V327" i="1"/>
  <c r="U697" i="1"/>
  <c r="V698" i="1" s="1"/>
  <c r="V664" i="1"/>
  <c r="V415" i="1"/>
  <c r="V686" i="1"/>
  <c r="V89" i="1"/>
  <c r="V841" i="1"/>
  <c r="U286" i="1"/>
  <c r="U541" i="1"/>
  <c r="V105" i="1"/>
  <c r="U846" i="1"/>
  <c r="U847" i="1" s="1"/>
  <c r="U16" i="1"/>
  <c r="U857" i="1"/>
  <c r="V691" i="1"/>
  <c r="V825" i="1"/>
  <c r="U707" i="1"/>
  <c r="V46" i="1"/>
  <c r="V734" i="1"/>
  <c r="U111" i="1"/>
  <c r="U611" i="1"/>
  <c r="V144" i="1"/>
  <c r="V256" i="1"/>
  <c r="V576" i="1"/>
  <c r="V857" i="1"/>
  <c r="U131" i="1"/>
  <c r="V858" i="1"/>
  <c r="V179" i="1"/>
  <c r="U261" i="1"/>
  <c r="U615" i="1"/>
  <c r="V39" i="1"/>
  <c r="U343" i="1"/>
  <c r="V680" i="1"/>
  <c r="U414" i="1"/>
  <c r="V641" i="1"/>
  <c r="U643" i="1"/>
  <c r="U831" i="1"/>
  <c r="V148" i="1"/>
  <c r="V855" i="1"/>
  <c r="V201" i="1"/>
  <c r="U17" i="1"/>
  <c r="U227" i="1"/>
  <c r="V121" i="1"/>
  <c r="V345" i="1"/>
  <c r="U807" i="1"/>
  <c r="V552" i="1"/>
  <c r="U680" i="1"/>
  <c r="U808" i="1"/>
  <c r="V63" i="1"/>
  <c r="V809" i="1"/>
  <c r="U12" i="1"/>
  <c r="V109" i="1"/>
  <c r="U669" i="1"/>
  <c r="V62" i="1"/>
  <c r="U223" i="1"/>
  <c r="V622" i="1"/>
  <c r="V48" i="1"/>
  <c r="V673" i="1"/>
  <c r="U243" i="1"/>
  <c r="U755" i="1"/>
  <c r="V277" i="1"/>
  <c r="U552" i="1"/>
  <c r="V696" i="1"/>
  <c r="U96" i="1"/>
  <c r="U112" i="1"/>
  <c r="V45" i="1"/>
  <c r="V365" i="1"/>
  <c r="V505" i="1"/>
  <c r="V669" i="1"/>
  <c r="V413" i="1"/>
  <c r="V78" i="1"/>
  <c r="V239" i="1"/>
  <c r="V766" i="1"/>
  <c r="V175" i="1"/>
  <c r="U211" i="1"/>
  <c r="U48" i="1"/>
  <c r="V176" i="1"/>
  <c r="V320" i="1"/>
  <c r="V33" i="1"/>
  <c r="V355" i="1"/>
  <c r="V297" i="1"/>
  <c r="V677" i="1"/>
  <c r="V823" i="1"/>
  <c r="U568" i="1"/>
  <c r="V824" i="1"/>
  <c r="U648" i="1"/>
  <c r="U670" i="1"/>
  <c r="U727" i="1"/>
  <c r="U728" i="1" s="1"/>
  <c r="V617" i="1"/>
  <c r="V441" i="1"/>
  <c r="V704" i="1"/>
  <c r="U33" i="1"/>
  <c r="V387" i="1"/>
  <c r="U41" i="1"/>
  <c r="U34" i="1"/>
  <c r="V293" i="1"/>
  <c r="V553" i="1"/>
  <c r="U167" i="1"/>
  <c r="U679" i="1"/>
  <c r="V71" i="1"/>
  <c r="V712" i="1"/>
  <c r="U845" i="1"/>
  <c r="U496" i="1"/>
  <c r="U149" i="1"/>
  <c r="V157" i="1"/>
  <c r="U429" i="1"/>
  <c r="U94" i="1"/>
  <c r="V31" i="1"/>
  <c r="U415" i="1"/>
  <c r="U275" i="1"/>
  <c r="U401" i="1"/>
  <c r="V49" i="1"/>
  <c r="U435" i="1"/>
  <c r="U291" i="1"/>
  <c r="V393" i="1"/>
  <c r="U597" i="1"/>
  <c r="V21" i="1"/>
  <c r="V309" i="1"/>
  <c r="U693" i="1"/>
  <c r="V839" i="1"/>
  <c r="V584" i="1"/>
  <c r="V840" i="1"/>
  <c r="U585" i="1"/>
  <c r="U512" i="1"/>
  <c r="U61" i="1"/>
  <c r="U317" i="1"/>
  <c r="V573" i="1"/>
  <c r="V736" i="1"/>
  <c r="U357" i="1"/>
  <c r="U613" i="1"/>
  <c r="V455" i="1"/>
  <c r="V87" i="1"/>
  <c r="E54" i="11"/>
  <c r="E49" i="11"/>
  <c r="E52" i="11"/>
  <c r="E56" i="11"/>
  <c r="E53" i="11"/>
  <c r="E48" i="11"/>
  <c r="E51" i="11"/>
  <c r="E47" i="11"/>
  <c r="E50" i="11"/>
  <c r="E46" i="11"/>
  <c r="E60" i="11"/>
  <c r="E61" i="11"/>
  <c r="Y3" i="1"/>
  <c r="E62" i="11"/>
  <c r="E63" i="11"/>
  <c r="E57" i="11"/>
  <c r="E59" i="11"/>
  <c r="E44" i="11"/>
  <c r="E58" i="11"/>
  <c r="V372" i="1"/>
  <c r="U628" i="1"/>
  <c r="V628" i="1"/>
  <c r="U150" i="1"/>
  <c r="V150" i="1"/>
  <c r="U406" i="1"/>
  <c r="V406" i="1"/>
  <c r="V662" i="1"/>
  <c r="U662" i="1"/>
  <c r="V216" i="1"/>
  <c r="U216" i="1"/>
  <c r="U472" i="1"/>
  <c r="V472" i="1"/>
  <c r="V90" i="1"/>
  <c r="U90" i="1"/>
  <c r="U346" i="1"/>
  <c r="V346" i="1"/>
  <c r="U602" i="1"/>
  <c r="V602" i="1"/>
  <c r="U427" i="1"/>
  <c r="V428" i="1" s="1"/>
  <c r="V427" i="1"/>
  <c r="U514" i="1"/>
  <c r="V514" i="1"/>
  <c r="V132" i="1"/>
  <c r="U132" i="1"/>
  <c r="U422" i="1"/>
  <c r="V422" i="1"/>
  <c r="V678" i="1"/>
  <c r="U678" i="1"/>
  <c r="V679" i="1"/>
  <c r="V232" i="1"/>
  <c r="U232" i="1"/>
  <c r="V488" i="1"/>
  <c r="U488" i="1"/>
  <c r="V106" i="1"/>
  <c r="U106" i="1"/>
  <c r="U362" i="1"/>
  <c r="V363" i="1" s="1"/>
  <c r="V362" i="1"/>
  <c r="U618" i="1"/>
  <c r="V618" i="1"/>
  <c r="U187" i="1"/>
  <c r="V187" i="1"/>
  <c r="V443" i="1"/>
  <c r="U443" i="1"/>
  <c r="U699" i="1"/>
  <c r="V699" i="1"/>
  <c r="U28" i="1"/>
  <c r="V29" i="1" s="1"/>
  <c r="V28" i="1"/>
  <c r="U540" i="1"/>
  <c r="V540" i="1"/>
  <c r="V367" i="1"/>
  <c r="U367" i="1"/>
  <c r="U623" i="1"/>
  <c r="V623" i="1"/>
  <c r="U336" i="1"/>
  <c r="U337" i="1" s="1"/>
  <c r="U816" i="1"/>
  <c r="U81" i="1"/>
  <c r="V81" i="1"/>
  <c r="V337" i="1"/>
  <c r="U593" i="1"/>
  <c r="U594" i="1" s="1"/>
  <c r="V593" i="1"/>
  <c r="U849" i="1"/>
  <c r="U850" i="1" s="1"/>
  <c r="V849" i="1"/>
  <c r="U274" i="1"/>
  <c r="V274" i="1"/>
  <c r="U531" i="1"/>
  <c r="U530" i="1"/>
  <c r="V530" i="1"/>
  <c r="U786" i="1"/>
  <c r="V786" i="1"/>
  <c r="V515" i="1"/>
  <c r="U404" i="1"/>
  <c r="V404" i="1"/>
  <c r="U660" i="1"/>
  <c r="U661" i="1" s="1"/>
  <c r="V660" i="1"/>
  <c r="U805" i="1"/>
  <c r="V182" i="1"/>
  <c r="U182" i="1"/>
  <c r="U438" i="1"/>
  <c r="V439" i="1" s="1"/>
  <c r="U694" i="1"/>
  <c r="V694" i="1"/>
  <c r="U183" i="1"/>
  <c r="V695" i="1"/>
  <c r="V248" i="1"/>
  <c r="U248" i="1"/>
  <c r="U504" i="1"/>
  <c r="V504" i="1"/>
  <c r="U122" i="1"/>
  <c r="V122" i="1"/>
  <c r="V378" i="1"/>
  <c r="U378" i="1"/>
  <c r="V634" i="1"/>
  <c r="U634" i="1"/>
  <c r="U155" i="1"/>
  <c r="V155" i="1"/>
  <c r="U508" i="1"/>
  <c r="V508" i="1"/>
  <c r="U833" i="1"/>
  <c r="V833" i="1"/>
  <c r="U645" i="1"/>
  <c r="U644" i="1"/>
  <c r="V644" i="1"/>
  <c r="U650" i="1"/>
  <c r="V650" i="1"/>
  <c r="U219" i="1"/>
  <c r="V219" i="1"/>
  <c r="V475" i="1"/>
  <c r="U475" i="1"/>
  <c r="V731" i="1"/>
  <c r="U731" i="1"/>
  <c r="U60" i="1"/>
  <c r="V60" i="1"/>
  <c r="V316" i="1"/>
  <c r="U316" i="1"/>
  <c r="V572" i="1"/>
  <c r="U572" i="1"/>
  <c r="V828" i="1"/>
  <c r="U828" i="1"/>
  <c r="U829" i="1" s="1"/>
  <c r="U205" i="1"/>
  <c r="V461" i="1"/>
  <c r="V158" i="1"/>
  <c r="U158" i="1"/>
  <c r="U399" i="1"/>
  <c r="V399" i="1"/>
  <c r="U656" i="1"/>
  <c r="V655" i="1"/>
  <c r="U655" i="1"/>
  <c r="V9" i="1"/>
  <c r="U352" i="1"/>
  <c r="V592" i="1"/>
  <c r="V832" i="1"/>
  <c r="U369" i="1"/>
  <c r="V369" i="1"/>
  <c r="U625" i="1"/>
  <c r="V625" i="1"/>
  <c r="V339" i="1"/>
  <c r="U66" i="1"/>
  <c r="V67" i="1" s="1"/>
  <c r="V306" i="1"/>
  <c r="U306" i="1"/>
  <c r="U562" i="1"/>
  <c r="V563" i="1" s="1"/>
  <c r="V562" i="1"/>
  <c r="U818" i="1"/>
  <c r="V818" i="1"/>
  <c r="V180" i="1"/>
  <c r="U180" i="1"/>
  <c r="U436" i="1"/>
  <c r="V437" i="1" s="1"/>
  <c r="V436" i="1"/>
  <c r="U692" i="1"/>
  <c r="V692" i="1"/>
  <c r="U181" i="1"/>
  <c r="U437" i="1"/>
  <c r="V438" i="1" s="1"/>
  <c r="V214" i="1"/>
  <c r="U214" i="1"/>
  <c r="V470" i="1"/>
  <c r="U470" i="1"/>
  <c r="U455" i="1"/>
  <c r="U711" i="1"/>
  <c r="V24" i="1"/>
  <c r="U24" i="1"/>
  <c r="V280" i="1"/>
  <c r="U280" i="1"/>
  <c r="U536" i="1"/>
  <c r="V536" i="1"/>
  <c r="U154" i="1"/>
  <c r="V154" i="1"/>
  <c r="U410" i="1"/>
  <c r="V410" i="1"/>
  <c r="V666" i="1"/>
  <c r="U666" i="1"/>
  <c r="V667" i="1"/>
  <c r="U667" i="1"/>
  <c r="U683" i="1"/>
  <c r="V683" i="1"/>
  <c r="U394" i="1"/>
  <c r="V394" i="1"/>
  <c r="V235" i="1"/>
  <c r="U235" i="1"/>
  <c r="V747" i="1"/>
  <c r="U747" i="1"/>
  <c r="U76" i="1"/>
  <c r="V76" i="1"/>
  <c r="U332" i="1"/>
  <c r="V333" i="1" s="1"/>
  <c r="V332" i="1"/>
  <c r="U588" i="1"/>
  <c r="V588" i="1"/>
  <c r="V844" i="1"/>
  <c r="U844" i="1"/>
  <c r="U77" i="1"/>
  <c r="U333" i="1"/>
  <c r="V334" i="1" s="1"/>
  <c r="U589" i="1"/>
  <c r="U749" i="1"/>
  <c r="V174" i="1"/>
  <c r="U174" i="1"/>
  <c r="V671" i="1"/>
  <c r="U671" i="1"/>
  <c r="V848" i="1"/>
  <c r="U129" i="1"/>
  <c r="V129" i="1"/>
  <c r="U385" i="1"/>
  <c r="V385" i="1"/>
  <c r="U322" i="1"/>
  <c r="V322" i="1"/>
  <c r="U578" i="1"/>
  <c r="V578" i="1"/>
  <c r="U834" i="1"/>
  <c r="V834" i="1"/>
  <c r="V196" i="1"/>
  <c r="U196" i="1"/>
  <c r="U452" i="1"/>
  <c r="V452" i="1"/>
  <c r="V708" i="1"/>
  <c r="U708" i="1"/>
  <c r="V69" i="1"/>
  <c r="V197" i="1"/>
  <c r="V325" i="1"/>
  <c r="V453" i="1"/>
  <c r="V581" i="1"/>
  <c r="V709" i="1"/>
  <c r="V837" i="1"/>
  <c r="U230" i="1"/>
  <c r="V230" i="1"/>
  <c r="V486" i="1"/>
  <c r="U486" i="1"/>
  <c r="U742" i="1"/>
  <c r="V215" i="1"/>
  <c r="V471" i="1"/>
  <c r="V40" i="1"/>
  <c r="U40" i="1"/>
  <c r="U296" i="1"/>
  <c r="V296" i="1"/>
  <c r="V170" i="1"/>
  <c r="U170" i="1"/>
  <c r="U426" i="1"/>
  <c r="V426" i="1"/>
  <c r="V682" i="1"/>
  <c r="U682" i="1"/>
  <c r="U817" i="1"/>
  <c r="V817" i="1"/>
  <c r="V258" i="1"/>
  <c r="U258" i="1"/>
  <c r="V203" i="1"/>
  <c r="U203" i="1"/>
  <c r="U812" i="1"/>
  <c r="V812" i="1"/>
  <c r="U420" i="1"/>
  <c r="U421" i="1" s="1"/>
  <c r="V420" i="1"/>
  <c r="U710" i="1"/>
  <c r="V710" i="1"/>
  <c r="V348" i="1"/>
  <c r="U348" i="1"/>
  <c r="U349" i="1" s="1"/>
  <c r="V353" i="1"/>
  <c r="U848" i="1"/>
  <c r="U657" i="1"/>
  <c r="V657" i="1"/>
  <c r="V82" i="1"/>
  <c r="U82" i="1"/>
  <c r="U338" i="1"/>
  <c r="V338" i="1"/>
  <c r="V595" i="1"/>
  <c r="V594" i="1"/>
  <c r="V259" i="1"/>
  <c r="U212" i="1"/>
  <c r="V212" i="1"/>
  <c r="U724" i="1"/>
  <c r="V724" i="1"/>
  <c r="V725" i="1"/>
  <c r="U246" i="1"/>
  <c r="V246" i="1"/>
  <c r="U502" i="1"/>
  <c r="V502" i="1"/>
  <c r="V758" i="1"/>
  <c r="U758" i="1"/>
  <c r="V56" i="1"/>
  <c r="U56" i="1"/>
  <c r="V312" i="1"/>
  <c r="U312" i="1"/>
  <c r="U186" i="1"/>
  <c r="V186" i="1"/>
  <c r="U442" i="1"/>
  <c r="V442" i="1"/>
  <c r="V243" i="1"/>
  <c r="U515" i="1"/>
  <c r="U715" i="1"/>
  <c r="V715" i="1"/>
  <c r="V556" i="1"/>
  <c r="U556" i="1"/>
  <c r="U383" i="1"/>
  <c r="V383" i="1"/>
  <c r="U97" i="1"/>
  <c r="V97" i="1"/>
  <c r="U546" i="1"/>
  <c r="V546" i="1"/>
  <c r="U198" i="1"/>
  <c r="V198" i="1"/>
  <c r="V8" i="1"/>
  <c r="U8" i="1"/>
  <c r="V507" i="1"/>
  <c r="U507" i="1"/>
  <c r="V605" i="1"/>
  <c r="U334" i="1"/>
  <c r="U718" i="1"/>
  <c r="V718" i="1"/>
  <c r="U687" i="1"/>
  <c r="V687" i="1"/>
  <c r="V850" i="1"/>
  <c r="V11" i="1"/>
  <c r="U267" i="1"/>
  <c r="V267" i="1"/>
  <c r="U523" i="1"/>
  <c r="V523" i="1"/>
  <c r="U779" i="1"/>
  <c r="V779" i="1"/>
  <c r="V108" i="1"/>
  <c r="U108" i="1"/>
  <c r="U364" i="1"/>
  <c r="V364" i="1"/>
  <c r="U620" i="1"/>
  <c r="U621" i="1" s="1"/>
  <c r="V620" i="1"/>
  <c r="V447" i="1"/>
  <c r="U447" i="1"/>
  <c r="U703" i="1"/>
  <c r="V703" i="1"/>
  <c r="V323" i="1"/>
  <c r="V368" i="1"/>
  <c r="V481" i="1"/>
  <c r="V609" i="1"/>
  <c r="U161" i="1"/>
  <c r="V161" i="1"/>
  <c r="V417" i="1"/>
  <c r="U417" i="1"/>
  <c r="U473" i="1"/>
  <c r="V98" i="1"/>
  <c r="U98" i="1"/>
  <c r="V354" i="1"/>
  <c r="U354" i="1"/>
  <c r="U610" i="1"/>
  <c r="V610" i="1"/>
  <c r="U259" i="1"/>
  <c r="V228" i="1"/>
  <c r="U228" i="1"/>
  <c r="V484" i="1"/>
  <c r="U484" i="1"/>
  <c r="V485" i="1" s="1"/>
  <c r="U740" i="1"/>
  <c r="V740" i="1"/>
  <c r="V85" i="1"/>
  <c r="V213" i="1"/>
  <c r="V469" i="1"/>
  <c r="V597" i="1"/>
  <c r="U725" i="1"/>
  <c r="V57" i="1"/>
  <c r="U262" i="1"/>
  <c r="V262" i="1"/>
  <c r="U518" i="1"/>
  <c r="V518" i="1"/>
  <c r="U774" i="1"/>
  <c r="V774" i="1"/>
  <c r="V231" i="1"/>
  <c r="V359" i="1"/>
  <c r="V487" i="1"/>
  <c r="V615" i="1"/>
  <c r="V727" i="1"/>
  <c r="U25" i="1"/>
  <c r="V72" i="1"/>
  <c r="U72" i="1"/>
  <c r="V329" i="1"/>
  <c r="U328" i="1"/>
  <c r="V328" i="1"/>
  <c r="U202" i="1"/>
  <c r="V202" i="1"/>
  <c r="V458" i="1"/>
  <c r="U458" i="1"/>
  <c r="U714" i="1"/>
  <c r="V714" i="1"/>
  <c r="U252" i="1"/>
  <c r="V252" i="1"/>
  <c r="U335" i="1"/>
  <c r="V335" i="1"/>
  <c r="V498" i="1"/>
  <c r="U498" i="1"/>
  <c r="V781" i="1"/>
  <c r="U780" i="1"/>
  <c r="V780" i="1"/>
  <c r="V608" i="1"/>
  <c r="U607" i="1"/>
  <c r="V607" i="1"/>
  <c r="U321" i="1"/>
  <c r="V321" i="1"/>
  <c r="U851" i="1"/>
  <c r="V851" i="1"/>
  <c r="V124" i="1"/>
  <c r="U124" i="1"/>
  <c r="U781" i="1"/>
  <c r="U239" i="1"/>
  <c r="U464" i="1"/>
  <c r="V463" i="1"/>
  <c r="U463" i="1"/>
  <c r="V720" i="1"/>
  <c r="V719" i="1"/>
  <c r="U719" i="1"/>
  <c r="U720" i="1" s="1"/>
  <c r="V145" i="1"/>
  <c r="U368" i="1"/>
  <c r="V624" i="1"/>
  <c r="V433" i="1"/>
  <c r="U433" i="1"/>
  <c r="U689" i="1"/>
  <c r="V755" i="1"/>
  <c r="V114" i="1"/>
  <c r="U114" i="1"/>
  <c r="U370" i="1"/>
  <c r="V370" i="1"/>
  <c r="U626" i="1"/>
  <c r="V626" i="1"/>
  <c r="V307" i="1"/>
  <c r="V675" i="1"/>
  <c r="U244" i="1"/>
  <c r="V245" i="1" s="1"/>
  <c r="V244" i="1"/>
  <c r="V500" i="1"/>
  <c r="U500" i="1"/>
  <c r="U756" i="1"/>
  <c r="V756" i="1"/>
  <c r="U85" i="1"/>
  <c r="U213" i="1"/>
  <c r="U469" i="1"/>
  <c r="V726" i="1"/>
  <c r="U57" i="1"/>
  <c r="U58" i="1" s="1"/>
  <c r="U22" i="1"/>
  <c r="V22" i="1"/>
  <c r="U278" i="1"/>
  <c r="V279" i="1" s="1"/>
  <c r="V278" i="1"/>
  <c r="U534" i="1"/>
  <c r="V534" i="1"/>
  <c r="U790" i="1"/>
  <c r="V790" i="1"/>
  <c r="U231" i="1"/>
  <c r="U487" i="1"/>
  <c r="V743" i="1"/>
  <c r="U88" i="1"/>
  <c r="V88" i="1"/>
  <c r="U344" i="1"/>
  <c r="V344" i="1"/>
  <c r="U218" i="1"/>
  <c r="V218" i="1"/>
  <c r="U474" i="1"/>
  <c r="V474" i="1"/>
  <c r="U730" i="1"/>
  <c r="V730" i="1"/>
  <c r="U300" i="1"/>
  <c r="V300" i="1"/>
  <c r="V639" i="1"/>
  <c r="U639" i="1"/>
  <c r="U290" i="1"/>
  <c r="V290" i="1"/>
  <c r="V199" i="1"/>
  <c r="U520" i="1"/>
  <c r="V521" i="1" s="1"/>
  <c r="V520" i="1"/>
  <c r="U763" i="1"/>
  <c r="V763" i="1"/>
  <c r="V283" i="1"/>
  <c r="U283" i="1"/>
  <c r="U284" i="1" s="1"/>
  <c r="U636" i="1"/>
  <c r="V636" i="1"/>
  <c r="V237" i="1"/>
  <c r="V43" i="1"/>
  <c r="U43" i="1"/>
  <c r="V299" i="1"/>
  <c r="U299" i="1"/>
  <c r="V555" i="1"/>
  <c r="U555" i="1"/>
  <c r="U811" i="1"/>
  <c r="V811" i="1"/>
  <c r="U140" i="1"/>
  <c r="V140" i="1"/>
  <c r="V396" i="1"/>
  <c r="U396" i="1"/>
  <c r="U397" i="1" s="1"/>
  <c r="U652" i="1"/>
  <c r="V652" i="1"/>
  <c r="V797" i="1"/>
  <c r="V847" i="1"/>
  <c r="V479" i="1"/>
  <c r="U479" i="1"/>
  <c r="U735" i="1"/>
  <c r="V735" i="1"/>
  <c r="V384" i="1"/>
  <c r="U624" i="1"/>
  <c r="V449" i="1"/>
  <c r="U449" i="1"/>
  <c r="V450" i="1" s="1"/>
  <c r="U705" i="1"/>
  <c r="V705" i="1"/>
  <c r="V130" i="1"/>
  <c r="U130" i="1"/>
  <c r="U386" i="1"/>
  <c r="V386" i="1"/>
  <c r="U642" i="1"/>
  <c r="V642" i="1"/>
  <c r="V83" i="1"/>
  <c r="U307" i="1"/>
  <c r="V217" i="1"/>
  <c r="V860" i="1"/>
  <c r="U860" i="1"/>
  <c r="U260" i="1"/>
  <c r="V260" i="1"/>
  <c r="V516" i="1"/>
  <c r="U516" i="1"/>
  <c r="U772" i="1"/>
  <c r="V772" i="1"/>
  <c r="V101" i="1"/>
  <c r="V613" i="1"/>
  <c r="V38" i="1"/>
  <c r="U38" i="1"/>
  <c r="U294" i="1"/>
  <c r="V294" i="1"/>
  <c r="U550" i="1"/>
  <c r="V551" i="1" s="1"/>
  <c r="V550" i="1"/>
  <c r="U806" i="1"/>
  <c r="V806" i="1"/>
  <c r="U119" i="1"/>
  <c r="U247" i="1"/>
  <c r="V375" i="1"/>
  <c r="V503" i="1"/>
  <c r="V631" i="1"/>
  <c r="U743" i="1"/>
  <c r="U104" i="1"/>
  <c r="V104" i="1"/>
  <c r="U360" i="1"/>
  <c r="V360" i="1"/>
  <c r="U234" i="1"/>
  <c r="V234" i="1"/>
  <c r="V490" i="1"/>
  <c r="U490" i="1"/>
  <c r="V491" i="1" s="1"/>
  <c r="U746" i="1"/>
  <c r="V746" i="1"/>
  <c r="V524" i="1"/>
  <c r="U524" i="1"/>
  <c r="U770" i="1"/>
  <c r="V770" i="1"/>
  <c r="U388" i="1"/>
  <c r="V388" i="1"/>
  <c r="V459" i="1"/>
  <c r="U459" i="1"/>
  <c r="V802" i="1"/>
  <c r="U802" i="1"/>
  <c r="V164" i="1"/>
  <c r="U454" i="1"/>
  <c r="V454" i="1"/>
  <c r="U92" i="1"/>
  <c r="V92" i="1"/>
  <c r="V93" i="1"/>
  <c r="U27" i="1"/>
  <c r="V27" i="1"/>
  <c r="V539" i="1"/>
  <c r="U539" i="1"/>
  <c r="U380" i="1"/>
  <c r="V380" i="1"/>
  <c r="U59" i="1"/>
  <c r="V59" i="1"/>
  <c r="V315" i="1"/>
  <c r="U315" i="1"/>
  <c r="V571" i="1"/>
  <c r="U571" i="1"/>
  <c r="U827" i="1"/>
  <c r="V827" i="1"/>
  <c r="U156" i="1"/>
  <c r="V156" i="1"/>
  <c r="V412" i="1"/>
  <c r="U412" i="1"/>
  <c r="V668" i="1"/>
  <c r="U668" i="1"/>
  <c r="V233" i="1"/>
  <c r="V125" i="1"/>
  <c r="V253" i="1"/>
  <c r="V381" i="1"/>
  <c r="V509" i="1"/>
  <c r="U637" i="1"/>
  <c r="U797" i="1"/>
  <c r="V222" i="1"/>
  <c r="U222" i="1"/>
  <c r="V495" i="1"/>
  <c r="U495" i="1"/>
  <c r="U751" i="1"/>
  <c r="V752" i="1" s="1"/>
  <c r="V751" i="1"/>
  <c r="U384" i="1"/>
  <c r="V640" i="1"/>
  <c r="U209" i="1"/>
  <c r="V209" i="1"/>
  <c r="U465" i="1"/>
  <c r="V466" i="1" s="1"/>
  <c r="V465" i="1"/>
  <c r="V721" i="1"/>
  <c r="U721" i="1"/>
  <c r="V787" i="1"/>
  <c r="V146" i="1"/>
  <c r="U146" i="1"/>
  <c r="U147" i="1" s="1"/>
  <c r="U402" i="1"/>
  <c r="V402" i="1"/>
  <c r="V658" i="1"/>
  <c r="U658" i="1"/>
  <c r="U83" i="1"/>
  <c r="V707" i="1"/>
  <c r="U217" i="1"/>
  <c r="V20" i="1"/>
  <c r="U20" i="1"/>
  <c r="U276" i="1"/>
  <c r="V276" i="1"/>
  <c r="U532" i="1"/>
  <c r="V532" i="1"/>
  <c r="U788" i="1"/>
  <c r="V788" i="1"/>
  <c r="U101" i="1"/>
  <c r="U102" i="1" s="1"/>
  <c r="U485" i="1"/>
  <c r="U741" i="1"/>
  <c r="V742" i="1" s="1"/>
  <c r="V54" i="1"/>
  <c r="U54" i="1"/>
  <c r="V55" i="1" s="1"/>
  <c r="V310" i="1"/>
  <c r="U310" i="1"/>
  <c r="V566" i="1"/>
  <c r="U822" i="1"/>
  <c r="V822" i="1"/>
  <c r="V247" i="1"/>
  <c r="U503" i="1"/>
  <c r="U759" i="1"/>
  <c r="V281" i="1"/>
  <c r="V120" i="1"/>
  <c r="U120" i="1"/>
  <c r="U376" i="1"/>
  <c r="V376" i="1"/>
  <c r="V250" i="1"/>
  <c r="U250" i="1"/>
  <c r="U506" i="1"/>
  <c r="V506" i="1"/>
  <c r="U762" i="1"/>
  <c r="V762" i="1"/>
  <c r="U591" i="1"/>
  <c r="V591" i="1"/>
  <c r="V561" i="1"/>
  <c r="U561" i="1"/>
  <c r="V268" i="1"/>
  <c r="U268" i="1"/>
  <c r="V126" i="1"/>
  <c r="U126" i="1"/>
  <c r="U65" i="1"/>
  <c r="V65" i="1"/>
  <c r="V604" i="1"/>
  <c r="U604" i="1"/>
  <c r="U843" i="1"/>
  <c r="V843" i="1"/>
  <c r="U685" i="1"/>
  <c r="V684" i="1"/>
  <c r="U684" i="1"/>
  <c r="U253" i="1"/>
  <c r="U381" i="1"/>
  <c r="U509" i="1"/>
  <c r="V813" i="1"/>
  <c r="U238" i="1"/>
  <c r="V238" i="1"/>
  <c r="U127" i="1"/>
  <c r="U511" i="1"/>
  <c r="V511" i="1"/>
  <c r="U767" i="1"/>
  <c r="V767" i="1"/>
  <c r="U400" i="1"/>
  <c r="V512" i="1"/>
  <c r="U640" i="1"/>
  <c r="V768" i="1"/>
  <c r="V162" i="1"/>
  <c r="U162" i="1"/>
  <c r="U418" i="1"/>
  <c r="V418" i="1"/>
  <c r="U674" i="1"/>
  <c r="V674" i="1"/>
  <c r="U36" i="1"/>
  <c r="V36" i="1"/>
  <c r="V292" i="1"/>
  <c r="U292" i="1"/>
  <c r="V548" i="1"/>
  <c r="U548" i="1"/>
  <c r="V117" i="1"/>
  <c r="V373" i="1"/>
  <c r="V501" i="1"/>
  <c r="V629" i="1"/>
  <c r="V757" i="1"/>
  <c r="V70" i="1"/>
  <c r="U70" i="1"/>
  <c r="U326" i="1"/>
  <c r="V326" i="1"/>
  <c r="U838" i="1"/>
  <c r="V838" i="1"/>
  <c r="V135" i="1"/>
  <c r="V391" i="1"/>
  <c r="V647" i="1"/>
  <c r="V759" i="1"/>
  <c r="U281" i="1"/>
  <c r="U136" i="1"/>
  <c r="U137" i="1" s="1"/>
  <c r="V136" i="1"/>
  <c r="V392" i="1"/>
  <c r="U392" i="1"/>
  <c r="V10" i="1"/>
  <c r="U10" i="1"/>
  <c r="U11" i="1" s="1"/>
  <c r="U266" i="1"/>
  <c r="V266" i="1"/>
  <c r="U522" i="1"/>
  <c r="V522" i="1"/>
  <c r="U778" i="1"/>
  <c r="V778" i="1"/>
  <c r="U411" i="1"/>
  <c r="V411" i="1"/>
  <c r="U351" i="1"/>
  <c r="V351" i="1"/>
  <c r="U577" i="1"/>
  <c r="V577" i="1"/>
  <c r="U44" i="1"/>
  <c r="U45" i="1" s="1"/>
  <c r="V44" i="1"/>
  <c r="U676" i="1"/>
  <c r="V676" i="1"/>
  <c r="U264" i="1"/>
  <c r="V264" i="1"/>
  <c r="V251" i="1"/>
  <c r="U251" i="1"/>
  <c r="V75" i="1"/>
  <c r="U75" i="1"/>
  <c r="V331" i="1"/>
  <c r="U331" i="1"/>
  <c r="V587" i="1"/>
  <c r="U587" i="1"/>
  <c r="U172" i="1"/>
  <c r="U428" i="1"/>
  <c r="U233" i="1"/>
  <c r="U125" i="1"/>
  <c r="V637" i="1"/>
  <c r="V91" i="1"/>
  <c r="U91" i="1"/>
  <c r="V347" i="1"/>
  <c r="U347" i="1"/>
  <c r="V603" i="1"/>
  <c r="U603" i="1"/>
  <c r="U188" i="1"/>
  <c r="V188" i="1"/>
  <c r="U444" i="1"/>
  <c r="V444" i="1"/>
  <c r="U701" i="1"/>
  <c r="U700" i="1"/>
  <c r="V700" i="1"/>
  <c r="V141" i="1"/>
  <c r="U269" i="1"/>
  <c r="V525" i="1"/>
  <c r="U653" i="1"/>
  <c r="U813" i="1"/>
  <c r="V271" i="1"/>
  <c r="U271" i="1"/>
  <c r="U527" i="1"/>
  <c r="V527" i="1"/>
  <c r="U521" i="1"/>
  <c r="V400" i="1"/>
  <c r="V528" i="1"/>
  <c r="U641" i="1"/>
  <c r="U768" i="1"/>
  <c r="U241" i="1"/>
  <c r="U242" i="1" s="1"/>
  <c r="V241" i="1"/>
  <c r="U497" i="1"/>
  <c r="V497" i="1"/>
  <c r="V753" i="1"/>
  <c r="U753" i="1"/>
  <c r="V163" i="1"/>
  <c r="V547" i="1"/>
  <c r="V819" i="1"/>
  <c r="V178" i="1"/>
  <c r="U178" i="1"/>
  <c r="U434" i="1"/>
  <c r="V434" i="1"/>
  <c r="U690" i="1"/>
  <c r="V690" i="1"/>
  <c r="V115" i="1"/>
  <c r="V403" i="1"/>
  <c r="U52" i="1"/>
  <c r="V52" i="1"/>
  <c r="U308" i="1"/>
  <c r="V308" i="1"/>
  <c r="U564" i="1"/>
  <c r="V564" i="1"/>
  <c r="U820" i="1"/>
  <c r="V820" i="1"/>
  <c r="U117" i="1"/>
  <c r="U373" i="1"/>
  <c r="U501" i="1"/>
  <c r="U629" i="1"/>
  <c r="U757" i="1"/>
  <c r="V249" i="1"/>
  <c r="V86" i="1"/>
  <c r="U86" i="1"/>
  <c r="U342" i="1"/>
  <c r="V342" i="1"/>
  <c r="U598" i="1"/>
  <c r="V598" i="1"/>
  <c r="V7" i="1"/>
  <c r="U263" i="1"/>
  <c r="U519" i="1"/>
  <c r="U775" i="1"/>
  <c r="U377" i="1"/>
  <c r="U152" i="1"/>
  <c r="V152" i="1"/>
  <c r="U408" i="1"/>
  <c r="V409" i="1" s="1"/>
  <c r="V408" i="1"/>
  <c r="U26" i="1"/>
  <c r="V26" i="1"/>
  <c r="U282" i="1"/>
  <c r="V282" i="1"/>
  <c r="V538" i="1"/>
  <c r="U538" i="1"/>
  <c r="V794" i="1"/>
  <c r="V133" i="1"/>
  <c r="U358" i="1"/>
  <c r="V358" i="1"/>
  <c r="U614" i="1"/>
  <c r="V614" i="1"/>
  <c r="U151" i="1"/>
  <c r="V407" i="1"/>
  <c r="U168" i="1"/>
  <c r="U169" i="1" s="1"/>
  <c r="V168" i="1"/>
  <c r="U424" i="1"/>
  <c r="V425" i="1" s="1"/>
  <c r="V424" i="1"/>
  <c r="U42" i="1"/>
  <c r="V42" i="1"/>
  <c r="U298" i="1"/>
  <c r="V298" i="1"/>
  <c r="U554" i="1"/>
  <c r="V554" i="1"/>
  <c r="U810" i="1"/>
  <c r="V810" i="1"/>
  <c r="U765" i="1"/>
  <c r="V764" i="1"/>
  <c r="U764" i="1"/>
  <c r="V765" i="1" s="1"/>
  <c r="V754" i="1"/>
  <c r="U754" i="1"/>
  <c r="U171" i="1"/>
  <c r="V172" i="1" s="1"/>
  <c r="V171" i="1"/>
  <c r="U460" i="1"/>
  <c r="V460" i="1"/>
  <c r="V269" i="1"/>
  <c r="U525" i="1"/>
  <c r="U287" i="1"/>
  <c r="V287" i="1"/>
  <c r="U799" i="1"/>
  <c r="V799" i="1"/>
  <c r="U257" i="1"/>
  <c r="V257" i="1"/>
  <c r="U450" i="1"/>
  <c r="U68" i="1"/>
  <c r="V68" i="1"/>
  <c r="U389" i="1"/>
  <c r="U123" i="1"/>
  <c r="V123" i="1"/>
  <c r="V379" i="1"/>
  <c r="U379" i="1"/>
  <c r="V635" i="1"/>
  <c r="U635" i="1"/>
  <c r="V852" i="1"/>
  <c r="U220" i="1"/>
  <c r="V220" i="1"/>
  <c r="V476" i="1"/>
  <c r="U476" i="1"/>
  <c r="U732" i="1"/>
  <c r="V732" i="1"/>
  <c r="U29" i="1"/>
  <c r="V30" i="1" s="1"/>
  <c r="V285" i="1"/>
  <c r="V541" i="1"/>
  <c r="V159" i="1"/>
  <c r="U303" i="1"/>
  <c r="V303" i="1"/>
  <c r="U559" i="1"/>
  <c r="V559" i="1"/>
  <c r="U451" i="1"/>
  <c r="V304" i="1"/>
  <c r="V416" i="1"/>
  <c r="V672" i="1"/>
  <c r="V273" i="1"/>
  <c r="U273" i="1"/>
  <c r="U529" i="1"/>
  <c r="V529" i="1"/>
  <c r="U785" i="1"/>
  <c r="V785" i="1"/>
  <c r="V210" i="1"/>
  <c r="U210" i="1"/>
  <c r="U466" i="1"/>
  <c r="V467" i="1" s="1"/>
  <c r="U722" i="1"/>
  <c r="V722" i="1"/>
  <c r="V116" i="1"/>
  <c r="V771" i="1"/>
  <c r="V340" i="1"/>
  <c r="U340" i="1"/>
  <c r="V341" i="1" s="1"/>
  <c r="U596" i="1"/>
  <c r="V596" i="1"/>
  <c r="U133" i="1"/>
  <c r="V389" i="1"/>
  <c r="V773" i="1"/>
  <c r="U118" i="1"/>
  <c r="V118" i="1"/>
  <c r="V374" i="1"/>
  <c r="U374" i="1"/>
  <c r="V630" i="1"/>
  <c r="U630" i="1"/>
  <c r="V23" i="1"/>
  <c r="V151" i="1"/>
  <c r="U279" i="1"/>
  <c r="U407" i="1"/>
  <c r="U535" i="1"/>
  <c r="V663" i="1"/>
  <c r="V791" i="1"/>
  <c r="V184" i="1"/>
  <c r="U184" i="1"/>
  <c r="U440" i="1"/>
  <c r="V440" i="1"/>
  <c r="V58" i="1"/>
  <c r="U314" i="1"/>
  <c r="V314" i="1"/>
  <c r="V570" i="1"/>
  <c r="U570" i="1"/>
  <c r="V826" i="1"/>
  <c r="U826" i="1"/>
  <c r="U107" i="1"/>
  <c r="V107" i="1"/>
  <c r="U619" i="1"/>
  <c r="V619" i="1"/>
  <c r="U204" i="1"/>
  <c r="V204" i="1"/>
  <c r="U717" i="1"/>
  <c r="V716" i="1"/>
  <c r="U716" i="1"/>
  <c r="V288" i="1"/>
  <c r="U513" i="1"/>
  <c r="V513" i="1"/>
  <c r="U769" i="1"/>
  <c r="V769" i="1"/>
  <c r="V194" i="1"/>
  <c r="U194" i="1"/>
  <c r="V706" i="1"/>
  <c r="U706" i="1"/>
  <c r="U324" i="1"/>
  <c r="V324" i="1"/>
  <c r="U580" i="1"/>
  <c r="V580" i="1"/>
  <c r="U836" i="1"/>
  <c r="V836" i="1"/>
  <c r="V645" i="1"/>
  <c r="V103" i="1"/>
  <c r="U139" i="1"/>
  <c r="V139" i="1"/>
  <c r="U395" i="1"/>
  <c r="V395" i="1"/>
  <c r="V651" i="1"/>
  <c r="U651" i="1"/>
  <c r="U236" i="1"/>
  <c r="V236" i="1"/>
  <c r="U748" i="1"/>
  <c r="V748" i="1"/>
  <c r="U159" i="1"/>
  <c r="V319" i="1"/>
  <c r="U319" i="1"/>
  <c r="U575" i="1"/>
  <c r="V575" i="1"/>
  <c r="V499" i="1"/>
  <c r="U304" i="1"/>
  <c r="V305" i="1" s="1"/>
  <c r="U416" i="1"/>
  <c r="U672" i="1"/>
  <c r="V800" i="1"/>
  <c r="V289" i="1"/>
  <c r="U289" i="1"/>
  <c r="U801" i="1"/>
  <c r="V801" i="1"/>
  <c r="U195" i="1"/>
  <c r="V226" i="1"/>
  <c r="U226" i="1"/>
  <c r="V482" i="1"/>
  <c r="U482" i="1"/>
  <c r="U738" i="1"/>
  <c r="V738" i="1"/>
  <c r="U771" i="1"/>
  <c r="V489" i="1"/>
  <c r="V356" i="1"/>
  <c r="U356" i="1"/>
  <c r="V357" i="1" s="1"/>
  <c r="U612" i="1"/>
  <c r="V612" i="1"/>
  <c r="V149" i="1"/>
  <c r="V405" i="1"/>
  <c r="U134" i="1"/>
  <c r="V134" i="1"/>
  <c r="V390" i="1"/>
  <c r="U390" i="1"/>
  <c r="U646" i="1"/>
  <c r="V646" i="1"/>
  <c r="U23" i="1"/>
  <c r="V167" i="1"/>
  <c r="V295" i="1"/>
  <c r="U423" i="1"/>
  <c r="U663" i="1"/>
  <c r="U791" i="1"/>
  <c r="U200" i="1"/>
  <c r="V200" i="1"/>
  <c r="V457" i="1"/>
  <c r="U456" i="1"/>
  <c r="U457" i="1" s="1"/>
  <c r="V456" i="1"/>
  <c r="U74" i="1"/>
  <c r="V74" i="1"/>
  <c r="U330" i="1"/>
  <c r="V330" i="1"/>
  <c r="U586" i="1"/>
  <c r="V586" i="1"/>
  <c r="V842" i="1"/>
  <c r="U842" i="1"/>
  <c r="AO3" i="1"/>
  <c r="AL3" i="1"/>
  <c r="AP3" i="1" s="1"/>
  <c r="AW3" i="1" a="1"/>
  <c r="AW3" i="1" s="1"/>
  <c r="U3" i="1"/>
  <c r="AU3" i="1" s="1"/>
  <c r="V3" i="1"/>
  <c r="AV3" i="1" s="1"/>
  <c r="AX3" i="1" a="1"/>
  <c r="AX3" i="1" s="1"/>
  <c r="T4" i="1"/>
  <c r="AY3" i="1" a="1"/>
  <c r="AY3" i="1" s="1"/>
  <c r="AZ3" i="1" a="1"/>
  <c r="AZ3" i="1" s="1"/>
  <c r="AQ104" i="1" l="1"/>
  <c r="AQ379" i="1"/>
  <c r="AQ51" i="1"/>
  <c r="AQ36" i="1"/>
  <c r="AQ768" i="1"/>
  <c r="AQ8" i="1"/>
  <c r="AQ701" i="1"/>
  <c r="AJ501" i="1"/>
  <c r="AL501" i="1" s="1"/>
  <c r="AP501" i="1" s="1"/>
  <c r="AQ395" i="1"/>
  <c r="AJ16" i="1"/>
  <c r="AL16" i="1" s="1"/>
  <c r="AP16" i="1" s="1"/>
  <c r="AJ291" i="1"/>
  <c r="AL291" i="1" s="1"/>
  <c r="AP291" i="1" s="1"/>
  <c r="AQ547" i="1"/>
  <c r="AQ548" i="1" s="1"/>
  <c r="AQ304" i="1"/>
  <c r="AQ305" i="1" s="1"/>
  <c r="AQ617" i="1"/>
  <c r="AQ626" i="1"/>
  <c r="AQ843" i="1"/>
  <c r="AQ536" i="1"/>
  <c r="AQ537" i="1" s="1"/>
  <c r="AQ440" i="1"/>
  <c r="AQ441" i="1" s="1"/>
  <c r="AQ442" i="1" s="1"/>
  <c r="AQ540" i="1"/>
  <c r="AQ541" i="1" s="1"/>
  <c r="AJ781" i="1"/>
  <c r="AL781" i="1" s="1"/>
  <c r="AQ328" i="1"/>
  <c r="AQ771" i="1"/>
  <c r="AK145" i="1"/>
  <c r="AJ145" i="1"/>
  <c r="AL145" i="1" s="1"/>
  <c r="AP145" i="1" s="1"/>
  <c r="AJ380" i="1"/>
  <c r="AL380" i="1" s="1"/>
  <c r="AP380" i="1" s="1"/>
  <c r="AQ809" i="1"/>
  <c r="AQ857" i="1"/>
  <c r="AK843" i="1"/>
  <c r="AJ576" i="1"/>
  <c r="AL576" i="1" s="1"/>
  <c r="AP576" i="1" s="1"/>
  <c r="AQ711" i="1"/>
  <c r="AQ712" i="1" s="1"/>
  <c r="AQ713" i="1" s="1"/>
  <c r="AJ800" i="1"/>
  <c r="AL800" i="1" s="1"/>
  <c r="AP800" i="1" s="1"/>
  <c r="AQ33" i="1"/>
  <c r="AQ271" i="1"/>
  <c r="AQ790" i="1"/>
  <c r="AQ584" i="1"/>
  <c r="AQ585" i="1" s="1"/>
  <c r="AJ309" i="1"/>
  <c r="AL309" i="1" s="1"/>
  <c r="AP309" i="1" s="1"/>
  <c r="AK486" i="1"/>
  <c r="AJ825" i="1"/>
  <c r="AL825" i="1" s="1"/>
  <c r="AP825" i="1" s="1"/>
  <c r="AJ672" i="1"/>
  <c r="AL672" i="1" s="1"/>
  <c r="AP672" i="1" s="1"/>
  <c r="AQ178" i="1"/>
  <c r="AQ666" i="1"/>
  <c r="AQ243" i="1"/>
  <c r="AQ309" i="1"/>
  <c r="AJ418" i="1"/>
  <c r="AL418" i="1" s="1"/>
  <c r="AK825" i="1"/>
  <c r="AK826" i="1" s="1"/>
  <c r="AK672" i="1"/>
  <c r="AQ817" i="1"/>
  <c r="AQ763" i="1"/>
  <c r="AQ764" i="1" s="1"/>
  <c r="AQ765" i="1" s="1"/>
  <c r="AJ85" i="1"/>
  <c r="AL85" i="1" s="1"/>
  <c r="AP85" i="1" s="1"/>
  <c r="AK519" i="1"/>
  <c r="AK520" i="1" s="1"/>
  <c r="AK521" i="1" s="1"/>
  <c r="AK711" i="1"/>
  <c r="AK712" i="1" s="1"/>
  <c r="AK713" i="1" s="1"/>
  <c r="AQ727" i="1"/>
  <c r="AQ728" i="1" s="1"/>
  <c r="AQ154" i="1"/>
  <c r="AJ805" i="1"/>
  <c r="AL805" i="1" s="1"/>
  <c r="AP805" i="1" s="1"/>
  <c r="AJ288" i="1"/>
  <c r="AL288" i="1" s="1"/>
  <c r="AP288" i="1" s="1"/>
  <c r="AQ623" i="1"/>
  <c r="AQ129" i="1"/>
  <c r="AQ56" i="1"/>
  <c r="AQ57" i="1" s="1"/>
  <c r="AQ58" i="1" s="1"/>
  <c r="AQ168" i="1"/>
  <c r="AQ169" i="1" s="1"/>
  <c r="AQ295" i="1"/>
  <c r="AJ510" i="1"/>
  <c r="AL510" i="1" s="1"/>
  <c r="AP510" i="1" s="1"/>
  <c r="AJ677" i="1"/>
  <c r="AL677" i="1" s="1"/>
  <c r="AP677" i="1" s="1"/>
  <c r="AJ848" i="1"/>
  <c r="AL848" i="1" s="1"/>
  <c r="AP848" i="1" s="1"/>
  <c r="AK373" i="1"/>
  <c r="AK374" i="1" s="1"/>
  <c r="AQ668" i="1"/>
  <c r="AQ669" i="1" s="1"/>
  <c r="AK293" i="1"/>
  <c r="AK294" i="1" s="1"/>
  <c r="AQ703" i="1"/>
  <c r="AQ552" i="1"/>
  <c r="AQ171" i="1"/>
  <c r="AQ811" i="1"/>
  <c r="AQ24" i="1"/>
  <c r="AQ769" i="1"/>
  <c r="AQ52" i="1"/>
  <c r="AQ783" i="1"/>
  <c r="AK49" i="1"/>
  <c r="AQ272" i="1"/>
  <c r="AQ198" i="1"/>
  <c r="AQ199" i="1" s="1"/>
  <c r="AQ568" i="1"/>
  <c r="AQ569" i="1" s="1"/>
  <c r="AQ614" i="1"/>
  <c r="AJ802" i="1"/>
  <c r="AL802" i="1" s="1"/>
  <c r="AP802" i="1" s="1"/>
  <c r="AQ49" i="1"/>
  <c r="AQ687" i="1"/>
  <c r="AQ358" i="1"/>
  <c r="AQ479" i="1"/>
  <c r="AQ542" i="1"/>
  <c r="AQ543" i="1" s="1"/>
  <c r="AQ544" i="1" s="1"/>
  <c r="AQ545" i="1" s="1"/>
  <c r="AQ415" i="1"/>
  <c r="AQ416" i="1" s="1"/>
  <c r="AJ448" i="1"/>
  <c r="AL448" i="1" s="1"/>
  <c r="AP448" i="1" s="1"/>
  <c r="AQ499" i="1"/>
  <c r="AQ187" i="1"/>
  <c r="AK784" i="1"/>
  <c r="AQ608" i="1"/>
  <c r="AQ361" i="1"/>
  <c r="AQ362" i="1" s="1"/>
  <c r="AQ363" i="1" s="1"/>
  <c r="AQ784" i="1"/>
  <c r="AQ65" i="1"/>
  <c r="AJ65" i="1"/>
  <c r="AL65" i="1" s="1"/>
  <c r="AP65" i="1" s="1"/>
  <c r="AK65" i="1"/>
  <c r="AK66" i="1" s="1"/>
  <c r="AK67" i="1" s="1"/>
  <c r="AQ590" i="1"/>
  <c r="AQ591" i="1" s="1"/>
  <c r="AJ590" i="1"/>
  <c r="AL590" i="1" s="1"/>
  <c r="AP590" i="1" s="1"/>
  <c r="AK590" i="1"/>
  <c r="AQ335" i="1"/>
  <c r="AQ336" i="1" s="1"/>
  <c r="AQ337" i="1" s="1"/>
  <c r="AJ335" i="1"/>
  <c r="AL335" i="1" s="1"/>
  <c r="AP335" i="1" s="1"/>
  <c r="AK335" i="1"/>
  <c r="AK336" i="1" s="1"/>
  <c r="AQ460" i="1"/>
  <c r="AJ460" i="1"/>
  <c r="AL460" i="1" s="1"/>
  <c r="AP460" i="1" s="1"/>
  <c r="AK460" i="1"/>
  <c r="AQ775" i="1"/>
  <c r="AQ776" i="1" s="1"/>
  <c r="AJ775" i="1"/>
  <c r="AL775" i="1" s="1"/>
  <c r="AP775" i="1" s="1"/>
  <c r="AK775" i="1"/>
  <c r="AK776" i="1" s="1"/>
  <c r="AQ574" i="1"/>
  <c r="AQ575" i="1" s="1"/>
  <c r="AK574" i="1"/>
  <c r="AJ574" i="1"/>
  <c r="AL574" i="1" s="1"/>
  <c r="AP574" i="1" s="1"/>
  <c r="AQ655" i="1"/>
  <c r="AJ655" i="1"/>
  <c r="AL655" i="1" s="1"/>
  <c r="AP655" i="1" s="1"/>
  <c r="AK655" i="1"/>
  <c r="AQ258" i="1"/>
  <c r="AK258" i="1"/>
  <c r="AJ258" i="1"/>
  <c r="AL258" i="1" s="1"/>
  <c r="AP258" i="1" s="1"/>
  <c r="AJ744" i="1"/>
  <c r="AL744" i="1" s="1"/>
  <c r="AP744" i="1" s="1"/>
  <c r="AK744" i="1"/>
  <c r="AQ833" i="1"/>
  <c r="AQ834" i="1" s="1"/>
  <c r="AJ833" i="1"/>
  <c r="AL833" i="1" s="1"/>
  <c r="AP833" i="1" s="1"/>
  <c r="AK833" i="1"/>
  <c r="AK834" i="1" s="1"/>
  <c r="AQ201" i="1"/>
  <c r="AQ202" i="1" s="1"/>
  <c r="AK201" i="1"/>
  <c r="AK202" i="1" s="1"/>
  <c r="AJ201" i="1"/>
  <c r="AL201" i="1" s="1"/>
  <c r="AP201" i="1" s="1"/>
  <c r="AQ556" i="1"/>
  <c r="AQ557" i="1" s="1"/>
  <c r="AJ556" i="1"/>
  <c r="AL556" i="1" s="1"/>
  <c r="AP556" i="1" s="1"/>
  <c r="AK556" i="1"/>
  <c r="AK557" i="1" s="1"/>
  <c r="AQ644" i="1"/>
  <c r="AQ645" i="1" s="1"/>
  <c r="AQ131" i="1"/>
  <c r="AK131" i="1"/>
  <c r="AK132" i="1" s="1"/>
  <c r="AK133" i="1" s="1"/>
  <c r="AJ131" i="1"/>
  <c r="AL131" i="1" s="1"/>
  <c r="AP131" i="1" s="1"/>
  <c r="AQ495" i="1"/>
  <c r="AQ496" i="1" s="1"/>
  <c r="AK495" i="1"/>
  <c r="AK496" i="1" s="1"/>
  <c r="AJ495" i="1"/>
  <c r="AL495" i="1" s="1"/>
  <c r="AP495" i="1" s="1"/>
  <c r="AQ298" i="1"/>
  <c r="AJ298" i="1"/>
  <c r="AL298" i="1" s="1"/>
  <c r="AP298" i="1" s="1"/>
  <c r="AK298" i="1"/>
  <c r="AQ188" i="1"/>
  <c r="AJ461" i="1"/>
  <c r="AL461" i="1" s="1"/>
  <c r="AP461" i="1" s="1"/>
  <c r="AJ393" i="1"/>
  <c r="AL393" i="1" s="1"/>
  <c r="AP393" i="1" s="1"/>
  <c r="AQ215" i="1"/>
  <c r="AJ215" i="1"/>
  <c r="AL215" i="1" s="1"/>
  <c r="AP215" i="1" s="1"/>
  <c r="AK215" i="1"/>
  <c r="AQ112" i="1"/>
  <c r="AQ113" i="1" s="1"/>
  <c r="AJ112" i="1"/>
  <c r="AL112" i="1" s="1"/>
  <c r="AP112" i="1" s="1"/>
  <c r="AK112" i="1"/>
  <c r="AQ62" i="1"/>
  <c r="AQ63" i="1" s="1"/>
  <c r="AQ64" i="1" s="1"/>
  <c r="AJ62" i="1"/>
  <c r="AL62" i="1" s="1"/>
  <c r="AP62" i="1" s="1"/>
  <c r="AK62" i="1"/>
  <c r="AQ778" i="1"/>
  <c r="AJ778" i="1"/>
  <c r="AL778" i="1" s="1"/>
  <c r="AP778" i="1" s="1"/>
  <c r="AK778" i="1"/>
  <c r="AQ641" i="1"/>
  <c r="AJ641" i="1"/>
  <c r="AL641" i="1" s="1"/>
  <c r="AP641" i="1" s="1"/>
  <c r="AK641" i="1"/>
  <c r="AQ500" i="1"/>
  <c r="AK500" i="1"/>
  <c r="AQ321" i="1"/>
  <c r="AQ322" i="1" s="1"/>
  <c r="AJ321" i="1"/>
  <c r="AL321" i="1" s="1"/>
  <c r="AP321" i="1" s="1"/>
  <c r="AK321" i="1"/>
  <c r="AQ791" i="1"/>
  <c r="AJ791" i="1"/>
  <c r="AL791" i="1" s="1"/>
  <c r="AP791" i="1" s="1"/>
  <c r="AK791" i="1"/>
  <c r="AQ300" i="1"/>
  <c r="AJ300" i="1"/>
  <c r="AL300" i="1" s="1"/>
  <c r="AP300" i="1" s="1"/>
  <c r="AK300" i="1"/>
  <c r="AQ410" i="1"/>
  <c r="AQ411" i="1" s="1"/>
  <c r="AK410" i="1"/>
  <c r="AK411" i="1" s="1"/>
  <c r="AJ410" i="1"/>
  <c r="AL410" i="1" s="1"/>
  <c r="AP410" i="1" s="1"/>
  <c r="AQ650" i="1"/>
  <c r="AJ650" i="1"/>
  <c r="AL650" i="1" s="1"/>
  <c r="AP650" i="1" s="1"/>
  <c r="AK650" i="1"/>
  <c r="AQ388" i="1"/>
  <c r="AK388" i="1"/>
  <c r="AJ388" i="1"/>
  <c r="AL388" i="1" s="1"/>
  <c r="AP388" i="1" s="1"/>
  <c r="AQ488" i="1"/>
  <c r="AK488" i="1"/>
  <c r="AJ488" i="1"/>
  <c r="AL488" i="1" s="1"/>
  <c r="AP488" i="1" s="1"/>
  <c r="AQ216" i="1"/>
  <c r="AJ216" i="1"/>
  <c r="AK216" i="1"/>
  <c r="AK217" i="1" s="1"/>
  <c r="AQ209" i="1"/>
  <c r="AJ209" i="1"/>
  <c r="AL209" i="1" s="1"/>
  <c r="AP209" i="1" s="1"/>
  <c r="AK209" i="1"/>
  <c r="AK210" i="1" s="1"/>
  <c r="AQ501" i="1"/>
  <c r="AQ502" i="1" s="1"/>
  <c r="AQ267" i="1"/>
  <c r="AQ268" i="1" s="1"/>
  <c r="AJ293" i="1"/>
  <c r="AJ725" i="1"/>
  <c r="AL725" i="1" s="1"/>
  <c r="AL724" i="1"/>
  <c r="AP724" i="1" s="1"/>
  <c r="AQ461" i="1"/>
  <c r="AQ393" i="1"/>
  <c r="AJ499" i="1"/>
  <c r="AL499" i="1" s="1"/>
  <c r="AP499" i="1" s="1"/>
  <c r="AK187" i="1"/>
  <c r="AK188" i="1" s="1"/>
  <c r="AQ145" i="1"/>
  <c r="AK259" i="1"/>
  <c r="AK260" i="1" s="1"/>
  <c r="AQ217" i="1"/>
  <c r="AJ373" i="1"/>
  <c r="AL373" i="1" s="1"/>
  <c r="AP373" i="1" s="1"/>
  <c r="AQ420" i="1"/>
  <c r="AQ421" i="1" s="1"/>
  <c r="AQ422" i="1" s="1"/>
  <c r="AJ420" i="1"/>
  <c r="AL420" i="1" s="1"/>
  <c r="AP420" i="1" s="1"/>
  <c r="AQ193" i="1"/>
  <c r="AK193" i="1"/>
  <c r="AJ193" i="1"/>
  <c r="AL193" i="1" s="1"/>
  <c r="AP193" i="1" s="1"/>
  <c r="AQ338" i="1"/>
  <c r="AK338" i="1"/>
  <c r="AJ338" i="1"/>
  <c r="AL338" i="1" s="1"/>
  <c r="AP338" i="1" s="1"/>
  <c r="AJ712" i="1"/>
  <c r="AQ399" i="1"/>
  <c r="AQ400" i="1" s="1"/>
  <c r="AK399" i="1"/>
  <c r="AK400" i="1" s="1"/>
  <c r="AJ399" i="1"/>
  <c r="AL399" i="1" s="1"/>
  <c r="AP399" i="1" s="1"/>
  <c r="AQ578" i="1"/>
  <c r="AQ579" i="1" s="1"/>
  <c r="AJ578" i="1"/>
  <c r="AL578" i="1" s="1"/>
  <c r="AP578" i="1" s="1"/>
  <c r="AK578" i="1"/>
  <c r="AQ630" i="1"/>
  <c r="AJ630" i="1"/>
  <c r="AL630" i="1" s="1"/>
  <c r="AP630" i="1" s="1"/>
  <c r="AK630" i="1"/>
  <c r="AQ100" i="1"/>
  <c r="AQ101" i="1" s="1"/>
  <c r="AQ102" i="1" s="1"/>
  <c r="AK100" i="1"/>
  <c r="AK101" i="1" s="1"/>
  <c r="AK102" i="1" s="1"/>
  <c r="AJ100" i="1"/>
  <c r="AL100" i="1" s="1"/>
  <c r="AP100" i="1" s="1"/>
  <c r="AQ656" i="1"/>
  <c r="AQ598" i="1"/>
  <c r="AQ599" i="1" s="1"/>
  <c r="AQ600" i="1" s="1"/>
  <c r="AQ601" i="1" s="1"/>
  <c r="AQ130" i="1"/>
  <c r="AQ430" i="1"/>
  <c r="AQ431" i="1" s="1"/>
  <c r="AQ692" i="1"/>
  <c r="AQ735" i="1"/>
  <c r="AQ736" i="1" s="1"/>
  <c r="AJ735" i="1"/>
  <c r="AL735" i="1" s="1"/>
  <c r="AP735" i="1" s="1"/>
  <c r="AK735" i="1"/>
  <c r="AK736" i="1" s="1"/>
  <c r="AQ522" i="1"/>
  <c r="AQ523" i="1" s="1"/>
  <c r="AJ522" i="1"/>
  <c r="AL522" i="1" s="1"/>
  <c r="AP522" i="1" s="1"/>
  <c r="AK522" i="1"/>
  <c r="AK523" i="1" s="1"/>
  <c r="AQ385" i="1"/>
  <c r="AK385" i="1"/>
  <c r="AJ385" i="1"/>
  <c r="AL385" i="1" s="1"/>
  <c r="AP385" i="1" s="1"/>
  <c r="AQ244" i="1"/>
  <c r="AQ245" i="1" s="1"/>
  <c r="AQ149" i="1"/>
  <c r="AK149" i="1"/>
  <c r="AJ149" i="1"/>
  <c r="AL149" i="1" s="1"/>
  <c r="AP149" i="1" s="1"/>
  <c r="AQ561" i="1"/>
  <c r="AQ562" i="1" s="1"/>
  <c r="AQ563" i="1" s="1"/>
  <c r="AQ394" i="1"/>
  <c r="AJ394" i="1"/>
  <c r="AL394" i="1" s="1"/>
  <c r="AP394" i="1" s="1"/>
  <c r="AK394" i="1"/>
  <c r="AQ224" i="1"/>
  <c r="AK224" i="1"/>
  <c r="AJ224" i="1"/>
  <c r="AL224" i="1" s="1"/>
  <c r="AP224" i="1" s="1"/>
  <c r="AQ132" i="1"/>
  <c r="AQ133" i="1" s="1"/>
  <c r="AQ232" i="1"/>
  <c r="AJ232" i="1"/>
  <c r="AL232" i="1" s="1"/>
  <c r="AP232" i="1" s="1"/>
  <c r="AK232" i="1"/>
  <c r="AQ405" i="1"/>
  <c r="AK405" i="1"/>
  <c r="AK406" i="1" s="1"/>
  <c r="AJ405" i="1"/>
  <c r="AL405" i="1" s="1"/>
  <c r="AP405" i="1" s="1"/>
  <c r="AQ343" i="1"/>
  <c r="AQ344" i="1" s="1"/>
  <c r="AQ507" i="1"/>
  <c r="AQ508" i="1" s="1"/>
  <c r="AK507" i="1"/>
  <c r="AK508" i="1" s="1"/>
  <c r="AJ507" i="1"/>
  <c r="AL507" i="1" s="1"/>
  <c r="AP507" i="1" s="1"/>
  <c r="AK805" i="1"/>
  <c r="AK806" i="1" s="1"/>
  <c r="AK576" i="1"/>
  <c r="AQ9" i="1"/>
  <c r="AQ10" i="1" s="1"/>
  <c r="AQ11" i="1" s="1"/>
  <c r="AK85" i="1"/>
  <c r="AJ187" i="1"/>
  <c r="AL187" i="1" s="1"/>
  <c r="AP187" i="1" s="1"/>
  <c r="AK380" i="1"/>
  <c r="AK381" i="1" s="1"/>
  <c r="AQ265" i="1"/>
  <c r="AJ259" i="1"/>
  <c r="AL259" i="1" s="1"/>
  <c r="AP259" i="1" s="1"/>
  <c r="AJ821" i="1"/>
  <c r="AQ89" i="1"/>
  <c r="AQ90" i="1" s="1"/>
  <c r="AJ89" i="1"/>
  <c r="AL89" i="1" s="1"/>
  <c r="AP89" i="1" s="1"/>
  <c r="AK89" i="1"/>
  <c r="AK90" i="1" s="1"/>
  <c r="AQ434" i="1"/>
  <c r="AJ434" i="1"/>
  <c r="AL434" i="1" s="1"/>
  <c r="AP434" i="1" s="1"/>
  <c r="AK434" i="1"/>
  <c r="AQ683" i="1"/>
  <c r="AQ684" i="1" s="1"/>
  <c r="AJ683" i="1"/>
  <c r="AL683" i="1" s="1"/>
  <c r="AP683" i="1" s="1"/>
  <c r="AK683" i="1"/>
  <c r="AQ374" i="1"/>
  <c r="AQ140" i="1"/>
  <c r="AJ719" i="1"/>
  <c r="AL719" i="1" s="1"/>
  <c r="AK719" i="1"/>
  <c r="AK720" i="1" s="1"/>
  <c r="AQ94" i="1"/>
  <c r="AQ95" i="1" s="1"/>
  <c r="AJ94" i="1"/>
  <c r="AL94" i="1" s="1"/>
  <c r="AP94" i="1" s="1"/>
  <c r="AK94" i="1"/>
  <c r="AK95" i="1" s="1"/>
  <c r="AQ745" i="1"/>
  <c r="AJ745" i="1"/>
  <c r="AL745" i="1" s="1"/>
  <c r="AP745" i="1" s="1"/>
  <c r="AK745" i="1"/>
  <c r="AQ78" i="1"/>
  <c r="AJ78" i="1"/>
  <c r="AL78" i="1" s="1"/>
  <c r="AP78" i="1" s="1"/>
  <c r="AK78" i="1"/>
  <c r="AQ831" i="1"/>
  <c r="AQ832" i="1" s="1"/>
  <c r="AK831" i="1"/>
  <c r="AK832" i="1" s="1"/>
  <c r="AJ831" i="1"/>
  <c r="AQ148" i="1"/>
  <c r="AJ148" i="1"/>
  <c r="AL148" i="1" s="1"/>
  <c r="AP148" i="1" s="1"/>
  <c r="AK148" i="1"/>
  <c r="AQ180" i="1"/>
  <c r="AK180" i="1"/>
  <c r="AJ180" i="1"/>
  <c r="AL180" i="1" s="1"/>
  <c r="AP180" i="1" s="1"/>
  <c r="AQ470" i="1"/>
  <c r="AQ471" i="1" s="1"/>
  <c r="AQ472" i="1" s="1"/>
  <c r="AJ470" i="1"/>
  <c r="AL470" i="1" s="1"/>
  <c r="AP470" i="1" s="1"/>
  <c r="AK470" i="1"/>
  <c r="AK471" i="1" s="1"/>
  <c r="AK472" i="1" s="1"/>
  <c r="AQ262" i="1"/>
  <c r="AQ280" i="1"/>
  <c r="AQ695" i="1"/>
  <c r="AQ696" i="1" s="1"/>
  <c r="AQ697" i="1" s="1"/>
  <c r="AQ698" i="1" s="1"/>
  <c r="AQ642" i="1"/>
  <c r="AQ643" i="1" s="1"/>
  <c r="AK642" i="1"/>
  <c r="AK643" i="1" s="1"/>
  <c r="AJ642" i="1"/>
  <c r="AL642" i="1" s="1"/>
  <c r="AP642" i="1" s="1"/>
  <c r="AQ662" i="1"/>
  <c r="AQ663" i="1" s="1"/>
  <c r="AQ423" i="1"/>
  <c r="AQ424" i="1" s="1"/>
  <c r="AQ425" i="1" s="1"/>
  <c r="AJ423" i="1"/>
  <c r="AL423" i="1" s="1"/>
  <c r="AP423" i="1" s="1"/>
  <c r="AK423" i="1"/>
  <c r="AK424" i="1" s="1"/>
  <c r="AK425" i="1" s="1"/>
  <c r="AQ184" i="1"/>
  <c r="AJ184" i="1"/>
  <c r="AL184" i="1" s="1"/>
  <c r="AP184" i="1" s="1"/>
  <c r="AK184" i="1"/>
  <c r="AQ281" i="1"/>
  <c r="AQ805" i="1"/>
  <c r="AJ121" i="1"/>
  <c r="AL121" i="1" s="1"/>
  <c r="AP121" i="1" s="1"/>
  <c r="AL120" i="1"/>
  <c r="AP120" i="1" s="1"/>
  <c r="AK779" i="1"/>
  <c r="AQ515" i="1"/>
  <c r="AK653" i="1"/>
  <c r="AK654" i="1" s="1"/>
  <c r="AJ103" i="1"/>
  <c r="AL103" i="1" s="1"/>
  <c r="AP103" i="1" s="1"/>
  <c r="AK477" i="1"/>
  <c r="AK478" i="1" s="1"/>
  <c r="AK479" i="1" s="1"/>
  <c r="AQ163" i="1"/>
  <c r="AQ164" i="1" s="1"/>
  <c r="AQ165" i="1" s="1"/>
  <c r="AQ166" i="1" s="1"/>
  <c r="AK677" i="1"/>
  <c r="AK420" i="1"/>
  <c r="AK421" i="1" s="1"/>
  <c r="AK422" i="1" s="1"/>
  <c r="AJ486" i="1"/>
  <c r="AL486" i="1" s="1"/>
  <c r="AP486" i="1" s="1"/>
  <c r="AJ63" i="1"/>
  <c r="AQ39" i="1"/>
  <c r="AQ380" i="1"/>
  <c r="AQ381" i="1" s="1"/>
  <c r="AJ519" i="1"/>
  <c r="AQ59" i="1"/>
  <c r="AP821" i="1"/>
  <c r="AJ254" i="1"/>
  <c r="AQ451" i="1"/>
  <c r="AJ451" i="1"/>
  <c r="AL451" i="1" s="1"/>
  <c r="AP451" i="1" s="1"/>
  <c r="AK451" i="1"/>
  <c r="AQ136" i="1"/>
  <c r="AQ137" i="1" s="1"/>
  <c r="AQ138" i="1" s="1"/>
  <c r="AQ152" i="1"/>
  <c r="AQ153" i="1" s="1"/>
  <c r="AJ152" i="1"/>
  <c r="AL152" i="1" s="1"/>
  <c r="AP152" i="1" s="1"/>
  <c r="AK152" i="1"/>
  <c r="AK153" i="1" s="1"/>
  <c r="AQ732" i="1"/>
  <c r="AQ733" i="1" s="1"/>
  <c r="AJ732" i="1"/>
  <c r="AL732" i="1" s="1"/>
  <c r="AP732" i="1" s="1"/>
  <c r="AK732" i="1"/>
  <c r="AK733" i="1" s="1"/>
  <c r="AQ227" i="1"/>
  <c r="AJ227" i="1"/>
  <c r="AL227" i="1" s="1"/>
  <c r="AP227" i="1" s="1"/>
  <c r="AK227" i="1"/>
  <c r="AQ844" i="1"/>
  <c r="AK844" i="1"/>
  <c r="AJ844" i="1"/>
  <c r="AL844" i="1" s="1"/>
  <c r="AP844" i="1" s="1"/>
  <c r="AQ822" i="1"/>
  <c r="AP822" i="1"/>
  <c r="AJ822" i="1"/>
  <c r="AK822" i="1"/>
  <c r="AQ412" i="1"/>
  <c r="AQ413" i="1" s="1"/>
  <c r="AQ414" i="1" s="1"/>
  <c r="AK412" i="1"/>
  <c r="AK413" i="1" s="1"/>
  <c r="AK414" i="1" s="1"/>
  <c r="AJ412" i="1"/>
  <c r="AL412" i="1" s="1"/>
  <c r="AP412" i="1" s="1"/>
  <c r="AQ158" i="1"/>
  <c r="AJ158" i="1"/>
  <c r="AL158" i="1" s="1"/>
  <c r="AP158" i="1" s="1"/>
  <c r="AK158" i="1"/>
  <c r="AQ631" i="1"/>
  <c r="AQ632" i="1" s="1"/>
  <c r="AJ631" i="1"/>
  <c r="AL631" i="1" s="1"/>
  <c r="AP631" i="1" s="1"/>
  <c r="AK631" i="1"/>
  <c r="AK632" i="1" s="1"/>
  <c r="AQ828" i="1"/>
  <c r="AQ829" i="1" s="1"/>
  <c r="AQ830" i="1" s="1"/>
  <c r="AQ182" i="1"/>
  <c r="AQ183" i="1" s="1"/>
  <c r="AJ182" i="1"/>
  <c r="AL182" i="1" s="1"/>
  <c r="AP182" i="1" s="1"/>
  <c r="AK182" i="1"/>
  <c r="AK183" i="1" s="1"/>
  <c r="AQ570" i="1"/>
  <c r="AQ571" i="1" s="1"/>
  <c r="AK570" i="1"/>
  <c r="AK571" i="1" s="1"/>
  <c r="AJ570" i="1"/>
  <c r="AL570" i="1" s="1"/>
  <c r="AP570" i="1" s="1"/>
  <c r="AQ406" i="1"/>
  <c r="AQ616" i="1"/>
  <c r="AK389" i="1"/>
  <c r="AK121" i="1"/>
  <c r="AJ228" i="1"/>
  <c r="AL228" i="1" s="1"/>
  <c r="AP228" i="1" s="1"/>
  <c r="AQ779" i="1"/>
  <c r="AJ653" i="1"/>
  <c r="AK103" i="1"/>
  <c r="AK104" i="1" s="1"/>
  <c r="AJ477" i="1"/>
  <c r="AJ749" i="1"/>
  <c r="AL749" i="1" s="1"/>
  <c r="AP749" i="1" s="1"/>
  <c r="AK746" i="1"/>
  <c r="AK747" i="1" s="1"/>
  <c r="AK63" i="1"/>
  <c r="AK64" i="1" s="1"/>
  <c r="AQ53" i="1"/>
  <c r="AQ54" i="1" s="1"/>
  <c r="AQ55" i="1" s="1"/>
  <c r="AK339" i="1"/>
  <c r="AK340" i="1" s="1"/>
  <c r="AK341" i="1" s="1"/>
  <c r="AJ323" i="1"/>
  <c r="AL323" i="1" s="1"/>
  <c r="AP323" i="1" s="1"/>
  <c r="AQ263" i="1"/>
  <c r="AJ263" i="1"/>
  <c r="AL263" i="1" s="1"/>
  <c r="AP263" i="1" s="1"/>
  <c r="AK263" i="1"/>
  <c r="AQ195" i="1"/>
  <c r="AJ195" i="1"/>
  <c r="AL195" i="1" s="1"/>
  <c r="AP195" i="1" s="1"/>
  <c r="AK195" i="1"/>
  <c r="AQ194" i="1"/>
  <c r="AJ194" i="1"/>
  <c r="AL194" i="1" s="1"/>
  <c r="AP194" i="1" s="1"/>
  <c r="AK194" i="1"/>
  <c r="AO821" i="1"/>
  <c r="AS821" i="1" s="1"/>
  <c r="AQ820" i="1"/>
  <c r="AQ836" i="1"/>
  <c r="AQ837" i="1" s="1"/>
  <c r="AJ836" i="1"/>
  <c r="AK836" i="1"/>
  <c r="AK837" i="1" s="1"/>
  <c r="AQ353" i="1"/>
  <c r="AQ354" i="1" s="1"/>
  <c r="AK353" i="1"/>
  <c r="AK354" i="1" s="1"/>
  <c r="AJ353" i="1"/>
  <c r="AL353" i="1" s="1"/>
  <c r="AP353" i="1" s="1"/>
  <c r="AQ118" i="1"/>
  <c r="AQ119" i="1" s="1"/>
  <c r="AK118" i="1"/>
  <c r="AK119" i="1" s="1"/>
  <c r="AJ118" i="1"/>
  <c r="AQ435" i="1"/>
  <c r="AQ156" i="1"/>
  <c r="AQ157" i="1" s="1"/>
  <c r="AK156" i="1"/>
  <c r="AK157" i="1" s="1"/>
  <c r="AJ156" i="1"/>
  <c r="AL156" i="1" s="1"/>
  <c r="AP156" i="1" s="1"/>
  <c r="AQ714" i="1"/>
  <c r="AQ715" i="1" s="1"/>
  <c r="AQ573" i="1"/>
  <c r="AQ299" i="1"/>
  <c r="AQ454" i="1"/>
  <c r="AQ455" i="1" s="1"/>
  <c r="AQ456" i="1" s="1"/>
  <c r="AQ457" i="1" s="1"/>
  <c r="AJ454" i="1"/>
  <c r="AL454" i="1" s="1"/>
  <c r="AP454" i="1" s="1"/>
  <c r="AK454" i="1"/>
  <c r="AK455" i="1" s="1"/>
  <c r="AK456" i="1" s="1"/>
  <c r="AK457" i="1" s="1"/>
  <c r="AQ513" i="1"/>
  <c r="AJ513" i="1"/>
  <c r="AL513" i="1" s="1"/>
  <c r="AP513" i="1" s="1"/>
  <c r="AK513" i="1"/>
  <c r="AQ150" i="1"/>
  <c r="AQ151" i="1" s="1"/>
  <c r="AQ489" i="1"/>
  <c r="AQ490" i="1" s="1"/>
  <c r="AQ491" i="1" s="1"/>
  <c r="AQ492" i="1" s="1"/>
  <c r="AQ493" i="1" s="1"/>
  <c r="AQ494" i="1" s="1"/>
  <c r="AQ818" i="1"/>
  <c r="AJ389" i="1"/>
  <c r="AL389" i="1" s="1"/>
  <c r="AP389" i="1" s="1"/>
  <c r="AK228" i="1"/>
  <c r="AK229" i="1" s="1"/>
  <c r="AK77" i="1"/>
  <c r="AJ636" i="1"/>
  <c r="AQ855" i="1"/>
  <c r="AQ856" i="1" s="1"/>
  <c r="AK749" i="1"/>
  <c r="AJ746" i="1"/>
  <c r="AL746" i="1" s="1"/>
  <c r="AP746" i="1" s="1"/>
  <c r="AK676" i="1"/>
  <c r="AQ212" i="1"/>
  <c r="AJ339" i="1"/>
  <c r="AQ751" i="1"/>
  <c r="AQ752" i="1" s="1"/>
  <c r="AK323" i="1"/>
  <c r="AK474" i="1"/>
  <c r="AQ554" i="1"/>
  <c r="AQ555" i="1" s="1"/>
  <c r="AK554" i="1"/>
  <c r="AK555" i="1" s="1"/>
  <c r="AJ554" i="1"/>
  <c r="AL554" i="1" s="1"/>
  <c r="AP554" i="1" s="1"/>
  <c r="AQ175" i="1"/>
  <c r="AQ176" i="1" s="1"/>
  <c r="AQ177" i="1" s="1"/>
  <c r="AQ200" i="1"/>
  <c r="AJ200" i="1"/>
  <c r="AL200" i="1" s="1"/>
  <c r="AP200" i="1" s="1"/>
  <c r="AK200" i="1"/>
  <c r="AK821" i="1"/>
  <c r="AQ688" i="1"/>
  <c r="AQ689" i="1" s="1"/>
  <c r="AQ604" i="1"/>
  <c r="AQ605" i="1" s="1"/>
  <c r="AK604" i="1"/>
  <c r="AK605" i="1" s="1"/>
  <c r="AJ604" i="1"/>
  <c r="AL604" i="1" s="1"/>
  <c r="AP604" i="1" s="1"/>
  <c r="AQ296" i="1"/>
  <c r="AJ296" i="1"/>
  <c r="AL296" i="1" s="1"/>
  <c r="AP296" i="1" s="1"/>
  <c r="AK296" i="1"/>
  <c r="AQ476" i="1"/>
  <c r="AJ476" i="1"/>
  <c r="AL476" i="1" s="1"/>
  <c r="AP476" i="1" s="1"/>
  <c r="AK476" i="1"/>
  <c r="AJ128" i="1"/>
  <c r="AL128" i="1" s="1"/>
  <c r="AP128" i="1" s="1"/>
  <c r="AQ196" i="1"/>
  <c r="AJ196" i="1"/>
  <c r="AL196" i="1" s="1"/>
  <c r="AP196" i="1" s="1"/>
  <c r="AK196" i="1"/>
  <c r="AK39" i="1"/>
  <c r="AJ39" i="1"/>
  <c r="AL39" i="1" s="1"/>
  <c r="AP39" i="1" s="1"/>
  <c r="AQ737" i="1"/>
  <c r="AK737" i="1"/>
  <c r="AJ737" i="1"/>
  <c r="AL737" i="1" s="1"/>
  <c r="AP737" i="1" s="1"/>
  <c r="AQ396" i="1"/>
  <c r="AQ397" i="1" s="1"/>
  <c r="AJ396" i="1"/>
  <c r="AQ116" i="1"/>
  <c r="AK116" i="1"/>
  <c r="AJ116" i="1"/>
  <c r="AL116" i="1" s="1"/>
  <c r="AP116" i="1" s="1"/>
  <c r="AQ310" i="1"/>
  <c r="AQ325" i="1"/>
  <c r="AQ96" i="1"/>
  <c r="AQ97" i="1" s="1"/>
  <c r="AQ316" i="1"/>
  <c r="AJ316" i="1"/>
  <c r="AL316" i="1" s="1"/>
  <c r="AP316" i="1" s="1"/>
  <c r="AK316" i="1"/>
  <c r="AQ257" i="1"/>
  <c r="AJ257" i="1"/>
  <c r="AL257" i="1" s="1"/>
  <c r="AP257" i="1" s="1"/>
  <c r="AK257" i="1"/>
  <c r="AQ21" i="1"/>
  <c r="AJ21" i="1"/>
  <c r="AL21" i="1" s="1"/>
  <c r="AP21" i="1" s="1"/>
  <c r="AK21" i="1"/>
  <c r="AQ389" i="1"/>
  <c r="AK773" i="1"/>
  <c r="AK774" i="1" s="1"/>
  <c r="AQ228" i="1"/>
  <c r="AQ229" i="1" s="1"/>
  <c r="AJ77" i="1"/>
  <c r="AL77" i="1" s="1"/>
  <c r="AP77" i="1" s="1"/>
  <c r="AK320" i="1"/>
  <c r="AK636" i="1"/>
  <c r="AK637" i="1" s="1"/>
  <c r="AK755" i="1"/>
  <c r="AK756" i="1" s="1"/>
  <c r="AK234" i="1"/>
  <c r="AQ746" i="1"/>
  <c r="AQ747" i="1" s="1"/>
  <c r="AK291" i="1"/>
  <c r="AQ339" i="1"/>
  <c r="AQ340" i="1" s="1"/>
  <c r="AQ341" i="1" s="1"/>
  <c r="AK759" i="1"/>
  <c r="AJ474" i="1"/>
  <c r="AL474" i="1" s="1"/>
  <c r="AP474" i="1" s="1"/>
  <c r="AQ126" i="1"/>
  <c r="AK126" i="1"/>
  <c r="AJ126" i="1"/>
  <c r="AL126" i="1" s="1"/>
  <c r="AP126" i="1" s="1"/>
  <c r="AQ851" i="1"/>
  <c r="AQ852" i="1" s="1"/>
  <c r="AJ851" i="1"/>
  <c r="AL851" i="1" s="1"/>
  <c r="AP851" i="1" s="1"/>
  <c r="AK851" i="1"/>
  <c r="AK852" i="1" s="1"/>
  <c r="AQ797" i="1"/>
  <c r="AQ798" i="1" s="1"/>
  <c r="AJ797" i="1"/>
  <c r="AK797" i="1"/>
  <c r="AK798" i="1" s="1"/>
  <c r="AQ580" i="1"/>
  <c r="AQ581" i="1" s="1"/>
  <c r="AQ582" i="1" s="1"/>
  <c r="AJ580" i="1"/>
  <c r="AL580" i="1" s="1"/>
  <c r="AP580" i="1" s="1"/>
  <c r="AK580" i="1"/>
  <c r="AK581" i="1" s="1"/>
  <c r="AK582" i="1" s="1"/>
  <c r="AQ311" i="1"/>
  <c r="AQ312" i="1" s="1"/>
  <c r="AK311" i="1"/>
  <c r="AK312" i="1" s="1"/>
  <c r="AJ311" i="1"/>
  <c r="AL311" i="1" s="1"/>
  <c r="AP311" i="1" s="1"/>
  <c r="AQ609" i="1"/>
  <c r="AQ610" i="1" s="1"/>
  <c r="AQ685" i="1"/>
  <c r="AQ686" i="1" s="1"/>
  <c r="AJ685" i="1"/>
  <c r="AK685" i="1"/>
  <c r="AK686" i="1" s="1"/>
  <c r="AQ716" i="1"/>
  <c r="AQ717" i="1" s="1"/>
  <c r="AJ716" i="1"/>
  <c r="AL716" i="1" s="1"/>
  <c r="AP716" i="1" s="1"/>
  <c r="AK716" i="1"/>
  <c r="AK717" i="1" s="1"/>
  <c r="AQ729" i="1"/>
  <c r="AJ729" i="1"/>
  <c r="AL729" i="1" s="1"/>
  <c r="AP729" i="1" s="1"/>
  <c r="AK729" i="1"/>
  <c r="AK730" i="1" s="1"/>
  <c r="AQ84" i="1"/>
  <c r="AK84" i="1"/>
  <c r="AJ84" i="1"/>
  <c r="AL84" i="1" s="1"/>
  <c r="AP84" i="1" s="1"/>
  <c r="AQ620" i="1"/>
  <c r="AQ621" i="1" s="1"/>
  <c r="AQ625" i="1"/>
  <c r="AQ72" i="1"/>
  <c r="AQ73" i="1" s="1"/>
  <c r="AJ72" i="1"/>
  <c r="AL72" i="1" s="1"/>
  <c r="AP72" i="1" s="1"/>
  <c r="AK72" i="1"/>
  <c r="AK73" i="1" s="1"/>
  <c r="AJ502" i="1"/>
  <c r="AL502" i="1" s="1"/>
  <c r="AP502" i="1" s="1"/>
  <c r="AQ682" i="1"/>
  <c r="AK682" i="1"/>
  <c r="AJ682" i="1"/>
  <c r="AL682" i="1" s="1"/>
  <c r="AP682" i="1" s="1"/>
  <c r="AQ60" i="1"/>
  <c r="AQ61" i="1" s="1"/>
  <c r="AJ60" i="1"/>
  <c r="AK60" i="1"/>
  <c r="AK61" i="1" s="1"/>
  <c r="AK684" i="1"/>
  <c r="AQ43" i="1"/>
  <c r="AQ44" i="1" s="1"/>
  <c r="AQ45" i="1" s="1"/>
  <c r="AQ404" i="1"/>
  <c r="AQ538" i="1"/>
  <c r="AQ539" i="1" s="1"/>
  <c r="AJ538" i="1"/>
  <c r="AL538" i="1" s="1"/>
  <c r="AP538" i="1" s="1"/>
  <c r="AK538" i="1"/>
  <c r="AK539" i="1" s="1"/>
  <c r="AQ628" i="1"/>
  <c r="AQ629" i="1" s="1"/>
  <c r="AQ707" i="1"/>
  <c r="AQ708" i="1" s="1"/>
  <c r="AJ707" i="1"/>
  <c r="AL707" i="1" s="1"/>
  <c r="AP707" i="1" s="1"/>
  <c r="AK707" i="1"/>
  <c r="AK708" i="1" s="1"/>
  <c r="AQ792" i="1"/>
  <c r="AQ793" i="1" s="1"/>
  <c r="AQ794" i="1" s="1"/>
  <c r="AQ795" i="1" s="1"/>
  <c r="AQ796" i="1" s="1"/>
  <c r="AQ306" i="1"/>
  <c r="AQ307" i="1" s="1"/>
  <c r="AJ306" i="1"/>
  <c r="AL306" i="1" s="1"/>
  <c r="AP306" i="1" s="1"/>
  <c r="AK306" i="1"/>
  <c r="AK307" i="1" s="1"/>
  <c r="AQ858" i="1"/>
  <c r="AJ773" i="1"/>
  <c r="AQ757" i="1"/>
  <c r="AQ758" i="1" s="1"/>
  <c r="AQ77" i="1"/>
  <c r="AJ320" i="1"/>
  <c r="AL320" i="1" s="1"/>
  <c r="AP320" i="1" s="1"/>
  <c r="AJ755" i="1"/>
  <c r="AL755" i="1" s="1"/>
  <c r="AP755" i="1" s="1"/>
  <c r="AJ234" i="1"/>
  <c r="AL234" i="1" s="1"/>
  <c r="AP234" i="1" s="1"/>
  <c r="AP418" i="1"/>
  <c r="AK127" i="1"/>
  <c r="AK128" i="1" s="1"/>
  <c r="AQ291" i="1"/>
  <c r="AJ181" i="1"/>
  <c r="AL181" i="1" s="1"/>
  <c r="AP181" i="1" s="1"/>
  <c r="AQ273" i="1"/>
  <c r="AK313" i="1"/>
  <c r="AK503" i="1"/>
  <c r="AK504" i="1" s="1"/>
  <c r="AJ782" i="1"/>
  <c r="AL782" i="1" s="1"/>
  <c r="AJ759" i="1"/>
  <c r="AL759" i="1" s="1"/>
  <c r="AP759" i="1" s="1"/>
  <c r="AQ390" i="1"/>
  <c r="AQ391" i="1" s="1"/>
  <c r="AQ392" i="1" s="1"/>
  <c r="AJ390" i="1"/>
  <c r="AL390" i="1" s="1"/>
  <c r="AP390" i="1" s="1"/>
  <c r="AK390" i="1"/>
  <c r="AK391" i="1" s="1"/>
  <c r="AK392" i="1" s="1"/>
  <c r="AQ370" i="1"/>
  <c r="AQ371" i="1" s="1"/>
  <c r="AQ372" i="1" s="1"/>
  <c r="AK370" i="1"/>
  <c r="AK371" i="1" s="1"/>
  <c r="AK372" i="1" s="1"/>
  <c r="AJ370" i="1"/>
  <c r="AQ532" i="1"/>
  <c r="AQ533" i="1" s="1"/>
  <c r="AQ534" i="1" s="1"/>
  <c r="AK532" i="1"/>
  <c r="AK533" i="1" s="1"/>
  <c r="AK534" i="1" s="1"/>
  <c r="AJ532" i="1"/>
  <c r="AQ505" i="1"/>
  <c r="AQ506" i="1" s="1"/>
  <c r="AK505" i="1"/>
  <c r="AK506" i="1" s="1"/>
  <c r="AJ505" i="1"/>
  <c r="AL505" i="1" s="1"/>
  <c r="AP505" i="1" s="1"/>
  <c r="AQ40" i="1"/>
  <c r="AQ41" i="1" s="1"/>
  <c r="AQ42" i="1" s="1"/>
  <c r="AJ40" i="1"/>
  <c r="AL40" i="1" s="1"/>
  <c r="AP40" i="1" s="1"/>
  <c r="AK40" i="1"/>
  <c r="AK41" i="1" s="1"/>
  <c r="AK42" i="1" s="1"/>
  <c r="AQ220" i="1"/>
  <c r="AK220" i="1"/>
  <c r="AJ220" i="1"/>
  <c r="AL220" i="1" s="1"/>
  <c r="AP220" i="1" s="1"/>
  <c r="AQ738" i="1"/>
  <c r="AQ739" i="1" s="1"/>
  <c r="AK738" i="1"/>
  <c r="AK739" i="1" s="1"/>
  <c r="AJ738" i="1"/>
  <c r="AQ518" i="1"/>
  <c r="AJ518" i="1"/>
  <c r="AL518" i="1" s="1"/>
  <c r="AP518" i="1" s="1"/>
  <c r="AK518" i="1"/>
  <c r="AQ788" i="1"/>
  <c r="AQ789" i="1" s="1"/>
  <c r="AK788" i="1"/>
  <c r="AK789" i="1" s="1"/>
  <c r="AJ788" i="1"/>
  <c r="AQ762" i="1"/>
  <c r="AQ294" i="1"/>
  <c r="AQ81" i="1"/>
  <c r="AJ81" i="1"/>
  <c r="AL81" i="1" s="1"/>
  <c r="AP81" i="1" s="1"/>
  <c r="AK81" i="1"/>
  <c r="AQ593" i="1"/>
  <c r="AQ594" i="1" s="1"/>
  <c r="AQ426" i="1"/>
  <c r="AQ427" i="1" s="1"/>
  <c r="AQ428" i="1" s="1"/>
  <c r="AJ426" i="1"/>
  <c r="AL426" i="1" s="1"/>
  <c r="AP426" i="1" s="1"/>
  <c r="AK426" i="1"/>
  <c r="AK427" i="1" s="1"/>
  <c r="AK428" i="1" s="1"/>
  <c r="AQ635" i="1"/>
  <c r="AJ635" i="1"/>
  <c r="AL635" i="1" s="1"/>
  <c r="AP635" i="1" s="1"/>
  <c r="AK635" i="1"/>
  <c r="AJ322" i="1"/>
  <c r="AL322" i="1" s="1"/>
  <c r="AK322" i="1"/>
  <c r="AQ26" i="1"/>
  <c r="AJ26" i="1"/>
  <c r="AL26" i="1" s="1"/>
  <c r="AP26" i="1" s="1"/>
  <c r="AK26" i="1"/>
  <c r="AQ841" i="1"/>
  <c r="AK841" i="1"/>
  <c r="AJ841" i="1"/>
  <c r="AL841" i="1" s="1"/>
  <c r="AP841" i="1" s="1"/>
  <c r="AQ27" i="1"/>
  <c r="AQ28" i="1" s="1"/>
  <c r="AQ29" i="1" s="1"/>
  <c r="AQ30" i="1" s="1"/>
  <c r="AQ709" i="1"/>
  <c r="AQ710" i="1" s="1"/>
  <c r="AJ709" i="1"/>
  <c r="AL709" i="1" s="1"/>
  <c r="AP709" i="1" s="1"/>
  <c r="AK709" i="1"/>
  <c r="AK710" i="1" s="1"/>
  <c r="AQ816" i="1"/>
  <c r="AK816" i="1"/>
  <c r="AJ816" i="1"/>
  <c r="AL816" i="1" s="1"/>
  <c r="AP816" i="1" s="1"/>
  <c r="AJ205" i="1"/>
  <c r="AQ786" i="1"/>
  <c r="AQ320" i="1"/>
  <c r="AK46" i="1"/>
  <c r="AK47" i="1" s="1"/>
  <c r="AJ400" i="1"/>
  <c r="AL400" i="1" s="1"/>
  <c r="AP400" i="1" s="1"/>
  <c r="AQ755" i="1"/>
  <c r="AQ756" i="1" s="1"/>
  <c r="AQ127" i="1"/>
  <c r="AQ128" i="1" s="1"/>
  <c r="AQ79" i="1"/>
  <c r="AK181" i="1"/>
  <c r="AK117" i="1"/>
  <c r="AJ313" i="1"/>
  <c r="AL313" i="1" s="1"/>
  <c r="AP313" i="1" s="1"/>
  <c r="AJ503" i="1"/>
  <c r="AQ618" i="1"/>
  <c r="AJ221" i="1"/>
  <c r="AQ706" i="1"/>
  <c r="AJ706" i="1"/>
  <c r="AL706" i="1" s="1"/>
  <c r="AP706" i="1" s="1"/>
  <c r="AK706" i="1"/>
  <c r="AJ751" i="1"/>
  <c r="AL751" i="1" s="1"/>
  <c r="AP751" i="1" s="1"/>
  <c r="AK751" i="1"/>
  <c r="AK752" i="1" s="1"/>
  <c r="AK113" i="1"/>
  <c r="AJ113" i="1"/>
  <c r="AL113" i="1" s="1"/>
  <c r="AP113" i="1" s="1"/>
  <c r="AQ806" i="1"/>
  <c r="AJ806" i="1"/>
  <c r="AL806" i="1" s="1"/>
  <c r="AP806" i="1" s="1"/>
  <c r="AQ324" i="1"/>
  <c r="AJ324" i="1"/>
  <c r="AL324" i="1" s="1"/>
  <c r="AP324" i="1" s="1"/>
  <c r="AK324" i="1"/>
  <c r="AQ748" i="1"/>
  <c r="AJ748" i="1"/>
  <c r="AL748" i="1" s="1"/>
  <c r="AP748" i="1" s="1"/>
  <c r="AK748" i="1"/>
  <c r="AQ787" i="1"/>
  <c r="AK787" i="1"/>
  <c r="AJ787" i="1"/>
  <c r="AL787" i="1" s="1"/>
  <c r="AP787" i="1" s="1"/>
  <c r="AQ351" i="1"/>
  <c r="AQ352" i="1" s="1"/>
  <c r="AJ351" i="1"/>
  <c r="AL351" i="1" s="1"/>
  <c r="AP351" i="1" s="1"/>
  <c r="AK351" i="1"/>
  <c r="AK352" i="1" s="1"/>
  <c r="AQ105" i="1"/>
  <c r="AQ106" i="1" s="1"/>
  <c r="AQ107" i="1" s="1"/>
  <c r="AJ105" i="1"/>
  <c r="AK105" i="1"/>
  <c r="AK106" i="1" s="1"/>
  <c r="AK107" i="1" s="1"/>
  <c r="AJ463" i="1"/>
  <c r="AL463" i="1" s="1"/>
  <c r="AP463" i="1" s="1"/>
  <c r="AK463" i="1"/>
  <c r="AQ115" i="1"/>
  <c r="AK115" i="1"/>
  <c r="AJ115" i="1"/>
  <c r="AL115" i="1" s="1"/>
  <c r="AP115" i="1" s="1"/>
  <c r="AQ285" i="1"/>
  <c r="AQ286" i="1" s="1"/>
  <c r="AJ285" i="1"/>
  <c r="AL285" i="1" s="1"/>
  <c r="AP285" i="1" s="1"/>
  <c r="AK285" i="1"/>
  <c r="AK286" i="1" s="1"/>
  <c r="AQ447" i="1"/>
  <c r="AQ402" i="1"/>
  <c r="AJ402" i="1"/>
  <c r="AL402" i="1" s="1"/>
  <c r="AP402" i="1" s="1"/>
  <c r="AJ506" i="1"/>
  <c r="AL506" i="1" s="1"/>
  <c r="AQ458" i="1"/>
  <c r="AJ458" i="1"/>
  <c r="AL458" i="1" s="1"/>
  <c r="AP458" i="1" s="1"/>
  <c r="AK458" i="1"/>
  <c r="AQ452" i="1"/>
  <c r="AQ453" i="1" s="1"/>
  <c r="AJ452" i="1"/>
  <c r="AK452" i="1"/>
  <c r="AK453" i="1" s="1"/>
  <c r="AQ25" i="1"/>
  <c r="AQ659" i="1"/>
  <c r="AQ660" i="1" s="1"/>
  <c r="AQ661" i="1" s="1"/>
  <c r="AQ838" i="1"/>
  <c r="AJ838" i="1"/>
  <c r="AL838" i="1" s="1"/>
  <c r="AP838" i="1" s="1"/>
  <c r="AK838" i="1"/>
  <c r="AQ329" i="1"/>
  <c r="AQ330" i="1" s="1"/>
  <c r="AJ329" i="1"/>
  <c r="AL329" i="1" s="1"/>
  <c r="AP329" i="1" s="1"/>
  <c r="AK329" i="1"/>
  <c r="AK330" i="1" s="1"/>
  <c r="AQ449" i="1"/>
  <c r="AQ450" i="1" s="1"/>
  <c r="AJ449" i="1"/>
  <c r="AL449" i="1" s="1"/>
  <c r="AP449" i="1" s="1"/>
  <c r="AQ842" i="1"/>
  <c r="AK842" i="1"/>
  <c r="AJ842" i="1"/>
  <c r="AL842" i="1" s="1"/>
  <c r="AP842" i="1" s="1"/>
  <c r="AQ197" i="1"/>
  <c r="AQ433" i="1"/>
  <c r="AQ480" i="1"/>
  <c r="AQ481" i="1" s="1"/>
  <c r="AK480" i="1"/>
  <c r="AK481" i="1" s="1"/>
  <c r="AJ480" i="1"/>
  <c r="AL480" i="1" s="1"/>
  <c r="AP480" i="1" s="1"/>
  <c r="AK205" i="1"/>
  <c r="AK206" i="1" s="1"/>
  <c r="AK407" i="1"/>
  <c r="AK408" i="1" s="1"/>
  <c r="AK409" i="1" s="1"/>
  <c r="AK359" i="1"/>
  <c r="AK651" i="1"/>
  <c r="AJ46" i="1"/>
  <c r="AK93" i="1"/>
  <c r="AK835" i="1"/>
  <c r="AQ549" i="1"/>
  <c r="AQ550" i="1" s="1"/>
  <c r="AQ551" i="1" s="1"/>
  <c r="AQ181" i="1"/>
  <c r="AJ117" i="1"/>
  <c r="AL117" i="1" s="1"/>
  <c r="AP117" i="1" s="1"/>
  <c r="AQ313" i="1"/>
  <c r="AQ503" i="1"/>
  <c r="AQ504" i="1" s="1"/>
  <c r="AK252" i="1"/>
  <c r="AQ221" i="1"/>
  <c r="AQ222" i="1" s="1"/>
  <c r="AQ812" i="1"/>
  <c r="AQ813" i="1" s="1"/>
  <c r="AK812" i="1"/>
  <c r="AK813" i="1" s="1"/>
  <c r="AJ812" i="1"/>
  <c r="AQ86" i="1"/>
  <c r="AK86" i="1"/>
  <c r="AJ86" i="1"/>
  <c r="AL86" i="1" s="1"/>
  <c r="AP86" i="1" s="1"/>
  <c r="AQ588" i="1"/>
  <c r="AQ589" i="1" s="1"/>
  <c r="AJ588" i="1"/>
  <c r="AL588" i="1" s="1"/>
  <c r="AP588" i="1" s="1"/>
  <c r="AK588" i="1"/>
  <c r="AK589" i="1" s="1"/>
  <c r="AQ564" i="1"/>
  <c r="AQ565" i="1" s="1"/>
  <c r="AQ566" i="1" s="1"/>
  <c r="AK564" i="1"/>
  <c r="AK565" i="1" s="1"/>
  <c r="AK566" i="1" s="1"/>
  <c r="AJ564" i="1"/>
  <c r="AQ249" i="1"/>
  <c r="AQ250" i="1" s="1"/>
  <c r="AJ249" i="1"/>
  <c r="AL249" i="1" s="1"/>
  <c r="AP249" i="1" s="1"/>
  <c r="AK249" i="1"/>
  <c r="AK250" i="1" s="1"/>
  <c r="AQ317" i="1"/>
  <c r="AQ318" i="1" s="1"/>
  <c r="AQ319" i="1" s="1"/>
  <c r="AK317" i="1"/>
  <c r="AK318" i="1" s="1"/>
  <c r="AK319" i="1" s="1"/>
  <c r="AJ317" i="1"/>
  <c r="AQ70" i="1"/>
  <c r="AQ71" i="1" s="1"/>
  <c r="AJ70" i="1"/>
  <c r="AL70" i="1" s="1"/>
  <c r="AP70" i="1" s="1"/>
  <c r="AK70" i="1"/>
  <c r="AK71" i="1" s="1"/>
  <c r="AK575" i="1"/>
  <c r="AJ575" i="1"/>
  <c r="AL575" i="1" s="1"/>
  <c r="AQ179" i="1"/>
  <c r="AQ482" i="1"/>
  <c r="AQ483" i="1" s="1"/>
  <c r="AQ484" i="1" s="1"/>
  <c r="AQ485" i="1" s="1"/>
  <c r="AJ482" i="1"/>
  <c r="AK482" i="1"/>
  <c r="AK483" i="1" s="1"/>
  <c r="AK484" i="1" s="1"/>
  <c r="AK485" i="1" s="1"/>
  <c r="AQ473" i="1"/>
  <c r="AQ225" i="1"/>
  <c r="AJ786" i="1"/>
  <c r="AL786" i="1" s="1"/>
  <c r="AP786" i="1" s="1"/>
  <c r="AK786" i="1"/>
  <c r="AQ577" i="1"/>
  <c r="AK577" i="1"/>
  <c r="AQ214" i="1"/>
  <c r="AJ214" i="1"/>
  <c r="AL214" i="1" s="1"/>
  <c r="AP214" i="1" s="1"/>
  <c r="AK214" i="1"/>
  <c r="AQ123" i="1"/>
  <c r="AK123" i="1"/>
  <c r="AJ123" i="1"/>
  <c r="AL123" i="1" s="1"/>
  <c r="AP123" i="1" s="1"/>
  <c r="AK783" i="1"/>
  <c r="AQ634" i="1"/>
  <c r="AJ634" i="1"/>
  <c r="AL634" i="1" s="1"/>
  <c r="AP634" i="1" s="1"/>
  <c r="AK634" i="1"/>
  <c r="AQ664" i="1"/>
  <c r="AJ664" i="1"/>
  <c r="AL664" i="1" s="1"/>
  <c r="AP664" i="1" s="1"/>
  <c r="AK664" i="1"/>
  <c r="AQ114" i="1"/>
  <c r="AJ114" i="1"/>
  <c r="AL114" i="1" s="1"/>
  <c r="AP114" i="1" s="1"/>
  <c r="AK114" i="1"/>
  <c r="AQ282" i="1"/>
  <c r="AQ283" i="1" s="1"/>
  <c r="AQ284" i="1" s="1"/>
  <c r="AK282" i="1"/>
  <c r="AK283" i="1" s="1"/>
  <c r="AK284" i="1" s="1"/>
  <c r="AJ282" i="1"/>
  <c r="AL282" i="1" s="1"/>
  <c r="AP282" i="1" s="1"/>
  <c r="AQ586" i="1"/>
  <c r="AQ587" i="1" s="1"/>
  <c r="AQ87" i="1"/>
  <c r="AQ88" i="1" s="1"/>
  <c r="AJ87" i="1"/>
  <c r="AL87" i="1" s="1"/>
  <c r="AP87" i="1" s="1"/>
  <c r="AK87" i="1"/>
  <c r="AK88" i="1" s="1"/>
  <c r="AJ407" i="1"/>
  <c r="AL407" i="1" s="1"/>
  <c r="AP407" i="1" s="1"/>
  <c r="AJ632" i="1"/>
  <c r="AL632" i="1" s="1"/>
  <c r="AP632" i="1" s="1"/>
  <c r="AJ359" i="1"/>
  <c r="AL359" i="1" s="1"/>
  <c r="AP359" i="1" s="1"/>
  <c r="AK657" i="1"/>
  <c r="AJ651" i="1"/>
  <c r="AL651" i="1" s="1"/>
  <c r="AP651" i="1" s="1"/>
  <c r="AQ443" i="1"/>
  <c r="AQ444" i="1" s="1"/>
  <c r="AQ445" i="1" s="1"/>
  <c r="AK741" i="1"/>
  <c r="AK742" i="1" s="1"/>
  <c r="AJ381" i="1"/>
  <c r="AL381" i="1" s="1"/>
  <c r="AP381" i="1" s="1"/>
  <c r="AK17" i="1"/>
  <c r="AK18" i="1" s="1"/>
  <c r="AJ835" i="1"/>
  <c r="AL835" i="1" s="1"/>
  <c r="AP835" i="1" s="1"/>
  <c r="AJ523" i="1"/>
  <c r="AL523" i="1" s="1"/>
  <c r="AP523" i="1" s="1"/>
  <c r="AK402" i="1"/>
  <c r="AQ117" i="1"/>
  <c r="AJ752" i="1"/>
  <c r="AL752" i="1" s="1"/>
  <c r="AK704" i="1"/>
  <c r="AJ22" i="1"/>
  <c r="AL22" i="1" s="1"/>
  <c r="AP22" i="1" s="1"/>
  <c r="AQ678" i="1"/>
  <c r="AQ679" i="1" s="1"/>
  <c r="AJ678" i="1"/>
  <c r="AL678" i="1" s="1"/>
  <c r="AP678" i="1" s="1"/>
  <c r="AK678" i="1"/>
  <c r="AK679" i="1" s="1"/>
  <c r="AQ251" i="1"/>
  <c r="AJ251" i="1"/>
  <c r="AL251" i="1" s="1"/>
  <c r="AP251" i="1" s="1"/>
  <c r="AK251" i="1"/>
  <c r="AQ68" i="1"/>
  <c r="AQ69" i="1" s="1"/>
  <c r="AK68" i="1"/>
  <c r="AK69" i="1" s="1"/>
  <c r="AJ68" i="1"/>
  <c r="AQ292" i="1"/>
  <c r="AJ292" i="1"/>
  <c r="AL292" i="1" s="1"/>
  <c r="AP292" i="1" s="1"/>
  <c r="AK292" i="1"/>
  <c r="AQ516" i="1"/>
  <c r="AQ517" i="1" s="1"/>
  <c r="AJ516" i="1"/>
  <c r="AL516" i="1" s="1"/>
  <c r="AP516" i="1" s="1"/>
  <c r="AK516" i="1"/>
  <c r="AK517" i="1" s="1"/>
  <c r="AQ846" i="1"/>
  <c r="AQ847" i="1" s="1"/>
  <c r="AQ92" i="1"/>
  <c r="AJ92" i="1"/>
  <c r="AL92" i="1" s="1"/>
  <c r="AP92" i="1" s="1"/>
  <c r="AK92" i="1"/>
  <c r="AQ823" i="1"/>
  <c r="AQ824" i="1" s="1"/>
  <c r="AQ558" i="1"/>
  <c r="AQ559" i="1" s="1"/>
  <c r="AQ560" i="1" s="1"/>
  <c r="AJ558" i="1"/>
  <c r="AL558" i="1" s="1"/>
  <c r="AP558" i="1" s="1"/>
  <c r="AK558" i="1"/>
  <c r="AK559" i="1" s="1"/>
  <c r="AK560" i="1" s="1"/>
  <c r="AJ157" i="1"/>
  <c r="AL157" i="1" s="1"/>
  <c r="AQ146" i="1"/>
  <c r="AQ147" i="1" s="1"/>
  <c r="AK146" i="1"/>
  <c r="AK147" i="1" s="1"/>
  <c r="AJ146" i="1"/>
  <c r="AL146" i="1" s="1"/>
  <c r="AP146" i="1" s="1"/>
  <c r="AQ530" i="1"/>
  <c r="AQ531" i="1" s="1"/>
  <c r="AJ530" i="1"/>
  <c r="AL530" i="1" s="1"/>
  <c r="AP530" i="1" s="1"/>
  <c r="AK530" i="1"/>
  <c r="AK531" i="1" s="1"/>
  <c r="AQ772" i="1"/>
  <c r="AJ772" i="1"/>
  <c r="AL772" i="1" s="1"/>
  <c r="AP772" i="1" s="1"/>
  <c r="AQ849" i="1"/>
  <c r="AQ850" i="1" s="1"/>
  <c r="AQ367" i="1"/>
  <c r="AQ368" i="1" s="1"/>
  <c r="AQ369" i="1" s="1"/>
  <c r="AK367" i="1"/>
  <c r="AK368" i="1" s="1"/>
  <c r="AK369" i="1" s="1"/>
  <c r="AJ367" i="1"/>
  <c r="AL367" i="1" s="1"/>
  <c r="AP367" i="1" s="1"/>
  <c r="AQ667" i="1"/>
  <c r="AQ277" i="1"/>
  <c r="AQ278" i="1" s="1"/>
  <c r="AQ279" i="1" s="1"/>
  <c r="AQ671" i="1"/>
  <c r="AJ671" i="1"/>
  <c r="AL671" i="1" s="1"/>
  <c r="AP671" i="1" s="1"/>
  <c r="AK671" i="1"/>
  <c r="AQ527" i="1"/>
  <c r="AQ528" i="1" s="1"/>
  <c r="AQ529" i="1" s="1"/>
  <c r="AJ527" i="1"/>
  <c r="AL527" i="1" s="1"/>
  <c r="AP527" i="1" s="1"/>
  <c r="AK527" i="1"/>
  <c r="AK528" i="1" s="1"/>
  <c r="AK529" i="1" s="1"/>
  <c r="AJ581" i="1"/>
  <c r="AL581" i="1" s="1"/>
  <c r="AQ753" i="1"/>
  <c r="AQ754" i="1" s="1"/>
  <c r="AK753" i="1"/>
  <c r="AK754" i="1" s="1"/>
  <c r="AJ753" i="1"/>
  <c r="AL753" i="1" s="1"/>
  <c r="AP753" i="1" s="1"/>
  <c r="AQ326" i="1"/>
  <c r="AQ595" i="1"/>
  <c r="AJ595" i="1"/>
  <c r="AL595" i="1" s="1"/>
  <c r="AP595" i="1" s="1"/>
  <c r="AK595" i="1"/>
  <c r="AJ248" i="1"/>
  <c r="AL248" i="1" s="1"/>
  <c r="AP248" i="1" s="1"/>
  <c r="AQ407" i="1"/>
  <c r="AQ408" i="1" s="1"/>
  <c r="AQ409" i="1" s="1"/>
  <c r="AQ359" i="1"/>
  <c r="AJ657" i="1"/>
  <c r="AL657" i="1" s="1"/>
  <c r="AP657" i="1" s="1"/>
  <c r="AQ651" i="1"/>
  <c r="AQ681" i="1"/>
  <c r="AJ741" i="1"/>
  <c r="AL741" i="1" s="1"/>
  <c r="AL740" i="1"/>
  <c r="AP740" i="1" s="1"/>
  <c r="AQ93" i="1"/>
  <c r="AJ17" i="1"/>
  <c r="AQ835" i="1"/>
  <c r="AJ336" i="1"/>
  <c r="AL336" i="1" s="1"/>
  <c r="AP336" i="1" s="1"/>
  <c r="AK226" i="1"/>
  <c r="AJ730" i="1"/>
  <c r="AL730" i="1" s="1"/>
  <c r="AP730" i="1" s="1"/>
  <c r="AQ463" i="1"/>
  <c r="AP719" i="1"/>
  <c r="AK16" i="1"/>
  <c r="AK579" i="1"/>
  <c r="AK82" i="1"/>
  <c r="AQ230" i="1"/>
  <c r="AJ704" i="1"/>
  <c r="AL704" i="1" s="1"/>
  <c r="AP704" i="1" s="1"/>
  <c r="AK22" i="1"/>
  <c r="AK23" i="1" s="1"/>
  <c r="AQ252" i="1"/>
  <c r="AQ744" i="1"/>
  <c r="AK124" i="1"/>
  <c r="AK125" i="1" s="1"/>
  <c r="AQ210" i="1"/>
  <c r="AQ355" i="1"/>
  <c r="AQ356" i="1" s="1"/>
  <c r="AQ357" i="1" s="1"/>
  <c r="AJ355" i="1"/>
  <c r="AL355" i="1" s="1"/>
  <c r="AP355" i="1" s="1"/>
  <c r="AK355" i="1"/>
  <c r="AK356" i="1" s="1"/>
  <c r="AK357" i="1" s="1"/>
  <c r="AK487" i="1"/>
  <c r="AQ159" i="1"/>
  <c r="AQ160" i="1" s="1"/>
  <c r="AK159" i="1"/>
  <c r="AK160" i="1" s="1"/>
  <c r="AJ159" i="1"/>
  <c r="AQ652" i="1"/>
  <c r="AJ652" i="1"/>
  <c r="AL652" i="1" s="1"/>
  <c r="AP652" i="1" s="1"/>
  <c r="AK652" i="1"/>
  <c r="AQ20" i="1"/>
  <c r="AK20" i="1"/>
  <c r="AJ20" i="1"/>
  <c r="AL20" i="1" s="1"/>
  <c r="AP20" i="1" s="1"/>
  <c r="AQ189" i="1"/>
  <c r="AQ190" i="1" s="1"/>
  <c r="AJ189" i="1"/>
  <c r="AK189" i="1"/>
  <c r="AK190" i="1" s="1"/>
  <c r="AQ345" i="1"/>
  <c r="AJ345" i="1"/>
  <c r="AL345" i="1" s="1"/>
  <c r="AP345" i="1" s="1"/>
  <c r="AK345" i="1"/>
  <c r="AK346" i="1" s="1"/>
  <c r="AJ496" i="1"/>
  <c r="AL496" i="1" s="1"/>
  <c r="AP496" i="1" s="1"/>
  <c r="AQ676" i="1"/>
  <c r="AJ676" i="1"/>
  <c r="AL676" i="1" s="1"/>
  <c r="AP676" i="1" s="1"/>
  <c r="AQ274" i="1"/>
  <c r="AQ275" i="1" s="1"/>
  <c r="AQ276" i="1" s="1"/>
  <c r="AK274" i="1"/>
  <c r="AK275" i="1" s="1"/>
  <c r="AK276" i="1" s="1"/>
  <c r="AJ274" i="1"/>
  <c r="AL274" i="1" s="1"/>
  <c r="AP274" i="1" s="1"/>
  <c r="AO861" i="1"/>
  <c r="AS861" i="1" s="1"/>
  <c r="AQ860" i="1"/>
  <c r="AQ861" i="1"/>
  <c r="AQ862" i="1" s="1"/>
  <c r="AK337" i="1"/>
  <c r="AQ233" i="1"/>
  <c r="AQ436" i="1"/>
  <c r="AQ437" i="1" s="1"/>
  <c r="AQ438" i="1" s="1"/>
  <c r="AQ439" i="1" s="1"/>
  <c r="AQ799" i="1"/>
  <c r="AK799" i="1"/>
  <c r="AJ799" i="1"/>
  <c r="AL799" i="1" s="1"/>
  <c r="AP799" i="1" s="1"/>
  <c r="AQ172" i="1"/>
  <c r="AQ122" i="1"/>
  <c r="AK122" i="1"/>
  <c r="AJ122" i="1"/>
  <c r="AL122" i="1" s="1"/>
  <c r="AP122" i="1" s="1"/>
  <c r="AQ497" i="1"/>
  <c r="AQ498" i="1" s="1"/>
  <c r="AQ665" i="1"/>
  <c r="AJ665" i="1"/>
  <c r="AL665" i="1" s="1"/>
  <c r="AP665" i="1" s="1"/>
  <c r="AK665" i="1"/>
  <c r="AQ74" i="1"/>
  <c r="AQ75" i="1" s="1"/>
  <c r="BB19" i="1"/>
  <c r="BT18" i="1"/>
  <c r="AK375" i="1"/>
  <c r="AK376" i="1" s="1"/>
  <c r="AQ657" i="1"/>
  <c r="AQ346" i="1"/>
  <c r="AJ693" i="1"/>
  <c r="AL693" i="1" s="1"/>
  <c r="AP693" i="1" s="1"/>
  <c r="AJ175" i="1"/>
  <c r="AL175" i="1" s="1"/>
  <c r="AP175" i="1" s="1"/>
  <c r="AQ741" i="1"/>
  <c r="AQ742" i="1" s="1"/>
  <c r="AQ17" i="1"/>
  <c r="AQ18" i="1" s="1"/>
  <c r="AQ464" i="1"/>
  <c r="AQ465" i="1" s="1"/>
  <c r="AQ466" i="1" s="1"/>
  <c r="AQ467" i="1" s="1"/>
  <c r="AQ468" i="1" s="1"/>
  <c r="AJ226" i="1"/>
  <c r="AL226" i="1" s="1"/>
  <c r="AP226" i="1" s="1"/>
  <c r="AQ730" i="1"/>
  <c r="AJ845" i="1"/>
  <c r="AL845" i="1" s="1"/>
  <c r="AP845" i="1" s="1"/>
  <c r="AQ719" i="1"/>
  <c r="AQ720" i="1" s="1"/>
  <c r="AJ82" i="1"/>
  <c r="AL82" i="1" s="1"/>
  <c r="AP82" i="1" s="1"/>
  <c r="AQ647" i="1"/>
  <c r="AQ648" i="1" s="1"/>
  <c r="AQ704" i="1"/>
  <c r="AQ22" i="1"/>
  <c r="AQ23" i="1" s="1"/>
  <c r="AJ809" i="1"/>
  <c r="AL809" i="1" s="1"/>
  <c r="AP809" i="1" s="1"/>
  <c r="AJ124" i="1"/>
  <c r="AQ721" i="1"/>
  <c r="AQ722" i="1" s="1"/>
  <c r="AQ723" i="1" s="1"/>
  <c r="AJ721" i="1"/>
  <c r="AL721" i="1" s="1"/>
  <c r="AP721" i="1" s="1"/>
  <c r="AK721" i="1"/>
  <c r="AK722" i="1" s="1"/>
  <c r="AK723" i="1" s="1"/>
  <c r="AQ839" i="1"/>
  <c r="AQ840" i="1" s="1"/>
  <c r="AJ839" i="1"/>
  <c r="AL839" i="1" s="1"/>
  <c r="AP839" i="1" s="1"/>
  <c r="AK839" i="1"/>
  <c r="AK840" i="1" s="1"/>
  <c r="AQ826" i="1"/>
  <c r="AJ826" i="1"/>
  <c r="AL826" i="1" s="1"/>
  <c r="AP826" i="1" s="1"/>
  <c r="AQ260" i="1"/>
  <c r="AQ204" i="1"/>
  <c r="AK204" i="1"/>
  <c r="AJ204" i="1"/>
  <c r="AL204" i="1" s="1"/>
  <c r="AP204" i="1" s="1"/>
  <c r="AQ734" i="1"/>
  <c r="AK591" i="1"/>
  <c r="AJ591" i="1"/>
  <c r="AL591" i="1" s="1"/>
  <c r="AQ702" i="1"/>
  <c r="AQ301" i="1"/>
  <c r="AJ301" i="1"/>
  <c r="AL301" i="1" s="1"/>
  <c r="AP301" i="1" s="1"/>
  <c r="AK301" i="1"/>
  <c r="AQ332" i="1"/>
  <c r="AQ333" i="1" s="1"/>
  <c r="AQ334" i="1" s="1"/>
  <c r="AQ66" i="1"/>
  <c r="AQ67" i="1" s="1"/>
  <c r="AQ287" i="1"/>
  <c r="AJ287" i="1"/>
  <c r="AL287" i="1" s="1"/>
  <c r="AP287" i="1" s="1"/>
  <c r="AK287" i="1"/>
  <c r="AQ770" i="1"/>
  <c r="AQ155" i="1"/>
  <c r="AJ155" i="1"/>
  <c r="AL155" i="1" s="1"/>
  <c r="AP155" i="1" s="1"/>
  <c r="AK155" i="1"/>
  <c r="AQ690" i="1"/>
  <c r="AQ691" i="1" s="1"/>
  <c r="AJ690" i="1"/>
  <c r="AL690" i="1" s="1"/>
  <c r="AP690" i="1" s="1"/>
  <c r="AK690" i="1"/>
  <c r="AK691" i="1" s="1"/>
  <c r="AQ241" i="1"/>
  <c r="AQ242" i="1" s="1"/>
  <c r="AQ700" i="1"/>
  <c r="AJ375" i="1"/>
  <c r="AQ141" i="1"/>
  <c r="AQ142" i="1" s="1"/>
  <c r="AK771" i="1"/>
  <c r="AK772" i="1" s="1"/>
  <c r="AK309" i="1"/>
  <c r="AK310" i="1" s="1"/>
  <c r="AK448" i="1"/>
  <c r="AK449" i="1" s="1"/>
  <c r="AK450" i="1" s="1"/>
  <c r="AK693" i="1"/>
  <c r="AK175" i="1"/>
  <c r="AK176" i="1" s="1"/>
  <c r="AK177" i="1" s="1"/>
  <c r="AQ143" i="1"/>
  <c r="AQ226" i="1"/>
  <c r="AK845" i="1"/>
  <c r="AK846" i="1" s="1"/>
  <c r="AK847" i="1" s="1"/>
  <c r="AP781" i="1"/>
  <c r="AK800" i="1"/>
  <c r="AK848" i="1"/>
  <c r="AK849" i="1" s="1"/>
  <c r="AK850" i="1" s="1"/>
  <c r="AQ16" i="1"/>
  <c r="AJ49" i="1"/>
  <c r="AL49" i="1" s="1"/>
  <c r="AP49" i="1" s="1"/>
  <c r="AQ82" i="1"/>
  <c r="AQ297" i="1"/>
  <c r="AK288" i="1"/>
  <c r="AK395" i="1"/>
  <c r="AK396" i="1" s="1"/>
  <c r="AK397" i="1" s="1"/>
  <c r="AK809" i="1"/>
  <c r="AJ391" i="1"/>
  <c r="AL391" i="1" s="1"/>
  <c r="AP391" i="1" s="1"/>
  <c r="AQ124" i="1"/>
  <c r="AQ125" i="1" s="1"/>
  <c r="AR821" i="1"/>
  <c r="BU821" i="1" s="1"/>
  <c r="AO822" i="1"/>
  <c r="AS822" i="1" s="1"/>
  <c r="AR822" i="1"/>
  <c r="BU822" i="1" s="1"/>
  <c r="AO862" i="1"/>
  <c r="U830" i="1"/>
  <c r="V830" i="1"/>
  <c r="U795" i="1"/>
  <c r="V795" i="1"/>
  <c r="U138" i="1"/>
  <c r="V138" i="1"/>
  <c r="V165" i="1"/>
  <c r="U165" i="1"/>
  <c r="U350" i="1"/>
  <c r="V350" i="1"/>
  <c r="U560" i="1"/>
  <c r="V560" i="1"/>
  <c r="U752" i="1"/>
  <c r="U542" i="1"/>
  <c r="V542" i="1"/>
  <c r="U723" i="1"/>
  <c r="V723" i="1"/>
  <c r="U341" i="1"/>
  <c r="U551" i="1"/>
  <c r="V599" i="1"/>
  <c r="U599" i="1"/>
  <c r="V349" i="1"/>
  <c r="U67" i="1"/>
  <c r="V169" i="1"/>
  <c r="V242" i="1"/>
  <c r="U491" i="1"/>
  <c r="U569" i="1"/>
  <c r="V569" i="1"/>
  <c r="AB5" i="1"/>
  <c r="AC5" i="1" s="1"/>
  <c r="AQ6" i="1" s="1"/>
  <c r="AQ7" i="1" s="1"/>
  <c r="V829" i="1"/>
  <c r="V728" i="1"/>
  <c r="U425" i="1"/>
  <c r="V661" i="1"/>
  <c r="U363" i="1"/>
  <c r="V582" i="1"/>
  <c r="V284" i="1"/>
  <c r="V621" i="1"/>
  <c r="U30" i="1"/>
  <c r="V397" i="1"/>
  <c r="U467" i="1"/>
  <c r="V782" i="1"/>
  <c r="U782" i="1"/>
  <c r="U177" i="1"/>
  <c r="U537" i="1"/>
  <c r="V537" i="1"/>
  <c r="V64" i="1"/>
  <c r="U64" i="1"/>
  <c r="AB4" i="1"/>
  <c r="AC4" i="1" s="1"/>
  <c r="Y1171" i="1"/>
  <c r="Y894" i="1"/>
  <c r="Y1324" i="1"/>
  <c r="Y962" i="1"/>
  <c r="Y1351" i="1"/>
  <c r="Y1261" i="1"/>
  <c r="Y985" i="1"/>
  <c r="Y1329" i="1"/>
  <c r="X2429" i="1" a="1"/>
  <c r="X2429" i="1" s="1"/>
  <c r="X2428" i="1" a="1"/>
  <c r="X2428" i="1" s="1"/>
  <c r="V102" i="1"/>
  <c r="U245" i="1"/>
  <c r="V445" i="1"/>
  <c r="U445" i="1"/>
  <c r="U698" i="1"/>
  <c r="U305" i="1"/>
  <c r="V431" i="1"/>
  <c r="U563" i="1"/>
  <c r="U439" i="1"/>
  <c r="V147" i="1"/>
  <c r="V421" i="1"/>
  <c r="V255" i="1"/>
  <c r="U255" i="1"/>
  <c r="V713" i="1"/>
  <c r="U713" i="1"/>
  <c r="Z1454" i="1" a="1"/>
  <c r="Z1454" i="1" s="1"/>
  <c r="Y1454" i="1"/>
  <c r="Y1379" i="1"/>
  <c r="Z1379" i="1" a="1"/>
  <c r="Z1379" i="1" s="1"/>
  <c r="Z1367" i="1" a="1"/>
  <c r="Z1367" i="1" s="1"/>
  <c r="Y1367" i="1"/>
  <c r="Y1342" i="1"/>
  <c r="Z1342" i="1" a="1"/>
  <c r="Z1342" i="1" s="1"/>
  <c r="Z1329" i="1" a="1"/>
  <c r="Z1329" i="1" s="1"/>
  <c r="Y1314" i="1"/>
  <c r="Z1314" i="1" a="1"/>
  <c r="Z1314" i="1" s="1"/>
  <c r="Z1289" i="1" a="1"/>
  <c r="Z1289" i="1" s="1"/>
  <c r="Y1289" i="1"/>
  <c r="Y1275" i="1"/>
  <c r="Z1275" i="1" a="1"/>
  <c r="Z1275" i="1" s="1"/>
  <c r="Y1249" i="1"/>
  <c r="Z1249" i="1" a="1"/>
  <c r="Z1249" i="1" s="1"/>
  <c r="Y1238" i="1"/>
  <c r="Z1238" i="1" a="1"/>
  <c r="Z1238" i="1" s="1"/>
  <c r="Y1226" i="1"/>
  <c r="Z1226" i="1" a="1"/>
  <c r="Z1226" i="1" s="1"/>
  <c r="Z1214" i="1" a="1"/>
  <c r="Z1214" i="1" s="1"/>
  <c r="Y1214" i="1"/>
  <c r="Y1200" i="1"/>
  <c r="Z1200" i="1" a="1"/>
  <c r="Z1200" i="1" s="1"/>
  <c r="Y1174" i="1"/>
  <c r="Z1174" i="1" a="1"/>
  <c r="Z1174" i="1" s="1"/>
  <c r="Y1164" i="1"/>
  <c r="Z1164" i="1" a="1"/>
  <c r="Z1164" i="1" s="1"/>
  <c r="Y1129" i="1"/>
  <c r="Z1129" i="1" a="1"/>
  <c r="Z1129" i="1" s="1"/>
  <c r="Y1116" i="1"/>
  <c r="Z1116" i="1" a="1"/>
  <c r="Z1116" i="1" s="1"/>
  <c r="Y1106" i="1"/>
  <c r="Z1106" i="1" a="1"/>
  <c r="Z1106" i="1" s="1"/>
  <c r="Y1082" i="1"/>
  <c r="Z1082" i="1" a="1"/>
  <c r="Z1082" i="1" s="1"/>
  <c r="Z1047" i="1" a="1"/>
  <c r="Z1047" i="1" s="1"/>
  <c r="Y1047" i="1"/>
  <c r="Y1035" i="1"/>
  <c r="Z1035" i="1" a="1"/>
  <c r="Z1035" i="1" s="1"/>
  <c r="Y1023" i="1"/>
  <c r="Z1023" i="1" a="1"/>
  <c r="Z1023" i="1" s="1"/>
  <c r="Y1011" i="1"/>
  <c r="Z1011" i="1" a="1"/>
  <c r="Z1011" i="1" s="1"/>
  <c r="Y999" i="1"/>
  <c r="Z999" i="1" a="1"/>
  <c r="Z999" i="1" s="1"/>
  <c r="Y987" i="1"/>
  <c r="Z987" i="1" a="1"/>
  <c r="Z987" i="1" s="1"/>
  <c r="Y977" i="1"/>
  <c r="Z977" i="1" a="1"/>
  <c r="Z977" i="1" s="1"/>
  <c r="Y966" i="1"/>
  <c r="Z966" i="1" a="1"/>
  <c r="Z966" i="1" s="1"/>
  <c r="Y953" i="1"/>
  <c r="Z953" i="1" a="1"/>
  <c r="Z953" i="1" s="1"/>
  <c r="Y942" i="1"/>
  <c r="Z942" i="1" a="1"/>
  <c r="Z942" i="1" s="1"/>
  <c r="Y929" i="1"/>
  <c r="Z929" i="1" a="1"/>
  <c r="Z929" i="1" s="1"/>
  <c r="Y919" i="1"/>
  <c r="Z919" i="1" a="1"/>
  <c r="Z919" i="1" s="1"/>
  <c r="Y907" i="1"/>
  <c r="Z907" i="1" a="1"/>
  <c r="Z907" i="1" s="1"/>
  <c r="Y882" i="1"/>
  <c r="Z882" i="1" a="1"/>
  <c r="Z882" i="1" s="1"/>
  <c r="Y1392" i="1"/>
  <c r="Z1392" i="1" a="1"/>
  <c r="Z1392" i="1" s="1"/>
  <c r="Y1366" i="1"/>
  <c r="Z1366" i="1" a="1"/>
  <c r="Z1366" i="1" s="1"/>
  <c r="Y1355" i="1"/>
  <c r="Z1355" i="1" a="1"/>
  <c r="Z1355" i="1" s="1"/>
  <c r="Y1341" i="1"/>
  <c r="Z1341" i="1" a="1"/>
  <c r="Z1341" i="1" s="1"/>
  <c r="Y1328" i="1"/>
  <c r="Z1328" i="1" a="1"/>
  <c r="Z1328" i="1" s="1"/>
  <c r="Y1313" i="1"/>
  <c r="Z1313" i="1" a="1"/>
  <c r="Z1313" i="1" s="1"/>
  <c r="Y1301" i="1"/>
  <c r="Z1301" i="1" a="1"/>
  <c r="Z1301" i="1" s="1"/>
  <c r="Y1288" i="1"/>
  <c r="Z1288" i="1" a="1"/>
  <c r="Z1288" i="1" s="1"/>
  <c r="Y1274" i="1"/>
  <c r="Z1274" i="1" a="1"/>
  <c r="Z1274" i="1" s="1"/>
  <c r="Y1262" i="1"/>
  <c r="Z1262" i="1" a="1"/>
  <c r="Z1262" i="1" s="1"/>
  <c r="Y1237" i="1"/>
  <c r="Z1237" i="1" a="1"/>
  <c r="Z1237" i="1" s="1"/>
  <c r="Y1213" i="1"/>
  <c r="Z1213" i="1" a="1"/>
  <c r="Z1213" i="1" s="1"/>
  <c r="Y1186" i="1"/>
  <c r="Z1186" i="1" a="1"/>
  <c r="Z1186" i="1" s="1"/>
  <c r="Y1173" i="1"/>
  <c r="Z1173" i="1" a="1"/>
  <c r="Z1173" i="1" s="1"/>
  <c r="Y1163" i="1"/>
  <c r="Z1163" i="1" a="1"/>
  <c r="Z1163" i="1" s="1"/>
  <c r="Z1152" i="1" a="1"/>
  <c r="Z1152" i="1" s="1"/>
  <c r="Y1152" i="1"/>
  <c r="Y1139" i="1"/>
  <c r="Z1139" i="1" a="1"/>
  <c r="Z1139" i="1" s="1"/>
  <c r="Y1128" i="1"/>
  <c r="Z1128" i="1" a="1"/>
  <c r="Z1128" i="1" s="1"/>
  <c r="Z1094" i="1" a="1"/>
  <c r="Z1094" i="1" s="1"/>
  <c r="Y1094" i="1"/>
  <c r="Y1081" i="1"/>
  <c r="Z1081" i="1" a="1"/>
  <c r="Z1081" i="1" s="1"/>
  <c r="Y1070" i="1"/>
  <c r="Z1070" i="1" a="1"/>
  <c r="Z1070" i="1" s="1"/>
  <c r="Y1058" i="1"/>
  <c r="Z1058" i="1" a="1"/>
  <c r="Z1058" i="1" s="1"/>
  <c r="Y1034" i="1"/>
  <c r="Z1034" i="1" a="1"/>
  <c r="Z1034" i="1" s="1"/>
  <c r="Y1010" i="1"/>
  <c r="Z1010" i="1" a="1"/>
  <c r="Z1010" i="1" s="1"/>
  <c r="Y965" i="1"/>
  <c r="Z965" i="1" a="1"/>
  <c r="Z965" i="1" s="1"/>
  <c r="Y941" i="1"/>
  <c r="Z941" i="1" a="1"/>
  <c r="Z941" i="1" s="1"/>
  <c r="Y906" i="1"/>
  <c r="Z906" i="1" a="1"/>
  <c r="Z906" i="1" s="1"/>
  <c r="Z894" i="1" a="1"/>
  <c r="Z894" i="1" s="1"/>
  <c r="Y881" i="1"/>
  <c r="Z881" i="1" a="1"/>
  <c r="Z881" i="1" s="1"/>
  <c r="Y1455" i="1"/>
  <c r="Z1455" i="1" a="1"/>
  <c r="Z1455" i="1" s="1"/>
  <c r="Y1427" i="1"/>
  <c r="Z1427" i="1" a="1"/>
  <c r="Z1427" i="1" s="1"/>
  <c r="Y1391" i="1"/>
  <c r="Z1391" i="1" a="1"/>
  <c r="Z1391" i="1" s="1"/>
  <c r="Y1378" i="1"/>
  <c r="Z1378" i="1" a="1"/>
  <c r="Z1378" i="1" s="1"/>
  <c r="Y1365" i="1"/>
  <c r="Z1365" i="1" a="1"/>
  <c r="Z1365" i="1" s="1"/>
  <c r="Z1340" i="1" a="1"/>
  <c r="Z1340" i="1" s="1"/>
  <c r="Y1340" i="1"/>
  <c r="Y1300" i="1"/>
  <c r="Z1300" i="1" a="1"/>
  <c r="Z1300" i="1" s="1"/>
  <c r="Z1261" i="1" a="1"/>
  <c r="Z1261" i="1" s="1"/>
  <c r="Y1248" i="1"/>
  <c r="Z1248" i="1" a="1"/>
  <c r="Z1248" i="1" s="1"/>
  <c r="Y1236" i="1"/>
  <c r="Z1236" i="1" a="1"/>
  <c r="Z1236" i="1" s="1"/>
  <c r="Y1225" i="1"/>
  <c r="Z1225" i="1" a="1"/>
  <c r="Z1225" i="1" s="1"/>
  <c r="Y1212" i="1"/>
  <c r="Z1212" i="1" a="1"/>
  <c r="Z1212" i="1" s="1"/>
  <c r="Y1199" i="1"/>
  <c r="Z1199" i="1" a="1"/>
  <c r="Z1199" i="1" s="1"/>
  <c r="Y1185" i="1"/>
  <c r="Z1185" i="1" a="1"/>
  <c r="Z1185" i="1" s="1"/>
  <c r="Y1172" i="1"/>
  <c r="Z1172" i="1" a="1"/>
  <c r="Z1172" i="1" s="1"/>
  <c r="Y1162" i="1"/>
  <c r="Z1162" i="1" a="1"/>
  <c r="Z1162" i="1" s="1"/>
  <c r="Y1151" i="1"/>
  <c r="Z1151" i="1" a="1"/>
  <c r="Z1151" i="1" s="1"/>
  <c r="Y1127" i="1"/>
  <c r="Z1127" i="1" a="1"/>
  <c r="Z1127" i="1" s="1"/>
  <c r="Y1115" i="1"/>
  <c r="Z1115" i="1" a="1"/>
  <c r="Z1115" i="1" s="1"/>
  <c r="Y1105" i="1"/>
  <c r="Z1105" i="1" a="1"/>
  <c r="Z1105" i="1" s="1"/>
  <c r="Y1093" i="1"/>
  <c r="Z1093" i="1" a="1"/>
  <c r="Z1093" i="1" s="1"/>
  <c r="Y1080" i="1"/>
  <c r="Z1080" i="1" a="1"/>
  <c r="Z1080" i="1" s="1"/>
  <c r="Y1069" i="1"/>
  <c r="Z1069" i="1" a="1"/>
  <c r="Z1069" i="1" s="1"/>
  <c r="Y1057" i="1"/>
  <c r="Z1057" i="1" a="1"/>
  <c r="Z1057" i="1" s="1"/>
  <c r="Y1046" i="1"/>
  <c r="Z1046" i="1" a="1"/>
  <c r="Z1046" i="1" s="1"/>
  <c r="Y1022" i="1"/>
  <c r="Z1022" i="1" a="1"/>
  <c r="Z1022" i="1" s="1"/>
  <c r="Y1009" i="1"/>
  <c r="Z1009" i="1" a="1"/>
  <c r="Z1009" i="1" s="1"/>
  <c r="Y998" i="1"/>
  <c r="Z998" i="1" a="1"/>
  <c r="Z998" i="1" s="1"/>
  <c r="Y986" i="1"/>
  <c r="Z986" i="1" a="1"/>
  <c r="Z986" i="1" s="1"/>
  <c r="Y976" i="1"/>
  <c r="Z976" i="1" a="1"/>
  <c r="Z976" i="1" s="1"/>
  <c r="Y964" i="1"/>
  <c r="Z964" i="1" a="1"/>
  <c r="Z964" i="1" s="1"/>
  <c r="Y952" i="1"/>
  <c r="Z952" i="1" a="1"/>
  <c r="Z952" i="1" s="1"/>
  <c r="Y940" i="1"/>
  <c r="Z940" i="1" a="1"/>
  <c r="Z940" i="1" s="1"/>
  <c r="Y928" i="1"/>
  <c r="Z928" i="1" a="1"/>
  <c r="Z928" i="1" s="1"/>
  <c r="Y918" i="1"/>
  <c r="Z918" i="1" a="1"/>
  <c r="Z918" i="1" s="1"/>
  <c r="Y905" i="1"/>
  <c r="Z905" i="1" a="1"/>
  <c r="Z905" i="1" s="1"/>
  <c r="Z893" i="1" a="1"/>
  <c r="Z893" i="1" s="1"/>
  <c r="Y893" i="1"/>
  <c r="Y1402" i="1"/>
  <c r="Z1402" i="1" a="1"/>
  <c r="Z1402" i="1" s="1"/>
  <c r="Z1390" i="1" a="1"/>
  <c r="Z1390" i="1" s="1"/>
  <c r="Y1390" i="1"/>
  <c r="Y1339" i="1"/>
  <c r="Z1339" i="1" a="1"/>
  <c r="Z1339" i="1" s="1"/>
  <c r="Y1312" i="1"/>
  <c r="Z1312" i="1" a="1"/>
  <c r="Z1312" i="1" s="1"/>
  <c r="Y1287" i="1"/>
  <c r="Z1287" i="1" a="1"/>
  <c r="Z1287" i="1" s="1"/>
  <c r="Y1260" i="1"/>
  <c r="Z1260" i="1" a="1"/>
  <c r="Z1260" i="1" s="1"/>
  <c r="Y1247" i="1"/>
  <c r="Z1247" i="1" a="1"/>
  <c r="Z1247" i="1" s="1"/>
  <c r="Y1224" i="1"/>
  <c r="Z1224" i="1" a="1"/>
  <c r="Z1224" i="1" s="1"/>
  <c r="Y1198" i="1"/>
  <c r="Z1198" i="1" a="1"/>
  <c r="Z1198" i="1" s="1"/>
  <c r="Y1161" i="1"/>
  <c r="Z1161" i="1" a="1"/>
  <c r="Z1161" i="1" s="1"/>
  <c r="Y1138" i="1"/>
  <c r="Z1138" i="1" a="1"/>
  <c r="Z1138" i="1" s="1"/>
  <c r="Y1092" i="1"/>
  <c r="Z1092" i="1" a="1"/>
  <c r="Z1092" i="1" s="1"/>
  <c r="Y1068" i="1"/>
  <c r="Z1068" i="1" a="1"/>
  <c r="Z1068" i="1" s="1"/>
  <c r="Y1056" i="1"/>
  <c r="Z1056" i="1" a="1"/>
  <c r="Z1056" i="1" s="1"/>
  <c r="Y1045" i="1"/>
  <c r="Z1045" i="1" a="1"/>
  <c r="Z1045" i="1" s="1"/>
  <c r="Y1033" i="1"/>
  <c r="Z1033" i="1" a="1"/>
  <c r="Z1033" i="1" s="1"/>
  <c r="Y1021" i="1"/>
  <c r="Z1021" i="1" a="1"/>
  <c r="Z1021" i="1" s="1"/>
  <c r="Y1008" i="1"/>
  <c r="Z1008" i="1" a="1"/>
  <c r="Z1008" i="1" s="1"/>
  <c r="Y997" i="1"/>
  <c r="Z997" i="1" a="1"/>
  <c r="Z997" i="1" s="1"/>
  <c r="Y963" i="1"/>
  <c r="Z963" i="1" a="1"/>
  <c r="Z963" i="1" s="1"/>
  <c r="Y939" i="1"/>
  <c r="Z939" i="1" a="1"/>
  <c r="Z939" i="1" s="1"/>
  <c r="Y927" i="1"/>
  <c r="Z927" i="1" a="1"/>
  <c r="Z927" i="1" s="1"/>
  <c r="Y917" i="1"/>
  <c r="Z917" i="1" a="1"/>
  <c r="Z917" i="1" s="1"/>
  <c r="Y892" i="1"/>
  <c r="Z892" i="1" a="1"/>
  <c r="Z892" i="1" s="1"/>
  <c r="Y1401" i="1"/>
  <c r="Z1401" i="1" a="1"/>
  <c r="Z1401" i="1" s="1"/>
  <c r="Y1377" i="1"/>
  <c r="Z1377" i="1" a="1"/>
  <c r="Z1377" i="1" s="1"/>
  <c r="Y1352" i="1"/>
  <c r="Z1352" i="1" a="1"/>
  <c r="Z1352" i="1" s="1"/>
  <c r="Y1338" i="1"/>
  <c r="Z1338" i="1" a="1"/>
  <c r="Z1338" i="1" s="1"/>
  <c r="Y1325" i="1"/>
  <c r="Z1325" i="1" a="1"/>
  <c r="Z1325" i="1" s="1"/>
  <c r="Y1311" i="1"/>
  <c r="Z1311" i="1" a="1"/>
  <c r="Z1311" i="1" s="1"/>
  <c r="Y1299" i="1"/>
  <c r="Z1299" i="1" a="1"/>
  <c r="Z1299" i="1" s="1"/>
  <c r="Y1286" i="1"/>
  <c r="Z1286" i="1" a="1"/>
  <c r="Z1286" i="1" s="1"/>
  <c r="Y1259" i="1"/>
  <c r="Z1259" i="1" a="1"/>
  <c r="Z1259" i="1" s="1"/>
  <c r="Y1246" i="1"/>
  <c r="Z1246" i="1" a="1"/>
  <c r="Z1246" i="1" s="1"/>
  <c r="Y1235" i="1"/>
  <c r="Z1235" i="1" a="1"/>
  <c r="Z1235" i="1" s="1"/>
  <c r="Y1211" i="1"/>
  <c r="Z1211" i="1" a="1"/>
  <c r="Z1211" i="1" s="1"/>
  <c r="Y1197" i="1"/>
  <c r="Z1197" i="1" a="1"/>
  <c r="Z1197" i="1" s="1"/>
  <c r="Y1184" i="1"/>
  <c r="Z1184" i="1" a="1"/>
  <c r="Z1184" i="1" s="1"/>
  <c r="Z1171" i="1" a="1"/>
  <c r="Z1171" i="1" s="1"/>
  <c r="Y1150" i="1"/>
  <c r="Z1150" i="1" a="1"/>
  <c r="Z1150" i="1" s="1"/>
  <c r="Y1137" i="1"/>
  <c r="Z1137" i="1" a="1"/>
  <c r="Z1137" i="1" s="1"/>
  <c r="Y1126" i="1"/>
  <c r="Z1126" i="1" a="1"/>
  <c r="Z1126" i="1" s="1"/>
  <c r="Y1114" i="1"/>
  <c r="Z1114" i="1" a="1"/>
  <c r="Z1114" i="1" s="1"/>
  <c r="Y1104" i="1"/>
  <c r="Z1104" i="1" a="1"/>
  <c r="Z1104" i="1" s="1"/>
  <c r="Y1091" i="1"/>
  <c r="Z1091" i="1" a="1"/>
  <c r="Z1091" i="1" s="1"/>
  <c r="Y1079" i="1"/>
  <c r="Z1079" i="1" a="1"/>
  <c r="Z1079" i="1" s="1"/>
  <c r="Y1055" i="1"/>
  <c r="Z1055" i="1" a="1"/>
  <c r="Z1055" i="1" s="1"/>
  <c r="Y1044" i="1"/>
  <c r="Z1044" i="1" a="1"/>
  <c r="Z1044" i="1" s="1"/>
  <c r="Y1020" i="1"/>
  <c r="Z1020" i="1" a="1"/>
  <c r="Z1020" i="1" s="1"/>
  <c r="Y996" i="1"/>
  <c r="Z996" i="1" a="1"/>
  <c r="Z996" i="1" s="1"/>
  <c r="Z985" i="1" a="1"/>
  <c r="Z985" i="1" s="1"/>
  <c r="Z975" i="1" a="1"/>
  <c r="Z975" i="1" s="1"/>
  <c r="Y975" i="1"/>
  <c r="Z962" i="1" a="1"/>
  <c r="Z962" i="1" s="1"/>
  <c r="Y951" i="1"/>
  <c r="Z951" i="1" a="1"/>
  <c r="Z951" i="1" s="1"/>
  <c r="Y938" i="1"/>
  <c r="Z938" i="1" a="1"/>
  <c r="Z938" i="1" s="1"/>
  <c r="Y916" i="1"/>
  <c r="Z916" i="1" a="1"/>
  <c r="Z916" i="1" s="1"/>
  <c r="Y904" i="1"/>
  <c r="Z904" i="1" a="1"/>
  <c r="Z904" i="1" s="1"/>
  <c r="Z879" i="1" a="1"/>
  <c r="Z879" i="1" s="1"/>
  <c r="Y879" i="1"/>
  <c r="Z1481" i="1" a="1"/>
  <c r="Z1481" i="1" s="1"/>
  <c r="Y1481" i="1"/>
  <c r="Y1388" i="1"/>
  <c r="Z1388" i="1" a="1"/>
  <c r="Z1388" i="1" s="1"/>
  <c r="Z1351" i="1" a="1"/>
  <c r="Z1351" i="1" s="1"/>
  <c r="Y1337" i="1"/>
  <c r="Z1337" i="1" a="1"/>
  <c r="Z1337" i="1" s="1"/>
  <c r="Z1324" i="1" a="1"/>
  <c r="Z1324" i="1" s="1"/>
  <c r="Y1258" i="1"/>
  <c r="Z1258" i="1" a="1"/>
  <c r="Z1258" i="1" s="1"/>
  <c r="Z1245" i="1" a="1"/>
  <c r="Z1245" i="1" s="1"/>
  <c r="Y1245" i="1"/>
  <c r="Y1234" i="1"/>
  <c r="Z1234" i="1" a="1"/>
  <c r="Z1234" i="1" s="1"/>
  <c r="Y1223" i="1"/>
  <c r="Z1223" i="1" a="1"/>
  <c r="Z1223" i="1" s="1"/>
  <c r="Y1210" i="1"/>
  <c r="Z1210" i="1" a="1"/>
  <c r="Z1210" i="1" s="1"/>
  <c r="Y1196" i="1"/>
  <c r="Z1196" i="1" a="1"/>
  <c r="Z1196" i="1" s="1"/>
  <c r="Z1183" i="1" a="1"/>
  <c r="Z1183" i="1" s="1"/>
  <c r="Y1183" i="1"/>
  <c r="Y1160" i="1"/>
  <c r="Z1160" i="1" a="1"/>
  <c r="Z1160" i="1" s="1"/>
  <c r="Y1149" i="1"/>
  <c r="Z1149" i="1" a="1"/>
  <c r="Z1149" i="1" s="1"/>
  <c r="Y1136" i="1"/>
  <c r="Z1136" i="1" a="1"/>
  <c r="Z1136" i="1" s="1"/>
  <c r="Y1125" i="1"/>
  <c r="Z1125" i="1" a="1"/>
  <c r="Z1125" i="1" s="1"/>
  <c r="Y1103" i="1"/>
  <c r="Z1103" i="1" a="1"/>
  <c r="Z1103" i="1" s="1"/>
  <c r="Y1090" i="1"/>
  <c r="Z1090" i="1" a="1"/>
  <c r="Z1090" i="1" s="1"/>
  <c r="Z1067" i="1" a="1"/>
  <c r="Z1067" i="1" s="1"/>
  <c r="Y1067" i="1"/>
  <c r="Y1043" i="1"/>
  <c r="Z1043" i="1" a="1"/>
  <c r="Z1043" i="1" s="1"/>
  <c r="Y1032" i="1"/>
  <c r="Z1032" i="1" a="1"/>
  <c r="Z1032" i="1" s="1"/>
  <c r="Y1019" i="1"/>
  <c r="Z1019" i="1" a="1"/>
  <c r="Z1019" i="1" s="1"/>
  <c r="Y1007" i="1"/>
  <c r="Z1007" i="1" a="1"/>
  <c r="Z1007" i="1" s="1"/>
  <c r="Y995" i="1"/>
  <c r="Z995" i="1" a="1"/>
  <c r="Z995" i="1" s="1"/>
  <c r="Y937" i="1"/>
  <c r="Z937" i="1" a="1"/>
  <c r="Z937" i="1" s="1"/>
  <c r="Y926" i="1"/>
  <c r="Z926" i="1" a="1"/>
  <c r="Z926" i="1" s="1"/>
  <c r="Y915" i="1"/>
  <c r="Z915" i="1" a="1"/>
  <c r="Z915" i="1" s="1"/>
  <c r="Y903" i="1"/>
  <c r="Z903" i="1" a="1"/>
  <c r="Z903" i="1" s="1"/>
  <c r="Y891" i="1"/>
  <c r="Z891" i="1" a="1"/>
  <c r="Z891" i="1" s="1"/>
  <c r="Y1437" i="1"/>
  <c r="Z1437" i="1" a="1"/>
  <c r="Z1437" i="1" s="1"/>
  <c r="Y1376" i="1"/>
  <c r="Z1376" i="1" a="1"/>
  <c r="Z1376" i="1" s="1"/>
  <c r="Y1350" i="1"/>
  <c r="Z1350" i="1" a="1"/>
  <c r="Z1350" i="1" s="1"/>
  <c r="Y1309" i="1"/>
  <c r="Z1309" i="1" a="1"/>
  <c r="Z1309" i="1" s="1"/>
  <c r="Y1298" i="1"/>
  <c r="Z1298" i="1" a="1"/>
  <c r="Z1298" i="1" s="1"/>
  <c r="Y1284" i="1"/>
  <c r="Z1284" i="1" a="1"/>
  <c r="Z1284" i="1" s="1"/>
  <c r="Y1271" i="1"/>
  <c r="Z1271" i="1" a="1"/>
  <c r="Z1271" i="1" s="1"/>
  <c r="Y1257" i="1"/>
  <c r="Z1257" i="1" a="1"/>
  <c r="Z1257" i="1" s="1"/>
  <c r="Y1244" i="1"/>
  <c r="Z1244" i="1" a="1"/>
  <c r="Z1244" i="1" s="1"/>
  <c r="Y1222" i="1"/>
  <c r="Z1222" i="1" a="1"/>
  <c r="Z1222" i="1" s="1"/>
  <c r="Y1209" i="1"/>
  <c r="Z1209" i="1" a="1"/>
  <c r="Z1209" i="1" s="1"/>
  <c r="Y1195" i="1"/>
  <c r="Z1195" i="1" a="1"/>
  <c r="Z1195" i="1" s="1"/>
  <c r="Y1182" i="1"/>
  <c r="Z1182" i="1" a="1"/>
  <c r="Z1182" i="1" s="1"/>
  <c r="Y1170" i="1"/>
  <c r="Z1170" i="1" a="1"/>
  <c r="Z1170" i="1" s="1"/>
  <c r="Y1148" i="1"/>
  <c r="Z1148" i="1" a="1"/>
  <c r="Z1148" i="1" s="1"/>
  <c r="Y1124" i="1"/>
  <c r="Z1124" i="1" a="1"/>
  <c r="Z1124" i="1" s="1"/>
  <c r="Y1113" i="1"/>
  <c r="Z1113" i="1" a="1"/>
  <c r="Z1113" i="1" s="1"/>
  <c r="Y1078" i="1"/>
  <c r="Z1078" i="1" a="1"/>
  <c r="Z1078" i="1" s="1"/>
  <c r="Y1066" i="1"/>
  <c r="Z1066" i="1" a="1"/>
  <c r="Z1066" i="1" s="1"/>
  <c r="Y1054" i="1"/>
  <c r="Z1054" i="1" a="1"/>
  <c r="Z1054" i="1" s="1"/>
  <c r="Y1031" i="1"/>
  <c r="Z1031" i="1" a="1"/>
  <c r="Z1031" i="1" s="1"/>
  <c r="Y1018" i="1"/>
  <c r="Z1018" i="1" a="1"/>
  <c r="Z1018" i="1" s="1"/>
  <c r="Y984" i="1"/>
  <c r="Z984" i="1" a="1"/>
  <c r="Z984" i="1" s="1"/>
  <c r="Y974" i="1"/>
  <c r="Z974" i="1" a="1"/>
  <c r="Z974" i="1" s="1"/>
  <c r="Y961" i="1"/>
  <c r="Z961" i="1" a="1"/>
  <c r="Z961" i="1" s="1"/>
  <c r="Z950" i="1" a="1"/>
  <c r="Z950" i="1" s="1"/>
  <c r="Y950" i="1"/>
  <c r="Y936" i="1"/>
  <c r="Z936" i="1" a="1"/>
  <c r="Z936" i="1" s="1"/>
  <c r="Y925" i="1"/>
  <c r="Z925" i="1" a="1"/>
  <c r="Z925" i="1" s="1"/>
  <c r="Z890" i="1" a="1"/>
  <c r="Z890" i="1" s="1"/>
  <c r="Y890" i="1"/>
  <c r="Y878" i="1"/>
  <c r="Z878" i="1" a="1"/>
  <c r="Z878" i="1" s="1"/>
  <c r="Y1411" i="1"/>
  <c r="Z1411" i="1" a="1"/>
  <c r="Z1411" i="1" s="1"/>
  <c r="Y1399" i="1"/>
  <c r="Z1399" i="1" a="1"/>
  <c r="Z1399" i="1" s="1"/>
  <c r="Y1375" i="1"/>
  <c r="Z1375" i="1" a="1"/>
  <c r="Z1375" i="1" s="1"/>
  <c r="Y1362" i="1"/>
  <c r="Z1362" i="1" a="1"/>
  <c r="Z1362" i="1" s="1"/>
  <c r="Y1349" i="1"/>
  <c r="Z1349" i="1" a="1"/>
  <c r="Z1349" i="1" s="1"/>
  <c r="Y1336" i="1"/>
  <c r="Z1336" i="1" a="1"/>
  <c r="Z1336" i="1" s="1"/>
  <c r="Z1323" i="1" a="1"/>
  <c r="Z1323" i="1" s="1"/>
  <c r="Y1323" i="1"/>
  <c r="Y1308" i="1"/>
  <c r="Z1308" i="1" a="1"/>
  <c r="Z1308" i="1" s="1"/>
  <c r="Y1297" i="1"/>
  <c r="Z1297" i="1" a="1"/>
  <c r="Z1297" i="1" s="1"/>
  <c r="Y1270" i="1"/>
  <c r="Z1270" i="1" a="1"/>
  <c r="Z1270" i="1" s="1"/>
  <c r="Y1256" i="1"/>
  <c r="Z1256" i="1" a="1"/>
  <c r="Z1256" i="1" s="1"/>
  <c r="Y1233" i="1"/>
  <c r="Z1233" i="1" a="1"/>
  <c r="Z1233" i="1" s="1"/>
  <c r="Y1221" i="1"/>
  <c r="Z1221" i="1" a="1"/>
  <c r="Z1221" i="1" s="1"/>
  <c r="Y1208" i="1"/>
  <c r="Z1208" i="1" a="1"/>
  <c r="Z1208" i="1" s="1"/>
  <c r="Y1194" i="1"/>
  <c r="Z1194" i="1" a="1"/>
  <c r="Z1194" i="1" s="1"/>
  <c r="Y1181" i="1"/>
  <c r="Z1181" i="1" a="1"/>
  <c r="Z1181" i="1" s="1"/>
  <c r="Y1159" i="1"/>
  <c r="Z1159" i="1" a="1"/>
  <c r="Z1159" i="1" s="1"/>
  <c r="Y1147" i="1"/>
  <c r="Z1147" i="1" a="1"/>
  <c r="Z1147" i="1" s="1"/>
  <c r="Z1135" i="1" a="1"/>
  <c r="Z1135" i="1" s="1"/>
  <c r="Y1135" i="1"/>
  <c r="Y1123" i="1"/>
  <c r="Z1123" i="1" a="1"/>
  <c r="Z1123" i="1" s="1"/>
  <c r="Y1112" i="1"/>
  <c r="Z1112" i="1" a="1"/>
  <c r="Z1112" i="1" s="1"/>
  <c r="Y1102" i="1"/>
  <c r="Z1102" i="1" a="1"/>
  <c r="Z1102" i="1" s="1"/>
  <c r="Y1089" i="1"/>
  <c r="Z1089" i="1" a="1"/>
  <c r="Z1089" i="1" s="1"/>
  <c r="Z1077" i="1" a="1"/>
  <c r="Z1077" i="1" s="1"/>
  <c r="Y1077" i="1"/>
  <c r="Y1053" i="1"/>
  <c r="Z1053" i="1" a="1"/>
  <c r="Z1053" i="1" s="1"/>
  <c r="Y1042" i="1"/>
  <c r="Z1042" i="1" a="1"/>
  <c r="Z1042" i="1" s="1"/>
  <c r="Y1017" i="1"/>
  <c r="Z1017" i="1" a="1"/>
  <c r="Z1017" i="1" s="1"/>
  <c r="Y1006" i="1"/>
  <c r="Z1006" i="1" a="1"/>
  <c r="Z1006" i="1" s="1"/>
  <c r="Y994" i="1"/>
  <c r="Z994" i="1" a="1"/>
  <c r="Z994" i="1" s="1"/>
  <c r="Y983" i="1"/>
  <c r="Z983" i="1" a="1"/>
  <c r="Z983" i="1" s="1"/>
  <c r="Y973" i="1"/>
  <c r="Z973" i="1" a="1"/>
  <c r="Z973" i="1" s="1"/>
  <c r="Y960" i="1"/>
  <c r="Z960" i="1" a="1"/>
  <c r="Z960" i="1" s="1"/>
  <c r="Y949" i="1"/>
  <c r="Z949" i="1" a="1"/>
  <c r="Z949" i="1" s="1"/>
  <c r="Y935" i="1"/>
  <c r="Z935" i="1" a="1"/>
  <c r="Z935" i="1" s="1"/>
  <c r="Y924" i="1"/>
  <c r="Z924" i="1" a="1"/>
  <c r="Z924" i="1" s="1"/>
  <c r="Y914" i="1"/>
  <c r="Z914" i="1" a="1"/>
  <c r="Z914" i="1" s="1"/>
  <c r="Y902" i="1"/>
  <c r="Z902" i="1" a="1"/>
  <c r="Z902" i="1" s="1"/>
  <c r="Z889" i="1" a="1"/>
  <c r="Z889" i="1" s="1"/>
  <c r="Y889" i="1"/>
  <c r="Y877" i="1"/>
  <c r="Z877" i="1" a="1"/>
  <c r="Z877" i="1" s="1"/>
  <c r="Z1410" i="1" a="1"/>
  <c r="Z1410" i="1" s="1"/>
  <c r="Y1410" i="1"/>
  <c r="Y1348" i="1"/>
  <c r="Z1348" i="1" a="1"/>
  <c r="Z1348" i="1" s="1"/>
  <c r="Y1322" i="1"/>
  <c r="Z1322" i="1" a="1"/>
  <c r="Z1322" i="1" s="1"/>
  <c r="Y1307" i="1"/>
  <c r="Z1307" i="1" a="1"/>
  <c r="Z1307" i="1" s="1"/>
  <c r="Z1296" i="1" a="1"/>
  <c r="Z1296" i="1" s="1"/>
  <c r="Y1296" i="1"/>
  <c r="Y1269" i="1"/>
  <c r="Z1269" i="1" a="1"/>
  <c r="Z1269" i="1" s="1"/>
  <c r="Y1255" i="1"/>
  <c r="Z1255" i="1" a="1"/>
  <c r="Z1255" i="1" s="1"/>
  <c r="Y1243" i="1"/>
  <c r="Z1243" i="1" a="1"/>
  <c r="Z1243" i="1" s="1"/>
  <c r="Y1232" i="1"/>
  <c r="Z1232" i="1" a="1"/>
  <c r="Z1232" i="1" s="1"/>
  <c r="Y1220" i="1"/>
  <c r="Z1220" i="1" a="1"/>
  <c r="Z1220" i="1" s="1"/>
  <c r="Y1207" i="1"/>
  <c r="Z1207" i="1" a="1"/>
  <c r="Z1207" i="1" s="1"/>
  <c r="Y1180" i="1"/>
  <c r="Z1180" i="1" a="1"/>
  <c r="Z1180" i="1" s="1"/>
  <c r="Y1169" i="1"/>
  <c r="Z1169" i="1" a="1"/>
  <c r="Z1169" i="1" s="1"/>
  <c r="Y1146" i="1"/>
  <c r="Z1146" i="1" a="1"/>
  <c r="Z1146" i="1" s="1"/>
  <c r="Y1122" i="1"/>
  <c r="Z1122" i="1" a="1"/>
  <c r="Z1122" i="1" s="1"/>
  <c r="Y1111" i="1"/>
  <c r="Z1111" i="1" a="1"/>
  <c r="Z1111" i="1" s="1"/>
  <c r="Y1101" i="1"/>
  <c r="Z1101" i="1" a="1"/>
  <c r="Z1101" i="1" s="1"/>
  <c r="Y1088" i="1"/>
  <c r="Z1088" i="1" a="1"/>
  <c r="Z1088" i="1" s="1"/>
  <c r="Y1076" i="1"/>
  <c r="Z1076" i="1" a="1"/>
  <c r="Z1076" i="1" s="1"/>
  <c r="Y1065" i="1"/>
  <c r="Z1065" i="1" a="1"/>
  <c r="Z1065" i="1" s="1"/>
  <c r="Y1052" i="1"/>
  <c r="Z1052" i="1" a="1"/>
  <c r="Z1052" i="1" s="1"/>
  <c r="Y1041" i="1"/>
  <c r="Z1041" i="1" a="1"/>
  <c r="Z1041" i="1" s="1"/>
  <c r="Z1030" i="1" a="1"/>
  <c r="Z1030" i="1" s="1"/>
  <c r="Y1030" i="1"/>
  <c r="Y1016" i="1"/>
  <c r="Z1016" i="1" a="1"/>
  <c r="Z1016" i="1" s="1"/>
  <c r="Y1005" i="1"/>
  <c r="Z1005" i="1" a="1"/>
  <c r="Z1005" i="1" s="1"/>
  <c r="Y993" i="1"/>
  <c r="Z993" i="1" a="1"/>
  <c r="Z993" i="1" s="1"/>
  <c r="Y972" i="1"/>
  <c r="Z972" i="1" a="1"/>
  <c r="Z972" i="1" s="1"/>
  <c r="Y959" i="1"/>
  <c r="Z959" i="1" a="1"/>
  <c r="Z959" i="1" s="1"/>
  <c r="Y948" i="1"/>
  <c r="Z948" i="1" a="1"/>
  <c r="Z948" i="1" s="1"/>
  <c r="Y913" i="1"/>
  <c r="Z913" i="1" a="1"/>
  <c r="Z913" i="1" s="1"/>
  <c r="Y901" i="1"/>
  <c r="Z901" i="1" a="1"/>
  <c r="Z901" i="1" s="1"/>
  <c r="Y888" i="1"/>
  <c r="Z888" i="1" a="1"/>
  <c r="Z888" i="1" s="1"/>
  <c r="Z876" i="1" a="1"/>
  <c r="Z876" i="1" s="1"/>
  <c r="Y876" i="1"/>
  <c r="Y1398" i="1"/>
  <c r="Z1398" i="1" a="1"/>
  <c r="Z1398" i="1" s="1"/>
  <c r="Y1361" i="1"/>
  <c r="Z1361" i="1" a="1"/>
  <c r="Z1361" i="1" s="1"/>
  <c r="Y1347" i="1"/>
  <c r="Z1347" i="1" a="1"/>
  <c r="Z1347" i="1" s="1"/>
  <c r="Y1335" i="1"/>
  <c r="Z1335" i="1" a="1"/>
  <c r="Z1335" i="1" s="1"/>
  <c r="Y1321" i="1"/>
  <c r="Z1321" i="1" a="1"/>
  <c r="Z1321" i="1" s="1"/>
  <c r="Y1295" i="1"/>
  <c r="Z1295" i="1" a="1"/>
  <c r="Z1295" i="1" s="1"/>
  <c r="Y1281" i="1"/>
  <c r="Z1281" i="1" a="1"/>
  <c r="Z1281" i="1" s="1"/>
  <c r="Y1268" i="1"/>
  <c r="Z1268" i="1" a="1"/>
  <c r="Z1268" i="1" s="1"/>
  <c r="Y1254" i="1"/>
  <c r="Z1254" i="1" a="1"/>
  <c r="Z1254" i="1" s="1"/>
  <c r="Y1219" i="1"/>
  <c r="Z1219" i="1" a="1"/>
  <c r="Z1219" i="1" s="1"/>
  <c r="Y1206" i="1"/>
  <c r="Z1206" i="1" a="1"/>
  <c r="Z1206" i="1" s="1"/>
  <c r="Y1193" i="1"/>
  <c r="Z1193" i="1" a="1"/>
  <c r="Z1193" i="1" s="1"/>
  <c r="Y1158" i="1"/>
  <c r="Z1158" i="1" a="1"/>
  <c r="Z1158" i="1" s="1"/>
  <c r="Y1145" i="1"/>
  <c r="Z1145" i="1" a="1"/>
  <c r="Z1145" i="1" s="1"/>
  <c r="Y1134" i="1"/>
  <c r="Z1134" i="1" a="1"/>
  <c r="Z1134" i="1" s="1"/>
  <c r="Y1100" i="1"/>
  <c r="Z1100" i="1" a="1"/>
  <c r="Z1100" i="1" s="1"/>
  <c r="Y1087" i="1"/>
  <c r="Z1087" i="1" a="1"/>
  <c r="Z1087" i="1" s="1"/>
  <c r="Y1064" i="1"/>
  <c r="Z1064" i="1" a="1"/>
  <c r="Z1064" i="1" s="1"/>
  <c r="Y1029" i="1"/>
  <c r="Z1029" i="1" a="1"/>
  <c r="Z1029" i="1" s="1"/>
  <c r="Y1004" i="1"/>
  <c r="Z1004" i="1" a="1"/>
  <c r="Z1004" i="1" s="1"/>
  <c r="Y982" i="1"/>
  <c r="Z982" i="1" a="1"/>
  <c r="Z982" i="1" s="1"/>
  <c r="Y971" i="1"/>
  <c r="Z971" i="1" a="1"/>
  <c r="Z971" i="1" s="1"/>
  <c r="Y934" i="1"/>
  <c r="Z934" i="1" a="1"/>
  <c r="Z934" i="1" s="1"/>
  <c r="Y923" i="1"/>
  <c r="Z923" i="1" a="1"/>
  <c r="Z923" i="1" s="1"/>
  <c r="Z912" i="1" a="1"/>
  <c r="Z912" i="1" s="1"/>
  <c r="Y912" i="1"/>
  <c r="Y900" i="1"/>
  <c r="Z900" i="1" a="1"/>
  <c r="Z900" i="1" s="1"/>
  <c r="Y1409" i="1"/>
  <c r="Z1409" i="1" a="1"/>
  <c r="Z1409" i="1" s="1"/>
  <c r="Y1385" i="1"/>
  <c r="Z1385" i="1" a="1"/>
  <c r="Z1385" i="1" s="1"/>
  <c r="Y1372" i="1"/>
  <c r="Z1372" i="1" a="1"/>
  <c r="Z1372" i="1" s="1"/>
  <c r="Y1346" i="1"/>
  <c r="Z1346" i="1" a="1"/>
  <c r="Z1346" i="1" s="1"/>
  <c r="Y1334" i="1"/>
  <c r="Z1334" i="1" a="1"/>
  <c r="Z1334" i="1" s="1"/>
  <c r="Y1320" i="1"/>
  <c r="Z1320" i="1" a="1"/>
  <c r="Z1320" i="1" s="1"/>
  <c r="Z1306" i="1" a="1"/>
  <c r="Z1306" i="1" s="1"/>
  <c r="Y1306" i="1"/>
  <c r="Y1280" i="1"/>
  <c r="Z1280" i="1" a="1"/>
  <c r="Z1280" i="1" s="1"/>
  <c r="Y1267" i="1"/>
  <c r="Z1267" i="1" a="1"/>
  <c r="Z1267" i="1" s="1"/>
  <c r="Y1253" i="1"/>
  <c r="Z1253" i="1" a="1"/>
  <c r="Z1253" i="1" s="1"/>
  <c r="Y1242" i="1"/>
  <c r="Z1242" i="1" a="1"/>
  <c r="Z1242" i="1" s="1"/>
  <c r="Y1231" i="1"/>
  <c r="Z1231" i="1" a="1"/>
  <c r="Z1231" i="1" s="1"/>
  <c r="Y1218" i="1"/>
  <c r="Z1218" i="1" a="1"/>
  <c r="Z1218" i="1" s="1"/>
  <c r="Y1205" i="1"/>
  <c r="Z1205" i="1" a="1"/>
  <c r="Z1205" i="1" s="1"/>
  <c r="Y1192" i="1"/>
  <c r="Z1192" i="1" a="1"/>
  <c r="Z1192" i="1" s="1"/>
  <c r="Y1179" i="1"/>
  <c r="Z1179" i="1" a="1"/>
  <c r="Z1179" i="1" s="1"/>
  <c r="Y1168" i="1"/>
  <c r="Z1168" i="1" a="1"/>
  <c r="Z1168" i="1" s="1"/>
  <c r="Y1157" i="1"/>
  <c r="Z1157" i="1" a="1"/>
  <c r="Z1157" i="1" s="1"/>
  <c r="Y1144" i="1"/>
  <c r="Z1144" i="1" a="1"/>
  <c r="Z1144" i="1" s="1"/>
  <c r="Y1133" i="1"/>
  <c r="Z1133" i="1" a="1"/>
  <c r="Z1133" i="1" s="1"/>
  <c r="Y1121" i="1"/>
  <c r="Z1121" i="1" a="1"/>
  <c r="Z1121" i="1" s="1"/>
  <c r="Y1110" i="1"/>
  <c r="Z1110" i="1" a="1"/>
  <c r="Z1110" i="1" s="1"/>
  <c r="Y1099" i="1"/>
  <c r="Z1099" i="1" a="1"/>
  <c r="Z1099" i="1" s="1"/>
  <c r="Y1075" i="1"/>
  <c r="Z1075" i="1" a="1"/>
  <c r="Z1075" i="1" s="1"/>
  <c r="Y1063" i="1"/>
  <c r="Z1063" i="1" a="1"/>
  <c r="Z1063" i="1" s="1"/>
  <c r="Y1051" i="1"/>
  <c r="Z1051" i="1" a="1"/>
  <c r="Z1051" i="1" s="1"/>
  <c r="Y1040" i="1"/>
  <c r="Z1040" i="1" a="1"/>
  <c r="Z1040" i="1" s="1"/>
  <c r="Y1028" i="1"/>
  <c r="Z1028" i="1" a="1"/>
  <c r="Z1028" i="1" s="1"/>
  <c r="Y1015" i="1"/>
  <c r="Z1015" i="1" a="1"/>
  <c r="Z1015" i="1" s="1"/>
  <c r="Y1003" i="1"/>
  <c r="Z1003" i="1" a="1"/>
  <c r="Z1003" i="1" s="1"/>
  <c r="Y992" i="1"/>
  <c r="Z992" i="1" a="1"/>
  <c r="Z992" i="1" s="1"/>
  <c r="Y981" i="1"/>
  <c r="Z981" i="1" a="1"/>
  <c r="Z981" i="1" s="1"/>
  <c r="Y970" i="1"/>
  <c r="Z970" i="1" a="1"/>
  <c r="Z970" i="1" s="1"/>
  <c r="Y958" i="1"/>
  <c r="Z958" i="1" a="1"/>
  <c r="Z958" i="1" s="1"/>
  <c r="Y947" i="1"/>
  <c r="Z947" i="1" a="1"/>
  <c r="Z947" i="1" s="1"/>
  <c r="Y933" i="1"/>
  <c r="Z933" i="1" a="1"/>
  <c r="Z933" i="1" s="1"/>
  <c r="Y922" i="1"/>
  <c r="Z922" i="1" a="1"/>
  <c r="Z922" i="1" s="1"/>
  <c r="Z899" i="1" a="1"/>
  <c r="Z899" i="1" s="1"/>
  <c r="Y899" i="1"/>
  <c r="Z875" i="1" a="1"/>
  <c r="Z875" i="1" s="1"/>
  <c r="Y875" i="1"/>
  <c r="Y1408" i="1"/>
  <c r="Z1408" i="1" a="1"/>
  <c r="Z1408" i="1" s="1"/>
  <c r="Y1371" i="1"/>
  <c r="Z1371" i="1" a="1"/>
  <c r="Z1371" i="1" s="1"/>
  <c r="Y1360" i="1"/>
  <c r="Z1360" i="1" a="1"/>
  <c r="Z1360" i="1" s="1"/>
  <c r="Y1345" i="1"/>
  <c r="Z1345" i="1" a="1"/>
  <c r="Z1345" i="1" s="1"/>
  <c r="Z1333" i="1" a="1"/>
  <c r="Z1333" i="1" s="1"/>
  <c r="Y1333" i="1"/>
  <c r="Y1294" i="1"/>
  <c r="Z1294" i="1" a="1"/>
  <c r="Z1294" i="1" s="1"/>
  <c r="Y1279" i="1"/>
  <c r="Z1279" i="1" a="1"/>
  <c r="Z1279" i="1" s="1"/>
  <c r="Y1266" i="1"/>
  <c r="Z1266" i="1" a="1"/>
  <c r="Z1266" i="1" s="1"/>
  <c r="Z1252" i="1" a="1"/>
  <c r="Z1252" i="1" s="1"/>
  <c r="Y1252" i="1"/>
  <c r="Y1217" i="1"/>
  <c r="Z1217" i="1" a="1"/>
  <c r="Z1217" i="1" s="1"/>
  <c r="Y1204" i="1"/>
  <c r="Z1204" i="1" a="1"/>
  <c r="Z1204" i="1" s="1"/>
  <c r="Y1191" i="1"/>
  <c r="Z1191" i="1" a="1"/>
  <c r="Z1191" i="1" s="1"/>
  <c r="Y1178" i="1"/>
  <c r="Z1178" i="1" a="1"/>
  <c r="Z1178" i="1" s="1"/>
  <c r="Y1156" i="1"/>
  <c r="Z1156" i="1" a="1"/>
  <c r="Z1156" i="1" s="1"/>
  <c r="Y1143" i="1"/>
  <c r="Z1143" i="1" a="1"/>
  <c r="Z1143" i="1" s="1"/>
  <c r="Y1132" i="1"/>
  <c r="Z1132" i="1" a="1"/>
  <c r="Z1132" i="1" s="1"/>
  <c r="Y1120" i="1"/>
  <c r="Z1120" i="1" a="1"/>
  <c r="Z1120" i="1" s="1"/>
  <c r="Y1109" i="1"/>
  <c r="Z1109" i="1" a="1"/>
  <c r="Z1109" i="1" s="1"/>
  <c r="Y1098" i="1"/>
  <c r="Z1098" i="1" a="1"/>
  <c r="Z1098" i="1" s="1"/>
  <c r="Y1086" i="1"/>
  <c r="Z1086" i="1" a="1"/>
  <c r="Z1086" i="1" s="1"/>
  <c r="Y1074" i="1"/>
  <c r="Z1074" i="1" a="1"/>
  <c r="Z1074" i="1" s="1"/>
  <c r="Y1050" i="1"/>
  <c r="Z1050" i="1" a="1"/>
  <c r="Z1050" i="1" s="1"/>
  <c r="Y1039" i="1"/>
  <c r="Z1039" i="1" a="1"/>
  <c r="Z1039" i="1" s="1"/>
  <c r="Y1027" i="1"/>
  <c r="Z1027" i="1" a="1"/>
  <c r="Z1027" i="1" s="1"/>
  <c r="Y991" i="1"/>
  <c r="Z991" i="1" a="1"/>
  <c r="Z991" i="1" s="1"/>
  <c r="Y980" i="1"/>
  <c r="Z980" i="1" a="1"/>
  <c r="Z980" i="1" s="1"/>
  <c r="Y969" i="1"/>
  <c r="Z969" i="1" a="1"/>
  <c r="Z969" i="1" s="1"/>
  <c r="Y957" i="1"/>
  <c r="Z957" i="1" a="1"/>
  <c r="Z957" i="1" s="1"/>
  <c r="Y946" i="1"/>
  <c r="Z946" i="1" a="1"/>
  <c r="Z946" i="1" s="1"/>
  <c r="Y932" i="1"/>
  <c r="Z932" i="1" a="1"/>
  <c r="Z932" i="1" s="1"/>
  <c r="Y911" i="1"/>
  <c r="Z911" i="1" a="1"/>
  <c r="Z911" i="1" s="1"/>
  <c r="Y898" i="1"/>
  <c r="Z898" i="1" a="1"/>
  <c r="Z898" i="1" s="1"/>
  <c r="Z1488" i="1" a="1"/>
  <c r="Z1488" i="1" s="1"/>
  <c r="Y1488" i="1"/>
  <c r="Y1446" i="1"/>
  <c r="Z1446" i="1" a="1"/>
  <c r="Z1446" i="1" s="1"/>
  <c r="Y1370" i="1"/>
  <c r="Z1370" i="1" a="1"/>
  <c r="Z1370" i="1" s="1"/>
  <c r="Y1359" i="1"/>
  <c r="Z1359" i="1" a="1"/>
  <c r="Z1359" i="1" s="1"/>
  <c r="Y1332" i="1"/>
  <c r="Z1332" i="1" a="1"/>
  <c r="Z1332" i="1" s="1"/>
  <c r="Y1318" i="1"/>
  <c r="Z1318" i="1" a="1"/>
  <c r="Z1318" i="1" s="1"/>
  <c r="Y1305" i="1"/>
  <c r="Z1305" i="1" a="1"/>
  <c r="Z1305" i="1" s="1"/>
  <c r="Y1293" i="1"/>
  <c r="Z1293" i="1" a="1"/>
  <c r="Z1293" i="1" s="1"/>
  <c r="Y1278" i="1"/>
  <c r="Z1278" i="1" a="1"/>
  <c r="Z1278" i="1" s="1"/>
  <c r="Y1265" i="1"/>
  <c r="Z1265" i="1" a="1"/>
  <c r="Z1265" i="1" s="1"/>
  <c r="Y1241" i="1"/>
  <c r="Z1241" i="1" a="1"/>
  <c r="Z1241" i="1" s="1"/>
  <c r="Y1230" i="1"/>
  <c r="Z1230" i="1" a="1"/>
  <c r="Z1230" i="1" s="1"/>
  <c r="Y1216" i="1"/>
  <c r="Z1216" i="1" a="1"/>
  <c r="Z1216" i="1" s="1"/>
  <c r="Y1190" i="1"/>
  <c r="Z1190" i="1" a="1"/>
  <c r="Z1190" i="1" s="1"/>
  <c r="Y1177" i="1"/>
  <c r="Z1177" i="1" a="1"/>
  <c r="Z1177" i="1" s="1"/>
  <c r="Y1167" i="1"/>
  <c r="Z1167" i="1" a="1"/>
  <c r="Z1167" i="1" s="1"/>
  <c r="Y1155" i="1"/>
  <c r="Z1155" i="1" a="1"/>
  <c r="Z1155" i="1" s="1"/>
  <c r="Y1119" i="1"/>
  <c r="Z1119" i="1" a="1"/>
  <c r="Z1119" i="1" s="1"/>
  <c r="Y1108" i="1"/>
  <c r="Z1108" i="1" a="1"/>
  <c r="Z1108" i="1" s="1"/>
  <c r="Y1097" i="1"/>
  <c r="Z1097" i="1" a="1"/>
  <c r="Z1097" i="1" s="1"/>
  <c r="Y1085" i="1"/>
  <c r="Z1085" i="1" a="1"/>
  <c r="Z1085" i="1" s="1"/>
  <c r="Y1073" i="1"/>
  <c r="Z1073" i="1" a="1"/>
  <c r="Z1073" i="1" s="1"/>
  <c r="Y1062" i="1"/>
  <c r="Z1062" i="1" a="1"/>
  <c r="Z1062" i="1" s="1"/>
  <c r="Y1026" i="1"/>
  <c r="Z1026" i="1" a="1"/>
  <c r="Z1026" i="1" s="1"/>
  <c r="Y1014" i="1"/>
  <c r="Z1014" i="1" a="1"/>
  <c r="Z1014" i="1" s="1"/>
  <c r="Y1002" i="1"/>
  <c r="Z1002" i="1" a="1"/>
  <c r="Z1002" i="1" s="1"/>
  <c r="Y956" i="1"/>
  <c r="Z956" i="1" a="1"/>
  <c r="Z956" i="1" s="1"/>
  <c r="Y945" i="1"/>
  <c r="Z945" i="1" a="1"/>
  <c r="Z945" i="1" s="1"/>
  <c r="Y921" i="1"/>
  <c r="Z921" i="1" a="1"/>
  <c r="Z921" i="1" s="1"/>
  <c r="Y897" i="1"/>
  <c r="Z897" i="1" a="1"/>
  <c r="Z897" i="1" s="1"/>
  <c r="Y885" i="1"/>
  <c r="Z885" i="1" a="1"/>
  <c r="Z885" i="1" s="1"/>
  <c r="Y1431" i="1"/>
  <c r="Z1431" i="1" a="1"/>
  <c r="Z1431" i="1" s="1"/>
  <c r="Y1420" i="1"/>
  <c r="Z1420" i="1" a="1"/>
  <c r="Z1420" i="1" s="1"/>
  <c r="Y1407" i="1"/>
  <c r="Z1407" i="1" a="1"/>
  <c r="Z1407" i="1" s="1"/>
  <c r="Y1395" i="1"/>
  <c r="Z1395" i="1" a="1"/>
  <c r="Z1395" i="1" s="1"/>
  <c r="Y1382" i="1"/>
  <c r="Z1382" i="1" a="1"/>
  <c r="Z1382" i="1" s="1"/>
  <c r="Y1369" i="1"/>
  <c r="Z1369" i="1" a="1"/>
  <c r="Z1369" i="1" s="1"/>
  <c r="Y1331" i="1"/>
  <c r="Z1331" i="1" a="1"/>
  <c r="Z1331" i="1" s="1"/>
  <c r="Y1317" i="1"/>
  <c r="Z1317" i="1" a="1"/>
  <c r="Z1317" i="1" s="1"/>
  <c r="Y1304" i="1"/>
  <c r="Z1304" i="1" a="1"/>
  <c r="Z1304" i="1" s="1"/>
  <c r="Y1292" i="1"/>
  <c r="Z1292" i="1" a="1"/>
  <c r="Z1292" i="1" s="1"/>
  <c r="Y1277" i="1"/>
  <c r="Z1277" i="1" a="1"/>
  <c r="Z1277" i="1" s="1"/>
  <c r="Y1264" i="1"/>
  <c r="Z1264" i="1" a="1"/>
  <c r="Z1264" i="1" s="1"/>
  <c r="Y1251" i="1"/>
  <c r="Z1251" i="1" a="1"/>
  <c r="Z1251" i="1" s="1"/>
  <c r="Y1229" i="1"/>
  <c r="Z1229" i="1" a="1"/>
  <c r="Z1229" i="1" s="1"/>
  <c r="Y1203" i="1"/>
  <c r="Z1203" i="1" a="1"/>
  <c r="Z1203" i="1" s="1"/>
  <c r="Y1189" i="1"/>
  <c r="Z1189" i="1" a="1"/>
  <c r="Z1189" i="1" s="1"/>
  <c r="Y1154" i="1"/>
  <c r="Z1154" i="1" a="1"/>
  <c r="Z1154" i="1" s="1"/>
  <c r="Y1142" i="1"/>
  <c r="Z1142" i="1" a="1"/>
  <c r="Z1142" i="1" s="1"/>
  <c r="Y1131" i="1"/>
  <c r="Z1131" i="1" a="1"/>
  <c r="Z1131" i="1" s="1"/>
  <c r="Z1084" i="1" a="1"/>
  <c r="Z1084" i="1" s="1"/>
  <c r="Y1084" i="1"/>
  <c r="Y1072" i="1"/>
  <c r="Z1072" i="1" a="1"/>
  <c r="Z1072" i="1" s="1"/>
  <c r="Y1061" i="1"/>
  <c r="Z1061" i="1" a="1"/>
  <c r="Z1061" i="1" s="1"/>
  <c r="Y1049" i="1"/>
  <c r="Z1049" i="1" a="1"/>
  <c r="Z1049" i="1" s="1"/>
  <c r="Y1038" i="1"/>
  <c r="Z1038" i="1" a="1"/>
  <c r="Z1038" i="1" s="1"/>
  <c r="Y1013" i="1"/>
  <c r="Z1013" i="1" a="1"/>
  <c r="Z1013" i="1" s="1"/>
  <c r="Y990" i="1"/>
  <c r="Z990" i="1" a="1"/>
  <c r="Z990" i="1" s="1"/>
  <c r="Y979" i="1"/>
  <c r="Z979" i="1" a="1"/>
  <c r="Z979" i="1" s="1"/>
  <c r="Y968" i="1"/>
  <c r="Z968" i="1" a="1"/>
  <c r="Z968" i="1" s="1"/>
  <c r="Y944" i="1"/>
  <c r="Z944" i="1" a="1"/>
  <c r="Z944" i="1" s="1"/>
  <c r="Z931" i="1" a="1"/>
  <c r="Z931" i="1" s="1"/>
  <c r="Y931" i="1"/>
  <c r="Y910" i="1"/>
  <c r="Z910" i="1" a="1"/>
  <c r="Z910" i="1" s="1"/>
  <c r="Z896" i="1" a="1"/>
  <c r="Z896" i="1" s="1"/>
  <c r="Y896" i="1"/>
  <c r="Y1381" i="1"/>
  <c r="Z1381" i="1" a="1"/>
  <c r="Z1381" i="1" s="1"/>
  <c r="Y1358" i="1"/>
  <c r="Z1358" i="1" a="1"/>
  <c r="Z1358" i="1" s="1"/>
  <c r="Z1316" i="1" a="1"/>
  <c r="Z1316" i="1" s="1"/>
  <c r="Y1316" i="1"/>
  <c r="Y1291" i="1"/>
  <c r="Z1291" i="1" a="1"/>
  <c r="Z1291" i="1" s="1"/>
  <c r="Y1276" i="1"/>
  <c r="Z1276" i="1" a="1"/>
  <c r="Z1276" i="1" s="1"/>
  <c r="Y1240" i="1"/>
  <c r="Z1240" i="1" a="1"/>
  <c r="Z1240" i="1" s="1"/>
  <c r="Y1228" i="1"/>
  <c r="Z1228" i="1" a="1"/>
  <c r="Z1228" i="1" s="1"/>
  <c r="Y1215" i="1"/>
  <c r="Z1215" i="1" a="1"/>
  <c r="Z1215" i="1" s="1"/>
  <c r="Y1202" i="1"/>
  <c r="Z1202" i="1" a="1"/>
  <c r="Z1202" i="1" s="1"/>
  <c r="Y1188" i="1"/>
  <c r="Z1188" i="1" a="1"/>
  <c r="Z1188" i="1" s="1"/>
  <c r="Y1176" i="1"/>
  <c r="Z1176" i="1" a="1"/>
  <c r="Z1176" i="1" s="1"/>
  <c r="Y1166" i="1"/>
  <c r="Z1166" i="1" a="1"/>
  <c r="Z1166" i="1" s="1"/>
  <c r="Y1141" i="1"/>
  <c r="Z1141" i="1" a="1"/>
  <c r="Z1141" i="1" s="1"/>
  <c r="Y1130" i="1"/>
  <c r="Z1130" i="1" a="1"/>
  <c r="Z1130" i="1" s="1"/>
  <c r="Y1118" i="1"/>
  <c r="Z1118" i="1" a="1"/>
  <c r="Z1118" i="1" s="1"/>
  <c r="Y1107" i="1"/>
  <c r="Z1107" i="1" a="1"/>
  <c r="Z1107" i="1" s="1"/>
  <c r="Y1096" i="1"/>
  <c r="Z1096" i="1" a="1"/>
  <c r="Z1096" i="1" s="1"/>
  <c r="Y1060" i="1"/>
  <c r="Z1060" i="1" a="1"/>
  <c r="Z1060" i="1" s="1"/>
  <c r="Y1048" i="1"/>
  <c r="Z1048" i="1" a="1"/>
  <c r="Z1048" i="1" s="1"/>
  <c r="Y1037" i="1"/>
  <c r="Z1037" i="1" a="1"/>
  <c r="Z1037" i="1" s="1"/>
  <c r="Y1025" i="1"/>
  <c r="Z1025" i="1" a="1"/>
  <c r="Z1025" i="1" s="1"/>
  <c r="Y1012" i="1"/>
  <c r="Z1012" i="1" a="1"/>
  <c r="Z1012" i="1" s="1"/>
  <c r="Y1001" i="1"/>
  <c r="Z1001" i="1" a="1"/>
  <c r="Z1001" i="1" s="1"/>
  <c r="Y989" i="1"/>
  <c r="Z989" i="1" a="1"/>
  <c r="Z989" i="1" s="1"/>
  <c r="Z978" i="1" a="1"/>
  <c r="Z978" i="1" s="1"/>
  <c r="Y978" i="1"/>
  <c r="Y967" i="1"/>
  <c r="Z967" i="1" a="1"/>
  <c r="Z967" i="1" s="1"/>
  <c r="Y955" i="1"/>
  <c r="Z955" i="1" a="1"/>
  <c r="Z955" i="1" s="1"/>
  <c r="Y943" i="1"/>
  <c r="Z943" i="1" a="1"/>
  <c r="Z943" i="1" s="1"/>
  <c r="Y920" i="1"/>
  <c r="Z920" i="1" a="1"/>
  <c r="Z920" i="1" s="1"/>
  <c r="Y909" i="1"/>
  <c r="Z909" i="1" a="1"/>
  <c r="Z909" i="1" s="1"/>
  <c r="Y1429" i="1"/>
  <c r="Z1429" i="1" a="1"/>
  <c r="Z1429" i="1" s="1"/>
  <c r="Y1394" i="1"/>
  <c r="Z1394" i="1" a="1"/>
  <c r="Z1394" i="1" s="1"/>
  <c r="Z1380" i="1" a="1"/>
  <c r="Z1380" i="1" s="1"/>
  <c r="Y1380" i="1"/>
  <c r="Y1368" i="1"/>
  <c r="Z1368" i="1" a="1"/>
  <c r="Z1368" i="1" s="1"/>
  <c r="Y1330" i="1"/>
  <c r="Z1330" i="1" a="1"/>
  <c r="Z1330" i="1" s="1"/>
  <c r="Y1315" i="1"/>
  <c r="Z1315" i="1" a="1"/>
  <c r="Z1315" i="1" s="1"/>
  <c r="Y1290" i="1"/>
  <c r="Z1290" i="1" a="1"/>
  <c r="Z1290" i="1" s="1"/>
  <c r="Y1263" i="1"/>
  <c r="Z1263" i="1" a="1"/>
  <c r="Z1263" i="1" s="1"/>
  <c r="Y1250" i="1"/>
  <c r="Z1250" i="1" a="1"/>
  <c r="Z1250" i="1" s="1"/>
  <c r="Y1239" i="1"/>
  <c r="Z1239" i="1" a="1"/>
  <c r="Z1239" i="1" s="1"/>
  <c r="Y1227" i="1"/>
  <c r="Z1227" i="1" a="1"/>
  <c r="Z1227" i="1" s="1"/>
  <c r="Y1201" i="1"/>
  <c r="Z1201" i="1" a="1"/>
  <c r="Z1201" i="1" s="1"/>
  <c r="Y1187" i="1"/>
  <c r="Z1187" i="1" a="1"/>
  <c r="Z1187" i="1" s="1"/>
  <c r="Y1175" i="1"/>
  <c r="Z1175" i="1" a="1"/>
  <c r="Z1175" i="1" s="1"/>
  <c r="Y1165" i="1"/>
  <c r="Z1165" i="1" a="1"/>
  <c r="Z1165" i="1" s="1"/>
  <c r="Y1153" i="1"/>
  <c r="Z1153" i="1" a="1"/>
  <c r="Z1153" i="1" s="1"/>
  <c r="Y1140" i="1"/>
  <c r="Z1140" i="1" a="1"/>
  <c r="Z1140" i="1" s="1"/>
  <c r="Y1117" i="1"/>
  <c r="Z1117" i="1" a="1"/>
  <c r="Z1117" i="1" s="1"/>
  <c r="Y1095" i="1"/>
  <c r="Z1095" i="1" a="1"/>
  <c r="Z1095" i="1" s="1"/>
  <c r="Y1083" i="1"/>
  <c r="Z1083" i="1" a="1"/>
  <c r="Z1083" i="1" s="1"/>
  <c r="Y1071" i="1"/>
  <c r="Z1071" i="1" a="1"/>
  <c r="Z1071" i="1" s="1"/>
  <c r="Y1059" i="1"/>
  <c r="Z1059" i="1" a="1"/>
  <c r="Z1059" i="1" s="1"/>
  <c r="Y1036" i="1"/>
  <c r="Z1036" i="1" a="1"/>
  <c r="Z1036" i="1" s="1"/>
  <c r="Y1024" i="1"/>
  <c r="Z1024" i="1" a="1"/>
  <c r="Z1024" i="1" s="1"/>
  <c r="Z1000" i="1" a="1"/>
  <c r="Z1000" i="1" s="1"/>
  <c r="Y1000" i="1"/>
  <c r="Y988" i="1"/>
  <c r="Z988" i="1" a="1"/>
  <c r="Z988" i="1" s="1"/>
  <c r="Y954" i="1"/>
  <c r="Z954" i="1" a="1"/>
  <c r="Z954" i="1" s="1"/>
  <c r="Y930" i="1"/>
  <c r="Z930" i="1" a="1"/>
  <c r="Z930" i="1" s="1"/>
  <c r="Y908" i="1"/>
  <c r="Z908" i="1" a="1"/>
  <c r="Z908" i="1" s="1"/>
  <c r="Y895" i="1"/>
  <c r="Z895" i="1" a="1"/>
  <c r="Z895" i="1" s="1"/>
  <c r="Y871" i="1"/>
  <c r="Z871" i="1" a="1"/>
  <c r="Z871" i="1" s="1"/>
  <c r="Y870" i="1"/>
  <c r="Z870" i="1" a="1"/>
  <c r="Z870" i="1" s="1"/>
  <c r="Y880" i="1"/>
  <c r="Z880" i="1" a="1"/>
  <c r="Z880" i="1" s="1"/>
  <c r="Z869" i="1" a="1"/>
  <c r="Z869" i="1" s="1"/>
  <c r="Y869" i="1"/>
  <c r="Y868" i="1"/>
  <c r="Z868" i="1" a="1"/>
  <c r="Z868" i="1" s="1"/>
  <c r="Y867" i="1"/>
  <c r="Z867" i="1" a="1"/>
  <c r="Z867" i="1" s="1"/>
  <c r="Y866" i="1"/>
  <c r="Z866" i="1" a="1"/>
  <c r="Z866" i="1" s="1"/>
  <c r="Y865" i="1"/>
  <c r="Z865" i="1" a="1"/>
  <c r="Z865" i="1" s="1"/>
  <c r="Y887" i="1"/>
  <c r="Z887" i="1" a="1"/>
  <c r="Z887" i="1" s="1"/>
  <c r="Y864" i="1"/>
  <c r="Z864" i="1" a="1"/>
  <c r="Z864" i="1" s="1"/>
  <c r="Y886" i="1"/>
  <c r="Z886" i="1" a="1"/>
  <c r="Z886" i="1" s="1"/>
  <c r="Y874" i="1"/>
  <c r="Z874" i="1" a="1"/>
  <c r="Z874" i="1" s="1"/>
  <c r="Y863" i="1"/>
  <c r="Z863" i="1" a="1"/>
  <c r="Z863" i="1" s="1"/>
  <c r="Y873" i="1"/>
  <c r="Z873" i="1" a="1"/>
  <c r="Z873" i="1" s="1"/>
  <c r="Y884" i="1"/>
  <c r="Z884" i="1" a="1"/>
  <c r="Z884" i="1" s="1"/>
  <c r="Y862" i="1"/>
  <c r="Z862" i="1" a="1"/>
  <c r="Z862" i="1" s="1"/>
  <c r="Y883" i="1"/>
  <c r="Z883" i="1" a="1"/>
  <c r="Z883" i="1" s="1"/>
  <c r="Y872" i="1"/>
  <c r="Z872" i="1" a="1"/>
  <c r="Z872" i="1" s="1"/>
  <c r="Y861" i="1"/>
  <c r="Z861" i="1" a="1"/>
  <c r="Z861" i="1" s="1"/>
  <c r="V6" i="1"/>
  <c r="U6" i="1"/>
  <c r="Y4" i="1"/>
  <c r="AZ4" i="1" a="1"/>
  <c r="AZ4" i="1" s="1"/>
  <c r="AX4" i="1" a="1"/>
  <c r="AX4" i="1" s="1"/>
  <c r="AY4" i="1" a="1"/>
  <c r="AY4" i="1" s="1"/>
  <c r="AW4" i="1" a="1"/>
  <c r="AW4" i="1" s="1"/>
  <c r="V5" i="1"/>
  <c r="U5" i="1"/>
  <c r="AS3" i="1"/>
  <c r="Z3" i="1" a="1"/>
  <c r="Z3" i="1" s="1"/>
  <c r="AM3" i="1"/>
  <c r="AQ3" i="1" s="1"/>
  <c r="U4" i="1"/>
  <c r="AU4" i="1" s="1"/>
  <c r="V4" i="1"/>
  <c r="AV4" i="1" s="1"/>
  <c r="AJ354" i="1" l="1"/>
  <c r="AL354" i="1" s="1"/>
  <c r="AJ104" i="1"/>
  <c r="AL104" i="1" s="1"/>
  <c r="AP104" i="1" s="1"/>
  <c r="AJ23" i="1"/>
  <c r="AL23" i="1" s="1"/>
  <c r="AP23" i="1" s="1"/>
  <c r="AJ577" i="1"/>
  <c r="AL577" i="1" s="1"/>
  <c r="AP577" i="1" s="1"/>
  <c r="AJ684" i="1"/>
  <c r="AL684" i="1" s="1"/>
  <c r="AJ849" i="1"/>
  <c r="AL849" i="1" s="1"/>
  <c r="AP849" i="1" s="1"/>
  <c r="AJ582" i="1"/>
  <c r="AL582" i="1" s="1"/>
  <c r="AP741" i="1"/>
  <c r="AJ783" i="1"/>
  <c r="AL783" i="1" s="1"/>
  <c r="AJ202" i="1"/>
  <c r="AL202" i="1" s="1"/>
  <c r="AJ101" i="1"/>
  <c r="AL101" i="1" s="1"/>
  <c r="AJ406" i="1"/>
  <c r="AL406" i="1" s="1"/>
  <c r="AP406" i="1" s="1"/>
  <c r="AJ41" i="1"/>
  <c r="AJ283" i="1"/>
  <c r="AL283" i="1" s="1"/>
  <c r="AP283" i="1" s="1"/>
  <c r="AP782" i="1"/>
  <c r="AJ330" i="1"/>
  <c r="AL330" i="1" s="1"/>
  <c r="AP725" i="1"/>
  <c r="AJ275" i="1"/>
  <c r="AL275" i="1" s="1"/>
  <c r="AP275" i="1" s="1"/>
  <c r="AP720" i="1"/>
  <c r="AJ557" i="1"/>
  <c r="AL557" i="1" s="1"/>
  <c r="AJ487" i="1"/>
  <c r="AL487" i="1" s="1"/>
  <c r="AJ852" i="1"/>
  <c r="AL852" i="1" s="1"/>
  <c r="AP852" i="1" s="1"/>
  <c r="AJ183" i="1"/>
  <c r="AL183" i="1" s="1"/>
  <c r="AP183" i="1" s="1"/>
  <c r="AJ310" i="1"/>
  <c r="AL310" i="1" s="1"/>
  <c r="AP310" i="1" s="1"/>
  <c r="AP752" i="1"/>
  <c r="AJ153" i="1"/>
  <c r="AL153" i="1" s="1"/>
  <c r="AP153" i="1" s="1"/>
  <c r="AJ260" i="1"/>
  <c r="AL260" i="1" s="1"/>
  <c r="AJ210" i="1"/>
  <c r="AL210" i="1" s="1"/>
  <c r="AJ413" i="1"/>
  <c r="AJ643" i="1"/>
  <c r="AL643" i="1" s="1"/>
  <c r="AP643" i="1" s="1"/>
  <c r="AJ756" i="1"/>
  <c r="AL756" i="1" s="1"/>
  <c r="AJ66" i="1"/>
  <c r="AL66" i="1" s="1"/>
  <c r="AP66" i="1" s="1"/>
  <c r="AJ555" i="1"/>
  <c r="AL555" i="1" s="1"/>
  <c r="AP555" i="1" s="1"/>
  <c r="AJ421" i="1"/>
  <c r="AL421" i="1" s="1"/>
  <c r="AJ6" i="1"/>
  <c r="AL6" i="1" s="1"/>
  <c r="AP6" i="1" s="1"/>
  <c r="AJ733" i="1"/>
  <c r="AL733" i="1" s="1"/>
  <c r="AJ455" i="1"/>
  <c r="AJ337" i="1"/>
  <c r="AL337" i="1" s="1"/>
  <c r="AP337" i="1" s="1"/>
  <c r="AJ720" i="1"/>
  <c r="AL720" i="1" s="1"/>
  <c r="AJ95" i="1"/>
  <c r="AL95" i="1" s="1"/>
  <c r="AP95" i="1" s="1"/>
  <c r="AJ73" i="1"/>
  <c r="AL73" i="1" s="1"/>
  <c r="AP73" i="1" s="1"/>
  <c r="AJ717" i="1"/>
  <c r="AL717" i="1" s="1"/>
  <c r="AJ229" i="1"/>
  <c r="AL229" i="1" s="1"/>
  <c r="AJ500" i="1"/>
  <c r="AL500" i="1" s="1"/>
  <c r="AP500" i="1" s="1"/>
  <c r="BB20" i="1"/>
  <c r="BT19" i="1"/>
  <c r="AL189" i="1"/>
  <c r="AP189" i="1" s="1"/>
  <c r="AJ190" i="1"/>
  <c r="AL190" i="1" s="1"/>
  <c r="AP190" i="1" s="1"/>
  <c r="AJ453" i="1"/>
  <c r="AL453" i="1" s="1"/>
  <c r="AL452" i="1"/>
  <c r="AP452" i="1" s="1"/>
  <c r="AP453" i="1" s="1"/>
  <c r="AL370" i="1"/>
  <c r="AP370" i="1" s="1"/>
  <c r="AJ371" i="1"/>
  <c r="AP421" i="1"/>
  <c r="AP422" i="1" s="1"/>
  <c r="AJ559" i="1"/>
  <c r="AP276" i="1"/>
  <c r="AJ67" i="1"/>
  <c r="AL67" i="1" s="1"/>
  <c r="AP67" i="1" s="1"/>
  <c r="AP575" i="1"/>
  <c r="AJ346" i="1"/>
  <c r="AL346" i="1" s="1"/>
  <c r="AL205" i="1"/>
  <c r="AP205" i="1" s="1"/>
  <c r="AJ206" i="1"/>
  <c r="AL206" i="1" s="1"/>
  <c r="AP206" i="1" s="1"/>
  <c r="AP157" i="1"/>
  <c r="AP708" i="1"/>
  <c r="AJ422" i="1"/>
  <c r="AL422" i="1" s="1"/>
  <c r="AP840" i="1"/>
  <c r="AK6" i="1"/>
  <c r="AK7" i="1" s="1"/>
  <c r="AJ813" i="1"/>
  <c r="AL813" i="1" s="1"/>
  <c r="AL812" i="1"/>
  <c r="AP812" i="1" s="1"/>
  <c r="AP813" i="1" s="1"/>
  <c r="AJ508" i="1"/>
  <c r="AL508" i="1" s="1"/>
  <c r="AJ61" i="1"/>
  <c r="AL61" i="1" s="1"/>
  <c r="AL60" i="1"/>
  <c r="AP60" i="1" s="1"/>
  <c r="AP61" i="1" s="1"/>
  <c r="AJ708" i="1"/>
  <c r="AL708" i="1" s="1"/>
  <c r="AJ408" i="1"/>
  <c r="AJ710" i="1"/>
  <c r="AL710" i="1" s="1"/>
  <c r="AJ69" i="1"/>
  <c r="AL69" i="1" s="1"/>
  <c r="AL68" i="1"/>
  <c r="AP68" i="1" s="1"/>
  <c r="AP69" i="1" s="1"/>
  <c r="AP250" i="1"/>
  <c r="AP450" i="1"/>
  <c r="AJ789" i="1"/>
  <c r="AL789" i="1" s="1"/>
  <c r="AL788" i="1"/>
  <c r="AP788" i="1" s="1"/>
  <c r="AP789" i="1" s="1"/>
  <c r="AP581" i="1"/>
  <c r="AP582" i="1" s="1"/>
  <c r="AJ722" i="1"/>
  <c r="AL254" i="1"/>
  <c r="AP254" i="1" s="1"/>
  <c r="AJ255" i="1"/>
  <c r="AL255" i="1" s="1"/>
  <c r="AP255" i="1" s="1"/>
  <c r="AP210" i="1"/>
  <c r="AJ589" i="1"/>
  <c r="AL589" i="1" s="1"/>
  <c r="AL375" i="1"/>
  <c r="AP375" i="1" s="1"/>
  <c r="AJ376" i="1"/>
  <c r="AL376" i="1" s="1"/>
  <c r="AP376" i="1" s="1"/>
  <c r="AJ276" i="1"/>
  <c r="AL276" i="1" s="1"/>
  <c r="AP506" i="1"/>
  <c r="AL339" i="1"/>
  <c r="AP339" i="1" s="1"/>
  <c r="AJ340" i="1"/>
  <c r="AL477" i="1"/>
  <c r="AP477" i="1" s="1"/>
  <c r="AJ478" i="1"/>
  <c r="AP733" i="1"/>
  <c r="AJ528" i="1"/>
  <c r="AJ850" i="1"/>
  <c r="AL850" i="1" s="1"/>
  <c r="AP850" i="1" s="1"/>
  <c r="AP508" i="1"/>
  <c r="AJ471" i="1"/>
  <c r="AL124" i="1"/>
  <c r="AP124" i="1" s="1"/>
  <c r="AP125" i="1" s="1"/>
  <c r="AJ125" i="1"/>
  <c r="AL125" i="1" s="1"/>
  <c r="AJ840" i="1"/>
  <c r="AL840" i="1" s="1"/>
  <c r="AP330" i="1"/>
  <c r="AJ352" i="1"/>
  <c r="AL352" i="1" s="1"/>
  <c r="AP352" i="1" s="1"/>
  <c r="AJ286" i="1"/>
  <c r="AL286" i="1" s="1"/>
  <c r="AP286" i="1" s="1"/>
  <c r="AJ427" i="1"/>
  <c r="AP260" i="1"/>
  <c r="AJ424" i="1"/>
  <c r="AJ90" i="1"/>
  <c r="AL90" i="1" s="1"/>
  <c r="AP90" i="1" s="1"/>
  <c r="AJ217" i="1"/>
  <c r="AL217" i="1" s="1"/>
  <c r="AP217" i="1" s="1"/>
  <c r="AL216" i="1"/>
  <c r="AP216" i="1" s="1"/>
  <c r="AJ531" i="1"/>
  <c r="AL531" i="1" s="1"/>
  <c r="AP531" i="1" s="1"/>
  <c r="AL482" i="1"/>
  <c r="AP482" i="1" s="1"/>
  <c r="AJ483" i="1"/>
  <c r="AJ798" i="1"/>
  <c r="AL798" i="1" s="1"/>
  <c r="AL797" i="1"/>
  <c r="AP797" i="1" s="1"/>
  <c r="AP798" i="1" s="1"/>
  <c r="AL653" i="1"/>
  <c r="AP653" i="1" s="1"/>
  <c r="AJ654" i="1"/>
  <c r="AL654" i="1" s="1"/>
  <c r="AP654" i="1" s="1"/>
  <c r="AJ520" i="1"/>
  <c r="AL519" i="1"/>
  <c r="AP519" i="1" s="1"/>
  <c r="AJ284" i="1"/>
  <c r="AL284" i="1" s="1"/>
  <c r="AJ834" i="1"/>
  <c r="AL834" i="1" s="1"/>
  <c r="AP834" i="1" s="1"/>
  <c r="AJ147" i="1"/>
  <c r="AL147" i="1" s="1"/>
  <c r="AP147" i="1" s="1"/>
  <c r="AL46" i="1"/>
  <c r="AP46" i="1" s="1"/>
  <c r="AJ47" i="1"/>
  <c r="AL47" i="1" s="1"/>
  <c r="AP47" i="1" s="1"/>
  <c r="AL159" i="1"/>
  <c r="AP159" i="1" s="1"/>
  <c r="AJ160" i="1"/>
  <c r="AL160" i="1" s="1"/>
  <c r="AP160" i="1" s="1"/>
  <c r="AJ846" i="1"/>
  <c r="AJ565" i="1"/>
  <c r="AL564" i="1"/>
  <c r="AP564" i="1" s="1"/>
  <c r="AJ571" i="1"/>
  <c r="AL571" i="1" s="1"/>
  <c r="AP571" i="1" s="1"/>
  <c r="AJ102" i="1"/>
  <c r="AL102" i="1" s="1"/>
  <c r="AL773" i="1"/>
  <c r="AP773" i="1" s="1"/>
  <c r="AP774" i="1" s="1"/>
  <c r="AJ774" i="1"/>
  <c r="AL774" i="1" s="1"/>
  <c r="AL118" i="1"/>
  <c r="AP118" i="1" s="1"/>
  <c r="AP119" i="1" s="1"/>
  <c r="AJ119" i="1"/>
  <c r="AL119" i="1" s="1"/>
  <c r="AJ312" i="1"/>
  <c r="AL312" i="1" s="1"/>
  <c r="AP312" i="1" s="1"/>
  <c r="AP101" i="1"/>
  <c r="AP102" i="1" s="1"/>
  <c r="AJ450" i="1"/>
  <c r="AL450" i="1" s="1"/>
  <c r="AJ517" i="1"/>
  <c r="AL517" i="1" s="1"/>
  <c r="AL317" i="1"/>
  <c r="AP317" i="1" s="1"/>
  <c r="AJ318" i="1"/>
  <c r="AL503" i="1"/>
  <c r="AP503" i="1" s="1"/>
  <c r="AJ504" i="1"/>
  <c r="AL504" i="1" s="1"/>
  <c r="AP504" i="1" s="1"/>
  <c r="AJ837" i="1"/>
  <c r="AL837" i="1" s="1"/>
  <c r="AL836" i="1"/>
  <c r="AP836" i="1" s="1"/>
  <c r="AP837" i="1" s="1"/>
  <c r="AL17" i="1"/>
  <c r="AP17" i="1" s="1"/>
  <c r="AJ18" i="1"/>
  <c r="AL18" i="1" s="1"/>
  <c r="AP18" i="1" s="1"/>
  <c r="AP284" i="1"/>
  <c r="AP742" i="1"/>
  <c r="AP710" i="1"/>
  <c r="AP756" i="1"/>
  <c r="AP605" i="1"/>
  <c r="AJ713" i="1"/>
  <c r="AL713" i="1" s="1"/>
  <c r="AP713" i="1" s="1"/>
  <c r="AL712" i="1"/>
  <c r="AP712" i="1" s="1"/>
  <c r="AP783" i="1"/>
  <c r="AJ481" i="1"/>
  <c r="AL481" i="1" s="1"/>
  <c r="AP481" i="1" s="1"/>
  <c r="AJ679" i="1"/>
  <c r="AL679" i="1" s="1"/>
  <c r="AP717" i="1"/>
  <c r="AJ691" i="1"/>
  <c r="AL691" i="1" s="1"/>
  <c r="AP691" i="1" s="1"/>
  <c r="AP229" i="1"/>
  <c r="AJ754" i="1"/>
  <c r="AL754" i="1" s="1"/>
  <c r="AP754" i="1" s="1"/>
  <c r="AL831" i="1"/>
  <c r="AP831" i="1" s="1"/>
  <c r="AJ832" i="1"/>
  <c r="AL832" i="1" s="1"/>
  <c r="AP832" i="1" s="1"/>
  <c r="AJ374" i="1"/>
  <c r="AL374" i="1" s="1"/>
  <c r="AP374" i="1" s="1"/>
  <c r="AP188" i="1"/>
  <c r="AJ132" i="1"/>
  <c r="AJ776" i="1"/>
  <c r="AL776" i="1" s="1"/>
  <c r="AP776" i="1" s="1"/>
  <c r="AJ188" i="1"/>
  <c r="AL188" i="1" s="1"/>
  <c r="AJ742" i="1"/>
  <c r="AL742" i="1" s="1"/>
  <c r="AP679" i="1"/>
  <c r="AJ533" i="1"/>
  <c r="AL532" i="1"/>
  <c r="AP532" i="1" s="1"/>
  <c r="AJ539" i="1"/>
  <c r="AL539" i="1" s="1"/>
  <c r="AP539" i="1" s="1"/>
  <c r="AJ736" i="1"/>
  <c r="AL736" i="1" s="1"/>
  <c r="AP736" i="1" s="1"/>
  <c r="AL63" i="1"/>
  <c r="AP63" i="1" s="1"/>
  <c r="AJ64" i="1"/>
  <c r="AL64" i="1" s="1"/>
  <c r="AP64" i="1" s="1"/>
  <c r="AP557" i="1"/>
  <c r="AL105" i="1"/>
  <c r="AP105" i="1" s="1"/>
  <c r="AJ106" i="1"/>
  <c r="AJ356" i="1"/>
  <c r="AP346" i="1"/>
  <c r="AL636" i="1"/>
  <c r="AP636" i="1" s="1"/>
  <c r="AP637" i="1" s="1"/>
  <c r="AJ637" i="1"/>
  <c r="AL637" i="1" s="1"/>
  <c r="AP354" i="1"/>
  <c r="AP487" i="1"/>
  <c r="AJ605" i="1"/>
  <c r="AL605" i="1" s="1"/>
  <c r="AJ368" i="1"/>
  <c r="AP517" i="1"/>
  <c r="AP589" i="1"/>
  <c r="AJ739" i="1"/>
  <c r="AL739" i="1" s="1"/>
  <c r="AP739" i="1" s="1"/>
  <c r="AL738" i="1"/>
  <c r="AP738" i="1" s="1"/>
  <c r="AJ686" i="1"/>
  <c r="AL686" i="1" s="1"/>
  <c r="AL685" i="1"/>
  <c r="AP685" i="1" s="1"/>
  <c r="AP686" i="1" s="1"/>
  <c r="AJ71" i="1"/>
  <c r="AL71" i="1" s="1"/>
  <c r="AP71" i="1" s="1"/>
  <c r="AJ392" i="1"/>
  <c r="AL392" i="1" s="1"/>
  <c r="AP392" i="1" s="1"/>
  <c r="AP684" i="1"/>
  <c r="AP322" i="1"/>
  <c r="AP202" i="1"/>
  <c r="AJ7" i="1"/>
  <c r="AL7" i="1" s="1"/>
  <c r="AP7" i="1" s="1"/>
  <c r="AJ579" i="1"/>
  <c r="AL579" i="1" s="1"/>
  <c r="AP579" i="1" s="1"/>
  <c r="AJ411" i="1"/>
  <c r="AL411" i="1" s="1"/>
  <c r="AP411" i="1" s="1"/>
  <c r="AJ250" i="1"/>
  <c r="AL250" i="1" s="1"/>
  <c r="AL221" i="1"/>
  <c r="AP221" i="1" s="1"/>
  <c r="AJ222" i="1"/>
  <c r="AL222" i="1" s="1"/>
  <c r="AP222" i="1" s="1"/>
  <c r="AJ176" i="1"/>
  <c r="AJ88" i="1"/>
  <c r="AL88" i="1" s="1"/>
  <c r="AP88" i="1" s="1"/>
  <c r="AL396" i="1"/>
  <c r="AP396" i="1" s="1"/>
  <c r="AP397" i="1" s="1"/>
  <c r="AJ397" i="1"/>
  <c r="AL397" i="1" s="1"/>
  <c r="AJ747" i="1"/>
  <c r="AL747" i="1" s="1"/>
  <c r="AP747" i="1" s="1"/>
  <c r="AJ294" i="1"/>
  <c r="AL294" i="1" s="1"/>
  <c r="AP294" i="1" s="1"/>
  <c r="AL293" i="1"/>
  <c r="AP293" i="1" s="1"/>
  <c r="AP591" i="1"/>
  <c r="AJ307" i="1"/>
  <c r="AL307" i="1" s="1"/>
  <c r="AP307" i="1" s="1"/>
  <c r="AS862" i="1"/>
  <c r="Y2119" i="1"/>
  <c r="Z2119" i="1" a="1"/>
  <c r="Z2119" i="1" s="1"/>
  <c r="Z1969" i="1" a="1"/>
  <c r="Z1969" i="1" s="1"/>
  <c r="Y1969" i="1"/>
  <c r="Y2402" i="1"/>
  <c r="Z2402" i="1" a="1"/>
  <c r="Z2402" i="1" s="1"/>
  <c r="Y2411" i="1"/>
  <c r="Z2411" i="1" a="1"/>
  <c r="Z2411" i="1" s="1"/>
  <c r="Z1895" i="1" a="1"/>
  <c r="Z1895" i="1" s="1"/>
  <c r="Y1895" i="1"/>
  <c r="Y1582" i="1"/>
  <c r="Z1582" i="1" a="1"/>
  <c r="Z1582" i="1" s="1"/>
  <c r="Y1817" i="1"/>
  <c r="Z1817" i="1" a="1"/>
  <c r="Z1817" i="1" s="1"/>
  <c r="Y1688" i="1"/>
  <c r="Z1688" i="1" a="1"/>
  <c r="Z1688" i="1" s="1"/>
  <c r="Y2299" i="1"/>
  <c r="Z2299" i="1" a="1"/>
  <c r="Z2299" i="1" s="1"/>
  <c r="Y1972" i="1"/>
  <c r="Z1972" i="1" a="1"/>
  <c r="Z1972" i="1" s="1"/>
  <c r="Y2423" i="1"/>
  <c r="Z2423" i="1" a="1"/>
  <c r="Z2423" i="1" s="1"/>
  <c r="Y2245" i="1"/>
  <c r="Z2245" i="1" a="1"/>
  <c r="Z2245" i="1" s="1"/>
  <c r="Y2168" i="1"/>
  <c r="Z2168" i="1" a="1"/>
  <c r="Z2168" i="1" s="1"/>
  <c r="Y2167" i="1"/>
  <c r="Z2167" i="1" a="1"/>
  <c r="Z2167" i="1" s="1"/>
  <c r="Y1916" i="1"/>
  <c r="Z1916" i="1" a="1"/>
  <c r="Z1916" i="1" s="1"/>
  <c r="Y1273" i="1"/>
  <c r="Z1273" i="1" a="1"/>
  <c r="Z1273" i="1" s="1"/>
  <c r="Y2100" i="1"/>
  <c r="Z2100" i="1" a="1"/>
  <c r="Z2100" i="1" s="1"/>
  <c r="Y2405" i="1"/>
  <c r="Z2405" i="1" a="1"/>
  <c r="Z2405" i="1" s="1"/>
  <c r="Y1554" i="1"/>
  <c r="Z1554" i="1" a="1"/>
  <c r="Z1554" i="1" s="1"/>
  <c r="Y2076" i="1"/>
  <c r="Z2076" i="1" a="1"/>
  <c r="Z2076" i="1" s="1"/>
  <c r="Z2032" i="1" a="1"/>
  <c r="Z2032" i="1" s="1"/>
  <c r="Y2032" i="1"/>
  <c r="Y2408" i="1"/>
  <c r="Z2408" i="1" a="1"/>
  <c r="Z2408" i="1" s="1"/>
  <c r="Y1837" i="1"/>
  <c r="Z1837" i="1" a="1"/>
  <c r="Z1837" i="1" s="1"/>
  <c r="Z2084" i="1" a="1"/>
  <c r="Z2084" i="1" s="1"/>
  <c r="Y2084" i="1"/>
  <c r="Y1804" i="1"/>
  <c r="Z1804" i="1" a="1"/>
  <c r="Z1804" i="1" s="1"/>
  <c r="Y2074" i="1"/>
  <c r="Z2074" i="1" a="1"/>
  <c r="Z2074" i="1" s="1"/>
  <c r="Y2418" i="1"/>
  <c r="Z2418" i="1" a="1"/>
  <c r="Z2418" i="1" s="1"/>
  <c r="Y1791" i="1"/>
  <c r="Z1791" i="1" a="1"/>
  <c r="Z1791" i="1" s="1"/>
  <c r="Y1995" i="1"/>
  <c r="Z1995" i="1" a="1"/>
  <c r="Z1995" i="1" s="1"/>
  <c r="Z1364" i="1" a="1"/>
  <c r="Z1364" i="1" s="1"/>
  <c r="Y1364" i="1"/>
  <c r="Y1874" i="1"/>
  <c r="Z1874" i="1" a="1"/>
  <c r="Z1874" i="1" s="1"/>
  <c r="Y2331" i="1"/>
  <c r="Z2331" i="1" a="1"/>
  <c r="Z2331" i="1" s="1"/>
  <c r="Y1442" i="1"/>
  <c r="Z1442" i="1" a="1"/>
  <c r="Z1442" i="1" s="1"/>
  <c r="Y2371" i="1"/>
  <c r="Z2371" i="1" a="1"/>
  <c r="Z2371" i="1" s="1"/>
  <c r="Y2049" i="1"/>
  <c r="Z2049" i="1" a="1"/>
  <c r="Z2049" i="1" s="1"/>
  <c r="Y2224" i="1"/>
  <c r="Z2224" i="1" a="1"/>
  <c r="Z2224" i="1" s="1"/>
  <c r="Y1424" i="1"/>
  <c r="Z1424" i="1" a="1"/>
  <c r="Z1424" i="1" s="1"/>
  <c r="Y2191" i="1"/>
  <c r="Z2191" i="1" a="1"/>
  <c r="Z2191" i="1" s="1"/>
  <c r="Y2301" i="1"/>
  <c r="Z2301" i="1" a="1"/>
  <c r="Z2301" i="1" s="1"/>
  <c r="Y1774" i="1"/>
  <c r="Z1774" i="1" a="1"/>
  <c r="Z1774" i="1" s="1"/>
  <c r="Y1786" i="1"/>
  <c r="Z1786" i="1" a="1"/>
  <c r="Z1786" i="1" s="1"/>
  <c r="Y1872" i="1"/>
  <c r="Z1872" i="1" a="1"/>
  <c r="Z1872" i="1" s="1"/>
  <c r="Y2261" i="1"/>
  <c r="Z2261" i="1" a="1"/>
  <c r="Z2261" i="1" s="1"/>
  <c r="Y1867" i="1"/>
  <c r="Z1867" i="1" a="1"/>
  <c r="Z1867" i="1" s="1"/>
  <c r="Y1719" i="1"/>
  <c r="Z1719" i="1" a="1"/>
  <c r="Z1719" i="1" s="1"/>
  <c r="Y2027" i="1"/>
  <c r="Z2027" i="1" a="1"/>
  <c r="Z2027" i="1" s="1"/>
  <c r="Y2013" i="1"/>
  <c r="Z2013" i="1" a="1"/>
  <c r="Z2013" i="1" s="1"/>
  <c r="Y1550" i="1"/>
  <c r="Z1550" i="1" a="1"/>
  <c r="Z1550" i="1" s="1"/>
  <c r="Y2021" i="1"/>
  <c r="Z2021" i="1" a="1"/>
  <c r="Z2021" i="1" s="1"/>
  <c r="Y2154" i="1"/>
  <c r="Z2154" i="1" a="1"/>
  <c r="Z2154" i="1" s="1"/>
  <c r="Y2121" i="1"/>
  <c r="Z2121" i="1" a="1"/>
  <c r="Z2121" i="1" s="1"/>
  <c r="Y2143" i="1"/>
  <c r="Z2143" i="1" a="1"/>
  <c r="Z2143" i="1" s="1"/>
  <c r="Y2047" i="1"/>
  <c r="Z2047" i="1" a="1"/>
  <c r="Z2047" i="1" s="1"/>
  <c r="Y2127" i="1"/>
  <c r="Z2127" i="1" a="1"/>
  <c r="Z2127" i="1" s="1"/>
  <c r="Z1482" i="1" a="1"/>
  <c r="Z1482" i="1" s="1"/>
  <c r="Y1482" i="1"/>
  <c r="Z104" i="1" a="1"/>
  <c r="Z104" i="1" s="1"/>
  <c r="Y104" i="1"/>
  <c r="Z536" i="1" a="1"/>
  <c r="Z536" i="1" s="1"/>
  <c r="Y536" i="1"/>
  <c r="Z511" i="1" a="1"/>
  <c r="Z511" i="1" s="1"/>
  <c r="Y511" i="1"/>
  <c r="Y165" i="1"/>
  <c r="Z165" i="1" a="1"/>
  <c r="Z165" i="1" s="1"/>
  <c r="Y47" i="1"/>
  <c r="Z47" i="1" a="1"/>
  <c r="Z47" i="1" s="1"/>
  <c r="Y840" i="1"/>
  <c r="Z840" i="1" a="1"/>
  <c r="Z840" i="1" s="1"/>
  <c r="Z401" i="1" a="1"/>
  <c r="Z401" i="1" s="1"/>
  <c r="Y401" i="1"/>
  <c r="Y684" i="1"/>
  <c r="Z684" i="1" a="1"/>
  <c r="Z684" i="1" s="1"/>
  <c r="Z390" i="1" a="1"/>
  <c r="Z390" i="1" s="1"/>
  <c r="Y390" i="1"/>
  <c r="Y1716" i="1"/>
  <c r="Z1716" i="1" a="1"/>
  <c r="Z1716" i="1" s="1"/>
  <c r="Z624" i="1" a="1"/>
  <c r="Z624" i="1" s="1"/>
  <c r="Y624" i="1"/>
  <c r="Z683" i="1" a="1"/>
  <c r="Z683" i="1" s="1"/>
  <c r="Y683" i="1"/>
  <c r="Z804" i="1" a="1"/>
  <c r="Z804" i="1" s="1"/>
  <c r="Y804" i="1"/>
  <c r="Z716" i="1" a="1"/>
  <c r="Z716" i="1" s="1"/>
  <c r="Y716" i="1"/>
  <c r="Z515" i="1" a="1"/>
  <c r="Z515" i="1" s="1"/>
  <c r="Y515" i="1"/>
  <c r="Z551" i="1" a="1"/>
  <c r="Z551" i="1" s="1"/>
  <c r="Y551" i="1"/>
  <c r="Z513" i="1" a="1"/>
  <c r="Z513" i="1" s="1"/>
  <c r="Y513" i="1"/>
  <c r="Z392" i="1" a="1"/>
  <c r="Z392" i="1" s="1"/>
  <c r="Y392" i="1"/>
  <c r="Y1613" i="1"/>
  <c r="Z1613" i="1" a="1"/>
  <c r="Z1613" i="1" s="1"/>
  <c r="Z351" i="1" a="1"/>
  <c r="Z351" i="1" s="1"/>
  <c r="Y351" i="1"/>
  <c r="Z185" i="1" a="1"/>
  <c r="Z185" i="1" s="1"/>
  <c r="Y185" i="1"/>
  <c r="Z496" i="1" a="1"/>
  <c r="Z496" i="1" s="1"/>
  <c r="Y496" i="1"/>
  <c r="Y1433" i="1"/>
  <c r="Z1433" i="1" a="1"/>
  <c r="Z1433" i="1" s="1"/>
  <c r="Z467" i="1" a="1"/>
  <c r="Z467" i="1" s="1"/>
  <c r="Y467" i="1"/>
  <c r="Z791" i="1" a="1"/>
  <c r="Z791" i="1" s="1"/>
  <c r="Y791" i="1"/>
  <c r="Z315" i="1" a="1"/>
  <c r="Z315" i="1" s="1"/>
  <c r="Y315" i="1"/>
  <c r="Z709" i="1" a="1"/>
  <c r="Z709" i="1" s="1"/>
  <c r="Y709" i="1"/>
  <c r="Y1418" i="1"/>
  <c r="Z1418" i="1" a="1"/>
  <c r="Z1418" i="1" s="1"/>
  <c r="Z171" i="1" a="1"/>
  <c r="Z171" i="1" s="1"/>
  <c r="Y171" i="1"/>
  <c r="Z286" i="1" a="1"/>
  <c r="Z286" i="1" s="1"/>
  <c r="Y286" i="1"/>
  <c r="Z738" i="1" a="1"/>
  <c r="Z738" i="1" s="1"/>
  <c r="Y738" i="1"/>
  <c r="Y203" i="1"/>
  <c r="Z203" i="1" a="1"/>
  <c r="Z203" i="1" s="1"/>
  <c r="Y429" i="1"/>
  <c r="Z429" i="1" a="1"/>
  <c r="Z429" i="1" s="1"/>
  <c r="Y549" i="1"/>
  <c r="Z549" i="1" a="1"/>
  <c r="Z549" i="1" s="1"/>
  <c r="Z577" i="1" a="1"/>
  <c r="Z577" i="1" s="1"/>
  <c r="Y577" i="1"/>
  <c r="Z9" i="1" a="1"/>
  <c r="Z9" i="1" s="1"/>
  <c r="Y9" i="1"/>
  <c r="Z343" i="1" a="1"/>
  <c r="Z343" i="1" s="1"/>
  <c r="Y343" i="1"/>
  <c r="Z367" i="1" a="1"/>
  <c r="Z367" i="1" s="1"/>
  <c r="Y367" i="1"/>
  <c r="Y193" i="1"/>
  <c r="Z193" i="1" a="1"/>
  <c r="Z193" i="1" s="1"/>
  <c r="Y848" i="1"/>
  <c r="Z848" i="1" a="1"/>
  <c r="Z848" i="1" s="1"/>
  <c r="Z263" i="1" a="1"/>
  <c r="Z263" i="1" s="1"/>
  <c r="Y263" i="1"/>
  <c r="Y714" i="1"/>
  <c r="Z714" i="1" a="1"/>
  <c r="Z714" i="1" s="1"/>
  <c r="Z28" i="1" a="1"/>
  <c r="Z28" i="1" s="1"/>
  <c r="Y28" i="1"/>
  <c r="Z308" i="1" a="1"/>
  <c r="Z308" i="1" s="1"/>
  <c r="Y308" i="1"/>
  <c r="Y1514" i="1"/>
  <c r="Z1514" i="1" a="1"/>
  <c r="Z1514" i="1" s="1"/>
  <c r="Y252" i="1"/>
  <c r="Z252" i="1" a="1"/>
  <c r="Z252" i="1" s="1"/>
  <c r="Z358" i="1" a="1"/>
  <c r="Z358" i="1" s="1"/>
  <c r="Y358" i="1"/>
  <c r="Y557" i="1"/>
  <c r="Z557" i="1" a="1"/>
  <c r="Z557" i="1" s="1"/>
  <c r="Y1500" i="1"/>
  <c r="Z1500" i="1" a="1"/>
  <c r="Z1500" i="1" s="1"/>
  <c r="Y541" i="1"/>
  <c r="Z541" i="1" a="1"/>
  <c r="Z541" i="1" s="1"/>
  <c r="Z380" i="1" a="1"/>
  <c r="Z380" i="1" s="1"/>
  <c r="Y380" i="1"/>
  <c r="Z428" i="1" a="1"/>
  <c r="Z428" i="1" s="1"/>
  <c r="Y428" i="1"/>
  <c r="Z319" i="1" a="1"/>
  <c r="Z319" i="1" s="1"/>
  <c r="Y319" i="1"/>
  <c r="Z516" i="1" a="1"/>
  <c r="Z516" i="1" s="1"/>
  <c r="Y516" i="1"/>
  <c r="Y646" i="1"/>
  <c r="Z646" i="1" a="1"/>
  <c r="Z646" i="1" s="1"/>
  <c r="Z505" i="1" a="1"/>
  <c r="Z505" i="1" s="1"/>
  <c r="Y505" i="1"/>
  <c r="Y1793" i="1"/>
  <c r="Z1793" i="1" a="1"/>
  <c r="Z1793" i="1" s="1"/>
  <c r="Z213" i="1" a="1"/>
  <c r="Z213" i="1" s="1"/>
  <c r="Y213" i="1"/>
  <c r="Z30" i="1" a="1"/>
  <c r="Z30" i="1" s="1"/>
  <c r="Y30" i="1"/>
  <c r="Z535" i="1" a="1"/>
  <c r="Z535" i="1" s="1"/>
  <c r="Y535" i="1"/>
  <c r="Z741" i="1" a="1"/>
  <c r="Z741" i="1" s="1"/>
  <c r="Y741" i="1"/>
  <c r="Y2078" i="1"/>
  <c r="Z2078" i="1" a="1"/>
  <c r="Z2078" i="1" s="1"/>
  <c r="Y2184" i="1"/>
  <c r="Z2184" i="1" a="1"/>
  <c r="Z2184" i="1" s="1"/>
  <c r="Y2401" i="1"/>
  <c r="Z2401" i="1" a="1"/>
  <c r="Z2401" i="1" s="1"/>
  <c r="Y1904" i="1"/>
  <c r="Z1904" i="1" a="1"/>
  <c r="Z1904" i="1" s="1"/>
  <c r="Y2380" i="1"/>
  <c r="Z2380" i="1" a="1"/>
  <c r="Z2380" i="1" s="1"/>
  <c r="Y1818" i="1"/>
  <c r="Z1818" i="1" a="1"/>
  <c r="Z1818" i="1" s="1"/>
  <c r="Y1805" i="1"/>
  <c r="Z1805" i="1" a="1"/>
  <c r="Z1805" i="1" s="1"/>
  <c r="Y2332" i="1"/>
  <c r="Z2332" i="1" a="1"/>
  <c r="Z2332" i="1" s="1"/>
  <c r="Y2296" i="1"/>
  <c r="Z2296" i="1" a="1"/>
  <c r="Z2296" i="1" s="1"/>
  <c r="Y1853" i="1"/>
  <c r="Z1853" i="1" a="1"/>
  <c r="Z1853" i="1" s="1"/>
  <c r="Y2422" i="1"/>
  <c r="Z2422" i="1" a="1"/>
  <c r="Z2422" i="1" s="1"/>
  <c r="Y2087" i="1"/>
  <c r="Z2087" i="1" a="1"/>
  <c r="Z2087" i="1" s="1"/>
  <c r="Y2220" i="1"/>
  <c r="Z2220" i="1" a="1"/>
  <c r="Z2220" i="1" s="1"/>
  <c r="Y2137" i="1"/>
  <c r="Z2137" i="1" a="1"/>
  <c r="Z2137" i="1" s="1"/>
  <c r="Y2318" i="1"/>
  <c r="Z2318" i="1" a="1"/>
  <c r="Z2318" i="1" s="1"/>
  <c r="Y1849" i="1"/>
  <c r="Z1849" i="1" a="1"/>
  <c r="Z1849" i="1" s="1"/>
  <c r="Y2204" i="1"/>
  <c r="Z2204" i="1" a="1"/>
  <c r="Z2204" i="1" s="1"/>
  <c r="Y1868" i="1"/>
  <c r="Z1868" i="1" a="1"/>
  <c r="Z1868" i="1" s="1"/>
  <c r="Y1760" i="1"/>
  <c r="Z1760" i="1" a="1"/>
  <c r="Z1760" i="1" s="1"/>
  <c r="Y1565" i="1"/>
  <c r="Z1565" i="1" a="1"/>
  <c r="Z1565" i="1" s="1"/>
  <c r="Y1945" i="1"/>
  <c r="Z1945" i="1" a="1"/>
  <c r="Z1945" i="1" s="1"/>
  <c r="Y2323" i="1"/>
  <c r="Z2323" i="1" a="1"/>
  <c r="Z2323" i="1" s="1"/>
  <c r="Y1888" i="1"/>
  <c r="Z1888" i="1" a="1"/>
  <c r="Z1888" i="1" s="1"/>
  <c r="Y2312" i="1"/>
  <c r="Z2312" i="1" a="1"/>
  <c r="Z2312" i="1" s="1"/>
  <c r="Y1878" i="1"/>
  <c r="Z1878" i="1" a="1"/>
  <c r="Z1878" i="1" s="1"/>
  <c r="Y2327" i="1"/>
  <c r="Z2327" i="1" a="1"/>
  <c r="Z2327" i="1" s="1"/>
  <c r="Y2343" i="1"/>
  <c r="Z2343" i="1" a="1"/>
  <c r="Z2343" i="1" s="1"/>
  <c r="Y1675" i="1"/>
  <c r="Z1675" i="1" a="1"/>
  <c r="Z1675" i="1" s="1"/>
  <c r="Y2105" i="1"/>
  <c r="Z2105" i="1" a="1"/>
  <c r="Z2105" i="1" s="1"/>
  <c r="Y2212" i="1"/>
  <c r="Z2212" i="1" a="1"/>
  <c r="Z2212" i="1" s="1"/>
  <c r="Y1737" i="1"/>
  <c r="Z1737" i="1" a="1"/>
  <c r="Z1737" i="1" s="1"/>
  <c r="Y2024" i="1"/>
  <c r="Z2024" i="1" a="1"/>
  <c r="Z2024" i="1" s="1"/>
  <c r="Y1403" i="1"/>
  <c r="Z1403" i="1" a="1"/>
  <c r="Z1403" i="1" s="1"/>
  <c r="Y1772" i="1"/>
  <c r="Z1772" i="1" a="1"/>
  <c r="Z1772" i="1" s="1"/>
  <c r="Y2107" i="1"/>
  <c r="Z2107" i="1" a="1"/>
  <c r="Z2107" i="1" s="1"/>
  <c r="Y2082" i="1"/>
  <c r="Z2082" i="1" a="1"/>
  <c r="Z2082" i="1" s="1"/>
  <c r="Y1604" i="1"/>
  <c r="Z1604" i="1" a="1"/>
  <c r="Z1604" i="1" s="1"/>
  <c r="Z1448" i="1" a="1"/>
  <c r="Z1448" i="1" s="1"/>
  <c r="Y1448" i="1"/>
  <c r="Z2150" i="1" a="1"/>
  <c r="Z2150" i="1" s="1"/>
  <c r="Y2150" i="1"/>
  <c r="Y1970" i="1"/>
  <c r="Z1970" i="1" a="1"/>
  <c r="Z1970" i="1" s="1"/>
  <c r="Y2193" i="1"/>
  <c r="Z2193" i="1" a="1"/>
  <c r="Z2193" i="1" s="1"/>
  <c r="Y1387" i="1"/>
  <c r="Z1387" i="1" a="1"/>
  <c r="Z1387" i="1" s="1"/>
  <c r="Y2274" i="1"/>
  <c r="Z2274" i="1" a="1"/>
  <c r="Z2274" i="1" s="1"/>
  <c r="Y1685" i="1"/>
  <c r="Z1685" i="1" a="1"/>
  <c r="Z1685" i="1" s="1"/>
  <c r="Y1723" i="1"/>
  <c r="Z1723" i="1" a="1"/>
  <c r="Z1723" i="1" s="1"/>
  <c r="Y1743" i="1"/>
  <c r="Z1743" i="1" a="1"/>
  <c r="Z1743" i="1" s="1"/>
  <c r="Y1579" i="1"/>
  <c r="Z1579" i="1" a="1"/>
  <c r="Z1579" i="1" s="1"/>
  <c r="Y1958" i="1"/>
  <c r="Z1958" i="1" a="1"/>
  <c r="Z1958" i="1" s="1"/>
  <c r="Y1840" i="1"/>
  <c r="Z1840" i="1" a="1"/>
  <c r="Z1840" i="1" s="1"/>
  <c r="Y1670" i="1"/>
  <c r="Z1670" i="1" a="1"/>
  <c r="Z1670" i="1" s="1"/>
  <c r="Y2385" i="1"/>
  <c r="Z2385" i="1" a="1"/>
  <c r="Z2385" i="1" s="1"/>
  <c r="Y1936" i="1"/>
  <c r="Z1936" i="1" a="1"/>
  <c r="Z1936" i="1" s="1"/>
  <c r="Y1327" i="1"/>
  <c r="Z1327" i="1" a="1"/>
  <c r="Z1327" i="1" s="1"/>
  <c r="Y2350" i="1"/>
  <c r="Z2350" i="1" a="1"/>
  <c r="Z2350" i="1" s="1"/>
  <c r="Y1892" i="1"/>
  <c r="Z1892" i="1" a="1"/>
  <c r="Z1892" i="1" s="1"/>
  <c r="Y2093" i="1"/>
  <c r="Z2093" i="1" a="1"/>
  <c r="Z2093" i="1" s="1"/>
  <c r="Z1430" i="1" a="1"/>
  <c r="Z1430" i="1" s="1"/>
  <c r="Y1430" i="1"/>
  <c r="Z249" i="1" a="1"/>
  <c r="Z249" i="1" s="1"/>
  <c r="Y249" i="1"/>
  <c r="Z643" i="1" a="1"/>
  <c r="Z643" i="1" s="1"/>
  <c r="Y643" i="1"/>
  <c r="Z457" i="1" a="1"/>
  <c r="Z457" i="1" s="1"/>
  <c r="Y457" i="1"/>
  <c r="Y1419" i="1"/>
  <c r="Z1419" i="1" a="1"/>
  <c r="Z1419" i="1" s="1"/>
  <c r="Z744" i="1" a="1"/>
  <c r="Z744" i="1" s="1"/>
  <c r="Y744" i="1"/>
  <c r="Z590" i="1" a="1"/>
  <c r="Z590" i="1" s="1"/>
  <c r="Y590" i="1"/>
  <c r="Z484" i="1" a="1"/>
  <c r="Z484" i="1" s="1"/>
  <c r="Y484" i="1"/>
  <c r="Z99" i="1" a="1"/>
  <c r="Z99" i="1" s="1"/>
  <c r="Y99" i="1"/>
  <c r="Y782" i="1"/>
  <c r="Z782" i="1" a="1"/>
  <c r="Z782" i="1" s="1"/>
  <c r="Z22" i="1" a="1"/>
  <c r="Z22" i="1" s="1"/>
  <c r="Y22" i="1"/>
  <c r="Y1477" i="1"/>
  <c r="Z1477" i="1" a="1"/>
  <c r="Z1477" i="1" s="1"/>
  <c r="Z327" i="1" a="1"/>
  <c r="Z327" i="1" s="1"/>
  <c r="Y327" i="1"/>
  <c r="Z591" i="1" a="1"/>
  <c r="Z591" i="1" s="1"/>
  <c r="Y591" i="1"/>
  <c r="Z544" i="1" a="1"/>
  <c r="Z544" i="1" s="1"/>
  <c r="Y544" i="1"/>
  <c r="Z98" i="1" a="1"/>
  <c r="Z98" i="1" s="1"/>
  <c r="Y98" i="1"/>
  <c r="Z304" i="1" a="1"/>
  <c r="Z304" i="1" s="1"/>
  <c r="Y304" i="1"/>
  <c r="Z119" i="1" a="1"/>
  <c r="Z119" i="1" s="1"/>
  <c r="Y119" i="1"/>
  <c r="Z841" i="1" a="1"/>
  <c r="Z841" i="1" s="1"/>
  <c r="Y841" i="1"/>
  <c r="Z76" i="1" a="1"/>
  <c r="Z76" i="1" s="1"/>
  <c r="Y76" i="1"/>
  <c r="Y1443" i="1"/>
  <c r="Z1443" i="1" a="1"/>
  <c r="Z1443" i="1" s="1"/>
  <c r="Z196" i="1" a="1"/>
  <c r="Z196" i="1" s="1"/>
  <c r="Y196" i="1"/>
  <c r="Z400" i="1" a="1"/>
  <c r="Z400" i="1" s="1"/>
  <c r="Y400" i="1"/>
  <c r="Z342" i="1" a="1"/>
  <c r="Z342" i="1" s="1"/>
  <c r="Y342" i="1"/>
  <c r="Z250" i="1" a="1"/>
  <c r="Z250" i="1" s="1"/>
  <c r="Y250" i="1"/>
  <c r="Z214" i="1" a="1"/>
  <c r="Z214" i="1" s="1"/>
  <c r="Y214" i="1"/>
  <c r="Z350" i="1" a="1"/>
  <c r="Z350" i="1" s="1"/>
  <c r="Y350" i="1"/>
  <c r="Z336" i="1" a="1"/>
  <c r="Z336" i="1" s="1"/>
  <c r="Y336" i="1"/>
  <c r="Z523" i="1" a="1"/>
  <c r="Z523" i="1" s="1"/>
  <c r="Y523" i="1"/>
  <c r="Z521" i="1" a="1"/>
  <c r="Z521" i="1" s="1"/>
  <c r="Y521" i="1"/>
  <c r="Z447" i="1" a="1"/>
  <c r="Z447" i="1" s="1"/>
  <c r="Y447" i="1"/>
  <c r="Z768" i="1" a="1"/>
  <c r="Z768" i="1" s="1"/>
  <c r="Y768" i="1"/>
  <c r="Z345" i="1" a="1"/>
  <c r="Z345" i="1" s="1"/>
  <c r="Y345" i="1"/>
  <c r="Z32" i="1" a="1"/>
  <c r="Z32" i="1" s="1"/>
  <c r="Y32" i="1"/>
  <c r="Z417" i="1" a="1"/>
  <c r="Z417" i="1" s="1"/>
  <c r="Y417" i="1"/>
  <c r="Z745" i="1" a="1"/>
  <c r="Z745" i="1" s="1"/>
  <c r="Y745" i="1"/>
  <c r="Y605" i="1"/>
  <c r="Z605" i="1" a="1"/>
  <c r="Z605" i="1" s="1"/>
  <c r="Z846" i="1" a="1"/>
  <c r="Z846" i="1" s="1"/>
  <c r="Y846" i="1"/>
  <c r="Y1541" i="1"/>
  <c r="Z1541" i="1" a="1"/>
  <c r="Z1541" i="1" s="1"/>
  <c r="Z451" i="1" a="1"/>
  <c r="Z451" i="1" s="1"/>
  <c r="Y451" i="1"/>
  <c r="Y774" i="1"/>
  <c r="Z774" i="1" a="1"/>
  <c r="Z774" i="1" s="1"/>
  <c r="Y721" i="1"/>
  <c r="Z721" i="1" a="1"/>
  <c r="Z721" i="1" s="1"/>
  <c r="Z10" i="1" a="1"/>
  <c r="Z10" i="1" s="1"/>
  <c r="Y10" i="1"/>
  <c r="Y65" i="1"/>
  <c r="Z65" i="1" a="1"/>
  <c r="Z65" i="1" s="1"/>
  <c r="Z735" i="1" a="1"/>
  <c r="Z735" i="1" s="1"/>
  <c r="Y735" i="1"/>
  <c r="Z438" i="1" a="1"/>
  <c r="Z438" i="1" s="1"/>
  <c r="Y438" i="1"/>
  <c r="Y294" i="1"/>
  <c r="Z294" i="1" a="1"/>
  <c r="Z294" i="1" s="1"/>
  <c r="Z560" i="1" a="1"/>
  <c r="Z560" i="1" s="1"/>
  <c r="Y560" i="1"/>
  <c r="Z313" i="1" a="1"/>
  <c r="Z313" i="1" s="1"/>
  <c r="Y313" i="1"/>
  <c r="Z770" i="1" a="1"/>
  <c r="Z770" i="1" s="1"/>
  <c r="Y770" i="1"/>
  <c r="Z690" i="1" a="1"/>
  <c r="Z690" i="1" s="1"/>
  <c r="Y690" i="1"/>
  <c r="Z581" i="1" a="1"/>
  <c r="Z581" i="1" s="1"/>
  <c r="Y581" i="1"/>
  <c r="Z673" i="1" a="1"/>
  <c r="Z673" i="1" s="1"/>
  <c r="Y673" i="1"/>
  <c r="Y1445" i="1"/>
  <c r="Z1445" i="1" a="1"/>
  <c r="Z1445" i="1" s="1"/>
  <c r="Z654" i="1" a="1"/>
  <c r="Z654" i="1" s="1"/>
  <c r="Y654" i="1"/>
  <c r="Y301" i="1"/>
  <c r="Z301" i="1" a="1"/>
  <c r="Z301" i="1" s="1"/>
  <c r="Z472" i="1" a="1"/>
  <c r="Z472" i="1" s="1"/>
  <c r="Y472" i="1"/>
  <c r="Y1544" i="1"/>
  <c r="Z1544" i="1" a="1"/>
  <c r="Z1544" i="1" s="1"/>
  <c r="Z617" i="1" a="1"/>
  <c r="Z617" i="1" s="1"/>
  <c r="Y617" i="1"/>
  <c r="Z718" i="1" a="1"/>
  <c r="Z718" i="1" s="1"/>
  <c r="Y718" i="1"/>
  <c r="Z694" i="1" a="1"/>
  <c r="Z694" i="1" s="1"/>
  <c r="Y694" i="1"/>
  <c r="Z273" i="1" a="1"/>
  <c r="Z273" i="1" s="1"/>
  <c r="Y273" i="1"/>
  <c r="Y2028" i="1"/>
  <c r="Z2028" i="1" a="1"/>
  <c r="Z2028" i="1" s="1"/>
  <c r="Y2414" i="1"/>
  <c r="Z2414" i="1" a="1"/>
  <c r="Z2414" i="1" s="1"/>
  <c r="Y1910" i="1"/>
  <c r="Z1910" i="1" a="1"/>
  <c r="Z1910" i="1" s="1"/>
  <c r="Y2210" i="1"/>
  <c r="Z2210" i="1" a="1"/>
  <c r="Z2210" i="1" s="1"/>
  <c r="Y1666" i="1"/>
  <c r="Z1666" i="1" a="1"/>
  <c r="Z1666" i="1" s="1"/>
  <c r="Y1860" i="1"/>
  <c r="Z1860" i="1" a="1"/>
  <c r="Z1860" i="1" s="1"/>
  <c r="Y1769" i="1"/>
  <c r="Z1769" i="1" a="1"/>
  <c r="Z1769" i="1" s="1"/>
  <c r="Y1800" i="1"/>
  <c r="Z1800" i="1" a="1"/>
  <c r="Z1800" i="1" s="1"/>
  <c r="Y2023" i="1"/>
  <c r="Z2023" i="1" a="1"/>
  <c r="Z2023" i="1" s="1"/>
  <c r="Y1959" i="1"/>
  <c r="Z1959" i="1" a="1"/>
  <c r="Z1959" i="1" s="1"/>
  <c r="Y2329" i="1"/>
  <c r="Z2329" i="1" a="1"/>
  <c r="Z2329" i="1" s="1"/>
  <c r="Y2188" i="1"/>
  <c r="Z2188" i="1" a="1"/>
  <c r="Z2188" i="1" s="1"/>
  <c r="Z2187" i="1" a="1"/>
  <c r="Z2187" i="1" s="1"/>
  <c r="Y2187" i="1"/>
  <c r="Z2098" i="1" a="1"/>
  <c r="Z2098" i="1" s="1"/>
  <c r="Y2098" i="1"/>
  <c r="Y2073" i="1"/>
  <c r="Z2073" i="1" a="1"/>
  <c r="Z2073" i="1" s="1"/>
  <c r="Y1440" i="1"/>
  <c r="Z1440" i="1" a="1"/>
  <c r="Z1440" i="1" s="1"/>
  <c r="Y2250" i="1"/>
  <c r="Z2250" i="1" a="1"/>
  <c r="Z2250" i="1" s="1"/>
  <c r="Y1899" i="1"/>
  <c r="Z1899" i="1" a="1"/>
  <c r="Z1899" i="1" s="1"/>
  <c r="Z1734" i="1" a="1"/>
  <c r="Z1734" i="1" s="1"/>
  <c r="Y1734" i="1"/>
  <c r="Y2393" i="1"/>
  <c r="Z2393" i="1" a="1"/>
  <c r="Z2393" i="1" s="1"/>
  <c r="Y1540" i="1"/>
  <c r="Z1540" i="1" a="1"/>
  <c r="Z1540" i="1" s="1"/>
  <c r="Y2368" i="1"/>
  <c r="Z2368" i="1" a="1"/>
  <c r="Z2368" i="1" s="1"/>
  <c r="Y2068" i="1"/>
  <c r="Z2068" i="1" a="1"/>
  <c r="Z2068" i="1" s="1"/>
  <c r="Y2255" i="1"/>
  <c r="Z2255" i="1" a="1"/>
  <c r="Z2255" i="1" s="1"/>
  <c r="Y2048" i="1"/>
  <c r="Z2048" i="1" a="1"/>
  <c r="Z2048" i="1" s="1"/>
  <c r="Y2234" i="1"/>
  <c r="Z2234" i="1" a="1"/>
  <c r="Z2234" i="1" s="1"/>
  <c r="Y1875" i="1"/>
  <c r="Z1875" i="1" a="1"/>
  <c r="Z1875" i="1" s="1"/>
  <c r="Y2145" i="1"/>
  <c r="Z2145" i="1" a="1"/>
  <c r="Z2145" i="1" s="1"/>
  <c r="Y2141" i="1"/>
  <c r="Z2141" i="1" a="1"/>
  <c r="Z2141" i="1" s="1"/>
  <c r="Y1657" i="1"/>
  <c r="Z1657" i="1" a="1"/>
  <c r="Z1657" i="1" s="1"/>
  <c r="Z1545" i="1" a="1"/>
  <c r="Z1545" i="1" s="1"/>
  <c r="Y1545" i="1"/>
  <c r="Y1778" i="1"/>
  <c r="Z1778" i="1" a="1"/>
  <c r="Z1778" i="1" s="1"/>
  <c r="Y1630" i="1"/>
  <c r="Z1630" i="1" a="1"/>
  <c r="Z1630" i="1" s="1"/>
  <c r="Y2394" i="1"/>
  <c r="Z2394" i="1" a="1"/>
  <c r="Z2394" i="1" s="1"/>
  <c r="Y2239" i="1"/>
  <c r="Z2239" i="1" a="1"/>
  <c r="Z2239" i="1" s="1"/>
  <c r="Y1776" i="1"/>
  <c r="Z1776" i="1" a="1"/>
  <c r="Z1776" i="1" s="1"/>
  <c r="Y2305" i="1"/>
  <c r="Z2305" i="1" a="1"/>
  <c r="Z2305" i="1" s="1"/>
  <c r="Y1779" i="1"/>
  <c r="Z1779" i="1" a="1"/>
  <c r="Z1779" i="1" s="1"/>
  <c r="Y1808" i="1"/>
  <c r="Z1808" i="1" a="1"/>
  <c r="Z1808" i="1" s="1"/>
  <c r="Y1886" i="1"/>
  <c r="Z1886" i="1" a="1"/>
  <c r="Z1886" i="1" s="1"/>
  <c r="Y1708" i="1"/>
  <c r="Z1708" i="1" a="1"/>
  <c r="Z1708" i="1" s="1"/>
  <c r="Y2003" i="1"/>
  <c r="Z2003" i="1" a="1"/>
  <c r="Z2003" i="1" s="1"/>
  <c r="Y1658" i="1"/>
  <c r="Z1658" i="1" a="1"/>
  <c r="Z1658" i="1" s="1"/>
  <c r="Y1975" i="1"/>
  <c r="Z1975" i="1" a="1"/>
  <c r="Z1975" i="1" s="1"/>
  <c r="Z2040" i="1" a="1"/>
  <c r="Z2040" i="1" s="1"/>
  <c r="Y2040" i="1"/>
  <c r="Y2164" i="1"/>
  <c r="Z2164" i="1" a="1"/>
  <c r="Z2164" i="1" s="1"/>
  <c r="Y2131" i="1"/>
  <c r="Z2131" i="1" a="1"/>
  <c r="Z2131" i="1" s="1"/>
  <c r="Y1499" i="1"/>
  <c r="Z1499" i="1" a="1"/>
  <c r="Z1499" i="1" s="1"/>
  <c r="Y2158" i="1"/>
  <c r="Z2158" i="1" a="1"/>
  <c r="Z2158" i="1" s="1"/>
  <c r="Y1555" i="1"/>
  <c r="Z1555" i="1" a="1"/>
  <c r="Z1555" i="1" s="1"/>
  <c r="Y1607" i="1"/>
  <c r="Z1607" i="1" a="1"/>
  <c r="Z1607" i="1" s="1"/>
  <c r="Z1413" i="1" a="1"/>
  <c r="Z1413" i="1" s="1"/>
  <c r="Y1413" i="1"/>
  <c r="Y2146" i="1"/>
  <c r="Z2146" i="1" a="1"/>
  <c r="Z2146" i="1" s="1"/>
  <c r="Y1547" i="1"/>
  <c r="Z1547" i="1" a="1"/>
  <c r="Z1547" i="1" s="1"/>
  <c r="Y1881" i="1"/>
  <c r="Z1881" i="1" a="1"/>
  <c r="Z1881" i="1" s="1"/>
  <c r="Y1733" i="1"/>
  <c r="Z1733" i="1" a="1"/>
  <c r="Z1733" i="1" s="1"/>
  <c r="Y1798" i="1"/>
  <c r="Z1798" i="1" a="1"/>
  <c r="Z1798" i="1" s="1"/>
  <c r="Y1546" i="1"/>
  <c r="Z1546" i="1" a="1"/>
  <c r="Z1546" i="1" s="1"/>
  <c r="Y79" i="1"/>
  <c r="Z79" i="1" a="1"/>
  <c r="Z79" i="1" s="1"/>
  <c r="Z152" i="1" a="1"/>
  <c r="Z152" i="1" s="1"/>
  <c r="Y152" i="1"/>
  <c r="Z42" i="1" a="1"/>
  <c r="Z42" i="1" s="1"/>
  <c r="Y42" i="1"/>
  <c r="Y670" i="1"/>
  <c r="Z670" i="1" a="1"/>
  <c r="Z670" i="1" s="1"/>
  <c r="Z671" i="1" a="1"/>
  <c r="Z671" i="1" s="1"/>
  <c r="Y671" i="1"/>
  <c r="Z565" i="1" a="1"/>
  <c r="Z565" i="1" s="1"/>
  <c r="Y565" i="1"/>
  <c r="Z790" i="1" a="1"/>
  <c r="Z790" i="1" s="1"/>
  <c r="Y790" i="1"/>
  <c r="Y280" i="1"/>
  <c r="Z280" i="1" a="1"/>
  <c r="Z280" i="1" s="1"/>
  <c r="Z229" i="1" a="1"/>
  <c r="Z229" i="1" s="1"/>
  <c r="Y229" i="1"/>
  <c r="Z160" i="1" a="1"/>
  <c r="Z160" i="1" s="1"/>
  <c r="Y160" i="1"/>
  <c r="Y742" i="1"/>
  <c r="Z742" i="1" a="1"/>
  <c r="Z742" i="1" s="1"/>
  <c r="Z122" i="1" a="1"/>
  <c r="Z122" i="1" s="1"/>
  <c r="Y122" i="1"/>
  <c r="Z806" i="1" a="1"/>
  <c r="Z806" i="1" s="1"/>
  <c r="Y806" i="1"/>
  <c r="Y1638" i="1"/>
  <c r="Z1638" i="1" a="1"/>
  <c r="Z1638" i="1" s="1"/>
  <c r="Z506" i="1" a="1"/>
  <c r="Z506" i="1" s="1"/>
  <c r="Y506" i="1"/>
  <c r="Z726" i="1" a="1"/>
  <c r="Z726" i="1" s="1"/>
  <c r="Y726" i="1"/>
  <c r="Y662" i="1"/>
  <c r="Z662" i="1" a="1"/>
  <c r="Z662" i="1" s="1"/>
  <c r="Z144" i="1" a="1"/>
  <c r="Z144" i="1" s="1"/>
  <c r="Y144" i="1"/>
  <c r="Z427" i="1" a="1"/>
  <c r="Z427" i="1" s="1"/>
  <c r="Y427" i="1"/>
  <c r="Z796" i="1" a="1"/>
  <c r="Z796" i="1" s="1"/>
  <c r="Y796" i="1"/>
  <c r="Y507" i="1"/>
  <c r="Z507" i="1" a="1"/>
  <c r="Z507" i="1" s="1"/>
  <c r="Z307" i="1" a="1"/>
  <c r="Z307" i="1" s="1"/>
  <c r="Y307" i="1"/>
  <c r="Z123" i="1" a="1"/>
  <c r="Z123" i="1" s="1"/>
  <c r="Y123" i="1"/>
  <c r="Z678" i="1" a="1"/>
  <c r="Z678" i="1" s="1"/>
  <c r="Y678" i="1"/>
  <c r="Z433" i="1" a="1"/>
  <c r="Z433" i="1" s="1"/>
  <c r="Y433" i="1"/>
  <c r="Z151" i="1" a="1"/>
  <c r="Z151" i="1" s="1"/>
  <c r="Y151" i="1"/>
  <c r="Z142" i="1" a="1"/>
  <c r="Z142" i="1" s="1"/>
  <c r="Y142" i="1"/>
  <c r="Z1492" i="1" a="1"/>
  <c r="Z1492" i="1" s="1"/>
  <c r="Y1492" i="1"/>
  <c r="Y1651" i="1"/>
  <c r="Z1651" i="1" a="1"/>
  <c r="Z1651" i="1" s="1"/>
  <c r="Z82" i="1" a="1"/>
  <c r="Z82" i="1" s="1"/>
  <c r="Y82" i="1"/>
  <c r="Z346" i="1" a="1"/>
  <c r="Z346" i="1" s="1"/>
  <c r="Y346" i="1"/>
  <c r="Y733" i="1"/>
  <c r="Z733" i="1" a="1"/>
  <c r="Z733" i="1" s="1"/>
  <c r="Y177" i="1"/>
  <c r="Z177" i="1" a="1"/>
  <c r="Z177" i="1" s="1"/>
  <c r="Y1639" i="1"/>
  <c r="Z1639" i="1" a="1"/>
  <c r="Z1639" i="1" s="1"/>
  <c r="Z266" i="1" a="1"/>
  <c r="Z266" i="1" s="1"/>
  <c r="Y266" i="1"/>
  <c r="Z486" i="1" a="1"/>
  <c r="Z486" i="1" s="1"/>
  <c r="Y486" i="1"/>
  <c r="Y717" i="1"/>
  <c r="Z717" i="1" a="1"/>
  <c r="Z717" i="1" s="1"/>
  <c r="Y225" i="1"/>
  <c r="Z225" i="1" a="1"/>
  <c r="Z225" i="1" s="1"/>
  <c r="Z207" i="1" a="1"/>
  <c r="Z207" i="1" s="1"/>
  <c r="Y207" i="1"/>
  <c r="Z437" i="1" a="1"/>
  <c r="Z437" i="1" s="1"/>
  <c r="Y437" i="1"/>
  <c r="Y376" i="1"/>
  <c r="Z376" i="1" a="1"/>
  <c r="Z376" i="1" s="1"/>
  <c r="Y786" i="1"/>
  <c r="Z786" i="1" a="1"/>
  <c r="Z786" i="1" s="1"/>
  <c r="Z233" i="1" a="1"/>
  <c r="Z233" i="1" s="1"/>
  <c r="Y233" i="1"/>
  <c r="Z794" i="1" a="1"/>
  <c r="Z794" i="1" s="1"/>
  <c r="Y794" i="1"/>
  <c r="Z8" i="1" a="1"/>
  <c r="Z8" i="1" s="1"/>
  <c r="Y8" i="1"/>
  <c r="Z604" i="1" a="1"/>
  <c r="Z604" i="1" s="1"/>
  <c r="Y604" i="1"/>
  <c r="Z410" i="1" a="1"/>
  <c r="Z410" i="1" s="1"/>
  <c r="Y410" i="1"/>
  <c r="Z465" i="1" a="1"/>
  <c r="Z465" i="1" s="1"/>
  <c r="Y465" i="1"/>
  <c r="Z269" i="1" a="1"/>
  <c r="Z269" i="1" s="1"/>
  <c r="Y269" i="1"/>
  <c r="Z420" i="1" a="1"/>
  <c r="Z420" i="1" s="1"/>
  <c r="Y420" i="1"/>
  <c r="Z64" i="1" a="1"/>
  <c r="Z64" i="1" s="1"/>
  <c r="Y64" i="1"/>
  <c r="Z722" i="1" a="1"/>
  <c r="Z722" i="1" s="1"/>
  <c r="Y722" i="1"/>
  <c r="Z120" i="1" a="1"/>
  <c r="Z120" i="1" s="1"/>
  <c r="Y120" i="1"/>
  <c r="Z789" i="1" a="1"/>
  <c r="Z789" i="1" s="1"/>
  <c r="Y789" i="1"/>
  <c r="Z648" i="1" a="1"/>
  <c r="Z648" i="1" s="1"/>
  <c r="Y648" i="1"/>
  <c r="Y1319" i="1"/>
  <c r="Z1319" i="1" a="1"/>
  <c r="Z1319" i="1" s="1"/>
  <c r="Z483" i="1" a="1"/>
  <c r="Z483" i="1" s="1"/>
  <c r="Y483" i="1"/>
  <c r="Z46" i="1" a="1"/>
  <c r="Z46" i="1" s="1"/>
  <c r="Y46" i="1"/>
  <c r="Y259" i="1"/>
  <c r="Z259" i="1" a="1"/>
  <c r="Z259" i="1" s="1"/>
  <c r="Z809" i="1" a="1"/>
  <c r="Z809" i="1" s="1"/>
  <c r="Y809" i="1"/>
  <c r="Y5" i="1"/>
  <c r="Z5" i="1" a="1"/>
  <c r="Z5" i="1" s="1"/>
  <c r="U543" i="1"/>
  <c r="V543" i="1"/>
  <c r="Y2258" i="1"/>
  <c r="Z2258" i="1" a="1"/>
  <c r="Z2258" i="1" s="1"/>
  <c r="Y1858" i="1"/>
  <c r="Z1858" i="1" a="1"/>
  <c r="Z1858" i="1" s="1"/>
  <c r="Y1955" i="1"/>
  <c r="Z1955" i="1" a="1"/>
  <c r="Z1955" i="1" s="1"/>
  <c r="Y2392" i="1"/>
  <c r="Z2392" i="1" a="1"/>
  <c r="Z2392" i="1" s="1"/>
  <c r="Y1952" i="1"/>
  <c r="Z1952" i="1" a="1"/>
  <c r="Z1952" i="1" s="1"/>
  <c r="Y1871" i="1"/>
  <c r="Z1871" i="1" a="1"/>
  <c r="Z1871" i="1" s="1"/>
  <c r="Y1619" i="1"/>
  <c r="Z1619" i="1" a="1"/>
  <c r="Z1619" i="1" s="1"/>
  <c r="Y2322" i="1"/>
  <c r="Z2322" i="1" a="1"/>
  <c r="Z2322" i="1" s="1"/>
  <c r="Y1913" i="1"/>
  <c r="Z1913" i="1" a="1"/>
  <c r="Z1913" i="1" s="1"/>
  <c r="Y1953" i="1"/>
  <c r="Z1953" i="1" a="1"/>
  <c r="Z1953" i="1" s="1"/>
  <c r="Y2271" i="1"/>
  <c r="Z2271" i="1" a="1"/>
  <c r="Z2271" i="1" s="1"/>
  <c r="Y2251" i="1"/>
  <c r="Z2251" i="1" a="1"/>
  <c r="Z2251" i="1" s="1"/>
  <c r="Y2177" i="1"/>
  <c r="Z2177" i="1" a="1"/>
  <c r="Z2177" i="1" s="1"/>
  <c r="Y1752" i="1"/>
  <c r="Z1752" i="1" a="1"/>
  <c r="Z1752" i="1" s="1"/>
  <c r="Y1787" i="1"/>
  <c r="Z1787" i="1" a="1"/>
  <c r="Z1787" i="1" s="1"/>
  <c r="Y1517" i="1"/>
  <c r="Z1517" i="1" a="1"/>
  <c r="Z1517" i="1" s="1"/>
  <c r="Z2020" i="1" a="1"/>
  <c r="Z2020" i="1" s="1"/>
  <c r="Y2020" i="1"/>
  <c r="Y2351" i="1"/>
  <c r="Z2351" i="1" a="1"/>
  <c r="Z2351" i="1" s="1"/>
  <c r="Y1761" i="1"/>
  <c r="Z1761" i="1" a="1"/>
  <c r="Z1761" i="1" s="1"/>
  <c r="Y2195" i="1"/>
  <c r="Z2195" i="1" a="1"/>
  <c r="Z2195" i="1" s="1"/>
  <c r="Y1302" i="1"/>
  <c r="Z1302" i="1" a="1"/>
  <c r="Z1302" i="1" s="1"/>
  <c r="Z1935" i="1" a="1"/>
  <c r="Z1935" i="1" s="1"/>
  <c r="Y1935" i="1"/>
  <c r="Y1815" i="1"/>
  <c r="Z1815" i="1" a="1"/>
  <c r="Z1815" i="1" s="1"/>
  <c r="Y2014" i="1"/>
  <c r="Z2014" i="1" a="1"/>
  <c r="Z2014" i="1" s="1"/>
  <c r="Y1803" i="1"/>
  <c r="Z1803" i="1" a="1"/>
  <c r="Z1803" i="1" s="1"/>
  <c r="Z2005" i="1" a="1"/>
  <c r="Z2005" i="1" s="1"/>
  <c r="Y2005" i="1"/>
  <c r="Y2347" i="1"/>
  <c r="Z2347" i="1" a="1"/>
  <c r="Z2347" i="1" s="1"/>
  <c r="Z1891" i="1" a="1"/>
  <c r="Z1891" i="1" s="1"/>
  <c r="Y1891" i="1"/>
  <c r="Y1864" i="1"/>
  <c r="Z1864" i="1" a="1"/>
  <c r="Z1864" i="1" s="1"/>
  <c r="Y1389" i="1"/>
  <c r="Z1389" i="1" a="1"/>
  <c r="Z1389" i="1" s="1"/>
  <c r="Z1353" i="1" a="1"/>
  <c r="Z1353" i="1" s="1"/>
  <c r="Y1353" i="1"/>
  <c r="Y1824" i="1"/>
  <c r="Z1824" i="1" a="1"/>
  <c r="Z1824" i="1" s="1"/>
  <c r="Y2268" i="1"/>
  <c r="Z2268" i="1" a="1"/>
  <c r="Z2268" i="1" s="1"/>
  <c r="Y1660" i="1"/>
  <c r="Z1660" i="1" a="1"/>
  <c r="Z1660" i="1" s="1"/>
  <c r="Z2042" i="1" a="1"/>
  <c r="Z2042" i="1" s="1"/>
  <c r="Y2042" i="1"/>
  <c r="Z1999" i="1" a="1"/>
  <c r="Z1999" i="1" s="1"/>
  <c r="Y1999" i="1"/>
  <c r="Y2192" i="1"/>
  <c r="Z2192" i="1" a="1"/>
  <c r="Z2192" i="1" s="1"/>
  <c r="Y2070" i="1"/>
  <c r="Z2070" i="1" a="1"/>
  <c r="Z2070" i="1" s="1"/>
  <c r="Y2226" i="1"/>
  <c r="Z2226" i="1" a="1"/>
  <c r="Z2226" i="1" s="1"/>
  <c r="Z2160" i="1" a="1"/>
  <c r="Z2160" i="1" s="1"/>
  <c r="Y2160" i="1"/>
  <c r="Y1529" i="1"/>
  <c r="Z1529" i="1" a="1"/>
  <c r="Z1529" i="1" s="1"/>
  <c r="Y1674" i="1"/>
  <c r="Z1674" i="1" a="1"/>
  <c r="Z1674" i="1" s="1"/>
  <c r="Y1452" i="1"/>
  <c r="Z1452" i="1" a="1"/>
  <c r="Z1452" i="1" s="1"/>
  <c r="Y2354" i="1"/>
  <c r="Z2354" i="1" a="1"/>
  <c r="Z2354" i="1" s="1"/>
  <c r="Y2176" i="1"/>
  <c r="Z2176" i="1" a="1"/>
  <c r="Z2176" i="1" s="1"/>
  <c r="Y1702" i="1"/>
  <c r="Z1702" i="1" a="1"/>
  <c r="Z1702" i="1" s="1"/>
  <c r="Y1479" i="1"/>
  <c r="Z1479" i="1" a="1"/>
  <c r="Z1479" i="1" s="1"/>
  <c r="Y1629" i="1"/>
  <c r="Z1629" i="1" a="1"/>
  <c r="Z1629" i="1" s="1"/>
  <c r="Z1967" i="1" a="1"/>
  <c r="Z1967" i="1" s="1"/>
  <c r="Y1967" i="1"/>
  <c r="Y1851" i="1"/>
  <c r="Z1851" i="1" a="1"/>
  <c r="Z1851" i="1" s="1"/>
  <c r="Y1683" i="1"/>
  <c r="Z1683" i="1" a="1"/>
  <c r="Z1683" i="1" s="1"/>
  <c r="Y2081" i="1"/>
  <c r="Z2081" i="1" a="1"/>
  <c r="Z2081" i="1" s="1"/>
  <c r="Y1894" i="1"/>
  <c r="Z1894" i="1" a="1"/>
  <c r="Z1894" i="1" s="1"/>
  <c r="Y2246" i="1"/>
  <c r="Z2246" i="1" a="1"/>
  <c r="Z2246" i="1" s="1"/>
  <c r="Y1901" i="1"/>
  <c r="Z1901" i="1" a="1"/>
  <c r="Z1901" i="1" s="1"/>
  <c r="Y2103" i="1"/>
  <c r="Z2103" i="1" a="1"/>
  <c r="Z2103" i="1" s="1"/>
  <c r="Y2417" i="1"/>
  <c r="Z2417" i="1" a="1"/>
  <c r="Z2417" i="1" s="1"/>
  <c r="Y2227" i="1"/>
  <c r="Z2227" i="1" a="1"/>
  <c r="Z2227" i="1" s="1"/>
  <c r="Y1637" i="1"/>
  <c r="Z1637" i="1" a="1"/>
  <c r="Z1637" i="1" s="1"/>
  <c r="Y509" i="1"/>
  <c r="Z509" i="1" a="1"/>
  <c r="Z509" i="1" s="1"/>
  <c r="Z827" i="1" a="1"/>
  <c r="Z827" i="1" s="1"/>
  <c r="Y827" i="1"/>
  <c r="Z562" i="1" a="1"/>
  <c r="Z562" i="1" s="1"/>
  <c r="Y562" i="1"/>
  <c r="Z494" i="1" a="1"/>
  <c r="Z494" i="1" s="1"/>
  <c r="Y494" i="1"/>
  <c r="Y651" i="1"/>
  <c r="Z651" i="1" a="1"/>
  <c r="Z651" i="1" s="1"/>
  <c r="Z719" i="1" a="1"/>
  <c r="Z719" i="1" s="1"/>
  <c r="Y719" i="1"/>
  <c r="Y1676" i="1"/>
  <c r="Z1676" i="1" a="1"/>
  <c r="Z1676" i="1" s="1"/>
  <c r="Z625" i="1" a="1"/>
  <c r="Z625" i="1" s="1"/>
  <c r="Y625" i="1"/>
  <c r="Z94" i="1" a="1"/>
  <c r="Z94" i="1" s="1"/>
  <c r="Y94" i="1"/>
  <c r="Z330" i="1" a="1"/>
  <c r="Z330" i="1" s="1"/>
  <c r="Y330" i="1"/>
  <c r="Z54" i="1" a="1"/>
  <c r="Z54" i="1" s="1"/>
  <c r="Y54" i="1"/>
  <c r="Z83" i="1" a="1"/>
  <c r="Z83" i="1" s="1"/>
  <c r="Y83" i="1"/>
  <c r="Y139" i="1"/>
  <c r="Z139" i="1" a="1"/>
  <c r="Z139" i="1" s="1"/>
  <c r="Z1383" i="1" a="1"/>
  <c r="Z1383" i="1" s="1"/>
  <c r="Y1383" i="1"/>
  <c r="Y518" i="1"/>
  <c r="Z518" i="1" a="1"/>
  <c r="Z518" i="1" s="1"/>
  <c r="Z379" i="1" a="1"/>
  <c r="Z379" i="1" s="1"/>
  <c r="Y379" i="1"/>
  <c r="Z114" i="1" a="1"/>
  <c r="Z114" i="1" s="1"/>
  <c r="Y114" i="1"/>
  <c r="Y637" i="1"/>
  <c r="Z637" i="1" a="1"/>
  <c r="Z637" i="1" s="1"/>
  <c r="Y440" i="1"/>
  <c r="Z440" i="1" a="1"/>
  <c r="Z440" i="1" s="1"/>
  <c r="Z167" i="1" a="1"/>
  <c r="Z167" i="1" s="1"/>
  <c r="Y167" i="1"/>
  <c r="Y1611" i="1"/>
  <c r="Z1611" i="1" a="1"/>
  <c r="Z1611" i="1" s="1"/>
  <c r="Z800" i="1" a="1"/>
  <c r="Z800" i="1" s="1"/>
  <c r="Y800" i="1"/>
  <c r="Z556" i="1" a="1"/>
  <c r="Z556" i="1" s="1"/>
  <c r="Y556" i="1"/>
  <c r="Y257" i="1"/>
  <c r="Z257" i="1" a="1"/>
  <c r="Z257" i="1" s="1"/>
  <c r="Y858" i="1"/>
  <c r="Z858" i="1" a="1"/>
  <c r="Z858" i="1" s="1"/>
  <c r="Z228" i="1" a="1"/>
  <c r="Z228" i="1" s="1"/>
  <c r="Y228" i="1"/>
  <c r="Z746" i="1" a="1"/>
  <c r="Z746" i="1" s="1"/>
  <c r="Y746" i="1"/>
  <c r="Z329" i="1" a="1"/>
  <c r="Z329" i="1" s="1"/>
  <c r="Y329" i="1"/>
  <c r="Z23" i="1" a="1"/>
  <c r="Z23" i="1" s="1"/>
  <c r="Y23" i="1"/>
  <c r="Z805" i="1" a="1"/>
  <c r="Z805" i="1" s="1"/>
  <c r="Y805" i="1"/>
  <c r="Z644" i="1" a="1"/>
  <c r="Z644" i="1" s="1"/>
  <c r="Y644" i="1"/>
  <c r="Z311" i="1" a="1"/>
  <c r="Z311" i="1" s="1"/>
  <c r="Y311" i="1"/>
  <c r="Y1396" i="1"/>
  <c r="Z1396" i="1" a="1"/>
  <c r="Z1396" i="1" s="1"/>
  <c r="Z276" i="1" a="1"/>
  <c r="Z276" i="1" s="1"/>
  <c r="Y276" i="1"/>
  <c r="Z453" i="1" a="1"/>
  <c r="Z453" i="1" s="1"/>
  <c r="Y453" i="1"/>
  <c r="Z169" i="1" a="1"/>
  <c r="Z169" i="1" s="1"/>
  <c r="Y169" i="1"/>
  <c r="Z610" i="1" a="1"/>
  <c r="Z610" i="1" s="1"/>
  <c r="Y610" i="1"/>
  <c r="Y128" i="1"/>
  <c r="Z128" i="1" a="1"/>
  <c r="Z128" i="1" s="1"/>
  <c r="Y658" i="1"/>
  <c r="Z658" i="1" a="1"/>
  <c r="Z658" i="1" s="1"/>
  <c r="Z810" i="1" a="1"/>
  <c r="Z810" i="1" s="1"/>
  <c r="Y810" i="1"/>
  <c r="Z686" i="1" a="1"/>
  <c r="Z686" i="1" s="1"/>
  <c r="Y686" i="1"/>
  <c r="Z737" i="1" a="1"/>
  <c r="Z737" i="1" s="1"/>
  <c r="Y737" i="1"/>
  <c r="Z773" i="1" a="1"/>
  <c r="Z773" i="1" s="1"/>
  <c r="Y773" i="1"/>
  <c r="Y594" i="1"/>
  <c r="Z594" i="1" a="1"/>
  <c r="Z594" i="1" s="1"/>
  <c r="Z1487" i="1" a="1"/>
  <c r="Z1487" i="1" s="1"/>
  <c r="Y1487" i="1"/>
  <c r="Y602" i="1"/>
  <c r="Z602" i="1" a="1"/>
  <c r="Z602" i="1" s="1"/>
  <c r="Z354" i="1" a="1"/>
  <c r="Z354" i="1" s="1"/>
  <c r="Y354" i="1"/>
  <c r="Z834" i="1" a="1"/>
  <c r="Z834" i="1" s="1"/>
  <c r="Y834" i="1"/>
  <c r="Y1475" i="1"/>
  <c r="Z1475" i="1" a="1"/>
  <c r="Z1475" i="1" s="1"/>
  <c r="Y75" i="1"/>
  <c r="Z75" i="1" a="1"/>
  <c r="Z75" i="1" s="1"/>
  <c r="Z578" i="1" a="1"/>
  <c r="Z578" i="1" s="1"/>
  <c r="Y578" i="1"/>
  <c r="Z372" i="1" a="1"/>
  <c r="Z372" i="1" s="1"/>
  <c r="Y372" i="1"/>
  <c r="Y1561" i="1"/>
  <c r="Z1561" i="1" a="1"/>
  <c r="Z1561" i="1" s="1"/>
  <c r="Z677" i="1" a="1"/>
  <c r="Z677" i="1" s="1"/>
  <c r="Y677" i="1"/>
  <c r="Z256" i="1" a="1"/>
  <c r="Z256" i="1" s="1"/>
  <c r="Y256" i="1"/>
  <c r="Z842" i="1" a="1"/>
  <c r="Z842" i="1" s="1"/>
  <c r="Y842" i="1"/>
  <c r="Z566" i="1" a="1"/>
  <c r="Z566" i="1" s="1"/>
  <c r="Y566" i="1"/>
  <c r="Z502" i="1" a="1"/>
  <c r="Z502" i="1" s="1"/>
  <c r="Y502" i="1"/>
  <c r="Y189" i="1"/>
  <c r="Z189" i="1" a="1"/>
  <c r="Z189" i="1" s="1"/>
  <c r="Z595" i="1" a="1"/>
  <c r="Z595" i="1" s="1"/>
  <c r="Y595" i="1"/>
  <c r="Y1596" i="1"/>
  <c r="Z1596" i="1" a="1"/>
  <c r="Z1596" i="1" s="1"/>
  <c r="Y2170" i="1"/>
  <c r="Z2170" i="1" a="1"/>
  <c r="Z2170" i="1" s="1"/>
  <c r="Y2278" i="1"/>
  <c r="Z2278" i="1" a="1"/>
  <c r="Z2278" i="1" s="1"/>
  <c r="Y1759" i="1"/>
  <c r="Z1759" i="1" a="1"/>
  <c r="Z1759" i="1" s="1"/>
  <c r="Y1884" i="1"/>
  <c r="Z1884" i="1" a="1"/>
  <c r="Z1884" i="1" s="1"/>
  <c r="Y1781" i="1"/>
  <c r="Z1781" i="1" a="1"/>
  <c r="Z1781" i="1" s="1"/>
  <c r="Y2116" i="1"/>
  <c r="Z2116" i="1" a="1"/>
  <c r="Z2116" i="1" s="1"/>
  <c r="Y2077" i="1"/>
  <c r="Z2077" i="1" a="1"/>
  <c r="Z2077" i="1" s="1"/>
  <c r="Y2012" i="1"/>
  <c r="Z2012" i="1" a="1"/>
  <c r="Z2012" i="1" s="1"/>
  <c r="Y2381" i="1"/>
  <c r="Z2381" i="1" a="1"/>
  <c r="Z2381" i="1" s="1"/>
  <c r="Y2231" i="1"/>
  <c r="Z2231" i="1" a="1"/>
  <c r="Z2231" i="1" s="1"/>
  <c r="Y2240" i="1"/>
  <c r="Z2240" i="1" a="1"/>
  <c r="Z2240" i="1" s="1"/>
  <c r="Y2118" i="1"/>
  <c r="Z2118" i="1" a="1"/>
  <c r="Z2118" i="1" s="1"/>
  <c r="Y1946" i="1"/>
  <c r="Z1946" i="1" a="1"/>
  <c r="Z1946" i="1" s="1"/>
  <c r="Z1538" i="1" a="1"/>
  <c r="Z1538" i="1" s="1"/>
  <c r="Y1538" i="1"/>
  <c r="Y1749" i="1"/>
  <c r="Z1749" i="1" a="1"/>
  <c r="Z1749" i="1" s="1"/>
  <c r="Y1739" i="1"/>
  <c r="Z1739" i="1" a="1"/>
  <c r="Z1739" i="1" s="1"/>
  <c r="Y2044" i="1"/>
  <c r="Z2044" i="1" a="1"/>
  <c r="Z2044" i="1" s="1"/>
  <c r="Y1510" i="1"/>
  <c r="Z1510" i="1" a="1"/>
  <c r="Z1510" i="1" s="1"/>
  <c r="Y1890" i="1"/>
  <c r="Z1890" i="1" a="1"/>
  <c r="Z1890" i="1" s="1"/>
  <c r="Y1721" i="1"/>
  <c r="Z1721" i="1" a="1"/>
  <c r="Z1721" i="1" s="1"/>
  <c r="Y2364" i="1"/>
  <c r="Z2364" i="1" a="1"/>
  <c r="Z2364" i="1" s="1"/>
  <c r="Y1566" i="1"/>
  <c r="Z1566" i="1" a="1"/>
  <c r="Z1566" i="1" s="1"/>
  <c r="Y1725" i="1"/>
  <c r="Z1725" i="1" a="1"/>
  <c r="Z1725" i="1" s="1"/>
  <c r="Z1463" i="1" a="1"/>
  <c r="Z1463" i="1" s="1"/>
  <c r="Y1463" i="1"/>
  <c r="Y1498" i="1"/>
  <c r="Z1498" i="1" a="1"/>
  <c r="Z1498" i="1" s="1"/>
  <c r="Y1701" i="1"/>
  <c r="Z1701" i="1" a="1"/>
  <c r="Z1701" i="1" s="1"/>
  <c r="Z2129" i="1" a="1"/>
  <c r="Z2129" i="1" s="1"/>
  <c r="Y2129" i="1"/>
  <c r="Y2291" i="1"/>
  <c r="Z2291" i="1" a="1"/>
  <c r="Z2291" i="1" s="1"/>
  <c r="Y2211" i="1"/>
  <c r="Z2211" i="1" a="1"/>
  <c r="Z2211" i="1" s="1"/>
  <c r="Z1966" i="1" a="1"/>
  <c r="Z1966" i="1" s="1"/>
  <c r="Y1966" i="1"/>
  <c r="Y1416" i="1"/>
  <c r="Z1416" i="1" a="1"/>
  <c r="Z1416" i="1" s="1"/>
  <c r="Y2328" i="1"/>
  <c r="Z2328" i="1" a="1"/>
  <c r="Z2328" i="1" s="1"/>
  <c r="Y1736" i="1"/>
  <c r="Z1736" i="1" a="1"/>
  <c r="Z1736" i="1" s="1"/>
  <c r="Y1897" i="1"/>
  <c r="Z1897" i="1" a="1"/>
  <c r="Z1897" i="1" s="1"/>
  <c r="Z1326" i="1" a="1"/>
  <c r="Z1326" i="1" s="1"/>
  <c r="Y1326" i="1"/>
  <c r="Y1756" i="1"/>
  <c r="Z1756" i="1" a="1"/>
  <c r="Z1756" i="1" s="1"/>
  <c r="Y1717" i="1"/>
  <c r="Z1717" i="1" a="1"/>
  <c r="Z1717" i="1" s="1"/>
  <c r="Z1997" i="1" a="1"/>
  <c r="Z1997" i="1" s="1"/>
  <c r="Y1997" i="1"/>
  <c r="Y1914" i="1"/>
  <c r="Z1914" i="1" a="1"/>
  <c r="Z1914" i="1" s="1"/>
  <c r="Z1748" i="1" a="1"/>
  <c r="Z1748" i="1" s="1"/>
  <c r="Y1748" i="1"/>
  <c r="Y2279" i="1"/>
  <c r="Z2279" i="1" a="1"/>
  <c r="Z2279" i="1" s="1"/>
  <c r="Z1405" i="1" a="1"/>
  <c r="Z1405" i="1" s="1"/>
  <c r="Y1405" i="1"/>
  <c r="Z1809" i="1" a="1"/>
  <c r="Z1809" i="1" s="1"/>
  <c r="Y1809" i="1"/>
  <c r="Y1950" i="1"/>
  <c r="Z1950" i="1" a="1"/>
  <c r="Z1950" i="1" s="1"/>
  <c r="Y2142" i="1"/>
  <c r="Z2142" i="1" a="1"/>
  <c r="Z2142" i="1" s="1"/>
  <c r="Y2178" i="1"/>
  <c r="Z2178" i="1" a="1"/>
  <c r="Z2178" i="1" s="1"/>
  <c r="Y1608" i="1"/>
  <c r="Z1608" i="1" a="1"/>
  <c r="Z1608" i="1" s="1"/>
  <c r="Y1634" i="1"/>
  <c r="Z1634" i="1" a="1"/>
  <c r="Z1634" i="1" s="1"/>
  <c r="Y1425" i="1"/>
  <c r="Z1425" i="1" a="1"/>
  <c r="Z1425" i="1" s="1"/>
  <c r="Y1919" i="1"/>
  <c r="Z1919" i="1" a="1"/>
  <c r="Z1919" i="1" s="1"/>
  <c r="Y2324" i="1"/>
  <c r="Z2324" i="1" a="1"/>
  <c r="Z2324" i="1" s="1"/>
  <c r="Y1938" i="1"/>
  <c r="Z1938" i="1" a="1"/>
  <c r="Z1938" i="1" s="1"/>
  <c r="Y1753" i="1"/>
  <c r="Z1753" i="1" a="1"/>
  <c r="Z1753" i="1" s="1"/>
  <c r="Y1810" i="1"/>
  <c r="Z1810" i="1" a="1"/>
  <c r="Z1810" i="1" s="1"/>
  <c r="Y1600" i="1"/>
  <c r="Z1600" i="1" a="1"/>
  <c r="Z1600" i="1" s="1"/>
  <c r="Y1632" i="1"/>
  <c r="Z1632" i="1" a="1"/>
  <c r="Z1632" i="1" s="1"/>
  <c r="Z1978" i="1" a="1"/>
  <c r="Z1978" i="1" s="1"/>
  <c r="Y1978" i="1"/>
  <c r="Y1983" i="1"/>
  <c r="Z1983" i="1" a="1"/>
  <c r="Z1983" i="1" s="1"/>
  <c r="Y1494" i="1"/>
  <c r="Z1494" i="1" a="1"/>
  <c r="Z1494" i="1" s="1"/>
  <c r="Y1303" i="1"/>
  <c r="Z1303" i="1" a="1"/>
  <c r="Z1303" i="1" s="1"/>
  <c r="Z780" i="1" a="1"/>
  <c r="Z780" i="1" s="1"/>
  <c r="Y780" i="1"/>
  <c r="Z291" i="1" a="1"/>
  <c r="Z291" i="1" s="1"/>
  <c r="Y291" i="1"/>
  <c r="Y533" i="1"/>
  <c r="Z533" i="1" a="1"/>
  <c r="Z533" i="1" s="1"/>
  <c r="Y381" i="1"/>
  <c r="Z381" i="1" a="1"/>
  <c r="Z381" i="1" s="1"/>
  <c r="Z567" i="1" a="1"/>
  <c r="Z567" i="1" s="1"/>
  <c r="Y567" i="1"/>
  <c r="Y267" i="1"/>
  <c r="Z267" i="1" a="1"/>
  <c r="Z267" i="1" s="1"/>
  <c r="Y653" i="1"/>
  <c r="Z653" i="1" a="1"/>
  <c r="Z653" i="1" s="1"/>
  <c r="Z475" i="1" a="1"/>
  <c r="Z475" i="1" s="1"/>
  <c r="Y475" i="1"/>
  <c r="Z463" i="1" a="1"/>
  <c r="Z463" i="1" s="1"/>
  <c r="Y463" i="1"/>
  <c r="Y1650" i="1"/>
  <c r="Z1650" i="1" a="1"/>
  <c r="Z1650" i="1" s="1"/>
  <c r="Z655" i="1" a="1"/>
  <c r="Z655" i="1" s="1"/>
  <c r="Y655" i="1"/>
  <c r="Z133" i="1" a="1"/>
  <c r="Z133" i="1" s="1"/>
  <c r="Y133" i="1"/>
  <c r="Y50" i="1"/>
  <c r="Z50" i="1" a="1"/>
  <c r="Z50" i="1" s="1"/>
  <c r="Y1518" i="1"/>
  <c r="Z1518" i="1" a="1"/>
  <c r="Z1518" i="1" s="1"/>
  <c r="Z215" i="1" a="1"/>
  <c r="Z215" i="1" s="1"/>
  <c r="Y215" i="1"/>
  <c r="Z812" i="1" a="1"/>
  <c r="Z812" i="1" s="1"/>
  <c r="Y812" i="1"/>
  <c r="Y245" i="1"/>
  <c r="Z245" i="1" a="1"/>
  <c r="Z245" i="1" s="1"/>
  <c r="Y1534" i="1"/>
  <c r="Z1534" i="1" a="1"/>
  <c r="Z1534" i="1" s="1"/>
  <c r="Y1690" i="1"/>
  <c r="Z1690" i="1" a="1"/>
  <c r="Z1690" i="1" s="1"/>
  <c r="Z618" i="1" a="1"/>
  <c r="Z618" i="1" s="1"/>
  <c r="Y618" i="1"/>
  <c r="Y431" i="1"/>
  <c r="Z431" i="1" a="1"/>
  <c r="Z431" i="1" s="1"/>
  <c r="Z524" i="1" a="1"/>
  <c r="Z524" i="1" s="1"/>
  <c r="Y524" i="1"/>
  <c r="Z480" i="1" a="1"/>
  <c r="Z480" i="1" s="1"/>
  <c r="Y480" i="1"/>
  <c r="Z585" i="1" a="1"/>
  <c r="Z585" i="1" s="1"/>
  <c r="Y585" i="1"/>
  <c r="Z247" i="1" a="1"/>
  <c r="Z247" i="1" s="1"/>
  <c r="Y247" i="1"/>
  <c r="Y681" i="1"/>
  <c r="Z681" i="1" a="1"/>
  <c r="Z681" i="1" s="1"/>
  <c r="Z630" i="1" a="1"/>
  <c r="Z630" i="1" s="1"/>
  <c r="Y630" i="1"/>
  <c r="Z181" i="1" a="1"/>
  <c r="Z181" i="1" s="1"/>
  <c r="Y181" i="1"/>
  <c r="Y576" i="1"/>
  <c r="Z576" i="1" a="1"/>
  <c r="Z576" i="1" s="1"/>
  <c r="Z19" i="1" a="1"/>
  <c r="Z19" i="1" s="1"/>
  <c r="Y19" i="1"/>
  <c r="Z223" i="1" a="1"/>
  <c r="Z223" i="1" s="1"/>
  <c r="Y223" i="1"/>
  <c r="Z416" i="1" a="1"/>
  <c r="Z416" i="1" s="1"/>
  <c r="Y416" i="1"/>
  <c r="Z462" i="1" a="1"/>
  <c r="Z462" i="1" s="1"/>
  <c r="Y462" i="1"/>
  <c r="Z111" i="1" a="1"/>
  <c r="Z111" i="1" s="1"/>
  <c r="Y111" i="1"/>
  <c r="Z95" i="1" a="1"/>
  <c r="Z95" i="1" s="1"/>
  <c r="Y95" i="1"/>
  <c r="Z96" i="1" a="1"/>
  <c r="Z96" i="1" s="1"/>
  <c r="Y96" i="1"/>
  <c r="Z131" i="1" a="1"/>
  <c r="Z131" i="1" s="1"/>
  <c r="Y131" i="1"/>
  <c r="Z6" i="1" a="1"/>
  <c r="Z6" i="1" s="1"/>
  <c r="Y6" i="1"/>
  <c r="Z569" i="1" a="1"/>
  <c r="Z569" i="1" s="1"/>
  <c r="Y569" i="1"/>
  <c r="Y45" i="1"/>
  <c r="Z45" i="1" a="1"/>
  <c r="Z45" i="1" s="1"/>
  <c r="Z238" i="1" a="1"/>
  <c r="Z238" i="1" s="1"/>
  <c r="Y238" i="1"/>
  <c r="Y860" i="1"/>
  <c r="Z860" i="1" a="1"/>
  <c r="Z860" i="1" s="1"/>
  <c r="Z230" i="1" a="1"/>
  <c r="Z230" i="1" s="1"/>
  <c r="Y230" i="1"/>
  <c r="Y349" i="1"/>
  <c r="Z349" i="1" a="1"/>
  <c r="Z349" i="1" s="1"/>
  <c r="Z609" i="1" a="1"/>
  <c r="Z609" i="1" s="1"/>
  <c r="Y609" i="1"/>
  <c r="Z837" i="1" a="1"/>
  <c r="Z837" i="1" s="1"/>
  <c r="Y837" i="1"/>
  <c r="Z402" i="1" a="1"/>
  <c r="Z402" i="1" s="1"/>
  <c r="Y402" i="1"/>
  <c r="Z850" i="1" a="1"/>
  <c r="Z850" i="1" s="1"/>
  <c r="Y850" i="1"/>
  <c r="Y1834" i="1"/>
  <c r="Z1834" i="1" a="1"/>
  <c r="Z1834" i="1" s="1"/>
  <c r="Z191" i="1" a="1"/>
  <c r="Z191" i="1" s="1"/>
  <c r="Y191" i="1"/>
  <c r="Z712" i="1" a="1"/>
  <c r="Z712" i="1" s="1"/>
  <c r="Y712" i="1"/>
  <c r="Z755" i="1" a="1"/>
  <c r="Z755" i="1" s="1"/>
  <c r="Y755" i="1"/>
  <c r="Y1459" i="1"/>
  <c r="Z1459" i="1" a="1"/>
  <c r="Z1459" i="1" s="1"/>
  <c r="Z360" i="1" a="1"/>
  <c r="Z360" i="1" s="1"/>
  <c r="Y360" i="1"/>
  <c r="Y154" i="1"/>
  <c r="Z154" i="1" a="1"/>
  <c r="Z154" i="1" s="1"/>
  <c r="Y209" i="1"/>
  <c r="Z209" i="1" a="1"/>
  <c r="Z209" i="1" s="1"/>
  <c r="Y1715" i="1"/>
  <c r="Z1715" i="1" a="1"/>
  <c r="Z1715" i="1" s="1"/>
  <c r="Z274" i="1" a="1"/>
  <c r="Z274" i="1" s="1"/>
  <c r="Y274" i="1"/>
  <c r="Z362" i="1" a="1"/>
  <c r="Z362" i="1" s="1"/>
  <c r="Y362" i="1"/>
  <c r="Z26" i="1" a="1"/>
  <c r="Z26" i="1" s="1"/>
  <c r="Y26" i="1"/>
  <c r="Z444" i="1" a="1"/>
  <c r="Z444" i="1" s="1"/>
  <c r="Y444" i="1"/>
  <c r="Y2427" i="1"/>
  <c r="Z2427" i="1" a="1"/>
  <c r="Z2427" i="1" s="1"/>
  <c r="Z2008" i="1" a="1"/>
  <c r="Z2008" i="1" s="1"/>
  <c r="Y2008" i="1"/>
  <c r="Y1885" i="1"/>
  <c r="Z1885" i="1" a="1"/>
  <c r="Z1885" i="1" s="1"/>
  <c r="Y1981" i="1"/>
  <c r="Z1981" i="1" a="1"/>
  <c r="Z1981" i="1" s="1"/>
  <c r="Y1941" i="1"/>
  <c r="Z1941" i="1" a="1"/>
  <c r="Z1941" i="1" s="1"/>
  <c r="Y1711" i="1"/>
  <c r="Z1711" i="1" a="1"/>
  <c r="Z1711" i="1" s="1"/>
  <c r="Y2348" i="1"/>
  <c r="Z2348" i="1" a="1"/>
  <c r="Z2348" i="1" s="1"/>
  <c r="Z2018" i="1" a="1"/>
  <c r="Z2018" i="1" s="1"/>
  <c r="Y2018" i="1"/>
  <c r="Y2057" i="1"/>
  <c r="Z2057" i="1" a="1"/>
  <c r="Z2057" i="1" s="1"/>
  <c r="Y2297" i="1"/>
  <c r="Z2297" i="1" a="1"/>
  <c r="Z2297" i="1" s="1"/>
  <c r="Y2262" i="1"/>
  <c r="Z2262" i="1" a="1"/>
  <c r="Z2262" i="1" s="1"/>
  <c r="Y2207" i="1"/>
  <c r="Z2207" i="1" a="1"/>
  <c r="Z2207" i="1" s="1"/>
  <c r="Y1857" i="1"/>
  <c r="Z1857" i="1" a="1"/>
  <c r="Z1857" i="1" s="1"/>
  <c r="Y1968" i="1"/>
  <c r="Z1968" i="1" a="1"/>
  <c r="Z1968" i="1" s="1"/>
  <c r="Z1973" i="1" a="1"/>
  <c r="Z1973" i="1" s="1"/>
  <c r="Y1973" i="1"/>
  <c r="Y1468" i="1"/>
  <c r="Z1468" i="1" a="1"/>
  <c r="Z1468" i="1" s="1"/>
  <c r="Y2147" i="1"/>
  <c r="Z2147" i="1" a="1"/>
  <c r="Z2147" i="1" s="1"/>
  <c r="Y1788" i="1"/>
  <c r="Z1788" i="1" a="1"/>
  <c r="Z1788" i="1" s="1"/>
  <c r="Y1575" i="1"/>
  <c r="Z1575" i="1" a="1"/>
  <c r="Z1575" i="1" s="1"/>
  <c r="Y2341" i="1"/>
  <c r="Z2341" i="1" a="1"/>
  <c r="Z2341" i="1" s="1"/>
  <c r="Y1738" i="1"/>
  <c r="Z1738" i="1" a="1"/>
  <c r="Z1738" i="1" s="1"/>
  <c r="Z1412" i="1" a="1"/>
  <c r="Z1412" i="1" s="1"/>
  <c r="Y1412" i="1"/>
  <c r="Y2083" i="1"/>
  <c r="Z2083" i="1" a="1"/>
  <c r="Z2083" i="1" s="1"/>
  <c r="Y2175" i="1"/>
  <c r="Z2175" i="1" a="1"/>
  <c r="Z2175" i="1" s="1"/>
  <c r="Y2201" i="1"/>
  <c r="Z2201" i="1" a="1"/>
  <c r="Z2201" i="1" s="1"/>
  <c r="Y1709" i="1"/>
  <c r="Z1709" i="1" a="1"/>
  <c r="Z1709" i="1" s="1"/>
  <c r="Y2155" i="1"/>
  <c r="Z2155" i="1" a="1"/>
  <c r="Z2155" i="1" s="1"/>
  <c r="Y2151" i="1"/>
  <c r="Z2151" i="1" a="1"/>
  <c r="Z2151" i="1" s="1"/>
  <c r="Y1684" i="1"/>
  <c r="Z1684" i="1" a="1"/>
  <c r="Z1684" i="1" s="1"/>
  <c r="Y1586" i="1"/>
  <c r="Z1586" i="1" a="1"/>
  <c r="Z1586" i="1" s="1"/>
  <c r="Y1828" i="1"/>
  <c r="Z1828" i="1" a="1"/>
  <c r="Z1828" i="1" s="1"/>
  <c r="Z2045" i="1" a="1"/>
  <c r="Z2045" i="1" s="1"/>
  <c r="Y2045" i="1"/>
  <c r="Y1963" i="1"/>
  <c r="Z1963" i="1" a="1"/>
  <c r="Z1963" i="1" s="1"/>
  <c r="Y2112" i="1"/>
  <c r="Z2112" i="1" a="1"/>
  <c r="Z2112" i="1" s="1"/>
  <c r="Y1644" i="1"/>
  <c r="Z1644" i="1" a="1"/>
  <c r="Z1644" i="1" s="1"/>
  <c r="Y1531" i="1"/>
  <c r="Z1531" i="1" a="1"/>
  <c r="Z1531" i="1" s="1"/>
  <c r="Y1483" i="1"/>
  <c r="Z1483" i="1" a="1"/>
  <c r="Z1483" i="1" s="1"/>
  <c r="Y1465" i="1"/>
  <c r="Z1465" i="1" a="1"/>
  <c r="Z1465" i="1" s="1"/>
  <c r="Y2242" i="1"/>
  <c r="Z2242" i="1" a="1"/>
  <c r="Z2242" i="1" s="1"/>
  <c r="Y2311" i="1"/>
  <c r="Z2311" i="1" a="1"/>
  <c r="Z2311" i="1" s="1"/>
  <c r="Y1797" i="1"/>
  <c r="Z1797" i="1" a="1"/>
  <c r="Z1797" i="1" s="1"/>
  <c r="Y2230" i="1"/>
  <c r="Z2230" i="1" a="1"/>
  <c r="Z2230" i="1" s="1"/>
  <c r="Y1731" i="1"/>
  <c r="Z1731" i="1" a="1"/>
  <c r="Z1731" i="1" s="1"/>
  <c r="Y1532" i="1"/>
  <c r="Z1532" i="1" a="1"/>
  <c r="Z1532" i="1" s="1"/>
  <c r="Y1467" i="1"/>
  <c r="Z1467" i="1" a="1"/>
  <c r="Z1467" i="1" s="1"/>
  <c r="Y2016" i="1"/>
  <c r="Z2016" i="1" a="1"/>
  <c r="Z2016" i="1" s="1"/>
  <c r="Y2091" i="1"/>
  <c r="Z2091" i="1" a="1"/>
  <c r="Z2091" i="1" s="1"/>
  <c r="Y1620" i="1"/>
  <c r="Z1620" i="1" a="1"/>
  <c r="Z1620" i="1" s="1"/>
  <c r="Y1854" i="1"/>
  <c r="Z1854" i="1" a="1"/>
  <c r="Z1854" i="1" s="1"/>
  <c r="Y1718" i="1"/>
  <c r="Z1718" i="1" a="1"/>
  <c r="Z1718" i="1" s="1"/>
  <c r="Y1903" i="1"/>
  <c r="Z1903" i="1" a="1"/>
  <c r="Z1903" i="1" s="1"/>
  <c r="Y2257" i="1"/>
  <c r="Z2257" i="1" a="1"/>
  <c r="Z2257" i="1" s="1"/>
  <c r="Y2122" i="1"/>
  <c r="Z2122" i="1" a="1"/>
  <c r="Z2122" i="1" s="1"/>
  <c r="Y2069" i="1"/>
  <c r="Z2069" i="1" a="1"/>
  <c r="Z2069" i="1" s="1"/>
  <c r="Y1646" i="1"/>
  <c r="Z1646" i="1" a="1"/>
  <c r="Z1646" i="1" s="1"/>
  <c r="Y1519" i="1"/>
  <c r="Z1519" i="1" a="1"/>
  <c r="Z1519" i="1" s="1"/>
  <c r="Y2238" i="1"/>
  <c r="Z2238" i="1" a="1"/>
  <c r="Z2238" i="1" s="1"/>
  <c r="Y1672" i="1"/>
  <c r="Z1672" i="1" a="1"/>
  <c r="Z1672" i="1" s="1"/>
  <c r="Y2199" i="1"/>
  <c r="Z2199" i="1" a="1"/>
  <c r="Z2199" i="1" s="1"/>
  <c r="Z1562" i="1" a="1"/>
  <c r="Z1562" i="1" s="1"/>
  <c r="Y1562" i="1"/>
  <c r="Y1635" i="1"/>
  <c r="Z1635" i="1" a="1"/>
  <c r="Z1635" i="1" s="1"/>
  <c r="Y1612" i="1"/>
  <c r="Z1612" i="1" a="1"/>
  <c r="Z1612" i="1" s="1"/>
  <c r="Y781" i="1"/>
  <c r="Z781" i="1" a="1"/>
  <c r="Z781" i="1" s="1"/>
  <c r="Z527" i="1" a="1"/>
  <c r="Z527" i="1" s="1"/>
  <c r="Y527" i="1"/>
  <c r="Y793" i="1"/>
  <c r="Z793" i="1" a="1"/>
  <c r="Z793" i="1" s="1"/>
  <c r="Z363" i="1" a="1"/>
  <c r="Z363" i="1" s="1"/>
  <c r="Y363" i="1"/>
  <c r="Z182" i="1" a="1"/>
  <c r="Z182" i="1" s="1"/>
  <c r="Y182" i="1"/>
  <c r="Z49" i="1" a="1"/>
  <c r="Z49" i="1" s="1"/>
  <c r="Y49" i="1"/>
  <c r="Y253" i="1"/>
  <c r="Z253" i="1" a="1"/>
  <c r="Z253" i="1" s="1"/>
  <c r="Z243" i="1" a="1"/>
  <c r="Z243" i="1" s="1"/>
  <c r="Y243" i="1"/>
  <c r="Y107" i="1"/>
  <c r="Z107" i="1" a="1"/>
  <c r="Z107" i="1" s="1"/>
  <c r="Z1421" i="1" a="1"/>
  <c r="Z1421" i="1" s="1"/>
  <c r="Y1421" i="1"/>
  <c r="Z464" i="1" a="1"/>
  <c r="Z464" i="1" s="1"/>
  <c r="Y464" i="1"/>
  <c r="Z201" i="1" a="1"/>
  <c r="Z201" i="1" s="1"/>
  <c r="Y201" i="1"/>
  <c r="Z370" i="1" a="1"/>
  <c r="Z370" i="1" s="1"/>
  <c r="Y370" i="1"/>
  <c r="Y1597" i="1"/>
  <c r="Z1597" i="1" a="1"/>
  <c r="Z1597" i="1" s="1"/>
  <c r="Z715" i="1" a="1"/>
  <c r="Z715" i="1" s="1"/>
  <c r="Y715" i="1"/>
  <c r="Z246" i="1" a="1"/>
  <c r="Z246" i="1" s="1"/>
  <c r="Y246" i="1"/>
  <c r="Z795" i="1" a="1"/>
  <c r="Z795" i="1" s="1"/>
  <c r="Y795" i="1"/>
  <c r="Z1447" i="1" a="1"/>
  <c r="Z1447" i="1" s="1"/>
  <c r="Y1447" i="1"/>
  <c r="Z357" i="1" a="1"/>
  <c r="Z357" i="1" s="1"/>
  <c r="Y357" i="1"/>
  <c r="Y135" i="1"/>
  <c r="Z135" i="1" a="1"/>
  <c r="Z135" i="1" s="1"/>
  <c r="Z478" i="1" a="1"/>
  <c r="Z478" i="1" s="1"/>
  <c r="Y478" i="1"/>
  <c r="Z482" i="1" a="1"/>
  <c r="Z482" i="1" s="1"/>
  <c r="Y482" i="1"/>
  <c r="Z500" i="1" a="1"/>
  <c r="Z500" i="1" s="1"/>
  <c r="Y500" i="1"/>
  <c r="Z767" i="1" a="1"/>
  <c r="Z767" i="1" s="1"/>
  <c r="Y767" i="1"/>
  <c r="Z195" i="1" a="1"/>
  <c r="Z195" i="1" s="1"/>
  <c r="Y195" i="1"/>
  <c r="Z332" i="1" a="1"/>
  <c r="Z332" i="1" s="1"/>
  <c r="Y332" i="1"/>
  <c r="Z522" i="1" a="1"/>
  <c r="Z522" i="1" s="1"/>
  <c r="Y522" i="1"/>
  <c r="Z305" i="1" a="1"/>
  <c r="Z305" i="1" s="1"/>
  <c r="Y305" i="1"/>
  <c r="Z548" i="1" a="1"/>
  <c r="Z548" i="1" s="1"/>
  <c r="Y548" i="1"/>
  <c r="Y1436" i="1"/>
  <c r="Z1436" i="1" a="1"/>
  <c r="Z1436" i="1" s="1"/>
  <c r="Z772" i="1" a="1"/>
  <c r="Z772" i="1" s="1"/>
  <c r="Y772" i="1"/>
  <c r="Z510" i="1" a="1"/>
  <c r="Z510" i="1" s="1"/>
  <c r="Y510" i="1"/>
  <c r="Z503" i="1" a="1"/>
  <c r="Z503" i="1" s="1"/>
  <c r="Y503" i="1"/>
  <c r="Z481" i="1" a="1"/>
  <c r="Z481" i="1" s="1"/>
  <c r="Y481" i="1"/>
  <c r="Z371" i="1" a="1"/>
  <c r="Z371" i="1" s="1"/>
  <c r="Y371" i="1"/>
  <c r="Z692" i="1" a="1"/>
  <c r="Z692" i="1" s="1"/>
  <c r="Y692" i="1"/>
  <c r="Y534" i="1"/>
  <c r="Z534" i="1" a="1"/>
  <c r="Z534" i="1" s="1"/>
  <c r="Z210" i="1" a="1"/>
  <c r="Z210" i="1" s="1"/>
  <c r="Y210" i="1"/>
  <c r="Z680" i="1" a="1"/>
  <c r="Z680" i="1" s="1"/>
  <c r="Y680" i="1"/>
  <c r="Y281" i="1"/>
  <c r="Z281" i="1" a="1"/>
  <c r="Z281" i="1" s="1"/>
  <c r="Z785" i="1" a="1"/>
  <c r="Z785" i="1" s="1"/>
  <c r="Y785" i="1"/>
  <c r="Y293" i="1"/>
  <c r="Z293" i="1" a="1"/>
  <c r="Z293" i="1" s="1"/>
  <c r="Z302" i="1" a="1"/>
  <c r="Z302" i="1" s="1"/>
  <c r="Y302" i="1"/>
  <c r="Y1587" i="1"/>
  <c r="Z1587" i="1" a="1"/>
  <c r="Z1587" i="1" s="1"/>
  <c r="Y857" i="1"/>
  <c r="Z857" i="1" a="1"/>
  <c r="Z857" i="1" s="1"/>
  <c r="Z375" i="1" a="1"/>
  <c r="Z375" i="1" s="1"/>
  <c r="Y375" i="1"/>
  <c r="Z87" i="1" a="1"/>
  <c r="Z87" i="1" s="1"/>
  <c r="Y87" i="1"/>
  <c r="Y1574" i="1"/>
  <c r="Z1574" i="1" a="1"/>
  <c r="Z1574" i="1" s="1"/>
  <c r="Z520" i="1" a="1"/>
  <c r="Z520" i="1" s="1"/>
  <c r="Y520" i="1"/>
  <c r="Z43" i="1" a="1"/>
  <c r="Z43" i="1" s="1"/>
  <c r="Y43" i="1"/>
  <c r="Z391" i="1" a="1"/>
  <c r="Z391" i="1" s="1"/>
  <c r="Y391" i="1"/>
  <c r="Z409" i="1" a="1"/>
  <c r="Z409" i="1" s="1"/>
  <c r="Y409" i="1"/>
  <c r="Z78" i="1" a="1"/>
  <c r="Z78" i="1" s="1"/>
  <c r="Y78" i="1"/>
  <c r="Z674" i="1" a="1"/>
  <c r="Z674" i="1" s="1"/>
  <c r="Y674" i="1"/>
  <c r="Y1476" i="1"/>
  <c r="Z1476" i="1" a="1"/>
  <c r="Z1476" i="1" s="1"/>
  <c r="Y285" i="1"/>
  <c r="Z285" i="1" a="1"/>
  <c r="Z285" i="1" s="1"/>
  <c r="Z821" i="1" a="1"/>
  <c r="Z821" i="1" s="1"/>
  <c r="Y821" i="1"/>
  <c r="Z835" i="1" a="1"/>
  <c r="Z835" i="1" s="1"/>
  <c r="Y835" i="1"/>
  <c r="Z439" i="1" a="1"/>
  <c r="Z439" i="1" s="1"/>
  <c r="Y439" i="1"/>
  <c r="U783" i="1"/>
  <c r="V783" i="1"/>
  <c r="Y2264" i="1"/>
  <c r="Z2264" i="1" a="1"/>
  <c r="Z2264" i="1" s="1"/>
  <c r="Y2307" i="1"/>
  <c r="Z2307" i="1" a="1"/>
  <c r="Z2307" i="1" s="1"/>
  <c r="Y1807" i="1"/>
  <c r="Z1807" i="1" a="1"/>
  <c r="Z1807" i="1" s="1"/>
  <c r="Y1922" i="1"/>
  <c r="Z1922" i="1" a="1"/>
  <c r="Z1922" i="1" s="1"/>
  <c r="Y1848" i="1"/>
  <c r="Z1848" i="1" a="1"/>
  <c r="Z1848" i="1" s="1"/>
  <c r="Y2352" i="1"/>
  <c r="Z2352" i="1" a="1"/>
  <c r="Z2352" i="1" s="1"/>
  <c r="Y2130" i="1"/>
  <c r="Z2130" i="1" a="1"/>
  <c r="Z2130" i="1" s="1"/>
  <c r="Y2287" i="1"/>
  <c r="Z2287" i="1" a="1"/>
  <c r="Z2287" i="1" s="1"/>
  <c r="Y1943" i="1"/>
  <c r="Z1943" i="1" a="1"/>
  <c r="Z1943" i="1" s="1"/>
  <c r="Y2295" i="1"/>
  <c r="Z2295" i="1" a="1"/>
  <c r="Z2295" i="1" s="1"/>
  <c r="Y2282" i="1"/>
  <c r="Z2282" i="1" a="1"/>
  <c r="Z2282" i="1" s="1"/>
  <c r="Y2197" i="1"/>
  <c r="Z2197" i="1" a="1"/>
  <c r="Z2197" i="1" s="1"/>
  <c r="Y2213" i="1"/>
  <c r="Z2213" i="1" a="1"/>
  <c r="Z2213" i="1" s="1"/>
  <c r="Y1496" i="1"/>
  <c r="Z1496" i="1" a="1"/>
  <c r="Z1496" i="1" s="1"/>
  <c r="Y1593" i="1"/>
  <c r="Z1593" i="1" a="1"/>
  <c r="Z1593" i="1" s="1"/>
  <c r="Y1515" i="1"/>
  <c r="Z1515" i="1" a="1"/>
  <c r="Z1515" i="1" s="1"/>
  <c r="Y1859" i="1"/>
  <c r="Z1859" i="1" a="1"/>
  <c r="Z1859" i="1" s="1"/>
  <c r="Y2104" i="1"/>
  <c r="Z2104" i="1" a="1"/>
  <c r="Z2104" i="1" s="1"/>
  <c r="Y2035" i="1"/>
  <c r="Z2035" i="1" a="1"/>
  <c r="Z2035" i="1" s="1"/>
  <c r="Y1497" i="1"/>
  <c r="Z1497" i="1" a="1"/>
  <c r="Z1497" i="1" s="1"/>
  <c r="Y2409" i="1"/>
  <c r="Z2409" i="1" a="1"/>
  <c r="Z2409" i="1" s="1"/>
  <c r="Y1909" i="1"/>
  <c r="Z1909" i="1" a="1"/>
  <c r="Z1909" i="1" s="1"/>
  <c r="Y1896" i="1"/>
  <c r="Z1896" i="1" a="1"/>
  <c r="Z1896" i="1" s="1"/>
  <c r="Z1414" i="1" a="1"/>
  <c r="Z1414" i="1" s="1"/>
  <c r="Y1414" i="1"/>
  <c r="Y1900" i="1"/>
  <c r="Z1900" i="1" a="1"/>
  <c r="Z1900" i="1" s="1"/>
  <c r="Y1876" i="1"/>
  <c r="Z1876" i="1" a="1"/>
  <c r="Z1876" i="1" s="1"/>
  <c r="Y2273" i="1"/>
  <c r="Z2273" i="1" a="1"/>
  <c r="Z2273" i="1" s="1"/>
  <c r="Y1812" i="1"/>
  <c r="Z1812" i="1" a="1"/>
  <c r="Z1812" i="1" s="1"/>
  <c r="Y1697" i="1"/>
  <c r="Z1697" i="1" a="1"/>
  <c r="Z1697" i="1" s="1"/>
  <c r="Y1520" i="1"/>
  <c r="Z1520" i="1" a="1"/>
  <c r="Z1520" i="1" s="1"/>
  <c r="Y1852" i="1"/>
  <c r="Z1852" i="1" a="1"/>
  <c r="Z1852" i="1" s="1"/>
  <c r="Z2034" i="1" a="1"/>
  <c r="Z2034" i="1" s="1"/>
  <c r="Y2034" i="1"/>
  <c r="Z1784" i="1" a="1"/>
  <c r="Z1784" i="1" s="1"/>
  <c r="Y1784" i="1"/>
  <c r="Y2117" i="1"/>
  <c r="Z2117" i="1" a="1"/>
  <c r="Z2117" i="1" s="1"/>
  <c r="Y2092" i="1"/>
  <c r="Z2092" i="1" a="1"/>
  <c r="Z2092" i="1" s="1"/>
  <c r="Y1618" i="1"/>
  <c r="Z1618" i="1" a="1"/>
  <c r="Z1618" i="1" s="1"/>
  <c r="Y1462" i="1"/>
  <c r="Z1462" i="1" a="1"/>
  <c r="Z1462" i="1" s="1"/>
  <c r="Y1932" i="1"/>
  <c r="Z1932" i="1" a="1"/>
  <c r="Z1932" i="1" s="1"/>
  <c r="Y2290" i="1"/>
  <c r="Z2290" i="1" a="1"/>
  <c r="Z2290" i="1" s="1"/>
  <c r="Y1417" i="1"/>
  <c r="Z1417" i="1" a="1"/>
  <c r="Z1417" i="1" s="1"/>
  <c r="Y1728" i="1"/>
  <c r="Z1728" i="1" a="1"/>
  <c r="Z1728" i="1" s="1"/>
  <c r="Y1590" i="1"/>
  <c r="Z1590" i="1" a="1"/>
  <c r="Z1590" i="1" s="1"/>
  <c r="Y2033" i="1"/>
  <c r="Z2033" i="1" a="1"/>
  <c r="Z2033" i="1" s="1"/>
  <c r="Y2270" i="1"/>
  <c r="Z2270" i="1" a="1"/>
  <c r="Z2270" i="1" s="1"/>
  <c r="Y1745" i="1"/>
  <c r="Z1745" i="1" a="1"/>
  <c r="Z1745" i="1" s="1"/>
  <c r="Y2335" i="1"/>
  <c r="Z2335" i="1" a="1"/>
  <c r="Z2335" i="1" s="1"/>
  <c r="Y1957" i="1"/>
  <c r="Z1957" i="1" a="1"/>
  <c r="Z1957" i="1" s="1"/>
  <c r="Y1847" i="1"/>
  <c r="Z1847" i="1" a="1"/>
  <c r="Z1847" i="1" s="1"/>
  <c r="Y1816" i="1"/>
  <c r="Z1816" i="1" a="1"/>
  <c r="Z1816" i="1" s="1"/>
  <c r="Y2124" i="1"/>
  <c r="Z2124" i="1" a="1"/>
  <c r="Z2124" i="1" s="1"/>
  <c r="Y1567" i="1"/>
  <c r="Z1567" i="1" a="1"/>
  <c r="Z1567" i="1" s="1"/>
  <c r="Y1998" i="1"/>
  <c r="Z1998" i="1" a="1"/>
  <c r="Z1998" i="1" s="1"/>
  <c r="Y1994" i="1"/>
  <c r="Z1994" i="1" a="1"/>
  <c r="Z1994" i="1" s="1"/>
  <c r="Y1521" i="1"/>
  <c r="Z1521" i="1" a="1"/>
  <c r="Z1521" i="1" s="1"/>
  <c r="Z1991" i="1" a="1"/>
  <c r="Z1991" i="1" s="1"/>
  <c r="Y1991" i="1"/>
  <c r="Y2106" i="1"/>
  <c r="Z2106" i="1" a="1"/>
  <c r="Z2106" i="1" s="1"/>
  <c r="Y2061" i="1"/>
  <c r="Z2061" i="1" a="1"/>
  <c r="Z2061" i="1" s="1"/>
  <c r="Y1527" i="1"/>
  <c r="Z1527" i="1" a="1"/>
  <c r="Z1527" i="1" s="1"/>
  <c r="Z85" i="1" a="1"/>
  <c r="Z85" i="1" s="1"/>
  <c r="Y85" i="1"/>
  <c r="Z504" i="1" a="1"/>
  <c r="Z504" i="1" s="1"/>
  <c r="Y504" i="1"/>
  <c r="Z159" i="1" a="1"/>
  <c r="Z159" i="1" s="1"/>
  <c r="Y159" i="1"/>
  <c r="Z575" i="1" a="1"/>
  <c r="Z575" i="1" s="1"/>
  <c r="Y575" i="1"/>
  <c r="Z231" i="1" a="1"/>
  <c r="Z231" i="1" s="1"/>
  <c r="Y231" i="1"/>
  <c r="Y525" i="1"/>
  <c r="Z525" i="1" a="1"/>
  <c r="Z525" i="1" s="1"/>
  <c r="Z31" i="1" a="1"/>
  <c r="Z31" i="1" s="1"/>
  <c r="Y31" i="1"/>
  <c r="Z188" i="1" a="1"/>
  <c r="Z188" i="1" s="1"/>
  <c r="Y188" i="1"/>
  <c r="Z59" i="1" a="1"/>
  <c r="Z59" i="1" s="1"/>
  <c r="Y59" i="1"/>
  <c r="Z271" i="1" a="1"/>
  <c r="Z271" i="1" s="1"/>
  <c r="Y271" i="1"/>
  <c r="Y297" i="1"/>
  <c r="Z297" i="1" a="1"/>
  <c r="Z297" i="1" s="1"/>
  <c r="Z641" i="1" a="1"/>
  <c r="Z641" i="1" s="1"/>
  <c r="Y641" i="1"/>
  <c r="Z40" i="1" a="1"/>
  <c r="Z40" i="1" s="1"/>
  <c r="Y40" i="1"/>
  <c r="Z236" i="1" a="1"/>
  <c r="Z236" i="1" s="1"/>
  <c r="Y236" i="1"/>
  <c r="Z723" i="1" a="1"/>
  <c r="Z723" i="1" s="1"/>
  <c r="Y723" i="1"/>
  <c r="Z51" i="1" a="1"/>
  <c r="Z51" i="1" s="1"/>
  <c r="Y51" i="1"/>
  <c r="Z757" i="1" a="1"/>
  <c r="Z757" i="1" s="1"/>
  <c r="Y757" i="1"/>
  <c r="Z778" i="1" a="1"/>
  <c r="Z778" i="1" s="1"/>
  <c r="Y778" i="1"/>
  <c r="Z579" i="1" a="1"/>
  <c r="Z579" i="1" s="1"/>
  <c r="Y579" i="1"/>
  <c r="Z471" i="1" a="1"/>
  <c r="Z471" i="1" s="1"/>
  <c r="Y471" i="1"/>
  <c r="Z422" i="1" a="1"/>
  <c r="Z422" i="1" s="1"/>
  <c r="Y422" i="1"/>
  <c r="Y1570" i="1"/>
  <c r="Z1570" i="1" a="1"/>
  <c r="Z1570" i="1" s="1"/>
  <c r="Z113" i="1" a="1"/>
  <c r="Z113" i="1" s="1"/>
  <c r="Y113" i="1"/>
  <c r="Z435" i="1" a="1"/>
  <c r="Z435" i="1" s="1"/>
  <c r="Y435" i="1"/>
  <c r="Z406" i="1" a="1"/>
  <c r="Z406" i="1" s="1"/>
  <c r="Y406" i="1"/>
  <c r="Z140" i="1" a="1"/>
  <c r="Z140" i="1" s="1"/>
  <c r="Y140" i="1"/>
  <c r="Y532" i="1"/>
  <c r="Z532" i="1" a="1"/>
  <c r="Z532" i="1" s="1"/>
  <c r="Z512" i="1" a="1"/>
  <c r="Z512" i="1" s="1"/>
  <c r="Y512" i="1"/>
  <c r="Z318" i="1" a="1"/>
  <c r="Z318" i="1" s="1"/>
  <c r="Y318" i="1"/>
  <c r="Y1571" i="1"/>
  <c r="Z1571" i="1" a="1"/>
  <c r="Z1571" i="1" s="1"/>
  <c r="Z112" i="1" a="1"/>
  <c r="Z112" i="1" s="1"/>
  <c r="Y112" i="1"/>
  <c r="Z300" i="1" a="1"/>
  <c r="Z300" i="1" s="1"/>
  <c r="Y300" i="1"/>
  <c r="Z150" i="1" a="1"/>
  <c r="Z150" i="1" s="1"/>
  <c r="Y150" i="1"/>
  <c r="Z70" i="1" a="1"/>
  <c r="Z70" i="1" s="1"/>
  <c r="Y70" i="1"/>
  <c r="Y1558" i="1"/>
  <c r="Z1558" i="1" a="1"/>
  <c r="Z1558" i="1" s="1"/>
  <c r="Y270" i="1"/>
  <c r="Z270" i="1" a="1"/>
  <c r="Z270" i="1" s="1"/>
  <c r="Z366" i="1" a="1"/>
  <c r="Z366" i="1" s="1"/>
  <c r="Y366" i="1"/>
  <c r="Y845" i="1"/>
  <c r="Z845" i="1" a="1"/>
  <c r="Z845" i="1" s="1"/>
  <c r="Z217" i="1" a="1"/>
  <c r="Z217" i="1" s="1"/>
  <c r="Y217" i="1"/>
  <c r="Z356" i="1" a="1"/>
  <c r="Z356" i="1" s="1"/>
  <c r="Y356" i="1"/>
  <c r="Y477" i="1"/>
  <c r="Z477" i="1" a="1"/>
  <c r="Z477" i="1" s="1"/>
  <c r="Y466" i="1"/>
  <c r="Z466" i="1" a="1"/>
  <c r="Z466" i="1" s="1"/>
  <c r="Y797" i="1"/>
  <c r="Z797" i="1" a="1"/>
  <c r="Z797" i="1" s="1"/>
  <c r="Y803" i="1"/>
  <c r="Z803" i="1" a="1"/>
  <c r="Z803" i="1" s="1"/>
  <c r="Z704" i="1" a="1"/>
  <c r="Z704" i="1" s="1"/>
  <c r="Y704" i="1"/>
  <c r="Y1512" i="1"/>
  <c r="Z1512" i="1" a="1"/>
  <c r="Z1512" i="1" s="1"/>
  <c r="Z542" i="1" a="1"/>
  <c r="Z542" i="1" s="1"/>
  <c r="Y542" i="1"/>
  <c r="Z261" i="1" a="1"/>
  <c r="Z261" i="1" s="1"/>
  <c r="Y261" i="1"/>
  <c r="Z554" i="1" a="1"/>
  <c r="Z554" i="1" s="1"/>
  <c r="Y554" i="1"/>
  <c r="Y1474" i="1"/>
  <c r="Z1474" i="1" a="1"/>
  <c r="Z1474" i="1" s="1"/>
  <c r="Z498" i="1" a="1"/>
  <c r="Z498" i="1" s="1"/>
  <c r="Y498" i="1"/>
  <c r="Z430" i="1" a="1"/>
  <c r="Z430" i="1" s="1"/>
  <c r="Y430" i="1"/>
  <c r="Y77" i="1"/>
  <c r="Z77" i="1" a="1"/>
  <c r="Z77" i="1" s="1"/>
  <c r="Y1489" i="1"/>
  <c r="Z1489" i="1" a="1"/>
  <c r="Z1489" i="1" s="1"/>
  <c r="Z288" i="1" a="1"/>
  <c r="Z288" i="1" s="1"/>
  <c r="Y288" i="1"/>
  <c r="Z383" i="1" a="1"/>
  <c r="Z383" i="1" s="1"/>
  <c r="Y383" i="1"/>
  <c r="Z587" i="1" a="1"/>
  <c r="Z587" i="1" s="1"/>
  <c r="Y587" i="1"/>
  <c r="Z514" i="1" a="1"/>
  <c r="Z514" i="1" s="1"/>
  <c r="Y514" i="1"/>
  <c r="Z393" i="1" a="1"/>
  <c r="Z393" i="1" s="1"/>
  <c r="Y393" i="1"/>
  <c r="Z634" i="1" a="1"/>
  <c r="Z634" i="1" s="1"/>
  <c r="Y634" i="1"/>
  <c r="Z91" i="1" a="1"/>
  <c r="Z91" i="1" s="1"/>
  <c r="Y91" i="1"/>
  <c r="U492" i="1"/>
  <c r="V492" i="1"/>
  <c r="Y1869" i="1"/>
  <c r="Z1869" i="1" a="1"/>
  <c r="Z1869" i="1" s="1"/>
  <c r="Y2228" i="1"/>
  <c r="Z2228" i="1" a="1"/>
  <c r="Z2228" i="1" s="1"/>
  <c r="Z1988" i="1" a="1"/>
  <c r="Z1988" i="1" s="1"/>
  <c r="Y1988" i="1"/>
  <c r="Z2002" i="1" a="1"/>
  <c r="Z2002" i="1" s="1"/>
  <c r="Y2002" i="1"/>
  <c r="Z1951" i="1" a="1"/>
  <c r="Z1951" i="1" s="1"/>
  <c r="Y1951" i="1"/>
  <c r="Y1654" i="1"/>
  <c r="Z1654" i="1" a="1"/>
  <c r="Z1654" i="1" s="1"/>
  <c r="Y2363" i="1"/>
  <c r="Z2363" i="1" a="1"/>
  <c r="Z2363" i="1" s="1"/>
  <c r="Y2263" i="1"/>
  <c r="Z2263" i="1" a="1"/>
  <c r="Z2263" i="1" s="1"/>
  <c r="Y2161" i="1"/>
  <c r="Z2161" i="1" a="1"/>
  <c r="Z2161" i="1" s="1"/>
  <c r="Y2349" i="1"/>
  <c r="Z2349" i="1" a="1"/>
  <c r="Z2349" i="1" s="1"/>
  <c r="Y2325" i="1"/>
  <c r="Z2325" i="1" a="1"/>
  <c r="Z2325" i="1" s="1"/>
  <c r="Y2272" i="1"/>
  <c r="Z2272" i="1" a="1"/>
  <c r="Z2272" i="1" s="1"/>
  <c r="Y2067" i="1"/>
  <c r="Z2067" i="1" a="1"/>
  <c r="Z2067" i="1" s="1"/>
  <c r="Y1974" i="1"/>
  <c r="Z1974" i="1" a="1"/>
  <c r="Z1974" i="1" s="1"/>
  <c r="Y2096" i="1"/>
  <c r="Z2096" i="1" a="1"/>
  <c r="Z2096" i="1" s="1"/>
  <c r="Y2052" i="1"/>
  <c r="Z2052" i="1" a="1"/>
  <c r="Z2052" i="1" s="1"/>
  <c r="Y2344" i="1"/>
  <c r="Z2344" i="1" a="1"/>
  <c r="Z2344" i="1" s="1"/>
  <c r="Y1907" i="1"/>
  <c r="Z1907" i="1" a="1"/>
  <c r="Z1907" i="1" s="1"/>
  <c r="Y1750" i="1"/>
  <c r="Z1750" i="1" a="1"/>
  <c r="Z1750" i="1" s="1"/>
  <c r="Y1563" i="1"/>
  <c r="Z1563" i="1" a="1"/>
  <c r="Z1563" i="1" s="1"/>
  <c r="Y2149" i="1"/>
  <c r="Z2149" i="1" a="1"/>
  <c r="Z2149" i="1" s="1"/>
  <c r="Y2310" i="1"/>
  <c r="Z2310" i="1" a="1"/>
  <c r="Z2310" i="1" s="1"/>
  <c r="Y2243" i="1"/>
  <c r="Z2243" i="1" a="1"/>
  <c r="Z2243" i="1" s="1"/>
  <c r="Y2300" i="1"/>
  <c r="Z2300" i="1" a="1"/>
  <c r="Z2300" i="1" s="1"/>
  <c r="Y2232" i="1"/>
  <c r="Z2232" i="1" a="1"/>
  <c r="Z2232" i="1" s="1"/>
  <c r="Y2001" i="1"/>
  <c r="Z2001" i="1" a="1"/>
  <c r="Z2001" i="1" s="1"/>
  <c r="Y2362" i="1"/>
  <c r="Z2362" i="1" a="1"/>
  <c r="Z2362" i="1" s="1"/>
  <c r="Z1472" i="1" a="1"/>
  <c r="Z1472" i="1" s="1"/>
  <c r="Y1472" i="1"/>
  <c r="Y1285" i="1"/>
  <c r="Z1285" i="1" a="1"/>
  <c r="Z1285" i="1" s="1"/>
  <c r="Y2190" i="1"/>
  <c r="Z2190" i="1" a="1"/>
  <c r="Z2190" i="1" s="1"/>
  <c r="Y1821" i="1"/>
  <c r="Z1821" i="1" a="1"/>
  <c r="Z1821" i="1" s="1"/>
  <c r="Y2314" i="1"/>
  <c r="Z2314" i="1" a="1"/>
  <c r="Z2314" i="1" s="1"/>
  <c r="Y1790" i="1"/>
  <c r="Z1790" i="1" a="1"/>
  <c r="Z1790" i="1" s="1"/>
  <c r="Y1830" i="1"/>
  <c r="Z1830" i="1" a="1"/>
  <c r="Z1830" i="1" s="1"/>
  <c r="Y1627" i="1"/>
  <c r="Z1627" i="1" a="1"/>
  <c r="Z1627" i="1" s="1"/>
  <c r="Y2065" i="1"/>
  <c r="Z2065" i="1" a="1"/>
  <c r="Z2065" i="1" s="1"/>
  <c r="Y2172" i="1"/>
  <c r="Z2172" i="1" a="1"/>
  <c r="Z2172" i="1" s="1"/>
  <c r="Y1606" i="1"/>
  <c r="Z1606" i="1" a="1"/>
  <c r="Z1606" i="1" s="1"/>
  <c r="Z1741" i="1" a="1"/>
  <c r="Z1741" i="1" s="1"/>
  <c r="Y1741" i="1"/>
  <c r="Y2046" i="1"/>
  <c r="Z2046" i="1" a="1"/>
  <c r="Z2046" i="1" s="1"/>
  <c r="Y2062" i="1"/>
  <c r="Z2062" i="1" a="1"/>
  <c r="Z2062" i="1" s="1"/>
  <c r="Y1577" i="1"/>
  <c r="Z1577" i="1" a="1"/>
  <c r="Z1577" i="1" s="1"/>
  <c r="Y2079" i="1"/>
  <c r="Z2079" i="1" a="1"/>
  <c r="Z2079" i="1" s="1"/>
  <c r="Y1680" i="1"/>
  <c r="Z1680" i="1" a="1"/>
  <c r="Z1680" i="1" s="1"/>
  <c r="Y1564" i="1"/>
  <c r="Z1564" i="1" a="1"/>
  <c r="Z1564" i="1" s="1"/>
  <c r="Y2339" i="1"/>
  <c r="Z2339" i="1" a="1"/>
  <c r="Z2339" i="1" s="1"/>
  <c r="Y2218" i="1"/>
  <c r="Z2218" i="1" a="1"/>
  <c r="Z2218" i="1" s="1"/>
  <c r="Y1833" i="1"/>
  <c r="Z1833" i="1" a="1"/>
  <c r="Z1833" i="1" s="1"/>
  <c r="Y1694" i="1"/>
  <c r="Z1694" i="1" a="1"/>
  <c r="Z1694" i="1" s="1"/>
  <c r="Y1615" i="1"/>
  <c r="Z1615" i="1" a="1"/>
  <c r="Z1615" i="1" s="1"/>
  <c r="Y1671" i="1"/>
  <c r="Z1671" i="1" a="1"/>
  <c r="Z1671" i="1" s="1"/>
  <c r="Y1665" i="1"/>
  <c r="Z1665" i="1" a="1"/>
  <c r="Z1665" i="1" s="1"/>
  <c r="Y2377" i="1"/>
  <c r="Z2377" i="1" a="1"/>
  <c r="Z2377" i="1" s="1"/>
  <c r="Y1928" i="1"/>
  <c r="Z1928" i="1" a="1"/>
  <c r="Z1928" i="1" s="1"/>
  <c r="Y1819" i="1"/>
  <c r="Z1819" i="1" a="1"/>
  <c r="Z1819" i="1" s="1"/>
  <c r="Y1617" i="1"/>
  <c r="Z1617" i="1" a="1"/>
  <c r="Z1617" i="1" s="1"/>
  <c r="Y1530" i="1"/>
  <c r="Z1530" i="1" a="1"/>
  <c r="Z1530" i="1" s="1"/>
  <c r="Z441" i="1" a="1"/>
  <c r="Z441" i="1" s="1"/>
  <c r="Y441" i="1"/>
  <c r="Z485" i="1" a="1"/>
  <c r="Z485" i="1" s="1"/>
  <c r="Y485" i="1"/>
  <c r="Y61" i="1"/>
  <c r="Z61" i="1" a="1"/>
  <c r="Z61" i="1" s="1"/>
  <c r="Z460" i="1" a="1"/>
  <c r="Z460" i="1" s="1"/>
  <c r="Y460" i="1"/>
  <c r="Z105" i="1" a="1"/>
  <c r="Z105" i="1" s="1"/>
  <c r="Y105" i="1"/>
  <c r="Z593" i="1" a="1"/>
  <c r="Z593" i="1" s="1"/>
  <c r="Y593" i="1"/>
  <c r="Z570" i="1" a="1"/>
  <c r="Z570" i="1" s="1"/>
  <c r="Y570" i="1"/>
  <c r="Z633" i="1" a="1"/>
  <c r="Z633" i="1" s="1"/>
  <c r="Y633" i="1"/>
  <c r="Z364" i="1" a="1"/>
  <c r="Z364" i="1" s="1"/>
  <c r="Y364" i="1"/>
  <c r="Z766" i="1" a="1"/>
  <c r="Z766" i="1" s="1"/>
  <c r="Y766" i="1"/>
  <c r="Z547" i="1" a="1"/>
  <c r="Z547" i="1" s="1"/>
  <c r="Y547" i="1"/>
  <c r="Z1610" i="1" a="1"/>
  <c r="Z1610" i="1" s="1"/>
  <c r="Y1610" i="1"/>
  <c r="Z517" i="1" a="1"/>
  <c r="Z517" i="1" s="1"/>
  <c r="Y517" i="1"/>
  <c r="Z817" i="1" a="1"/>
  <c r="Z817" i="1" s="1"/>
  <c r="Y817" i="1"/>
  <c r="Y282" i="1"/>
  <c r="Z282" i="1" a="1"/>
  <c r="Z282" i="1" s="1"/>
  <c r="Y1692" i="1"/>
  <c r="Z1692" i="1" a="1"/>
  <c r="Z1692" i="1" s="1"/>
  <c r="Z756" i="1" a="1"/>
  <c r="Z756" i="1" s="1"/>
  <c r="Y756" i="1"/>
  <c r="Y621" i="1"/>
  <c r="Z621" i="1" a="1"/>
  <c r="Z621" i="1" s="1"/>
  <c r="Z479" i="1" a="1"/>
  <c r="Z479" i="1" s="1"/>
  <c r="Y479" i="1"/>
  <c r="Z1491" i="1" a="1"/>
  <c r="Z1491" i="1" s="1"/>
  <c r="Y1491" i="1"/>
  <c r="Z788" i="1" a="1"/>
  <c r="Z788" i="1" s="1"/>
  <c r="Y788" i="1"/>
  <c r="Y41" i="1"/>
  <c r="Z41" i="1" a="1"/>
  <c r="Z41" i="1" s="1"/>
  <c r="Z295" i="1" a="1"/>
  <c r="Z295" i="1" s="1"/>
  <c r="Y295" i="1"/>
  <c r="Y396" i="1"/>
  <c r="Z396" i="1" a="1"/>
  <c r="Z396" i="1" s="1"/>
  <c r="Z501" i="1" a="1"/>
  <c r="Z501" i="1" s="1"/>
  <c r="Y501" i="1"/>
  <c r="Y365" i="1"/>
  <c r="Z365" i="1" a="1"/>
  <c r="Z365" i="1" s="1"/>
  <c r="Z753" i="1" a="1"/>
  <c r="Z753" i="1" s="1"/>
  <c r="Y753" i="1"/>
  <c r="Y1585" i="1"/>
  <c r="Z1585" i="1" a="1"/>
  <c r="Z1585" i="1" s="1"/>
  <c r="Z129" i="1" a="1"/>
  <c r="Z129" i="1" s="1"/>
  <c r="Y129" i="1"/>
  <c r="Y331" i="1"/>
  <c r="Z331" i="1" a="1"/>
  <c r="Z331" i="1" s="1"/>
  <c r="Z826" i="1" a="1"/>
  <c r="Z826" i="1" s="1"/>
  <c r="Y826" i="1"/>
  <c r="Z414" i="1" a="1"/>
  <c r="Z414" i="1" s="1"/>
  <c r="Y414" i="1"/>
  <c r="Z192" i="1" a="1"/>
  <c r="Z192" i="1" s="1"/>
  <c r="Y192" i="1"/>
  <c r="Z497" i="1" a="1"/>
  <c r="Z497" i="1" s="1"/>
  <c r="Y497" i="1"/>
  <c r="Y844" i="1"/>
  <c r="Z844" i="1" a="1"/>
  <c r="Z844" i="1" s="1"/>
  <c r="Y847" i="1"/>
  <c r="Z847" i="1" a="1"/>
  <c r="Z847" i="1" s="1"/>
  <c r="Z255" i="1" a="1"/>
  <c r="Z255" i="1" s="1"/>
  <c r="Y255" i="1"/>
  <c r="Z184" i="1" a="1"/>
  <c r="Z184" i="1" s="1"/>
  <c r="Y184" i="1"/>
  <c r="Y1626" i="1"/>
  <c r="Z1626" i="1" a="1"/>
  <c r="Z1626" i="1" s="1"/>
  <c r="Z636" i="1" a="1"/>
  <c r="Z636" i="1" s="1"/>
  <c r="Y636" i="1"/>
  <c r="Z436" i="1" a="1"/>
  <c r="Z436" i="1" s="1"/>
  <c r="Y436" i="1"/>
  <c r="Y388" i="1"/>
  <c r="Z388" i="1" a="1"/>
  <c r="Z388" i="1" s="1"/>
  <c r="Z16" i="1" a="1"/>
  <c r="Z16" i="1" s="1"/>
  <c r="Y16" i="1"/>
  <c r="Y335" i="1"/>
  <c r="Z335" i="1" a="1"/>
  <c r="Z335" i="1" s="1"/>
  <c r="Z14" i="1" a="1"/>
  <c r="Z14" i="1" s="1"/>
  <c r="Y14" i="1"/>
  <c r="Z628" i="1" a="1"/>
  <c r="Z628" i="1" s="1"/>
  <c r="Y628" i="1"/>
  <c r="Z408" i="1" a="1"/>
  <c r="Z408" i="1" s="1"/>
  <c r="Y408" i="1"/>
  <c r="Z221" i="1" a="1"/>
  <c r="Z221" i="1" s="1"/>
  <c r="Y221" i="1"/>
  <c r="Z52" i="1" a="1"/>
  <c r="Z52" i="1" s="1"/>
  <c r="Y52" i="1"/>
  <c r="Y448" i="1"/>
  <c r="Z448" i="1" a="1"/>
  <c r="Z448" i="1" s="1"/>
  <c r="Z145" i="1" a="1"/>
  <c r="Z145" i="1" s="1"/>
  <c r="Y145" i="1"/>
  <c r="Z747" i="1" a="1"/>
  <c r="Z747" i="1" s="1"/>
  <c r="Y747" i="1"/>
  <c r="Z382" i="1" a="1"/>
  <c r="Z382" i="1" s="1"/>
  <c r="Y382" i="1"/>
  <c r="Z179" i="1" a="1"/>
  <c r="Z179" i="1" s="1"/>
  <c r="Y179" i="1"/>
  <c r="Y18" i="1"/>
  <c r="Z18" i="1" a="1"/>
  <c r="Z18" i="1" s="1"/>
  <c r="Z13" i="1" a="1"/>
  <c r="Z13" i="1" s="1"/>
  <c r="Y13" i="1"/>
  <c r="Z187" i="1" a="1"/>
  <c r="Z187" i="1" s="1"/>
  <c r="Y187" i="1"/>
  <c r="Z642" i="1" a="1"/>
  <c r="Z642" i="1" s="1"/>
  <c r="Y642" i="1"/>
  <c r="Z764" i="1" a="1"/>
  <c r="Z764" i="1" s="1"/>
  <c r="Y764" i="1"/>
  <c r="V468" i="1"/>
  <c r="U468" i="1"/>
  <c r="Y2292" i="1"/>
  <c r="Z2292" i="1" a="1"/>
  <c r="Z2292" i="1" s="1"/>
  <c r="Y2113" i="1"/>
  <c r="Z2113" i="1" a="1"/>
  <c r="Z2113" i="1" s="1"/>
  <c r="Y1862" i="1"/>
  <c r="Z1862" i="1" a="1"/>
  <c r="Z1862" i="1" s="1"/>
  <c r="Y1961" i="1"/>
  <c r="Z1961" i="1" a="1"/>
  <c r="Z1961" i="1" s="1"/>
  <c r="Y1883" i="1"/>
  <c r="Z1883" i="1" a="1"/>
  <c r="Z1883" i="1" s="1"/>
  <c r="Y1706" i="1"/>
  <c r="Z1706" i="1" a="1"/>
  <c r="Z1706" i="1" s="1"/>
  <c r="Y2181" i="1"/>
  <c r="Z2181" i="1" a="1"/>
  <c r="Z2181" i="1" s="1"/>
  <c r="Y2315" i="1"/>
  <c r="Z2315" i="1" a="1"/>
  <c r="Z2315" i="1" s="1"/>
  <c r="Y2101" i="1"/>
  <c r="Z2101" i="1" a="1"/>
  <c r="Z2101" i="1" s="1"/>
  <c r="Z2326" i="1" a="1"/>
  <c r="Z2326" i="1" s="1"/>
  <c r="Y2326" i="1"/>
  <c r="Y2313" i="1"/>
  <c r="Z2313" i="1" a="1"/>
  <c r="Z2313" i="1" s="1"/>
  <c r="Y2249" i="1"/>
  <c r="Z2249" i="1" a="1"/>
  <c r="Z2249" i="1" s="1"/>
  <c r="Y1832" i="1"/>
  <c r="Z1832" i="1" a="1"/>
  <c r="Z1832" i="1" s="1"/>
  <c r="Y2317" i="1"/>
  <c r="Z2317" i="1" a="1"/>
  <c r="Z2317" i="1" s="1"/>
  <c r="Y1918" i="1"/>
  <c r="Z1918" i="1" a="1"/>
  <c r="Z1918" i="1" s="1"/>
  <c r="Y1796" i="1"/>
  <c r="Z1796" i="1" a="1"/>
  <c r="Z1796" i="1" s="1"/>
  <c r="Z1603" i="1" a="1"/>
  <c r="Z1603" i="1" s="1"/>
  <c r="Y1603" i="1"/>
  <c r="Y1814" i="1"/>
  <c r="Z1814" i="1" a="1"/>
  <c r="Z1814" i="1" s="1"/>
  <c r="Y2108" i="1"/>
  <c r="Z2108" i="1" a="1"/>
  <c r="Z2108" i="1" s="1"/>
  <c r="Y2308" i="1"/>
  <c r="Z2308" i="1" a="1"/>
  <c r="Z2308" i="1" s="1"/>
  <c r="Z1282" i="1" a="1"/>
  <c r="Z1282" i="1" s="1"/>
  <c r="Y1282" i="1"/>
  <c r="Y2094" i="1"/>
  <c r="Z2094" i="1" a="1"/>
  <c r="Z2094" i="1" s="1"/>
  <c r="Z1283" i="1" a="1"/>
  <c r="Z1283" i="1" s="1"/>
  <c r="Y1283" i="1"/>
  <c r="Y1850" i="1"/>
  <c r="Z1850" i="1" a="1"/>
  <c r="Z1850" i="1" s="1"/>
  <c r="Y2066" i="1"/>
  <c r="Z2066" i="1" a="1"/>
  <c r="Z2066" i="1" s="1"/>
  <c r="Z2022" i="1" a="1"/>
  <c r="Z2022" i="1" s="1"/>
  <c r="Y2022" i="1"/>
  <c r="Y1839" i="1"/>
  <c r="Z1839" i="1" a="1"/>
  <c r="Z1839" i="1" s="1"/>
  <c r="Y2056" i="1"/>
  <c r="Z2056" i="1" a="1"/>
  <c r="Z2056" i="1" s="1"/>
  <c r="Y1993" i="1"/>
  <c r="Z1993" i="1" a="1"/>
  <c r="Z1993" i="1" s="1"/>
  <c r="Y2361" i="1"/>
  <c r="Z2361" i="1" a="1"/>
  <c r="Z2361" i="1" s="1"/>
  <c r="Y1757" i="1"/>
  <c r="Z1757" i="1" a="1"/>
  <c r="Z1757" i="1" s="1"/>
  <c r="Y2134" i="1"/>
  <c r="Z2134" i="1" a="1"/>
  <c r="Z2134" i="1" s="1"/>
  <c r="Y1954" i="1"/>
  <c r="Z1954" i="1" a="1"/>
  <c r="Z1954" i="1" s="1"/>
  <c r="Y2019" i="1"/>
  <c r="Z2019" i="1" a="1"/>
  <c r="Z2019" i="1" s="1"/>
  <c r="Y2202" i="1"/>
  <c r="Z2202" i="1" a="1"/>
  <c r="Z2202" i="1" s="1"/>
  <c r="Y2080" i="1"/>
  <c r="Z2080" i="1" a="1"/>
  <c r="Z2080" i="1" s="1"/>
  <c r="Y2237" i="1"/>
  <c r="Z2237" i="1" a="1"/>
  <c r="Z2237" i="1" s="1"/>
  <c r="Y2169" i="1"/>
  <c r="Z2169" i="1" a="1"/>
  <c r="Z2169" i="1" s="1"/>
  <c r="Y2128" i="1"/>
  <c r="Z2128" i="1" a="1"/>
  <c r="Z2128" i="1" s="1"/>
  <c r="Y1751" i="1"/>
  <c r="Z1751" i="1" a="1"/>
  <c r="Z1751" i="1" s="1"/>
  <c r="Y1602" i="1"/>
  <c r="Z1602" i="1" a="1"/>
  <c r="Z1602" i="1" s="1"/>
  <c r="Y1889" i="1"/>
  <c r="Z1889" i="1" a="1"/>
  <c r="Z1889" i="1" s="1"/>
  <c r="Z2284" i="1" a="1"/>
  <c r="Z2284" i="1" s="1"/>
  <c r="Y2284" i="1"/>
  <c r="Y1710" i="1"/>
  <c r="Z1710" i="1" a="1"/>
  <c r="Z1710" i="1" s="1"/>
  <c r="Y1773" i="1"/>
  <c r="Z1773" i="1" a="1"/>
  <c r="Z1773" i="1" s="1"/>
  <c r="Y1755" i="1"/>
  <c r="Z1755" i="1" a="1"/>
  <c r="Z1755" i="1" s="1"/>
  <c r="Y1827" i="1"/>
  <c r="Z1827" i="1" a="1"/>
  <c r="Z1827" i="1" s="1"/>
  <c r="Y2153" i="1"/>
  <c r="Z2153" i="1" a="1"/>
  <c r="Z2153" i="1" s="1"/>
  <c r="Y1580" i="1"/>
  <c r="Z1580" i="1" a="1"/>
  <c r="Z1580" i="1" s="1"/>
  <c r="Y2217" i="1"/>
  <c r="Z2217" i="1" a="1"/>
  <c r="Z2217" i="1" s="1"/>
  <c r="Z1931" i="1" a="1"/>
  <c r="Z1931" i="1" s="1"/>
  <c r="Y1931" i="1"/>
  <c r="Y2162" i="1"/>
  <c r="Z2162" i="1" a="1"/>
  <c r="Z2162" i="1" s="1"/>
  <c r="Y2125" i="1"/>
  <c r="Z2125" i="1" a="1"/>
  <c r="Z2125" i="1" s="1"/>
  <c r="Y2071" i="1"/>
  <c r="Z2071" i="1" a="1"/>
  <c r="Z2071" i="1" s="1"/>
  <c r="Y2138" i="1"/>
  <c r="Z2138" i="1" a="1"/>
  <c r="Z2138" i="1" s="1"/>
  <c r="Y2426" i="1"/>
  <c r="Z2426" i="1" a="1"/>
  <c r="Z2426" i="1" s="1"/>
  <c r="Y1581" i="1"/>
  <c r="Z1581" i="1" a="1"/>
  <c r="Z1581" i="1" s="1"/>
  <c r="Z640" i="1" a="1"/>
  <c r="Z640" i="1" s="1"/>
  <c r="Y640" i="1"/>
  <c r="Z728" i="1" a="1"/>
  <c r="Z728" i="1" s="1"/>
  <c r="Y728" i="1"/>
  <c r="Z227" i="1" a="1"/>
  <c r="Z227" i="1" s="1"/>
  <c r="Y227" i="1"/>
  <c r="Z353" i="1" a="1"/>
  <c r="Z353" i="1" s="1"/>
  <c r="Y353" i="1"/>
  <c r="Z310" i="1" a="1"/>
  <c r="Z310" i="1" s="1"/>
  <c r="Y310" i="1"/>
  <c r="Z550" i="1" a="1"/>
  <c r="Z550" i="1" s="1"/>
  <c r="Y550" i="1"/>
  <c r="Z838" i="1" a="1"/>
  <c r="Z838" i="1" s="1"/>
  <c r="Y838" i="1"/>
  <c r="Z174" i="1" a="1"/>
  <c r="Z174" i="1" s="1"/>
  <c r="Y174" i="1"/>
  <c r="Y596" i="1"/>
  <c r="Z596" i="1" a="1"/>
  <c r="Z596" i="1" s="1"/>
  <c r="Z211" i="1" a="1"/>
  <c r="Z211" i="1" s="1"/>
  <c r="Y211" i="1"/>
  <c r="Z424" i="1" a="1"/>
  <c r="Z424" i="1" s="1"/>
  <c r="Y424" i="1"/>
  <c r="Y758" i="1"/>
  <c r="Z758" i="1" a="1"/>
  <c r="Z758" i="1" s="1"/>
  <c r="Z299" i="1" a="1"/>
  <c r="Z299" i="1" s="1"/>
  <c r="Y299" i="1"/>
  <c r="Y657" i="1"/>
  <c r="Z657" i="1" a="1"/>
  <c r="Z657" i="1" s="1"/>
  <c r="Y1449" i="1"/>
  <c r="Z1449" i="1" a="1"/>
  <c r="Z1449" i="1" s="1"/>
  <c r="Y1636" i="1"/>
  <c r="Z1636" i="1" a="1"/>
  <c r="Z1636" i="1" s="1"/>
  <c r="Z369" i="1" a="1"/>
  <c r="Z369" i="1" s="1"/>
  <c r="Y369" i="1"/>
  <c r="Z24" i="1" a="1"/>
  <c r="Z24" i="1" s="1"/>
  <c r="Y24" i="1"/>
  <c r="Z97" i="1" a="1"/>
  <c r="Z97" i="1" s="1"/>
  <c r="Y97" i="1"/>
  <c r="Y1625" i="1"/>
  <c r="Z1625" i="1" a="1"/>
  <c r="Z1625" i="1" s="1"/>
  <c r="Z399" i="1" a="1"/>
  <c r="Z399" i="1" s="1"/>
  <c r="Y399" i="1"/>
  <c r="Z736" i="1" a="1"/>
  <c r="Z736" i="1" s="1"/>
  <c r="Y736" i="1"/>
  <c r="Z326" i="1" a="1"/>
  <c r="Z326" i="1" s="1"/>
  <c r="Y326" i="1"/>
  <c r="Y1667" i="1"/>
  <c r="Z1667" i="1" a="1"/>
  <c r="Z1667" i="1" s="1"/>
  <c r="Z158" i="1" a="1"/>
  <c r="Z158" i="1" s="1"/>
  <c r="Y158" i="1"/>
  <c r="Y710" i="1"/>
  <c r="Z710" i="1" a="1"/>
  <c r="Z710" i="1" s="1"/>
  <c r="Z539" i="1" a="1"/>
  <c r="Z539" i="1" s="1"/>
  <c r="Y539" i="1"/>
  <c r="Z272" i="1" a="1"/>
  <c r="Z272" i="1" s="1"/>
  <c r="Y272" i="1"/>
  <c r="Z7" i="1" a="1"/>
  <c r="Z7" i="1" s="1"/>
  <c r="Y7" i="1"/>
  <c r="Z603" i="1" a="1"/>
  <c r="Z603" i="1" s="1"/>
  <c r="Y603" i="1"/>
  <c r="Y1450" i="1"/>
  <c r="Z1450" i="1" a="1"/>
  <c r="Z1450" i="1" s="1"/>
  <c r="Z425" i="1" a="1"/>
  <c r="Z425" i="1" s="1"/>
  <c r="Y425" i="1"/>
  <c r="Z537" i="1" a="1"/>
  <c r="Z537" i="1" s="1"/>
  <c r="Y537" i="1"/>
  <c r="Z423" i="1" a="1"/>
  <c r="Z423" i="1" s="1"/>
  <c r="Y423" i="1"/>
  <c r="Z56" i="1" a="1"/>
  <c r="Z56" i="1" s="1"/>
  <c r="Y56" i="1"/>
  <c r="Z339" i="1" a="1"/>
  <c r="Z339" i="1" s="1"/>
  <c r="Y339" i="1"/>
  <c r="Z825" i="1" a="1"/>
  <c r="Z825" i="1" s="1"/>
  <c r="Y825" i="1"/>
  <c r="Z1384" i="1" a="1"/>
  <c r="Z1384" i="1" s="1"/>
  <c r="Y1384" i="1"/>
  <c r="Z771" i="1" a="1"/>
  <c r="Z771" i="1" s="1"/>
  <c r="Y771" i="1"/>
  <c r="Y828" i="1"/>
  <c r="Z828" i="1" a="1"/>
  <c r="Z828" i="1" s="1"/>
  <c r="Z446" i="1" a="1"/>
  <c r="Z446" i="1" s="1"/>
  <c r="Y446" i="1"/>
  <c r="Z264" i="1" a="1"/>
  <c r="Z264" i="1" s="1"/>
  <c r="Y264" i="1"/>
  <c r="Y708" i="1"/>
  <c r="Z708" i="1" a="1"/>
  <c r="Z708" i="1" s="1"/>
  <c r="Z734" i="1" a="1"/>
  <c r="Z734" i="1" s="1"/>
  <c r="Y734" i="1"/>
  <c r="Z455" i="1" a="1"/>
  <c r="Z455" i="1" s="1"/>
  <c r="Y455" i="1"/>
  <c r="Y1516" i="1"/>
  <c r="Z1516" i="1" a="1"/>
  <c r="Z1516" i="1" s="1"/>
  <c r="Z545" i="1" a="1"/>
  <c r="Z545" i="1" s="1"/>
  <c r="Y545" i="1"/>
  <c r="Z132" i="1" a="1"/>
  <c r="Z132" i="1" s="1"/>
  <c r="Y132" i="1"/>
  <c r="Z121" i="1" a="1"/>
  <c r="Z121" i="1" s="1"/>
  <c r="Y121" i="1"/>
  <c r="Z1502" i="1" a="1"/>
  <c r="Z1502" i="1" s="1"/>
  <c r="Y1502" i="1"/>
  <c r="Z72" i="1" a="1"/>
  <c r="Z72" i="1" s="1"/>
  <c r="Y72" i="1"/>
  <c r="Z407" i="1" a="1"/>
  <c r="Z407" i="1" s="1"/>
  <c r="Y407" i="1"/>
  <c r="Z824" i="1" a="1"/>
  <c r="Z824" i="1" s="1"/>
  <c r="Y824" i="1"/>
  <c r="Z226" i="1" a="1"/>
  <c r="Z226" i="1" s="1"/>
  <c r="Y226" i="1"/>
  <c r="Y783" i="1"/>
  <c r="Z783" i="1" a="1"/>
  <c r="Z783" i="1" s="1"/>
  <c r="Z298" i="1" a="1"/>
  <c r="Z298" i="1" s="1"/>
  <c r="Y298" i="1"/>
  <c r="Z601" i="1" a="1"/>
  <c r="Z601" i="1" s="1"/>
  <c r="Y601" i="1"/>
  <c r="Z599" i="1" a="1"/>
  <c r="Z599" i="1" s="1"/>
  <c r="Y599" i="1"/>
  <c r="Z490" i="1" a="1"/>
  <c r="Z490" i="1" s="1"/>
  <c r="Y490" i="1"/>
  <c r="Z559" i="1" a="1"/>
  <c r="Z559" i="1" s="1"/>
  <c r="Y559" i="1"/>
  <c r="V166" i="1"/>
  <c r="U166" i="1"/>
  <c r="Y2316" i="1"/>
  <c r="Z2316" i="1" a="1"/>
  <c r="Z2316" i="1" s="1"/>
  <c r="Y2395" i="1"/>
  <c r="Z2395" i="1" a="1"/>
  <c r="Z2395" i="1" s="1"/>
  <c r="Y2060" i="1"/>
  <c r="Z2060" i="1" a="1"/>
  <c r="Z2060" i="1" s="1"/>
  <c r="Z2010" i="1" a="1"/>
  <c r="Z2010" i="1" s="1"/>
  <c r="Y2010" i="1"/>
  <c r="Y1768" i="1"/>
  <c r="Z1768" i="1" a="1"/>
  <c r="Z1768" i="1" s="1"/>
  <c r="Y2390" i="1"/>
  <c r="Z2390" i="1" a="1"/>
  <c r="Z2390" i="1" s="1"/>
  <c r="Y2289" i="1"/>
  <c r="Z2289" i="1" a="1"/>
  <c r="Z2289" i="1" s="1"/>
  <c r="Y2285" i="1"/>
  <c r="Z2285" i="1" a="1"/>
  <c r="Z2285" i="1" s="1"/>
  <c r="Y2379" i="1"/>
  <c r="Z2379" i="1" a="1"/>
  <c r="Z2379" i="1" s="1"/>
  <c r="Y2357" i="1"/>
  <c r="Z2357" i="1" a="1"/>
  <c r="Z2357" i="1" s="1"/>
  <c r="Y2334" i="1"/>
  <c r="Z2334" i="1" a="1"/>
  <c r="Z2334" i="1" s="1"/>
  <c r="Y2135" i="1"/>
  <c r="Z2135" i="1" a="1"/>
  <c r="Z2135" i="1" s="1"/>
  <c r="Y2132" i="1"/>
  <c r="Z2132" i="1" a="1"/>
  <c r="Z2132" i="1" s="1"/>
  <c r="Y2340" i="1"/>
  <c r="Z2340" i="1" a="1"/>
  <c r="Z2340" i="1" s="1"/>
  <c r="Y2416" i="1"/>
  <c r="Z2416" i="1" a="1"/>
  <c r="Z2416" i="1" s="1"/>
  <c r="Y1568" i="1"/>
  <c r="Z1568" i="1" a="1"/>
  <c r="Z1568" i="1" s="1"/>
  <c r="Z1363" i="1" a="1"/>
  <c r="Z1363" i="1" s="1"/>
  <c r="Y1363" i="1"/>
  <c r="Y2200" i="1"/>
  <c r="Z2200" i="1" a="1"/>
  <c r="Z2200" i="1" s="1"/>
  <c r="Y1870" i="1"/>
  <c r="Z1870" i="1" a="1"/>
  <c r="Z1870" i="1" s="1"/>
  <c r="Y2063" i="1"/>
  <c r="Z2063" i="1" a="1"/>
  <c r="Z2063" i="1" s="1"/>
  <c r="Y1426" i="1"/>
  <c r="Z1426" i="1" a="1"/>
  <c r="Z1426" i="1" s="1"/>
  <c r="Y1898" i="1"/>
  <c r="Z1898" i="1" a="1"/>
  <c r="Z1898" i="1" s="1"/>
  <c r="Y2304" i="1"/>
  <c r="Z2304" i="1" a="1"/>
  <c r="Z2304" i="1" s="1"/>
  <c r="Y1846" i="1"/>
  <c r="Z1846" i="1" a="1"/>
  <c r="Z1846" i="1" s="1"/>
  <c r="Y1742" i="1"/>
  <c r="Z1742" i="1" a="1"/>
  <c r="Z1742" i="1" s="1"/>
  <c r="Y1549" i="1"/>
  <c r="Z1549" i="1" a="1"/>
  <c r="Z1549" i="1" s="1"/>
  <c r="Y2283" i="1"/>
  <c r="Z2283" i="1" a="1"/>
  <c r="Z2283" i="1" s="1"/>
  <c r="Y1835" i="1"/>
  <c r="Z1835" i="1" a="1"/>
  <c r="Z1835" i="1" s="1"/>
  <c r="Z1720" i="1" a="1"/>
  <c r="Z1720" i="1" s="1"/>
  <c r="Y1720" i="1"/>
  <c r="Y1535" i="1"/>
  <c r="Z1535" i="1" a="1"/>
  <c r="Z1535" i="1" s="1"/>
  <c r="Y1915" i="1"/>
  <c r="Z1915" i="1" a="1"/>
  <c r="Z1915" i="1" s="1"/>
  <c r="Y2198" i="1"/>
  <c r="Z2198" i="1" a="1"/>
  <c r="Z2198" i="1" s="1"/>
  <c r="Y1845" i="1"/>
  <c r="Z1845" i="1" a="1"/>
  <c r="Z1845" i="1" s="1"/>
  <c r="Z1656" i="1" a="1"/>
  <c r="Z1656" i="1" s="1"/>
  <c r="Y1656" i="1"/>
  <c r="Y1668" i="1"/>
  <c r="Z1668" i="1" a="1"/>
  <c r="Z1668" i="1" s="1"/>
  <c r="Y1507" i="1"/>
  <c r="Z1507" i="1" a="1"/>
  <c r="Z1507" i="1" s="1"/>
  <c r="Y1754" i="1"/>
  <c r="Z1754" i="1" a="1"/>
  <c r="Z1754" i="1" s="1"/>
  <c r="Y1925" i="1"/>
  <c r="Z1925" i="1" a="1"/>
  <c r="Z1925" i="1" s="1"/>
  <c r="Y1766" i="1"/>
  <c r="Z1766" i="1" a="1"/>
  <c r="Z1766" i="1" s="1"/>
  <c r="Y1783" i="1"/>
  <c r="Z1783" i="1" a="1"/>
  <c r="Z1783" i="1" s="1"/>
  <c r="Z2007" i="1" a="1"/>
  <c r="Z2007" i="1" s="1"/>
  <c r="Y2007" i="1"/>
  <c r="Y1934" i="1"/>
  <c r="Z1934" i="1" a="1"/>
  <c r="Z1934" i="1" s="1"/>
  <c r="Y2260" i="1"/>
  <c r="Z2260" i="1" a="1"/>
  <c r="Z2260" i="1" s="1"/>
  <c r="Y1893" i="1"/>
  <c r="Z1893" i="1" a="1"/>
  <c r="Z1893" i="1" s="1"/>
  <c r="Y2183" i="1"/>
  <c r="Z2183" i="1" a="1"/>
  <c r="Z2183" i="1" s="1"/>
  <c r="Y1621" i="1"/>
  <c r="Z1621" i="1" a="1"/>
  <c r="Z1621" i="1" s="1"/>
  <c r="Y2203" i="1"/>
  <c r="Z2203" i="1" a="1"/>
  <c r="Z2203" i="1" s="1"/>
  <c r="Y2051" i="1"/>
  <c r="Z2051" i="1" a="1"/>
  <c r="Z2051" i="1" s="1"/>
  <c r="Y2174" i="1"/>
  <c r="Z2174" i="1" a="1"/>
  <c r="Z2174" i="1" s="1"/>
  <c r="Y2140" i="1"/>
  <c r="Z2140" i="1" a="1"/>
  <c r="Z2140" i="1" s="1"/>
  <c r="Y2229" i="1"/>
  <c r="Z2229" i="1" a="1"/>
  <c r="Z2229" i="1" s="1"/>
  <c r="Y1855" i="1"/>
  <c r="Z1855" i="1" a="1"/>
  <c r="Z1855" i="1" s="1"/>
  <c r="Y1825" i="1"/>
  <c r="Z1825" i="1" a="1"/>
  <c r="Z1825" i="1" s="1"/>
  <c r="Y1509" i="1"/>
  <c r="Z1509" i="1" a="1"/>
  <c r="Z1509" i="1" s="1"/>
  <c r="Y1956" i="1"/>
  <c r="Z1956" i="1" a="1"/>
  <c r="Z1956" i="1" s="1"/>
  <c r="Y1948" i="1"/>
  <c r="Z1948" i="1" a="1"/>
  <c r="Z1948" i="1" s="1"/>
  <c r="Y1829" i="1"/>
  <c r="Z1829" i="1" a="1"/>
  <c r="Z1829" i="1" s="1"/>
  <c r="Y1643" i="1"/>
  <c r="Z1643" i="1" a="1"/>
  <c r="Z1643" i="1" s="1"/>
  <c r="Y1923" i="1"/>
  <c r="Z1923" i="1" a="1"/>
  <c r="Z1923" i="1" s="1"/>
  <c r="Y1873" i="1"/>
  <c r="Z1873" i="1" a="1"/>
  <c r="Z1873" i="1" s="1"/>
  <c r="Z2225" i="1" a="1"/>
  <c r="Z2225" i="1" s="1"/>
  <c r="Y2225" i="1"/>
  <c r="Z39" i="1" a="1"/>
  <c r="Z39" i="1" s="1"/>
  <c r="Y39" i="1"/>
  <c r="Z713" i="1" a="1"/>
  <c r="Z713" i="1" s="1"/>
  <c r="Y713" i="1"/>
  <c r="Z90" i="1" a="1"/>
  <c r="Z90" i="1" s="1"/>
  <c r="Y90" i="1"/>
  <c r="Z115" i="1" a="1"/>
  <c r="Z115" i="1" s="1"/>
  <c r="Y115" i="1"/>
  <c r="Y309" i="1"/>
  <c r="Z309" i="1" a="1"/>
  <c r="Z309" i="1" s="1"/>
  <c r="Z819" i="1" a="1"/>
  <c r="Z819" i="1" s="1"/>
  <c r="Y819" i="1"/>
  <c r="Y204" i="1"/>
  <c r="Z204" i="1" a="1"/>
  <c r="Z204" i="1" s="1"/>
  <c r="Z752" i="1" a="1"/>
  <c r="Z752" i="1" s="1"/>
  <c r="Y752" i="1"/>
  <c r="Z615" i="1" a="1"/>
  <c r="Z615" i="1" s="1"/>
  <c r="Y615" i="1"/>
  <c r="Z769" i="1" a="1"/>
  <c r="Z769" i="1" s="1"/>
  <c r="Y769" i="1"/>
  <c r="Z306" i="1" a="1"/>
  <c r="Z306" i="1" s="1"/>
  <c r="Y306" i="1"/>
  <c r="Z442" i="1" a="1"/>
  <c r="Z442" i="1" s="1"/>
  <c r="Y442" i="1"/>
  <c r="Z117" i="1" a="1"/>
  <c r="Z117" i="1" s="1"/>
  <c r="Y117" i="1"/>
  <c r="Z53" i="1" a="1"/>
  <c r="Z53" i="1" s="1"/>
  <c r="Y53" i="1"/>
  <c r="Z661" i="1" a="1"/>
  <c r="Z661" i="1" s="1"/>
  <c r="Y661" i="1"/>
  <c r="Y573" i="1"/>
  <c r="Z573" i="1" a="1"/>
  <c r="Z573" i="1" s="1"/>
  <c r="Y859" i="1"/>
  <c r="Z859" i="1" a="1"/>
  <c r="Z859" i="1" s="1"/>
  <c r="Z385" i="1" a="1"/>
  <c r="Z385" i="1" s="1"/>
  <c r="Y385" i="1"/>
  <c r="Y470" i="1"/>
  <c r="Z470" i="1" a="1"/>
  <c r="Z470" i="1" s="1"/>
  <c r="Z688" i="1" a="1"/>
  <c r="Z688" i="1" s="1"/>
  <c r="Y688" i="1"/>
  <c r="Y1423" i="1"/>
  <c r="Z1423" i="1" a="1"/>
  <c r="Z1423" i="1" s="1"/>
  <c r="Y1609" i="1"/>
  <c r="Z1609" i="1" a="1"/>
  <c r="Z1609" i="1" s="1"/>
  <c r="Z92" i="1" a="1"/>
  <c r="Z92" i="1" s="1"/>
  <c r="Y92" i="1"/>
  <c r="Z322" i="1" a="1"/>
  <c r="Z322" i="1" s="1"/>
  <c r="Y322" i="1"/>
  <c r="Y528" i="1"/>
  <c r="Z528" i="1" a="1"/>
  <c r="Z528" i="1" s="1"/>
  <c r="Z558" i="1" a="1"/>
  <c r="Z558" i="1" s="1"/>
  <c r="Y558" i="1"/>
  <c r="Y237" i="1"/>
  <c r="Z237" i="1" a="1"/>
  <c r="Z237" i="1" s="1"/>
  <c r="Z200" i="1" a="1"/>
  <c r="Z200" i="1" s="1"/>
  <c r="Y200" i="1"/>
  <c r="Y1542" i="1"/>
  <c r="Z1542" i="1" a="1"/>
  <c r="Z1542" i="1" s="1"/>
  <c r="Z199" i="1" a="1"/>
  <c r="Z199" i="1" s="1"/>
  <c r="Y199" i="1"/>
  <c r="Y109" i="1"/>
  <c r="Z109" i="1" a="1"/>
  <c r="Z109" i="1" s="1"/>
  <c r="Z283" i="1" a="1"/>
  <c r="Z283" i="1" s="1"/>
  <c r="Y283" i="1"/>
  <c r="Y1528" i="1"/>
  <c r="Z1528" i="1" a="1"/>
  <c r="Z1528" i="1" s="1"/>
  <c r="Z73" i="1" a="1"/>
  <c r="Z73" i="1" s="1"/>
  <c r="Y73" i="1"/>
  <c r="Z12" i="1" a="1"/>
  <c r="Z12" i="1" s="1"/>
  <c r="Y12" i="1"/>
  <c r="Y691" i="1"/>
  <c r="Z691" i="1" a="1"/>
  <c r="Z691" i="1" s="1"/>
  <c r="Y20" i="1"/>
  <c r="Z20" i="1" a="1"/>
  <c r="Z20" i="1" s="1"/>
  <c r="Z190" i="1" a="1"/>
  <c r="Z190" i="1" s="1"/>
  <c r="Y190" i="1"/>
  <c r="Z664" i="1" a="1"/>
  <c r="Z664" i="1" s="1"/>
  <c r="Y664" i="1"/>
  <c r="Y687" i="1"/>
  <c r="Z687" i="1" a="1"/>
  <c r="Z687" i="1" s="1"/>
  <c r="Z760" i="1" a="1"/>
  <c r="Z760" i="1" s="1"/>
  <c r="Y760" i="1"/>
  <c r="Z25" i="1" a="1"/>
  <c r="Z25" i="1" s="1"/>
  <c r="Y25" i="1"/>
  <c r="Y508" i="1"/>
  <c r="Z508" i="1" a="1"/>
  <c r="Z508" i="1" s="1"/>
  <c r="Y1357" i="1"/>
  <c r="Z1357" i="1" a="1"/>
  <c r="Z1357" i="1" s="1"/>
  <c r="Z161" i="1" a="1"/>
  <c r="Z161" i="1" s="1"/>
  <c r="Y161" i="1"/>
  <c r="Y829" i="1"/>
  <c r="Z829" i="1" a="1"/>
  <c r="Z829" i="1" s="1"/>
  <c r="Z801" i="1" a="1"/>
  <c r="Z801" i="1" s="1"/>
  <c r="Y801" i="1"/>
  <c r="Y1343" i="1"/>
  <c r="Z1343" i="1" a="1"/>
  <c r="Z1343" i="1" s="1"/>
  <c r="Z695" i="1" a="1"/>
  <c r="Z695" i="1" s="1"/>
  <c r="Y695" i="1"/>
  <c r="Z138" i="1" a="1"/>
  <c r="Z138" i="1" s="1"/>
  <c r="Y138" i="1"/>
  <c r="Z611" i="1" a="1"/>
  <c r="Z611" i="1" s="1"/>
  <c r="Y611" i="1"/>
  <c r="Y1813" i="1"/>
  <c r="Z1813" i="1" a="1"/>
  <c r="Z1813" i="1" s="1"/>
  <c r="Z341" i="1" a="1"/>
  <c r="Z341" i="1" s="1"/>
  <c r="Y341" i="1"/>
  <c r="Z254" i="1" a="1"/>
  <c r="Z254" i="1" s="1"/>
  <c r="Y254" i="1"/>
  <c r="Z445" i="1" a="1"/>
  <c r="Z445" i="1" s="1"/>
  <c r="Y445" i="1"/>
  <c r="Z818" i="1" a="1"/>
  <c r="Z818" i="1" s="1"/>
  <c r="Y818" i="1"/>
  <c r="Z607" i="1" a="1"/>
  <c r="Z607" i="1" s="1"/>
  <c r="Y607" i="1"/>
  <c r="Z434" i="1" a="1"/>
  <c r="Z434" i="1" s="1"/>
  <c r="Y434" i="1"/>
  <c r="Z421" i="1" a="1"/>
  <c r="Z421" i="1" s="1"/>
  <c r="Y421" i="1"/>
  <c r="Z652" i="1" a="1"/>
  <c r="Z652" i="1" s="1"/>
  <c r="Y652" i="1"/>
  <c r="Y2165" i="1"/>
  <c r="Z2165" i="1" a="1"/>
  <c r="Z2165" i="1" s="1"/>
  <c r="Y2244" i="1"/>
  <c r="Z2244" i="1" a="1"/>
  <c r="Z2244" i="1" s="1"/>
  <c r="Y1971" i="1"/>
  <c r="Z1971" i="1" a="1"/>
  <c r="Z1971" i="1" s="1"/>
  <c r="Y1911" i="1"/>
  <c r="Z1911" i="1" a="1"/>
  <c r="Z1911" i="1" s="1"/>
  <c r="Y1801" i="1"/>
  <c r="Z1801" i="1" a="1"/>
  <c r="Z1801" i="1" s="1"/>
  <c r="Y2233" i="1"/>
  <c r="Z2233" i="1" a="1"/>
  <c r="Z2233" i="1" s="1"/>
  <c r="Y2359" i="1"/>
  <c r="Z2359" i="1" a="1"/>
  <c r="Z2359" i="1" s="1"/>
  <c r="Y2369" i="1"/>
  <c r="Z2369" i="1" a="1"/>
  <c r="Z2369" i="1" s="1"/>
  <c r="Y2336" i="1"/>
  <c r="Z2336" i="1" a="1"/>
  <c r="Z2336" i="1" s="1"/>
  <c r="Y1578" i="1"/>
  <c r="Z1578" i="1" a="1"/>
  <c r="Z1578" i="1" s="1"/>
  <c r="Y2281" i="1"/>
  <c r="Z2281" i="1" a="1"/>
  <c r="Z2281" i="1" s="1"/>
  <c r="Y2054" i="1"/>
  <c r="Z2054" i="1" a="1"/>
  <c r="Z2054" i="1" s="1"/>
  <c r="Y2389" i="1"/>
  <c r="Z2389" i="1" a="1"/>
  <c r="Z2389" i="1" s="1"/>
  <c r="Y2286" i="1"/>
  <c r="Z2286" i="1" a="1"/>
  <c r="Z2286" i="1" s="1"/>
  <c r="Y2215" i="1"/>
  <c r="Z2215" i="1" a="1"/>
  <c r="Z2215" i="1" s="1"/>
  <c r="Y2391" i="1"/>
  <c r="Z2391" i="1" a="1"/>
  <c r="Z2391" i="1" s="1"/>
  <c r="Y1652" i="1"/>
  <c r="Z1652" i="1" a="1"/>
  <c r="Z1652" i="1" s="1"/>
  <c r="Y1775" i="1"/>
  <c r="Z1775" i="1" a="1"/>
  <c r="Z1775" i="1" s="1"/>
  <c r="Y1503" i="1"/>
  <c r="Z1503" i="1" a="1"/>
  <c r="Z1503" i="1" s="1"/>
  <c r="Y2267" i="1"/>
  <c r="Z2267" i="1" a="1"/>
  <c r="Z2267" i="1" s="1"/>
  <c r="Y2030" i="1"/>
  <c r="Z2030" i="1" a="1"/>
  <c r="Z2030" i="1" s="1"/>
  <c r="Y2383" i="1"/>
  <c r="Z2383" i="1" a="1"/>
  <c r="Z2383" i="1" s="1"/>
  <c r="Y1525" i="1"/>
  <c r="Z1525" i="1" a="1"/>
  <c r="Z1525" i="1" s="1"/>
  <c r="Y2011" i="1"/>
  <c r="Z2011" i="1" a="1"/>
  <c r="Z2011" i="1" s="1"/>
  <c r="Y2373" i="1"/>
  <c r="Z2373" i="1" a="1"/>
  <c r="Z2373" i="1" s="1"/>
  <c r="Y1485" i="1"/>
  <c r="Z1485" i="1" a="1"/>
  <c r="Z1485" i="1" s="1"/>
  <c r="Z1310" i="1" a="1"/>
  <c r="Z1310" i="1" s="1"/>
  <c r="Y1310" i="1"/>
  <c r="Y2387" i="1"/>
  <c r="Z2387" i="1" a="1"/>
  <c r="Z2387" i="1" s="1"/>
  <c r="Z1980" i="1" a="1"/>
  <c r="Z1980" i="1" s="1"/>
  <c r="Y1980" i="1"/>
  <c r="Y2309" i="1"/>
  <c r="Z2309" i="1" a="1"/>
  <c r="Z2309" i="1" s="1"/>
  <c r="Y1686" i="1"/>
  <c r="Z1686" i="1" a="1"/>
  <c r="Z1686" i="1" s="1"/>
  <c r="Y1457" i="1"/>
  <c r="Z1457" i="1" a="1"/>
  <c r="Z1457" i="1" s="1"/>
  <c r="Y2321" i="1"/>
  <c r="Z2321" i="1" a="1"/>
  <c r="Z2321" i="1" s="1"/>
  <c r="Z1470" i="1" a="1"/>
  <c r="Z1470" i="1" s="1"/>
  <c r="Y1470" i="1"/>
  <c r="Y2241" i="1"/>
  <c r="Z2241" i="1" a="1"/>
  <c r="Z2241" i="1" s="1"/>
  <c r="Y1765" i="1"/>
  <c r="Z1765" i="1" a="1"/>
  <c r="Z1765" i="1" s="1"/>
  <c r="Y1588" i="1"/>
  <c r="Z1588" i="1" a="1"/>
  <c r="Z1588" i="1" s="1"/>
  <c r="Y1842" i="1"/>
  <c r="Z1842" i="1" a="1"/>
  <c r="Z1842" i="1" s="1"/>
  <c r="Y2293" i="1"/>
  <c r="Z2293" i="1" a="1"/>
  <c r="Z2293" i="1" s="1"/>
  <c r="Z1937" i="1" a="1"/>
  <c r="Z1937" i="1" s="1"/>
  <c r="Y1937" i="1"/>
  <c r="Y1985" i="1"/>
  <c r="Z1985" i="1" a="1"/>
  <c r="Z1985" i="1" s="1"/>
  <c r="Y1663" i="1"/>
  <c r="Z1663" i="1" a="1"/>
  <c r="Z1663" i="1" s="1"/>
  <c r="Z1977" i="1" a="1"/>
  <c r="Z1977" i="1" s="1"/>
  <c r="Y1977" i="1"/>
  <c r="Y1863" i="1"/>
  <c r="Z1863" i="1" a="1"/>
  <c r="Z1863" i="1" s="1"/>
  <c r="Y1695" i="1"/>
  <c r="Z1695" i="1" a="1"/>
  <c r="Z1695" i="1" s="1"/>
  <c r="Y2254" i="1"/>
  <c r="Z2254" i="1" a="1"/>
  <c r="Z2254" i="1" s="1"/>
  <c r="Z1960" i="1" a="1"/>
  <c r="Z1960" i="1" s="1"/>
  <c r="Y1960" i="1"/>
  <c r="Y2182" i="1"/>
  <c r="Z2182" i="1" a="1"/>
  <c r="Z2182" i="1" s="1"/>
  <c r="Y2277" i="1"/>
  <c r="Z2277" i="1" a="1"/>
  <c r="Z2277" i="1" s="1"/>
  <c r="Y2156" i="1"/>
  <c r="Z2156" i="1" a="1"/>
  <c r="Z2156" i="1" s="1"/>
  <c r="Y1601" i="1"/>
  <c r="Z1601" i="1" a="1"/>
  <c r="Z1601" i="1" s="1"/>
  <c r="Y1374" i="1"/>
  <c r="Z1374" i="1" a="1"/>
  <c r="Z1374" i="1" s="1"/>
  <c r="Y1495" i="1"/>
  <c r="Z1495" i="1" a="1"/>
  <c r="Z1495" i="1" s="1"/>
  <c r="Y1595" i="1"/>
  <c r="Z1595" i="1" a="1"/>
  <c r="Z1595" i="1" s="1"/>
  <c r="Z1400" i="1" a="1"/>
  <c r="Z1400" i="1" s="1"/>
  <c r="Y1400" i="1"/>
  <c r="Y2425" i="1"/>
  <c r="Z2425" i="1" a="1"/>
  <c r="Z2425" i="1" s="1"/>
  <c r="Y2294" i="1"/>
  <c r="Z2294" i="1" a="1"/>
  <c r="Z2294" i="1" s="1"/>
  <c r="Z1917" i="1" a="1"/>
  <c r="Z1917" i="1" s="1"/>
  <c r="Y1917" i="1"/>
  <c r="Y1758" i="1"/>
  <c r="Z1758" i="1" a="1"/>
  <c r="Z1758" i="1" s="1"/>
  <c r="Y1689" i="1"/>
  <c r="Z1689" i="1" a="1"/>
  <c r="Z1689" i="1" s="1"/>
  <c r="Y157" i="1"/>
  <c r="Z157" i="1" a="1"/>
  <c r="Z157" i="1" s="1"/>
  <c r="Z170" i="1" a="1"/>
  <c r="Z170" i="1" s="1"/>
  <c r="Y170" i="1"/>
  <c r="Z69" i="1" a="1"/>
  <c r="Z69" i="1" s="1"/>
  <c r="Y69" i="1"/>
  <c r="Y1677" i="1"/>
  <c r="Z1677" i="1" a="1"/>
  <c r="Z1677" i="1" s="1"/>
  <c r="Y29" i="1"/>
  <c r="Z29" i="1" a="1"/>
  <c r="Z29" i="1" s="1"/>
  <c r="Z552" i="1" a="1"/>
  <c r="Z552" i="1" s="1"/>
  <c r="Y552" i="1"/>
  <c r="Z378" i="1" a="1"/>
  <c r="Z378" i="1" s="1"/>
  <c r="Y378" i="1"/>
  <c r="Z136" i="1" a="1"/>
  <c r="Z136" i="1" s="1"/>
  <c r="Y136" i="1"/>
  <c r="Y776" i="1"/>
  <c r="Z776" i="1" a="1"/>
  <c r="Z776" i="1" s="1"/>
  <c r="Z645" i="1" a="1"/>
  <c r="Z645" i="1" s="1"/>
  <c r="Y645" i="1"/>
  <c r="Z459" i="1" a="1"/>
  <c r="Z459" i="1" s="1"/>
  <c r="Y459" i="1"/>
  <c r="Z373" i="1" a="1"/>
  <c r="Z373" i="1" s="1"/>
  <c r="Y373" i="1"/>
  <c r="Y1662" i="1"/>
  <c r="Z1662" i="1" a="1"/>
  <c r="Z1662" i="1" s="1"/>
  <c r="Z639" i="1" a="1"/>
  <c r="Z639" i="1" s="1"/>
  <c r="Y639" i="1"/>
  <c r="Z638" i="1" a="1"/>
  <c r="Z638" i="1" s="1"/>
  <c r="Y638" i="1"/>
  <c r="Z649" i="1" a="1"/>
  <c r="Z649" i="1" s="1"/>
  <c r="Y649" i="1"/>
  <c r="Z348" i="1" a="1"/>
  <c r="Z348" i="1" s="1"/>
  <c r="Y348" i="1"/>
  <c r="Z361" i="1" a="1"/>
  <c r="Z361" i="1" s="1"/>
  <c r="Y361" i="1"/>
  <c r="Z74" i="1" a="1"/>
  <c r="Z74" i="1" s="1"/>
  <c r="Y74" i="1"/>
  <c r="Z1504" i="1" a="1"/>
  <c r="Z1504" i="1" s="1"/>
  <c r="Y1504" i="1"/>
  <c r="Z387" i="1" a="1"/>
  <c r="Z387" i="1" s="1"/>
  <c r="Y387" i="1"/>
  <c r="Z561" i="1" a="1"/>
  <c r="Z561" i="1" s="1"/>
  <c r="Y561" i="1"/>
  <c r="Z748" i="1" a="1"/>
  <c r="Z748" i="1" s="1"/>
  <c r="Y748" i="1"/>
  <c r="Z706" i="1" a="1"/>
  <c r="Z706" i="1" s="1"/>
  <c r="Y706" i="1"/>
  <c r="Z106" i="1" a="1"/>
  <c r="Z106" i="1" s="1"/>
  <c r="Y106" i="1"/>
  <c r="Y855" i="1"/>
  <c r="Z855" i="1" a="1"/>
  <c r="Z855" i="1" s="1"/>
  <c r="Y1557" i="1"/>
  <c r="Z1557" i="1" a="1"/>
  <c r="Z1557" i="1" s="1"/>
  <c r="Z337" i="1" a="1"/>
  <c r="Z337" i="1" s="1"/>
  <c r="Y337" i="1"/>
  <c r="Z454" i="1" a="1"/>
  <c r="Z454" i="1" s="1"/>
  <c r="Y454" i="1"/>
  <c r="Z519" i="1" a="1"/>
  <c r="Z519" i="1" s="1"/>
  <c r="Y519" i="1"/>
  <c r="Z244" i="1" a="1"/>
  <c r="Z244" i="1" s="1"/>
  <c r="Y244" i="1"/>
  <c r="Y705" i="1"/>
  <c r="Z705" i="1" a="1"/>
  <c r="Z705" i="1" s="1"/>
  <c r="Z100" i="1" a="1"/>
  <c r="Z100" i="1" s="1"/>
  <c r="Y100" i="1"/>
  <c r="Z679" i="1" a="1"/>
  <c r="Z679" i="1" s="1"/>
  <c r="Y679" i="1"/>
  <c r="Z198" i="1" a="1"/>
  <c r="Z198" i="1" s="1"/>
  <c r="Y198" i="1"/>
  <c r="Z614" i="1" a="1"/>
  <c r="Z614" i="1" s="1"/>
  <c r="Y614" i="1"/>
  <c r="Z668" i="1" a="1"/>
  <c r="Z668" i="1" s="1"/>
  <c r="Y668" i="1"/>
  <c r="Z44" i="1" a="1"/>
  <c r="Z44" i="1" s="1"/>
  <c r="Y44" i="1"/>
  <c r="Z241" i="1" a="1"/>
  <c r="Z241" i="1" s="1"/>
  <c r="Y241" i="1"/>
  <c r="Z164" i="1" a="1"/>
  <c r="Z164" i="1" s="1"/>
  <c r="Y164" i="1"/>
  <c r="Z608" i="1" a="1"/>
  <c r="Z608" i="1" s="1"/>
  <c r="Y608" i="1"/>
  <c r="Z275" i="1" a="1"/>
  <c r="Z275" i="1" s="1"/>
  <c r="Y275" i="1"/>
  <c r="Y333" i="1"/>
  <c r="Z333" i="1" a="1"/>
  <c r="Z333" i="1" s="1"/>
  <c r="Z487" i="1" a="1"/>
  <c r="Z487" i="1" s="1"/>
  <c r="Y487" i="1"/>
  <c r="Z647" i="1" a="1"/>
  <c r="Z647" i="1" s="1"/>
  <c r="Y647" i="1"/>
  <c r="Z856" i="1" a="1"/>
  <c r="Z856" i="1" s="1"/>
  <c r="Y856" i="1"/>
  <c r="Z418" i="1" a="1"/>
  <c r="Z418" i="1" s="1"/>
  <c r="Y418" i="1"/>
  <c r="Y146" i="1"/>
  <c r="Z146" i="1" a="1"/>
  <c r="Z146" i="1" s="1"/>
  <c r="Y685" i="1"/>
  <c r="Z685" i="1" a="1"/>
  <c r="Z685" i="1" s="1"/>
  <c r="Y1559" i="1"/>
  <c r="Z1559" i="1" a="1"/>
  <c r="Z1559" i="1" s="1"/>
  <c r="Z235" i="1" a="1"/>
  <c r="Z235" i="1" s="1"/>
  <c r="Y235" i="1"/>
  <c r="Z568" i="1" a="1"/>
  <c r="Z568" i="1" s="1"/>
  <c r="Y568" i="1"/>
  <c r="Z66" i="1" a="1"/>
  <c r="Z66" i="1" s="1"/>
  <c r="Y66" i="1"/>
  <c r="Y268" i="1"/>
  <c r="Z268" i="1" a="1"/>
  <c r="Z268" i="1" s="1"/>
  <c r="Z206" i="1" a="1"/>
  <c r="Z206" i="1" s="1"/>
  <c r="Y206" i="1"/>
  <c r="Z799" i="1" a="1"/>
  <c r="Z799" i="1" s="1"/>
  <c r="Y799" i="1"/>
  <c r="Z488" i="1" a="1"/>
  <c r="Z488" i="1" s="1"/>
  <c r="Y488" i="1"/>
  <c r="Z84" i="1" a="1"/>
  <c r="Z84" i="1" s="1"/>
  <c r="Y84" i="1"/>
  <c r="Z2053" i="1" a="1"/>
  <c r="Z2053" i="1" s="1"/>
  <c r="Y2053" i="1"/>
  <c r="Y2031" i="1"/>
  <c r="Z2031" i="1" a="1"/>
  <c r="Z2031" i="1" s="1"/>
  <c r="Z2029" i="1" a="1"/>
  <c r="Z2029" i="1" s="1"/>
  <c r="Y2029" i="1"/>
  <c r="Y1826" i="1"/>
  <c r="Z1826" i="1" a="1"/>
  <c r="Z1826" i="1" s="1"/>
  <c r="Y2403" i="1"/>
  <c r="Z2403" i="1" a="1"/>
  <c r="Z2403" i="1" s="1"/>
  <c r="Y2360" i="1"/>
  <c r="Z2360" i="1" a="1"/>
  <c r="Z2360" i="1" s="1"/>
  <c r="Y2338" i="1"/>
  <c r="Z2338" i="1" a="1"/>
  <c r="Z2338" i="1" s="1"/>
  <c r="Y2404" i="1"/>
  <c r="Z2404" i="1" a="1"/>
  <c r="Z2404" i="1" s="1"/>
  <c r="Y1523" i="1"/>
  <c r="Z1523" i="1" a="1"/>
  <c r="Z1523" i="1" s="1"/>
  <c r="Y2345" i="1"/>
  <c r="Z2345" i="1" a="1"/>
  <c r="Z2345" i="1" s="1"/>
  <c r="Y2196" i="1"/>
  <c r="Z2196" i="1" a="1"/>
  <c r="Z2196" i="1" s="1"/>
  <c r="Y2185" i="1"/>
  <c r="Z2185" i="1" a="1"/>
  <c r="Z2185" i="1" s="1"/>
  <c r="Y2400" i="1"/>
  <c r="Z2400" i="1" a="1"/>
  <c r="Z2400" i="1" s="1"/>
  <c r="Y2253" i="1"/>
  <c r="Z2253" i="1" a="1"/>
  <c r="Z2253" i="1" s="1"/>
  <c r="Z1908" i="1" a="1"/>
  <c r="Z1908" i="1" s="1"/>
  <c r="Y1908" i="1"/>
  <c r="Y1747" i="1"/>
  <c r="Z1747" i="1" a="1"/>
  <c r="Z1747" i="1" s="1"/>
  <c r="Y2189" i="1"/>
  <c r="Z2189" i="1" a="1"/>
  <c r="Z2189" i="1" s="1"/>
  <c r="Y2205" i="1"/>
  <c r="Z2205" i="1" a="1"/>
  <c r="Z2205" i="1" s="1"/>
  <c r="Y1469" i="1"/>
  <c r="Z1469" i="1" a="1"/>
  <c r="Z1469" i="1" s="1"/>
  <c r="Y1735" i="1"/>
  <c r="Z1735" i="1" a="1"/>
  <c r="Z1735" i="1" s="1"/>
  <c r="Y2043" i="1"/>
  <c r="Z2043" i="1" a="1"/>
  <c r="Z2043" i="1" s="1"/>
  <c r="Z1415" i="1" a="1"/>
  <c r="Z1415" i="1" s="1"/>
  <c r="Y1415" i="1"/>
  <c r="Y1806" i="1"/>
  <c r="Z1806" i="1" a="1"/>
  <c r="Z1806" i="1" s="1"/>
  <c r="Y2173" i="1"/>
  <c r="Z2173" i="1" a="1"/>
  <c r="Z2173" i="1" s="1"/>
  <c r="Y1794" i="1"/>
  <c r="Z1794" i="1" a="1"/>
  <c r="Z1794" i="1" s="1"/>
  <c r="Y2144" i="1"/>
  <c r="Z2144" i="1" a="1"/>
  <c r="Z2144" i="1" s="1"/>
  <c r="Y2256" i="1"/>
  <c r="Z2256" i="1" a="1"/>
  <c r="Z2256" i="1" s="1"/>
  <c r="Y2356" i="1"/>
  <c r="Z2356" i="1" a="1"/>
  <c r="Z2356" i="1" s="1"/>
  <c r="Z1996" i="1" a="1"/>
  <c r="Z1996" i="1" s="1"/>
  <c r="Y1996" i="1"/>
  <c r="Y1456" i="1"/>
  <c r="Z1456" i="1" a="1"/>
  <c r="Z1456" i="1" s="1"/>
  <c r="Y2126" i="1"/>
  <c r="Z2126" i="1" a="1"/>
  <c r="Z2126" i="1" s="1"/>
  <c r="Y2102" i="1"/>
  <c r="Z2102" i="1" a="1"/>
  <c r="Z2102" i="1" s="1"/>
  <c r="Z1631" i="1" a="1"/>
  <c r="Z1631" i="1" s="1"/>
  <c r="Y1631" i="1"/>
  <c r="Y1478" i="1"/>
  <c r="Z1478" i="1" a="1"/>
  <c r="Z1478" i="1" s="1"/>
  <c r="Z1942" i="1" a="1"/>
  <c r="Z1942" i="1" s="1"/>
  <c r="Y1942" i="1"/>
  <c r="Y2320" i="1"/>
  <c r="Z2320" i="1" a="1"/>
  <c r="Z2320" i="1" s="1"/>
  <c r="Z1428" i="1" a="1"/>
  <c r="Z1428" i="1" s="1"/>
  <c r="Y1428" i="1"/>
  <c r="Y2358" i="1"/>
  <c r="Z2358" i="1" a="1"/>
  <c r="Z2358" i="1" s="1"/>
  <c r="Z2009" i="1" a="1"/>
  <c r="Z2009" i="1" s="1"/>
  <c r="Y2009" i="1"/>
  <c r="Y2214" i="1"/>
  <c r="Z2214" i="1" a="1"/>
  <c r="Z2214" i="1" s="1"/>
  <c r="Y1726" i="1"/>
  <c r="Z1726" i="1" a="1"/>
  <c r="Z1726" i="1" s="1"/>
  <c r="Y2209" i="1"/>
  <c r="Z2209" i="1" a="1"/>
  <c r="Z2209" i="1" s="1"/>
  <c r="Y1648" i="1"/>
  <c r="Z1648" i="1" a="1"/>
  <c r="Z1648" i="1" s="1"/>
  <c r="Y1661" i="1"/>
  <c r="Z1661" i="1" a="1"/>
  <c r="Z1661" i="1" s="1"/>
  <c r="Y1438" i="1"/>
  <c r="Z1438" i="1" a="1"/>
  <c r="Z1438" i="1" s="1"/>
  <c r="Z1949" i="1" a="1"/>
  <c r="Z1949" i="1" s="1"/>
  <c r="Y1949" i="1"/>
  <c r="Y1622" i="1"/>
  <c r="Z1622" i="1" a="1"/>
  <c r="Z1622" i="1" s="1"/>
  <c r="Y1965" i="1"/>
  <c r="Z1965" i="1" a="1"/>
  <c r="Z1965" i="1" s="1"/>
  <c r="Z1354" i="1" a="1"/>
  <c r="Z1354" i="1" s="1"/>
  <c r="Y1354" i="1"/>
  <c r="Y2406" i="1"/>
  <c r="Z2406" i="1" a="1"/>
  <c r="Z2406" i="1" s="1"/>
  <c r="Y1920" i="1"/>
  <c r="Z1920" i="1" a="1"/>
  <c r="Z1920" i="1" s="1"/>
  <c r="Y2114" i="1"/>
  <c r="Z2114" i="1" a="1"/>
  <c r="Z2114" i="1" s="1"/>
  <c r="Y2236" i="1"/>
  <c r="Z2236" i="1" a="1"/>
  <c r="Z2236" i="1" s="1"/>
  <c r="Y1356" i="1"/>
  <c r="Z1356" i="1" a="1"/>
  <c r="Z1356" i="1" s="1"/>
  <c r="Y1964" i="1"/>
  <c r="Z1964" i="1" a="1"/>
  <c r="Z1964" i="1" s="1"/>
  <c r="Y2039" i="1"/>
  <c r="Z2039" i="1" a="1"/>
  <c r="Z2039" i="1" s="1"/>
  <c r="Y1552" i="1"/>
  <c r="Z1552" i="1" a="1"/>
  <c r="Z1552" i="1" s="1"/>
  <c r="Y1780" i="1"/>
  <c r="Z1780" i="1" a="1"/>
  <c r="Z1780" i="1" s="1"/>
  <c r="Y1466" i="1"/>
  <c r="Z1466" i="1" a="1"/>
  <c r="Z1466" i="1" s="1"/>
  <c r="Y1460" i="1"/>
  <c r="Z1460" i="1" a="1"/>
  <c r="Z1460" i="1" s="1"/>
  <c r="Z344" i="1" a="1"/>
  <c r="Z344" i="1" s="1"/>
  <c r="Y344" i="1"/>
  <c r="Z60" i="1" a="1"/>
  <c r="Z60" i="1" s="1"/>
  <c r="Y60" i="1"/>
  <c r="Y143" i="1"/>
  <c r="Z143" i="1" a="1"/>
  <c r="Z143" i="1" s="1"/>
  <c r="Z258" i="1" a="1"/>
  <c r="Z258" i="1" s="1"/>
  <c r="Y258" i="1"/>
  <c r="Y103" i="1"/>
  <c r="Z103" i="1" a="1"/>
  <c r="Z103" i="1" s="1"/>
  <c r="Z386" i="1" a="1"/>
  <c r="Z386" i="1" s="1"/>
  <c r="Y386" i="1"/>
  <c r="Z320" i="1" a="1"/>
  <c r="Z320" i="1" s="1"/>
  <c r="Y320" i="1"/>
  <c r="Z553" i="1" a="1"/>
  <c r="Z553" i="1" s="1"/>
  <c r="Y553" i="1"/>
  <c r="Z359" i="1" a="1"/>
  <c r="Z359" i="1" s="1"/>
  <c r="Y359" i="1"/>
  <c r="Z33" i="1" a="1"/>
  <c r="Z33" i="1" s="1"/>
  <c r="Y33" i="1"/>
  <c r="Z584" i="1" a="1"/>
  <c r="Z584" i="1" s="1"/>
  <c r="Y584" i="1"/>
  <c r="Y701" i="1"/>
  <c r="Z701" i="1" a="1"/>
  <c r="Z701" i="1" s="1"/>
  <c r="Z792" i="1" a="1"/>
  <c r="Z792" i="1" s="1"/>
  <c r="Y792" i="1"/>
  <c r="Z1397" i="1" a="1"/>
  <c r="Z1397" i="1" s="1"/>
  <c r="Y1397" i="1"/>
  <c r="Z1458" i="1" a="1"/>
  <c r="Z1458" i="1" s="1"/>
  <c r="Y1458" i="1"/>
  <c r="Y853" i="1"/>
  <c r="Z853" i="1" a="1"/>
  <c r="Z853" i="1" s="1"/>
  <c r="Z720" i="1" a="1"/>
  <c r="Z720" i="1" s="1"/>
  <c r="Y720" i="1"/>
  <c r="Z732" i="1" a="1"/>
  <c r="Z732" i="1" s="1"/>
  <c r="Y732" i="1"/>
  <c r="Y1584" i="1"/>
  <c r="Z1584" i="1" a="1"/>
  <c r="Z1584" i="1" s="1"/>
  <c r="Z17" i="1" a="1"/>
  <c r="Z17" i="1" s="1"/>
  <c r="Y17" i="1"/>
  <c r="Z476" i="1" a="1"/>
  <c r="Z476" i="1" s="1"/>
  <c r="Y476" i="1"/>
  <c r="Z124" i="1" a="1"/>
  <c r="Z124" i="1" s="1"/>
  <c r="Y124" i="1"/>
  <c r="Y1599" i="1"/>
  <c r="Z1599" i="1" a="1"/>
  <c r="Z1599" i="1" s="1"/>
  <c r="Z743" i="1" a="1"/>
  <c r="Z743" i="1" s="1"/>
  <c r="Y743" i="1"/>
  <c r="Z696" i="1" a="1"/>
  <c r="Z696" i="1" s="1"/>
  <c r="Y696" i="1"/>
  <c r="Z779" i="1" a="1"/>
  <c r="Z779" i="1" s="1"/>
  <c r="Y779" i="1"/>
  <c r="Y312" i="1"/>
  <c r="Z312" i="1" a="1"/>
  <c r="Z312" i="1" s="1"/>
  <c r="Y248" i="1"/>
  <c r="Z248" i="1" a="1"/>
  <c r="Z248" i="1" s="1"/>
  <c r="Z176" i="1" a="1"/>
  <c r="Z176" i="1" s="1"/>
  <c r="Y176" i="1"/>
  <c r="Y1640" i="1"/>
  <c r="Z1640" i="1" a="1"/>
  <c r="Z1640" i="1" s="1"/>
  <c r="Z623" i="1" a="1"/>
  <c r="Z623" i="1" s="1"/>
  <c r="Y623" i="1"/>
  <c r="Z740" i="1" a="1"/>
  <c r="Z740" i="1" s="1"/>
  <c r="Y740" i="1"/>
  <c r="Z110" i="1" a="1"/>
  <c r="Z110" i="1" s="1"/>
  <c r="Y110" i="1"/>
  <c r="Y1628" i="1"/>
  <c r="Z1628" i="1" a="1"/>
  <c r="Z1628" i="1" s="1"/>
  <c r="Z71" i="1" a="1"/>
  <c r="Z71" i="1" s="1"/>
  <c r="Y71" i="1"/>
  <c r="Y340" i="1"/>
  <c r="Z340" i="1" a="1"/>
  <c r="Z340" i="1" s="1"/>
  <c r="Z234" i="1" a="1"/>
  <c r="Z234" i="1" s="1"/>
  <c r="Y234" i="1"/>
  <c r="Y1543" i="1"/>
  <c r="Z1543" i="1" a="1"/>
  <c r="Z1543" i="1" s="1"/>
  <c r="Z830" i="1" a="1"/>
  <c r="Z830" i="1" s="1"/>
  <c r="Y830" i="1"/>
  <c r="Z127" i="1" a="1"/>
  <c r="Z127" i="1" s="1"/>
  <c r="Y127" i="1"/>
  <c r="Y787" i="1"/>
  <c r="Z787" i="1" a="1"/>
  <c r="Z787" i="1" s="1"/>
  <c r="Z754" i="1" a="1"/>
  <c r="Z754" i="1" s="1"/>
  <c r="Y754" i="1"/>
  <c r="Y555" i="1"/>
  <c r="Z555" i="1" a="1"/>
  <c r="Z555" i="1" s="1"/>
  <c r="Z580" i="1" a="1"/>
  <c r="Z580" i="1" s="1"/>
  <c r="Y580" i="1"/>
  <c r="Y1861" i="1"/>
  <c r="Z1861" i="1" a="1"/>
  <c r="Z1861" i="1" s="1"/>
  <c r="Z597" i="1" a="1"/>
  <c r="Z597" i="1" s="1"/>
  <c r="Y597" i="1"/>
  <c r="Z682" i="1" a="1"/>
  <c r="Z682" i="1" s="1"/>
  <c r="Y682" i="1"/>
  <c r="Z384" i="1" a="1"/>
  <c r="Z384" i="1" s="1"/>
  <c r="Y384" i="1"/>
  <c r="Y831" i="1"/>
  <c r="Z831" i="1" a="1"/>
  <c r="Z831" i="1" s="1"/>
  <c r="Z1823" i="1" a="1"/>
  <c r="Z1823" i="1" s="1"/>
  <c r="Y1823" i="1"/>
  <c r="Z469" i="1" a="1"/>
  <c r="Z469" i="1" s="1"/>
  <c r="Y469" i="1"/>
  <c r="Y398" i="1"/>
  <c r="Z398" i="1" a="1"/>
  <c r="Z398" i="1" s="1"/>
  <c r="Z224" i="1" a="1"/>
  <c r="Z224" i="1" s="1"/>
  <c r="Y224" i="1"/>
  <c r="Z290" i="1" a="1"/>
  <c r="Z290" i="1" s="1"/>
  <c r="Y290" i="1"/>
  <c r="Z279" i="1" a="1"/>
  <c r="Z279" i="1" s="1"/>
  <c r="Y279" i="1"/>
  <c r="Z729" i="1" a="1"/>
  <c r="Z729" i="1" s="1"/>
  <c r="Y729" i="1"/>
  <c r="Z852" i="1" a="1"/>
  <c r="Z852" i="1" s="1"/>
  <c r="Y852" i="1"/>
  <c r="Y162" i="1"/>
  <c r="Z162" i="1" a="1"/>
  <c r="Z162" i="1" s="1"/>
  <c r="Y1444" i="1"/>
  <c r="Z1444" i="1" a="1"/>
  <c r="Z1444" i="1" s="1"/>
  <c r="Z612" i="1" a="1"/>
  <c r="Z612" i="1" s="1"/>
  <c r="Y612" i="1"/>
  <c r="Y292" i="1"/>
  <c r="Z292" i="1" a="1"/>
  <c r="Z292" i="1" s="1"/>
  <c r="Z116" i="1" a="1"/>
  <c r="Z116" i="1" s="1"/>
  <c r="Y116" i="1"/>
  <c r="Z702" i="1" a="1"/>
  <c r="Z702" i="1" s="1"/>
  <c r="Y702" i="1"/>
  <c r="V600" i="1"/>
  <c r="U600" i="1"/>
  <c r="Y2366" i="1"/>
  <c r="Z2366" i="1" a="1"/>
  <c r="Z2366" i="1" s="1"/>
  <c r="Y2090" i="1"/>
  <c r="Z2090" i="1" a="1"/>
  <c r="Z2090" i="1" s="1"/>
  <c r="Z1989" i="1" a="1"/>
  <c r="Z1989" i="1" s="1"/>
  <c r="Y1989" i="1"/>
  <c r="Z1987" i="1" a="1"/>
  <c r="Z1987" i="1" s="1"/>
  <c r="Y1987" i="1"/>
  <c r="Y2265" i="1"/>
  <c r="Z2265" i="1" a="1"/>
  <c r="Z2265" i="1" s="1"/>
  <c r="Y2372" i="1"/>
  <c r="Z2372" i="1" a="1"/>
  <c r="Z2372" i="1" s="1"/>
  <c r="Z2407" i="1" a="1"/>
  <c r="Z2407" i="1" s="1"/>
  <c r="Y2407" i="1"/>
  <c r="Y2367" i="1"/>
  <c r="Z2367" i="1" a="1"/>
  <c r="Z2367" i="1" s="1"/>
  <c r="Y1714" i="1"/>
  <c r="Z1714" i="1" a="1"/>
  <c r="Z1714" i="1" s="1"/>
  <c r="Z2333" i="1" a="1"/>
  <c r="Z2333" i="1" s="1"/>
  <c r="Y2333" i="1"/>
  <c r="Y1551" i="1"/>
  <c r="Z1551" i="1" a="1"/>
  <c r="Z1551" i="1" s="1"/>
  <c r="Y2413" i="1"/>
  <c r="Z2413" i="1" a="1"/>
  <c r="Z2413" i="1" s="1"/>
  <c r="Y2398" i="1"/>
  <c r="Z2398" i="1" a="1"/>
  <c r="Z2398" i="1" s="1"/>
  <c r="Y1887" i="1"/>
  <c r="Z1887" i="1" a="1"/>
  <c r="Z1887" i="1" s="1"/>
  <c r="Y1486" i="1"/>
  <c r="Z1486" i="1" a="1"/>
  <c r="Z1486" i="1" s="1"/>
  <c r="Y1771" i="1"/>
  <c r="Z1771" i="1" a="1"/>
  <c r="Z1771" i="1" s="1"/>
  <c r="Y1451" i="1"/>
  <c r="Z1451" i="1" a="1"/>
  <c r="Z1451" i="1" s="1"/>
  <c r="Y1526" i="1"/>
  <c r="Z1526" i="1" a="1"/>
  <c r="Z1526" i="1" s="1"/>
  <c r="Y1939" i="1"/>
  <c r="Z1939" i="1" a="1"/>
  <c r="Z1939" i="1" s="1"/>
  <c r="Y1924" i="1"/>
  <c r="Z1924" i="1" a="1"/>
  <c r="Z1924" i="1" s="1"/>
  <c r="Y1453" i="1"/>
  <c r="Z1453" i="1" a="1"/>
  <c r="Z1453" i="1" s="1"/>
  <c r="Y1746" i="1"/>
  <c r="Z1746" i="1" a="1"/>
  <c r="Z1746" i="1" s="1"/>
  <c r="Y1490" i="1"/>
  <c r="Z1490" i="1" a="1"/>
  <c r="Z1490" i="1" s="1"/>
  <c r="Y2219" i="1"/>
  <c r="Z2219" i="1" a="1"/>
  <c r="Z2219" i="1" s="1"/>
  <c r="Y1879" i="1"/>
  <c r="Z1879" i="1" a="1"/>
  <c r="Z1879" i="1" s="1"/>
  <c r="Y1707" i="1"/>
  <c r="Z1707" i="1" a="1"/>
  <c r="Z1707" i="1" s="1"/>
  <c r="Y2208" i="1"/>
  <c r="Z2208" i="1" a="1"/>
  <c r="Z2208" i="1" s="1"/>
  <c r="Y1856" i="1"/>
  <c r="Z1856" i="1" a="1"/>
  <c r="Z1856" i="1" s="1"/>
  <c r="Y1682" i="1"/>
  <c r="Z1682" i="1" a="1"/>
  <c r="Z1682" i="1" s="1"/>
  <c r="Y1836" i="1"/>
  <c r="Z1836" i="1" a="1"/>
  <c r="Z1836" i="1" s="1"/>
  <c r="Y2088" i="1"/>
  <c r="Z2088" i="1" a="1"/>
  <c r="Z2088" i="1" s="1"/>
  <c r="Y1645" i="1"/>
  <c r="Z1645" i="1" a="1"/>
  <c r="Z1645" i="1" s="1"/>
  <c r="Y1505" i="1"/>
  <c r="Z1505" i="1" a="1"/>
  <c r="Z1505" i="1" s="1"/>
  <c r="Y1642" i="1"/>
  <c r="Z1642" i="1" a="1"/>
  <c r="Z1642" i="1" s="1"/>
  <c r="Y1802" i="1"/>
  <c r="Z1802" i="1" a="1"/>
  <c r="Z1802" i="1" s="1"/>
  <c r="Y1841" i="1"/>
  <c r="Z1841" i="1" a="1"/>
  <c r="Z1841" i="1" s="1"/>
  <c r="Y1691" i="1"/>
  <c r="Z1691" i="1" a="1"/>
  <c r="Z1691" i="1" s="1"/>
  <c r="Y2095" i="1"/>
  <c r="Z2095" i="1" a="1"/>
  <c r="Z2095" i="1" s="1"/>
  <c r="Y2159" i="1"/>
  <c r="Z2159" i="1" a="1"/>
  <c r="Z2159" i="1" s="1"/>
  <c r="Z1713" i="1" a="1"/>
  <c r="Z1713" i="1" s="1"/>
  <c r="Y1713" i="1"/>
  <c r="Z2015" i="1" a="1"/>
  <c r="Z2015" i="1" s="1"/>
  <c r="Y2015" i="1"/>
  <c r="Y2152" i="1"/>
  <c r="Z2152" i="1" a="1"/>
  <c r="Z2152" i="1" s="1"/>
  <c r="Y1912" i="1"/>
  <c r="Z1912" i="1" a="1"/>
  <c r="Z1912" i="1" s="1"/>
  <c r="Y2269" i="1"/>
  <c r="Z2269" i="1" a="1"/>
  <c r="Z2269" i="1" s="1"/>
  <c r="Z1393" i="1" a="1"/>
  <c r="Z1393" i="1" s="1"/>
  <c r="Y1393" i="1"/>
  <c r="Y2306" i="1"/>
  <c r="Z2306" i="1" a="1"/>
  <c r="Z2306" i="1" s="1"/>
  <c r="Y2166" i="1"/>
  <c r="Z2166" i="1" a="1"/>
  <c r="Z2166" i="1" s="1"/>
  <c r="Y1641" i="1"/>
  <c r="Z1641" i="1" a="1"/>
  <c r="Z1641" i="1" s="1"/>
  <c r="Y1464" i="1"/>
  <c r="Z1464" i="1" a="1"/>
  <c r="Z1464" i="1" s="1"/>
  <c r="Z1984" i="1" a="1"/>
  <c r="Z1984" i="1" s="1"/>
  <c r="Y1984" i="1"/>
  <c r="Y1767" i="1"/>
  <c r="Z1767" i="1" a="1"/>
  <c r="Z1767" i="1" s="1"/>
  <c r="Y1831" i="1"/>
  <c r="Z1831" i="1" a="1"/>
  <c r="Z1831" i="1" s="1"/>
  <c r="Y1614" i="1"/>
  <c r="Z1614" i="1" a="1"/>
  <c r="Z1614" i="1" s="1"/>
  <c r="Y1927" i="1"/>
  <c r="Z1927" i="1" a="1"/>
  <c r="Z1927" i="1" s="1"/>
  <c r="Z1777" i="1" a="1"/>
  <c r="Z1777" i="1" s="1"/>
  <c r="Y1777" i="1"/>
  <c r="Y2399" i="1"/>
  <c r="Z2399" i="1" a="1"/>
  <c r="Z2399" i="1" s="1"/>
  <c r="Y1782" i="1"/>
  <c r="Z1782" i="1" a="1"/>
  <c r="Z1782" i="1" s="1"/>
  <c r="Y2075" i="1"/>
  <c r="Z2075" i="1" a="1"/>
  <c r="Z2075" i="1" s="1"/>
  <c r="Y1539" i="1"/>
  <c r="Z1539" i="1" a="1"/>
  <c r="Z1539" i="1" s="1"/>
  <c r="Z265" i="1" a="1"/>
  <c r="Z265" i="1" s="1"/>
  <c r="Y265" i="1"/>
  <c r="Y492" i="1"/>
  <c r="Z492" i="1" a="1"/>
  <c r="Z492" i="1" s="1"/>
  <c r="Z449" i="1" a="1"/>
  <c r="Z449" i="1" s="1"/>
  <c r="Y449" i="1"/>
  <c r="Z89" i="1" a="1"/>
  <c r="Z89" i="1" s="1"/>
  <c r="Y89" i="1"/>
  <c r="Z178" i="1" a="1"/>
  <c r="Z178" i="1" s="1"/>
  <c r="Y178" i="1"/>
  <c r="Z724" i="1" a="1"/>
  <c r="Z724" i="1" s="1"/>
  <c r="Y724" i="1"/>
  <c r="Z807" i="1" a="1"/>
  <c r="Z807" i="1" s="1"/>
  <c r="Y807" i="1"/>
  <c r="Z631" i="1" a="1"/>
  <c r="Z631" i="1" s="1"/>
  <c r="Y631" i="1"/>
  <c r="Z405" i="1" a="1"/>
  <c r="Z405" i="1" s="1"/>
  <c r="Y405" i="1"/>
  <c r="Z815" i="1" a="1"/>
  <c r="Z815" i="1" s="1"/>
  <c r="Y815" i="1"/>
  <c r="Z262" i="1" a="1"/>
  <c r="Z262" i="1" s="1"/>
  <c r="Y262" i="1"/>
  <c r="Z172" i="1" a="1"/>
  <c r="Z172" i="1" s="1"/>
  <c r="Y172" i="1"/>
  <c r="Z168" i="1" a="1"/>
  <c r="Z168" i="1" s="1"/>
  <c r="Y168" i="1"/>
  <c r="Z659" i="1" a="1"/>
  <c r="Z659" i="1" s="1"/>
  <c r="Y659" i="1"/>
  <c r="Y660" i="1"/>
  <c r="Z660" i="1" a="1"/>
  <c r="Z660" i="1" s="1"/>
  <c r="Y473" i="1"/>
  <c r="Z473" i="1" a="1"/>
  <c r="Z473" i="1" s="1"/>
  <c r="Y1344" i="1"/>
  <c r="Z1344" i="1" a="1"/>
  <c r="Z1344" i="1" s="1"/>
  <c r="Z849" i="1" a="1"/>
  <c r="Z849" i="1" s="1"/>
  <c r="Y849" i="1"/>
  <c r="Y529" i="1"/>
  <c r="Z529" i="1" a="1"/>
  <c r="Z529" i="1" s="1"/>
  <c r="Z34" i="1" a="1"/>
  <c r="Z34" i="1" s="1"/>
  <c r="Y34" i="1"/>
  <c r="Z452" i="1" a="1"/>
  <c r="Z452" i="1" s="1"/>
  <c r="Y452" i="1"/>
  <c r="Z240" i="1" a="1"/>
  <c r="Z240" i="1" s="1"/>
  <c r="Y240" i="1"/>
  <c r="Z707" i="1" a="1"/>
  <c r="Z707" i="1" s="1"/>
  <c r="Y707" i="1"/>
  <c r="Y499" i="1"/>
  <c r="Z499" i="1" a="1"/>
  <c r="Z499" i="1" s="1"/>
  <c r="Z711" i="1" a="1"/>
  <c r="Z711" i="1" s="1"/>
  <c r="Y711" i="1"/>
  <c r="Y820" i="1"/>
  <c r="Z820" i="1" a="1"/>
  <c r="Z820" i="1" s="1"/>
  <c r="Y1386" i="1"/>
  <c r="Z1386" i="1" a="1"/>
  <c r="Z1386" i="1" s="1"/>
  <c r="Y1569" i="1"/>
  <c r="Z1569" i="1" a="1"/>
  <c r="Z1569" i="1" s="1"/>
  <c r="Z620" i="1" a="1"/>
  <c r="Z620" i="1" s="1"/>
  <c r="Y620" i="1"/>
  <c r="Z613" i="1" a="1"/>
  <c r="Z613" i="1" s="1"/>
  <c r="Y613" i="1"/>
  <c r="Z443" i="1" a="1"/>
  <c r="Z443" i="1" s="1"/>
  <c r="Y443" i="1"/>
  <c r="Z1373" i="1" a="1"/>
  <c r="Z1373" i="1" s="1"/>
  <c r="Y1373" i="1"/>
  <c r="Y1556" i="1"/>
  <c r="Z1556" i="1" a="1"/>
  <c r="Z1556" i="1" s="1"/>
  <c r="Z411" i="1" a="1"/>
  <c r="Z411" i="1" s="1"/>
  <c r="Y411" i="1"/>
  <c r="Y650" i="1"/>
  <c r="Z650" i="1" a="1"/>
  <c r="Z650" i="1" s="1"/>
  <c r="Z197" i="1" a="1"/>
  <c r="Z197" i="1" s="1"/>
  <c r="Y197" i="1"/>
  <c r="Z260" i="1" a="1"/>
  <c r="Z260" i="1" s="1"/>
  <c r="Y260" i="1"/>
  <c r="Z377" i="1" a="1"/>
  <c r="Z377" i="1" s="1"/>
  <c r="Y377" i="1"/>
  <c r="Z27" i="1" a="1"/>
  <c r="Z27" i="1" s="1"/>
  <c r="Y27" i="1"/>
  <c r="Z202" i="1" a="1"/>
  <c r="Z202" i="1" s="1"/>
  <c r="Y202" i="1"/>
  <c r="Z334" i="1" a="1"/>
  <c r="Z334" i="1" s="1"/>
  <c r="Y334" i="1"/>
  <c r="Z352" i="1" a="1"/>
  <c r="Z352" i="1" s="1"/>
  <c r="Y352" i="1"/>
  <c r="Y1598" i="1"/>
  <c r="Z1598" i="1" a="1"/>
  <c r="Z1598" i="1" s="1"/>
  <c r="Y571" i="1"/>
  <c r="Z571" i="1" a="1"/>
  <c r="Z571" i="1" s="1"/>
  <c r="Z180" i="1" a="1"/>
  <c r="Z180" i="1" s="1"/>
  <c r="Y180" i="1"/>
  <c r="Z751" i="1" a="1"/>
  <c r="Z751" i="1" s="1"/>
  <c r="Y751" i="1"/>
  <c r="Z338" i="1" a="1"/>
  <c r="Z338" i="1" s="1"/>
  <c r="Y338" i="1"/>
  <c r="Y1572" i="1"/>
  <c r="Z1572" i="1" a="1"/>
  <c r="Z1572" i="1" s="1"/>
  <c r="Z395" i="1" a="1"/>
  <c r="Z395" i="1" s="1"/>
  <c r="Y395" i="1"/>
  <c r="Z328" i="1" a="1"/>
  <c r="Z328" i="1" s="1"/>
  <c r="Y328" i="1"/>
  <c r="Y627" i="1"/>
  <c r="Z627" i="1" a="1"/>
  <c r="Z627" i="1" s="1"/>
  <c r="Z700" i="1" a="1"/>
  <c r="Z700" i="1" s="1"/>
  <c r="Y700" i="1"/>
  <c r="Z156" i="1" a="1"/>
  <c r="Z156" i="1" s="1"/>
  <c r="Y156" i="1"/>
  <c r="Z843" i="1" a="1"/>
  <c r="Z843" i="1" s="1"/>
  <c r="Y843" i="1"/>
  <c r="Z675" i="1" a="1"/>
  <c r="Z675" i="1" s="1"/>
  <c r="Y675" i="1"/>
  <c r="Z86" i="1" a="1"/>
  <c r="Z86" i="1" s="1"/>
  <c r="Y86" i="1"/>
  <c r="Z325" i="1" a="1"/>
  <c r="Z325" i="1" s="1"/>
  <c r="Y325" i="1"/>
  <c r="Z323" i="1" a="1"/>
  <c r="Z323" i="1" s="1"/>
  <c r="Y323" i="1"/>
  <c r="Z147" i="1" a="1"/>
  <c r="Z147" i="1" s="1"/>
  <c r="Y147" i="1"/>
  <c r="Z656" i="1" a="1"/>
  <c r="Z656" i="1" s="1"/>
  <c r="Y656" i="1"/>
  <c r="Z2136" i="1" a="1"/>
  <c r="Z2136" i="1" s="1"/>
  <c r="Y2136" i="1"/>
  <c r="Y2050" i="1"/>
  <c r="Z2050" i="1" a="1"/>
  <c r="Z2050" i="1" s="1"/>
  <c r="Y1882" i="1"/>
  <c r="Z1882" i="1" a="1"/>
  <c r="Z1882" i="1" s="1"/>
  <c r="Y2415" i="1"/>
  <c r="Z2415" i="1" a="1"/>
  <c r="Z2415" i="1" s="1"/>
  <c r="Y2374" i="1"/>
  <c r="Z2374" i="1" a="1"/>
  <c r="Z2374" i="1" s="1"/>
  <c r="Y2384" i="1"/>
  <c r="Z2384" i="1" a="1"/>
  <c r="Z2384" i="1" s="1"/>
  <c r="Y1933" i="1"/>
  <c r="Z1933" i="1" a="1"/>
  <c r="Z1933" i="1" s="1"/>
  <c r="Y1693" i="1"/>
  <c r="Z1693" i="1" a="1"/>
  <c r="Z1693" i="1" s="1"/>
  <c r="Y1659" i="1"/>
  <c r="Z1659" i="1" a="1"/>
  <c r="Z1659" i="1" s="1"/>
  <c r="Y2216" i="1"/>
  <c r="Z2216" i="1" a="1"/>
  <c r="Z2216" i="1" s="1"/>
  <c r="Y2235" i="1"/>
  <c r="Z2235" i="1" a="1"/>
  <c r="Z2235" i="1" s="1"/>
  <c r="Y2412" i="1"/>
  <c r="Z2412" i="1" a="1"/>
  <c r="Z2412" i="1" s="1"/>
  <c r="Z2337" i="1" a="1"/>
  <c r="Z2337" i="1" s="1"/>
  <c r="Y2337" i="1"/>
  <c r="Y2378" i="1"/>
  <c r="Z2378" i="1" a="1"/>
  <c r="Z2378" i="1" s="1"/>
  <c r="Z2055" i="1" a="1"/>
  <c r="Z2055" i="1" s="1"/>
  <c r="Y2055" i="1"/>
  <c r="Z1524" i="1" a="1"/>
  <c r="Z1524" i="1" s="1"/>
  <c r="Y1524" i="1"/>
  <c r="Y2179" i="1"/>
  <c r="Z2179" i="1" a="1"/>
  <c r="Z2179" i="1" s="1"/>
  <c r="Y2353" i="1"/>
  <c r="Z2353" i="1" a="1"/>
  <c r="Z2353" i="1" s="1"/>
  <c r="Y1537" i="1"/>
  <c r="Z1537" i="1" a="1"/>
  <c r="Z1537" i="1" s="1"/>
  <c r="Y1501" i="1"/>
  <c r="Z1501" i="1" a="1"/>
  <c r="Z1501" i="1" s="1"/>
  <c r="Y2222" i="1"/>
  <c r="Z2222" i="1" a="1"/>
  <c r="Z2222" i="1" s="1"/>
  <c r="Y1722" i="1"/>
  <c r="Z1722" i="1" a="1"/>
  <c r="Z1722" i="1" s="1"/>
  <c r="Y2000" i="1"/>
  <c r="Z2000" i="1" a="1"/>
  <c r="Z2000" i="1" s="1"/>
  <c r="Y2330" i="1"/>
  <c r="Z2330" i="1" a="1"/>
  <c r="Z2330" i="1" s="1"/>
  <c r="Y1712" i="1"/>
  <c r="Z1712" i="1" a="1"/>
  <c r="Z1712" i="1" s="1"/>
  <c r="Y1990" i="1"/>
  <c r="Z1990" i="1" a="1"/>
  <c r="Z1990" i="1" s="1"/>
  <c r="Z2319" i="1" a="1"/>
  <c r="Z2319" i="1" s="1"/>
  <c r="Y2319" i="1"/>
  <c r="Y1698" i="1"/>
  <c r="Z1698" i="1" a="1"/>
  <c r="Z1698" i="1" s="1"/>
  <c r="Y2370" i="1"/>
  <c r="Z2370" i="1" a="1"/>
  <c r="Z2370" i="1" s="1"/>
  <c r="Y1792" i="1"/>
  <c r="Z1792" i="1" a="1"/>
  <c r="Z1792" i="1" s="1"/>
  <c r="Y2064" i="1"/>
  <c r="Z2064" i="1" a="1"/>
  <c r="Z2064" i="1" s="1"/>
  <c r="Y1673" i="1"/>
  <c r="Z1673" i="1" a="1"/>
  <c r="Z1673" i="1" s="1"/>
  <c r="Y2247" i="1"/>
  <c r="Z2247" i="1" a="1"/>
  <c r="Z2247" i="1" s="1"/>
  <c r="Y2180" i="1"/>
  <c r="Z2180" i="1" a="1"/>
  <c r="Z2180" i="1" s="1"/>
  <c r="Y2157" i="1"/>
  <c r="Z2157" i="1" a="1"/>
  <c r="Z2157" i="1" s="1"/>
  <c r="Y1764" i="1"/>
  <c r="Z1764" i="1" a="1"/>
  <c r="Z1764" i="1" s="1"/>
  <c r="Y1616" i="1"/>
  <c r="Z1616" i="1" a="1"/>
  <c r="Z1616" i="1" s="1"/>
  <c r="Z2382" i="1" a="1"/>
  <c r="Z2382" i="1" s="1"/>
  <c r="Y2382" i="1"/>
  <c r="Y2206" i="1"/>
  <c r="Z2206" i="1" a="1"/>
  <c r="Z2206" i="1" s="1"/>
  <c r="Y1763" i="1"/>
  <c r="Z1763" i="1" a="1"/>
  <c r="Z1763" i="1" s="1"/>
  <c r="Y1866" i="1"/>
  <c r="Z1866" i="1" a="1"/>
  <c r="Z1866" i="1" s="1"/>
  <c r="Y1732" i="1"/>
  <c r="Z1732" i="1" a="1"/>
  <c r="Z1732" i="1" s="1"/>
  <c r="Y1522" i="1"/>
  <c r="Z1522" i="1" a="1"/>
  <c r="Z1522" i="1" s="1"/>
  <c r="Z1976" i="1" a="1"/>
  <c r="Z1976" i="1" s="1"/>
  <c r="Y1976" i="1"/>
  <c r="Y2419" i="1"/>
  <c r="Z2419" i="1" a="1"/>
  <c r="Z2419" i="1" s="1"/>
  <c r="Z1940" i="1" a="1"/>
  <c r="Z1940" i="1" s="1"/>
  <c r="Y1940" i="1"/>
  <c r="Y2123" i="1"/>
  <c r="Z2123" i="1" a="1"/>
  <c r="Z2123" i="1" s="1"/>
  <c r="Y1930" i="1"/>
  <c r="Z1930" i="1" a="1"/>
  <c r="Z1930" i="1" s="1"/>
  <c r="Y2248" i="1"/>
  <c r="Z2248" i="1" a="1"/>
  <c r="Z2248" i="1" s="1"/>
  <c r="Y1700" i="1"/>
  <c r="Z1700" i="1" a="1"/>
  <c r="Z1700" i="1" s="1"/>
  <c r="Y1605" i="1"/>
  <c r="Z1605" i="1" a="1"/>
  <c r="Z1605" i="1" s="1"/>
  <c r="Z1506" i="1" a="1"/>
  <c r="Z1506" i="1" s="1"/>
  <c r="Y1506" i="1"/>
  <c r="Z2221" i="1" a="1"/>
  <c r="Z2221" i="1" s="1"/>
  <c r="Y2221" i="1"/>
  <c r="Y2186" i="1"/>
  <c r="Z2186" i="1" a="1"/>
  <c r="Z2186" i="1" s="1"/>
  <c r="Y1811" i="1"/>
  <c r="Z1811" i="1" a="1"/>
  <c r="Z1811" i="1" s="1"/>
  <c r="Y1655" i="1"/>
  <c r="Z1655" i="1" a="1"/>
  <c r="Z1655" i="1" s="1"/>
  <c r="Z108" i="1" a="1"/>
  <c r="Z108" i="1" s="1"/>
  <c r="Y108" i="1"/>
  <c r="Z415" i="1" a="1"/>
  <c r="Z415" i="1" s="1"/>
  <c r="Y415" i="1"/>
  <c r="Z216" i="1" a="1"/>
  <c r="Z216" i="1" s="1"/>
  <c r="Y216" i="1"/>
  <c r="Y458" i="1"/>
  <c r="Z458" i="1" a="1"/>
  <c r="Z458" i="1" s="1"/>
  <c r="Z543" i="1" a="1"/>
  <c r="Z543" i="1" s="1"/>
  <c r="Y543" i="1"/>
  <c r="Z232" i="1" a="1"/>
  <c r="Z232" i="1" s="1"/>
  <c r="Y232" i="1"/>
  <c r="Y1664" i="1"/>
  <c r="Z1664" i="1" a="1"/>
  <c r="Z1664" i="1" s="1"/>
  <c r="Z762" i="1" a="1"/>
  <c r="Z762" i="1" s="1"/>
  <c r="Y762" i="1"/>
  <c r="Y296" i="1"/>
  <c r="Z296" i="1" a="1"/>
  <c r="Z296" i="1" s="1"/>
  <c r="Z750" i="1" a="1"/>
  <c r="Z750" i="1" s="1"/>
  <c r="Y750" i="1"/>
  <c r="Z11" i="1" a="1"/>
  <c r="Z11" i="1" s="1"/>
  <c r="Y11" i="1"/>
  <c r="Z1473" i="1" a="1"/>
  <c r="Z1473" i="1" s="1"/>
  <c r="Y1473" i="1"/>
  <c r="Z126" i="1" a="1"/>
  <c r="Z126" i="1" s="1"/>
  <c r="Y126" i="1"/>
  <c r="Z697" i="1" a="1"/>
  <c r="Z697" i="1" s="1"/>
  <c r="Y697" i="1"/>
  <c r="Z763" i="1" a="1"/>
  <c r="Z763" i="1" s="1"/>
  <c r="Y763" i="1"/>
  <c r="Y526" i="1"/>
  <c r="Z526" i="1" a="1"/>
  <c r="Z526" i="1" s="1"/>
  <c r="Y166" i="1"/>
  <c r="Z166" i="1" a="1"/>
  <c r="Z166" i="1" s="1"/>
  <c r="Y832" i="1"/>
  <c r="Z832" i="1" a="1"/>
  <c r="Z832" i="1" s="1"/>
  <c r="Y1679" i="1"/>
  <c r="Z1679" i="1" a="1"/>
  <c r="Z1679" i="1" s="1"/>
  <c r="Z186" i="1" a="1"/>
  <c r="Z186" i="1" s="1"/>
  <c r="Y186" i="1"/>
  <c r="Z493" i="1" a="1"/>
  <c r="Z493" i="1" s="1"/>
  <c r="Y493" i="1"/>
  <c r="Y317" i="1"/>
  <c r="Z317" i="1" a="1"/>
  <c r="Z317" i="1" s="1"/>
  <c r="Z699" i="1" a="1"/>
  <c r="Z699" i="1" s="1"/>
  <c r="Y699" i="1"/>
  <c r="Z404" i="1" a="1"/>
  <c r="Z404" i="1" s="1"/>
  <c r="Y404" i="1"/>
  <c r="Z456" i="1" a="1"/>
  <c r="Z456" i="1" s="1"/>
  <c r="Y456" i="1"/>
  <c r="Y1583" i="1"/>
  <c r="Z1583" i="1" a="1"/>
  <c r="Z1583" i="1" s="1"/>
  <c r="Z149" i="1" a="1"/>
  <c r="Z149" i="1" s="1"/>
  <c r="Y149" i="1"/>
  <c r="Z80" i="1" a="1"/>
  <c r="Z80" i="1" s="1"/>
  <c r="Y80" i="1"/>
  <c r="Z251" i="1" a="1"/>
  <c r="Z251" i="1" s="1"/>
  <c r="Y251" i="1"/>
  <c r="Y194" i="1"/>
  <c r="Z194" i="1" a="1"/>
  <c r="Z194" i="1" s="1"/>
  <c r="Z739" i="1" a="1"/>
  <c r="Z739" i="1" s="1"/>
  <c r="Y739" i="1"/>
  <c r="Z163" i="1" a="1"/>
  <c r="Z163" i="1" s="1"/>
  <c r="Y163" i="1"/>
  <c r="Y833" i="1"/>
  <c r="Z833" i="1" a="1"/>
  <c r="Z833" i="1" s="1"/>
  <c r="Z284" i="1" a="1"/>
  <c r="Z284" i="1" s="1"/>
  <c r="Y284" i="1"/>
  <c r="Z563" i="1" a="1"/>
  <c r="Z563" i="1" s="1"/>
  <c r="Y563" i="1"/>
  <c r="Y63" i="1"/>
  <c r="Z63" i="1" a="1"/>
  <c r="Z63" i="1" s="1"/>
  <c r="Z55" i="1" a="1"/>
  <c r="Z55" i="1" s="1"/>
  <c r="Y55" i="1"/>
  <c r="Z289" i="1" a="1"/>
  <c r="Z289" i="1" s="1"/>
  <c r="Y289" i="1"/>
  <c r="Z155" i="1" a="1"/>
  <c r="Z155" i="1" s="1"/>
  <c r="Y155" i="1"/>
  <c r="Z546" i="1" a="1"/>
  <c r="Z546" i="1" s="1"/>
  <c r="Y546" i="1"/>
  <c r="Y102" i="1"/>
  <c r="Z102" i="1" a="1"/>
  <c r="Z102" i="1" s="1"/>
  <c r="Z412" i="1" a="1"/>
  <c r="Z412" i="1" s="1"/>
  <c r="Y412" i="1"/>
  <c r="Y572" i="1"/>
  <c r="Z572" i="1" a="1"/>
  <c r="Z572" i="1" s="1"/>
  <c r="Z389" i="1" a="1"/>
  <c r="Z389" i="1" s="1"/>
  <c r="Y389" i="1"/>
  <c r="Z703" i="1" a="1"/>
  <c r="Z703" i="1" s="1"/>
  <c r="Y703" i="1"/>
  <c r="Y531" i="1"/>
  <c r="Z531" i="1" a="1"/>
  <c r="Z531" i="1" s="1"/>
  <c r="Z491" i="1" a="1"/>
  <c r="Z491" i="1" s="1"/>
  <c r="Y491" i="1"/>
  <c r="Z538" i="1" a="1"/>
  <c r="Z538" i="1" s="1"/>
  <c r="Y538" i="1"/>
  <c r="Z616" i="1" a="1"/>
  <c r="Z616" i="1" s="1"/>
  <c r="Y616" i="1"/>
  <c r="Y1729" i="1"/>
  <c r="Z1729" i="1" a="1"/>
  <c r="Z1729" i="1" s="1"/>
  <c r="Y413" i="1"/>
  <c r="Z413" i="1" a="1"/>
  <c r="Z413" i="1" s="1"/>
  <c r="Z67" i="1" a="1"/>
  <c r="Z67" i="1" s="1"/>
  <c r="Y67" i="1"/>
  <c r="Y495" i="1"/>
  <c r="Z495" i="1" a="1"/>
  <c r="Z495" i="1" s="1"/>
  <c r="Y759" i="1"/>
  <c r="Z759" i="1" a="1"/>
  <c r="Z759" i="1" s="1"/>
  <c r="Y242" i="1"/>
  <c r="Z242" i="1" a="1"/>
  <c r="Z242" i="1" s="1"/>
  <c r="Z220" i="1" a="1"/>
  <c r="Z220" i="1" s="1"/>
  <c r="Y220" i="1"/>
  <c r="Y68" i="1"/>
  <c r="Z68" i="1" a="1"/>
  <c r="Z68" i="1" s="1"/>
  <c r="Z592" i="1" a="1"/>
  <c r="Z592" i="1" s="1"/>
  <c r="Y592" i="1"/>
  <c r="U796" i="1"/>
  <c r="V796" i="1"/>
  <c r="Y2120" i="1"/>
  <c r="Z2120" i="1" a="1"/>
  <c r="Z2120" i="1" s="1"/>
  <c r="Z2059" i="1" a="1"/>
  <c r="Z2059" i="1" s="1"/>
  <c r="Y2059" i="1"/>
  <c r="Z2036" i="1" a="1"/>
  <c r="Z2036" i="1" s="1"/>
  <c r="Y2036" i="1"/>
  <c r="Y2376" i="1"/>
  <c r="Z2376" i="1" a="1"/>
  <c r="Z2376" i="1" s="1"/>
  <c r="Y2386" i="1"/>
  <c r="Z2386" i="1" a="1"/>
  <c r="Z2386" i="1" s="1"/>
  <c r="Y2420" i="1"/>
  <c r="Z2420" i="1" a="1"/>
  <c r="Z2420" i="1" s="1"/>
  <c r="Z2421" i="1" a="1"/>
  <c r="Z2421" i="1" s="1"/>
  <c r="Y2421" i="1"/>
  <c r="Y1740" i="1"/>
  <c r="Z1740" i="1" a="1"/>
  <c r="Z1740" i="1" s="1"/>
  <c r="Y2365" i="1"/>
  <c r="Z2365" i="1" a="1"/>
  <c r="Z2365" i="1" s="1"/>
  <c r="Y1986" i="1"/>
  <c r="Z1986" i="1" a="1"/>
  <c r="Z1986" i="1" s="1"/>
  <c r="Y1865" i="1"/>
  <c r="Z1865" i="1" a="1"/>
  <c r="Z1865" i="1" s="1"/>
  <c r="Y2410" i="1"/>
  <c r="Z2410" i="1" a="1"/>
  <c r="Z2410" i="1" s="1"/>
  <c r="Y2097" i="1"/>
  <c r="Z2097" i="1" a="1"/>
  <c r="Z2097" i="1" s="1"/>
  <c r="Y2139" i="1"/>
  <c r="Z2139" i="1" a="1"/>
  <c r="Z2139" i="1" s="1"/>
  <c r="Y1799" i="1"/>
  <c r="Z1799" i="1" a="1"/>
  <c r="Z1799" i="1" s="1"/>
  <c r="Y1589" i="1"/>
  <c r="Z1589" i="1" a="1"/>
  <c r="Z1589" i="1" s="1"/>
  <c r="Z1962" i="1" a="1"/>
  <c r="Z1962" i="1" s="1"/>
  <c r="Y1962" i="1"/>
  <c r="Y2086" i="1"/>
  <c r="Z2086" i="1" a="1"/>
  <c r="Z2086" i="1" s="1"/>
  <c r="Y2041" i="1"/>
  <c r="Z2041" i="1" a="1"/>
  <c r="Z2041" i="1" s="1"/>
  <c r="Y1929" i="1"/>
  <c r="Z1929" i="1" a="1"/>
  <c r="Z1929" i="1" s="1"/>
  <c r="Y1905" i="1"/>
  <c r="Z1905" i="1" a="1"/>
  <c r="Z1905" i="1" s="1"/>
  <c r="Z1439" i="1" a="1"/>
  <c r="Z1439" i="1" s="1"/>
  <c r="Y1439" i="1"/>
  <c r="Y1624" i="1"/>
  <c r="Z1624" i="1" a="1"/>
  <c r="Z1624" i="1" s="1"/>
  <c r="Y2025" i="1"/>
  <c r="Z2025" i="1" a="1"/>
  <c r="Z2025" i="1" s="1"/>
  <c r="Y1484" i="1"/>
  <c r="Z1484" i="1" a="1"/>
  <c r="Z1484" i="1" s="1"/>
  <c r="Z1511" i="1" a="1"/>
  <c r="Z1511" i="1" s="1"/>
  <c r="Y1511" i="1"/>
  <c r="Z2006" i="1" a="1"/>
  <c r="Z2006" i="1" s="1"/>
  <c r="Y2006" i="1"/>
  <c r="Z1471" i="1" a="1"/>
  <c r="Z1471" i="1" s="1"/>
  <c r="Y1471" i="1"/>
  <c r="Y1820" i="1"/>
  <c r="Z1820" i="1" a="1"/>
  <c r="Z1820" i="1" s="1"/>
  <c r="Y2302" i="1"/>
  <c r="Z2302" i="1" a="1"/>
  <c r="Z2302" i="1" s="1"/>
  <c r="Y1844" i="1"/>
  <c r="Z1844" i="1" a="1"/>
  <c r="Z1844" i="1" s="1"/>
  <c r="Z1441" i="1" a="1"/>
  <c r="Z1441" i="1" s="1"/>
  <c r="Y1441" i="1"/>
  <c r="Y2026" i="1"/>
  <c r="Z2026" i="1" a="1"/>
  <c r="Z2026" i="1" s="1"/>
  <c r="Z1944" i="1" a="1"/>
  <c r="Z1944" i="1" s="1"/>
  <c r="Y1944" i="1"/>
  <c r="Y2288" i="1"/>
  <c r="Z2288" i="1" a="1"/>
  <c r="Z2288" i="1" s="1"/>
  <c r="Y1921" i="1"/>
  <c r="Z1921" i="1" a="1"/>
  <c r="Z1921" i="1" s="1"/>
  <c r="Y2194" i="1"/>
  <c r="Z2194" i="1" a="1"/>
  <c r="Z2194" i="1" s="1"/>
  <c r="Y1647" i="1"/>
  <c r="Z1647" i="1" a="1"/>
  <c r="Z1647" i="1" s="1"/>
  <c r="Y1992" i="1"/>
  <c r="Z1992" i="1" a="1"/>
  <c r="Z1992" i="1" s="1"/>
  <c r="Y1979" i="1"/>
  <c r="Z1979" i="1" a="1"/>
  <c r="Z1979" i="1" s="1"/>
  <c r="Y2171" i="1"/>
  <c r="Z2171" i="1" a="1"/>
  <c r="Z2171" i="1" s="1"/>
  <c r="Y1762" i="1"/>
  <c r="Z1762" i="1" a="1"/>
  <c r="Z1762" i="1" s="1"/>
  <c r="Y2089" i="1"/>
  <c r="Z2089" i="1" a="1"/>
  <c r="Z2089" i="1" s="1"/>
  <c r="Y1705" i="1"/>
  <c r="Z1705" i="1" a="1"/>
  <c r="Z1705" i="1" s="1"/>
  <c r="Z1576" i="1" a="1"/>
  <c r="Z1576" i="1" s="1"/>
  <c r="Y1576" i="1"/>
  <c r="Z2037" i="1" a="1"/>
  <c r="Z2037" i="1" s="1"/>
  <c r="Y2037" i="1"/>
  <c r="Y1508" i="1"/>
  <c r="Z1508" i="1" a="1"/>
  <c r="Z1508" i="1" s="1"/>
  <c r="Y1843" i="1"/>
  <c r="Z1843" i="1" a="1"/>
  <c r="Z1843" i="1" s="1"/>
  <c r="Y1653" i="1"/>
  <c r="Z1653" i="1" a="1"/>
  <c r="Z1653" i="1" s="1"/>
  <c r="Y1696" i="1"/>
  <c r="Z1696" i="1" a="1"/>
  <c r="Z1696" i="1" s="1"/>
  <c r="Y2017" i="1"/>
  <c r="Z2017" i="1" a="1"/>
  <c r="Z2017" i="1" s="1"/>
  <c r="Y2004" i="1"/>
  <c r="Z2004" i="1" a="1"/>
  <c r="Z2004" i="1" s="1"/>
  <c r="Y1536" i="1"/>
  <c r="Z1536" i="1" a="1"/>
  <c r="Z1536" i="1" s="1"/>
  <c r="Y2085" i="1"/>
  <c r="Z2085" i="1" a="1"/>
  <c r="Z2085" i="1" s="1"/>
  <c r="Y1553" i="1"/>
  <c r="Z1553" i="1" a="1"/>
  <c r="Z1553" i="1" s="1"/>
  <c r="Y2111" i="1"/>
  <c r="Z2111" i="1" a="1"/>
  <c r="Z2111" i="1" s="1"/>
  <c r="Z1902" i="1" a="1"/>
  <c r="Z1902" i="1" s="1"/>
  <c r="Y1902" i="1"/>
  <c r="Y2133" i="1"/>
  <c r="Z2133" i="1" a="1"/>
  <c r="Z2133" i="1" s="1"/>
  <c r="Y765" i="1"/>
  <c r="Z765" i="1" a="1"/>
  <c r="Z765" i="1" s="1"/>
  <c r="Z629" i="1" a="1"/>
  <c r="Z629" i="1" s="1"/>
  <c r="Y629" i="1"/>
  <c r="Y38" i="1"/>
  <c r="Z38" i="1" a="1"/>
  <c r="Z38" i="1" s="1"/>
  <c r="Y698" i="1"/>
  <c r="Z698" i="1" a="1"/>
  <c r="Z698" i="1" s="1"/>
  <c r="Z811" i="1" a="1"/>
  <c r="Z811" i="1" s="1"/>
  <c r="Y811" i="1"/>
  <c r="Y626" i="1"/>
  <c r="Z626" i="1" a="1"/>
  <c r="Z626" i="1" s="1"/>
  <c r="Y1432" i="1"/>
  <c r="Z1432" i="1" a="1"/>
  <c r="Z1432" i="1" s="1"/>
  <c r="Z88" i="1" a="1"/>
  <c r="Z88" i="1" s="1"/>
  <c r="Y88" i="1"/>
  <c r="Y635" i="1"/>
  <c r="Z635" i="1" a="1"/>
  <c r="Z635" i="1" s="1"/>
  <c r="Z574" i="1" a="1"/>
  <c r="Z574" i="1" s="1"/>
  <c r="Y574" i="1"/>
  <c r="Z588" i="1" a="1"/>
  <c r="Z588" i="1" s="1"/>
  <c r="Y588" i="1"/>
  <c r="Y125" i="1"/>
  <c r="Z125" i="1" a="1"/>
  <c r="Z125" i="1" s="1"/>
  <c r="Y854" i="1"/>
  <c r="Z854" i="1" a="1"/>
  <c r="Z854" i="1" s="1"/>
  <c r="Z21" i="1" a="1"/>
  <c r="Z21" i="1" s="1"/>
  <c r="Y21" i="1"/>
  <c r="Y1703" i="1"/>
  <c r="Z1703" i="1" a="1"/>
  <c r="Z1703" i="1" s="1"/>
  <c r="Z368" i="1" a="1"/>
  <c r="Z368" i="1" s="1"/>
  <c r="Y368" i="1"/>
  <c r="Z278" i="1" a="1"/>
  <c r="Z278" i="1" s="1"/>
  <c r="Y278" i="1"/>
  <c r="Z582" i="1" a="1"/>
  <c r="Z582" i="1" s="1"/>
  <c r="Y582" i="1"/>
  <c r="Z598" i="1" a="1"/>
  <c r="Z598" i="1" s="1"/>
  <c r="Y598" i="1"/>
  <c r="Y1435" i="1"/>
  <c r="Z1435" i="1" a="1"/>
  <c r="Z1435" i="1" s="1"/>
  <c r="Y1623" i="1"/>
  <c r="Z1623" i="1" a="1"/>
  <c r="Z1623" i="1" s="1"/>
  <c r="Z219" i="1" a="1"/>
  <c r="Z219" i="1" s="1"/>
  <c r="Y219" i="1"/>
  <c r="Z324" i="1" a="1"/>
  <c r="Z324" i="1" s="1"/>
  <c r="Y324" i="1"/>
  <c r="Z137" i="1" a="1"/>
  <c r="Z137" i="1" s="1"/>
  <c r="Y137" i="1"/>
  <c r="Z775" i="1" a="1"/>
  <c r="Z775" i="1" s="1"/>
  <c r="Y775" i="1"/>
  <c r="Y130" i="1"/>
  <c r="Z130" i="1" a="1"/>
  <c r="Z130" i="1" s="1"/>
  <c r="Z58" i="1" a="1"/>
  <c r="Z58" i="1" s="1"/>
  <c r="Y58" i="1"/>
  <c r="Y667" i="1"/>
  <c r="Z667" i="1" a="1"/>
  <c r="Z667" i="1" s="1"/>
  <c r="Z540" i="1" a="1"/>
  <c r="Z540" i="1" s="1"/>
  <c r="Y540" i="1"/>
  <c r="Z239" i="1" a="1"/>
  <c r="Z239" i="1" s="1"/>
  <c r="Y239" i="1"/>
  <c r="Y1573" i="1"/>
  <c r="Z1573" i="1" a="1"/>
  <c r="Z1573" i="1" s="1"/>
  <c r="Z784" i="1" a="1"/>
  <c r="Z784" i="1" s="1"/>
  <c r="Y784" i="1"/>
  <c r="Z148" i="1" a="1"/>
  <c r="Z148" i="1" s="1"/>
  <c r="Y148" i="1"/>
  <c r="Y118" i="1"/>
  <c r="Z118" i="1" a="1"/>
  <c r="Z118" i="1" s="1"/>
  <c r="Y1560" i="1"/>
  <c r="Z1560" i="1" a="1"/>
  <c r="Z1560" i="1" s="1"/>
  <c r="Z403" i="1" a="1"/>
  <c r="Z403" i="1" s="1"/>
  <c r="Y403" i="1"/>
  <c r="Z134" i="1" a="1"/>
  <c r="Z134" i="1" s="1"/>
  <c r="Y134" i="1"/>
  <c r="Z564" i="1" a="1"/>
  <c r="Z564" i="1" s="1"/>
  <c r="Y564" i="1"/>
  <c r="Y1513" i="1"/>
  <c r="Z1513" i="1" a="1"/>
  <c r="Z1513" i="1" s="1"/>
  <c r="Z62" i="1" a="1"/>
  <c r="Z62" i="1" s="1"/>
  <c r="Y62" i="1"/>
  <c r="Z666" i="1" a="1"/>
  <c r="Z666" i="1" s="1"/>
  <c r="Y666" i="1"/>
  <c r="Y461" i="1"/>
  <c r="Z461" i="1" a="1"/>
  <c r="Z461" i="1" s="1"/>
  <c r="Z725" i="1" a="1"/>
  <c r="Z725" i="1" s="1"/>
  <c r="Y725" i="1"/>
  <c r="Z321" i="1" a="1"/>
  <c r="Z321" i="1" s="1"/>
  <c r="Y321" i="1"/>
  <c r="Z101" i="1" a="1"/>
  <c r="Z101" i="1" s="1"/>
  <c r="Y101" i="1"/>
  <c r="Y468" i="1"/>
  <c r="Z468" i="1" a="1"/>
  <c r="Z468" i="1" s="1"/>
  <c r="Y669" i="1"/>
  <c r="Z669" i="1" a="1"/>
  <c r="Z669" i="1" s="1"/>
  <c r="Y749" i="1"/>
  <c r="Z749" i="1" a="1"/>
  <c r="Z749" i="1" s="1"/>
  <c r="Z665" i="1" a="1"/>
  <c r="Z665" i="1" s="1"/>
  <c r="Y665" i="1"/>
  <c r="Y1669" i="1"/>
  <c r="Z1669" i="1" a="1"/>
  <c r="Z1669" i="1" s="1"/>
  <c r="Z822" i="1" a="1"/>
  <c r="Z822" i="1" s="1"/>
  <c r="Y822" i="1"/>
  <c r="Y57" i="1"/>
  <c r="Z57" i="1" a="1"/>
  <c r="Z57" i="1" s="1"/>
  <c r="Z35" i="1" a="1"/>
  <c r="Z35" i="1" s="1"/>
  <c r="Y35" i="1"/>
  <c r="Y303" i="1"/>
  <c r="Z303" i="1" a="1"/>
  <c r="Z303" i="1" s="1"/>
  <c r="Y141" i="1"/>
  <c r="Z141" i="1" a="1"/>
  <c r="Z141" i="1" s="1"/>
  <c r="Z426" i="1" a="1"/>
  <c r="Z426" i="1" s="1"/>
  <c r="Y426" i="1"/>
  <c r="Z208" i="1" a="1"/>
  <c r="Z208" i="1" s="1"/>
  <c r="Y208" i="1"/>
  <c r="Z48" i="1" a="1"/>
  <c r="Z48" i="1" s="1"/>
  <c r="Y48" i="1"/>
  <c r="Y839" i="1"/>
  <c r="Z839" i="1" a="1"/>
  <c r="Z839" i="1" s="1"/>
  <c r="Y813" i="1"/>
  <c r="Z813" i="1" a="1"/>
  <c r="Z813" i="1" s="1"/>
  <c r="Z153" i="1" a="1"/>
  <c r="Z153" i="1" s="1"/>
  <c r="Y153" i="1"/>
  <c r="Z798" i="1" a="1"/>
  <c r="Z798" i="1" s="1"/>
  <c r="Y798" i="1"/>
  <c r="Y2110" i="1"/>
  <c r="Z2110" i="1" a="1"/>
  <c r="Z2110" i="1" s="1"/>
  <c r="Y2058" i="1"/>
  <c r="Z2058" i="1" a="1"/>
  <c r="Z2058" i="1" s="1"/>
  <c r="Z2428" i="1" a="1"/>
  <c r="Z2428" i="1" s="1"/>
  <c r="Y2428" i="1"/>
  <c r="Y2388" i="1"/>
  <c r="Z2388" i="1" a="1"/>
  <c r="Z2388" i="1" s="1"/>
  <c r="Y2397" i="1"/>
  <c r="Z2397" i="1" a="1"/>
  <c r="Z2397" i="1" s="1"/>
  <c r="Y2275" i="1"/>
  <c r="Z2275" i="1" a="1"/>
  <c r="Z2275" i="1" s="1"/>
  <c r="Y1795" i="1"/>
  <c r="Z1795" i="1" a="1"/>
  <c r="Z1795" i="1" s="1"/>
  <c r="Y1770" i="1"/>
  <c r="Z1770" i="1" a="1"/>
  <c r="Z1770" i="1" s="1"/>
  <c r="Y2280" i="1"/>
  <c r="Z2280" i="1" a="1"/>
  <c r="Z2280" i="1" s="1"/>
  <c r="Y2266" i="1"/>
  <c r="Z2266" i="1" a="1"/>
  <c r="Z2266" i="1" s="1"/>
  <c r="Y2424" i="1"/>
  <c r="Z2424" i="1" a="1"/>
  <c r="Z2424" i="1" s="1"/>
  <c r="Y2396" i="1"/>
  <c r="Z2396" i="1" a="1"/>
  <c r="Z2396" i="1" s="1"/>
  <c r="Y2429" i="1"/>
  <c r="Z2429" i="1" a="1"/>
  <c r="Z2429" i="1" s="1"/>
  <c r="Y2148" i="1"/>
  <c r="Z2148" i="1" a="1"/>
  <c r="Z2148" i="1" s="1"/>
  <c r="Z2115" i="1" a="1"/>
  <c r="Z2115" i="1" s="1"/>
  <c r="Y2115" i="1"/>
  <c r="Y2346" i="1"/>
  <c r="Z2346" i="1" a="1"/>
  <c r="Z2346" i="1" s="1"/>
  <c r="Y1880" i="1"/>
  <c r="Z1880" i="1" a="1"/>
  <c r="Z1880" i="1" s="1"/>
  <c r="Y1785" i="1"/>
  <c r="Z1785" i="1" a="1"/>
  <c r="Z1785" i="1" s="1"/>
  <c r="Y1591" i="1"/>
  <c r="Z1591" i="1" a="1"/>
  <c r="Z1591" i="1" s="1"/>
  <c r="Y2342" i="1"/>
  <c r="Z2342" i="1" a="1"/>
  <c r="Z2342" i="1" s="1"/>
  <c r="Z1422" i="1" a="1"/>
  <c r="Z1422" i="1" s="1"/>
  <c r="Y1422" i="1"/>
  <c r="Y2109" i="1"/>
  <c r="Z2109" i="1" a="1"/>
  <c r="Z2109" i="1" s="1"/>
  <c r="Y1727" i="1"/>
  <c r="Z1727" i="1" a="1"/>
  <c r="Z1727" i="1" s="1"/>
  <c r="Y1548" i="1"/>
  <c r="Z1548" i="1" a="1"/>
  <c r="Z1548" i="1" s="1"/>
  <c r="Y2099" i="1"/>
  <c r="Z2099" i="1" a="1"/>
  <c r="Z2099" i="1" s="1"/>
  <c r="Y1704" i="1"/>
  <c r="Z1704" i="1" a="1"/>
  <c r="Z1704" i="1" s="1"/>
  <c r="Y1533" i="1"/>
  <c r="Z1533" i="1" a="1"/>
  <c r="Z1533" i="1" s="1"/>
  <c r="Y2276" i="1"/>
  <c r="Z2276" i="1" a="1"/>
  <c r="Z2276" i="1" s="1"/>
  <c r="Y2038" i="1"/>
  <c r="Z2038" i="1" a="1"/>
  <c r="Z2038" i="1" s="1"/>
  <c r="Y2223" i="1"/>
  <c r="Z2223" i="1" a="1"/>
  <c r="Z2223" i="1" s="1"/>
  <c r="Z1480" i="1" a="1"/>
  <c r="Z1480" i="1" s="1"/>
  <c r="Y1480" i="1"/>
  <c r="Y1789" i="1"/>
  <c r="Z1789" i="1" a="1"/>
  <c r="Z1789" i="1" s="1"/>
  <c r="Y1633" i="1"/>
  <c r="Z1633" i="1" a="1"/>
  <c r="Z1633" i="1" s="1"/>
  <c r="Y1493" i="1"/>
  <c r="Z1493" i="1" a="1"/>
  <c r="Z1493" i="1" s="1"/>
  <c r="Z1906" i="1" a="1"/>
  <c r="Z1906" i="1" s="1"/>
  <c r="Y1906" i="1"/>
  <c r="Y2303" i="1"/>
  <c r="Z2303" i="1" a="1"/>
  <c r="Z2303" i="1" s="1"/>
  <c r="Y1947" i="1"/>
  <c r="Z1947" i="1" a="1"/>
  <c r="Z1947" i="1" s="1"/>
  <c r="Z1404" i="1" a="1"/>
  <c r="Z1404" i="1" s="1"/>
  <c r="Y1404" i="1"/>
  <c r="Z2298" i="1" a="1"/>
  <c r="Z2298" i="1" s="1"/>
  <c r="Y2298" i="1"/>
  <c r="Y1687" i="1"/>
  <c r="Z1687" i="1" a="1"/>
  <c r="Z1687" i="1" s="1"/>
  <c r="Z1877" i="1" a="1"/>
  <c r="Z1877" i="1" s="1"/>
  <c r="Y1877" i="1"/>
  <c r="Y1744" i="1"/>
  <c r="Z1744" i="1" a="1"/>
  <c r="Z1744" i="1" s="1"/>
  <c r="Z2072" i="1" a="1"/>
  <c r="Z2072" i="1" s="1"/>
  <c r="Y2072" i="1"/>
  <c r="Y1592" i="1"/>
  <c r="Z1592" i="1" a="1"/>
  <c r="Z1592" i="1" s="1"/>
  <c r="Y1434" i="1"/>
  <c r="Z1434" i="1" a="1"/>
  <c r="Z1434" i="1" s="1"/>
  <c r="Y1838" i="1"/>
  <c r="Z1838" i="1" a="1"/>
  <c r="Z1838" i="1" s="1"/>
  <c r="Z2163" i="1" a="1"/>
  <c r="Z2163" i="1" s="1"/>
  <c r="Y2163" i="1"/>
  <c r="Y1594" i="1"/>
  <c r="Z1594" i="1" a="1"/>
  <c r="Z1594" i="1" s="1"/>
  <c r="Y1982" i="1"/>
  <c r="Z1982" i="1" a="1"/>
  <c r="Z1982" i="1" s="1"/>
  <c r="Y2259" i="1"/>
  <c r="Z2259" i="1" a="1"/>
  <c r="Z2259" i="1" s="1"/>
  <c r="Y1724" i="1"/>
  <c r="Z1724" i="1" a="1"/>
  <c r="Z1724" i="1" s="1"/>
  <c r="Y2252" i="1"/>
  <c r="Z2252" i="1" a="1"/>
  <c r="Z2252" i="1" s="1"/>
  <c r="Z1649" i="1" a="1"/>
  <c r="Z1649" i="1" s="1"/>
  <c r="Y1649" i="1"/>
  <c r="Y1699" i="1"/>
  <c r="Z1699" i="1" a="1"/>
  <c r="Z1699" i="1" s="1"/>
  <c r="Y1272" i="1"/>
  <c r="Z1272" i="1" a="1"/>
  <c r="Z1272" i="1" s="1"/>
  <c r="Y1730" i="1"/>
  <c r="Z1730" i="1" a="1"/>
  <c r="Z1730" i="1" s="1"/>
  <c r="Y1822" i="1"/>
  <c r="Z1822" i="1" a="1"/>
  <c r="Z1822" i="1" s="1"/>
  <c r="Z1681" i="1" a="1"/>
  <c r="Z1681" i="1" s="1"/>
  <c r="Y1681" i="1"/>
  <c r="Y2355" i="1"/>
  <c r="Z2355" i="1" a="1"/>
  <c r="Z2355" i="1" s="1"/>
  <c r="Y2375" i="1"/>
  <c r="Z2375" i="1" a="1"/>
  <c r="Z2375" i="1" s="1"/>
  <c r="Y1926" i="1"/>
  <c r="Z1926" i="1" a="1"/>
  <c r="Z1926" i="1" s="1"/>
  <c r="Z212" i="1" a="1"/>
  <c r="Z212" i="1" s="1"/>
  <c r="Y212" i="1"/>
  <c r="Z175" i="1" a="1"/>
  <c r="Z175" i="1" s="1"/>
  <c r="Y175" i="1"/>
  <c r="Z586" i="1" a="1"/>
  <c r="Z586" i="1" s="1"/>
  <c r="Y586" i="1"/>
  <c r="Z802" i="1" a="1"/>
  <c r="Z802" i="1" s="1"/>
  <c r="Y802" i="1"/>
  <c r="Z277" i="1" a="1"/>
  <c r="Z277" i="1" s="1"/>
  <c r="Y277" i="1"/>
  <c r="Z15" i="1" a="1"/>
  <c r="Z15" i="1" s="1"/>
  <c r="Y15" i="1"/>
  <c r="Z600" i="1" a="1"/>
  <c r="Z600" i="1" s="1"/>
  <c r="Y600" i="1"/>
  <c r="Z287" i="1" a="1"/>
  <c r="Z287" i="1" s="1"/>
  <c r="Y287" i="1"/>
  <c r="Z583" i="1" a="1"/>
  <c r="Z583" i="1" s="1"/>
  <c r="Y583" i="1"/>
  <c r="Z761" i="1" a="1"/>
  <c r="Z761" i="1" s="1"/>
  <c r="Y761" i="1"/>
  <c r="Z314" i="1" a="1"/>
  <c r="Z314" i="1" s="1"/>
  <c r="Y314" i="1"/>
  <c r="Y816" i="1"/>
  <c r="Z816" i="1" a="1"/>
  <c r="Z816" i="1" s="1"/>
  <c r="Y1461" i="1"/>
  <c r="Z1461" i="1" a="1"/>
  <c r="Z1461" i="1" s="1"/>
  <c r="Z693" i="1" a="1"/>
  <c r="Z693" i="1" s="1"/>
  <c r="Y693" i="1"/>
  <c r="Z727" i="1" a="1"/>
  <c r="Z727" i="1" s="1"/>
  <c r="Y727" i="1"/>
  <c r="Z622" i="1" a="1"/>
  <c r="Z622" i="1" s="1"/>
  <c r="Y622" i="1"/>
  <c r="Z689" i="1" a="1"/>
  <c r="Z689" i="1" s="1"/>
  <c r="Y689" i="1"/>
  <c r="Z183" i="1" a="1"/>
  <c r="Z183" i="1" s="1"/>
  <c r="Y183" i="1"/>
  <c r="Y730" i="1"/>
  <c r="Z730" i="1" a="1"/>
  <c r="Z730" i="1" s="1"/>
  <c r="Z632" i="1" a="1"/>
  <c r="Z632" i="1" s="1"/>
  <c r="Y632" i="1"/>
  <c r="Y1678" i="1"/>
  <c r="Z1678" i="1" a="1"/>
  <c r="Z1678" i="1" s="1"/>
  <c r="Z218" i="1" a="1"/>
  <c r="Z218" i="1" s="1"/>
  <c r="Y218" i="1"/>
  <c r="Z663" i="1" a="1"/>
  <c r="Z663" i="1" s="1"/>
  <c r="Y663" i="1"/>
  <c r="Z836" i="1" a="1"/>
  <c r="Z836" i="1" s="1"/>
  <c r="Y836" i="1"/>
  <c r="Z808" i="1" a="1"/>
  <c r="Z808" i="1" s="1"/>
  <c r="Y808" i="1"/>
  <c r="Z355" i="1" a="1"/>
  <c r="Z355" i="1" s="1"/>
  <c r="Y355" i="1"/>
  <c r="Z606" i="1" a="1"/>
  <c r="Z606" i="1" s="1"/>
  <c r="Y606" i="1"/>
  <c r="Z374" i="1" a="1"/>
  <c r="Z374" i="1" s="1"/>
  <c r="Y374" i="1"/>
  <c r="Y1406" i="1"/>
  <c r="Z1406" i="1" a="1"/>
  <c r="Z1406" i="1" s="1"/>
  <c r="Z450" i="1" a="1"/>
  <c r="Z450" i="1" s="1"/>
  <c r="Y450" i="1"/>
  <c r="Y589" i="1"/>
  <c r="Z589" i="1" a="1"/>
  <c r="Z589" i="1" s="1"/>
  <c r="Y823" i="1"/>
  <c r="Z823" i="1" a="1"/>
  <c r="Z823" i="1" s="1"/>
  <c r="Z432" i="1" a="1"/>
  <c r="Z432" i="1" s="1"/>
  <c r="Y432" i="1"/>
  <c r="Z173" i="1" a="1"/>
  <c r="Z173" i="1" s="1"/>
  <c r="Y173" i="1"/>
  <c r="Y851" i="1"/>
  <c r="Z851" i="1" a="1"/>
  <c r="Z851" i="1" s="1"/>
  <c r="Z419" i="1" a="1"/>
  <c r="Z419" i="1" s="1"/>
  <c r="Y419" i="1"/>
  <c r="Z676" i="1" a="1"/>
  <c r="Z676" i="1" s="1"/>
  <c r="Y676" i="1"/>
  <c r="Z489" i="1" a="1"/>
  <c r="Z489" i="1" s="1"/>
  <c r="Y489" i="1"/>
  <c r="Z731" i="1" a="1"/>
  <c r="Z731" i="1" s="1"/>
  <c r="Y731" i="1"/>
  <c r="Z814" i="1" a="1"/>
  <c r="Z814" i="1" s="1"/>
  <c r="Y814" i="1"/>
  <c r="Z394" i="1" a="1"/>
  <c r="Z394" i="1" s="1"/>
  <c r="Y394" i="1"/>
  <c r="Z37" i="1" a="1"/>
  <c r="Z37" i="1" s="1"/>
  <c r="Y37" i="1"/>
  <c r="Z397" i="1" a="1"/>
  <c r="Z397" i="1" s="1"/>
  <c r="Y397" i="1"/>
  <c r="Z619" i="1" a="1"/>
  <c r="Z619" i="1" s="1"/>
  <c r="Y619" i="1"/>
  <c r="Y205" i="1"/>
  <c r="Z205" i="1" a="1"/>
  <c r="Z205" i="1" s="1"/>
  <c r="Z530" i="1" a="1"/>
  <c r="Z530" i="1" s="1"/>
  <c r="Y530" i="1"/>
  <c r="Z347" i="1" a="1"/>
  <c r="Z347" i="1" s="1"/>
  <c r="Y347" i="1"/>
  <c r="Z93" i="1" a="1"/>
  <c r="Z93" i="1" s="1"/>
  <c r="Y93" i="1"/>
  <c r="Y36" i="1"/>
  <c r="Z36" i="1" a="1"/>
  <c r="Z36" i="1" s="1"/>
  <c r="Z777" i="1" a="1"/>
  <c r="Z777" i="1" s="1"/>
  <c r="Y777" i="1"/>
  <c r="Z316" i="1" a="1"/>
  <c r="Z316" i="1" s="1"/>
  <c r="Y316" i="1"/>
  <c r="Z672" i="1" a="1"/>
  <c r="Z672" i="1" s="1"/>
  <c r="Y672" i="1"/>
  <c r="Z81" i="1" a="1"/>
  <c r="Z81" i="1" s="1"/>
  <c r="Y81" i="1"/>
  <c r="Z222" i="1" a="1"/>
  <c r="Z222" i="1" s="1"/>
  <c r="Y222" i="1"/>
  <c r="Z474" i="1" a="1"/>
  <c r="Z474" i="1" s="1"/>
  <c r="Y474" i="1"/>
  <c r="AR3" i="1"/>
  <c r="AL41" i="1" l="1"/>
  <c r="AP41" i="1" s="1"/>
  <c r="AJ42" i="1"/>
  <c r="AL42" i="1" s="1"/>
  <c r="AL455" i="1"/>
  <c r="AP455" i="1" s="1"/>
  <c r="AJ456" i="1"/>
  <c r="AL413" i="1"/>
  <c r="AP413" i="1" s="1"/>
  <c r="AJ414" i="1"/>
  <c r="AL414" i="1" s="1"/>
  <c r="AL176" i="1"/>
  <c r="AP176" i="1" s="1"/>
  <c r="AJ177" i="1"/>
  <c r="AL177" i="1" s="1"/>
  <c r="AL368" i="1"/>
  <c r="AP368" i="1" s="1"/>
  <c r="AJ369" i="1"/>
  <c r="AL369" i="1" s="1"/>
  <c r="AJ357" i="1"/>
  <c r="AL357" i="1" s="1"/>
  <c r="AL356" i="1"/>
  <c r="AP356" i="1" s="1"/>
  <c r="AL106" i="1"/>
  <c r="AP106" i="1" s="1"/>
  <c r="AJ107" i="1"/>
  <c r="AL107" i="1" s="1"/>
  <c r="AP107" i="1" s="1"/>
  <c r="AL533" i="1"/>
  <c r="AP533" i="1" s="1"/>
  <c r="AJ534" i="1"/>
  <c r="AL534" i="1" s="1"/>
  <c r="AJ133" i="1"/>
  <c r="AL133" i="1" s="1"/>
  <c r="AL132" i="1"/>
  <c r="AP132" i="1" s="1"/>
  <c r="AL318" i="1"/>
  <c r="AP318" i="1" s="1"/>
  <c r="AJ319" i="1"/>
  <c r="AL319" i="1" s="1"/>
  <c r="AL565" i="1"/>
  <c r="AP565" i="1" s="1"/>
  <c r="AJ566" i="1"/>
  <c r="AL566" i="1" s="1"/>
  <c r="AL846" i="1"/>
  <c r="AP846" i="1" s="1"/>
  <c r="AJ847" i="1"/>
  <c r="AL847" i="1" s="1"/>
  <c r="AL520" i="1"/>
  <c r="AP520" i="1" s="1"/>
  <c r="AJ521" i="1"/>
  <c r="AL521" i="1" s="1"/>
  <c r="AP521" i="1" s="1"/>
  <c r="AL483" i="1"/>
  <c r="AP483" i="1" s="1"/>
  <c r="AJ484" i="1"/>
  <c r="AL424" i="1"/>
  <c r="AP424" i="1" s="1"/>
  <c r="AJ425" i="1"/>
  <c r="AL425" i="1" s="1"/>
  <c r="AP425" i="1" s="1"/>
  <c r="AL427" i="1"/>
  <c r="AP427" i="1" s="1"/>
  <c r="AJ428" i="1"/>
  <c r="AL428" i="1" s="1"/>
  <c r="AL471" i="1"/>
  <c r="AP471" i="1" s="1"/>
  <c r="AJ472" i="1"/>
  <c r="AL472" i="1" s="1"/>
  <c r="AL528" i="1"/>
  <c r="AP528" i="1" s="1"/>
  <c r="AJ529" i="1"/>
  <c r="AL529" i="1" s="1"/>
  <c r="AL478" i="1"/>
  <c r="AP478" i="1" s="1"/>
  <c r="AJ479" i="1"/>
  <c r="AL479" i="1" s="1"/>
  <c r="AL340" i="1"/>
  <c r="AP340" i="1" s="1"/>
  <c r="AJ341" i="1"/>
  <c r="AL341" i="1" s="1"/>
  <c r="AL722" i="1"/>
  <c r="AP722" i="1" s="1"/>
  <c r="AJ723" i="1"/>
  <c r="AL723" i="1" s="1"/>
  <c r="AP723" i="1" s="1"/>
  <c r="AL408" i="1"/>
  <c r="AP408" i="1" s="1"/>
  <c r="AJ409" i="1"/>
  <c r="AL409" i="1" s="1"/>
  <c r="AP409" i="1" s="1"/>
  <c r="AL559" i="1"/>
  <c r="AP559" i="1" s="1"/>
  <c r="AJ560" i="1"/>
  <c r="AL560" i="1" s="1"/>
  <c r="AL371" i="1"/>
  <c r="AP371" i="1" s="1"/>
  <c r="AJ372" i="1"/>
  <c r="AL372" i="1" s="1"/>
  <c r="BB21" i="1"/>
  <c r="BT20" i="1"/>
  <c r="U493" i="1"/>
  <c r="V493" i="1"/>
  <c r="U601" i="1"/>
  <c r="V601" i="1"/>
  <c r="V544" i="1"/>
  <c r="U544" i="1"/>
  <c r="BU3" i="1"/>
  <c r="AG2" i="8"/>
  <c r="BQ2" i="4" a="1"/>
  <c r="BQ2" i="4" s="1"/>
  <c r="AB3" i="1"/>
  <c r="AA3" i="1"/>
  <c r="BA3" i="1"/>
  <c r="BA4" i="1" s="1"/>
  <c r="BA5" i="1" s="1"/>
  <c r="BA6" i="1" s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A72" i="1" s="1"/>
  <c r="BA73" i="1" s="1"/>
  <c r="BA74" i="1" s="1"/>
  <c r="BA75" i="1" s="1"/>
  <c r="BA76" i="1" s="1"/>
  <c r="BA77" i="1" s="1"/>
  <c r="BA78" i="1" s="1"/>
  <c r="BA79" i="1" s="1"/>
  <c r="BA80" i="1" s="1"/>
  <c r="BA81" i="1" s="1"/>
  <c r="BA82" i="1" s="1"/>
  <c r="BA83" i="1" s="1"/>
  <c r="BA84" i="1" s="1"/>
  <c r="BA85" i="1" s="1"/>
  <c r="BA86" i="1" s="1"/>
  <c r="BA87" i="1" s="1"/>
  <c r="BA88" i="1" s="1"/>
  <c r="BA89" i="1" s="1"/>
  <c r="BA90" i="1" s="1"/>
  <c r="BA91" i="1" s="1"/>
  <c r="BA92" i="1" s="1"/>
  <c r="BA93" i="1" s="1"/>
  <c r="BA94" i="1" s="1"/>
  <c r="BA95" i="1" s="1"/>
  <c r="BA96" i="1" s="1"/>
  <c r="BA97" i="1" s="1"/>
  <c r="BA98" i="1" s="1"/>
  <c r="BA99" i="1" s="1"/>
  <c r="BA100" i="1" s="1"/>
  <c r="BA101" i="1" s="1"/>
  <c r="BA102" i="1" s="1"/>
  <c r="BA103" i="1" s="1"/>
  <c r="BA104" i="1" s="1"/>
  <c r="BA105" i="1" s="1"/>
  <c r="BA106" i="1" s="1"/>
  <c r="BA107" i="1" s="1"/>
  <c r="BA108" i="1" s="1"/>
  <c r="BA109" i="1" s="1"/>
  <c r="BA110" i="1" s="1"/>
  <c r="BA111" i="1" s="1"/>
  <c r="BA112" i="1" s="1"/>
  <c r="BA113" i="1" s="1"/>
  <c r="BA114" i="1" s="1"/>
  <c r="BA115" i="1" s="1"/>
  <c r="BA116" i="1" s="1"/>
  <c r="BA117" i="1" s="1"/>
  <c r="BA118" i="1" s="1"/>
  <c r="BA119" i="1" s="1"/>
  <c r="BA120" i="1" s="1"/>
  <c r="BA121" i="1" s="1"/>
  <c r="BA122" i="1" s="1"/>
  <c r="BA123" i="1" s="1"/>
  <c r="BA124" i="1" s="1"/>
  <c r="BA125" i="1" s="1"/>
  <c r="BA126" i="1" s="1"/>
  <c r="BA127" i="1" s="1"/>
  <c r="BA128" i="1" s="1"/>
  <c r="BA129" i="1" s="1"/>
  <c r="BA130" i="1" s="1"/>
  <c r="BA131" i="1" s="1"/>
  <c r="BA132" i="1" s="1"/>
  <c r="BA133" i="1" s="1"/>
  <c r="BA134" i="1" s="1"/>
  <c r="BA135" i="1" s="1"/>
  <c r="BA136" i="1" s="1"/>
  <c r="BA137" i="1" s="1"/>
  <c r="BA138" i="1" s="1"/>
  <c r="BA139" i="1" s="1"/>
  <c r="BA140" i="1" s="1"/>
  <c r="BA141" i="1" s="1"/>
  <c r="BA142" i="1" s="1"/>
  <c r="BA143" i="1" s="1"/>
  <c r="BA144" i="1" s="1"/>
  <c r="BA145" i="1" s="1"/>
  <c r="BA146" i="1" s="1"/>
  <c r="BA147" i="1" s="1"/>
  <c r="BA148" i="1" s="1"/>
  <c r="BA149" i="1" s="1"/>
  <c r="BA150" i="1" s="1"/>
  <c r="BA151" i="1" s="1"/>
  <c r="BA152" i="1" s="1"/>
  <c r="BA153" i="1" s="1"/>
  <c r="BA154" i="1" s="1"/>
  <c r="BA155" i="1" s="1"/>
  <c r="BA156" i="1" s="1"/>
  <c r="BA157" i="1" s="1"/>
  <c r="BA158" i="1" s="1"/>
  <c r="BA159" i="1" s="1"/>
  <c r="BA160" i="1" s="1"/>
  <c r="BA161" i="1" s="1"/>
  <c r="BA162" i="1" s="1"/>
  <c r="BA163" i="1" s="1"/>
  <c r="BA164" i="1" s="1"/>
  <c r="BA165" i="1" s="1"/>
  <c r="BA166" i="1" s="1"/>
  <c r="BA167" i="1" s="1"/>
  <c r="BA168" i="1" s="1"/>
  <c r="BA169" i="1" s="1"/>
  <c r="BA170" i="1" s="1"/>
  <c r="BA171" i="1" s="1"/>
  <c r="BA172" i="1" s="1"/>
  <c r="BA173" i="1" s="1"/>
  <c r="BA174" i="1" s="1"/>
  <c r="BA175" i="1" s="1"/>
  <c r="BA176" i="1" s="1"/>
  <c r="BA177" i="1" s="1"/>
  <c r="BA178" i="1" s="1"/>
  <c r="BA179" i="1" s="1"/>
  <c r="BA180" i="1" s="1"/>
  <c r="BA181" i="1" s="1"/>
  <c r="BA182" i="1" s="1"/>
  <c r="BA183" i="1" s="1"/>
  <c r="BA184" i="1" s="1"/>
  <c r="BA185" i="1" s="1"/>
  <c r="BA186" i="1" s="1"/>
  <c r="BA187" i="1" s="1"/>
  <c r="BA188" i="1" s="1"/>
  <c r="BA189" i="1" s="1"/>
  <c r="BA190" i="1" s="1"/>
  <c r="BA191" i="1" s="1"/>
  <c r="BA192" i="1" s="1"/>
  <c r="BA193" i="1" s="1"/>
  <c r="BA194" i="1" s="1"/>
  <c r="BA195" i="1" s="1"/>
  <c r="BA196" i="1" s="1"/>
  <c r="BA197" i="1" s="1"/>
  <c r="BA198" i="1" s="1"/>
  <c r="BA199" i="1" s="1"/>
  <c r="BA200" i="1" s="1"/>
  <c r="BA201" i="1" s="1"/>
  <c r="BA202" i="1" s="1"/>
  <c r="BA203" i="1" s="1"/>
  <c r="BA204" i="1" s="1"/>
  <c r="BA205" i="1" s="1"/>
  <c r="BA206" i="1" s="1"/>
  <c r="BA207" i="1" s="1"/>
  <c r="BA208" i="1" s="1"/>
  <c r="BA209" i="1" s="1"/>
  <c r="BA210" i="1" s="1"/>
  <c r="BA211" i="1" s="1"/>
  <c r="BA212" i="1" s="1"/>
  <c r="BA213" i="1" s="1"/>
  <c r="BA214" i="1" s="1"/>
  <c r="BA215" i="1" s="1"/>
  <c r="BA216" i="1" s="1"/>
  <c r="BA217" i="1" s="1"/>
  <c r="BA218" i="1" s="1"/>
  <c r="BA219" i="1" s="1"/>
  <c r="BA220" i="1" s="1"/>
  <c r="BA221" i="1" s="1"/>
  <c r="BA222" i="1" s="1"/>
  <c r="BA223" i="1" s="1"/>
  <c r="BA224" i="1" s="1"/>
  <c r="BA225" i="1" s="1"/>
  <c r="BA226" i="1" s="1"/>
  <c r="BA227" i="1" s="1"/>
  <c r="BA228" i="1" s="1"/>
  <c r="BA229" i="1" s="1"/>
  <c r="BA230" i="1" s="1"/>
  <c r="BA231" i="1" s="1"/>
  <c r="BA232" i="1" s="1"/>
  <c r="BA233" i="1" s="1"/>
  <c r="BA234" i="1" s="1"/>
  <c r="BA235" i="1" s="1"/>
  <c r="BA236" i="1" s="1"/>
  <c r="BA237" i="1" s="1"/>
  <c r="BA238" i="1" s="1"/>
  <c r="BA239" i="1" s="1"/>
  <c r="BA240" i="1" s="1"/>
  <c r="BA241" i="1" s="1"/>
  <c r="BA242" i="1" s="1"/>
  <c r="BA243" i="1" s="1"/>
  <c r="BA244" i="1" s="1"/>
  <c r="BA245" i="1" s="1"/>
  <c r="BA246" i="1" s="1"/>
  <c r="BA247" i="1" s="1"/>
  <c r="BA248" i="1" s="1"/>
  <c r="BA249" i="1" s="1"/>
  <c r="BA250" i="1" s="1"/>
  <c r="BA251" i="1" s="1"/>
  <c r="BA252" i="1" s="1"/>
  <c r="BA253" i="1" s="1"/>
  <c r="BA254" i="1" s="1"/>
  <c r="BA255" i="1" s="1"/>
  <c r="BA256" i="1" s="1"/>
  <c r="BA257" i="1" s="1"/>
  <c r="BA258" i="1" s="1"/>
  <c r="BA259" i="1" s="1"/>
  <c r="BA260" i="1" s="1"/>
  <c r="BA261" i="1" s="1"/>
  <c r="BA262" i="1" s="1"/>
  <c r="BA263" i="1" s="1"/>
  <c r="BA264" i="1" s="1"/>
  <c r="BA265" i="1" s="1"/>
  <c r="BA266" i="1" s="1"/>
  <c r="BA267" i="1" s="1"/>
  <c r="BA268" i="1" s="1"/>
  <c r="BA269" i="1" s="1"/>
  <c r="BA270" i="1" s="1"/>
  <c r="BA271" i="1" s="1"/>
  <c r="BA272" i="1" s="1"/>
  <c r="BA273" i="1" s="1"/>
  <c r="BA274" i="1" s="1"/>
  <c r="BA275" i="1" s="1"/>
  <c r="BA276" i="1" s="1"/>
  <c r="BA277" i="1" s="1"/>
  <c r="BA278" i="1" s="1"/>
  <c r="BA279" i="1" s="1"/>
  <c r="BA280" i="1" s="1"/>
  <c r="BA281" i="1" s="1"/>
  <c r="BA282" i="1" s="1"/>
  <c r="BA283" i="1" s="1"/>
  <c r="BA284" i="1" s="1"/>
  <c r="BA285" i="1" s="1"/>
  <c r="BA286" i="1" s="1"/>
  <c r="BA287" i="1" s="1"/>
  <c r="BA288" i="1" s="1"/>
  <c r="BA289" i="1" s="1"/>
  <c r="BA290" i="1" s="1"/>
  <c r="BA291" i="1" s="1"/>
  <c r="BA292" i="1" s="1"/>
  <c r="BA293" i="1" s="1"/>
  <c r="BA294" i="1" s="1"/>
  <c r="BA295" i="1" s="1"/>
  <c r="BA296" i="1" s="1"/>
  <c r="BA297" i="1" s="1"/>
  <c r="BA298" i="1" s="1"/>
  <c r="BA299" i="1" s="1"/>
  <c r="BA300" i="1" s="1"/>
  <c r="BA301" i="1" s="1"/>
  <c r="BA302" i="1" s="1"/>
  <c r="BA303" i="1" s="1"/>
  <c r="BA304" i="1" s="1"/>
  <c r="BA305" i="1" s="1"/>
  <c r="BA306" i="1" s="1"/>
  <c r="BA307" i="1" s="1"/>
  <c r="BA308" i="1" s="1"/>
  <c r="BA309" i="1" s="1"/>
  <c r="BA310" i="1" s="1"/>
  <c r="BA311" i="1" s="1"/>
  <c r="BA312" i="1" s="1"/>
  <c r="BA313" i="1" s="1"/>
  <c r="BA314" i="1" s="1"/>
  <c r="BA315" i="1" s="1"/>
  <c r="BA316" i="1" s="1"/>
  <c r="BA317" i="1" s="1"/>
  <c r="BA318" i="1" s="1"/>
  <c r="BA319" i="1" s="1"/>
  <c r="BA320" i="1" s="1"/>
  <c r="BA321" i="1" s="1"/>
  <c r="BA322" i="1" s="1"/>
  <c r="BA323" i="1" s="1"/>
  <c r="BA324" i="1" s="1"/>
  <c r="BA325" i="1" s="1"/>
  <c r="BA326" i="1" s="1"/>
  <c r="BA327" i="1" s="1"/>
  <c r="BA328" i="1" s="1"/>
  <c r="BA329" i="1" s="1"/>
  <c r="BA330" i="1" s="1"/>
  <c r="BA331" i="1" s="1"/>
  <c r="BA332" i="1" s="1"/>
  <c r="BA333" i="1" s="1"/>
  <c r="BA334" i="1" s="1"/>
  <c r="BA335" i="1" s="1"/>
  <c r="BA336" i="1" s="1"/>
  <c r="BA337" i="1" s="1"/>
  <c r="BA338" i="1" s="1"/>
  <c r="BA339" i="1" s="1"/>
  <c r="BA340" i="1" s="1"/>
  <c r="BA341" i="1" s="1"/>
  <c r="BA342" i="1" s="1"/>
  <c r="BA343" i="1" s="1"/>
  <c r="BA344" i="1" s="1"/>
  <c r="BA345" i="1" s="1"/>
  <c r="BA346" i="1" s="1"/>
  <c r="BA347" i="1" s="1"/>
  <c r="BA348" i="1" s="1"/>
  <c r="BA349" i="1" s="1"/>
  <c r="BA350" i="1" s="1"/>
  <c r="BA351" i="1" s="1"/>
  <c r="BA352" i="1" s="1"/>
  <c r="BA353" i="1" s="1"/>
  <c r="BA354" i="1" s="1"/>
  <c r="BA355" i="1" s="1"/>
  <c r="BA356" i="1" s="1"/>
  <c r="BA357" i="1" s="1"/>
  <c r="BA358" i="1" s="1"/>
  <c r="BA359" i="1" s="1"/>
  <c r="BA360" i="1" s="1"/>
  <c r="BA361" i="1" s="1"/>
  <c r="BA362" i="1" s="1"/>
  <c r="BA363" i="1" s="1"/>
  <c r="BA364" i="1" s="1"/>
  <c r="BA365" i="1" s="1"/>
  <c r="BA366" i="1" s="1"/>
  <c r="BA367" i="1" s="1"/>
  <c r="BA368" i="1" s="1"/>
  <c r="BA369" i="1" s="1"/>
  <c r="BA370" i="1" s="1"/>
  <c r="BA371" i="1" s="1"/>
  <c r="BA372" i="1" s="1"/>
  <c r="BA373" i="1" s="1"/>
  <c r="BA374" i="1" s="1"/>
  <c r="BA375" i="1" s="1"/>
  <c r="BA376" i="1" s="1"/>
  <c r="BA377" i="1" s="1"/>
  <c r="BA378" i="1" s="1"/>
  <c r="BA379" i="1" s="1"/>
  <c r="BA380" i="1" s="1"/>
  <c r="BA381" i="1" s="1"/>
  <c r="BA382" i="1" s="1"/>
  <c r="BA383" i="1" s="1"/>
  <c r="BA384" i="1" s="1"/>
  <c r="BA385" i="1" s="1"/>
  <c r="BA386" i="1" s="1"/>
  <c r="BA387" i="1" s="1"/>
  <c r="BA388" i="1" s="1"/>
  <c r="BA389" i="1" s="1"/>
  <c r="BA390" i="1" s="1"/>
  <c r="BA391" i="1" s="1"/>
  <c r="BA392" i="1" s="1"/>
  <c r="BA393" i="1" s="1"/>
  <c r="BA394" i="1" s="1"/>
  <c r="BA395" i="1" s="1"/>
  <c r="BA396" i="1" s="1"/>
  <c r="BA397" i="1" s="1"/>
  <c r="BA398" i="1" s="1"/>
  <c r="BA399" i="1" s="1"/>
  <c r="BA400" i="1" s="1"/>
  <c r="BA401" i="1" s="1"/>
  <c r="BA402" i="1" s="1"/>
  <c r="BA403" i="1" s="1"/>
  <c r="BA404" i="1" s="1"/>
  <c r="BA405" i="1" s="1"/>
  <c r="BA406" i="1" s="1"/>
  <c r="BA407" i="1" s="1"/>
  <c r="BA408" i="1" s="1"/>
  <c r="BA409" i="1" s="1"/>
  <c r="BA410" i="1" s="1"/>
  <c r="BA411" i="1" s="1"/>
  <c r="BA412" i="1" s="1"/>
  <c r="BA413" i="1" s="1"/>
  <c r="BA414" i="1" s="1"/>
  <c r="BA415" i="1" s="1"/>
  <c r="BA416" i="1" s="1"/>
  <c r="BA417" i="1" s="1"/>
  <c r="BA418" i="1" s="1"/>
  <c r="BA419" i="1" s="1"/>
  <c r="BA420" i="1" s="1"/>
  <c r="BA421" i="1" s="1"/>
  <c r="BA422" i="1" s="1"/>
  <c r="BA423" i="1" s="1"/>
  <c r="BA424" i="1" s="1"/>
  <c r="BA425" i="1" s="1"/>
  <c r="BA426" i="1" s="1"/>
  <c r="BA427" i="1" s="1"/>
  <c r="BA428" i="1" s="1"/>
  <c r="BA429" i="1" s="1"/>
  <c r="BA430" i="1" s="1"/>
  <c r="BA431" i="1" s="1"/>
  <c r="BA432" i="1" s="1"/>
  <c r="BA433" i="1" s="1"/>
  <c r="BA434" i="1" s="1"/>
  <c r="BA435" i="1" s="1"/>
  <c r="BA436" i="1" s="1"/>
  <c r="BA437" i="1" s="1"/>
  <c r="BA438" i="1" s="1"/>
  <c r="BA439" i="1" s="1"/>
  <c r="BA440" i="1" s="1"/>
  <c r="BA441" i="1" s="1"/>
  <c r="BA442" i="1" s="1"/>
  <c r="BA443" i="1" s="1"/>
  <c r="BA444" i="1" s="1"/>
  <c r="BA445" i="1" s="1"/>
  <c r="BA446" i="1" s="1"/>
  <c r="BA447" i="1" s="1"/>
  <c r="BA448" i="1" s="1"/>
  <c r="BA449" i="1" s="1"/>
  <c r="BA450" i="1" s="1"/>
  <c r="BA451" i="1" s="1"/>
  <c r="BA452" i="1" s="1"/>
  <c r="BA453" i="1" s="1"/>
  <c r="BA454" i="1" s="1"/>
  <c r="BA455" i="1" s="1"/>
  <c r="BA456" i="1" s="1"/>
  <c r="BA457" i="1" s="1"/>
  <c r="BA458" i="1" s="1"/>
  <c r="BA459" i="1" s="1"/>
  <c r="BA460" i="1" s="1"/>
  <c r="BA461" i="1" s="1"/>
  <c r="BA462" i="1" s="1"/>
  <c r="BA463" i="1" s="1"/>
  <c r="BA464" i="1" s="1"/>
  <c r="BA465" i="1" s="1"/>
  <c r="BA466" i="1" s="1"/>
  <c r="BA467" i="1" s="1"/>
  <c r="BA468" i="1" s="1"/>
  <c r="BA469" i="1" s="1"/>
  <c r="BA470" i="1" s="1"/>
  <c r="BA471" i="1" s="1"/>
  <c r="BA472" i="1" s="1"/>
  <c r="BA473" i="1" s="1"/>
  <c r="BA474" i="1" s="1"/>
  <c r="BA475" i="1" s="1"/>
  <c r="BA476" i="1" s="1"/>
  <c r="BA477" i="1" s="1"/>
  <c r="BA478" i="1" s="1"/>
  <c r="BA479" i="1" s="1"/>
  <c r="BA480" i="1" s="1"/>
  <c r="BA481" i="1" s="1"/>
  <c r="BA482" i="1" s="1"/>
  <c r="BA483" i="1" s="1"/>
  <c r="BA484" i="1" s="1"/>
  <c r="BA485" i="1" s="1"/>
  <c r="BA486" i="1" s="1"/>
  <c r="BA487" i="1" s="1"/>
  <c r="BA488" i="1" s="1"/>
  <c r="BA489" i="1" s="1"/>
  <c r="BA490" i="1" s="1"/>
  <c r="BA491" i="1" s="1"/>
  <c r="BA492" i="1" s="1"/>
  <c r="BA493" i="1" s="1"/>
  <c r="BA494" i="1" s="1"/>
  <c r="BA495" i="1" s="1"/>
  <c r="BA496" i="1" s="1"/>
  <c r="BA497" i="1" s="1"/>
  <c r="BA498" i="1" s="1"/>
  <c r="BA499" i="1" s="1"/>
  <c r="BA500" i="1" s="1"/>
  <c r="BA501" i="1" s="1"/>
  <c r="BA502" i="1" s="1"/>
  <c r="BA503" i="1" s="1"/>
  <c r="BA504" i="1" s="1"/>
  <c r="BA505" i="1" s="1"/>
  <c r="BA506" i="1" s="1"/>
  <c r="BA507" i="1" s="1"/>
  <c r="BA508" i="1" s="1"/>
  <c r="BA509" i="1" s="1"/>
  <c r="BA510" i="1" s="1"/>
  <c r="BA511" i="1" s="1"/>
  <c r="BA512" i="1" s="1"/>
  <c r="BA513" i="1" s="1"/>
  <c r="BA514" i="1" s="1"/>
  <c r="BA515" i="1" s="1"/>
  <c r="BA516" i="1" s="1"/>
  <c r="BA517" i="1" s="1"/>
  <c r="BA518" i="1" s="1"/>
  <c r="BA519" i="1" s="1"/>
  <c r="BA520" i="1" s="1"/>
  <c r="BA521" i="1" s="1"/>
  <c r="BA522" i="1" s="1"/>
  <c r="BA523" i="1" s="1"/>
  <c r="BA524" i="1" s="1"/>
  <c r="BA525" i="1" s="1"/>
  <c r="BA526" i="1" s="1"/>
  <c r="BA527" i="1" s="1"/>
  <c r="BA528" i="1" s="1"/>
  <c r="BA529" i="1" s="1"/>
  <c r="BA530" i="1" s="1"/>
  <c r="BA531" i="1" s="1"/>
  <c r="BA532" i="1" s="1"/>
  <c r="BA533" i="1" s="1"/>
  <c r="BA534" i="1" s="1"/>
  <c r="BA535" i="1" s="1"/>
  <c r="BA536" i="1" s="1"/>
  <c r="BA537" i="1" s="1"/>
  <c r="BA538" i="1" s="1"/>
  <c r="BA539" i="1" s="1"/>
  <c r="BA540" i="1" s="1"/>
  <c r="BA541" i="1" s="1"/>
  <c r="BA542" i="1" s="1"/>
  <c r="BA543" i="1" s="1"/>
  <c r="BA544" i="1" s="1"/>
  <c r="BA545" i="1" s="1"/>
  <c r="BA546" i="1" s="1"/>
  <c r="BA547" i="1" s="1"/>
  <c r="BA548" i="1" s="1"/>
  <c r="BA549" i="1" s="1"/>
  <c r="BA550" i="1" s="1"/>
  <c r="BA551" i="1" s="1"/>
  <c r="BA552" i="1" s="1"/>
  <c r="BA553" i="1" s="1"/>
  <c r="BA554" i="1" s="1"/>
  <c r="BA555" i="1" s="1"/>
  <c r="BA556" i="1" s="1"/>
  <c r="BA557" i="1" s="1"/>
  <c r="BA558" i="1" s="1"/>
  <c r="BA559" i="1" s="1"/>
  <c r="BA560" i="1" s="1"/>
  <c r="BA561" i="1" s="1"/>
  <c r="BA562" i="1" s="1"/>
  <c r="BA563" i="1" s="1"/>
  <c r="BA564" i="1" s="1"/>
  <c r="BA565" i="1" s="1"/>
  <c r="BA566" i="1" s="1"/>
  <c r="BA567" i="1" s="1"/>
  <c r="BA568" i="1" s="1"/>
  <c r="BA569" i="1" s="1"/>
  <c r="BA570" i="1" s="1"/>
  <c r="BA571" i="1" s="1"/>
  <c r="BA572" i="1" s="1"/>
  <c r="BA573" i="1" s="1"/>
  <c r="BA574" i="1" s="1"/>
  <c r="BA575" i="1" s="1"/>
  <c r="BA576" i="1" s="1"/>
  <c r="BA577" i="1" s="1"/>
  <c r="BA578" i="1" s="1"/>
  <c r="BA579" i="1" s="1"/>
  <c r="BA580" i="1" s="1"/>
  <c r="BA581" i="1" s="1"/>
  <c r="BA582" i="1" s="1"/>
  <c r="BA583" i="1" s="1"/>
  <c r="BA584" i="1" s="1"/>
  <c r="BA585" i="1" s="1"/>
  <c r="BA586" i="1" s="1"/>
  <c r="BA587" i="1" s="1"/>
  <c r="BA588" i="1" s="1"/>
  <c r="BA589" i="1" s="1"/>
  <c r="BA590" i="1" s="1"/>
  <c r="BA591" i="1" s="1"/>
  <c r="BA592" i="1" s="1"/>
  <c r="BA593" i="1" s="1"/>
  <c r="BA594" i="1" s="1"/>
  <c r="BA595" i="1" s="1"/>
  <c r="BA596" i="1" s="1"/>
  <c r="BA597" i="1" s="1"/>
  <c r="BA598" i="1" s="1"/>
  <c r="BA599" i="1" s="1"/>
  <c r="BA600" i="1" s="1"/>
  <c r="BA601" i="1" s="1"/>
  <c r="BA602" i="1" s="1"/>
  <c r="BA603" i="1" s="1"/>
  <c r="BA604" i="1" s="1"/>
  <c r="BA605" i="1" s="1"/>
  <c r="BA606" i="1" s="1"/>
  <c r="BA607" i="1" s="1"/>
  <c r="BA608" i="1" s="1"/>
  <c r="BA609" i="1" s="1"/>
  <c r="BA610" i="1" s="1"/>
  <c r="BA611" i="1" s="1"/>
  <c r="BA612" i="1" s="1"/>
  <c r="BA613" i="1" s="1"/>
  <c r="BA614" i="1" s="1"/>
  <c r="BA615" i="1" s="1"/>
  <c r="BA616" i="1" s="1"/>
  <c r="BA617" i="1" s="1"/>
  <c r="BA618" i="1" s="1"/>
  <c r="BA619" i="1" s="1"/>
  <c r="BA620" i="1" s="1"/>
  <c r="BA621" i="1" s="1"/>
  <c r="BA622" i="1" s="1"/>
  <c r="BA623" i="1" s="1"/>
  <c r="BA624" i="1" s="1"/>
  <c r="BA625" i="1" s="1"/>
  <c r="BA626" i="1" s="1"/>
  <c r="BA627" i="1" s="1"/>
  <c r="BA628" i="1" s="1"/>
  <c r="BA629" i="1" s="1"/>
  <c r="BA630" i="1" s="1"/>
  <c r="BA631" i="1" s="1"/>
  <c r="BA632" i="1" s="1"/>
  <c r="BA633" i="1" s="1"/>
  <c r="BA634" i="1" s="1"/>
  <c r="BA635" i="1" s="1"/>
  <c r="BA636" i="1" s="1"/>
  <c r="BA637" i="1" s="1"/>
  <c r="BA638" i="1" s="1"/>
  <c r="BA639" i="1" s="1"/>
  <c r="BA640" i="1" s="1"/>
  <c r="BA641" i="1" s="1"/>
  <c r="BA642" i="1" s="1"/>
  <c r="BA643" i="1" s="1"/>
  <c r="BA644" i="1" s="1"/>
  <c r="BA645" i="1" s="1"/>
  <c r="BA646" i="1" s="1"/>
  <c r="BA647" i="1" s="1"/>
  <c r="BA648" i="1" s="1"/>
  <c r="BA649" i="1" s="1"/>
  <c r="BA650" i="1" s="1"/>
  <c r="BA651" i="1" s="1"/>
  <c r="BA652" i="1" s="1"/>
  <c r="BA653" i="1" s="1"/>
  <c r="BA654" i="1" s="1"/>
  <c r="BA655" i="1" s="1"/>
  <c r="BA656" i="1" s="1"/>
  <c r="BA657" i="1" s="1"/>
  <c r="BA658" i="1" s="1"/>
  <c r="BA659" i="1" s="1"/>
  <c r="BA660" i="1" s="1"/>
  <c r="BA661" i="1" s="1"/>
  <c r="BA662" i="1" s="1"/>
  <c r="BA663" i="1" s="1"/>
  <c r="BA664" i="1" s="1"/>
  <c r="BA665" i="1" s="1"/>
  <c r="BA666" i="1" s="1"/>
  <c r="BA667" i="1" s="1"/>
  <c r="BA668" i="1" s="1"/>
  <c r="BA669" i="1" s="1"/>
  <c r="BA670" i="1" s="1"/>
  <c r="BA671" i="1" s="1"/>
  <c r="BA672" i="1" s="1"/>
  <c r="BA673" i="1" s="1"/>
  <c r="BA674" i="1" s="1"/>
  <c r="BA675" i="1" s="1"/>
  <c r="BA676" i="1" s="1"/>
  <c r="BA677" i="1" s="1"/>
  <c r="BA678" i="1" s="1"/>
  <c r="BA679" i="1" s="1"/>
  <c r="BA680" i="1" s="1"/>
  <c r="BA681" i="1" s="1"/>
  <c r="BA682" i="1" s="1"/>
  <c r="BA683" i="1" s="1"/>
  <c r="BA684" i="1" s="1"/>
  <c r="BA685" i="1" s="1"/>
  <c r="BA686" i="1" s="1"/>
  <c r="BA687" i="1" s="1"/>
  <c r="BA688" i="1" s="1"/>
  <c r="BA689" i="1" s="1"/>
  <c r="BA690" i="1" s="1"/>
  <c r="BA691" i="1" s="1"/>
  <c r="BA692" i="1" s="1"/>
  <c r="BA693" i="1" s="1"/>
  <c r="BA694" i="1" s="1"/>
  <c r="BA695" i="1" s="1"/>
  <c r="BA696" i="1" s="1"/>
  <c r="BA697" i="1" s="1"/>
  <c r="BA698" i="1" s="1"/>
  <c r="BA699" i="1" s="1"/>
  <c r="BA700" i="1" s="1"/>
  <c r="BA701" i="1" s="1"/>
  <c r="BA702" i="1" s="1"/>
  <c r="BA703" i="1" s="1"/>
  <c r="BA704" i="1" s="1"/>
  <c r="BA705" i="1" s="1"/>
  <c r="BA706" i="1" s="1"/>
  <c r="BA707" i="1" s="1"/>
  <c r="BA708" i="1" s="1"/>
  <c r="BA709" i="1" s="1"/>
  <c r="BA710" i="1" s="1"/>
  <c r="BA711" i="1" s="1"/>
  <c r="BA712" i="1" s="1"/>
  <c r="BA713" i="1" s="1"/>
  <c r="BA714" i="1" s="1"/>
  <c r="BA715" i="1" s="1"/>
  <c r="BA716" i="1" s="1"/>
  <c r="BA717" i="1" s="1"/>
  <c r="BA718" i="1" s="1"/>
  <c r="BA719" i="1" s="1"/>
  <c r="BA720" i="1" s="1"/>
  <c r="BA721" i="1" s="1"/>
  <c r="BA722" i="1" s="1"/>
  <c r="BA723" i="1" s="1"/>
  <c r="BA724" i="1" s="1"/>
  <c r="BA725" i="1" s="1"/>
  <c r="BA726" i="1" s="1"/>
  <c r="BA727" i="1" s="1"/>
  <c r="BA728" i="1" s="1"/>
  <c r="BA729" i="1" s="1"/>
  <c r="BA730" i="1" s="1"/>
  <c r="BA731" i="1" s="1"/>
  <c r="BA732" i="1" s="1"/>
  <c r="BA733" i="1" s="1"/>
  <c r="BA734" i="1" s="1"/>
  <c r="BA735" i="1" s="1"/>
  <c r="BA736" i="1" s="1"/>
  <c r="BA737" i="1" s="1"/>
  <c r="BA738" i="1" s="1"/>
  <c r="BA739" i="1" s="1"/>
  <c r="BA740" i="1" s="1"/>
  <c r="BA741" i="1" s="1"/>
  <c r="BA742" i="1" s="1"/>
  <c r="BA743" i="1" s="1"/>
  <c r="BA744" i="1" s="1"/>
  <c r="BA745" i="1" s="1"/>
  <c r="BA746" i="1" s="1"/>
  <c r="BA747" i="1" s="1"/>
  <c r="BA748" i="1" s="1"/>
  <c r="BA749" i="1" s="1"/>
  <c r="BA750" i="1" s="1"/>
  <c r="BA751" i="1" s="1"/>
  <c r="BA752" i="1" s="1"/>
  <c r="BA753" i="1" s="1"/>
  <c r="BA754" i="1" s="1"/>
  <c r="BA755" i="1" s="1"/>
  <c r="BA756" i="1" s="1"/>
  <c r="BA757" i="1" s="1"/>
  <c r="BA758" i="1" s="1"/>
  <c r="BA759" i="1" s="1"/>
  <c r="BA760" i="1" s="1"/>
  <c r="BA761" i="1" s="1"/>
  <c r="BA762" i="1" s="1"/>
  <c r="BA763" i="1" s="1"/>
  <c r="BA764" i="1" s="1"/>
  <c r="BA765" i="1" s="1"/>
  <c r="BA766" i="1" s="1"/>
  <c r="BA767" i="1" s="1"/>
  <c r="BA768" i="1" s="1"/>
  <c r="BA769" i="1" s="1"/>
  <c r="BA770" i="1" s="1"/>
  <c r="BA771" i="1" s="1"/>
  <c r="BA772" i="1" s="1"/>
  <c r="BA773" i="1" s="1"/>
  <c r="BA774" i="1" s="1"/>
  <c r="BA775" i="1" s="1"/>
  <c r="BA776" i="1" s="1"/>
  <c r="BA777" i="1" s="1"/>
  <c r="BA778" i="1" s="1"/>
  <c r="BA779" i="1" s="1"/>
  <c r="BA780" i="1" s="1"/>
  <c r="BA781" i="1" s="1"/>
  <c r="BA782" i="1" s="1"/>
  <c r="BA783" i="1" s="1"/>
  <c r="BA784" i="1" s="1"/>
  <c r="BA785" i="1" s="1"/>
  <c r="BA786" i="1" s="1"/>
  <c r="BA787" i="1" s="1"/>
  <c r="BA788" i="1" s="1"/>
  <c r="BA789" i="1" s="1"/>
  <c r="BA790" i="1" s="1"/>
  <c r="BA791" i="1" s="1"/>
  <c r="BA792" i="1" s="1"/>
  <c r="BA793" i="1" s="1"/>
  <c r="BA794" i="1" s="1"/>
  <c r="BA795" i="1" s="1"/>
  <c r="BA796" i="1" s="1"/>
  <c r="BA797" i="1" s="1"/>
  <c r="BA798" i="1" s="1"/>
  <c r="BA799" i="1" s="1"/>
  <c r="BA800" i="1" s="1"/>
  <c r="BA801" i="1" s="1"/>
  <c r="BA802" i="1" s="1"/>
  <c r="BA803" i="1" s="1"/>
  <c r="BA804" i="1" s="1"/>
  <c r="BA805" i="1" s="1"/>
  <c r="BA806" i="1" s="1"/>
  <c r="BA807" i="1" s="1"/>
  <c r="BA808" i="1" s="1"/>
  <c r="BA809" i="1" s="1"/>
  <c r="BA810" i="1" s="1"/>
  <c r="BA811" i="1" s="1"/>
  <c r="BA812" i="1" s="1"/>
  <c r="BA813" i="1" s="1"/>
  <c r="BA814" i="1" s="1"/>
  <c r="BA815" i="1" s="1"/>
  <c r="BA816" i="1" s="1"/>
  <c r="BA817" i="1" s="1"/>
  <c r="BA818" i="1" s="1"/>
  <c r="BA819" i="1" s="1"/>
  <c r="BA820" i="1" s="1"/>
  <c r="BA821" i="1" s="1"/>
  <c r="BA822" i="1" s="1"/>
  <c r="BA823" i="1" s="1"/>
  <c r="BA824" i="1" s="1"/>
  <c r="BA825" i="1" s="1"/>
  <c r="BA826" i="1" s="1"/>
  <c r="BA827" i="1" s="1"/>
  <c r="BA828" i="1" s="1"/>
  <c r="BA829" i="1" s="1"/>
  <c r="BA830" i="1" s="1"/>
  <c r="BA831" i="1" s="1"/>
  <c r="BA832" i="1" s="1"/>
  <c r="BA833" i="1" s="1"/>
  <c r="BA834" i="1" s="1"/>
  <c r="BA835" i="1" s="1"/>
  <c r="BA836" i="1" s="1"/>
  <c r="BA837" i="1" s="1"/>
  <c r="BA838" i="1" s="1"/>
  <c r="BA839" i="1" s="1"/>
  <c r="BA840" i="1" s="1"/>
  <c r="BA841" i="1" s="1"/>
  <c r="BA842" i="1" s="1"/>
  <c r="BA843" i="1" s="1"/>
  <c r="BA844" i="1" s="1"/>
  <c r="BA845" i="1" s="1"/>
  <c r="BA846" i="1" s="1"/>
  <c r="BA847" i="1" s="1"/>
  <c r="BA848" i="1" s="1"/>
  <c r="BA849" i="1" s="1"/>
  <c r="BA850" i="1" s="1"/>
  <c r="BA851" i="1" s="1"/>
  <c r="BA852" i="1" s="1"/>
  <c r="BA853" i="1" s="1"/>
  <c r="BA854" i="1" s="1"/>
  <c r="BA855" i="1" s="1"/>
  <c r="BA856" i="1" s="1"/>
  <c r="BA857" i="1" s="1"/>
  <c r="BA858" i="1" s="1"/>
  <c r="BA859" i="1" s="1"/>
  <c r="BA860" i="1" s="1"/>
  <c r="BA861" i="1" s="1"/>
  <c r="BA862" i="1" s="1"/>
  <c r="BA863" i="1" s="1"/>
  <c r="BA864" i="1" s="1"/>
  <c r="BA865" i="1" s="1"/>
  <c r="BA866" i="1" s="1"/>
  <c r="BA867" i="1" s="1"/>
  <c r="BA868" i="1" s="1"/>
  <c r="BA869" i="1" s="1"/>
  <c r="BA870" i="1" s="1"/>
  <c r="BA871" i="1" s="1"/>
  <c r="BA872" i="1" s="1"/>
  <c r="BA873" i="1" s="1"/>
  <c r="BA874" i="1" s="1"/>
  <c r="BA875" i="1" s="1"/>
  <c r="BA876" i="1" s="1"/>
  <c r="BA877" i="1" s="1"/>
  <c r="BA878" i="1" s="1"/>
  <c r="BA879" i="1" s="1"/>
  <c r="BA880" i="1" s="1"/>
  <c r="BA881" i="1" s="1"/>
  <c r="BA882" i="1" s="1"/>
  <c r="BA883" i="1" s="1"/>
  <c r="BA884" i="1" s="1"/>
  <c r="BA885" i="1" s="1"/>
  <c r="BA886" i="1" s="1"/>
  <c r="BA887" i="1" s="1"/>
  <c r="BA888" i="1" s="1"/>
  <c r="BA889" i="1" s="1"/>
  <c r="BA890" i="1" s="1"/>
  <c r="BA891" i="1" s="1"/>
  <c r="BA892" i="1" s="1"/>
  <c r="BA893" i="1" s="1"/>
  <c r="BA894" i="1" s="1"/>
  <c r="BA895" i="1" s="1"/>
  <c r="BA896" i="1" s="1"/>
  <c r="BA897" i="1" s="1"/>
  <c r="BA898" i="1" s="1"/>
  <c r="BA899" i="1" s="1"/>
  <c r="BA900" i="1" s="1"/>
  <c r="BA901" i="1" s="1"/>
  <c r="BA902" i="1" s="1"/>
  <c r="BA903" i="1" s="1"/>
  <c r="BA904" i="1" s="1"/>
  <c r="BA905" i="1" s="1"/>
  <c r="BA906" i="1" s="1"/>
  <c r="BA907" i="1" s="1"/>
  <c r="BA908" i="1" s="1"/>
  <c r="BA909" i="1" s="1"/>
  <c r="BA910" i="1" s="1"/>
  <c r="BA911" i="1" s="1"/>
  <c r="BA912" i="1" s="1"/>
  <c r="BA913" i="1" s="1"/>
  <c r="BA914" i="1" s="1"/>
  <c r="BA915" i="1" s="1"/>
  <c r="BA916" i="1" s="1"/>
  <c r="BA917" i="1" s="1"/>
  <c r="BA918" i="1" s="1"/>
  <c r="BA919" i="1" s="1"/>
  <c r="BA920" i="1" s="1"/>
  <c r="BA921" i="1" s="1"/>
  <c r="BA922" i="1" s="1"/>
  <c r="BA923" i="1" s="1"/>
  <c r="BA924" i="1" s="1"/>
  <c r="BA925" i="1" s="1"/>
  <c r="BA926" i="1" s="1"/>
  <c r="BA927" i="1" s="1"/>
  <c r="BA928" i="1" s="1"/>
  <c r="BA929" i="1" s="1"/>
  <c r="BA930" i="1" s="1"/>
  <c r="BA931" i="1" s="1"/>
  <c r="BA932" i="1" s="1"/>
  <c r="BA933" i="1" s="1"/>
  <c r="BA934" i="1" s="1"/>
  <c r="BA935" i="1" s="1"/>
  <c r="BA936" i="1" s="1"/>
  <c r="BA937" i="1" s="1"/>
  <c r="BA938" i="1" s="1"/>
  <c r="BA939" i="1" s="1"/>
  <c r="BA940" i="1" s="1"/>
  <c r="BA941" i="1" s="1"/>
  <c r="BA942" i="1" s="1"/>
  <c r="BA943" i="1" s="1"/>
  <c r="BA944" i="1" s="1"/>
  <c r="BA945" i="1" s="1"/>
  <c r="BA946" i="1" s="1"/>
  <c r="BA947" i="1" s="1"/>
  <c r="BA948" i="1" s="1"/>
  <c r="BA949" i="1" s="1"/>
  <c r="BA950" i="1" s="1"/>
  <c r="BA951" i="1" s="1"/>
  <c r="BA952" i="1" s="1"/>
  <c r="BA953" i="1" s="1"/>
  <c r="BA954" i="1" s="1"/>
  <c r="BA955" i="1" s="1"/>
  <c r="BA956" i="1" s="1"/>
  <c r="BA957" i="1" s="1"/>
  <c r="BA958" i="1" s="1"/>
  <c r="BA959" i="1" s="1"/>
  <c r="BA960" i="1" s="1"/>
  <c r="BA961" i="1" s="1"/>
  <c r="BA962" i="1" s="1"/>
  <c r="BA963" i="1" s="1"/>
  <c r="BA964" i="1" s="1"/>
  <c r="BA965" i="1" s="1"/>
  <c r="BA966" i="1" s="1"/>
  <c r="BA967" i="1" s="1"/>
  <c r="BA968" i="1" s="1"/>
  <c r="BA969" i="1" s="1"/>
  <c r="BA970" i="1" s="1"/>
  <c r="BA971" i="1" s="1"/>
  <c r="BA972" i="1" s="1"/>
  <c r="BA973" i="1" s="1"/>
  <c r="BA974" i="1" s="1"/>
  <c r="BA975" i="1" s="1"/>
  <c r="BA976" i="1" s="1"/>
  <c r="BA977" i="1" s="1"/>
  <c r="BA978" i="1" s="1"/>
  <c r="BA979" i="1" s="1"/>
  <c r="BA980" i="1" s="1"/>
  <c r="BA981" i="1" s="1"/>
  <c r="BA982" i="1" s="1"/>
  <c r="BA983" i="1" s="1"/>
  <c r="BA984" i="1" s="1"/>
  <c r="BA985" i="1" s="1"/>
  <c r="BA986" i="1" s="1"/>
  <c r="BA987" i="1" s="1"/>
  <c r="BA988" i="1" s="1"/>
  <c r="BA989" i="1" s="1"/>
  <c r="BA990" i="1" s="1"/>
  <c r="BA991" i="1" s="1"/>
  <c r="BA992" i="1" s="1"/>
  <c r="BA993" i="1" s="1"/>
  <c r="BA994" i="1" s="1"/>
  <c r="BA995" i="1" s="1"/>
  <c r="BA996" i="1" s="1"/>
  <c r="BA997" i="1" s="1"/>
  <c r="BA998" i="1" s="1"/>
  <c r="BA999" i="1" s="1"/>
  <c r="BA1000" i="1" s="1"/>
  <c r="BA1001" i="1" s="1"/>
  <c r="BA1002" i="1" s="1"/>
  <c r="BA1003" i="1" s="1"/>
  <c r="BA1004" i="1" s="1"/>
  <c r="BA1005" i="1" s="1"/>
  <c r="BA1006" i="1" s="1"/>
  <c r="BA1007" i="1" s="1"/>
  <c r="BA1008" i="1" s="1"/>
  <c r="BA1009" i="1" s="1"/>
  <c r="BA1010" i="1" s="1"/>
  <c r="BA1011" i="1" s="1"/>
  <c r="BA1012" i="1" s="1"/>
  <c r="BA1013" i="1" s="1"/>
  <c r="BA1014" i="1" s="1"/>
  <c r="BA1015" i="1" s="1"/>
  <c r="BA1016" i="1" s="1"/>
  <c r="BA1017" i="1" s="1"/>
  <c r="BA1018" i="1" s="1"/>
  <c r="BA1019" i="1" s="1"/>
  <c r="BA1020" i="1" s="1"/>
  <c r="BA1021" i="1" s="1"/>
  <c r="BA1022" i="1" s="1"/>
  <c r="BA1023" i="1" s="1"/>
  <c r="BA1024" i="1" s="1"/>
  <c r="BA1025" i="1" s="1"/>
  <c r="BA1026" i="1" s="1"/>
  <c r="BA1027" i="1" s="1"/>
  <c r="BA1028" i="1" s="1"/>
  <c r="BA1029" i="1" s="1"/>
  <c r="BA1030" i="1" s="1"/>
  <c r="BA1031" i="1" s="1"/>
  <c r="BA1032" i="1" s="1"/>
  <c r="BA1033" i="1" s="1"/>
  <c r="BA1034" i="1" s="1"/>
  <c r="BA1035" i="1" s="1"/>
  <c r="BA1036" i="1" s="1"/>
  <c r="BA1037" i="1" s="1"/>
  <c r="BA1038" i="1" s="1"/>
  <c r="BA1039" i="1" s="1"/>
  <c r="BA1040" i="1" s="1"/>
  <c r="BA1041" i="1" s="1"/>
  <c r="BA1042" i="1" s="1"/>
  <c r="BA1043" i="1" s="1"/>
  <c r="BA1044" i="1" s="1"/>
  <c r="BA1045" i="1" s="1"/>
  <c r="BA1046" i="1" s="1"/>
  <c r="BA1047" i="1" s="1"/>
  <c r="BA1048" i="1" s="1"/>
  <c r="BA1049" i="1" s="1"/>
  <c r="BA1050" i="1" s="1"/>
  <c r="BA1051" i="1" s="1"/>
  <c r="BA1052" i="1" s="1"/>
  <c r="BA1053" i="1" s="1"/>
  <c r="BA1054" i="1" s="1"/>
  <c r="BA1055" i="1" s="1"/>
  <c r="BA1056" i="1" s="1"/>
  <c r="BA1057" i="1" s="1"/>
  <c r="BA1058" i="1" s="1"/>
  <c r="BA1059" i="1" s="1"/>
  <c r="BA1060" i="1" s="1"/>
  <c r="BA1061" i="1" s="1"/>
  <c r="BA1062" i="1" s="1"/>
  <c r="BA1063" i="1" s="1"/>
  <c r="BA1064" i="1" s="1"/>
  <c r="BA1065" i="1" s="1"/>
  <c r="BA1066" i="1" s="1"/>
  <c r="BA1067" i="1" s="1"/>
  <c r="BA1068" i="1" s="1"/>
  <c r="BA1069" i="1" s="1"/>
  <c r="BA1070" i="1" s="1"/>
  <c r="BA1071" i="1" s="1"/>
  <c r="BA1072" i="1" s="1"/>
  <c r="BA1073" i="1" s="1"/>
  <c r="BA1074" i="1" s="1"/>
  <c r="BA1075" i="1" s="1"/>
  <c r="BA1076" i="1" s="1"/>
  <c r="BA1077" i="1" s="1"/>
  <c r="BA1078" i="1" s="1"/>
  <c r="BA1079" i="1" s="1"/>
  <c r="BA1080" i="1" s="1"/>
  <c r="BA1081" i="1" s="1"/>
  <c r="BA1082" i="1" s="1"/>
  <c r="BA1083" i="1" s="1"/>
  <c r="BA1084" i="1" s="1"/>
  <c r="BA1085" i="1" s="1"/>
  <c r="BA1086" i="1" s="1"/>
  <c r="BA1087" i="1" s="1"/>
  <c r="BA1088" i="1" s="1"/>
  <c r="BA1089" i="1" s="1"/>
  <c r="BA1090" i="1" s="1"/>
  <c r="BA1091" i="1" s="1"/>
  <c r="BA1092" i="1" s="1"/>
  <c r="BA1093" i="1" s="1"/>
  <c r="BA1094" i="1" s="1"/>
  <c r="BA1095" i="1" s="1"/>
  <c r="BA1096" i="1" s="1"/>
  <c r="BA1097" i="1" s="1"/>
  <c r="BA1098" i="1" s="1"/>
  <c r="BA1099" i="1" s="1"/>
  <c r="BA1100" i="1" s="1"/>
  <c r="BA1101" i="1" s="1"/>
  <c r="BA1102" i="1" s="1"/>
  <c r="BA1103" i="1" s="1"/>
  <c r="BA1104" i="1" s="1"/>
  <c r="BA1105" i="1" s="1"/>
  <c r="BA1106" i="1" s="1"/>
  <c r="BA1107" i="1" s="1"/>
  <c r="BA1108" i="1" s="1"/>
  <c r="BA1109" i="1" s="1"/>
  <c r="BA1110" i="1" s="1"/>
  <c r="BA1111" i="1" s="1"/>
  <c r="BA1112" i="1" s="1"/>
  <c r="BA1113" i="1" s="1"/>
  <c r="BA1114" i="1" s="1"/>
  <c r="BA1115" i="1" s="1"/>
  <c r="BA1116" i="1" s="1"/>
  <c r="BA1117" i="1" s="1"/>
  <c r="BA1118" i="1" s="1"/>
  <c r="BA1119" i="1" s="1"/>
  <c r="BA1120" i="1" s="1"/>
  <c r="BA1121" i="1" s="1"/>
  <c r="BA1122" i="1" s="1"/>
  <c r="BA1123" i="1" s="1"/>
  <c r="BA1124" i="1" s="1"/>
  <c r="BA1125" i="1" s="1"/>
  <c r="BA1126" i="1" s="1"/>
  <c r="BA1127" i="1" s="1"/>
  <c r="BA1128" i="1" s="1"/>
  <c r="BA1129" i="1" s="1"/>
  <c r="BA1130" i="1" s="1"/>
  <c r="BA1131" i="1" s="1"/>
  <c r="BA1132" i="1" s="1"/>
  <c r="BA1133" i="1" s="1"/>
  <c r="BA1134" i="1" s="1"/>
  <c r="BA1135" i="1" s="1"/>
  <c r="BA1136" i="1" s="1"/>
  <c r="BA1137" i="1" s="1"/>
  <c r="BA1138" i="1" s="1"/>
  <c r="BA1139" i="1" s="1"/>
  <c r="BA1140" i="1" s="1"/>
  <c r="BA1141" i="1" s="1"/>
  <c r="BA1142" i="1" s="1"/>
  <c r="BA1143" i="1" s="1"/>
  <c r="BA1144" i="1" s="1"/>
  <c r="BA1145" i="1" s="1"/>
  <c r="BA1146" i="1" s="1"/>
  <c r="BA1147" i="1" s="1"/>
  <c r="BA1148" i="1" s="1"/>
  <c r="BA1149" i="1" s="1"/>
  <c r="BA1150" i="1" s="1"/>
  <c r="BA1151" i="1" s="1"/>
  <c r="BA1152" i="1" s="1"/>
  <c r="BA1153" i="1" s="1"/>
  <c r="BA1154" i="1" s="1"/>
  <c r="BA1155" i="1" s="1"/>
  <c r="BA1156" i="1" s="1"/>
  <c r="BA1157" i="1" s="1"/>
  <c r="BA1158" i="1" s="1"/>
  <c r="BA1159" i="1" s="1"/>
  <c r="BA1160" i="1" s="1"/>
  <c r="BA1161" i="1" s="1"/>
  <c r="BA1162" i="1" s="1"/>
  <c r="BA1163" i="1" s="1"/>
  <c r="BA1164" i="1" s="1"/>
  <c r="BA1165" i="1" s="1"/>
  <c r="BA1166" i="1" s="1"/>
  <c r="BA1167" i="1" s="1"/>
  <c r="BA1168" i="1" s="1"/>
  <c r="BA1169" i="1" s="1"/>
  <c r="BA1170" i="1" s="1"/>
  <c r="BA1171" i="1" s="1"/>
  <c r="BA1172" i="1" s="1"/>
  <c r="BA1173" i="1" s="1"/>
  <c r="BA1174" i="1" s="1"/>
  <c r="BA1175" i="1" s="1"/>
  <c r="BA1176" i="1" s="1"/>
  <c r="BA1177" i="1" s="1"/>
  <c r="BA1178" i="1" s="1"/>
  <c r="BA1179" i="1" s="1"/>
  <c r="BA1180" i="1" s="1"/>
  <c r="BA1181" i="1" s="1"/>
  <c r="BA1182" i="1" s="1"/>
  <c r="BA1183" i="1" s="1"/>
  <c r="BA1184" i="1" s="1"/>
  <c r="BA1185" i="1" s="1"/>
  <c r="BA1186" i="1" s="1"/>
  <c r="BA1187" i="1" s="1"/>
  <c r="BA1188" i="1" s="1"/>
  <c r="BA1189" i="1" s="1"/>
  <c r="BA1190" i="1" s="1"/>
  <c r="BA1191" i="1" s="1"/>
  <c r="BA1192" i="1" s="1"/>
  <c r="BA1193" i="1" s="1"/>
  <c r="BA1194" i="1" s="1"/>
  <c r="BA1195" i="1" s="1"/>
  <c r="BA1196" i="1" s="1"/>
  <c r="BA1197" i="1" s="1"/>
  <c r="BA1198" i="1" s="1"/>
  <c r="BA1199" i="1" s="1"/>
  <c r="BA1200" i="1" s="1"/>
  <c r="BA1201" i="1" s="1"/>
  <c r="BA1202" i="1" s="1"/>
  <c r="BA1203" i="1" s="1"/>
  <c r="BA1204" i="1" s="1"/>
  <c r="BA1205" i="1" s="1"/>
  <c r="BA1206" i="1" s="1"/>
  <c r="BA1207" i="1" s="1"/>
  <c r="BA1208" i="1" s="1"/>
  <c r="BA1209" i="1" s="1"/>
  <c r="BA1210" i="1" s="1"/>
  <c r="BA1211" i="1" s="1"/>
  <c r="BA1212" i="1" s="1"/>
  <c r="BA1213" i="1" s="1"/>
  <c r="BA1214" i="1" s="1"/>
  <c r="BA1215" i="1" s="1"/>
  <c r="BA1216" i="1" s="1"/>
  <c r="BA1217" i="1" s="1"/>
  <c r="BA1218" i="1" s="1"/>
  <c r="BA1219" i="1" s="1"/>
  <c r="BA1220" i="1" s="1"/>
  <c r="BA1221" i="1" s="1"/>
  <c r="BA1222" i="1" s="1"/>
  <c r="BA1223" i="1" s="1"/>
  <c r="BA1224" i="1" s="1"/>
  <c r="BA1225" i="1" s="1"/>
  <c r="BA1226" i="1" s="1"/>
  <c r="BA1227" i="1" s="1"/>
  <c r="BA1228" i="1" s="1"/>
  <c r="BA1229" i="1" s="1"/>
  <c r="BA1230" i="1" s="1"/>
  <c r="BA1231" i="1" s="1"/>
  <c r="BA1232" i="1" s="1"/>
  <c r="BA1233" i="1" s="1"/>
  <c r="BA1234" i="1" s="1"/>
  <c r="BA1235" i="1" s="1"/>
  <c r="BA1236" i="1" s="1"/>
  <c r="BA1237" i="1" s="1"/>
  <c r="BA1238" i="1" s="1"/>
  <c r="BA1239" i="1" s="1"/>
  <c r="BA1240" i="1" s="1"/>
  <c r="BA1241" i="1" s="1"/>
  <c r="BA1242" i="1" s="1"/>
  <c r="BA1243" i="1" s="1"/>
  <c r="BA1244" i="1" s="1"/>
  <c r="BA1245" i="1" s="1"/>
  <c r="BA1246" i="1" s="1"/>
  <c r="BA1247" i="1" s="1"/>
  <c r="BA1248" i="1" s="1"/>
  <c r="BA1249" i="1" s="1"/>
  <c r="BA1250" i="1" s="1"/>
  <c r="BA1251" i="1" s="1"/>
  <c r="BA1252" i="1" s="1"/>
  <c r="BA1253" i="1" s="1"/>
  <c r="BA1254" i="1" s="1"/>
  <c r="BA1255" i="1" s="1"/>
  <c r="BA1256" i="1" s="1"/>
  <c r="BA1257" i="1" s="1"/>
  <c r="BA1258" i="1" s="1"/>
  <c r="BA1259" i="1" s="1"/>
  <c r="BA1260" i="1" s="1"/>
  <c r="BA1261" i="1" s="1"/>
  <c r="BA1262" i="1" s="1"/>
  <c r="BA1263" i="1" s="1"/>
  <c r="BA1264" i="1" s="1"/>
  <c r="BA1265" i="1" s="1"/>
  <c r="BA1266" i="1" s="1"/>
  <c r="BA1267" i="1" s="1"/>
  <c r="BA1268" i="1" s="1"/>
  <c r="BA1269" i="1" s="1"/>
  <c r="BA1270" i="1" s="1"/>
  <c r="BA1271" i="1" s="1"/>
  <c r="BA1272" i="1" s="1"/>
  <c r="BA1273" i="1" s="1"/>
  <c r="BA1274" i="1" s="1"/>
  <c r="BA1275" i="1" s="1"/>
  <c r="BA1276" i="1" s="1"/>
  <c r="BA1277" i="1" s="1"/>
  <c r="BA1278" i="1" s="1"/>
  <c r="BA1279" i="1" s="1"/>
  <c r="BA1280" i="1" s="1"/>
  <c r="BA1281" i="1" s="1"/>
  <c r="BA1282" i="1" s="1"/>
  <c r="BA1283" i="1" s="1"/>
  <c r="BA1284" i="1" s="1"/>
  <c r="BA1285" i="1" s="1"/>
  <c r="BA1286" i="1" s="1"/>
  <c r="BA1287" i="1" s="1"/>
  <c r="BA1288" i="1" s="1"/>
  <c r="BA1289" i="1" s="1"/>
  <c r="BA1290" i="1" s="1"/>
  <c r="BA1291" i="1" s="1"/>
  <c r="BA1292" i="1" s="1"/>
  <c r="BA1293" i="1" s="1"/>
  <c r="BA1294" i="1" s="1"/>
  <c r="BA1295" i="1" s="1"/>
  <c r="BA1296" i="1" s="1"/>
  <c r="BA1297" i="1" s="1"/>
  <c r="BA1298" i="1" s="1"/>
  <c r="BA1299" i="1" s="1"/>
  <c r="BA1300" i="1" s="1"/>
  <c r="BA1301" i="1" s="1"/>
  <c r="BA1302" i="1" s="1"/>
  <c r="BA1303" i="1" s="1"/>
  <c r="BA1304" i="1" s="1"/>
  <c r="BA1305" i="1" s="1"/>
  <c r="BA1306" i="1" s="1"/>
  <c r="BA1307" i="1" s="1"/>
  <c r="BA1308" i="1" s="1"/>
  <c r="BA1309" i="1" s="1"/>
  <c r="BA1310" i="1" s="1"/>
  <c r="BA1311" i="1" s="1"/>
  <c r="BA1312" i="1" s="1"/>
  <c r="BA1313" i="1" s="1"/>
  <c r="BA1314" i="1" s="1"/>
  <c r="BA1315" i="1" s="1"/>
  <c r="BA1316" i="1" s="1"/>
  <c r="BA1317" i="1" s="1"/>
  <c r="BA1318" i="1" s="1"/>
  <c r="BA1319" i="1" s="1"/>
  <c r="BA1320" i="1" s="1"/>
  <c r="BA1321" i="1" s="1"/>
  <c r="BA1322" i="1" s="1"/>
  <c r="BA1323" i="1" s="1"/>
  <c r="BA1324" i="1" s="1"/>
  <c r="BA1325" i="1" s="1"/>
  <c r="BA1326" i="1" s="1"/>
  <c r="BA1327" i="1" s="1"/>
  <c r="BA1328" i="1" s="1"/>
  <c r="BA1329" i="1" s="1"/>
  <c r="BA1330" i="1" s="1"/>
  <c r="BA1331" i="1" s="1"/>
  <c r="BA1332" i="1" s="1"/>
  <c r="BA1333" i="1" s="1"/>
  <c r="BA1334" i="1" s="1"/>
  <c r="BA1335" i="1" s="1"/>
  <c r="BA1336" i="1" s="1"/>
  <c r="BA1337" i="1" s="1"/>
  <c r="BA1338" i="1" s="1"/>
  <c r="BA1339" i="1" s="1"/>
  <c r="BA1340" i="1" s="1"/>
  <c r="BA1341" i="1" s="1"/>
  <c r="BA1342" i="1" s="1"/>
  <c r="BA1343" i="1" s="1"/>
  <c r="BA1344" i="1" s="1"/>
  <c r="BA1345" i="1" s="1"/>
  <c r="BA1346" i="1" s="1"/>
  <c r="BA1347" i="1" s="1"/>
  <c r="BA1348" i="1" s="1"/>
  <c r="BA1349" i="1" s="1"/>
  <c r="BA1350" i="1" s="1"/>
  <c r="BA1351" i="1" s="1"/>
  <c r="BA1352" i="1" s="1"/>
  <c r="BA1353" i="1" s="1"/>
  <c r="BA1354" i="1" s="1"/>
  <c r="BA1355" i="1" s="1"/>
  <c r="BA1356" i="1" s="1"/>
  <c r="BA1357" i="1" s="1"/>
  <c r="BA1358" i="1" s="1"/>
  <c r="BA1359" i="1" s="1"/>
  <c r="BA1360" i="1" s="1"/>
  <c r="BA1361" i="1" s="1"/>
  <c r="BA1362" i="1" s="1"/>
  <c r="BA1363" i="1" s="1"/>
  <c r="BA1364" i="1" s="1"/>
  <c r="BA1365" i="1" s="1"/>
  <c r="BA1366" i="1" s="1"/>
  <c r="BA1367" i="1" s="1"/>
  <c r="BA1368" i="1" s="1"/>
  <c r="BA1369" i="1" s="1"/>
  <c r="BA1370" i="1" s="1"/>
  <c r="BA1371" i="1" s="1"/>
  <c r="BA1372" i="1" s="1"/>
  <c r="BA1373" i="1" s="1"/>
  <c r="BA1374" i="1" s="1"/>
  <c r="BA1375" i="1" s="1"/>
  <c r="BA1376" i="1" s="1"/>
  <c r="BA1377" i="1" s="1"/>
  <c r="BA1378" i="1" s="1"/>
  <c r="BA1379" i="1" s="1"/>
  <c r="BA1380" i="1" s="1"/>
  <c r="BA1381" i="1" s="1"/>
  <c r="BA1382" i="1" s="1"/>
  <c r="BA1383" i="1" s="1"/>
  <c r="BA1384" i="1" s="1"/>
  <c r="BA1385" i="1" s="1"/>
  <c r="BA1386" i="1" s="1"/>
  <c r="BA1387" i="1" s="1"/>
  <c r="BA1388" i="1" s="1"/>
  <c r="BA1389" i="1" s="1"/>
  <c r="BA1390" i="1" s="1"/>
  <c r="BA1391" i="1" s="1"/>
  <c r="BA1392" i="1" s="1"/>
  <c r="BA1393" i="1" s="1"/>
  <c r="BA1394" i="1" s="1"/>
  <c r="BA1395" i="1" s="1"/>
  <c r="BA1396" i="1" s="1"/>
  <c r="BA1397" i="1" s="1"/>
  <c r="BA1398" i="1" s="1"/>
  <c r="BA1399" i="1" s="1"/>
  <c r="BA1400" i="1" s="1"/>
  <c r="BA1401" i="1" s="1"/>
  <c r="BA1402" i="1" s="1"/>
  <c r="BA1403" i="1" s="1"/>
  <c r="BA1404" i="1" s="1"/>
  <c r="BA1405" i="1" s="1"/>
  <c r="BA1406" i="1" s="1"/>
  <c r="BA1407" i="1" s="1"/>
  <c r="BA1408" i="1" s="1"/>
  <c r="BA1409" i="1" s="1"/>
  <c r="BA1410" i="1" s="1"/>
  <c r="BA1411" i="1" s="1"/>
  <c r="BA1412" i="1" s="1"/>
  <c r="BA1413" i="1" s="1"/>
  <c r="BA1414" i="1" s="1"/>
  <c r="BA1415" i="1" s="1"/>
  <c r="BA1416" i="1" s="1"/>
  <c r="BA1417" i="1" s="1"/>
  <c r="BA1418" i="1" s="1"/>
  <c r="BA1419" i="1" s="1"/>
  <c r="BA1420" i="1" s="1"/>
  <c r="BA1421" i="1" s="1"/>
  <c r="BA1422" i="1" s="1"/>
  <c r="BA1423" i="1" s="1"/>
  <c r="BA1424" i="1" s="1"/>
  <c r="BA1425" i="1" s="1"/>
  <c r="BA1426" i="1" s="1"/>
  <c r="BA1427" i="1" s="1"/>
  <c r="BA1428" i="1" s="1"/>
  <c r="BA1429" i="1" s="1"/>
  <c r="BA1430" i="1" s="1"/>
  <c r="BA1431" i="1" s="1"/>
  <c r="BA1432" i="1" s="1"/>
  <c r="BA1433" i="1" s="1"/>
  <c r="BA1434" i="1" s="1"/>
  <c r="BA1435" i="1" s="1"/>
  <c r="BA1436" i="1" s="1"/>
  <c r="BA1437" i="1" s="1"/>
  <c r="BA1438" i="1" s="1"/>
  <c r="BA1439" i="1" s="1"/>
  <c r="BA1440" i="1" s="1"/>
  <c r="BA1441" i="1" s="1"/>
  <c r="BA1442" i="1" s="1"/>
  <c r="BA1443" i="1" s="1"/>
  <c r="BA1444" i="1" s="1"/>
  <c r="BA1445" i="1" s="1"/>
  <c r="BA1446" i="1" s="1"/>
  <c r="BA1447" i="1" s="1"/>
  <c r="BA1448" i="1" s="1"/>
  <c r="BA1449" i="1" s="1"/>
  <c r="BA1450" i="1" s="1"/>
  <c r="BA1451" i="1" s="1"/>
  <c r="BA1452" i="1" s="1"/>
  <c r="BA1453" i="1" s="1"/>
  <c r="BA1454" i="1" s="1"/>
  <c r="BA1455" i="1" s="1"/>
  <c r="BA1456" i="1" s="1"/>
  <c r="BA1457" i="1" s="1"/>
  <c r="BA1458" i="1" s="1"/>
  <c r="BA1459" i="1" s="1"/>
  <c r="BA1460" i="1" s="1"/>
  <c r="BA1461" i="1" s="1"/>
  <c r="BA1462" i="1" s="1"/>
  <c r="BA1463" i="1" s="1"/>
  <c r="BA1464" i="1" s="1"/>
  <c r="BA1465" i="1" s="1"/>
  <c r="BA1466" i="1" s="1"/>
  <c r="BA1467" i="1" s="1"/>
  <c r="BA1468" i="1" s="1"/>
  <c r="BA1469" i="1" s="1"/>
  <c r="BA1470" i="1" s="1"/>
  <c r="BA1471" i="1" s="1"/>
  <c r="BA1472" i="1" s="1"/>
  <c r="BA1473" i="1" s="1"/>
  <c r="BA1474" i="1" s="1"/>
  <c r="BA1475" i="1" s="1"/>
  <c r="BA1476" i="1" s="1"/>
  <c r="BA1477" i="1" s="1"/>
  <c r="BA1478" i="1" s="1"/>
  <c r="BA1479" i="1" s="1"/>
  <c r="BA1480" i="1" s="1"/>
  <c r="BA1481" i="1" s="1"/>
  <c r="BA1482" i="1" s="1"/>
  <c r="BA1483" i="1" s="1"/>
  <c r="BA1484" i="1" s="1"/>
  <c r="BA1485" i="1" s="1"/>
  <c r="BA1486" i="1" s="1"/>
  <c r="BA1487" i="1" s="1"/>
  <c r="BA1488" i="1" s="1"/>
  <c r="BA1489" i="1" s="1"/>
  <c r="BA1490" i="1" s="1"/>
  <c r="BA1491" i="1" s="1"/>
  <c r="BA1492" i="1" s="1"/>
  <c r="BA1493" i="1" s="1"/>
  <c r="BA1494" i="1" s="1"/>
  <c r="BA1495" i="1" s="1"/>
  <c r="BA1496" i="1" s="1"/>
  <c r="BA1497" i="1" s="1"/>
  <c r="BA1498" i="1" s="1"/>
  <c r="BA1499" i="1" s="1"/>
  <c r="BA1500" i="1" s="1"/>
  <c r="BA1501" i="1" s="1"/>
  <c r="BA1502" i="1" s="1"/>
  <c r="BA1503" i="1" s="1"/>
  <c r="BA1504" i="1" s="1"/>
  <c r="BA1505" i="1" s="1"/>
  <c r="BA1506" i="1" s="1"/>
  <c r="BA1507" i="1" s="1"/>
  <c r="BA1508" i="1" s="1"/>
  <c r="BA1509" i="1" s="1"/>
  <c r="BA1510" i="1" s="1"/>
  <c r="BA1511" i="1" s="1"/>
  <c r="BA1512" i="1" s="1"/>
  <c r="BA1513" i="1" s="1"/>
  <c r="BA1514" i="1" s="1"/>
  <c r="BA1515" i="1" s="1"/>
  <c r="BA1516" i="1" s="1"/>
  <c r="BA1517" i="1" s="1"/>
  <c r="BA1518" i="1" s="1"/>
  <c r="BA1519" i="1" s="1"/>
  <c r="BA1520" i="1" s="1"/>
  <c r="BA1521" i="1" s="1"/>
  <c r="BA1522" i="1" s="1"/>
  <c r="BA1523" i="1" s="1"/>
  <c r="BA1524" i="1" s="1"/>
  <c r="BA1525" i="1" s="1"/>
  <c r="BA1526" i="1" s="1"/>
  <c r="BA1527" i="1" s="1"/>
  <c r="BA1528" i="1" s="1"/>
  <c r="BA1529" i="1" s="1"/>
  <c r="BA1530" i="1" s="1"/>
  <c r="BA1531" i="1" s="1"/>
  <c r="BA1532" i="1" s="1"/>
  <c r="BA1533" i="1" s="1"/>
  <c r="BA1534" i="1" s="1"/>
  <c r="BA1535" i="1" s="1"/>
  <c r="BA1536" i="1" s="1"/>
  <c r="BA1537" i="1" s="1"/>
  <c r="BA1538" i="1" s="1"/>
  <c r="BA1539" i="1" s="1"/>
  <c r="BA1540" i="1" s="1"/>
  <c r="BA1541" i="1" s="1"/>
  <c r="BA1542" i="1" s="1"/>
  <c r="BA1543" i="1" s="1"/>
  <c r="BA1544" i="1" s="1"/>
  <c r="BA1545" i="1" s="1"/>
  <c r="BA1546" i="1" s="1"/>
  <c r="BA1547" i="1" s="1"/>
  <c r="BA1548" i="1" s="1"/>
  <c r="BA1549" i="1" s="1"/>
  <c r="BA1550" i="1" s="1"/>
  <c r="BA1551" i="1" s="1"/>
  <c r="BA1552" i="1" s="1"/>
  <c r="BA1553" i="1" s="1"/>
  <c r="BA1554" i="1" s="1"/>
  <c r="BA1555" i="1" s="1"/>
  <c r="BA1556" i="1" s="1"/>
  <c r="BA1557" i="1" s="1"/>
  <c r="BA1558" i="1" s="1"/>
  <c r="BA1559" i="1" s="1"/>
  <c r="BA1560" i="1" s="1"/>
  <c r="BA1561" i="1" s="1"/>
  <c r="BA1562" i="1" s="1"/>
  <c r="BA1563" i="1" s="1"/>
  <c r="BA1564" i="1" s="1"/>
  <c r="BA1565" i="1" s="1"/>
  <c r="BA1566" i="1" s="1"/>
  <c r="BA1567" i="1" s="1"/>
  <c r="BA1568" i="1" s="1"/>
  <c r="BA1569" i="1" s="1"/>
  <c r="BA1570" i="1" s="1"/>
  <c r="BA1571" i="1" s="1"/>
  <c r="BA1572" i="1" s="1"/>
  <c r="BA1573" i="1" s="1"/>
  <c r="BA1574" i="1" s="1"/>
  <c r="BA1575" i="1" s="1"/>
  <c r="BA1576" i="1" s="1"/>
  <c r="BA1577" i="1" s="1"/>
  <c r="BA1578" i="1" s="1"/>
  <c r="BA1579" i="1" s="1"/>
  <c r="BA1580" i="1" s="1"/>
  <c r="BA1581" i="1" s="1"/>
  <c r="BA1582" i="1" s="1"/>
  <c r="BA1583" i="1" s="1"/>
  <c r="BA1584" i="1" s="1"/>
  <c r="BA1585" i="1" s="1"/>
  <c r="BA1586" i="1" s="1"/>
  <c r="BA1587" i="1" s="1"/>
  <c r="BA1588" i="1" s="1"/>
  <c r="BA1589" i="1" s="1"/>
  <c r="BA1590" i="1" s="1"/>
  <c r="BA1591" i="1" s="1"/>
  <c r="BA1592" i="1" s="1"/>
  <c r="BA1593" i="1" s="1"/>
  <c r="BA1594" i="1" s="1"/>
  <c r="BA1595" i="1" s="1"/>
  <c r="BA1596" i="1" s="1"/>
  <c r="BA1597" i="1" s="1"/>
  <c r="BA1598" i="1" s="1"/>
  <c r="BA1599" i="1" s="1"/>
  <c r="BA1600" i="1" s="1"/>
  <c r="BA1601" i="1" s="1"/>
  <c r="BA1602" i="1" s="1"/>
  <c r="BA1603" i="1" s="1"/>
  <c r="BA1604" i="1" s="1"/>
  <c r="BA1605" i="1" s="1"/>
  <c r="BA1606" i="1" s="1"/>
  <c r="BA1607" i="1" s="1"/>
  <c r="BA1608" i="1" s="1"/>
  <c r="BA1609" i="1" s="1"/>
  <c r="BA1610" i="1" s="1"/>
  <c r="BA1611" i="1" s="1"/>
  <c r="BA1612" i="1" s="1"/>
  <c r="BA1613" i="1" s="1"/>
  <c r="BA1614" i="1" s="1"/>
  <c r="BA1615" i="1" s="1"/>
  <c r="BA1616" i="1" s="1"/>
  <c r="BA1617" i="1" s="1"/>
  <c r="BA1618" i="1" s="1"/>
  <c r="BA1619" i="1" s="1"/>
  <c r="BA1620" i="1" s="1"/>
  <c r="BA1621" i="1" s="1"/>
  <c r="BA1622" i="1" s="1"/>
  <c r="BA1623" i="1" s="1"/>
  <c r="BA1624" i="1" s="1"/>
  <c r="BA1625" i="1" s="1"/>
  <c r="BA1626" i="1" s="1"/>
  <c r="BA1627" i="1" s="1"/>
  <c r="BA1628" i="1" s="1"/>
  <c r="BA1629" i="1" s="1"/>
  <c r="BA1630" i="1" s="1"/>
  <c r="BA1631" i="1" s="1"/>
  <c r="BA1632" i="1" s="1"/>
  <c r="BA1633" i="1" s="1"/>
  <c r="BA1634" i="1" s="1"/>
  <c r="BA1635" i="1" s="1"/>
  <c r="BA1636" i="1" s="1"/>
  <c r="BA1637" i="1" s="1"/>
  <c r="BA1638" i="1" s="1"/>
  <c r="BA1639" i="1" s="1"/>
  <c r="BA1640" i="1" s="1"/>
  <c r="BA1641" i="1" s="1"/>
  <c r="BA1642" i="1" s="1"/>
  <c r="BA1643" i="1" s="1"/>
  <c r="BA1644" i="1" s="1"/>
  <c r="BA1645" i="1" s="1"/>
  <c r="BA1646" i="1" s="1"/>
  <c r="BA1647" i="1" s="1"/>
  <c r="BA1648" i="1" s="1"/>
  <c r="BA1649" i="1" s="1"/>
  <c r="BA1650" i="1" s="1"/>
  <c r="BA1651" i="1" s="1"/>
  <c r="BA1652" i="1" s="1"/>
  <c r="BA1653" i="1" s="1"/>
  <c r="BA1654" i="1" s="1"/>
  <c r="BA1655" i="1" s="1"/>
  <c r="BA1656" i="1" s="1"/>
  <c r="BA1657" i="1" s="1"/>
  <c r="BA1658" i="1" s="1"/>
  <c r="BA1659" i="1" s="1"/>
  <c r="BA1660" i="1" s="1"/>
  <c r="BA1661" i="1" s="1"/>
  <c r="BA1662" i="1" s="1"/>
  <c r="BA1663" i="1" s="1"/>
  <c r="BA1664" i="1" s="1"/>
  <c r="BA1665" i="1" s="1"/>
  <c r="BA1666" i="1" s="1"/>
  <c r="BA1667" i="1" s="1"/>
  <c r="BA1668" i="1" s="1"/>
  <c r="BA1669" i="1" s="1"/>
  <c r="BA1670" i="1" s="1"/>
  <c r="BA1671" i="1" s="1"/>
  <c r="BA1672" i="1" s="1"/>
  <c r="BA1673" i="1" s="1"/>
  <c r="BA1674" i="1" s="1"/>
  <c r="BA1675" i="1" s="1"/>
  <c r="BA1676" i="1" s="1"/>
  <c r="BA1677" i="1" s="1"/>
  <c r="BA1678" i="1" s="1"/>
  <c r="BA1679" i="1" s="1"/>
  <c r="BA1680" i="1" s="1"/>
  <c r="BA1681" i="1" s="1"/>
  <c r="BA1682" i="1" s="1"/>
  <c r="BA1683" i="1" s="1"/>
  <c r="BA1684" i="1" s="1"/>
  <c r="BA1685" i="1" s="1"/>
  <c r="BA1686" i="1" s="1"/>
  <c r="BA1687" i="1" s="1"/>
  <c r="BA1688" i="1" s="1"/>
  <c r="BA1689" i="1" s="1"/>
  <c r="BA1690" i="1" s="1"/>
  <c r="BA1691" i="1" s="1"/>
  <c r="BA1692" i="1" s="1"/>
  <c r="BA1693" i="1" s="1"/>
  <c r="BA1694" i="1" s="1"/>
  <c r="BA1695" i="1" s="1"/>
  <c r="BA1696" i="1" s="1"/>
  <c r="BA1697" i="1" s="1"/>
  <c r="BA1698" i="1" s="1"/>
  <c r="BA1699" i="1" s="1"/>
  <c r="BA1700" i="1" s="1"/>
  <c r="BA1701" i="1" s="1"/>
  <c r="BA1702" i="1" s="1"/>
  <c r="BA1703" i="1" s="1"/>
  <c r="BA1704" i="1" s="1"/>
  <c r="BA1705" i="1" s="1"/>
  <c r="BA1706" i="1" s="1"/>
  <c r="BA1707" i="1" s="1"/>
  <c r="BA1708" i="1" s="1"/>
  <c r="BA1709" i="1" s="1"/>
  <c r="BA1710" i="1" s="1"/>
  <c r="BA1711" i="1" s="1"/>
  <c r="BA1712" i="1" s="1"/>
  <c r="BA1713" i="1" s="1"/>
  <c r="BA1714" i="1" s="1"/>
  <c r="BA1715" i="1" s="1"/>
  <c r="BA1716" i="1" s="1"/>
  <c r="BA1717" i="1" s="1"/>
  <c r="BA1718" i="1" s="1"/>
  <c r="BA1719" i="1" s="1"/>
  <c r="BA1720" i="1" s="1"/>
  <c r="BA1721" i="1" s="1"/>
  <c r="BA1722" i="1" s="1"/>
  <c r="BA1723" i="1" s="1"/>
  <c r="BA1724" i="1" s="1"/>
  <c r="BA1725" i="1" s="1"/>
  <c r="BA1726" i="1" s="1"/>
  <c r="BA1727" i="1" s="1"/>
  <c r="BA1728" i="1" s="1"/>
  <c r="BA1729" i="1" s="1"/>
  <c r="BA1730" i="1" s="1"/>
  <c r="BA1731" i="1" s="1"/>
  <c r="BA1732" i="1" s="1"/>
  <c r="BA1733" i="1" s="1"/>
  <c r="BA1734" i="1" s="1"/>
  <c r="BA1735" i="1" s="1"/>
  <c r="BA1736" i="1" s="1"/>
  <c r="BA1737" i="1" s="1"/>
  <c r="BA1738" i="1" s="1"/>
  <c r="BA1739" i="1" s="1"/>
  <c r="BA1740" i="1" s="1"/>
  <c r="BA1741" i="1" s="1"/>
  <c r="BA1742" i="1" s="1"/>
  <c r="BA1743" i="1" s="1"/>
  <c r="BA1744" i="1" s="1"/>
  <c r="BA1745" i="1" s="1"/>
  <c r="BA1746" i="1" s="1"/>
  <c r="BA1747" i="1" s="1"/>
  <c r="BA1748" i="1" s="1"/>
  <c r="BA1749" i="1" s="1"/>
  <c r="BA1750" i="1" s="1"/>
  <c r="BA1751" i="1" s="1"/>
  <c r="BA1752" i="1" s="1"/>
  <c r="BA1753" i="1" s="1"/>
  <c r="BA1754" i="1" s="1"/>
  <c r="BA1755" i="1" s="1"/>
  <c r="BA1756" i="1" s="1"/>
  <c r="BA1757" i="1" s="1"/>
  <c r="BA1758" i="1" s="1"/>
  <c r="BA1759" i="1" s="1"/>
  <c r="BA1760" i="1" s="1"/>
  <c r="BA1761" i="1" s="1"/>
  <c r="BA1762" i="1" s="1"/>
  <c r="BA1763" i="1" s="1"/>
  <c r="BA1764" i="1" s="1"/>
  <c r="BA1765" i="1" s="1"/>
  <c r="BA1766" i="1" s="1"/>
  <c r="BA1767" i="1" s="1"/>
  <c r="BA1768" i="1" s="1"/>
  <c r="BA1769" i="1" s="1"/>
  <c r="BA1770" i="1" s="1"/>
  <c r="BA1771" i="1" s="1"/>
  <c r="BA1772" i="1" s="1"/>
  <c r="BA1773" i="1" s="1"/>
  <c r="BA1774" i="1" s="1"/>
  <c r="BA1775" i="1" s="1"/>
  <c r="BA1776" i="1" s="1"/>
  <c r="BA1777" i="1" s="1"/>
  <c r="BA1778" i="1" s="1"/>
  <c r="BA1779" i="1" s="1"/>
  <c r="BA1780" i="1" s="1"/>
  <c r="BA1781" i="1" s="1"/>
  <c r="BA1782" i="1" s="1"/>
  <c r="BA1783" i="1" s="1"/>
  <c r="BA1784" i="1" s="1"/>
  <c r="BA1785" i="1" s="1"/>
  <c r="BA1786" i="1" s="1"/>
  <c r="BA1787" i="1" s="1"/>
  <c r="BA1788" i="1" s="1"/>
  <c r="BA1789" i="1" s="1"/>
  <c r="BA1790" i="1" s="1"/>
  <c r="BA1791" i="1" s="1"/>
  <c r="BA1792" i="1" s="1"/>
  <c r="BA1793" i="1" s="1"/>
  <c r="BA1794" i="1" s="1"/>
  <c r="BA1795" i="1" s="1"/>
  <c r="BA1796" i="1" s="1"/>
  <c r="BA1797" i="1" s="1"/>
  <c r="BA1798" i="1" s="1"/>
  <c r="BA1799" i="1" s="1"/>
  <c r="BA1800" i="1" s="1"/>
  <c r="BA1801" i="1" s="1"/>
  <c r="BA1802" i="1" s="1"/>
  <c r="BA1803" i="1" s="1"/>
  <c r="BA1804" i="1" s="1"/>
  <c r="BA1805" i="1" s="1"/>
  <c r="BA1806" i="1" s="1"/>
  <c r="BA1807" i="1" s="1"/>
  <c r="BA1808" i="1" s="1"/>
  <c r="BA1809" i="1" s="1"/>
  <c r="BA1810" i="1" s="1"/>
  <c r="BA1811" i="1" s="1"/>
  <c r="BA1812" i="1" s="1"/>
  <c r="BA1813" i="1" s="1"/>
  <c r="BA1814" i="1" s="1"/>
  <c r="BA1815" i="1" s="1"/>
  <c r="BA1816" i="1" s="1"/>
  <c r="BA1817" i="1" s="1"/>
  <c r="BA1818" i="1" s="1"/>
  <c r="BA1819" i="1" s="1"/>
  <c r="BA1820" i="1" s="1"/>
  <c r="BA1821" i="1" s="1"/>
  <c r="BA1822" i="1" s="1"/>
  <c r="BA1823" i="1" s="1"/>
  <c r="BA1824" i="1" s="1"/>
  <c r="BA1825" i="1" s="1"/>
  <c r="BA1826" i="1" s="1"/>
  <c r="BA1827" i="1" s="1"/>
  <c r="BA1828" i="1" s="1"/>
  <c r="BA1829" i="1" s="1"/>
  <c r="BA1830" i="1" s="1"/>
  <c r="BA1831" i="1" s="1"/>
  <c r="BA1832" i="1" s="1"/>
  <c r="BA1833" i="1" s="1"/>
  <c r="BA1834" i="1" s="1"/>
  <c r="BA1835" i="1" s="1"/>
  <c r="BA1836" i="1" s="1"/>
  <c r="BA1837" i="1" s="1"/>
  <c r="BA1838" i="1" s="1"/>
  <c r="BA1839" i="1" s="1"/>
  <c r="BA1840" i="1" s="1"/>
  <c r="BA1841" i="1" s="1"/>
  <c r="BA1842" i="1" s="1"/>
  <c r="BA1843" i="1" s="1"/>
  <c r="BA1844" i="1" s="1"/>
  <c r="BA1845" i="1" s="1"/>
  <c r="BA1846" i="1" s="1"/>
  <c r="BA1847" i="1" s="1"/>
  <c r="BA1848" i="1" s="1"/>
  <c r="BA1849" i="1" s="1"/>
  <c r="BA1850" i="1" s="1"/>
  <c r="BA1851" i="1" s="1"/>
  <c r="BA1852" i="1" s="1"/>
  <c r="BA1853" i="1" s="1"/>
  <c r="BA1854" i="1" s="1"/>
  <c r="BA1855" i="1" s="1"/>
  <c r="BA1856" i="1" s="1"/>
  <c r="BA1857" i="1" s="1"/>
  <c r="BA1858" i="1" s="1"/>
  <c r="BA1859" i="1" s="1"/>
  <c r="BA1860" i="1" s="1"/>
  <c r="BA1861" i="1" s="1"/>
  <c r="BA1862" i="1" s="1"/>
  <c r="BA1863" i="1" s="1"/>
  <c r="BA1864" i="1" s="1"/>
  <c r="BA1865" i="1" s="1"/>
  <c r="BA1866" i="1" s="1"/>
  <c r="BA1867" i="1" s="1"/>
  <c r="BA1868" i="1" s="1"/>
  <c r="BA1869" i="1" s="1"/>
  <c r="BA1870" i="1" s="1"/>
  <c r="BA1871" i="1" s="1"/>
  <c r="BA1872" i="1" s="1"/>
  <c r="BA1873" i="1" s="1"/>
  <c r="BA1874" i="1" s="1"/>
  <c r="BA1875" i="1" s="1"/>
  <c r="BA1876" i="1" s="1"/>
  <c r="BA1877" i="1" s="1"/>
  <c r="BA1878" i="1" s="1"/>
  <c r="BA1879" i="1" s="1"/>
  <c r="BA1880" i="1" s="1"/>
  <c r="BA1881" i="1" s="1"/>
  <c r="BA1882" i="1" s="1"/>
  <c r="BA1883" i="1" s="1"/>
  <c r="BA1884" i="1" s="1"/>
  <c r="BA1885" i="1" s="1"/>
  <c r="BA1886" i="1" s="1"/>
  <c r="BA1887" i="1" s="1"/>
  <c r="BA1888" i="1" s="1"/>
  <c r="BA1889" i="1" s="1"/>
  <c r="BA1890" i="1" s="1"/>
  <c r="BA1891" i="1" s="1"/>
  <c r="BA1892" i="1" s="1"/>
  <c r="BA1893" i="1" s="1"/>
  <c r="BA1894" i="1" s="1"/>
  <c r="BA1895" i="1" s="1"/>
  <c r="BA1896" i="1" s="1"/>
  <c r="BA1897" i="1" s="1"/>
  <c r="BA1898" i="1" s="1"/>
  <c r="BA1899" i="1" s="1"/>
  <c r="BA1900" i="1" s="1"/>
  <c r="BA1901" i="1" s="1"/>
  <c r="BA1902" i="1" s="1"/>
  <c r="BA1903" i="1" s="1"/>
  <c r="BA1904" i="1" s="1"/>
  <c r="BA1905" i="1" s="1"/>
  <c r="BA1906" i="1" s="1"/>
  <c r="BA1907" i="1" s="1"/>
  <c r="BA1908" i="1" s="1"/>
  <c r="BA1909" i="1" s="1"/>
  <c r="BA1910" i="1" s="1"/>
  <c r="BA1911" i="1" s="1"/>
  <c r="BA1912" i="1" s="1"/>
  <c r="BA1913" i="1" s="1"/>
  <c r="BA1914" i="1" s="1"/>
  <c r="BA1915" i="1" s="1"/>
  <c r="BA1916" i="1" s="1"/>
  <c r="BA1917" i="1" s="1"/>
  <c r="BA1918" i="1" s="1"/>
  <c r="BA1919" i="1" s="1"/>
  <c r="BA1920" i="1" s="1"/>
  <c r="BA1921" i="1" s="1"/>
  <c r="BA1922" i="1" s="1"/>
  <c r="BA1923" i="1" s="1"/>
  <c r="BA1924" i="1" s="1"/>
  <c r="BA1925" i="1" s="1"/>
  <c r="BA1926" i="1" s="1"/>
  <c r="BA1927" i="1" s="1"/>
  <c r="BA1928" i="1" s="1"/>
  <c r="BA1929" i="1" s="1"/>
  <c r="BA1930" i="1" s="1"/>
  <c r="BA1931" i="1" s="1"/>
  <c r="BA1932" i="1" s="1"/>
  <c r="BA1933" i="1" s="1"/>
  <c r="BA1934" i="1" s="1"/>
  <c r="BA1935" i="1" s="1"/>
  <c r="BA1936" i="1" s="1"/>
  <c r="BA1937" i="1" s="1"/>
  <c r="BA1938" i="1" s="1"/>
  <c r="BA1939" i="1" s="1"/>
  <c r="BA1940" i="1" s="1"/>
  <c r="BA1941" i="1" s="1"/>
  <c r="BA1942" i="1" s="1"/>
  <c r="BA1943" i="1" s="1"/>
  <c r="BA1944" i="1" s="1"/>
  <c r="BA1945" i="1" s="1"/>
  <c r="BA1946" i="1" s="1"/>
  <c r="BA1947" i="1" s="1"/>
  <c r="BA1948" i="1" s="1"/>
  <c r="BA1949" i="1" s="1"/>
  <c r="BA1950" i="1" s="1"/>
  <c r="BA1951" i="1" s="1"/>
  <c r="BA1952" i="1" s="1"/>
  <c r="BA1953" i="1" s="1"/>
  <c r="BA1954" i="1" s="1"/>
  <c r="BA1955" i="1" s="1"/>
  <c r="BA1956" i="1" s="1"/>
  <c r="BA1957" i="1" s="1"/>
  <c r="BA1958" i="1" s="1"/>
  <c r="BA1959" i="1" s="1"/>
  <c r="BA1960" i="1" s="1"/>
  <c r="BA1961" i="1" s="1"/>
  <c r="BA1962" i="1" s="1"/>
  <c r="BA1963" i="1" s="1"/>
  <c r="BA1964" i="1" s="1"/>
  <c r="BA1965" i="1" s="1"/>
  <c r="BA1966" i="1" s="1"/>
  <c r="BA1967" i="1" s="1"/>
  <c r="BA1968" i="1" s="1"/>
  <c r="BA1969" i="1" s="1"/>
  <c r="BA1970" i="1" s="1"/>
  <c r="BA1971" i="1" s="1"/>
  <c r="BA1972" i="1" s="1"/>
  <c r="BA1973" i="1" s="1"/>
  <c r="BA1974" i="1" s="1"/>
  <c r="BA1975" i="1" s="1"/>
  <c r="BA1976" i="1" s="1"/>
  <c r="BA1977" i="1" s="1"/>
  <c r="BA1978" i="1" s="1"/>
  <c r="BA1979" i="1" s="1"/>
  <c r="BA1980" i="1" s="1"/>
  <c r="BA1981" i="1" s="1"/>
  <c r="BA1982" i="1" s="1"/>
  <c r="BA1983" i="1" s="1"/>
  <c r="BA1984" i="1" s="1"/>
  <c r="BA1985" i="1" s="1"/>
  <c r="BA1986" i="1" s="1"/>
  <c r="BA1987" i="1" s="1"/>
  <c r="BA1988" i="1" s="1"/>
  <c r="BA1989" i="1" s="1"/>
  <c r="BA1990" i="1" s="1"/>
  <c r="BA1991" i="1" s="1"/>
  <c r="BA1992" i="1" s="1"/>
  <c r="BA1993" i="1" s="1"/>
  <c r="BA1994" i="1" s="1"/>
  <c r="BA1995" i="1" s="1"/>
  <c r="BA1996" i="1" s="1"/>
  <c r="BA1997" i="1" s="1"/>
  <c r="BA1998" i="1" s="1"/>
  <c r="BA1999" i="1" s="1"/>
  <c r="BA2000" i="1" s="1"/>
  <c r="BA2001" i="1" s="1"/>
  <c r="BA2002" i="1" s="1"/>
  <c r="BA2003" i="1" s="1"/>
  <c r="BA2004" i="1" s="1"/>
  <c r="BA2005" i="1" s="1"/>
  <c r="BA2006" i="1" s="1"/>
  <c r="BA2007" i="1" s="1"/>
  <c r="BA2008" i="1" s="1"/>
  <c r="BA2009" i="1" s="1"/>
  <c r="BA2010" i="1" s="1"/>
  <c r="BA2011" i="1" s="1"/>
  <c r="BA2012" i="1" s="1"/>
  <c r="BA2013" i="1" s="1"/>
  <c r="BA2014" i="1" s="1"/>
  <c r="BA2015" i="1" s="1"/>
  <c r="BA2016" i="1" s="1"/>
  <c r="BA2017" i="1" s="1"/>
  <c r="BA2018" i="1" s="1"/>
  <c r="BA2019" i="1" s="1"/>
  <c r="BA2020" i="1" s="1"/>
  <c r="BA2021" i="1" s="1"/>
  <c r="BA2022" i="1" s="1"/>
  <c r="BA2023" i="1" s="1"/>
  <c r="BA2024" i="1" s="1"/>
  <c r="BA2025" i="1" s="1"/>
  <c r="BA2026" i="1" s="1"/>
  <c r="BA2027" i="1" s="1"/>
  <c r="BA2028" i="1" s="1"/>
  <c r="BA2029" i="1" s="1"/>
  <c r="BA2030" i="1" s="1"/>
  <c r="BA2031" i="1" s="1"/>
  <c r="BA2032" i="1" s="1"/>
  <c r="BA2033" i="1" s="1"/>
  <c r="BA2034" i="1" s="1"/>
  <c r="BA2035" i="1" s="1"/>
  <c r="BA2036" i="1" s="1"/>
  <c r="BA2037" i="1" s="1"/>
  <c r="BA2038" i="1" s="1"/>
  <c r="BA2039" i="1" s="1"/>
  <c r="BA2040" i="1" s="1"/>
  <c r="BA2041" i="1" s="1"/>
  <c r="BA2042" i="1" s="1"/>
  <c r="BA2043" i="1" s="1"/>
  <c r="BA2044" i="1" s="1"/>
  <c r="BA2045" i="1" s="1"/>
  <c r="BA2046" i="1" s="1"/>
  <c r="BA2047" i="1" s="1"/>
  <c r="BA2048" i="1" s="1"/>
  <c r="BA2049" i="1" s="1"/>
  <c r="BA2050" i="1" s="1"/>
  <c r="BA2051" i="1" s="1"/>
  <c r="BA2052" i="1" s="1"/>
  <c r="BA2053" i="1" s="1"/>
  <c r="BA2054" i="1" s="1"/>
  <c r="BA2055" i="1" s="1"/>
  <c r="BA2056" i="1" s="1"/>
  <c r="BA2057" i="1" s="1"/>
  <c r="BA2058" i="1" s="1"/>
  <c r="BA2059" i="1" s="1"/>
  <c r="BA2060" i="1" s="1"/>
  <c r="BA2061" i="1" s="1"/>
  <c r="BA2062" i="1" s="1"/>
  <c r="BA2063" i="1" s="1"/>
  <c r="BA2064" i="1" s="1"/>
  <c r="BA2065" i="1" s="1"/>
  <c r="BA2066" i="1" s="1"/>
  <c r="BA2067" i="1" s="1"/>
  <c r="BA2068" i="1" s="1"/>
  <c r="BA2069" i="1" s="1"/>
  <c r="BA2070" i="1" s="1"/>
  <c r="BA2071" i="1" s="1"/>
  <c r="BA2072" i="1" s="1"/>
  <c r="BA2073" i="1" s="1"/>
  <c r="BA2074" i="1" s="1"/>
  <c r="BA2075" i="1" s="1"/>
  <c r="BA2076" i="1" s="1"/>
  <c r="BA2077" i="1" s="1"/>
  <c r="BA2078" i="1" s="1"/>
  <c r="BA2079" i="1" s="1"/>
  <c r="BA2080" i="1" s="1"/>
  <c r="BA2081" i="1" s="1"/>
  <c r="BA2082" i="1" s="1"/>
  <c r="BA2083" i="1" s="1"/>
  <c r="BA2084" i="1" s="1"/>
  <c r="BA2085" i="1" s="1"/>
  <c r="BA2086" i="1" s="1"/>
  <c r="BA2087" i="1" s="1"/>
  <c r="BA2088" i="1" s="1"/>
  <c r="BA2089" i="1" s="1"/>
  <c r="BA2090" i="1" s="1"/>
  <c r="BA2091" i="1" s="1"/>
  <c r="BA2092" i="1" s="1"/>
  <c r="BA2093" i="1" s="1"/>
  <c r="BA2094" i="1" s="1"/>
  <c r="BA2095" i="1" s="1"/>
  <c r="BA2096" i="1" s="1"/>
  <c r="BA2097" i="1" s="1"/>
  <c r="BA2098" i="1" s="1"/>
  <c r="BA2099" i="1" s="1"/>
  <c r="BA2100" i="1" s="1"/>
  <c r="BA2101" i="1" s="1"/>
  <c r="BA2102" i="1" s="1"/>
  <c r="BA2103" i="1" s="1"/>
  <c r="BA2104" i="1" s="1"/>
  <c r="BA2105" i="1" s="1"/>
  <c r="BA2106" i="1" s="1"/>
  <c r="BA2107" i="1" s="1"/>
  <c r="BA2108" i="1" s="1"/>
  <c r="BA2109" i="1" s="1"/>
  <c r="BA2110" i="1" s="1"/>
  <c r="BA2111" i="1" s="1"/>
  <c r="BA2112" i="1" s="1"/>
  <c r="BA2113" i="1" s="1"/>
  <c r="BA2114" i="1" s="1"/>
  <c r="BA2115" i="1" s="1"/>
  <c r="BA2116" i="1" s="1"/>
  <c r="BA2117" i="1" s="1"/>
  <c r="BA2118" i="1" s="1"/>
  <c r="BA2119" i="1" s="1"/>
  <c r="BA2120" i="1" s="1"/>
  <c r="BA2121" i="1" s="1"/>
  <c r="BA2122" i="1" s="1"/>
  <c r="BA2123" i="1" s="1"/>
  <c r="BA2124" i="1" s="1"/>
  <c r="BA2125" i="1" s="1"/>
  <c r="BA2126" i="1" s="1"/>
  <c r="BA2127" i="1" s="1"/>
  <c r="BA2128" i="1" s="1"/>
  <c r="BA2129" i="1" s="1"/>
  <c r="BA2130" i="1" s="1"/>
  <c r="BA2131" i="1" s="1"/>
  <c r="BA2132" i="1" s="1"/>
  <c r="BA2133" i="1" s="1"/>
  <c r="BA2134" i="1" s="1"/>
  <c r="BA2135" i="1" s="1"/>
  <c r="BA2136" i="1" s="1"/>
  <c r="BA2137" i="1" s="1"/>
  <c r="BA2138" i="1" s="1"/>
  <c r="BA2139" i="1" s="1"/>
  <c r="BA2140" i="1" s="1"/>
  <c r="BA2141" i="1" s="1"/>
  <c r="BA2142" i="1" s="1"/>
  <c r="BA2143" i="1" s="1"/>
  <c r="BA2144" i="1" s="1"/>
  <c r="BA2145" i="1" s="1"/>
  <c r="BA2146" i="1" s="1"/>
  <c r="BA2147" i="1" s="1"/>
  <c r="BA2148" i="1" s="1"/>
  <c r="BA2149" i="1" s="1"/>
  <c r="BA2150" i="1" s="1"/>
  <c r="BA2151" i="1" s="1"/>
  <c r="BA2152" i="1" s="1"/>
  <c r="BA2153" i="1" s="1"/>
  <c r="BA2154" i="1" s="1"/>
  <c r="BA2155" i="1" s="1"/>
  <c r="BA2156" i="1" s="1"/>
  <c r="BA2157" i="1" s="1"/>
  <c r="BA2158" i="1" s="1"/>
  <c r="BA2159" i="1" s="1"/>
  <c r="BA2160" i="1" s="1"/>
  <c r="BA2161" i="1" s="1"/>
  <c r="BA2162" i="1" s="1"/>
  <c r="BA2163" i="1" s="1"/>
  <c r="BA2164" i="1" s="1"/>
  <c r="BA2165" i="1" s="1"/>
  <c r="BA2166" i="1" s="1"/>
  <c r="BA2167" i="1" s="1"/>
  <c r="BA2168" i="1" s="1"/>
  <c r="BA2169" i="1" s="1"/>
  <c r="BA2170" i="1" s="1"/>
  <c r="BA2171" i="1" s="1"/>
  <c r="BA2172" i="1" s="1"/>
  <c r="BA2173" i="1" s="1"/>
  <c r="BA2174" i="1" s="1"/>
  <c r="BA2175" i="1" s="1"/>
  <c r="BA2176" i="1" s="1"/>
  <c r="BA2177" i="1" s="1"/>
  <c r="BA2178" i="1" s="1"/>
  <c r="BA2179" i="1" s="1"/>
  <c r="BA2180" i="1" s="1"/>
  <c r="BA2181" i="1" s="1"/>
  <c r="BA2182" i="1" s="1"/>
  <c r="BA2183" i="1" s="1"/>
  <c r="BA2184" i="1" s="1"/>
  <c r="BA2185" i="1" s="1"/>
  <c r="BA2186" i="1" s="1"/>
  <c r="BA2187" i="1" s="1"/>
  <c r="BA2188" i="1" s="1"/>
  <c r="BA2189" i="1" s="1"/>
  <c r="BA2190" i="1" s="1"/>
  <c r="BA2191" i="1" s="1"/>
  <c r="BA2192" i="1" s="1"/>
  <c r="BA2193" i="1" s="1"/>
  <c r="BA2194" i="1" s="1"/>
  <c r="BA2195" i="1" s="1"/>
  <c r="BA2196" i="1" s="1"/>
  <c r="BA2197" i="1" s="1"/>
  <c r="BA2198" i="1" s="1"/>
  <c r="BA2199" i="1" s="1"/>
  <c r="BA2200" i="1" s="1"/>
  <c r="BA2201" i="1" s="1"/>
  <c r="BA2202" i="1" s="1"/>
  <c r="BA2203" i="1" s="1"/>
  <c r="BA2204" i="1" s="1"/>
  <c r="BA2205" i="1" s="1"/>
  <c r="BA2206" i="1" s="1"/>
  <c r="BA2207" i="1" s="1"/>
  <c r="BA2208" i="1" s="1"/>
  <c r="BA2209" i="1" s="1"/>
  <c r="BA2210" i="1" s="1"/>
  <c r="BA2211" i="1" s="1"/>
  <c r="BA2212" i="1" s="1"/>
  <c r="BA2213" i="1" s="1"/>
  <c r="BA2214" i="1" s="1"/>
  <c r="BA2215" i="1" s="1"/>
  <c r="BA2216" i="1" s="1"/>
  <c r="BA2217" i="1" s="1"/>
  <c r="BA2218" i="1" s="1"/>
  <c r="BA2219" i="1" s="1"/>
  <c r="BA2220" i="1" s="1"/>
  <c r="BA2221" i="1" s="1"/>
  <c r="BA2222" i="1" s="1"/>
  <c r="BA2223" i="1" s="1"/>
  <c r="BA2224" i="1" s="1"/>
  <c r="BA2225" i="1" s="1"/>
  <c r="BA2226" i="1" s="1"/>
  <c r="BA2227" i="1" s="1"/>
  <c r="BA2228" i="1" s="1"/>
  <c r="BA2229" i="1" s="1"/>
  <c r="BA2230" i="1" s="1"/>
  <c r="BA2231" i="1" s="1"/>
  <c r="BA2232" i="1" s="1"/>
  <c r="BA2233" i="1" s="1"/>
  <c r="BA2234" i="1" s="1"/>
  <c r="BA2235" i="1" s="1"/>
  <c r="BA2236" i="1" s="1"/>
  <c r="BA2237" i="1" s="1"/>
  <c r="BA2238" i="1" s="1"/>
  <c r="BA2239" i="1" s="1"/>
  <c r="BA2240" i="1" s="1"/>
  <c r="BA2241" i="1" s="1"/>
  <c r="BA2242" i="1" s="1"/>
  <c r="BA2243" i="1" s="1"/>
  <c r="BA2244" i="1" s="1"/>
  <c r="BA2245" i="1" s="1"/>
  <c r="BA2246" i="1" s="1"/>
  <c r="BA2247" i="1" s="1"/>
  <c r="BA2248" i="1" s="1"/>
  <c r="BA2249" i="1" s="1"/>
  <c r="BA2250" i="1" s="1"/>
  <c r="BA2251" i="1" s="1"/>
  <c r="BA2252" i="1" s="1"/>
  <c r="BA2253" i="1" s="1"/>
  <c r="BA2254" i="1" s="1"/>
  <c r="BA2255" i="1" s="1"/>
  <c r="BA2256" i="1" s="1"/>
  <c r="BA2257" i="1" s="1"/>
  <c r="BA2258" i="1" s="1"/>
  <c r="BA2259" i="1" s="1"/>
  <c r="BA2260" i="1" s="1"/>
  <c r="BA2261" i="1" s="1"/>
  <c r="BA2262" i="1" s="1"/>
  <c r="BA2263" i="1" s="1"/>
  <c r="BA2264" i="1" s="1"/>
  <c r="BA2265" i="1" s="1"/>
  <c r="BA2266" i="1" s="1"/>
  <c r="BA2267" i="1" s="1"/>
  <c r="BA2268" i="1" s="1"/>
  <c r="BA2269" i="1" s="1"/>
  <c r="BA2270" i="1" s="1"/>
  <c r="BA2271" i="1" s="1"/>
  <c r="BA2272" i="1" s="1"/>
  <c r="BA2273" i="1" s="1"/>
  <c r="BA2274" i="1" s="1"/>
  <c r="BA2275" i="1" s="1"/>
  <c r="BA2276" i="1" s="1"/>
  <c r="BA2277" i="1" s="1"/>
  <c r="BA2278" i="1" s="1"/>
  <c r="BA2279" i="1" s="1"/>
  <c r="BA2280" i="1" s="1"/>
  <c r="BA2281" i="1" s="1"/>
  <c r="BA2282" i="1" s="1"/>
  <c r="BA2283" i="1" s="1"/>
  <c r="BA2284" i="1" s="1"/>
  <c r="BA2285" i="1" s="1"/>
  <c r="BA2286" i="1" s="1"/>
  <c r="BA2287" i="1" s="1"/>
  <c r="BA2288" i="1" s="1"/>
  <c r="BA2289" i="1" s="1"/>
  <c r="BA2290" i="1" s="1"/>
  <c r="BA2291" i="1" s="1"/>
  <c r="BA2292" i="1" s="1"/>
  <c r="BA2293" i="1" s="1"/>
  <c r="BA2294" i="1" s="1"/>
  <c r="BA2295" i="1" s="1"/>
  <c r="BA2296" i="1" s="1"/>
  <c r="BA2297" i="1" s="1"/>
  <c r="BA2298" i="1" s="1"/>
  <c r="BA2299" i="1" s="1"/>
  <c r="BA2300" i="1" s="1"/>
  <c r="BA2301" i="1" s="1"/>
  <c r="BA2302" i="1" s="1"/>
  <c r="BA2303" i="1" s="1"/>
  <c r="BA2304" i="1" s="1"/>
  <c r="BA2305" i="1" s="1"/>
  <c r="BA2306" i="1" s="1"/>
  <c r="BA2307" i="1" s="1"/>
  <c r="BA2308" i="1" s="1"/>
  <c r="BA2309" i="1" s="1"/>
  <c r="BA2310" i="1" s="1"/>
  <c r="BA2311" i="1" s="1"/>
  <c r="BA2312" i="1" s="1"/>
  <c r="BA2313" i="1" s="1"/>
  <c r="BA2314" i="1" s="1"/>
  <c r="BA2315" i="1" s="1"/>
  <c r="BA2316" i="1" s="1"/>
  <c r="BA2317" i="1" s="1"/>
  <c r="BA2318" i="1" s="1"/>
  <c r="BA2319" i="1" s="1"/>
  <c r="BA2320" i="1" s="1"/>
  <c r="BA2321" i="1" s="1"/>
  <c r="BA2322" i="1" s="1"/>
  <c r="BA2323" i="1" s="1"/>
  <c r="BA2324" i="1" s="1"/>
  <c r="BA2325" i="1" s="1"/>
  <c r="BA2326" i="1" s="1"/>
  <c r="BA2327" i="1" s="1"/>
  <c r="BA2328" i="1" s="1"/>
  <c r="BA2329" i="1" s="1"/>
  <c r="BA2330" i="1" s="1"/>
  <c r="BA2331" i="1" s="1"/>
  <c r="BA2332" i="1" s="1"/>
  <c r="BA2333" i="1" s="1"/>
  <c r="BA2334" i="1" s="1"/>
  <c r="BA2335" i="1" s="1"/>
  <c r="BA2336" i="1" s="1"/>
  <c r="BA2337" i="1" s="1"/>
  <c r="BA2338" i="1" s="1"/>
  <c r="BA2339" i="1" s="1"/>
  <c r="BA2340" i="1" s="1"/>
  <c r="BA2341" i="1" s="1"/>
  <c r="BA2342" i="1" s="1"/>
  <c r="BA2343" i="1" s="1"/>
  <c r="BA2344" i="1" s="1"/>
  <c r="BA2345" i="1" s="1"/>
  <c r="BA2346" i="1" s="1"/>
  <c r="BA2347" i="1" s="1"/>
  <c r="BA2348" i="1" s="1"/>
  <c r="BA2349" i="1" s="1"/>
  <c r="BA2350" i="1" s="1"/>
  <c r="BA2351" i="1" s="1"/>
  <c r="BA2352" i="1" s="1"/>
  <c r="BA2353" i="1" s="1"/>
  <c r="BA2354" i="1" s="1"/>
  <c r="BA2355" i="1" s="1"/>
  <c r="BA2356" i="1" s="1"/>
  <c r="BA2357" i="1" s="1"/>
  <c r="BA2358" i="1" s="1"/>
  <c r="BA2359" i="1" s="1"/>
  <c r="BA2360" i="1" s="1"/>
  <c r="BA2361" i="1" s="1"/>
  <c r="BA2362" i="1" s="1"/>
  <c r="BA2363" i="1" s="1"/>
  <c r="BA2364" i="1" s="1"/>
  <c r="BA2365" i="1" s="1"/>
  <c r="BA2366" i="1" s="1"/>
  <c r="BA2367" i="1" s="1"/>
  <c r="BA2368" i="1" s="1"/>
  <c r="BA2369" i="1" s="1"/>
  <c r="BA2370" i="1" s="1"/>
  <c r="BA2371" i="1" s="1"/>
  <c r="BA2372" i="1" s="1"/>
  <c r="BA2373" i="1" s="1"/>
  <c r="BA2374" i="1" s="1"/>
  <c r="BA2375" i="1" s="1"/>
  <c r="BA2376" i="1" s="1"/>
  <c r="BA2377" i="1" s="1"/>
  <c r="BA2378" i="1" s="1"/>
  <c r="BA2379" i="1" s="1"/>
  <c r="BA2380" i="1" s="1"/>
  <c r="BA2381" i="1" s="1"/>
  <c r="BA2382" i="1" s="1"/>
  <c r="BA2383" i="1" s="1"/>
  <c r="BA2384" i="1" s="1"/>
  <c r="BA2385" i="1" s="1"/>
  <c r="BA2386" i="1" s="1"/>
  <c r="BA2387" i="1" s="1"/>
  <c r="BA2388" i="1" s="1"/>
  <c r="BA2389" i="1" s="1"/>
  <c r="BA2390" i="1" s="1"/>
  <c r="BA2391" i="1" s="1"/>
  <c r="BA2392" i="1" s="1"/>
  <c r="BA2393" i="1" s="1"/>
  <c r="BA2394" i="1" s="1"/>
  <c r="BA2395" i="1" s="1"/>
  <c r="BA2396" i="1" s="1"/>
  <c r="BA2397" i="1" s="1"/>
  <c r="BA2398" i="1" s="1"/>
  <c r="BA2399" i="1" s="1"/>
  <c r="BA2400" i="1" s="1"/>
  <c r="BA2401" i="1" s="1"/>
  <c r="BA2402" i="1" s="1"/>
  <c r="BA2403" i="1" s="1"/>
  <c r="BA2404" i="1" s="1"/>
  <c r="BA2405" i="1" s="1"/>
  <c r="BA2406" i="1" s="1"/>
  <c r="BA2407" i="1" s="1"/>
  <c r="BA2408" i="1" s="1"/>
  <c r="BA2409" i="1" s="1"/>
  <c r="BA2410" i="1" s="1"/>
  <c r="BA2411" i="1" s="1"/>
  <c r="BA2412" i="1" s="1"/>
  <c r="BA2413" i="1" s="1"/>
  <c r="BA2414" i="1" s="1"/>
  <c r="BA2415" i="1" s="1"/>
  <c r="BA2416" i="1" s="1"/>
  <c r="BA2417" i="1" s="1"/>
  <c r="BA2418" i="1" s="1"/>
  <c r="BA2419" i="1" s="1"/>
  <c r="BA2420" i="1" s="1"/>
  <c r="BA2421" i="1" s="1"/>
  <c r="BA2422" i="1" s="1"/>
  <c r="BA2423" i="1" s="1"/>
  <c r="BA2424" i="1" s="1"/>
  <c r="BA2425" i="1" s="1"/>
  <c r="BA2426" i="1" s="1"/>
  <c r="BA2427" i="1" s="1"/>
  <c r="BA2428" i="1" s="1"/>
  <c r="BA2429" i="1" s="1"/>
  <c r="AA2" i="1"/>
  <c r="BH3" i="1"/>
  <c r="BH4" i="1" s="1"/>
  <c r="AB2" i="1"/>
  <c r="AC2" i="1" s="1"/>
  <c r="AP479" i="1" l="1"/>
  <c r="AP566" i="1"/>
  <c r="AP357" i="1"/>
  <c r="AP369" i="1"/>
  <c r="AP177" i="1"/>
  <c r="AP534" i="1"/>
  <c r="AP529" i="1"/>
  <c r="AP133" i="1"/>
  <c r="AP42" i="1"/>
  <c r="AP847" i="1"/>
  <c r="AP341" i="1"/>
  <c r="AP414" i="1"/>
  <c r="AP319" i="1"/>
  <c r="AL456" i="1"/>
  <c r="AP456" i="1" s="1"/>
  <c r="AJ457" i="1"/>
  <c r="AL457" i="1" s="1"/>
  <c r="AP457" i="1" s="1"/>
  <c r="AP560" i="1"/>
  <c r="AP472" i="1"/>
  <c r="AP372" i="1"/>
  <c r="AP428" i="1"/>
  <c r="BA8" i="8"/>
  <c r="BB8" i="8" s="1"/>
  <c r="BC8" i="8" s="1"/>
  <c r="BA23" i="8"/>
  <c r="BB23" i="8" s="1"/>
  <c r="BC23" i="8" s="1"/>
  <c r="BA34" i="8"/>
  <c r="BB34" i="8" s="1"/>
  <c r="BC34" i="8" s="1"/>
  <c r="BA38" i="8"/>
  <c r="BB38" i="8" s="1"/>
  <c r="BC38" i="8" s="1"/>
  <c r="BC56" i="8"/>
  <c r="BC58" i="8"/>
  <c r="BC67" i="8"/>
  <c r="BC89" i="8"/>
  <c r="BA18" i="8"/>
  <c r="BB18" i="8" s="1"/>
  <c r="BC18" i="8" s="1"/>
  <c r="BC47" i="8"/>
  <c r="BA20" i="8"/>
  <c r="BB20" i="8" s="1"/>
  <c r="BC20" i="8" s="1"/>
  <c r="BA36" i="8"/>
  <c r="BB36" i="8" s="1"/>
  <c r="BC36" i="8" s="1"/>
  <c r="BC44" i="8"/>
  <c r="BC65" i="8"/>
  <c r="BA10" i="8"/>
  <c r="BB10" i="8" s="1"/>
  <c r="BC10" i="8" s="1"/>
  <c r="BA40" i="8"/>
  <c r="BC42" i="8"/>
  <c r="BC79" i="8"/>
  <c r="BC84" i="8"/>
  <c r="BC96" i="8"/>
  <c r="BA12" i="8"/>
  <c r="BB12" i="8" s="1"/>
  <c r="BC12" i="8" s="1"/>
  <c r="BA25" i="8"/>
  <c r="BB25" i="8" s="1"/>
  <c r="BC25" i="8" s="1"/>
  <c r="BA27" i="8"/>
  <c r="BB27" i="8" s="1"/>
  <c r="BC27" i="8" s="1"/>
  <c r="BA29" i="8"/>
  <c r="BB29" i="8" s="1"/>
  <c r="BC29" i="8" s="1"/>
  <c r="BC102" i="8"/>
  <c r="BA14" i="8"/>
  <c r="BB14" i="8" s="1"/>
  <c r="BC14" i="8" s="1"/>
  <c r="BC46" i="8"/>
  <c r="BC51" i="8"/>
  <c r="BC53" i="8"/>
  <c r="BC55" i="8"/>
  <c r="BC60" i="8"/>
  <c r="BC72" i="8"/>
  <c r="BC77" i="8"/>
  <c r="BC82" i="8"/>
  <c r="BA5" i="8"/>
  <c r="BB5" i="8" s="1"/>
  <c r="BC5" i="8" s="1"/>
  <c r="BA7" i="8"/>
  <c r="BB7" i="8" s="1"/>
  <c r="BC7" i="8" s="1"/>
  <c r="BA31" i="8"/>
  <c r="BB31" i="8" s="1"/>
  <c r="BC31" i="8" s="1"/>
  <c r="BC49" i="8"/>
  <c r="BC62" i="8"/>
  <c r="BC86" i="8"/>
  <c r="BC88" i="8"/>
  <c r="BC93" i="8"/>
  <c r="BC100" i="8"/>
  <c r="BC104" i="8"/>
  <c r="BA17" i="8"/>
  <c r="BB17" i="8" s="1"/>
  <c r="BC17" i="8" s="1"/>
  <c r="BC57" i="8"/>
  <c r="BC64" i="8"/>
  <c r="BC68" i="8"/>
  <c r="BC70" i="8"/>
  <c r="BC91" i="8"/>
  <c r="BC98" i="8"/>
  <c r="BA9" i="8"/>
  <c r="BB9" i="8" s="1"/>
  <c r="BC9" i="8" s="1"/>
  <c r="BA16" i="8"/>
  <c r="BB16" i="8" s="1"/>
  <c r="BC16" i="8" s="1"/>
  <c r="BA19" i="8"/>
  <c r="BB19" i="8" s="1"/>
  <c r="BC19" i="8" s="1"/>
  <c r="BA22" i="8"/>
  <c r="BB22" i="8" s="1"/>
  <c r="BC22" i="8" s="1"/>
  <c r="BA35" i="8"/>
  <c r="BB35" i="8" s="1"/>
  <c r="BC35" i="8" s="1"/>
  <c r="BA33" i="8"/>
  <c r="BB33" i="8" s="1"/>
  <c r="BC33" i="8" s="1"/>
  <c r="BA37" i="8"/>
  <c r="BB37" i="8" s="1"/>
  <c r="BC37" i="8" s="1"/>
  <c r="BC66" i="8"/>
  <c r="BA21" i="8"/>
  <c r="BB21" i="8" s="1"/>
  <c r="BC21" i="8" s="1"/>
  <c r="BA39" i="8"/>
  <c r="BB39" i="8" s="1"/>
  <c r="BC39" i="8" s="1"/>
  <c r="BC90" i="8"/>
  <c r="BC95" i="8"/>
  <c r="BC106" i="8"/>
  <c r="BA11" i="8"/>
  <c r="BB11" i="8" s="1"/>
  <c r="BC11" i="8" s="1"/>
  <c r="BA28" i="8"/>
  <c r="BB28" i="8" s="1"/>
  <c r="BC28" i="8" s="1"/>
  <c r="BA30" i="8"/>
  <c r="BB30" i="8" s="1"/>
  <c r="BC30" i="8" s="1"/>
  <c r="BC43" i="8"/>
  <c r="BC48" i="8"/>
  <c r="BC76" i="8"/>
  <c r="BC81" i="8"/>
  <c r="BC85" i="8"/>
  <c r="BC103" i="8"/>
  <c r="BA24" i="8"/>
  <c r="BB24" i="8" s="1"/>
  <c r="BC24" i="8" s="1"/>
  <c r="BA26" i="8"/>
  <c r="BB26" i="8" s="1"/>
  <c r="BC26" i="8" s="1"/>
  <c r="BC52" i="8"/>
  <c r="BC78" i="8"/>
  <c r="BC83" i="8"/>
  <c r="BC97" i="8"/>
  <c r="BA4" i="8"/>
  <c r="BB4" i="8" s="1"/>
  <c r="BC4" i="8" s="1"/>
  <c r="BA13" i="8"/>
  <c r="BB13" i="8" s="1"/>
  <c r="BC13" i="8" s="1"/>
  <c r="BC50" i="8"/>
  <c r="BC54" i="8"/>
  <c r="BC87" i="8"/>
  <c r="BC94" i="8"/>
  <c r="BC101" i="8"/>
  <c r="BA6" i="8"/>
  <c r="BB6" i="8" s="1"/>
  <c r="BC6" i="8" s="1"/>
  <c r="BC45" i="8"/>
  <c r="BC59" i="8"/>
  <c r="BC61" i="8"/>
  <c r="BC69" i="8"/>
  <c r="BC71" i="8"/>
  <c r="BC105" i="8"/>
  <c r="BA15" i="8"/>
  <c r="BB15" i="8" s="1"/>
  <c r="BC15" i="8" s="1"/>
  <c r="BA32" i="8"/>
  <c r="BB32" i="8" s="1"/>
  <c r="BC32" i="8" s="1"/>
  <c r="BC63" i="8"/>
  <c r="BC73" i="8"/>
  <c r="BC80" i="8"/>
  <c r="BC92" i="8"/>
  <c r="BC99" i="8"/>
  <c r="BB22" i="1"/>
  <c r="BT21" i="1"/>
  <c r="AJ485" i="1"/>
  <c r="AL485" i="1" s="1"/>
  <c r="AL484" i="1"/>
  <c r="AP484" i="1" s="1"/>
  <c r="AP485" i="1" s="1"/>
  <c r="U545" i="1"/>
  <c r="V545" i="1"/>
  <c r="V494" i="1"/>
  <c r="U494" i="1"/>
  <c r="AJ2" i="1"/>
  <c r="AK2" i="1"/>
  <c r="AQ2" i="1"/>
  <c r="AO2" i="1"/>
  <c r="AP2" i="1"/>
  <c r="BB23" i="1" l="1"/>
  <c r="BT22" i="1"/>
  <c r="BC75" i="8"/>
  <c r="BC74" i="8"/>
  <c r="BA41" i="8"/>
  <c r="BB41" i="8" s="1"/>
  <c r="BC41" i="8" s="1"/>
  <c r="BB40" i="8"/>
  <c r="BC40" i="8" s="1"/>
  <c r="AS2" i="1"/>
  <c r="AR2" i="1"/>
  <c r="BB24" i="1" l="1"/>
  <c r="BT23" i="1"/>
  <c r="AC3" i="1"/>
  <c r="BB25" i="1" l="1"/>
  <c r="BT24" i="1"/>
  <c r="AK4" i="1"/>
  <c r="AJ4" i="1"/>
  <c r="AL4" i="1" s="1"/>
  <c r="AO4" i="1"/>
  <c r="AQ4" i="1"/>
  <c r="AQ5" i="1" s="1"/>
  <c r="AP4" i="1"/>
  <c r="BU2" i="1"/>
  <c r="BT2" i="1" s="1"/>
  <c r="BB26" i="1" l="1"/>
  <c r="BT25" i="1"/>
  <c r="BK4" i="1"/>
  <c r="BJ4" i="1"/>
  <c r="BL4" i="1"/>
  <c r="AS4" i="1"/>
  <c r="AK3" i="8"/>
  <c r="AG3" i="8"/>
  <c r="BB27" i="1" l="1"/>
  <c r="BT26" i="1"/>
  <c r="AR4" i="1"/>
  <c r="Z4" i="1" a="1"/>
  <c r="Z4" i="1" s="1"/>
  <c r="AJ3" i="8"/>
  <c r="AO3" i="8" s="1"/>
  <c r="AV3" i="8" s="1"/>
  <c r="AY3" i="8" s="1"/>
  <c r="AI3" i="8"/>
  <c r="AT2" i="1"/>
  <c r="BP2" i="1"/>
  <c r="BQ2" i="1" s="1"/>
  <c r="BB28" i="1" l="1"/>
  <c r="BT27" i="1"/>
  <c r="BU4" i="1"/>
  <c r="BT4" i="1" s="1"/>
  <c r="BS4" i="1"/>
  <c r="BR4" i="1" s="1"/>
  <c r="BN4" i="1"/>
  <c r="BO4" i="1" s="1"/>
  <c r="BP4" i="1" s="1"/>
  <c r="BQ4" i="1" s="1"/>
  <c r="BA3" i="8"/>
  <c r="BT3" i="1"/>
  <c r="AS3" i="8"/>
  <c r="AN3" i="8"/>
  <c r="AP3" i="8" s="1"/>
  <c r="AX3" i="8" s="1"/>
  <c r="AW3" i="8" s="1"/>
  <c r="AQ3" i="8"/>
  <c r="BS3" i="1"/>
  <c r="BR3" i="1" s="1"/>
  <c r="BB2" i="8"/>
  <c r="AT4" i="1"/>
  <c r="BN3" i="1"/>
  <c r="BB29" i="1" l="1"/>
  <c r="BT28" i="1"/>
  <c r="BB3" i="8"/>
  <c r="BC3" i="8" s="1"/>
  <c r="AR3" i="8"/>
  <c r="AT3" i="1"/>
  <c r="AK2" i="8"/>
  <c r="AJ2" i="8"/>
  <c r="AM2" i="8"/>
  <c r="AL2" i="8"/>
  <c r="AH2" i="8"/>
  <c r="BJ3" i="1"/>
  <c r="BB30" i="1" l="1"/>
  <c r="BT29" i="1"/>
  <c r="AO2" i="8"/>
  <c r="AV2" i="8" s="1"/>
  <c r="AY2" i="8" s="1"/>
  <c r="AN2" i="8"/>
  <c r="AP2" i="8" s="1"/>
  <c r="AX2" i="8" s="1"/>
  <c r="AW2" i="8" s="1"/>
  <c r="AI2" i="8"/>
  <c r="BC2" i="8" s="1"/>
  <c r="AS2" i="8"/>
  <c r="AQ2" i="8"/>
  <c r="BB31" i="1" l="1"/>
  <c r="BT30" i="1"/>
  <c r="AR2" i="8"/>
  <c r="BB32" i="1" l="1"/>
  <c r="BT31" i="1"/>
  <c r="BK3" i="1"/>
  <c r="BB33" i="1" l="1"/>
  <c r="BT32" i="1"/>
  <c r="BL3" i="1"/>
  <c r="BO3" i="1"/>
  <c r="BP3" i="1" s="1"/>
  <c r="BQ3" i="1" s="1"/>
  <c r="BB34" i="1" l="1"/>
  <c r="BT33" i="1"/>
  <c r="AE14" i="11"/>
  <c r="BB35" i="1" l="1"/>
  <c r="BT34" i="1"/>
  <c r="AE10" i="11"/>
  <c r="BB36" i="1" l="1"/>
  <c r="BT35" i="1"/>
  <c r="AF23" i="11"/>
  <c r="BB37" i="1" l="1"/>
  <c r="BT36" i="1"/>
  <c r="AF20" i="11"/>
  <c r="BB38" i="1" l="1"/>
  <c r="BT37" i="1"/>
  <c r="AF19" i="11"/>
  <c r="BB39" i="1" l="1"/>
  <c r="BT38" i="1"/>
  <c r="AF27" i="11"/>
  <c r="BB40" i="1" l="1"/>
  <c r="BT39" i="1"/>
  <c r="AF22" i="11"/>
  <c r="BB41" i="1" l="1"/>
  <c r="BT40" i="1"/>
  <c r="AF29" i="11"/>
  <c r="BB42" i="1" l="1"/>
  <c r="BT41" i="1"/>
  <c r="AF17" i="11"/>
  <c r="BB43" i="1" l="1"/>
  <c r="BT42" i="1"/>
  <c r="AF11" i="11"/>
  <c r="AC11" i="11"/>
  <c r="AH11" i="11" s="1"/>
  <c r="BB44" i="1" l="1"/>
  <c r="BT43" i="1"/>
  <c r="AF15" i="11"/>
  <c r="BB45" i="1" l="1"/>
  <c r="BT44" i="1"/>
  <c r="AF25" i="11"/>
  <c r="AD25" i="11"/>
  <c r="AI25" i="11" s="1"/>
  <c r="BB46" i="1" l="1"/>
  <c r="BT45" i="1"/>
  <c r="AF26" i="11"/>
  <c r="AC26" i="11"/>
  <c r="BB47" i="1" l="1"/>
  <c r="BT46" i="1"/>
  <c r="AH26" i="11"/>
  <c r="BB48" i="1" l="1"/>
  <c r="BT47" i="1"/>
  <c r="AF21" i="11"/>
  <c r="AD21" i="11"/>
  <c r="AI21" i="11" s="1"/>
  <c r="AC21" i="11"/>
  <c r="AH21" i="11" s="1"/>
  <c r="BB49" i="1" l="1"/>
  <c r="BT48" i="1"/>
  <c r="AD13" i="11"/>
  <c r="AI13" i="11" s="1"/>
  <c r="BB50" i="1" l="1"/>
  <c r="BT49" i="1"/>
  <c r="AF24" i="11"/>
  <c r="AD24" i="11"/>
  <c r="AI24" i="11" s="1"/>
  <c r="AC24" i="11"/>
  <c r="AH24" i="11" s="1"/>
  <c r="BB51" i="1" l="1"/>
  <c r="BT50" i="1"/>
  <c r="AD28" i="11"/>
  <c r="AI28" i="11" s="1"/>
  <c r="AC28" i="11"/>
  <c r="AH28" i="11" s="1"/>
  <c r="BB52" i="1" l="1"/>
  <c r="BT51" i="1"/>
  <c r="AF16" i="11"/>
  <c r="AD16" i="11"/>
  <c r="AI16" i="11" s="1"/>
  <c r="AC16" i="11"/>
  <c r="AH16" i="11" s="1"/>
  <c r="BB53" i="1" l="1"/>
  <c r="BT52" i="1"/>
  <c r="AC18" i="11"/>
  <c r="BB54" i="1" l="1"/>
  <c r="BT53" i="1"/>
  <c r="AH18" i="11"/>
  <c r="BB55" i="1" l="1"/>
  <c r="BT54" i="1"/>
  <c r="AD18" i="11"/>
  <c r="AI18" i="11" s="1"/>
  <c r="AE6" i="11"/>
  <c r="BB56" i="1" l="1"/>
  <c r="BT55" i="1"/>
  <c r="AF3" i="11"/>
  <c r="AD6" i="11"/>
  <c r="AI6" i="11" s="1"/>
  <c r="AE15" i="11"/>
  <c r="AG15" i="11" s="1"/>
  <c r="AJ15" i="11" s="1"/>
  <c r="AF10" i="11"/>
  <c r="AG10" i="11" s="1"/>
  <c r="AJ10" i="11" s="1"/>
  <c r="AC8" i="11"/>
  <c r="AH8" i="11" s="1"/>
  <c r="AE4" i="11"/>
  <c r="AE27" i="11"/>
  <c r="AG27" i="11" s="1"/>
  <c r="AJ27" i="11" s="1"/>
  <c r="AD5" i="11"/>
  <c r="AI5" i="11" s="1"/>
  <c r="AF13" i="11"/>
  <c r="AC7" i="11"/>
  <c r="AH7" i="11" s="1"/>
  <c r="BB57" i="1" l="1"/>
  <c r="BT56" i="1"/>
  <c r="AC10" i="11"/>
  <c r="AH10" i="11" s="1"/>
  <c r="AD19" i="11"/>
  <c r="AI19" i="11" s="1"/>
  <c r="AC22" i="11"/>
  <c r="AH22" i="11" s="1"/>
  <c r="AD4" i="11"/>
  <c r="AI4" i="11" s="1"/>
  <c r="AF7" i="11"/>
  <c r="AE8" i="11"/>
  <c r="AE11" i="11"/>
  <c r="AG11" i="11" s="1"/>
  <c r="AJ11" i="11" s="1"/>
  <c r="AD26" i="11"/>
  <c r="AI26" i="11" s="1"/>
  <c r="AC5" i="11"/>
  <c r="AH5" i="11" s="1"/>
  <c r="AF6" i="11"/>
  <c r="AG6" i="11" s="1"/>
  <c r="AJ6" i="11" s="1"/>
  <c r="AD15" i="11"/>
  <c r="AI15" i="11" s="1"/>
  <c r="AD10" i="11"/>
  <c r="AI10" i="11" s="1"/>
  <c r="AF5" i="11"/>
  <c r="AC3" i="11"/>
  <c r="AH3" i="11" s="1"/>
  <c r="AD11" i="11"/>
  <c r="AI11" i="11" s="1"/>
  <c r="AE7" i="11"/>
  <c r="AC4" i="11"/>
  <c r="AH4" i="11" s="1"/>
  <c r="AF14" i="11"/>
  <c r="AG14" i="11" s="1"/>
  <c r="AJ14" i="11" s="1"/>
  <c r="AF4" i="11"/>
  <c r="AG4" i="11" s="1"/>
  <c r="AJ4" i="11" s="1"/>
  <c r="AE19" i="11"/>
  <c r="AG19" i="11" s="1"/>
  <c r="AJ19" i="11" s="1"/>
  <c r="AD9" i="11"/>
  <c r="AD7" i="11"/>
  <c r="AI7" i="11" s="1"/>
  <c r="AF9" i="11"/>
  <c r="AC6" i="11"/>
  <c r="AH6" i="11" s="1"/>
  <c r="AF8" i="11"/>
  <c r="AE5" i="11"/>
  <c r="AD8" i="11"/>
  <c r="AI8" i="11" s="1"/>
  <c r="AD22" i="11"/>
  <c r="AI22" i="11" s="1"/>
  <c r="AD14" i="11"/>
  <c r="AI14" i="11" s="1"/>
  <c r="AD27" i="11"/>
  <c r="AI27" i="11" s="1"/>
  <c r="AC14" i="11"/>
  <c r="AH14" i="11" s="1"/>
  <c r="BB58" i="1" l="1"/>
  <c r="BT57" i="1"/>
  <c r="AG7" i="11"/>
  <c r="AJ7" i="11" s="1"/>
  <c r="AD23" i="11"/>
  <c r="AI23" i="11" s="1"/>
  <c r="AG5" i="11"/>
  <c r="AJ5" i="11" s="1"/>
  <c r="AG8" i="11"/>
  <c r="AJ8" i="11" s="1"/>
  <c r="AE23" i="11"/>
  <c r="AG23" i="11" s="1"/>
  <c r="AJ23" i="11" s="1"/>
  <c r="BB59" i="1" l="1"/>
  <c r="BT58" i="1"/>
  <c r="AF12" i="11"/>
  <c r="AD12" i="11"/>
  <c r="AI12" i="11" s="1"/>
  <c r="AC12" i="11"/>
  <c r="AH12" i="11" s="1"/>
  <c r="BB60" i="1" l="1"/>
  <c r="BT59" i="1"/>
  <c r="AI9" i="11"/>
  <c r="BB61" i="1" l="1"/>
  <c r="BT60" i="1"/>
  <c r="AC27" i="11"/>
  <c r="AH27" i="11" s="1"/>
  <c r="BB62" i="1" l="1"/>
  <c r="BT61" i="1"/>
  <c r="AC23" i="11"/>
  <c r="AH23" i="11" s="1"/>
  <c r="BB63" i="1" l="1"/>
  <c r="BT62" i="1"/>
  <c r="AE13" i="11"/>
  <c r="AG13" i="11" s="1"/>
  <c r="AJ13" i="11" s="1"/>
  <c r="AC13" i="11"/>
  <c r="AH13" i="11" s="1"/>
  <c r="BB64" i="1" l="1"/>
  <c r="BT63" i="1"/>
  <c r="AE9" i="11"/>
  <c r="AG9" i="11" s="1"/>
  <c r="AJ9" i="11" s="1"/>
  <c r="AC9" i="11"/>
  <c r="AH9" i="11" s="1"/>
  <c r="BB65" i="1" l="1"/>
  <c r="BT64" i="1"/>
  <c r="AD17" i="11"/>
  <c r="AI17" i="11" s="1"/>
  <c r="BB66" i="1" l="1"/>
  <c r="BT65" i="1"/>
  <c r="AE25" i="11"/>
  <c r="AG25" i="11" s="1"/>
  <c r="AJ25" i="11" s="1"/>
  <c r="AC25" i="11"/>
  <c r="AH25" i="11" s="1"/>
  <c r="BB67" i="1" l="1"/>
  <c r="BT66" i="1"/>
  <c r="AC19" i="11"/>
  <c r="AH19" i="11" s="1"/>
  <c r="BB68" i="1" l="1"/>
  <c r="BT67" i="1"/>
  <c r="AE20" i="11"/>
  <c r="AG20" i="11" s="1"/>
  <c r="AJ20" i="11" s="1"/>
  <c r="AC20" i="11"/>
  <c r="AH20" i="11" s="1"/>
  <c r="AD20" i="11"/>
  <c r="AI20" i="11" s="1"/>
  <c r="BB69" i="1" l="1"/>
  <c r="BT68" i="1"/>
  <c r="AE22" i="11"/>
  <c r="AG22" i="11" s="1"/>
  <c r="AJ22" i="11" s="1"/>
  <c r="BB70" i="1" l="1"/>
  <c r="BT69" i="1"/>
  <c r="AE29" i="11"/>
  <c r="AG29" i="11" s="1"/>
  <c r="AJ29" i="11" s="1"/>
  <c r="AD29" i="11"/>
  <c r="AI29" i="11" s="1"/>
  <c r="AC29" i="11"/>
  <c r="AH29" i="11" s="1"/>
  <c r="BB71" i="1" l="1"/>
  <c r="BT70" i="1"/>
  <c r="AE26" i="11"/>
  <c r="AG26" i="11" s="1"/>
  <c r="AJ26" i="11" s="1"/>
  <c r="BB72" i="1" l="1"/>
  <c r="BT71" i="1"/>
  <c r="AE16" i="11"/>
  <c r="AG16" i="11" s="1"/>
  <c r="AJ16" i="11" s="1"/>
  <c r="BB73" i="1" l="1"/>
  <c r="BT72" i="1"/>
  <c r="AE21" i="11"/>
  <c r="AG21" i="11" s="1"/>
  <c r="AJ21" i="11" s="1"/>
  <c r="BB74" i="1" l="1"/>
  <c r="BT73" i="1"/>
  <c r="AE12" i="11"/>
  <c r="AG12" i="11" s="1"/>
  <c r="AJ12" i="11" s="1"/>
  <c r="BB75" i="1" l="1"/>
  <c r="BT74" i="1"/>
  <c r="AE28" i="11"/>
  <c r="BB76" i="1" l="1"/>
  <c r="BT75" i="1"/>
  <c r="AE24" i="11"/>
  <c r="AG24" i="11" s="1"/>
  <c r="AJ24" i="11" s="1"/>
  <c r="BB77" i="1" l="1"/>
  <c r="BT76" i="1"/>
  <c r="AC15" i="11"/>
  <c r="AH15" i="11" s="1"/>
  <c r="BB78" i="1" l="1"/>
  <c r="BT77" i="1"/>
  <c r="AF28" i="11"/>
  <c r="AG28" i="11" s="1"/>
  <c r="AJ28" i="11" s="1"/>
  <c r="AF18" i="11"/>
  <c r="AC17" i="11"/>
  <c r="AH17" i="11" s="1"/>
  <c r="AE18" i="11"/>
  <c r="AE17" i="11"/>
  <c r="AG17" i="11" s="1"/>
  <c r="AJ17" i="11" s="1"/>
  <c r="AE3" i="11"/>
  <c r="AG3" i="11" s="1"/>
  <c r="AJ3" i="11" s="1"/>
  <c r="AD3" i="11"/>
  <c r="AI3" i="11" s="1"/>
  <c r="BB79" i="1" l="1"/>
  <c r="BT78" i="1"/>
  <c r="AG18" i="11"/>
  <c r="AJ18" i="11" s="1"/>
  <c r="BB80" i="1" l="1"/>
  <c r="BT79" i="1"/>
  <c r="AS3" i="11" a="1"/>
  <c r="AS3" i="11" s="1"/>
  <c r="AR3" i="11" a="1"/>
  <c r="AR3" i="11" s="1"/>
  <c r="AP3" i="11" a="1"/>
  <c r="AP3" i="11" s="1"/>
  <c r="AT3" i="11" a="1"/>
  <c r="AT3" i="11" s="1"/>
  <c r="AO3" i="11" a="1"/>
  <c r="AO3" i="11" s="1"/>
  <c r="AQ3" i="11" a="1"/>
  <c r="AQ3" i="11" s="1"/>
  <c r="BB81" i="1" l="1"/>
  <c r="BT80" i="1"/>
  <c r="BB82" i="1" l="1"/>
  <c r="BT81" i="1"/>
  <c r="BB83" i="1" l="1"/>
  <c r="BT82" i="1"/>
  <c r="BB84" i="1" l="1"/>
  <c r="BT83" i="1"/>
  <c r="BB85" i="1" l="1"/>
  <c r="BT84" i="1"/>
  <c r="BB86" i="1" l="1"/>
  <c r="BT85" i="1"/>
  <c r="BB87" i="1" l="1"/>
  <c r="BT86" i="1"/>
  <c r="BB88" i="1" l="1"/>
  <c r="BT87" i="1"/>
  <c r="BB89" i="1" l="1"/>
  <c r="BT88" i="1"/>
  <c r="BB90" i="1" l="1"/>
  <c r="BT89" i="1"/>
  <c r="BB91" i="1" l="1"/>
  <c r="BT90" i="1"/>
  <c r="BB92" i="1" l="1"/>
  <c r="BT91" i="1"/>
  <c r="BB93" i="1" l="1"/>
  <c r="BT92" i="1"/>
  <c r="BB94" i="1" l="1"/>
  <c r="BT93" i="1"/>
  <c r="BB95" i="1" l="1"/>
  <c r="BT94" i="1"/>
  <c r="BB96" i="1" l="1"/>
  <c r="BT95" i="1"/>
  <c r="BB97" i="1" l="1"/>
  <c r="BT96" i="1"/>
  <c r="BB98" i="1" l="1"/>
  <c r="BT97" i="1"/>
  <c r="BB99" i="1" l="1"/>
  <c r="BT98" i="1"/>
  <c r="BB100" i="1" l="1"/>
  <c r="BT99" i="1"/>
  <c r="BB101" i="1" l="1"/>
  <c r="BT100" i="1"/>
  <c r="BB102" i="1" l="1"/>
  <c r="BT101" i="1"/>
  <c r="BB103" i="1" l="1"/>
  <c r="BT102" i="1"/>
  <c r="BB104" i="1" l="1"/>
  <c r="BT103" i="1"/>
  <c r="BB105" i="1" l="1"/>
  <c r="BT104" i="1"/>
  <c r="BB106" i="1" l="1"/>
  <c r="BT105" i="1"/>
  <c r="BB107" i="1" l="1"/>
  <c r="BT106" i="1"/>
  <c r="BB108" i="1" l="1"/>
  <c r="BT107" i="1"/>
  <c r="BB109" i="1" l="1"/>
  <c r="BT108" i="1"/>
  <c r="BB110" i="1" l="1"/>
  <c r="BT109" i="1"/>
  <c r="BB111" i="1" l="1"/>
  <c r="BT110" i="1"/>
  <c r="BB112" i="1" l="1"/>
  <c r="BT111" i="1"/>
  <c r="BB113" i="1" l="1"/>
  <c r="BT112" i="1"/>
  <c r="BB114" i="1" l="1"/>
  <c r="BT113" i="1"/>
  <c r="BB115" i="1" l="1"/>
  <c r="BT114" i="1"/>
  <c r="BB116" i="1" l="1"/>
  <c r="BT115" i="1"/>
  <c r="BB117" i="1" l="1"/>
  <c r="BT116" i="1"/>
  <c r="BB118" i="1" l="1"/>
  <c r="BT117" i="1"/>
  <c r="BB119" i="1" l="1"/>
  <c r="BT118" i="1"/>
  <c r="BB120" i="1" l="1"/>
  <c r="BT119" i="1"/>
  <c r="BB121" i="1" l="1"/>
  <c r="BT120" i="1"/>
  <c r="BB122" i="1" l="1"/>
  <c r="BT121" i="1"/>
  <c r="BB123" i="1" l="1"/>
  <c r="BT122" i="1"/>
  <c r="BB124" i="1" l="1"/>
  <c r="BT123" i="1"/>
  <c r="BB125" i="1" l="1"/>
  <c r="BT124" i="1"/>
  <c r="BB126" i="1" l="1"/>
  <c r="BT125" i="1"/>
  <c r="BB127" i="1" l="1"/>
  <c r="BT126" i="1"/>
  <c r="BB128" i="1" l="1"/>
  <c r="BT127" i="1"/>
  <c r="BB129" i="1" l="1"/>
  <c r="BT128" i="1"/>
  <c r="BB130" i="1" l="1"/>
  <c r="BT129" i="1"/>
  <c r="BB131" i="1" l="1"/>
  <c r="BT130" i="1"/>
  <c r="BB132" i="1" l="1"/>
  <c r="BT131" i="1"/>
  <c r="BB133" i="1" l="1"/>
  <c r="BT132" i="1"/>
  <c r="BB134" i="1" l="1"/>
  <c r="BT133" i="1"/>
  <c r="BB135" i="1" l="1"/>
  <c r="BT134" i="1"/>
  <c r="BB136" i="1" l="1"/>
  <c r="BT135" i="1"/>
  <c r="BB137" i="1" l="1"/>
  <c r="BT136" i="1"/>
  <c r="BB138" i="1" l="1"/>
  <c r="BT137" i="1"/>
  <c r="BB139" i="1" l="1"/>
  <c r="BT138" i="1"/>
  <c r="BB140" i="1" l="1"/>
  <c r="BT139" i="1"/>
  <c r="BB141" i="1" l="1"/>
  <c r="BT140" i="1"/>
  <c r="BB142" i="1" l="1"/>
  <c r="BT141" i="1"/>
  <c r="BB143" i="1" l="1"/>
  <c r="BT142" i="1"/>
  <c r="BB144" i="1" l="1"/>
  <c r="BT143" i="1"/>
  <c r="BB145" i="1" l="1"/>
  <c r="BT144" i="1"/>
  <c r="BB146" i="1" l="1"/>
  <c r="BT145" i="1"/>
  <c r="BB147" i="1" l="1"/>
  <c r="BT146" i="1"/>
  <c r="BB148" i="1" l="1"/>
  <c r="BT147" i="1"/>
  <c r="BB149" i="1" l="1"/>
  <c r="BT148" i="1"/>
  <c r="BB150" i="1" l="1"/>
  <c r="BT149" i="1"/>
  <c r="BB151" i="1" l="1"/>
  <c r="BT150" i="1"/>
  <c r="BB152" i="1" l="1"/>
  <c r="BT151" i="1"/>
  <c r="BB153" i="1" l="1"/>
  <c r="BT152" i="1"/>
  <c r="BB154" i="1" l="1"/>
  <c r="BT153" i="1"/>
  <c r="BB155" i="1" l="1"/>
  <c r="BT154" i="1"/>
  <c r="BB156" i="1" l="1"/>
  <c r="BT155" i="1"/>
  <c r="BB157" i="1" l="1"/>
  <c r="BT156" i="1"/>
  <c r="BB158" i="1" l="1"/>
  <c r="BT157" i="1"/>
  <c r="BB159" i="1" l="1"/>
  <c r="BT158" i="1"/>
  <c r="BB160" i="1" l="1"/>
  <c r="BT159" i="1"/>
  <c r="BB161" i="1" l="1"/>
  <c r="BT160" i="1"/>
  <c r="BB162" i="1" l="1"/>
  <c r="BT161" i="1"/>
  <c r="BB163" i="1" l="1"/>
  <c r="BT162" i="1"/>
  <c r="BB164" i="1" l="1"/>
  <c r="BT163" i="1"/>
  <c r="BB165" i="1" l="1"/>
  <c r="BT164" i="1"/>
  <c r="BB166" i="1" l="1"/>
  <c r="BT165" i="1"/>
  <c r="BB167" i="1" l="1"/>
  <c r="BT166" i="1"/>
  <c r="BB168" i="1" l="1"/>
  <c r="BT167" i="1"/>
  <c r="BB169" i="1" l="1"/>
  <c r="BT168" i="1"/>
  <c r="BB170" i="1" l="1"/>
  <c r="BT169" i="1"/>
  <c r="BB171" i="1" l="1"/>
  <c r="BT170" i="1"/>
  <c r="BB172" i="1" l="1"/>
  <c r="BT171" i="1"/>
  <c r="BB173" i="1" l="1"/>
  <c r="BT172" i="1"/>
  <c r="BB174" i="1" l="1"/>
  <c r="BT173" i="1"/>
  <c r="BB175" i="1" l="1"/>
  <c r="BT174" i="1"/>
  <c r="BB176" i="1" l="1"/>
  <c r="BT175" i="1"/>
  <c r="BB177" i="1" l="1"/>
  <c r="BT176" i="1"/>
  <c r="BB178" i="1" l="1"/>
  <c r="BT177" i="1"/>
  <c r="BB179" i="1" l="1"/>
  <c r="BT178" i="1"/>
  <c r="BB180" i="1" l="1"/>
  <c r="BT179" i="1"/>
  <c r="BB181" i="1" l="1"/>
  <c r="BT180" i="1"/>
  <c r="BB182" i="1" l="1"/>
  <c r="BT181" i="1"/>
  <c r="BB183" i="1" l="1"/>
  <c r="BT182" i="1"/>
  <c r="BB184" i="1" l="1"/>
  <c r="BT183" i="1"/>
  <c r="BB185" i="1" l="1"/>
  <c r="BT184" i="1"/>
  <c r="BB186" i="1" l="1"/>
  <c r="BT185" i="1"/>
  <c r="BB187" i="1" l="1"/>
  <c r="BT186" i="1"/>
  <c r="BB188" i="1" l="1"/>
  <c r="BT187" i="1"/>
  <c r="BB189" i="1" l="1"/>
  <c r="BT188" i="1"/>
  <c r="BB190" i="1" l="1"/>
  <c r="BT189" i="1"/>
  <c r="BB191" i="1" l="1"/>
  <c r="BT190" i="1"/>
  <c r="BB192" i="1" l="1"/>
  <c r="BT191" i="1"/>
  <c r="BB193" i="1" l="1"/>
  <c r="BT192" i="1"/>
  <c r="BB194" i="1" l="1"/>
  <c r="BT193" i="1"/>
  <c r="BB195" i="1" l="1"/>
  <c r="BT194" i="1"/>
  <c r="BB196" i="1" l="1"/>
  <c r="BT195" i="1"/>
  <c r="BB197" i="1" l="1"/>
  <c r="BT196" i="1"/>
  <c r="BB198" i="1" l="1"/>
  <c r="BT197" i="1"/>
  <c r="BB199" i="1" l="1"/>
  <c r="BT198" i="1"/>
  <c r="BB200" i="1" l="1"/>
  <c r="BT199" i="1"/>
  <c r="BB201" i="1" l="1"/>
  <c r="BT200" i="1"/>
  <c r="BB202" i="1" l="1"/>
  <c r="BT201" i="1"/>
  <c r="BB203" i="1" l="1"/>
  <c r="BT202" i="1"/>
  <c r="BB204" i="1" l="1"/>
  <c r="BT203" i="1"/>
  <c r="BB205" i="1" l="1"/>
  <c r="BT204" i="1"/>
  <c r="BB206" i="1" l="1"/>
  <c r="BT205" i="1"/>
  <c r="BB207" i="1" l="1"/>
  <c r="BT206" i="1"/>
  <c r="BB208" i="1" l="1"/>
  <c r="BT207" i="1"/>
  <c r="BB209" i="1" l="1"/>
  <c r="BT208" i="1"/>
  <c r="BB210" i="1" l="1"/>
  <c r="BT209" i="1"/>
  <c r="BB211" i="1" l="1"/>
  <c r="BT210" i="1"/>
  <c r="BB212" i="1" l="1"/>
  <c r="BT211" i="1"/>
  <c r="BB213" i="1" l="1"/>
  <c r="BT212" i="1"/>
  <c r="BB214" i="1" l="1"/>
  <c r="BT213" i="1"/>
  <c r="BB215" i="1" l="1"/>
  <c r="BT214" i="1"/>
  <c r="BB216" i="1" l="1"/>
  <c r="BT215" i="1"/>
  <c r="BB217" i="1" l="1"/>
  <c r="BT216" i="1"/>
  <c r="BB218" i="1" l="1"/>
  <c r="BT217" i="1"/>
  <c r="BB219" i="1" l="1"/>
  <c r="BT218" i="1"/>
  <c r="BB220" i="1" l="1"/>
  <c r="BT219" i="1"/>
  <c r="BB221" i="1" l="1"/>
  <c r="BT220" i="1"/>
  <c r="BB222" i="1" l="1"/>
  <c r="BT221" i="1"/>
  <c r="BB223" i="1" l="1"/>
  <c r="BT222" i="1"/>
  <c r="BB224" i="1" l="1"/>
  <c r="BT223" i="1"/>
  <c r="BB225" i="1" l="1"/>
  <c r="BT224" i="1"/>
  <c r="BB226" i="1" l="1"/>
  <c r="BT225" i="1"/>
  <c r="BB227" i="1" l="1"/>
  <c r="BT226" i="1"/>
  <c r="BB228" i="1" l="1"/>
  <c r="BT227" i="1"/>
  <c r="BB229" i="1" l="1"/>
  <c r="BT228" i="1"/>
  <c r="BB230" i="1" l="1"/>
  <c r="BT229" i="1"/>
  <c r="BB231" i="1" l="1"/>
  <c r="BT230" i="1"/>
  <c r="BB232" i="1" l="1"/>
  <c r="BT231" i="1"/>
  <c r="BB233" i="1" l="1"/>
  <c r="BT232" i="1"/>
  <c r="BB234" i="1" l="1"/>
  <c r="BT233" i="1"/>
  <c r="BB235" i="1" l="1"/>
  <c r="BT234" i="1"/>
  <c r="BB236" i="1" l="1"/>
  <c r="BT235" i="1"/>
  <c r="BB237" i="1" l="1"/>
  <c r="BT236" i="1"/>
  <c r="BB238" i="1" l="1"/>
  <c r="BT237" i="1"/>
  <c r="BB239" i="1" l="1"/>
  <c r="BT238" i="1"/>
  <c r="BB240" i="1" l="1"/>
  <c r="BT239" i="1"/>
  <c r="BB241" i="1" l="1"/>
  <c r="BT240" i="1"/>
  <c r="BB242" i="1" l="1"/>
  <c r="BT241" i="1"/>
  <c r="BB243" i="1" l="1"/>
  <c r="BT242" i="1"/>
  <c r="BB244" i="1" l="1"/>
  <c r="BT243" i="1"/>
  <c r="BB245" i="1" l="1"/>
  <c r="BT244" i="1"/>
  <c r="BB246" i="1" l="1"/>
  <c r="BT245" i="1"/>
  <c r="BB247" i="1" l="1"/>
  <c r="BT246" i="1"/>
  <c r="BB248" i="1" l="1"/>
  <c r="BT247" i="1"/>
  <c r="BB249" i="1" l="1"/>
  <c r="BT248" i="1"/>
  <c r="BB250" i="1" l="1"/>
  <c r="BT249" i="1"/>
  <c r="BB251" i="1" l="1"/>
  <c r="BT250" i="1"/>
  <c r="BB252" i="1" l="1"/>
  <c r="BT251" i="1"/>
  <c r="BB253" i="1" l="1"/>
  <c r="BT252" i="1"/>
  <c r="BB254" i="1" l="1"/>
  <c r="BT253" i="1"/>
  <c r="BB255" i="1" l="1"/>
  <c r="BT254" i="1"/>
  <c r="BB256" i="1" l="1"/>
  <c r="BT255" i="1"/>
  <c r="BB257" i="1" l="1"/>
  <c r="BT256" i="1"/>
  <c r="BB258" i="1" l="1"/>
  <c r="BT257" i="1"/>
  <c r="BB259" i="1" l="1"/>
  <c r="BT258" i="1"/>
  <c r="BB260" i="1" l="1"/>
  <c r="BT259" i="1"/>
  <c r="BB261" i="1" l="1"/>
  <c r="BT260" i="1"/>
  <c r="BB262" i="1" l="1"/>
  <c r="BT261" i="1"/>
  <c r="BB263" i="1" l="1"/>
  <c r="BT262" i="1"/>
  <c r="BB264" i="1" l="1"/>
  <c r="BT263" i="1"/>
  <c r="BB265" i="1" l="1"/>
  <c r="BT264" i="1"/>
  <c r="BB266" i="1" l="1"/>
  <c r="BT265" i="1"/>
  <c r="BB267" i="1" l="1"/>
  <c r="BT266" i="1"/>
  <c r="BB268" i="1" l="1"/>
  <c r="BT267" i="1"/>
  <c r="BB269" i="1" l="1"/>
  <c r="BT268" i="1"/>
  <c r="BB270" i="1" l="1"/>
  <c r="BT269" i="1"/>
  <c r="BB271" i="1" l="1"/>
  <c r="BT270" i="1"/>
  <c r="BB272" i="1" l="1"/>
  <c r="BT271" i="1"/>
  <c r="BB273" i="1" l="1"/>
  <c r="BT272" i="1"/>
  <c r="BB274" i="1" l="1"/>
  <c r="BT273" i="1"/>
  <c r="BB275" i="1" l="1"/>
  <c r="BT274" i="1"/>
  <c r="BB276" i="1" l="1"/>
  <c r="BT275" i="1"/>
  <c r="BB277" i="1" l="1"/>
  <c r="BT276" i="1"/>
  <c r="BB278" i="1" l="1"/>
  <c r="BT277" i="1"/>
  <c r="BB279" i="1" l="1"/>
  <c r="BT278" i="1"/>
  <c r="BB280" i="1" l="1"/>
  <c r="BT279" i="1"/>
  <c r="BB281" i="1" l="1"/>
  <c r="BT280" i="1"/>
  <c r="BB282" i="1" l="1"/>
  <c r="BT281" i="1"/>
  <c r="BB283" i="1" l="1"/>
  <c r="BT282" i="1"/>
  <c r="BB284" i="1" l="1"/>
  <c r="BT283" i="1"/>
  <c r="BB285" i="1" l="1"/>
  <c r="BT284" i="1"/>
  <c r="BB286" i="1" l="1"/>
  <c r="BT285" i="1"/>
  <c r="BB287" i="1" l="1"/>
  <c r="BT286" i="1"/>
  <c r="BB288" i="1" l="1"/>
  <c r="BT287" i="1"/>
  <c r="BB289" i="1" l="1"/>
  <c r="BT288" i="1"/>
  <c r="BB290" i="1" l="1"/>
  <c r="BT289" i="1"/>
  <c r="BB291" i="1" l="1"/>
  <c r="BT290" i="1"/>
  <c r="BB292" i="1" l="1"/>
  <c r="BT291" i="1"/>
  <c r="BB293" i="1" l="1"/>
  <c r="BT292" i="1"/>
  <c r="BB294" i="1" l="1"/>
  <c r="BT293" i="1"/>
  <c r="BB295" i="1" l="1"/>
  <c r="BT294" i="1"/>
  <c r="BB296" i="1" l="1"/>
  <c r="BT295" i="1"/>
  <c r="BB297" i="1" l="1"/>
  <c r="BT296" i="1"/>
  <c r="BB298" i="1" l="1"/>
  <c r="BT297" i="1"/>
  <c r="BB299" i="1" l="1"/>
  <c r="BT298" i="1"/>
  <c r="BB300" i="1" l="1"/>
  <c r="BT299" i="1"/>
  <c r="BB301" i="1" l="1"/>
  <c r="BT300" i="1"/>
  <c r="BB302" i="1" l="1"/>
  <c r="BT301" i="1"/>
  <c r="BB303" i="1" l="1"/>
  <c r="BT302" i="1"/>
  <c r="BB304" i="1" l="1"/>
  <c r="BT303" i="1"/>
  <c r="BB305" i="1" l="1"/>
  <c r="BT304" i="1"/>
  <c r="BB306" i="1" l="1"/>
  <c r="BT305" i="1"/>
  <c r="BB307" i="1" l="1"/>
  <c r="BT306" i="1"/>
  <c r="BB308" i="1" l="1"/>
  <c r="BT307" i="1"/>
  <c r="BB309" i="1" l="1"/>
  <c r="BT308" i="1"/>
  <c r="BB310" i="1" l="1"/>
  <c r="BT309" i="1"/>
  <c r="BB311" i="1" l="1"/>
  <c r="BT310" i="1"/>
  <c r="BB312" i="1" l="1"/>
  <c r="BT311" i="1"/>
  <c r="BB313" i="1" l="1"/>
  <c r="BT312" i="1"/>
  <c r="BB314" i="1" l="1"/>
  <c r="BT313" i="1"/>
  <c r="BB315" i="1" l="1"/>
  <c r="BT314" i="1"/>
  <c r="BB316" i="1" l="1"/>
  <c r="BT315" i="1"/>
  <c r="BB317" i="1" l="1"/>
  <c r="BT316" i="1"/>
  <c r="BB318" i="1" l="1"/>
  <c r="BT317" i="1"/>
  <c r="BB319" i="1" l="1"/>
  <c r="BT318" i="1"/>
  <c r="BB320" i="1" l="1"/>
  <c r="BT319" i="1"/>
  <c r="BB321" i="1" l="1"/>
  <c r="BT320" i="1"/>
  <c r="BB322" i="1" l="1"/>
  <c r="BT321" i="1"/>
  <c r="BB323" i="1" l="1"/>
  <c r="BT322" i="1"/>
  <c r="BB324" i="1" l="1"/>
  <c r="BT323" i="1"/>
  <c r="BB325" i="1" l="1"/>
  <c r="BT324" i="1"/>
  <c r="BB326" i="1" l="1"/>
  <c r="BT325" i="1"/>
  <c r="BB327" i="1" l="1"/>
  <c r="BT326" i="1"/>
  <c r="BB328" i="1" l="1"/>
  <c r="BT327" i="1"/>
  <c r="BB329" i="1" l="1"/>
  <c r="BT328" i="1"/>
  <c r="BB330" i="1" l="1"/>
  <c r="BT329" i="1"/>
  <c r="BB331" i="1" l="1"/>
  <c r="BT330" i="1"/>
  <c r="BB332" i="1" l="1"/>
  <c r="BT331" i="1"/>
  <c r="BB333" i="1" l="1"/>
  <c r="BT332" i="1"/>
  <c r="BB334" i="1" l="1"/>
  <c r="BT333" i="1"/>
  <c r="BB335" i="1" l="1"/>
  <c r="BT334" i="1"/>
  <c r="BB336" i="1" l="1"/>
  <c r="BT336" i="1" s="1"/>
  <c r="BT335" i="1"/>
  <c r="BB337" i="1" l="1"/>
  <c r="BB338" i="1" l="1"/>
  <c r="BT337" i="1"/>
  <c r="BB339" i="1" l="1"/>
  <c r="BT338" i="1"/>
  <c r="BB340" i="1" l="1"/>
  <c r="BT339" i="1"/>
  <c r="BB341" i="1" l="1"/>
  <c r="BT340" i="1"/>
  <c r="BB342" i="1" l="1"/>
  <c r="BT341" i="1"/>
  <c r="BB343" i="1" l="1"/>
  <c r="BT342" i="1"/>
  <c r="BB344" i="1" l="1"/>
  <c r="BT343" i="1"/>
  <c r="BB345" i="1" l="1"/>
  <c r="BT344" i="1"/>
  <c r="BB346" i="1" l="1"/>
  <c r="BT345" i="1"/>
  <c r="BB347" i="1" l="1"/>
  <c r="BT346" i="1"/>
  <c r="BB348" i="1" l="1"/>
  <c r="BT347" i="1"/>
  <c r="BB349" i="1" l="1"/>
  <c r="BT348" i="1"/>
  <c r="BB350" i="1" l="1"/>
  <c r="BT349" i="1"/>
  <c r="BB351" i="1" l="1"/>
  <c r="BT350" i="1"/>
  <c r="BB352" i="1" l="1"/>
  <c r="BT351" i="1"/>
  <c r="BB353" i="1" l="1"/>
  <c r="BT352" i="1"/>
  <c r="BB354" i="1" l="1"/>
  <c r="BT354" i="1" s="1"/>
  <c r="BT353" i="1"/>
  <c r="BB355" i="1" l="1"/>
  <c r="BB356" i="1" l="1"/>
  <c r="BT355" i="1"/>
  <c r="BB357" i="1" l="1"/>
  <c r="BT356" i="1"/>
  <c r="BB358" i="1" l="1"/>
  <c r="BT357" i="1"/>
  <c r="BB359" i="1" l="1"/>
  <c r="BT358" i="1"/>
  <c r="BB360" i="1" l="1"/>
  <c r="BT359" i="1"/>
  <c r="BB361" i="1" l="1"/>
  <c r="BT360" i="1"/>
  <c r="BB362" i="1" l="1"/>
  <c r="BT361" i="1"/>
  <c r="BB363" i="1" l="1"/>
  <c r="BT362" i="1"/>
  <c r="BB364" i="1" l="1"/>
  <c r="BT363" i="1"/>
  <c r="BB365" i="1" l="1"/>
  <c r="BT364" i="1"/>
  <c r="BB366" i="1" l="1"/>
  <c r="BT365" i="1"/>
  <c r="BB367" i="1" l="1"/>
  <c r="BT366" i="1"/>
  <c r="BB368" i="1" l="1"/>
  <c r="BT367" i="1"/>
  <c r="BB369" i="1" l="1"/>
  <c r="BT368" i="1"/>
  <c r="BB370" i="1" l="1"/>
  <c r="BT369" i="1"/>
  <c r="BB371" i="1" l="1"/>
  <c r="BT370" i="1"/>
  <c r="BB372" i="1" l="1"/>
  <c r="BT371" i="1"/>
  <c r="BB373" i="1" l="1"/>
  <c r="BT372" i="1"/>
  <c r="BB374" i="1" l="1"/>
  <c r="BT373" i="1"/>
  <c r="BB375" i="1" l="1"/>
  <c r="BT374" i="1"/>
  <c r="BB376" i="1" l="1"/>
  <c r="BT375" i="1"/>
  <c r="BB377" i="1" l="1"/>
  <c r="BT376" i="1"/>
  <c r="BB378" i="1" l="1"/>
  <c r="BT377" i="1"/>
  <c r="BB379" i="1" l="1"/>
  <c r="BT378" i="1"/>
  <c r="BB380" i="1" l="1"/>
  <c r="BT379" i="1"/>
  <c r="BB381" i="1" l="1"/>
  <c r="BT380" i="1"/>
  <c r="BB382" i="1" l="1"/>
  <c r="BT381" i="1"/>
  <c r="BB383" i="1" l="1"/>
  <c r="BT382" i="1"/>
  <c r="BB384" i="1" l="1"/>
  <c r="BT383" i="1"/>
  <c r="BB385" i="1" l="1"/>
  <c r="BT384" i="1"/>
  <c r="BB386" i="1" l="1"/>
  <c r="BT385" i="1"/>
  <c r="BB387" i="1" l="1"/>
  <c r="BT386" i="1"/>
  <c r="BB388" i="1" l="1"/>
  <c r="BT387" i="1"/>
  <c r="BB389" i="1" l="1"/>
  <c r="BT388" i="1"/>
  <c r="BB390" i="1" l="1"/>
  <c r="BT389" i="1"/>
  <c r="BB391" i="1" l="1"/>
  <c r="BT390" i="1"/>
  <c r="BB392" i="1" l="1"/>
  <c r="BT391" i="1"/>
  <c r="BB393" i="1" l="1"/>
  <c r="BT392" i="1"/>
  <c r="BB394" i="1" l="1"/>
  <c r="BT393" i="1"/>
  <c r="BB395" i="1" l="1"/>
  <c r="BT394" i="1"/>
  <c r="BB396" i="1" l="1"/>
  <c r="BT395" i="1"/>
  <c r="BB397" i="1" l="1"/>
  <c r="BT396" i="1"/>
  <c r="BB398" i="1" l="1"/>
  <c r="BT397" i="1"/>
  <c r="BB399" i="1" l="1"/>
  <c r="BT398" i="1"/>
  <c r="BB400" i="1" l="1"/>
  <c r="BT399" i="1"/>
  <c r="BB401" i="1" l="1"/>
  <c r="BT400" i="1"/>
  <c r="BB402" i="1" l="1"/>
  <c r="BT401" i="1"/>
  <c r="BB403" i="1" l="1"/>
  <c r="BT402" i="1"/>
  <c r="BB404" i="1" l="1"/>
  <c r="BT403" i="1"/>
  <c r="BB405" i="1" l="1"/>
  <c r="BT404" i="1"/>
  <c r="BB406" i="1" l="1"/>
  <c r="BT405" i="1"/>
  <c r="BB407" i="1" l="1"/>
  <c r="BT406" i="1"/>
  <c r="BB408" i="1" l="1"/>
  <c r="BT407" i="1"/>
  <c r="BB409" i="1" l="1"/>
  <c r="BT408" i="1"/>
  <c r="BB410" i="1" l="1"/>
  <c r="BT409" i="1"/>
  <c r="BB411" i="1" l="1"/>
  <c r="BT410" i="1"/>
  <c r="BB412" i="1" l="1"/>
  <c r="BT411" i="1"/>
  <c r="BB413" i="1" l="1"/>
  <c r="BT412" i="1"/>
  <c r="BB414" i="1" l="1"/>
  <c r="BT413" i="1"/>
  <c r="BB415" i="1" l="1"/>
  <c r="BT414" i="1"/>
  <c r="BB416" i="1" l="1"/>
  <c r="BT415" i="1"/>
  <c r="BB417" i="1" l="1"/>
  <c r="BT416" i="1"/>
  <c r="BB418" i="1" l="1"/>
  <c r="BT417" i="1"/>
  <c r="BB419" i="1" l="1"/>
  <c r="BT418" i="1"/>
  <c r="BB420" i="1" l="1"/>
  <c r="BT419" i="1"/>
  <c r="BB421" i="1" l="1"/>
  <c r="BT420" i="1"/>
  <c r="BB422" i="1" l="1"/>
  <c r="BT421" i="1"/>
  <c r="BB423" i="1" l="1"/>
  <c r="BT422" i="1"/>
  <c r="BB424" i="1" l="1"/>
  <c r="BT423" i="1"/>
  <c r="BB425" i="1" l="1"/>
  <c r="BT424" i="1"/>
  <c r="BB426" i="1" l="1"/>
  <c r="BT425" i="1"/>
  <c r="BB427" i="1" l="1"/>
  <c r="BT426" i="1"/>
  <c r="BB428" i="1" l="1"/>
  <c r="BT427" i="1"/>
  <c r="BB429" i="1" l="1"/>
  <c r="BT428" i="1"/>
  <c r="BB430" i="1" l="1"/>
  <c r="BT429" i="1"/>
  <c r="BB431" i="1" l="1"/>
  <c r="BT430" i="1"/>
  <c r="BB432" i="1" l="1"/>
  <c r="BT431" i="1"/>
  <c r="BB433" i="1" l="1"/>
  <c r="BT432" i="1"/>
  <c r="BB434" i="1" l="1"/>
  <c r="BT433" i="1"/>
  <c r="BB435" i="1" l="1"/>
  <c r="BT434" i="1"/>
  <c r="BB436" i="1" l="1"/>
  <c r="BT435" i="1"/>
  <c r="BB437" i="1" l="1"/>
  <c r="BT436" i="1"/>
  <c r="BB438" i="1" l="1"/>
  <c r="BT437" i="1"/>
  <c r="BB439" i="1" l="1"/>
  <c r="BT438" i="1"/>
  <c r="BB440" i="1" l="1"/>
  <c r="BT439" i="1"/>
  <c r="BB441" i="1" l="1"/>
  <c r="BT440" i="1"/>
  <c r="BB442" i="1" l="1"/>
  <c r="BT441" i="1"/>
  <c r="BB443" i="1" l="1"/>
  <c r="BT442" i="1"/>
  <c r="BB444" i="1" l="1"/>
  <c r="BT443" i="1"/>
  <c r="BB445" i="1" l="1"/>
  <c r="BT444" i="1"/>
  <c r="BB446" i="1" l="1"/>
  <c r="BT445" i="1"/>
  <c r="BB447" i="1" l="1"/>
  <c r="BT446" i="1"/>
  <c r="BB448" i="1" l="1"/>
  <c r="BT447" i="1"/>
  <c r="BB449" i="1" l="1"/>
  <c r="BT448" i="1"/>
  <c r="BB450" i="1" l="1"/>
  <c r="BT449" i="1"/>
  <c r="BB451" i="1" l="1"/>
  <c r="BT450" i="1"/>
  <c r="BB452" i="1" l="1"/>
  <c r="BT451" i="1"/>
  <c r="BB453" i="1" l="1"/>
  <c r="BT452" i="1"/>
  <c r="BB454" i="1" l="1"/>
  <c r="BT453" i="1"/>
  <c r="BB455" i="1" l="1"/>
  <c r="BT454" i="1"/>
  <c r="BB456" i="1" l="1"/>
  <c r="BT455" i="1"/>
  <c r="BB457" i="1" l="1"/>
  <c r="BT456" i="1"/>
  <c r="BB458" i="1" l="1"/>
  <c r="BT457" i="1"/>
  <c r="BB459" i="1" l="1"/>
  <c r="BT458" i="1"/>
  <c r="BB460" i="1" l="1"/>
  <c r="BT459" i="1"/>
  <c r="BB461" i="1" l="1"/>
  <c r="BT460" i="1"/>
  <c r="BB462" i="1" l="1"/>
  <c r="BT461" i="1"/>
  <c r="BB463" i="1" l="1"/>
  <c r="BT462" i="1"/>
  <c r="BB464" i="1" l="1"/>
  <c r="BT463" i="1"/>
  <c r="BB465" i="1" l="1"/>
  <c r="BT464" i="1"/>
  <c r="BB466" i="1" l="1"/>
  <c r="BT465" i="1"/>
  <c r="BB467" i="1" l="1"/>
  <c r="BT466" i="1"/>
  <c r="BB468" i="1" l="1"/>
  <c r="BT467" i="1"/>
  <c r="BB469" i="1" l="1"/>
  <c r="BT468" i="1"/>
  <c r="BB470" i="1" l="1"/>
  <c r="BT469" i="1"/>
  <c r="BB471" i="1" l="1"/>
  <c r="BT470" i="1"/>
  <c r="BB472" i="1" l="1"/>
  <c r="BT471" i="1"/>
  <c r="BB473" i="1" l="1"/>
  <c r="BT472" i="1"/>
  <c r="BB474" i="1" l="1"/>
  <c r="BT473" i="1"/>
  <c r="BB475" i="1" l="1"/>
  <c r="BT474" i="1"/>
  <c r="BB476" i="1" l="1"/>
  <c r="BT475" i="1"/>
  <c r="BB477" i="1" l="1"/>
  <c r="BT476" i="1"/>
  <c r="BB478" i="1" l="1"/>
  <c r="BT477" i="1"/>
  <c r="BB479" i="1" l="1"/>
  <c r="BT478" i="1"/>
  <c r="BB480" i="1" l="1"/>
  <c r="BT479" i="1"/>
  <c r="BB481" i="1" l="1"/>
  <c r="BT480" i="1"/>
  <c r="BB482" i="1" l="1"/>
  <c r="BT481" i="1"/>
  <c r="BB483" i="1" l="1"/>
  <c r="BT482" i="1"/>
  <c r="BB484" i="1" l="1"/>
  <c r="BT483" i="1"/>
  <c r="BB485" i="1" l="1"/>
  <c r="BT484" i="1"/>
  <c r="BB486" i="1" l="1"/>
  <c r="BT485" i="1"/>
  <c r="BB487" i="1" l="1"/>
  <c r="BT486" i="1"/>
  <c r="BB488" i="1" l="1"/>
  <c r="BT487" i="1"/>
  <c r="BB489" i="1" l="1"/>
  <c r="BT488" i="1"/>
  <c r="BB490" i="1" l="1"/>
  <c r="BT489" i="1"/>
  <c r="BB491" i="1" l="1"/>
  <c r="BT490" i="1"/>
  <c r="BB492" i="1" l="1"/>
  <c r="BT491" i="1"/>
  <c r="BB493" i="1" l="1"/>
  <c r="BT492" i="1"/>
  <c r="BB494" i="1" l="1"/>
  <c r="BT493" i="1"/>
  <c r="BB495" i="1" l="1"/>
  <c r="BT494" i="1"/>
  <c r="BB496" i="1" l="1"/>
  <c r="BT495" i="1"/>
  <c r="BB497" i="1" l="1"/>
  <c r="BT496" i="1"/>
  <c r="BB498" i="1" l="1"/>
  <c r="BT497" i="1"/>
  <c r="BB499" i="1" l="1"/>
  <c r="BT498" i="1"/>
  <c r="BB500" i="1" l="1"/>
  <c r="BT499" i="1"/>
  <c r="BB501" i="1" l="1"/>
  <c r="BT500" i="1"/>
  <c r="BB502" i="1" l="1"/>
  <c r="BT501" i="1"/>
  <c r="BB503" i="1" l="1"/>
  <c r="BT502" i="1"/>
  <c r="BB504" i="1" l="1"/>
  <c r="BT503" i="1"/>
  <c r="BB505" i="1" l="1"/>
  <c r="BT504" i="1"/>
  <c r="BB506" i="1" l="1"/>
  <c r="BT505" i="1"/>
  <c r="BB507" i="1" l="1"/>
  <c r="BT506" i="1"/>
  <c r="BB508" i="1" l="1"/>
  <c r="BT507" i="1"/>
  <c r="BB509" i="1" l="1"/>
  <c r="BT508" i="1"/>
  <c r="BB510" i="1" l="1"/>
  <c r="BT509" i="1"/>
  <c r="BB511" i="1" l="1"/>
  <c r="BT510" i="1"/>
  <c r="BB512" i="1" l="1"/>
  <c r="BT511" i="1"/>
  <c r="BB513" i="1" l="1"/>
  <c r="BT512" i="1"/>
  <c r="BB514" i="1" l="1"/>
  <c r="BT513" i="1"/>
  <c r="BB515" i="1" l="1"/>
  <c r="BT514" i="1"/>
  <c r="BB516" i="1" l="1"/>
  <c r="BT515" i="1"/>
  <c r="BB517" i="1" l="1"/>
  <c r="BT516" i="1"/>
  <c r="BB518" i="1" l="1"/>
  <c r="BT517" i="1"/>
  <c r="BB519" i="1" l="1"/>
  <c r="BT518" i="1"/>
  <c r="BB520" i="1" l="1"/>
  <c r="BT519" i="1"/>
  <c r="BB521" i="1" l="1"/>
  <c r="BT520" i="1"/>
  <c r="BB522" i="1" l="1"/>
  <c r="BT521" i="1"/>
  <c r="BB523" i="1" l="1"/>
  <c r="BT522" i="1"/>
  <c r="BB524" i="1" l="1"/>
  <c r="BT523" i="1"/>
  <c r="BB525" i="1" l="1"/>
  <c r="BT524" i="1"/>
  <c r="BB526" i="1" l="1"/>
  <c r="BT525" i="1"/>
  <c r="BB527" i="1" l="1"/>
  <c r="BT526" i="1"/>
  <c r="BB528" i="1" l="1"/>
  <c r="BT527" i="1"/>
  <c r="BB529" i="1" l="1"/>
  <c r="BT528" i="1"/>
  <c r="BB530" i="1" l="1"/>
  <c r="BT529" i="1"/>
  <c r="BB531" i="1" l="1"/>
  <c r="BT530" i="1"/>
  <c r="BB532" i="1" l="1"/>
  <c r="BT531" i="1"/>
  <c r="BB533" i="1" l="1"/>
  <c r="BT532" i="1"/>
  <c r="BB534" i="1" l="1"/>
  <c r="BT533" i="1"/>
  <c r="BB535" i="1" l="1"/>
  <c r="BT534" i="1"/>
  <c r="BB536" i="1" l="1"/>
  <c r="BT535" i="1"/>
  <c r="BB537" i="1" l="1"/>
  <c r="BT536" i="1"/>
  <c r="BB538" i="1" l="1"/>
  <c r="BT537" i="1"/>
  <c r="BB539" i="1" l="1"/>
  <c r="BT538" i="1"/>
  <c r="BB540" i="1" l="1"/>
  <c r="BT539" i="1"/>
  <c r="BB541" i="1" l="1"/>
  <c r="BT540" i="1"/>
  <c r="BB542" i="1" l="1"/>
  <c r="BT541" i="1"/>
  <c r="BB543" i="1" l="1"/>
  <c r="BT542" i="1"/>
  <c r="BB544" i="1" l="1"/>
  <c r="BT543" i="1"/>
  <c r="BB545" i="1" l="1"/>
  <c r="BT544" i="1"/>
  <c r="BB546" i="1" l="1"/>
  <c r="BT545" i="1"/>
  <c r="BB547" i="1" l="1"/>
  <c r="BT546" i="1"/>
  <c r="BB548" i="1" l="1"/>
  <c r="BT547" i="1"/>
  <c r="BB549" i="1" l="1"/>
  <c r="BT548" i="1"/>
  <c r="BB550" i="1" l="1"/>
  <c r="BT549" i="1"/>
  <c r="BB551" i="1" l="1"/>
  <c r="BT550" i="1"/>
  <c r="BB552" i="1" l="1"/>
  <c r="BT551" i="1"/>
  <c r="BB553" i="1" l="1"/>
  <c r="BT552" i="1"/>
  <c r="BB554" i="1" l="1"/>
  <c r="BT553" i="1"/>
  <c r="BB555" i="1" l="1"/>
  <c r="BT554" i="1"/>
  <c r="BB556" i="1" l="1"/>
  <c r="BT555" i="1"/>
  <c r="BB557" i="1" l="1"/>
  <c r="BT556" i="1"/>
  <c r="BB558" i="1" l="1"/>
  <c r="BT557" i="1"/>
  <c r="BB559" i="1" l="1"/>
  <c r="BT558" i="1"/>
  <c r="BB560" i="1" l="1"/>
  <c r="BT559" i="1"/>
  <c r="BB561" i="1" l="1"/>
  <c r="BT560" i="1"/>
  <c r="BB562" i="1" l="1"/>
  <c r="BT561" i="1"/>
  <c r="BB563" i="1" l="1"/>
  <c r="BT562" i="1"/>
  <c r="BB564" i="1" l="1"/>
  <c r="BT563" i="1"/>
  <c r="BB565" i="1" l="1"/>
  <c r="BT564" i="1"/>
  <c r="BB566" i="1" l="1"/>
  <c r="BT565" i="1"/>
  <c r="BB567" i="1" l="1"/>
  <c r="BT566" i="1"/>
  <c r="BB568" i="1" l="1"/>
  <c r="BT567" i="1"/>
  <c r="BB569" i="1" l="1"/>
  <c r="BT568" i="1"/>
  <c r="BB570" i="1" l="1"/>
  <c r="BT569" i="1"/>
  <c r="BB571" i="1" l="1"/>
  <c r="BT570" i="1"/>
  <c r="BB572" i="1" l="1"/>
  <c r="BT571" i="1"/>
  <c r="BB573" i="1" l="1"/>
  <c r="BT572" i="1"/>
  <c r="BB574" i="1" l="1"/>
  <c r="BT573" i="1"/>
  <c r="BB575" i="1" l="1"/>
  <c r="BT574" i="1"/>
  <c r="BB576" i="1" l="1"/>
  <c r="BT575" i="1"/>
  <c r="BB577" i="1" l="1"/>
  <c r="BT576" i="1"/>
  <c r="BB578" i="1" l="1"/>
  <c r="BT577" i="1"/>
  <c r="BB579" i="1" l="1"/>
  <c r="BT578" i="1"/>
  <c r="BB580" i="1" l="1"/>
  <c r="BT579" i="1"/>
  <c r="BB581" i="1" l="1"/>
  <c r="BT580" i="1"/>
  <c r="BB582" i="1" l="1"/>
  <c r="BT581" i="1"/>
  <c r="BB583" i="1" l="1"/>
  <c r="BT582" i="1"/>
  <c r="BB584" i="1" l="1"/>
  <c r="BT583" i="1"/>
  <c r="BB585" i="1" l="1"/>
  <c r="BT584" i="1"/>
  <c r="BB586" i="1" l="1"/>
  <c r="BT585" i="1"/>
  <c r="BB587" i="1" l="1"/>
  <c r="BT586" i="1"/>
  <c r="BB588" i="1" l="1"/>
  <c r="BT587" i="1"/>
  <c r="BB589" i="1" l="1"/>
  <c r="BT588" i="1"/>
  <c r="BB590" i="1" l="1"/>
  <c r="BT589" i="1"/>
  <c r="BB591" i="1" l="1"/>
  <c r="BT590" i="1"/>
  <c r="BB592" i="1" l="1"/>
  <c r="BT591" i="1"/>
  <c r="BB593" i="1" l="1"/>
  <c r="BT592" i="1"/>
  <c r="BB594" i="1" l="1"/>
  <c r="BT593" i="1"/>
  <c r="BB595" i="1" l="1"/>
  <c r="BT594" i="1"/>
  <c r="BB596" i="1" l="1"/>
  <c r="BT595" i="1"/>
  <c r="BB597" i="1" l="1"/>
  <c r="BT596" i="1"/>
  <c r="BB598" i="1" l="1"/>
  <c r="BT597" i="1"/>
  <c r="BB599" i="1" l="1"/>
  <c r="BT598" i="1"/>
  <c r="BB600" i="1" l="1"/>
  <c r="BT599" i="1"/>
  <c r="BB601" i="1" l="1"/>
  <c r="BT600" i="1"/>
  <c r="BB602" i="1" l="1"/>
  <c r="BT601" i="1"/>
  <c r="BB603" i="1" l="1"/>
  <c r="BT602" i="1"/>
  <c r="BB604" i="1" l="1"/>
  <c r="BT603" i="1"/>
  <c r="BB605" i="1" l="1"/>
  <c r="BT604" i="1"/>
  <c r="BB606" i="1" l="1"/>
  <c r="BT605" i="1"/>
  <c r="BB607" i="1" l="1"/>
  <c r="BT606" i="1"/>
  <c r="BB608" i="1" l="1"/>
  <c r="BT607" i="1"/>
  <c r="BB609" i="1" l="1"/>
  <c r="BT608" i="1"/>
  <c r="BB610" i="1" l="1"/>
  <c r="BT609" i="1"/>
  <c r="BB611" i="1" l="1"/>
  <c r="BT610" i="1"/>
  <c r="BB612" i="1" l="1"/>
  <c r="BT611" i="1"/>
  <c r="BB613" i="1" l="1"/>
  <c r="BT612" i="1"/>
  <c r="BB614" i="1" l="1"/>
  <c r="BT613" i="1"/>
  <c r="BB615" i="1" l="1"/>
  <c r="BT614" i="1"/>
  <c r="BB616" i="1" l="1"/>
  <c r="BT615" i="1"/>
  <c r="BB617" i="1" l="1"/>
  <c r="BT616" i="1"/>
  <c r="BB618" i="1" l="1"/>
  <c r="BT617" i="1"/>
  <c r="BB619" i="1" l="1"/>
  <c r="BT618" i="1"/>
  <c r="BB620" i="1" l="1"/>
  <c r="BT619" i="1"/>
  <c r="BB621" i="1" l="1"/>
  <c r="BT620" i="1"/>
  <c r="BB622" i="1" l="1"/>
  <c r="BT621" i="1"/>
  <c r="BB623" i="1" l="1"/>
  <c r="BT622" i="1"/>
  <c r="BB624" i="1" l="1"/>
  <c r="BT623" i="1"/>
  <c r="BB625" i="1" l="1"/>
  <c r="BT624" i="1"/>
  <c r="BB626" i="1" l="1"/>
  <c r="BT625" i="1"/>
  <c r="BB627" i="1" l="1"/>
  <c r="BT626" i="1"/>
  <c r="BB628" i="1" l="1"/>
  <c r="BT627" i="1"/>
  <c r="BB629" i="1" l="1"/>
  <c r="BT628" i="1"/>
  <c r="BB630" i="1" l="1"/>
  <c r="BT629" i="1"/>
  <c r="BB631" i="1" l="1"/>
  <c r="BT630" i="1"/>
  <c r="BB632" i="1" l="1"/>
  <c r="BT631" i="1"/>
  <c r="BB633" i="1" l="1"/>
  <c r="BT632" i="1"/>
  <c r="BB634" i="1" l="1"/>
  <c r="BT633" i="1"/>
  <c r="BB635" i="1" l="1"/>
  <c r="BT634" i="1"/>
  <c r="BB636" i="1" l="1"/>
  <c r="BT635" i="1"/>
  <c r="BB637" i="1" l="1"/>
  <c r="BT636" i="1"/>
  <c r="BB638" i="1" l="1"/>
  <c r="BT637" i="1"/>
  <c r="BB639" i="1" l="1"/>
  <c r="BT638" i="1"/>
  <c r="BB640" i="1" l="1"/>
  <c r="BT639" i="1"/>
  <c r="BB641" i="1" l="1"/>
  <c r="BT640" i="1"/>
  <c r="BB642" i="1" l="1"/>
  <c r="BT641" i="1"/>
  <c r="BB643" i="1" l="1"/>
  <c r="BT642" i="1"/>
  <c r="BB644" i="1" l="1"/>
  <c r="BT643" i="1"/>
  <c r="BB645" i="1" l="1"/>
  <c r="BT644" i="1"/>
  <c r="BB646" i="1" l="1"/>
  <c r="BT645" i="1"/>
  <c r="BB647" i="1" l="1"/>
  <c r="BT646" i="1"/>
  <c r="BB648" i="1" l="1"/>
  <c r="BT647" i="1"/>
  <c r="BB649" i="1" l="1"/>
  <c r="BT648" i="1"/>
  <c r="BB650" i="1" l="1"/>
  <c r="BT649" i="1"/>
  <c r="BB651" i="1" l="1"/>
  <c r="BT650" i="1"/>
  <c r="BB652" i="1" l="1"/>
  <c r="BT651" i="1"/>
  <c r="BB653" i="1" l="1"/>
  <c r="BT652" i="1"/>
  <c r="BB654" i="1" l="1"/>
  <c r="BT653" i="1"/>
  <c r="BB655" i="1" l="1"/>
  <c r="BT654" i="1"/>
  <c r="BB656" i="1" l="1"/>
  <c r="BT655" i="1"/>
  <c r="BB657" i="1" l="1"/>
  <c r="BT656" i="1"/>
  <c r="BB658" i="1" l="1"/>
  <c r="BT657" i="1"/>
  <c r="BB659" i="1" l="1"/>
  <c r="BT658" i="1"/>
  <c r="BB660" i="1" l="1"/>
  <c r="BT659" i="1"/>
  <c r="BB661" i="1" l="1"/>
  <c r="BT660" i="1"/>
  <c r="BB662" i="1" l="1"/>
  <c r="BT661" i="1"/>
  <c r="BB663" i="1" l="1"/>
  <c r="BT662" i="1"/>
  <c r="BB664" i="1" l="1"/>
  <c r="BT663" i="1"/>
  <c r="BB665" i="1" l="1"/>
  <c r="BT664" i="1"/>
  <c r="BB666" i="1" l="1"/>
  <c r="BT665" i="1"/>
  <c r="BB667" i="1" l="1"/>
  <c r="BT666" i="1"/>
  <c r="BB668" i="1" l="1"/>
  <c r="BT667" i="1"/>
  <c r="BB669" i="1" l="1"/>
  <c r="BT668" i="1"/>
  <c r="BB670" i="1" l="1"/>
  <c r="BT669" i="1"/>
  <c r="BB671" i="1" l="1"/>
  <c r="BT670" i="1"/>
  <c r="BB672" i="1" l="1"/>
  <c r="BT671" i="1"/>
  <c r="BB673" i="1" l="1"/>
  <c r="BT672" i="1"/>
  <c r="BB674" i="1" l="1"/>
  <c r="BT673" i="1"/>
  <c r="BB675" i="1" l="1"/>
  <c r="BT674" i="1"/>
  <c r="BB676" i="1" l="1"/>
  <c r="BT675" i="1"/>
  <c r="BB677" i="1" l="1"/>
  <c r="BT676" i="1"/>
  <c r="BB678" i="1" l="1"/>
  <c r="BT677" i="1"/>
  <c r="BB679" i="1" l="1"/>
  <c r="BT678" i="1"/>
  <c r="BB680" i="1" l="1"/>
  <c r="BT679" i="1"/>
  <c r="BB681" i="1" l="1"/>
  <c r="BT680" i="1"/>
  <c r="BB682" i="1" l="1"/>
  <c r="BT681" i="1"/>
  <c r="BB683" i="1" l="1"/>
  <c r="BT682" i="1"/>
  <c r="BB684" i="1" l="1"/>
  <c r="BT683" i="1"/>
  <c r="BB685" i="1" l="1"/>
  <c r="BT684" i="1"/>
  <c r="BB686" i="1" l="1"/>
  <c r="BT685" i="1"/>
  <c r="BB687" i="1" l="1"/>
  <c r="BT686" i="1"/>
  <c r="BB688" i="1" l="1"/>
  <c r="BT687" i="1"/>
  <c r="BB689" i="1" l="1"/>
  <c r="BT688" i="1"/>
  <c r="BB690" i="1" l="1"/>
  <c r="BT689" i="1"/>
  <c r="BB691" i="1" l="1"/>
  <c r="BT690" i="1"/>
  <c r="BB692" i="1" l="1"/>
  <c r="BT691" i="1"/>
  <c r="BB693" i="1" l="1"/>
  <c r="BT692" i="1"/>
  <c r="BB694" i="1" l="1"/>
  <c r="BT693" i="1"/>
  <c r="BB695" i="1" l="1"/>
  <c r="BT694" i="1"/>
  <c r="BB696" i="1" l="1"/>
  <c r="BT695" i="1"/>
  <c r="BB697" i="1" l="1"/>
  <c r="BT696" i="1"/>
  <c r="BB698" i="1" l="1"/>
  <c r="BT697" i="1"/>
  <c r="BB699" i="1" l="1"/>
  <c r="BT698" i="1"/>
  <c r="BB700" i="1" l="1"/>
  <c r="BT699" i="1"/>
  <c r="BB701" i="1" l="1"/>
  <c r="BT700" i="1"/>
  <c r="BB702" i="1" l="1"/>
  <c r="BT701" i="1"/>
  <c r="BB703" i="1" l="1"/>
  <c r="BT702" i="1"/>
  <c r="BB704" i="1" l="1"/>
  <c r="BT703" i="1"/>
  <c r="BB705" i="1" l="1"/>
  <c r="BT704" i="1"/>
  <c r="BB706" i="1" l="1"/>
  <c r="BT705" i="1"/>
  <c r="BB707" i="1" l="1"/>
  <c r="BT706" i="1"/>
  <c r="BB708" i="1" l="1"/>
  <c r="BT707" i="1"/>
  <c r="BB709" i="1" l="1"/>
  <c r="BT708" i="1"/>
  <c r="BB710" i="1" l="1"/>
  <c r="BT709" i="1"/>
  <c r="BB711" i="1" l="1"/>
  <c r="BT710" i="1"/>
  <c r="BB712" i="1" l="1"/>
  <c r="BT711" i="1"/>
  <c r="BB713" i="1" l="1"/>
  <c r="BT712" i="1"/>
  <c r="BB714" i="1" l="1"/>
  <c r="BT713" i="1"/>
  <c r="BB715" i="1" l="1"/>
  <c r="BT714" i="1"/>
  <c r="BB716" i="1" l="1"/>
  <c r="BT715" i="1"/>
  <c r="BB717" i="1" l="1"/>
  <c r="BT716" i="1"/>
  <c r="BB718" i="1" l="1"/>
  <c r="BT717" i="1"/>
  <c r="BB719" i="1" l="1"/>
  <c r="BT718" i="1"/>
  <c r="BB720" i="1" l="1"/>
  <c r="BT719" i="1"/>
  <c r="BB721" i="1" l="1"/>
  <c r="BT720" i="1"/>
  <c r="BB722" i="1" l="1"/>
  <c r="BT721" i="1"/>
  <c r="BB723" i="1" l="1"/>
  <c r="BT722" i="1"/>
  <c r="BB724" i="1" l="1"/>
  <c r="BT723" i="1"/>
  <c r="BB725" i="1" l="1"/>
  <c r="BT724" i="1"/>
  <c r="BB726" i="1" l="1"/>
  <c r="BT725" i="1"/>
  <c r="BB727" i="1" l="1"/>
  <c r="BT726" i="1"/>
  <c r="BB728" i="1" l="1"/>
  <c r="BT727" i="1"/>
  <c r="BB729" i="1" l="1"/>
  <c r="BT728" i="1"/>
  <c r="BB730" i="1" l="1"/>
  <c r="BT729" i="1"/>
  <c r="BB731" i="1" l="1"/>
  <c r="BT730" i="1"/>
  <c r="BB732" i="1" l="1"/>
  <c r="BT731" i="1"/>
  <c r="BB733" i="1" l="1"/>
  <c r="BT732" i="1"/>
  <c r="BB734" i="1" l="1"/>
  <c r="BT733" i="1"/>
  <c r="BB735" i="1" l="1"/>
  <c r="BT734" i="1"/>
  <c r="BB736" i="1" l="1"/>
  <c r="BT735" i="1"/>
  <c r="BB737" i="1" l="1"/>
  <c r="BT736" i="1"/>
  <c r="BB738" i="1" l="1"/>
  <c r="BT737" i="1"/>
  <c r="BB739" i="1" l="1"/>
  <c r="BT738" i="1"/>
  <c r="BB740" i="1" l="1"/>
  <c r="BT739" i="1"/>
  <c r="BB741" i="1" l="1"/>
  <c r="BT740" i="1"/>
  <c r="BB742" i="1" l="1"/>
  <c r="BT741" i="1"/>
  <c r="BB743" i="1" l="1"/>
  <c r="BT742" i="1"/>
  <c r="BB744" i="1" l="1"/>
  <c r="BT743" i="1"/>
  <c r="BB745" i="1" l="1"/>
  <c r="BT744" i="1"/>
  <c r="BB746" i="1" l="1"/>
  <c r="BT745" i="1"/>
  <c r="BB747" i="1" l="1"/>
  <c r="BT746" i="1"/>
  <c r="BB748" i="1" l="1"/>
  <c r="BT747" i="1"/>
  <c r="BB749" i="1" l="1"/>
  <c r="BT748" i="1"/>
  <c r="BB750" i="1" l="1"/>
  <c r="BT749" i="1"/>
  <c r="BB751" i="1" l="1"/>
  <c r="BT750" i="1"/>
  <c r="BB752" i="1" l="1"/>
  <c r="BT751" i="1"/>
  <c r="BB753" i="1" l="1"/>
  <c r="BT752" i="1"/>
  <c r="BB754" i="1" l="1"/>
  <c r="BT753" i="1"/>
  <c r="BB755" i="1" l="1"/>
  <c r="BT754" i="1"/>
  <c r="BB756" i="1" l="1"/>
  <c r="BT755" i="1"/>
  <c r="BB757" i="1" l="1"/>
  <c r="BT756" i="1"/>
  <c r="BB758" i="1" l="1"/>
  <c r="BT757" i="1"/>
  <c r="BB759" i="1" l="1"/>
  <c r="BT758" i="1"/>
  <c r="BB760" i="1" l="1"/>
  <c r="BT759" i="1"/>
  <c r="BB761" i="1" l="1"/>
  <c r="BT760" i="1"/>
  <c r="BB762" i="1" l="1"/>
  <c r="BT761" i="1"/>
  <c r="BB763" i="1" l="1"/>
  <c r="BT762" i="1"/>
  <c r="BB764" i="1" l="1"/>
  <c r="BT763" i="1"/>
  <c r="BB765" i="1" l="1"/>
  <c r="BT764" i="1"/>
  <c r="BB766" i="1" l="1"/>
  <c r="BT765" i="1"/>
  <c r="BB767" i="1" l="1"/>
  <c r="BT766" i="1"/>
  <c r="BB768" i="1" l="1"/>
  <c r="BT767" i="1"/>
  <c r="BB769" i="1" l="1"/>
  <c r="BT768" i="1"/>
  <c r="BB770" i="1" l="1"/>
  <c r="BT769" i="1"/>
  <c r="BB771" i="1" l="1"/>
  <c r="BT770" i="1"/>
  <c r="BB772" i="1" l="1"/>
  <c r="BT771" i="1"/>
  <c r="BB773" i="1" l="1"/>
  <c r="BT772" i="1"/>
  <c r="BB774" i="1" l="1"/>
  <c r="BT773" i="1"/>
  <c r="BB775" i="1" l="1"/>
  <c r="BT774" i="1"/>
  <c r="BB776" i="1" l="1"/>
  <c r="BT775" i="1"/>
  <c r="BB777" i="1" l="1"/>
  <c r="BT776" i="1"/>
  <c r="BB778" i="1" l="1"/>
  <c r="BT777" i="1"/>
  <c r="BB779" i="1" l="1"/>
  <c r="BT778" i="1"/>
  <c r="BB780" i="1" l="1"/>
  <c r="BT779" i="1"/>
  <c r="BB781" i="1" l="1"/>
  <c r="BT780" i="1"/>
  <c r="BB782" i="1" l="1"/>
  <c r="BT781" i="1"/>
  <c r="BB783" i="1" l="1"/>
  <c r="BT782" i="1"/>
  <c r="BB784" i="1" l="1"/>
  <c r="BT783" i="1"/>
  <c r="BB785" i="1" l="1"/>
  <c r="BT784" i="1"/>
  <c r="BB786" i="1" l="1"/>
  <c r="BT785" i="1"/>
  <c r="BB787" i="1" l="1"/>
  <c r="BT786" i="1"/>
  <c r="BB788" i="1" l="1"/>
  <c r="BT787" i="1"/>
  <c r="BB789" i="1" l="1"/>
  <c r="BT788" i="1"/>
  <c r="BB790" i="1" l="1"/>
  <c r="BT789" i="1"/>
  <c r="BB791" i="1" l="1"/>
  <c r="BT790" i="1"/>
  <c r="BB792" i="1" l="1"/>
  <c r="BT791" i="1"/>
  <c r="BB793" i="1" l="1"/>
  <c r="BT792" i="1"/>
  <c r="BB794" i="1" l="1"/>
  <c r="BT793" i="1"/>
  <c r="BB795" i="1" l="1"/>
  <c r="BT794" i="1"/>
  <c r="BB796" i="1" l="1"/>
  <c r="BT795" i="1"/>
  <c r="BB797" i="1" l="1"/>
  <c r="BT796" i="1"/>
  <c r="BB798" i="1" l="1"/>
  <c r="BT797" i="1"/>
  <c r="BB799" i="1" l="1"/>
  <c r="BT798" i="1"/>
  <c r="BB800" i="1" l="1"/>
  <c r="BT799" i="1"/>
  <c r="BB801" i="1" l="1"/>
  <c r="BT800" i="1"/>
  <c r="BB802" i="1" l="1"/>
  <c r="BT801" i="1"/>
  <c r="BB803" i="1" l="1"/>
  <c r="BT802" i="1"/>
  <c r="BB804" i="1" l="1"/>
  <c r="BT803" i="1"/>
  <c r="BB805" i="1" l="1"/>
  <c r="BT804" i="1"/>
  <c r="BB806" i="1" l="1"/>
  <c r="BT805" i="1"/>
  <c r="BB807" i="1" l="1"/>
  <c r="BT806" i="1"/>
  <c r="BB808" i="1" l="1"/>
  <c r="BT807" i="1"/>
  <c r="BB809" i="1" l="1"/>
  <c r="BT808" i="1"/>
  <c r="BB810" i="1" l="1"/>
  <c r="BT809" i="1"/>
  <c r="BB811" i="1" l="1"/>
  <c r="BT810" i="1"/>
  <c r="BB812" i="1" l="1"/>
  <c r="BT811" i="1"/>
  <c r="BB813" i="1" l="1"/>
  <c r="BT812" i="1"/>
  <c r="BB814" i="1" l="1"/>
  <c r="BT813" i="1"/>
  <c r="BB815" i="1" l="1"/>
  <c r="BT814" i="1"/>
  <c r="BB816" i="1" l="1"/>
  <c r="BT815" i="1"/>
  <c r="BB817" i="1" l="1"/>
  <c r="BT816" i="1"/>
  <c r="BB818" i="1" l="1"/>
  <c r="BT817" i="1"/>
  <c r="BB819" i="1" l="1"/>
  <c r="BT818" i="1"/>
  <c r="BB820" i="1" l="1"/>
  <c r="BT819" i="1"/>
  <c r="BB821" i="1" l="1"/>
  <c r="BT820" i="1"/>
  <c r="BB822" i="1" l="1"/>
  <c r="BT821" i="1"/>
  <c r="BB823" i="1" l="1"/>
  <c r="BT822" i="1"/>
  <c r="BB824" i="1" l="1"/>
  <c r="BT823" i="1"/>
  <c r="BT824" i="1" l="1"/>
  <c r="BB825" i="1"/>
  <c r="BB826" i="1" l="1"/>
  <c r="BT825" i="1"/>
  <c r="BB827" i="1" l="1"/>
  <c r="BT826" i="1"/>
  <c r="BT827" i="1" l="1"/>
  <c r="BB828" i="1"/>
  <c r="BT828" i="1" l="1"/>
  <c r="BB829" i="1"/>
  <c r="BB830" i="1" l="1"/>
  <c r="BT829" i="1"/>
  <c r="BB831" i="1" l="1"/>
  <c r="BT830" i="1"/>
  <c r="BB832" i="1" l="1"/>
  <c r="BT831" i="1"/>
  <c r="BB833" i="1" l="1"/>
  <c r="BT832" i="1"/>
  <c r="BB834" i="1" l="1"/>
  <c r="BT833" i="1"/>
  <c r="BB835" i="1" l="1"/>
  <c r="BT834" i="1"/>
  <c r="BB836" i="1" l="1"/>
  <c r="BT835" i="1"/>
  <c r="BB837" i="1" l="1"/>
  <c r="BT836" i="1"/>
  <c r="BB838" i="1" l="1"/>
  <c r="BT837" i="1"/>
  <c r="BB839" i="1" l="1"/>
  <c r="BT838" i="1"/>
  <c r="BB840" i="1" l="1"/>
  <c r="BT839" i="1"/>
  <c r="BB841" i="1" l="1"/>
  <c r="BT840" i="1"/>
  <c r="BB842" i="1" l="1"/>
  <c r="BT841" i="1"/>
  <c r="BB843" i="1" l="1"/>
  <c r="BT842" i="1"/>
  <c r="BB844" i="1" l="1"/>
  <c r="BT843" i="1"/>
  <c r="BB845" i="1" l="1"/>
  <c r="BT844" i="1"/>
  <c r="BB846" i="1" l="1"/>
  <c r="BT845" i="1"/>
  <c r="BB847" i="1" l="1"/>
  <c r="BT846" i="1"/>
  <c r="BB848" i="1" l="1"/>
  <c r="BT847" i="1"/>
  <c r="BB849" i="1" l="1"/>
  <c r="BT848" i="1"/>
  <c r="BB850" i="1" l="1"/>
  <c r="BT849" i="1"/>
  <c r="BB851" i="1" l="1"/>
  <c r="BT850" i="1"/>
  <c r="BB852" i="1" l="1"/>
  <c r="BT851" i="1"/>
  <c r="BB853" i="1" l="1"/>
  <c r="BT852" i="1"/>
  <c r="BB854" i="1" l="1"/>
  <c r="BT853" i="1"/>
  <c r="BB855" i="1" l="1"/>
  <c r="BT854" i="1"/>
  <c r="BB856" i="1" l="1"/>
  <c r="BT855" i="1"/>
  <c r="BB857" i="1" l="1"/>
  <c r="BT856" i="1"/>
  <c r="BB858" i="1" l="1"/>
  <c r="BT857" i="1"/>
  <c r="BB859" i="1" l="1"/>
  <c r="BT858" i="1"/>
  <c r="BB860" i="1" l="1"/>
  <c r="BT859" i="1"/>
  <c r="BB861" i="1" l="1"/>
  <c r="BT860" i="1"/>
  <c r="BB862" i="1" l="1"/>
  <c r="BT861" i="1"/>
  <c r="BB863" i="1" l="1"/>
  <c r="BT862" i="1"/>
  <c r="BB864" i="1" l="1"/>
  <c r="BT863" i="1"/>
  <c r="BB865" i="1" l="1"/>
  <c r="BT864" i="1"/>
  <c r="BB866" i="1" l="1"/>
  <c r="BT865" i="1"/>
  <c r="BB867" i="1" l="1"/>
  <c r="BT866" i="1"/>
  <c r="BB868" i="1" l="1"/>
  <c r="BT867" i="1"/>
  <c r="BB869" i="1" l="1"/>
  <c r="BT868" i="1"/>
  <c r="BB870" i="1" l="1"/>
  <c r="BT869" i="1"/>
  <c r="BB871" i="1" l="1"/>
  <c r="BT870" i="1"/>
  <c r="BB872" i="1" l="1"/>
  <c r="BT871" i="1"/>
  <c r="BB873" i="1" l="1"/>
  <c r="BT872" i="1"/>
  <c r="BB874" i="1" l="1"/>
  <c r="BT873" i="1"/>
  <c r="BT874" i="1" l="1"/>
  <c r="BB875" i="1"/>
  <c r="BB876" i="1" l="1"/>
  <c r="BT875" i="1"/>
  <c r="BB877" i="1" l="1"/>
  <c r="BT876" i="1"/>
  <c r="BB878" i="1" l="1"/>
  <c r="BT877" i="1"/>
  <c r="BB879" i="1" l="1"/>
  <c r="BT878" i="1"/>
  <c r="BB880" i="1" l="1"/>
  <c r="BT879" i="1"/>
  <c r="BB881" i="1" l="1"/>
  <c r="BT880" i="1"/>
  <c r="BB882" i="1" l="1"/>
  <c r="BT881" i="1"/>
  <c r="BT882" i="1" l="1"/>
  <c r="BB883" i="1"/>
  <c r="BB884" i="1" l="1"/>
  <c r="BT883" i="1"/>
  <c r="BB885" i="1" l="1"/>
  <c r="BT884" i="1"/>
  <c r="BB886" i="1" l="1"/>
  <c r="BT885" i="1"/>
  <c r="BB887" i="1" l="1"/>
  <c r="BT886" i="1"/>
  <c r="BB888" i="1" l="1"/>
  <c r="BT887" i="1"/>
  <c r="BB889" i="1" l="1"/>
  <c r="BT888" i="1"/>
  <c r="BB890" i="1" l="1"/>
  <c r="BT889" i="1"/>
  <c r="BB891" i="1" l="1"/>
  <c r="BT890" i="1"/>
  <c r="BB892" i="1" l="1"/>
  <c r="BT891" i="1"/>
  <c r="BB893" i="1" l="1"/>
  <c r="BT892" i="1"/>
  <c r="BB894" i="1" l="1"/>
  <c r="BT893" i="1"/>
  <c r="BB895" i="1" l="1"/>
  <c r="BT894" i="1"/>
  <c r="BB896" i="1" l="1"/>
  <c r="BT895" i="1"/>
  <c r="BB897" i="1" l="1"/>
  <c r="BT896" i="1"/>
  <c r="BB898" i="1" l="1"/>
  <c r="BT897" i="1"/>
  <c r="BB899" i="1" l="1"/>
  <c r="BT898" i="1"/>
  <c r="BB900" i="1" l="1"/>
  <c r="BT899" i="1"/>
  <c r="BB901" i="1" l="1"/>
  <c r="BT900" i="1"/>
  <c r="BB902" i="1" l="1"/>
  <c r="BT901" i="1"/>
  <c r="BB903" i="1" l="1"/>
  <c r="BT902" i="1"/>
  <c r="BB904" i="1" l="1"/>
  <c r="BT903" i="1"/>
  <c r="BB905" i="1" l="1"/>
  <c r="BT904" i="1"/>
  <c r="BB906" i="1" l="1"/>
  <c r="BT905" i="1"/>
  <c r="BB907" i="1" l="1"/>
  <c r="BT906" i="1"/>
  <c r="BB908" i="1" l="1"/>
  <c r="BT907" i="1"/>
  <c r="BB909" i="1" l="1"/>
  <c r="BT908" i="1"/>
  <c r="BB910" i="1" l="1"/>
  <c r="BT909" i="1"/>
  <c r="BB911" i="1" l="1"/>
  <c r="BT910" i="1"/>
  <c r="BB912" i="1" l="1"/>
  <c r="BT911" i="1"/>
  <c r="BB913" i="1" l="1"/>
  <c r="BT912" i="1"/>
  <c r="BB914" i="1" l="1"/>
  <c r="BT913" i="1"/>
  <c r="BB915" i="1" l="1"/>
  <c r="BT914" i="1"/>
  <c r="BB916" i="1" l="1"/>
  <c r="BT915" i="1"/>
  <c r="BT916" i="1" l="1"/>
  <c r="BB917" i="1"/>
  <c r="BB918" i="1" l="1"/>
  <c r="BT917" i="1"/>
  <c r="BB919" i="1" l="1"/>
  <c r="BT918" i="1"/>
  <c r="BB920" i="1" l="1"/>
  <c r="BT919" i="1"/>
  <c r="BB921" i="1" l="1"/>
  <c r="BT920" i="1"/>
  <c r="BB922" i="1" l="1"/>
  <c r="BT921" i="1"/>
  <c r="BB923" i="1" l="1"/>
  <c r="BT922" i="1"/>
  <c r="BB924" i="1" l="1"/>
  <c r="BT923" i="1"/>
  <c r="BB925" i="1" l="1"/>
  <c r="BT924" i="1"/>
  <c r="BB926" i="1" l="1"/>
  <c r="BT925" i="1"/>
  <c r="BB927" i="1" l="1"/>
  <c r="BT926" i="1"/>
  <c r="BB928" i="1" l="1"/>
  <c r="BT927" i="1"/>
  <c r="BT928" i="1" l="1"/>
  <c r="BB929" i="1"/>
  <c r="BB930" i="1" l="1"/>
  <c r="BT929" i="1"/>
  <c r="BB931" i="1" l="1"/>
  <c r="BT930" i="1"/>
  <c r="BB932" i="1" l="1"/>
  <c r="BT931" i="1"/>
  <c r="BB933" i="1" l="1"/>
  <c r="BT932" i="1"/>
  <c r="BB934" i="1" l="1"/>
  <c r="BT933" i="1"/>
  <c r="BB935" i="1" l="1"/>
  <c r="BT934" i="1"/>
  <c r="BB936" i="1" l="1"/>
  <c r="BT935" i="1"/>
  <c r="BB937" i="1" l="1"/>
  <c r="BT936" i="1"/>
  <c r="BB938" i="1" l="1"/>
  <c r="BT937" i="1"/>
  <c r="BB939" i="1" l="1"/>
  <c r="BT938" i="1"/>
  <c r="BB940" i="1" l="1"/>
  <c r="BT939" i="1"/>
  <c r="BB941" i="1" l="1"/>
  <c r="BT940" i="1"/>
  <c r="BB942" i="1" l="1"/>
  <c r="BT941" i="1"/>
  <c r="BB943" i="1" l="1"/>
  <c r="BT942" i="1"/>
  <c r="BB944" i="1" l="1"/>
  <c r="BT943" i="1"/>
  <c r="BB945" i="1" l="1"/>
  <c r="BT944" i="1"/>
  <c r="BB946" i="1" l="1"/>
  <c r="BT945" i="1"/>
  <c r="BB947" i="1" l="1"/>
  <c r="BT946" i="1"/>
  <c r="BB948" i="1" l="1"/>
  <c r="BT947" i="1"/>
  <c r="BB949" i="1" l="1"/>
  <c r="BT948" i="1"/>
  <c r="BB950" i="1" l="1"/>
  <c r="BT949" i="1"/>
  <c r="BB951" i="1" l="1"/>
  <c r="BT950" i="1"/>
  <c r="BB952" i="1" l="1"/>
  <c r="BT951" i="1"/>
  <c r="BB953" i="1" l="1"/>
  <c r="BT952" i="1"/>
  <c r="BB954" i="1" l="1"/>
  <c r="BT953" i="1"/>
  <c r="BB955" i="1" l="1"/>
  <c r="BT954" i="1"/>
  <c r="BB956" i="1" l="1"/>
  <c r="BT955" i="1"/>
  <c r="BB957" i="1" l="1"/>
  <c r="BT956" i="1"/>
  <c r="BB958" i="1" l="1"/>
  <c r="BT957" i="1"/>
  <c r="BB959" i="1" l="1"/>
  <c r="BT958" i="1"/>
  <c r="BB960" i="1" l="1"/>
  <c r="BT959" i="1"/>
  <c r="BB961" i="1" l="1"/>
  <c r="BT960" i="1"/>
  <c r="BB962" i="1" l="1"/>
  <c r="BT961" i="1"/>
  <c r="BB963" i="1" l="1"/>
  <c r="BT962" i="1"/>
  <c r="BB964" i="1" l="1"/>
  <c r="BT963" i="1"/>
  <c r="BB965" i="1" l="1"/>
  <c r="BT964" i="1"/>
  <c r="BB966" i="1" l="1"/>
  <c r="BT965" i="1"/>
  <c r="BB967" i="1" l="1"/>
  <c r="BT966" i="1"/>
  <c r="BT967" i="1" l="1"/>
  <c r="BB968" i="1"/>
  <c r="BB969" i="1" l="1"/>
  <c r="BT968" i="1"/>
  <c r="BB970" i="1" l="1"/>
  <c r="BT969" i="1"/>
  <c r="BB971" i="1" l="1"/>
  <c r="BT970" i="1"/>
  <c r="BB972" i="1" l="1"/>
  <c r="BT971" i="1"/>
  <c r="BB973" i="1" l="1"/>
  <c r="BT972" i="1"/>
  <c r="BT973" i="1" l="1"/>
  <c r="BB974" i="1"/>
  <c r="BB975" i="1" l="1"/>
  <c r="BT974" i="1"/>
  <c r="BB976" i="1" l="1"/>
  <c r="BT975" i="1"/>
  <c r="BB977" i="1" l="1"/>
  <c r="BT976" i="1"/>
  <c r="BB978" i="1" l="1"/>
  <c r="BT977" i="1"/>
  <c r="BB979" i="1" l="1"/>
  <c r="BT978" i="1"/>
  <c r="BB980" i="1" l="1"/>
  <c r="BT979" i="1"/>
  <c r="BB981" i="1" l="1"/>
  <c r="BT980" i="1"/>
  <c r="BB982" i="1" l="1"/>
  <c r="BT981" i="1"/>
  <c r="BB983" i="1" l="1"/>
  <c r="BT982" i="1"/>
  <c r="BB984" i="1" l="1"/>
  <c r="BT983" i="1"/>
  <c r="BB985" i="1" l="1"/>
  <c r="BT984" i="1"/>
  <c r="BB986" i="1" l="1"/>
  <c r="BT985" i="1"/>
  <c r="BB987" i="1" l="1"/>
  <c r="BT986" i="1"/>
  <c r="BB988" i="1" l="1"/>
  <c r="BT987" i="1"/>
  <c r="BB989" i="1" l="1"/>
  <c r="BT988" i="1"/>
  <c r="BB990" i="1" l="1"/>
  <c r="BT989" i="1"/>
  <c r="BB991" i="1" l="1"/>
  <c r="BT990" i="1"/>
  <c r="BB992" i="1" l="1"/>
  <c r="BT991" i="1"/>
  <c r="BB993" i="1" l="1"/>
  <c r="BT992" i="1"/>
  <c r="BB994" i="1" l="1"/>
  <c r="BT993" i="1"/>
  <c r="BB995" i="1" l="1"/>
  <c r="BT994" i="1"/>
  <c r="BB996" i="1" l="1"/>
  <c r="BT995" i="1"/>
  <c r="BB997" i="1" l="1"/>
  <c r="BT996" i="1"/>
  <c r="BB998" i="1" l="1"/>
  <c r="BT997" i="1"/>
  <c r="BB999" i="1" l="1"/>
  <c r="BT998" i="1"/>
  <c r="BB1000" i="1" l="1"/>
  <c r="BT999" i="1"/>
  <c r="BB1001" i="1" l="1"/>
  <c r="BT1000" i="1"/>
  <c r="BB1002" i="1" l="1"/>
  <c r="BT1001" i="1"/>
  <c r="BB1003" i="1" l="1"/>
  <c r="BT1002" i="1"/>
  <c r="BB1004" i="1" l="1"/>
  <c r="BT1003" i="1"/>
  <c r="BB1005" i="1" l="1"/>
  <c r="BT1004" i="1"/>
  <c r="BB1006" i="1" l="1"/>
  <c r="BT1005" i="1"/>
  <c r="BB1007" i="1" l="1"/>
  <c r="BT1006" i="1"/>
  <c r="BB1008" i="1" l="1"/>
  <c r="BT1007" i="1"/>
  <c r="BB1009" i="1" l="1"/>
  <c r="BT1008" i="1"/>
  <c r="BT1009" i="1" l="1"/>
  <c r="BB1010" i="1"/>
  <c r="BB1011" i="1" l="1"/>
  <c r="BT1010" i="1"/>
  <c r="BB1012" i="1" l="1"/>
  <c r="BT1011" i="1"/>
  <c r="BB1013" i="1" l="1"/>
  <c r="BT1012" i="1"/>
  <c r="BB1014" i="1" l="1"/>
  <c r="BT1013" i="1"/>
  <c r="BB1015" i="1" l="1"/>
  <c r="BT1014" i="1"/>
  <c r="BT1015" i="1" l="1"/>
  <c r="BB1016" i="1"/>
  <c r="BB1017" i="1" l="1"/>
  <c r="BT1016" i="1"/>
  <c r="BB1018" i="1" l="1"/>
  <c r="BT1017" i="1"/>
  <c r="BB1019" i="1" l="1"/>
  <c r="BT1018" i="1"/>
  <c r="BB1020" i="1" l="1"/>
  <c r="BT1019" i="1"/>
  <c r="BB1021" i="1" l="1"/>
  <c r="BT1020" i="1"/>
  <c r="BB1022" i="1" l="1"/>
  <c r="BT1021" i="1"/>
  <c r="BB1023" i="1" l="1"/>
  <c r="BT1022" i="1"/>
  <c r="BB1024" i="1" l="1"/>
  <c r="BT1023" i="1"/>
  <c r="BB1025" i="1" l="1"/>
  <c r="BT1024" i="1"/>
  <c r="BB1026" i="1" l="1"/>
  <c r="BT1025" i="1"/>
  <c r="BB1027" i="1" l="1"/>
  <c r="BT1026" i="1"/>
  <c r="BB1028" i="1" l="1"/>
  <c r="BT1027" i="1"/>
  <c r="BB1029" i="1" l="1"/>
  <c r="BT1028" i="1"/>
  <c r="BB1030" i="1" l="1"/>
  <c r="BT1029" i="1"/>
  <c r="BB1031" i="1" l="1"/>
  <c r="BT1030" i="1"/>
  <c r="BT1031" i="1" l="1"/>
  <c r="BB1032" i="1"/>
  <c r="BB1033" i="1" l="1"/>
  <c r="BT1032" i="1"/>
  <c r="BB1034" i="1" l="1"/>
  <c r="BT1033" i="1"/>
  <c r="BB1035" i="1" l="1"/>
  <c r="BT1034" i="1"/>
  <c r="BB1036" i="1" l="1"/>
  <c r="BT1035" i="1"/>
  <c r="BB1037" i="1" l="1"/>
  <c r="BT1036" i="1"/>
  <c r="BB1038" i="1" l="1"/>
  <c r="BT1037" i="1"/>
  <c r="BB1039" i="1" l="1"/>
  <c r="BT1038" i="1"/>
  <c r="BB1040" i="1" l="1"/>
  <c r="BT1039" i="1"/>
  <c r="BB1041" i="1" l="1"/>
  <c r="BT1040" i="1"/>
  <c r="BB1042" i="1" l="1"/>
  <c r="BT1041" i="1"/>
  <c r="BB1043" i="1" l="1"/>
  <c r="BT1042" i="1"/>
  <c r="BB1044" i="1" l="1"/>
  <c r="BT1043" i="1"/>
  <c r="BB1045" i="1" l="1"/>
  <c r="BT1044" i="1"/>
  <c r="BB1046" i="1" l="1"/>
  <c r="BT1045" i="1"/>
  <c r="BB1047" i="1" l="1"/>
  <c r="BT1046" i="1"/>
  <c r="BB1048" i="1" l="1"/>
  <c r="BT1047" i="1"/>
  <c r="BB1049" i="1" l="1"/>
  <c r="BT1048" i="1"/>
  <c r="BB1050" i="1" l="1"/>
  <c r="BT1049" i="1"/>
  <c r="BB1051" i="1" l="1"/>
  <c r="BT1050" i="1"/>
  <c r="BT1051" i="1" l="1"/>
  <c r="BB1052" i="1"/>
  <c r="BB1053" i="1" l="1"/>
  <c r="BT1052" i="1"/>
  <c r="BB1054" i="1" l="1"/>
  <c r="BT1053" i="1"/>
  <c r="BB1055" i="1" l="1"/>
  <c r="BT1054" i="1"/>
  <c r="BB1056" i="1" l="1"/>
  <c r="BT1055" i="1"/>
  <c r="BB1057" i="1" l="1"/>
  <c r="BT1056" i="1"/>
  <c r="BB1058" i="1" l="1"/>
  <c r="BT1057" i="1"/>
  <c r="BB1059" i="1" l="1"/>
  <c r="BT1058" i="1"/>
  <c r="BB1060" i="1" l="1"/>
  <c r="BT1059" i="1"/>
  <c r="BB1061" i="1" l="1"/>
  <c r="BT1060" i="1"/>
  <c r="BB1062" i="1" l="1"/>
  <c r="BT1061" i="1"/>
  <c r="BB1063" i="1" l="1"/>
  <c r="BT1062" i="1"/>
  <c r="BB1064" i="1" l="1"/>
  <c r="BT1063" i="1"/>
  <c r="BB1065" i="1" l="1"/>
  <c r="BT1064" i="1"/>
  <c r="BB1066" i="1" l="1"/>
  <c r="BT1065" i="1"/>
  <c r="BB1067" i="1" l="1"/>
  <c r="BT1066" i="1"/>
  <c r="BB1068" i="1" l="1"/>
  <c r="BT1067" i="1"/>
  <c r="BB1069" i="1" l="1"/>
  <c r="BT1068" i="1"/>
  <c r="BB1070" i="1" l="1"/>
  <c r="BT1069" i="1"/>
  <c r="BB1071" i="1" l="1"/>
  <c r="BT1070" i="1"/>
  <c r="BB1072" i="1" l="1"/>
  <c r="BT1071" i="1"/>
  <c r="BB1073" i="1" l="1"/>
  <c r="BT1072" i="1"/>
  <c r="BB1074" i="1" l="1"/>
  <c r="BT1073" i="1"/>
  <c r="BB1075" i="1" l="1"/>
  <c r="BT1074" i="1"/>
  <c r="BB1076" i="1" l="1"/>
  <c r="BT1075" i="1"/>
  <c r="BB1077" i="1" l="1"/>
  <c r="BT1076" i="1"/>
  <c r="BB1078" i="1" l="1"/>
  <c r="BT1077" i="1"/>
  <c r="BB1079" i="1" l="1"/>
  <c r="BT1078" i="1"/>
  <c r="BB1080" i="1" l="1"/>
  <c r="BT1079" i="1"/>
  <c r="BB1081" i="1" l="1"/>
  <c r="BT1080" i="1"/>
  <c r="BB1082" i="1" l="1"/>
  <c r="BT1081" i="1"/>
  <c r="BB1083" i="1" l="1"/>
  <c r="BT1082" i="1"/>
  <c r="BB1084" i="1" l="1"/>
  <c r="BT1083" i="1"/>
  <c r="BB1085" i="1" l="1"/>
  <c r="BT1084" i="1"/>
  <c r="BT1085" i="1" l="1"/>
  <c r="BB1086" i="1"/>
  <c r="BB1087" i="1" l="1"/>
  <c r="BT1086" i="1"/>
  <c r="BB1088" i="1" l="1"/>
  <c r="BT1087" i="1"/>
  <c r="BB1089" i="1" l="1"/>
  <c r="BT1088" i="1"/>
  <c r="BB1090" i="1" l="1"/>
  <c r="BT1089" i="1"/>
  <c r="BB1091" i="1" l="1"/>
  <c r="BT1090" i="1"/>
  <c r="BB1092" i="1" l="1"/>
  <c r="BT1091" i="1"/>
  <c r="BB1093" i="1" l="1"/>
  <c r="BT1092" i="1"/>
  <c r="BB1094" i="1" l="1"/>
  <c r="BT1093" i="1"/>
  <c r="BB1095" i="1" l="1"/>
  <c r="BT1094" i="1"/>
  <c r="BB1096" i="1" l="1"/>
  <c r="BT1095" i="1"/>
  <c r="BB1097" i="1" l="1"/>
  <c r="BT1096" i="1"/>
  <c r="BB1098" i="1" l="1"/>
  <c r="BT1097" i="1"/>
  <c r="BB1099" i="1" l="1"/>
  <c r="BT1098" i="1"/>
  <c r="BB1100" i="1" l="1"/>
  <c r="BT1099" i="1"/>
  <c r="BB1101" i="1" l="1"/>
  <c r="BT1100" i="1"/>
  <c r="BB1102" i="1" l="1"/>
  <c r="BT1101" i="1"/>
  <c r="BB1103" i="1" l="1"/>
  <c r="BT1102" i="1"/>
  <c r="BB1104" i="1" l="1"/>
  <c r="BT1103" i="1"/>
  <c r="BB1105" i="1" l="1"/>
  <c r="BT1104" i="1"/>
  <c r="BB1106" i="1" l="1"/>
  <c r="BT1105" i="1"/>
  <c r="BB1107" i="1" l="1"/>
  <c r="BT1106" i="1"/>
  <c r="BB1108" i="1" l="1"/>
  <c r="BT1107" i="1"/>
  <c r="BB1109" i="1" l="1"/>
  <c r="BT1108" i="1"/>
  <c r="BB1110" i="1" l="1"/>
  <c r="BT1109" i="1"/>
  <c r="BB1111" i="1" l="1"/>
  <c r="BT1110" i="1"/>
  <c r="BB1112" i="1" l="1"/>
  <c r="BT1111" i="1"/>
  <c r="BB1113" i="1" l="1"/>
  <c r="BT1112" i="1"/>
  <c r="BB1114" i="1" l="1"/>
  <c r="BT1113" i="1"/>
  <c r="BB1115" i="1" l="1"/>
  <c r="BT1114" i="1"/>
  <c r="BB1116" i="1" l="1"/>
  <c r="BT1115" i="1"/>
  <c r="BB1117" i="1" l="1"/>
  <c r="BT1116" i="1"/>
  <c r="BB1118" i="1" l="1"/>
  <c r="BT1117" i="1"/>
  <c r="BB1119" i="1" l="1"/>
  <c r="BT1118" i="1"/>
  <c r="BB1120" i="1" l="1"/>
  <c r="BT1119" i="1"/>
  <c r="BB1121" i="1" l="1"/>
  <c r="BT1120" i="1"/>
  <c r="BB1122" i="1" l="1"/>
  <c r="BT1121" i="1"/>
  <c r="BB1123" i="1" l="1"/>
  <c r="BT1122" i="1"/>
  <c r="BB1124" i="1" l="1"/>
  <c r="BT1123" i="1"/>
  <c r="BB1125" i="1" l="1"/>
  <c r="BT1124" i="1"/>
  <c r="BB1126" i="1" l="1"/>
  <c r="BT1125" i="1"/>
  <c r="BT1126" i="1" l="1"/>
  <c r="BB1127" i="1"/>
  <c r="BB1128" i="1" l="1"/>
  <c r="BT1127" i="1"/>
  <c r="BB1129" i="1" l="1"/>
  <c r="BT1128" i="1"/>
  <c r="BT1129" i="1" l="1"/>
  <c r="BB1130" i="1"/>
  <c r="BB1131" i="1" l="1"/>
  <c r="BT1130" i="1"/>
  <c r="BB1132" i="1" l="1"/>
  <c r="BT1131" i="1"/>
  <c r="BB1133" i="1" l="1"/>
  <c r="BT1132" i="1"/>
  <c r="BB1134" i="1" l="1"/>
  <c r="BT1133" i="1"/>
  <c r="BT1134" i="1" l="1"/>
  <c r="BB1135" i="1"/>
  <c r="BT1135" i="1" l="1"/>
  <c r="BB1136" i="1"/>
  <c r="BB1137" i="1" l="1"/>
  <c r="BT1136" i="1"/>
  <c r="BB1138" i="1" l="1"/>
  <c r="BT1137" i="1"/>
  <c r="BB1139" i="1" l="1"/>
  <c r="BT1138" i="1"/>
  <c r="BB1140" i="1" l="1"/>
  <c r="BT1139" i="1"/>
  <c r="BB1141" i="1" l="1"/>
  <c r="BT1140" i="1"/>
  <c r="BB1142" i="1" l="1"/>
  <c r="BT1141" i="1"/>
  <c r="BB1143" i="1" l="1"/>
  <c r="BT1142" i="1"/>
  <c r="BB1144" i="1" l="1"/>
  <c r="BT1143" i="1"/>
  <c r="BB1145" i="1" l="1"/>
  <c r="BT1144" i="1"/>
  <c r="BB1146" i="1" l="1"/>
  <c r="BT1145" i="1"/>
  <c r="BT1146" i="1" l="1"/>
  <c r="BB1147" i="1"/>
  <c r="BB1148" i="1" l="1"/>
  <c r="BT1147" i="1"/>
  <c r="BB1149" i="1" l="1"/>
  <c r="BT1148" i="1"/>
  <c r="BB1150" i="1" l="1"/>
  <c r="BT1149" i="1"/>
  <c r="BB1151" i="1" l="1"/>
  <c r="BT1150" i="1"/>
  <c r="BB1152" i="1" l="1"/>
  <c r="BT1151" i="1"/>
  <c r="BB1153" i="1" l="1"/>
  <c r="BT1152" i="1"/>
  <c r="BB1154" i="1" l="1"/>
  <c r="BT1153" i="1"/>
  <c r="BB1155" i="1" l="1"/>
  <c r="BT1154" i="1"/>
  <c r="BB1156" i="1" l="1"/>
  <c r="BT1155" i="1"/>
  <c r="BB1157" i="1" l="1"/>
  <c r="BT1156" i="1"/>
  <c r="BB1158" i="1" l="1"/>
  <c r="BT1157" i="1"/>
  <c r="BB1159" i="1" l="1"/>
  <c r="BT1158" i="1"/>
  <c r="BT1159" i="1" l="1"/>
  <c r="BB1160" i="1"/>
  <c r="BB1161" i="1" l="1"/>
  <c r="BT1160" i="1"/>
  <c r="BB1162" i="1" l="1"/>
  <c r="BT1161" i="1"/>
  <c r="BB1163" i="1" l="1"/>
  <c r="BT1162" i="1"/>
  <c r="BB1164" i="1" l="1"/>
  <c r="BT1163" i="1"/>
  <c r="BT1164" i="1" l="1"/>
  <c r="BB1165" i="1"/>
  <c r="BB1166" i="1" l="1"/>
  <c r="BT1165" i="1"/>
  <c r="BB1167" i="1" l="1"/>
  <c r="BT1166" i="1"/>
  <c r="BB1168" i="1" l="1"/>
  <c r="BT1167" i="1"/>
  <c r="BB1169" i="1" l="1"/>
  <c r="BT1168" i="1"/>
  <c r="BB1170" i="1" l="1"/>
  <c r="BT1169" i="1"/>
  <c r="BB1171" i="1" l="1"/>
  <c r="BT1170" i="1"/>
  <c r="BB1172" i="1" l="1"/>
  <c r="BT1171" i="1"/>
  <c r="BB1173" i="1" l="1"/>
  <c r="BT1172" i="1"/>
  <c r="BB1174" i="1" l="1"/>
  <c r="BT1173" i="1"/>
  <c r="BB1175" i="1" l="1"/>
  <c r="BT1174" i="1"/>
  <c r="BB1176" i="1" l="1"/>
  <c r="BT1175" i="1"/>
  <c r="BB1177" i="1" l="1"/>
  <c r="BT1176" i="1"/>
  <c r="BB1178" i="1" l="1"/>
  <c r="BT1177" i="1"/>
  <c r="BB1179" i="1" l="1"/>
  <c r="BT1178" i="1"/>
  <c r="BB1180" i="1" l="1"/>
  <c r="BT1179" i="1"/>
  <c r="BB1181" i="1" l="1"/>
  <c r="BT1180" i="1"/>
  <c r="BB1182" i="1" l="1"/>
  <c r="BT1181" i="1"/>
  <c r="BB1183" i="1" l="1"/>
  <c r="BT1182" i="1"/>
  <c r="BB1184" i="1" l="1"/>
  <c r="BT1183" i="1"/>
  <c r="BB1185" i="1" l="1"/>
  <c r="BT1184" i="1"/>
  <c r="BB1186" i="1" l="1"/>
  <c r="BT1185" i="1"/>
  <c r="BB1187" i="1" l="1"/>
  <c r="BT1186" i="1"/>
  <c r="BB1188" i="1" l="1"/>
  <c r="BT1187" i="1"/>
  <c r="BB1189" i="1" l="1"/>
  <c r="BT1188" i="1"/>
  <c r="BB1190" i="1" l="1"/>
  <c r="BT1189" i="1"/>
  <c r="BB1191" i="1" l="1"/>
  <c r="BT1190" i="1"/>
  <c r="BB1192" i="1" l="1"/>
  <c r="BT1191" i="1"/>
  <c r="BB1193" i="1" l="1"/>
  <c r="BT1192" i="1"/>
  <c r="BB1194" i="1" l="1"/>
  <c r="BT1193" i="1"/>
  <c r="BB1195" i="1" l="1"/>
  <c r="BT1194" i="1"/>
  <c r="BB1196" i="1" l="1"/>
  <c r="BT1195" i="1"/>
  <c r="BB1197" i="1" l="1"/>
  <c r="BT1196" i="1"/>
  <c r="BB1198" i="1" l="1"/>
  <c r="BT1197" i="1"/>
  <c r="BB1199" i="1" l="1"/>
  <c r="BT1198" i="1"/>
  <c r="BB1200" i="1" l="1"/>
  <c r="BT1199" i="1"/>
  <c r="BB1201" i="1" l="1"/>
  <c r="BT1200" i="1"/>
  <c r="BB1202" i="1" l="1"/>
  <c r="BT1201" i="1"/>
  <c r="BB1203" i="1" l="1"/>
  <c r="BT1202" i="1"/>
  <c r="BB1204" i="1" l="1"/>
  <c r="BT1203" i="1"/>
  <c r="BB1205" i="1" l="1"/>
  <c r="BT1204" i="1"/>
  <c r="BB1206" i="1" l="1"/>
  <c r="BT1205" i="1"/>
  <c r="BB1207" i="1" l="1"/>
  <c r="BT1206" i="1"/>
  <c r="BB1208" i="1" l="1"/>
  <c r="BT1207" i="1"/>
  <c r="BB1209" i="1" l="1"/>
  <c r="BT1208" i="1"/>
  <c r="BB1210" i="1" l="1"/>
  <c r="BT1209" i="1"/>
  <c r="BB1211" i="1" l="1"/>
  <c r="BT1210" i="1"/>
  <c r="BB1212" i="1" l="1"/>
  <c r="BT1211" i="1"/>
  <c r="BT1212" i="1" l="1"/>
  <c r="BB1213" i="1"/>
  <c r="BB1214" i="1" l="1"/>
  <c r="BT1213" i="1"/>
  <c r="BT1214" i="1" l="1"/>
  <c r="BB1215" i="1"/>
  <c r="BB1216" i="1" l="1"/>
  <c r="BT1215" i="1"/>
  <c r="BB1217" i="1" l="1"/>
  <c r="BT1216" i="1"/>
  <c r="BB1218" i="1" l="1"/>
  <c r="BT1217" i="1"/>
  <c r="BB1219" i="1" l="1"/>
  <c r="BT1218" i="1"/>
  <c r="BB1220" i="1" l="1"/>
  <c r="BT1219" i="1"/>
  <c r="BB1221" i="1" l="1"/>
  <c r="BT1220" i="1"/>
  <c r="BB1222" i="1" l="1"/>
  <c r="BT1221" i="1"/>
  <c r="BB1223" i="1" l="1"/>
  <c r="BT1222" i="1"/>
  <c r="BB1224" i="1" l="1"/>
  <c r="BT1223" i="1"/>
  <c r="BB1225" i="1" l="1"/>
  <c r="BT1224" i="1"/>
  <c r="BB1226" i="1" l="1"/>
  <c r="BT1225" i="1"/>
  <c r="BB1227" i="1" l="1"/>
  <c r="BT1226" i="1"/>
  <c r="BB1228" i="1" l="1"/>
  <c r="BT1227" i="1"/>
  <c r="BB1229" i="1" l="1"/>
  <c r="BT1228" i="1"/>
  <c r="BT1229" i="1" l="1"/>
  <c r="BB1230" i="1"/>
  <c r="BB1231" i="1" l="1"/>
  <c r="BT1230" i="1"/>
  <c r="BB1232" i="1" l="1"/>
  <c r="BT1231" i="1"/>
  <c r="BB1233" i="1" l="1"/>
  <c r="BT1232" i="1"/>
  <c r="BB1234" i="1" l="1"/>
  <c r="BT1233" i="1"/>
  <c r="BB1235" i="1" l="1"/>
  <c r="BT1234" i="1"/>
  <c r="BB1236" i="1" l="1"/>
  <c r="BT1235" i="1"/>
  <c r="BB1237" i="1" l="1"/>
  <c r="BT1236" i="1"/>
  <c r="BB1238" i="1" l="1"/>
  <c r="BT1237" i="1"/>
  <c r="BB1239" i="1" l="1"/>
  <c r="BT1238" i="1"/>
  <c r="BB1240" i="1" l="1"/>
  <c r="BT1239" i="1"/>
  <c r="BB1241" i="1" l="1"/>
  <c r="BT1240" i="1"/>
  <c r="BB1242" i="1" l="1"/>
  <c r="BT1241" i="1"/>
  <c r="BB1243" i="1" l="1"/>
  <c r="BT1242" i="1"/>
  <c r="BT1243" i="1" l="1"/>
  <c r="BB1244" i="1"/>
  <c r="BT1244" i="1" l="1"/>
  <c r="BB1245" i="1"/>
  <c r="BB1246" i="1" l="1"/>
  <c r="BT1245" i="1"/>
  <c r="BB1247" i="1" l="1"/>
  <c r="BT1246" i="1"/>
  <c r="BT1247" i="1" l="1"/>
  <c r="BB1248" i="1"/>
  <c r="BB1249" i="1" l="1"/>
  <c r="BT1248" i="1"/>
  <c r="BB1250" i="1" l="1"/>
  <c r="BT1249" i="1"/>
  <c r="BB1251" i="1" l="1"/>
  <c r="BT1250" i="1"/>
  <c r="BB1252" i="1" l="1"/>
  <c r="BT1251" i="1"/>
  <c r="BB1253" i="1" l="1"/>
  <c r="BT1252" i="1"/>
  <c r="BB1254" i="1" l="1"/>
  <c r="BT1253" i="1"/>
  <c r="BB1255" i="1" l="1"/>
  <c r="BT1254" i="1"/>
  <c r="BB1256" i="1" l="1"/>
  <c r="BT1255" i="1"/>
  <c r="BB1257" i="1" l="1"/>
  <c r="BT1256" i="1"/>
  <c r="BB1258" i="1" l="1"/>
  <c r="BT1257" i="1"/>
  <c r="BB1259" i="1" l="1"/>
  <c r="BT1258" i="1"/>
  <c r="BB1260" i="1" l="1"/>
  <c r="BT1259" i="1"/>
  <c r="BB1261" i="1" l="1"/>
  <c r="BT1260" i="1"/>
  <c r="BB1262" i="1" l="1"/>
  <c r="BT1261" i="1"/>
  <c r="BB1263" i="1" l="1"/>
  <c r="BT1262" i="1"/>
  <c r="BB1264" i="1" l="1"/>
  <c r="BT1263" i="1"/>
  <c r="BB1265" i="1" l="1"/>
  <c r="BT1264" i="1"/>
  <c r="BB1266" i="1" l="1"/>
  <c r="BT1265" i="1"/>
  <c r="BT1266" i="1" l="1"/>
  <c r="BB1267" i="1"/>
  <c r="BB1268" i="1" l="1"/>
  <c r="BT1267" i="1"/>
  <c r="BB1269" i="1" l="1"/>
  <c r="BT1268" i="1"/>
  <c r="BB1270" i="1" l="1"/>
  <c r="BT1269" i="1"/>
  <c r="BB1271" i="1" l="1"/>
  <c r="BT1270" i="1"/>
  <c r="BB1272" i="1" l="1"/>
  <c r="BT1271" i="1"/>
  <c r="BB1273" i="1" l="1"/>
  <c r="BT1272" i="1"/>
  <c r="BB1274" i="1" l="1"/>
  <c r="BT1273" i="1"/>
  <c r="BB1275" i="1" l="1"/>
  <c r="BT1274" i="1"/>
  <c r="BB1276" i="1" l="1"/>
  <c r="BT1275" i="1"/>
  <c r="BB1277" i="1" l="1"/>
  <c r="BT1276" i="1"/>
  <c r="BB1278" i="1" l="1"/>
  <c r="BT1277" i="1"/>
  <c r="BB1279" i="1" l="1"/>
  <c r="BT1278" i="1"/>
  <c r="BB1280" i="1" l="1"/>
  <c r="BT1279" i="1"/>
  <c r="BB1281" i="1" l="1"/>
  <c r="BT1280" i="1"/>
  <c r="BB1282" i="1" l="1"/>
  <c r="BT1281" i="1"/>
  <c r="BB1283" i="1" l="1"/>
  <c r="BT1282" i="1"/>
  <c r="BB1284" i="1" l="1"/>
  <c r="BT1283" i="1"/>
  <c r="BB1285" i="1" l="1"/>
  <c r="BT1284" i="1"/>
  <c r="BB1286" i="1" l="1"/>
  <c r="BT1285" i="1"/>
  <c r="BB1287" i="1" l="1"/>
  <c r="BT1286" i="1"/>
  <c r="BB1288" i="1" l="1"/>
  <c r="BT1287" i="1"/>
  <c r="BB1289" i="1" l="1"/>
  <c r="BT1288" i="1"/>
  <c r="BB1290" i="1" l="1"/>
  <c r="BT1289" i="1"/>
  <c r="BB1291" i="1" l="1"/>
  <c r="BT1290" i="1"/>
  <c r="BB1292" i="1" l="1"/>
  <c r="BT1291" i="1"/>
  <c r="BB1293" i="1" l="1"/>
  <c r="BT1292" i="1"/>
  <c r="BB1294" i="1" l="1"/>
  <c r="BT1293" i="1"/>
  <c r="BB1295" i="1" l="1"/>
  <c r="BT1294" i="1"/>
  <c r="BB1296" i="1" l="1"/>
  <c r="BT1295" i="1"/>
  <c r="BB1297" i="1" l="1"/>
  <c r="BT1296" i="1"/>
  <c r="BB1298" i="1" l="1"/>
  <c r="BT1297" i="1"/>
  <c r="BB1299" i="1" l="1"/>
  <c r="BT1298" i="1"/>
  <c r="BB1300" i="1" l="1"/>
  <c r="BT1299" i="1"/>
  <c r="BB1301" i="1" l="1"/>
  <c r="BT1300" i="1"/>
  <c r="BB1302" i="1" l="1"/>
  <c r="BT1301" i="1"/>
  <c r="BB1303" i="1" l="1"/>
  <c r="BT1302" i="1"/>
  <c r="BB1304" i="1" l="1"/>
  <c r="BT1303" i="1"/>
  <c r="BB1305" i="1" l="1"/>
  <c r="BT1304" i="1"/>
  <c r="BB1306" i="1" l="1"/>
  <c r="BT1305" i="1"/>
  <c r="BB1307" i="1" l="1"/>
  <c r="BT1306" i="1"/>
  <c r="BB1308" i="1" l="1"/>
  <c r="BT1307" i="1"/>
  <c r="BB1309" i="1" l="1"/>
  <c r="BT1308" i="1"/>
  <c r="BB1310" i="1" l="1"/>
  <c r="BT1309" i="1"/>
  <c r="BB1311" i="1" l="1"/>
  <c r="BT1310" i="1"/>
  <c r="BB1312" i="1" l="1"/>
  <c r="BT1311" i="1"/>
  <c r="BB1313" i="1" l="1"/>
  <c r="BT1312" i="1"/>
  <c r="BB1314" i="1" l="1"/>
  <c r="BT1313" i="1"/>
  <c r="BB1315" i="1" l="1"/>
  <c r="BT1314" i="1"/>
  <c r="BB1316" i="1" l="1"/>
  <c r="BT1315" i="1"/>
  <c r="BB1317" i="1" l="1"/>
  <c r="BT1316" i="1"/>
  <c r="BB1318" i="1" l="1"/>
  <c r="BT1317" i="1"/>
  <c r="BB1319" i="1" l="1"/>
  <c r="BT1318" i="1"/>
  <c r="BB1320" i="1" l="1"/>
  <c r="BT1319" i="1"/>
  <c r="BB1321" i="1" l="1"/>
  <c r="BT1320" i="1"/>
  <c r="BB1322" i="1" l="1"/>
  <c r="BT1321" i="1"/>
  <c r="BB1323" i="1" l="1"/>
  <c r="BT1322" i="1"/>
  <c r="BB1324" i="1" l="1"/>
  <c r="BT1323" i="1"/>
  <c r="BB1325" i="1" l="1"/>
  <c r="BT1324" i="1"/>
  <c r="BB1326" i="1" l="1"/>
  <c r="BT1325" i="1"/>
  <c r="BB1327" i="1" l="1"/>
  <c r="BT1326" i="1"/>
  <c r="BB1328" i="1" l="1"/>
  <c r="BT1327" i="1"/>
  <c r="BB1329" i="1" l="1"/>
  <c r="BT1328" i="1"/>
  <c r="BB1330" i="1" l="1"/>
  <c r="BT1329" i="1"/>
  <c r="BB1331" i="1" l="1"/>
  <c r="BT1330" i="1"/>
  <c r="BB1332" i="1" l="1"/>
  <c r="BT1331" i="1"/>
  <c r="BB1333" i="1" l="1"/>
  <c r="BT1332" i="1"/>
  <c r="BB1334" i="1" l="1"/>
  <c r="BT1333" i="1"/>
  <c r="BB1335" i="1" l="1"/>
  <c r="BT1334" i="1"/>
  <c r="BT1335" i="1" l="1"/>
  <c r="BB1336" i="1"/>
  <c r="BB1337" i="1" l="1"/>
  <c r="BT1336" i="1"/>
  <c r="BB1338" i="1" l="1"/>
  <c r="BT1337" i="1"/>
  <c r="BB1339" i="1" l="1"/>
  <c r="BT1338" i="1"/>
  <c r="BB1340" i="1" l="1"/>
  <c r="BT1339" i="1"/>
  <c r="BB1341" i="1" l="1"/>
  <c r="BT1340" i="1"/>
  <c r="BB1342" i="1" l="1"/>
  <c r="BT1341" i="1"/>
  <c r="BB1343" i="1" l="1"/>
  <c r="BT1342" i="1"/>
  <c r="BB1344" i="1" l="1"/>
  <c r="BT1343" i="1"/>
  <c r="BB1345" i="1" l="1"/>
  <c r="BT1344" i="1"/>
  <c r="BB1346" i="1" l="1"/>
  <c r="BT1345" i="1"/>
  <c r="BB1347" i="1" l="1"/>
  <c r="BT1346" i="1"/>
  <c r="BB1348" i="1" l="1"/>
  <c r="BT1347" i="1"/>
  <c r="BB1349" i="1" l="1"/>
  <c r="BT1348" i="1"/>
  <c r="BB1350" i="1" l="1"/>
  <c r="BT1349" i="1"/>
  <c r="BB1351" i="1" l="1"/>
  <c r="BT1350" i="1"/>
  <c r="BB1352" i="1" l="1"/>
  <c r="BT1351" i="1"/>
  <c r="BB1353" i="1" l="1"/>
  <c r="BT1352" i="1"/>
  <c r="BB1354" i="1" l="1"/>
  <c r="BT1353" i="1"/>
  <c r="BT1354" i="1" l="1"/>
  <c r="BB1355" i="1"/>
  <c r="BB1356" i="1" l="1"/>
  <c r="BT1355" i="1"/>
  <c r="BB1357" i="1" l="1"/>
  <c r="BT1356" i="1"/>
  <c r="BB1358" i="1" l="1"/>
  <c r="BT1357" i="1"/>
  <c r="BB1359" i="1" l="1"/>
  <c r="BT1358" i="1"/>
  <c r="BB1360" i="1" l="1"/>
  <c r="BT1359" i="1"/>
  <c r="BB1361" i="1" l="1"/>
  <c r="BT1360" i="1"/>
  <c r="BB1362" i="1" l="1"/>
  <c r="BT1361" i="1"/>
  <c r="BB1363" i="1" l="1"/>
  <c r="BT1362" i="1"/>
  <c r="BB1364" i="1" l="1"/>
  <c r="BT1363" i="1"/>
  <c r="BB1365" i="1" l="1"/>
  <c r="BT1364" i="1"/>
  <c r="BB1366" i="1" l="1"/>
  <c r="BT1365" i="1"/>
  <c r="BB1367" i="1" l="1"/>
  <c r="BT1366" i="1"/>
  <c r="BB1368" i="1" l="1"/>
  <c r="BT1367" i="1"/>
  <c r="BT1368" i="1" l="1"/>
  <c r="BB1369" i="1"/>
  <c r="BB1370" i="1" l="1"/>
  <c r="BT1369" i="1"/>
  <c r="BT1370" i="1" l="1"/>
  <c r="BB1371" i="1"/>
  <c r="BB1372" i="1" l="1"/>
  <c r="BT1371" i="1"/>
  <c r="BB1373" i="1" l="1"/>
  <c r="BT1372" i="1"/>
  <c r="BB1374" i="1" l="1"/>
  <c r="BT1373" i="1"/>
  <c r="BB1375" i="1" l="1"/>
  <c r="BT1374" i="1"/>
  <c r="BB1376" i="1" l="1"/>
  <c r="BT1375" i="1"/>
  <c r="BB1377" i="1" l="1"/>
  <c r="BT1376" i="1"/>
  <c r="BB1378" i="1" l="1"/>
  <c r="BT1377" i="1"/>
  <c r="BB1379" i="1" l="1"/>
  <c r="BT1378" i="1"/>
  <c r="BB1380" i="1" l="1"/>
  <c r="BT1379" i="1"/>
  <c r="BB1381" i="1" l="1"/>
  <c r="BT1380" i="1"/>
  <c r="BB1382" i="1" l="1"/>
  <c r="BT1381" i="1"/>
  <c r="BB1383" i="1" l="1"/>
  <c r="BT1382" i="1"/>
  <c r="BB1384" i="1" l="1"/>
  <c r="BT1383" i="1"/>
  <c r="BB1385" i="1" l="1"/>
  <c r="BT1384" i="1"/>
  <c r="BB1386" i="1" l="1"/>
  <c r="BT1385" i="1"/>
  <c r="BB1387" i="1" l="1"/>
  <c r="BT1386" i="1"/>
  <c r="BB1388" i="1" l="1"/>
  <c r="BT1387" i="1"/>
  <c r="BT1388" i="1" l="1"/>
  <c r="BB1389" i="1"/>
  <c r="BB1390" i="1" l="1"/>
  <c r="BT1389" i="1"/>
  <c r="BB1391" i="1" l="1"/>
  <c r="BT1390" i="1"/>
  <c r="BT1391" i="1" l="1"/>
  <c r="BB1392" i="1"/>
  <c r="BB1393" i="1" l="1"/>
  <c r="BT1392" i="1"/>
  <c r="BB1394" i="1" l="1"/>
  <c r="BT1393" i="1"/>
  <c r="BB1395" i="1" l="1"/>
  <c r="BT1394" i="1"/>
  <c r="BB1396" i="1" l="1"/>
  <c r="BT1395" i="1"/>
  <c r="BB1397" i="1" l="1"/>
  <c r="BT1396" i="1"/>
  <c r="BB1398" i="1" l="1"/>
  <c r="BT1397" i="1"/>
  <c r="BB1399" i="1" l="1"/>
  <c r="BT1398" i="1"/>
  <c r="BB1400" i="1" l="1"/>
  <c r="BT1399" i="1"/>
  <c r="BB1401" i="1" l="1"/>
  <c r="BT1400" i="1"/>
  <c r="BB1402" i="1" l="1"/>
  <c r="BT1401" i="1"/>
  <c r="BB1403" i="1" l="1"/>
  <c r="BT1402" i="1"/>
  <c r="BB1404" i="1" l="1"/>
  <c r="BT1403" i="1"/>
  <c r="BB1405" i="1" l="1"/>
  <c r="BT1404" i="1"/>
  <c r="BB1406" i="1" l="1"/>
  <c r="BT1405" i="1"/>
  <c r="BB1407" i="1" l="1"/>
  <c r="BT1406" i="1"/>
  <c r="BB1408" i="1" l="1"/>
  <c r="BT1407" i="1"/>
  <c r="BB1409" i="1" l="1"/>
  <c r="BT1408" i="1"/>
  <c r="BB1410" i="1" l="1"/>
  <c r="BT1409" i="1"/>
  <c r="BB1411" i="1" l="1"/>
  <c r="BT1410" i="1"/>
  <c r="BB1412" i="1" l="1"/>
  <c r="BT1411" i="1"/>
  <c r="BB1413" i="1" l="1"/>
  <c r="BT1412" i="1"/>
  <c r="BB1414" i="1" l="1"/>
  <c r="BT1413" i="1"/>
  <c r="BB1415" i="1" l="1"/>
  <c r="BT1414" i="1"/>
  <c r="BB1416" i="1" l="1"/>
  <c r="BT1415" i="1"/>
  <c r="BB1417" i="1" l="1"/>
  <c r="BT1416" i="1"/>
  <c r="BB1418" i="1" l="1"/>
  <c r="BT1417" i="1"/>
  <c r="BB1419" i="1" l="1"/>
  <c r="BT1418" i="1"/>
  <c r="BB1420" i="1" l="1"/>
  <c r="BT1419" i="1"/>
  <c r="BB1421" i="1" l="1"/>
  <c r="BT1420" i="1"/>
  <c r="BB1422" i="1" l="1"/>
  <c r="BT1421" i="1"/>
  <c r="BB1423" i="1" l="1"/>
  <c r="BT1422" i="1"/>
  <c r="BT1423" i="1" l="1"/>
  <c r="BB1424" i="1"/>
  <c r="BB1425" i="1" l="1"/>
  <c r="BT1424" i="1"/>
  <c r="BB1426" i="1" l="1"/>
  <c r="BT1425" i="1"/>
  <c r="BB1427" i="1" l="1"/>
  <c r="BT1426" i="1"/>
  <c r="BB1428" i="1" l="1"/>
  <c r="BT1427" i="1"/>
  <c r="BB1429" i="1" l="1"/>
  <c r="BT1428" i="1"/>
  <c r="BB1430" i="1" l="1"/>
  <c r="BT1429" i="1"/>
  <c r="BB1431" i="1" l="1"/>
  <c r="BT1430" i="1"/>
  <c r="BB1432" i="1" l="1"/>
  <c r="BT1431" i="1"/>
  <c r="BB1433" i="1" l="1"/>
  <c r="BT1432" i="1"/>
  <c r="BB1434" i="1" l="1"/>
  <c r="BT1433" i="1"/>
  <c r="BB1435" i="1" l="1"/>
  <c r="BT1434" i="1"/>
  <c r="BB1436" i="1" l="1"/>
  <c r="BT1435" i="1"/>
  <c r="BB1437" i="1" l="1"/>
  <c r="BT1436" i="1"/>
  <c r="BB1438" i="1" l="1"/>
  <c r="BT1437" i="1"/>
  <c r="BB1439" i="1" l="1"/>
  <c r="BT1438" i="1"/>
  <c r="BB1440" i="1" l="1"/>
  <c r="BT1439" i="1"/>
  <c r="BB1441" i="1" l="1"/>
  <c r="BT1440" i="1"/>
  <c r="BB1442" i="1" l="1"/>
  <c r="BT1441" i="1"/>
  <c r="BB1443" i="1" l="1"/>
  <c r="BT1442" i="1"/>
  <c r="BB1444" i="1" l="1"/>
  <c r="BT1443" i="1"/>
  <c r="BB1445" i="1" l="1"/>
  <c r="BT1444" i="1"/>
  <c r="BB1446" i="1" l="1"/>
  <c r="BT1445" i="1"/>
  <c r="BT1446" i="1" l="1"/>
  <c r="BB1447" i="1"/>
  <c r="BB1448" i="1" l="1"/>
  <c r="BT1447" i="1"/>
  <c r="BB1449" i="1" l="1"/>
  <c r="BT1448" i="1"/>
  <c r="BB1450" i="1" l="1"/>
  <c r="BT1449" i="1"/>
  <c r="BB1451" i="1" l="1"/>
  <c r="BT1450" i="1"/>
  <c r="BB1452" i="1" l="1"/>
  <c r="BT1451" i="1"/>
  <c r="BB1453" i="1" l="1"/>
  <c r="BT1452" i="1"/>
  <c r="BB1454" i="1" l="1"/>
  <c r="BT1453" i="1"/>
  <c r="BB1455" i="1" l="1"/>
  <c r="BT1454" i="1"/>
  <c r="BB1456" i="1" l="1"/>
  <c r="BT1455" i="1"/>
  <c r="BB1457" i="1" l="1"/>
  <c r="BT1456" i="1"/>
  <c r="BB1458" i="1" l="1"/>
  <c r="BT1457" i="1"/>
  <c r="BB1459" i="1" l="1"/>
  <c r="BT1458" i="1"/>
  <c r="BB1460" i="1" l="1"/>
  <c r="BT1459" i="1"/>
  <c r="BB1461" i="1" l="1"/>
  <c r="BT1460" i="1"/>
  <c r="BB1462" i="1" l="1"/>
  <c r="BT1461" i="1"/>
  <c r="BB1463" i="1" l="1"/>
  <c r="BT1462" i="1"/>
  <c r="BB1464" i="1" l="1"/>
  <c r="BT1463" i="1"/>
  <c r="BB1465" i="1" l="1"/>
  <c r="BT1464" i="1"/>
  <c r="BB1466" i="1" l="1"/>
  <c r="BT1465" i="1"/>
  <c r="BB1467" i="1" l="1"/>
  <c r="BT1466" i="1"/>
  <c r="BB1468" i="1" l="1"/>
  <c r="BT1467" i="1"/>
  <c r="BB1469" i="1" l="1"/>
  <c r="BT1468" i="1"/>
  <c r="BB1470" i="1" l="1"/>
  <c r="BT1469" i="1"/>
  <c r="BB1471" i="1" l="1"/>
  <c r="BT1470" i="1"/>
  <c r="BB1472" i="1" l="1"/>
  <c r="BT1471" i="1"/>
  <c r="BB1473" i="1" l="1"/>
  <c r="BT1472" i="1"/>
  <c r="BB1474" i="1" l="1"/>
  <c r="BT1473" i="1"/>
  <c r="BB1475" i="1" l="1"/>
  <c r="BT1474" i="1"/>
  <c r="BB1476" i="1" l="1"/>
  <c r="BT1475" i="1"/>
  <c r="BB1477" i="1" l="1"/>
  <c r="BT1476" i="1"/>
  <c r="BB1478" i="1" l="1"/>
  <c r="BT1477" i="1"/>
  <c r="BB1479" i="1" l="1"/>
  <c r="BT1478" i="1"/>
  <c r="BB1480" i="1" l="1"/>
  <c r="BT1479" i="1"/>
  <c r="BB1481" i="1" l="1"/>
  <c r="BT1480" i="1"/>
  <c r="BB1482" i="1" l="1"/>
  <c r="BT1481" i="1"/>
  <c r="BB1483" i="1" l="1"/>
  <c r="BT1482" i="1"/>
  <c r="BB1484" i="1" l="1"/>
  <c r="BT1483" i="1"/>
  <c r="BB1485" i="1" l="1"/>
  <c r="BT1484" i="1"/>
  <c r="BB1486" i="1" l="1"/>
  <c r="BT1485" i="1"/>
  <c r="BB1487" i="1" l="1"/>
  <c r="BT1486" i="1"/>
  <c r="BB1488" i="1" l="1"/>
  <c r="BT1487" i="1"/>
  <c r="BB1489" i="1" l="1"/>
  <c r="BT1488" i="1"/>
  <c r="BB1490" i="1" l="1"/>
  <c r="BT1489" i="1"/>
  <c r="BB1491" i="1" l="1"/>
  <c r="BT1490" i="1"/>
  <c r="BB1492" i="1" l="1"/>
  <c r="BT1491" i="1"/>
  <c r="BB1493" i="1" l="1"/>
  <c r="BT1492" i="1"/>
  <c r="BB1494" i="1" l="1"/>
  <c r="BT1493" i="1"/>
  <c r="BB1495" i="1" l="1"/>
  <c r="BT1494" i="1"/>
  <c r="BB1496" i="1" l="1"/>
  <c r="BT1495" i="1"/>
  <c r="BB1497" i="1" l="1"/>
  <c r="BT1496" i="1"/>
  <c r="BB1498" i="1" l="1"/>
  <c r="BT1497" i="1"/>
  <c r="BB1499" i="1" l="1"/>
  <c r="BT1498" i="1"/>
  <c r="BB1500" i="1" l="1"/>
  <c r="BT1499" i="1"/>
  <c r="BB1501" i="1" l="1"/>
  <c r="BT1500" i="1"/>
  <c r="BB1502" i="1" l="1"/>
  <c r="BT1501" i="1"/>
  <c r="BB1503" i="1" l="1"/>
  <c r="BT1502" i="1"/>
  <c r="BT1503" i="1" l="1"/>
  <c r="BB1504" i="1"/>
  <c r="BB1505" i="1" l="1"/>
  <c r="BT1504" i="1"/>
  <c r="BB1506" i="1" l="1"/>
  <c r="BT1505" i="1"/>
  <c r="BB1507" i="1" l="1"/>
  <c r="BT1506" i="1"/>
  <c r="BB1508" i="1" l="1"/>
  <c r="BT1507" i="1"/>
  <c r="BB1509" i="1" l="1"/>
  <c r="BT1508" i="1"/>
  <c r="BB1510" i="1" l="1"/>
  <c r="BT1509" i="1"/>
  <c r="BB1511" i="1" l="1"/>
  <c r="BT1510" i="1"/>
  <c r="BB1512" i="1" l="1"/>
  <c r="BT1511" i="1"/>
  <c r="BB1513" i="1" l="1"/>
  <c r="BT1512" i="1"/>
  <c r="BB1514" i="1" l="1"/>
  <c r="BT1513" i="1"/>
  <c r="BB1515" i="1" l="1"/>
  <c r="BT1514" i="1"/>
  <c r="BB1516" i="1" l="1"/>
  <c r="BT1515" i="1"/>
  <c r="BB1517" i="1" l="1"/>
  <c r="BT1516" i="1"/>
  <c r="BB1518" i="1" l="1"/>
  <c r="BT1517" i="1"/>
  <c r="BB1519" i="1" l="1"/>
  <c r="BT1518" i="1"/>
  <c r="BB1520" i="1" l="1"/>
  <c r="BT1519" i="1"/>
  <c r="BB1521" i="1" l="1"/>
  <c r="BT1520" i="1"/>
  <c r="BB1522" i="1" l="1"/>
  <c r="BT1521" i="1"/>
  <c r="BB1523" i="1" l="1"/>
  <c r="BT1522" i="1"/>
  <c r="BB1524" i="1" l="1"/>
  <c r="BT1523" i="1"/>
  <c r="BB1525" i="1" l="1"/>
  <c r="BT1524" i="1"/>
  <c r="BB1526" i="1" l="1"/>
  <c r="BT1525" i="1"/>
  <c r="BB1527" i="1" l="1"/>
  <c r="BT1526" i="1"/>
  <c r="BB1528" i="1" l="1"/>
  <c r="BT1527" i="1"/>
  <c r="BB1529" i="1" l="1"/>
  <c r="BT1528" i="1"/>
  <c r="BB1530" i="1" l="1"/>
  <c r="BT1529" i="1"/>
  <c r="BB1531" i="1" l="1"/>
  <c r="BT1530" i="1"/>
  <c r="BB1532" i="1" l="1"/>
  <c r="BT1531" i="1"/>
  <c r="BB1533" i="1" l="1"/>
  <c r="BT1532" i="1"/>
  <c r="BB1534" i="1" l="1"/>
  <c r="BT1533" i="1"/>
  <c r="BB1535" i="1" l="1"/>
  <c r="BT1534" i="1"/>
  <c r="BB1536" i="1" l="1"/>
  <c r="BT1535" i="1"/>
  <c r="BB1537" i="1" l="1"/>
  <c r="BT1536" i="1"/>
  <c r="BB1538" i="1" l="1"/>
  <c r="BT1537" i="1"/>
  <c r="BB1539" i="1" l="1"/>
  <c r="BT1538" i="1"/>
  <c r="BB1540" i="1" l="1"/>
  <c r="BT1539" i="1"/>
  <c r="BB1541" i="1" l="1"/>
  <c r="BT1540" i="1"/>
  <c r="BT1541" i="1" l="1"/>
  <c r="BB1542" i="1"/>
  <c r="BB1543" i="1" l="1"/>
  <c r="BT1542" i="1"/>
  <c r="BB1544" i="1" l="1"/>
  <c r="BT1543" i="1"/>
  <c r="BB1545" i="1" l="1"/>
  <c r="BT1544" i="1"/>
  <c r="BB1546" i="1" l="1"/>
  <c r="BT1545" i="1"/>
  <c r="BB1547" i="1" l="1"/>
  <c r="BT1546" i="1"/>
  <c r="BB1548" i="1" l="1"/>
  <c r="BT1547" i="1"/>
  <c r="BB1549" i="1" l="1"/>
  <c r="BT1548" i="1"/>
  <c r="BB1550" i="1" l="1"/>
  <c r="BT1549" i="1"/>
  <c r="BB1551" i="1" l="1"/>
  <c r="BT1550" i="1"/>
  <c r="BT1551" i="1" l="1"/>
  <c r="BB1552" i="1"/>
  <c r="BB1553" i="1" l="1"/>
  <c r="BT1552" i="1"/>
  <c r="BB1554" i="1" l="1"/>
  <c r="BT1553" i="1"/>
  <c r="BB1555" i="1" l="1"/>
  <c r="BT1554" i="1"/>
  <c r="BB1556" i="1" l="1"/>
  <c r="BT1555" i="1"/>
  <c r="BB1557" i="1" l="1"/>
  <c r="BT1556" i="1"/>
  <c r="BB1558" i="1" l="1"/>
  <c r="BT1557" i="1"/>
  <c r="BB1559" i="1" l="1"/>
  <c r="BT1558" i="1"/>
  <c r="BB1560" i="1" l="1"/>
  <c r="BT1559" i="1"/>
  <c r="BB1561" i="1" l="1"/>
  <c r="BT1560" i="1"/>
  <c r="BB1562" i="1" l="1"/>
  <c r="BT1561" i="1"/>
  <c r="BB1563" i="1" l="1"/>
  <c r="BT1562" i="1"/>
  <c r="BB1564" i="1" l="1"/>
  <c r="BT1563" i="1"/>
  <c r="BB1565" i="1" l="1"/>
  <c r="BT1564" i="1"/>
  <c r="BB1566" i="1" l="1"/>
  <c r="BT1565" i="1"/>
  <c r="BB1567" i="1" l="1"/>
  <c r="BT1566" i="1"/>
  <c r="BB1568" i="1" l="1"/>
  <c r="BT1567" i="1"/>
  <c r="BB1569" i="1" l="1"/>
  <c r="BT1568" i="1"/>
  <c r="BB1570" i="1" l="1"/>
  <c r="BT1569" i="1"/>
  <c r="BB1571" i="1" l="1"/>
  <c r="BT1570" i="1"/>
  <c r="BB1572" i="1" l="1"/>
  <c r="BT1571" i="1"/>
  <c r="BT1572" i="1" l="1"/>
  <c r="BB1573" i="1"/>
  <c r="BB1574" i="1" l="1"/>
  <c r="BT1573" i="1"/>
  <c r="BB1575" i="1" l="1"/>
  <c r="BT1574" i="1"/>
  <c r="BB1576" i="1" l="1"/>
  <c r="BT1575" i="1"/>
  <c r="BB1577" i="1" l="1"/>
  <c r="BT1576" i="1"/>
  <c r="BB1578" i="1" l="1"/>
  <c r="BT1577" i="1"/>
  <c r="BB1579" i="1" l="1"/>
  <c r="BT1578" i="1"/>
  <c r="BB1580" i="1" l="1"/>
  <c r="BT1579" i="1"/>
  <c r="BB1581" i="1" l="1"/>
  <c r="BT1580" i="1"/>
  <c r="BB1582" i="1" l="1"/>
  <c r="BT1581" i="1"/>
  <c r="BB1583" i="1" l="1"/>
  <c r="BT1582" i="1"/>
  <c r="BB1584" i="1" l="1"/>
  <c r="BT1583" i="1"/>
  <c r="BB1585" i="1" l="1"/>
  <c r="BT1584" i="1"/>
  <c r="BT1585" i="1" l="1"/>
  <c r="BB1586" i="1"/>
  <c r="BB1587" i="1" l="1"/>
  <c r="BT1586" i="1"/>
  <c r="BB1588" i="1" l="1"/>
  <c r="BT1587" i="1"/>
  <c r="BB1589" i="1" l="1"/>
  <c r="BT1588" i="1"/>
  <c r="BB1590" i="1" l="1"/>
  <c r="BT1589" i="1"/>
  <c r="BB1591" i="1" l="1"/>
  <c r="BT1590" i="1"/>
  <c r="BB1592" i="1" l="1"/>
  <c r="BT1591" i="1"/>
  <c r="BB1593" i="1" l="1"/>
  <c r="BT1592" i="1"/>
  <c r="BB1594" i="1" l="1"/>
  <c r="BT1593" i="1"/>
  <c r="BB1595" i="1" l="1"/>
  <c r="BT1594" i="1"/>
  <c r="BB1596" i="1" l="1"/>
  <c r="BT1595" i="1"/>
  <c r="BB1597" i="1" l="1"/>
  <c r="BT1596" i="1"/>
  <c r="BB1598" i="1" l="1"/>
  <c r="BT1597" i="1"/>
  <c r="BB1599" i="1" l="1"/>
  <c r="BT1598" i="1"/>
  <c r="BB1600" i="1" l="1"/>
  <c r="BT1599" i="1"/>
  <c r="BB1601" i="1" l="1"/>
  <c r="BT1600" i="1"/>
  <c r="BB1602" i="1" l="1"/>
  <c r="BT1601" i="1"/>
  <c r="BB1603" i="1" l="1"/>
  <c r="BT1602" i="1"/>
  <c r="BB1604" i="1" l="1"/>
  <c r="BT1603" i="1"/>
  <c r="BB1605" i="1" l="1"/>
  <c r="BT1604" i="1"/>
  <c r="BB1606" i="1" l="1"/>
  <c r="BT1605" i="1"/>
  <c r="BB1607" i="1" l="1"/>
  <c r="BT1606" i="1"/>
  <c r="BB1608" i="1" l="1"/>
  <c r="BT1607" i="1"/>
  <c r="BB1609" i="1" l="1"/>
  <c r="BT1608" i="1"/>
  <c r="BB1610" i="1" l="1"/>
  <c r="BT1609" i="1"/>
  <c r="BB1611" i="1" l="1"/>
  <c r="BT1610" i="1"/>
  <c r="BB1612" i="1" l="1"/>
  <c r="BT1611" i="1"/>
  <c r="BB1613" i="1" l="1"/>
  <c r="BT1612" i="1"/>
  <c r="BT1613" i="1" l="1"/>
  <c r="BB1614" i="1"/>
  <c r="BB1615" i="1" l="1"/>
  <c r="BT1614" i="1"/>
  <c r="BB1616" i="1" l="1"/>
  <c r="BT1615" i="1"/>
  <c r="BB1617" i="1" l="1"/>
  <c r="BT1616" i="1"/>
  <c r="BB1618" i="1" l="1"/>
  <c r="BT1617" i="1"/>
  <c r="BT1618" i="1" l="1"/>
  <c r="BB1619" i="1"/>
  <c r="BB1620" i="1" l="1"/>
  <c r="BT1619" i="1"/>
  <c r="BB1621" i="1" l="1"/>
  <c r="BT1620" i="1"/>
  <c r="BB1622" i="1" l="1"/>
  <c r="BT1621" i="1"/>
  <c r="BB1623" i="1" l="1"/>
  <c r="BT1622" i="1"/>
  <c r="BB1624" i="1" l="1"/>
  <c r="BT1623" i="1"/>
  <c r="BB1625" i="1" l="1"/>
  <c r="BT1624" i="1"/>
  <c r="BB1626" i="1" l="1"/>
  <c r="BT1625" i="1"/>
  <c r="BB1627" i="1" l="1"/>
  <c r="BT1626" i="1"/>
  <c r="BB1628" i="1" l="1"/>
  <c r="BT1627" i="1"/>
  <c r="BB1629" i="1" l="1"/>
  <c r="BT1628" i="1"/>
  <c r="BB1630" i="1" l="1"/>
  <c r="BT1629" i="1"/>
  <c r="BB1631" i="1" l="1"/>
  <c r="BT1630" i="1"/>
  <c r="BB1632" i="1" l="1"/>
  <c r="BT1631" i="1"/>
  <c r="BB1633" i="1" l="1"/>
  <c r="BT1632" i="1"/>
  <c r="BB1634" i="1" l="1"/>
  <c r="BT1633" i="1"/>
  <c r="BB1635" i="1" l="1"/>
  <c r="BT1634" i="1"/>
  <c r="BB1636" i="1" l="1"/>
  <c r="BT1635" i="1"/>
  <c r="BB1637" i="1" l="1"/>
  <c r="BT1636" i="1"/>
  <c r="BB1638" i="1" l="1"/>
  <c r="BT1637" i="1"/>
  <c r="BB1639" i="1" l="1"/>
  <c r="BT1638" i="1"/>
  <c r="BB1640" i="1" l="1"/>
  <c r="BT1639" i="1"/>
  <c r="BB1641" i="1" l="1"/>
  <c r="BT1640" i="1"/>
  <c r="BB1642" i="1" l="1"/>
  <c r="BT1641" i="1"/>
  <c r="BB1643" i="1" l="1"/>
  <c r="BT1642" i="1"/>
  <c r="BB1644" i="1" l="1"/>
  <c r="BT1643" i="1"/>
  <c r="BB1645" i="1" l="1"/>
  <c r="BT1644" i="1"/>
  <c r="BB1646" i="1" l="1"/>
  <c r="BT1645" i="1"/>
  <c r="BB1647" i="1" l="1"/>
  <c r="BT1646" i="1"/>
  <c r="BB1648" i="1" l="1"/>
  <c r="BT1647" i="1"/>
  <c r="BB1649" i="1" l="1"/>
  <c r="BT1648" i="1"/>
  <c r="BB1650" i="1" l="1"/>
  <c r="BT1649" i="1"/>
  <c r="BT1650" i="1" l="1"/>
  <c r="BB1651" i="1"/>
  <c r="BB1652" i="1" l="1"/>
  <c r="BT1651" i="1"/>
  <c r="BB1653" i="1" l="1"/>
  <c r="BT1652" i="1"/>
  <c r="BB1654" i="1" l="1"/>
  <c r="BT1653" i="1"/>
  <c r="BB1655" i="1" l="1"/>
  <c r="BT1654" i="1"/>
  <c r="BB1656" i="1" l="1"/>
  <c r="BT1655" i="1"/>
  <c r="BB1657" i="1" l="1"/>
  <c r="BT1656" i="1"/>
  <c r="BB1658" i="1" l="1"/>
  <c r="BT1657" i="1"/>
  <c r="BB1659" i="1" l="1"/>
  <c r="BT1658" i="1"/>
  <c r="BB1660" i="1" l="1"/>
  <c r="BT1659" i="1"/>
  <c r="BB1661" i="1" l="1"/>
  <c r="BT1660" i="1"/>
  <c r="BB1662" i="1" l="1"/>
  <c r="BT1661" i="1"/>
  <c r="BB1663" i="1" l="1"/>
  <c r="BT1662" i="1"/>
  <c r="BB1664" i="1" l="1"/>
  <c r="BT1663" i="1"/>
  <c r="BB1665" i="1" l="1"/>
  <c r="BT1664" i="1"/>
  <c r="BB1666" i="1" l="1"/>
  <c r="BT1665" i="1"/>
  <c r="BB1667" i="1" l="1"/>
  <c r="BT1666" i="1"/>
  <c r="BB1668" i="1" l="1"/>
  <c r="BT1667" i="1"/>
  <c r="BB1669" i="1" l="1"/>
  <c r="BT1668" i="1"/>
  <c r="BB1670" i="1" l="1"/>
  <c r="BT1669" i="1"/>
  <c r="BB1671" i="1" l="1"/>
  <c r="BT1670" i="1"/>
  <c r="BB1672" i="1" l="1"/>
  <c r="BT1671" i="1"/>
  <c r="BB1673" i="1" l="1"/>
  <c r="BT1672" i="1"/>
  <c r="BB1674" i="1" l="1"/>
  <c r="BT1673" i="1"/>
  <c r="BB1675" i="1" l="1"/>
  <c r="BT1674" i="1"/>
  <c r="BB1676" i="1" l="1"/>
  <c r="BT1675" i="1"/>
  <c r="BB1677" i="1" l="1"/>
  <c r="BT1676" i="1"/>
  <c r="BB1678" i="1" l="1"/>
  <c r="BT1677" i="1"/>
  <c r="BB1679" i="1" l="1"/>
  <c r="BT1678" i="1"/>
  <c r="BB1680" i="1" l="1"/>
  <c r="BT1679" i="1"/>
  <c r="BB1681" i="1" l="1"/>
  <c r="BT1680" i="1"/>
  <c r="BB1682" i="1" l="1"/>
  <c r="BT1681" i="1"/>
  <c r="BB1683" i="1" l="1"/>
  <c r="BT1682" i="1"/>
  <c r="BB1684" i="1" l="1"/>
  <c r="BT1683" i="1"/>
  <c r="BB1685" i="1" l="1"/>
  <c r="BT1684" i="1"/>
  <c r="BT1685" i="1" l="1"/>
  <c r="BB1686" i="1"/>
  <c r="BB1687" i="1" l="1"/>
  <c r="BT1686" i="1"/>
  <c r="BB1688" i="1" l="1"/>
  <c r="BT1687" i="1"/>
  <c r="BB1689" i="1" l="1"/>
  <c r="BT1688" i="1"/>
  <c r="BB1690" i="1" l="1"/>
  <c r="BT1689" i="1"/>
  <c r="BB1691" i="1" l="1"/>
  <c r="BT1690" i="1"/>
  <c r="BB1692" i="1" l="1"/>
  <c r="BT1691" i="1"/>
  <c r="BB1693" i="1" l="1"/>
  <c r="BT1692" i="1"/>
  <c r="BB1694" i="1" l="1"/>
  <c r="BT1693" i="1"/>
  <c r="BB1695" i="1" l="1"/>
  <c r="BT1694" i="1"/>
  <c r="BB1696" i="1" l="1"/>
  <c r="BT1695" i="1"/>
  <c r="BB1697" i="1" l="1"/>
  <c r="BT1696" i="1"/>
  <c r="BB1698" i="1" l="1"/>
  <c r="BT1697" i="1"/>
  <c r="BB1699" i="1" l="1"/>
  <c r="BT1698" i="1"/>
  <c r="BB1700" i="1" l="1"/>
  <c r="BT1699" i="1"/>
  <c r="BB1701" i="1" l="1"/>
  <c r="BT1700" i="1"/>
  <c r="BB1702" i="1" l="1"/>
  <c r="BT1701" i="1"/>
  <c r="BB1703" i="1" l="1"/>
  <c r="BT1702" i="1"/>
  <c r="BB1704" i="1" l="1"/>
  <c r="BT1703" i="1"/>
  <c r="BB1705" i="1" l="1"/>
  <c r="BT1704" i="1"/>
  <c r="BB1706" i="1" l="1"/>
  <c r="BT1705" i="1"/>
  <c r="BB1707" i="1" l="1"/>
  <c r="BT1706" i="1"/>
  <c r="BB1708" i="1" l="1"/>
  <c r="BT1707" i="1"/>
  <c r="BB1709" i="1" l="1"/>
  <c r="BT1708" i="1"/>
  <c r="BB1710" i="1" l="1"/>
  <c r="BT1709" i="1"/>
  <c r="BB1711" i="1" l="1"/>
  <c r="BT1710" i="1"/>
  <c r="BB1712" i="1" l="1"/>
  <c r="BT1711" i="1"/>
  <c r="BB1713" i="1" l="1"/>
  <c r="BT1712" i="1"/>
  <c r="BB1714" i="1" l="1"/>
  <c r="BT1713" i="1"/>
  <c r="BB1715" i="1" l="1"/>
  <c r="BT1714" i="1"/>
  <c r="BB1716" i="1" l="1"/>
  <c r="BT1715" i="1"/>
  <c r="BB1717" i="1" l="1"/>
  <c r="BT1716" i="1"/>
  <c r="BB1718" i="1" l="1"/>
  <c r="BT1717" i="1"/>
  <c r="BB1719" i="1" l="1"/>
  <c r="BT1718" i="1"/>
  <c r="BB1720" i="1" l="1"/>
  <c r="BT1719" i="1"/>
  <c r="BB1721" i="1" l="1"/>
  <c r="BT1720" i="1"/>
  <c r="BB1722" i="1" l="1"/>
  <c r="BT1721" i="1"/>
  <c r="BB1723" i="1" l="1"/>
  <c r="BT1722" i="1"/>
  <c r="BB1724" i="1" l="1"/>
  <c r="BT1723" i="1"/>
  <c r="BB1725" i="1" l="1"/>
  <c r="BT1724" i="1"/>
  <c r="BB1726" i="1" l="1"/>
  <c r="BT1725" i="1"/>
  <c r="BT1726" i="1" l="1"/>
  <c r="BB1727" i="1"/>
  <c r="BB1728" i="1" l="1"/>
  <c r="BT1727" i="1"/>
  <c r="BB1729" i="1" l="1"/>
  <c r="BT1728" i="1"/>
  <c r="BB1730" i="1" l="1"/>
  <c r="BT1729" i="1"/>
  <c r="BB1731" i="1" l="1"/>
  <c r="BT1730" i="1"/>
  <c r="BB1732" i="1" l="1"/>
  <c r="BT1731" i="1"/>
  <c r="BB1733" i="1" l="1"/>
  <c r="BT1732" i="1"/>
  <c r="BB1734" i="1" l="1"/>
  <c r="BT1733" i="1"/>
  <c r="BB1735" i="1" l="1"/>
  <c r="BT1734" i="1"/>
  <c r="BB1736" i="1" l="1"/>
  <c r="BT1735" i="1"/>
  <c r="BB1737" i="1" l="1"/>
  <c r="BT1736" i="1"/>
  <c r="BB1738" i="1" l="1"/>
  <c r="BT1737" i="1"/>
  <c r="BB1739" i="1" l="1"/>
  <c r="BT1738" i="1"/>
  <c r="BB1740" i="1" l="1"/>
  <c r="BT1739" i="1"/>
  <c r="BB1741" i="1" l="1"/>
  <c r="BT1740" i="1"/>
  <c r="BB1742" i="1" l="1"/>
  <c r="BT1741" i="1"/>
  <c r="BT1742" i="1" l="1"/>
  <c r="BB1743" i="1"/>
  <c r="BB1744" i="1" l="1"/>
  <c r="BT1743" i="1"/>
  <c r="BB1745" i="1" l="1"/>
  <c r="BT1744" i="1"/>
  <c r="BB1746" i="1" l="1"/>
  <c r="BT1745" i="1"/>
  <c r="BB1747" i="1" l="1"/>
  <c r="BT1746" i="1"/>
  <c r="BB1748" i="1" l="1"/>
  <c r="BT1747" i="1"/>
  <c r="BB1749" i="1" l="1"/>
  <c r="BT1748" i="1"/>
  <c r="BB1750" i="1" l="1"/>
  <c r="BT1749" i="1"/>
  <c r="BB1751" i="1" l="1"/>
  <c r="BT1750" i="1"/>
  <c r="BB1752" i="1" l="1"/>
  <c r="BT1751" i="1"/>
  <c r="BB1753" i="1" l="1"/>
  <c r="BT1752" i="1"/>
  <c r="BB1754" i="1" l="1"/>
  <c r="BT1753" i="1"/>
  <c r="BB1755" i="1" l="1"/>
  <c r="BT1754" i="1"/>
  <c r="BB1756" i="1" l="1"/>
  <c r="BT1755" i="1"/>
  <c r="BB1757" i="1" l="1"/>
  <c r="BT1756" i="1"/>
  <c r="BB1758" i="1" l="1"/>
  <c r="BT1757" i="1"/>
  <c r="BB1759" i="1" l="1"/>
  <c r="BT1758" i="1"/>
  <c r="BB1760" i="1" l="1"/>
  <c r="BT1759" i="1"/>
  <c r="BB1761" i="1" l="1"/>
  <c r="BT1760" i="1"/>
  <c r="BB1762" i="1" l="1"/>
  <c r="BT1761" i="1"/>
  <c r="BB1763" i="1" l="1"/>
  <c r="BT1762" i="1"/>
  <c r="BB1764" i="1" l="1"/>
  <c r="BT1763" i="1"/>
  <c r="BB1765" i="1" l="1"/>
  <c r="BT1764" i="1"/>
  <c r="BB1766" i="1" l="1"/>
  <c r="BT1765" i="1"/>
  <c r="BB1767" i="1" l="1"/>
  <c r="BT1766" i="1"/>
  <c r="BB1768" i="1" l="1"/>
  <c r="BT1767" i="1"/>
  <c r="BB1769" i="1" l="1"/>
  <c r="BT1768" i="1"/>
  <c r="BB1770" i="1" l="1"/>
  <c r="BT1769" i="1"/>
  <c r="BB1771" i="1" l="1"/>
  <c r="BT1770" i="1"/>
  <c r="BB1772" i="1" l="1"/>
  <c r="BT1771" i="1"/>
  <c r="BB1773" i="1" l="1"/>
  <c r="BT1772" i="1"/>
  <c r="BB1774" i="1" l="1"/>
  <c r="BT1773" i="1"/>
  <c r="BB1775" i="1" l="1"/>
  <c r="BT1774" i="1"/>
  <c r="BB1776" i="1" l="1"/>
  <c r="BT1775" i="1"/>
  <c r="BB1777" i="1" l="1"/>
  <c r="BT1776" i="1"/>
  <c r="BB1778" i="1" l="1"/>
  <c r="BT1777" i="1"/>
  <c r="BB1779" i="1" l="1"/>
  <c r="BT1778" i="1"/>
  <c r="BB1780" i="1" l="1"/>
  <c r="BT1779" i="1"/>
  <c r="BB1781" i="1" l="1"/>
  <c r="BT1780" i="1"/>
  <c r="BB1782" i="1" l="1"/>
  <c r="BT1781" i="1"/>
  <c r="BB1783" i="1" l="1"/>
  <c r="BT1782" i="1"/>
  <c r="BB1784" i="1" l="1"/>
  <c r="BT1783" i="1"/>
  <c r="BB1785" i="1" l="1"/>
  <c r="BT1784" i="1"/>
  <c r="BB1786" i="1" l="1"/>
  <c r="BT1785" i="1"/>
  <c r="BB1787" i="1" l="1"/>
  <c r="BT1786" i="1"/>
  <c r="BT1787" i="1" l="1"/>
  <c r="BB1788" i="1"/>
  <c r="BB1789" i="1" l="1"/>
  <c r="BT1788" i="1"/>
  <c r="BB1790" i="1" l="1"/>
  <c r="BT1789" i="1"/>
  <c r="BB1791" i="1" l="1"/>
  <c r="BT1790" i="1"/>
  <c r="BB1792" i="1" l="1"/>
  <c r="BT1791" i="1"/>
  <c r="BB1793" i="1" l="1"/>
  <c r="BT1792" i="1"/>
  <c r="BB1794" i="1" l="1"/>
  <c r="BT1793" i="1"/>
  <c r="BB1795" i="1" l="1"/>
  <c r="BT1794" i="1"/>
  <c r="BB1796" i="1" l="1"/>
  <c r="BT1795" i="1"/>
  <c r="BB1797" i="1" l="1"/>
  <c r="BT1796" i="1"/>
  <c r="BB1798" i="1" l="1"/>
  <c r="BT1797" i="1"/>
  <c r="BB1799" i="1" l="1"/>
  <c r="BT1798" i="1"/>
  <c r="BB1800" i="1" l="1"/>
  <c r="BT1799" i="1"/>
  <c r="BB1801" i="1" l="1"/>
  <c r="BT1800" i="1"/>
  <c r="BB1802" i="1" l="1"/>
  <c r="BT1801" i="1"/>
  <c r="BT1802" i="1" l="1"/>
  <c r="BB1803" i="1"/>
  <c r="BB1804" i="1" l="1"/>
  <c r="BT1803" i="1"/>
  <c r="BB1805" i="1" l="1"/>
  <c r="BT1804" i="1"/>
  <c r="BB1806" i="1" l="1"/>
  <c r="BT1805" i="1"/>
  <c r="BB1807" i="1" l="1"/>
  <c r="BT1806" i="1"/>
  <c r="BB1808" i="1" l="1"/>
  <c r="BT1807" i="1"/>
  <c r="BB1809" i="1" l="1"/>
  <c r="BT1808" i="1"/>
  <c r="BB1810" i="1" l="1"/>
  <c r="BT1809" i="1"/>
  <c r="BB1811" i="1" l="1"/>
  <c r="BT1810" i="1"/>
  <c r="BB1812" i="1" l="1"/>
  <c r="BT1811" i="1"/>
  <c r="BB1813" i="1" l="1"/>
  <c r="BT1812" i="1"/>
  <c r="BB1814" i="1" l="1"/>
  <c r="BT1813" i="1"/>
  <c r="BB1815" i="1" l="1"/>
  <c r="BT1814" i="1"/>
  <c r="BB1816" i="1" l="1"/>
  <c r="BT1815" i="1"/>
  <c r="BB1817" i="1" l="1"/>
  <c r="BT1816" i="1"/>
  <c r="BB1818" i="1" l="1"/>
  <c r="BT1817" i="1"/>
  <c r="BB1819" i="1" l="1"/>
  <c r="BT1818" i="1"/>
  <c r="BB1820" i="1" l="1"/>
  <c r="BT1819" i="1"/>
  <c r="BB1821" i="1" l="1"/>
  <c r="BT1820" i="1"/>
  <c r="BB1822" i="1" l="1"/>
  <c r="BT1821" i="1"/>
  <c r="BB1823" i="1" l="1"/>
  <c r="BT1822" i="1"/>
  <c r="BB1824" i="1" l="1"/>
  <c r="BT1823" i="1"/>
  <c r="BB1825" i="1" l="1"/>
  <c r="BT1824" i="1"/>
  <c r="BB1826" i="1" l="1"/>
  <c r="BT1825" i="1"/>
  <c r="BB1827" i="1" l="1"/>
  <c r="BT1826" i="1"/>
  <c r="BB1828" i="1" l="1"/>
  <c r="BT1827" i="1"/>
  <c r="BB1829" i="1" l="1"/>
  <c r="BT1828" i="1"/>
  <c r="BB1830" i="1" l="1"/>
  <c r="BT1829" i="1"/>
  <c r="BB1831" i="1" l="1"/>
  <c r="BT1830" i="1"/>
  <c r="BT1831" i="1" l="1"/>
  <c r="BB1832" i="1"/>
  <c r="BB1833" i="1" l="1"/>
  <c r="BT1832" i="1"/>
  <c r="BB1834" i="1" l="1"/>
  <c r="BT1833" i="1"/>
  <c r="BB1835" i="1" l="1"/>
  <c r="BT1834" i="1"/>
  <c r="BB1836" i="1" l="1"/>
  <c r="BT1835" i="1"/>
  <c r="BB1837" i="1" l="1"/>
  <c r="BT1836" i="1"/>
  <c r="BB1838" i="1" l="1"/>
  <c r="BT1837" i="1"/>
  <c r="BB1839" i="1" l="1"/>
  <c r="BT1838" i="1"/>
  <c r="BB1840" i="1" l="1"/>
  <c r="BT1839" i="1"/>
  <c r="BB1841" i="1" l="1"/>
  <c r="BT1840" i="1"/>
  <c r="BB1842" i="1" l="1"/>
  <c r="BT1841" i="1"/>
  <c r="BB1843" i="1" l="1"/>
  <c r="BT1842" i="1"/>
  <c r="BB1844" i="1" l="1"/>
  <c r="BT1843" i="1"/>
  <c r="BB1845" i="1" l="1"/>
  <c r="BT1844" i="1"/>
  <c r="BB1846" i="1" l="1"/>
  <c r="BT1845" i="1"/>
  <c r="BB1847" i="1" l="1"/>
  <c r="BT1846" i="1"/>
  <c r="BB1848" i="1" l="1"/>
  <c r="BT1847" i="1"/>
  <c r="BB1849" i="1" l="1"/>
  <c r="BT1848" i="1"/>
  <c r="BB1850" i="1" l="1"/>
  <c r="BT1849" i="1"/>
  <c r="BB1851" i="1" l="1"/>
  <c r="BT1850" i="1"/>
  <c r="BB1852" i="1" l="1"/>
  <c r="BT1851" i="1"/>
  <c r="BB1853" i="1" l="1"/>
  <c r="BT1852" i="1"/>
  <c r="BB1854" i="1" l="1"/>
  <c r="BT1853" i="1"/>
  <c r="BB1855" i="1" l="1"/>
  <c r="BT1854" i="1"/>
  <c r="BB1856" i="1" l="1"/>
  <c r="BT1855" i="1"/>
  <c r="BB1857" i="1" l="1"/>
  <c r="BT1856" i="1"/>
  <c r="BT1857" i="1" l="1"/>
  <c r="BB1858" i="1"/>
  <c r="BB1859" i="1" l="1"/>
  <c r="BT1858" i="1"/>
  <c r="BB1860" i="1" l="1"/>
  <c r="BT1859" i="1"/>
  <c r="BB1861" i="1" l="1"/>
  <c r="BT1860" i="1"/>
  <c r="BT1861" i="1" l="1"/>
  <c r="BB1862" i="1"/>
  <c r="BT1862" i="1" l="1"/>
  <c r="BB1863" i="1"/>
  <c r="BB1864" i="1" l="1"/>
  <c r="BT1863" i="1"/>
  <c r="BB1865" i="1" l="1"/>
  <c r="BT1864" i="1"/>
  <c r="BB1866" i="1" l="1"/>
  <c r="BT1865" i="1"/>
  <c r="BB1867" i="1" l="1"/>
  <c r="BT1866" i="1"/>
  <c r="BB1868" i="1" l="1"/>
  <c r="BT1867" i="1"/>
  <c r="BB1869" i="1" l="1"/>
  <c r="BT1868" i="1"/>
  <c r="BB1870" i="1" l="1"/>
  <c r="BT1869" i="1"/>
  <c r="BB1871" i="1" l="1"/>
  <c r="BT1870" i="1"/>
  <c r="BB1872" i="1" l="1"/>
  <c r="BT1871" i="1"/>
  <c r="BB1873" i="1" l="1"/>
  <c r="BT1872" i="1"/>
  <c r="BB1874" i="1" l="1"/>
  <c r="BT1873" i="1"/>
  <c r="BB1875" i="1" l="1"/>
  <c r="BT1874" i="1"/>
  <c r="BB1876" i="1" l="1"/>
  <c r="BT1875" i="1"/>
  <c r="BB1877" i="1" l="1"/>
  <c r="BT1876" i="1"/>
  <c r="BB1878" i="1" l="1"/>
  <c r="BT1877" i="1"/>
  <c r="BB1879" i="1" l="1"/>
  <c r="BT1878" i="1"/>
  <c r="BB1880" i="1" l="1"/>
  <c r="BT1879" i="1"/>
  <c r="BB1881" i="1" l="1"/>
  <c r="BT1880" i="1"/>
  <c r="BB1882" i="1" l="1"/>
  <c r="BT1881" i="1"/>
  <c r="BB1883" i="1" l="1"/>
  <c r="BT1882" i="1"/>
  <c r="BB1884" i="1" l="1"/>
  <c r="BT1883" i="1"/>
  <c r="BB1885" i="1" l="1"/>
  <c r="BT1884" i="1"/>
  <c r="BB1886" i="1" l="1"/>
  <c r="BT1885" i="1"/>
  <c r="BB1887" i="1" l="1"/>
  <c r="BT1886" i="1"/>
  <c r="BB1888" i="1" l="1"/>
  <c r="BT1887" i="1"/>
  <c r="BB1889" i="1" l="1"/>
  <c r="BT1888" i="1"/>
  <c r="BB1890" i="1" l="1"/>
  <c r="BT1889" i="1"/>
  <c r="BB1891" i="1" l="1"/>
  <c r="BT1890" i="1"/>
  <c r="BB1892" i="1" l="1"/>
  <c r="BT1891" i="1"/>
  <c r="BB1893" i="1" l="1"/>
  <c r="BT1892" i="1"/>
  <c r="BB1894" i="1" l="1"/>
  <c r="BT1893" i="1"/>
  <c r="BB1895" i="1" l="1"/>
  <c r="BT1894" i="1"/>
  <c r="BB1896" i="1" l="1"/>
  <c r="BT1895" i="1"/>
  <c r="BB1897" i="1" l="1"/>
  <c r="BT1896" i="1"/>
  <c r="BB1898" i="1" l="1"/>
  <c r="BT1897" i="1"/>
  <c r="BB1899" i="1" l="1"/>
  <c r="BT1898" i="1"/>
  <c r="BB1900" i="1" l="1"/>
  <c r="BT1899" i="1"/>
  <c r="BB1901" i="1" l="1"/>
  <c r="BT1900" i="1"/>
  <c r="BB1902" i="1" l="1"/>
  <c r="BT1901" i="1"/>
  <c r="BB1903" i="1" l="1"/>
  <c r="BT1902" i="1"/>
  <c r="BB1904" i="1" l="1"/>
  <c r="BT1903" i="1"/>
  <c r="BB1905" i="1" l="1"/>
  <c r="BT1904" i="1"/>
  <c r="BT1905" i="1" l="1"/>
  <c r="BB1906" i="1"/>
  <c r="BB1907" i="1" l="1"/>
  <c r="BT1906" i="1"/>
  <c r="BB1908" i="1" l="1"/>
  <c r="BT1907" i="1"/>
  <c r="BB1909" i="1" l="1"/>
  <c r="BT1908" i="1"/>
  <c r="BB1910" i="1" l="1"/>
  <c r="BT1909" i="1"/>
  <c r="BB1911" i="1" l="1"/>
  <c r="BT1910" i="1"/>
  <c r="BB1912" i="1" l="1"/>
  <c r="BT1911" i="1"/>
  <c r="BB1913" i="1" l="1"/>
  <c r="BT1912" i="1"/>
  <c r="BB1914" i="1" l="1"/>
  <c r="BT1913" i="1"/>
  <c r="BB1915" i="1" l="1"/>
  <c r="BT1914" i="1"/>
  <c r="BB1916" i="1" l="1"/>
  <c r="BT1915" i="1"/>
  <c r="BB1917" i="1" l="1"/>
  <c r="BT1916" i="1"/>
  <c r="BT1917" i="1" l="1"/>
  <c r="BB1918" i="1"/>
  <c r="BB1919" i="1" l="1"/>
  <c r="BT1918" i="1"/>
  <c r="BB1920" i="1" l="1"/>
  <c r="BT1919" i="1"/>
  <c r="BB1921" i="1" l="1"/>
  <c r="BT1920" i="1"/>
  <c r="BB1922" i="1" l="1"/>
  <c r="BT1921" i="1"/>
  <c r="BB1923" i="1" l="1"/>
  <c r="BT1922" i="1"/>
  <c r="BB1924" i="1" l="1"/>
  <c r="BT1923" i="1"/>
  <c r="BB1925" i="1" l="1"/>
  <c r="BT1924" i="1"/>
  <c r="BB1926" i="1" l="1"/>
  <c r="BT1925" i="1"/>
  <c r="BB1927" i="1" l="1"/>
  <c r="BT1926" i="1"/>
  <c r="BB1928" i="1" l="1"/>
  <c r="BT1927" i="1"/>
  <c r="BB1929" i="1" l="1"/>
  <c r="BT1928" i="1"/>
  <c r="BB1930" i="1" l="1"/>
  <c r="BT1929" i="1"/>
  <c r="BB1931" i="1" l="1"/>
  <c r="BT1930" i="1"/>
  <c r="BB1932" i="1" l="1"/>
  <c r="BT1931" i="1"/>
  <c r="BT1932" i="1" l="1"/>
  <c r="BB1933" i="1"/>
  <c r="BB1934" i="1" l="1"/>
  <c r="BT1933" i="1"/>
  <c r="BB1935" i="1" l="1"/>
  <c r="BT1934" i="1"/>
  <c r="BB1936" i="1" l="1"/>
  <c r="BT1935" i="1"/>
  <c r="BB1937" i="1" l="1"/>
  <c r="BT1936" i="1"/>
  <c r="BT1937" i="1" l="1"/>
  <c r="BB1938" i="1"/>
  <c r="BB1939" i="1" l="1"/>
  <c r="BT1938" i="1"/>
  <c r="BB1940" i="1" l="1"/>
  <c r="BT1939" i="1"/>
  <c r="BT1940" i="1" l="1"/>
  <c r="BB1941" i="1"/>
  <c r="BB1942" i="1" l="1"/>
  <c r="BT1941" i="1"/>
  <c r="BB1943" i="1" l="1"/>
  <c r="BT1942" i="1"/>
  <c r="BB1944" i="1" l="1"/>
  <c r="BT1943" i="1"/>
  <c r="BB1945" i="1" l="1"/>
  <c r="BT1944" i="1"/>
  <c r="BB1946" i="1" l="1"/>
  <c r="BT1945" i="1"/>
  <c r="BB1947" i="1" l="1"/>
  <c r="BT1946" i="1"/>
  <c r="BB1948" i="1" l="1"/>
  <c r="BT1947" i="1"/>
  <c r="BB1949" i="1" l="1"/>
  <c r="BT1948" i="1"/>
  <c r="BB1950" i="1" l="1"/>
  <c r="BT1949" i="1"/>
  <c r="BB1951" i="1" l="1"/>
  <c r="BT1950" i="1"/>
  <c r="BB1952" i="1" l="1"/>
  <c r="BT1951" i="1"/>
  <c r="BB1953" i="1" l="1"/>
  <c r="BT1952" i="1"/>
  <c r="BB1954" i="1" l="1"/>
  <c r="BT1953" i="1"/>
  <c r="BT1954" i="1" l="1"/>
  <c r="BB1955" i="1"/>
  <c r="BB1956" i="1" l="1"/>
  <c r="BT1955" i="1"/>
  <c r="BB1957" i="1" l="1"/>
  <c r="BT1956" i="1"/>
  <c r="BT1957" i="1" l="1"/>
  <c r="BB1958" i="1"/>
  <c r="BB1959" i="1" l="1"/>
  <c r="BT1958" i="1"/>
  <c r="BB1960" i="1" l="1"/>
  <c r="BT1959" i="1"/>
  <c r="BB1961" i="1" l="1"/>
  <c r="BT1960" i="1"/>
  <c r="BB1962" i="1" l="1"/>
  <c r="BT1961" i="1"/>
  <c r="BB1963" i="1" l="1"/>
  <c r="BT1962" i="1"/>
  <c r="BB1964" i="1" l="1"/>
  <c r="BT1963" i="1"/>
  <c r="BB1965" i="1" l="1"/>
  <c r="BT1964" i="1"/>
  <c r="BB1966" i="1" l="1"/>
  <c r="BT1965" i="1"/>
  <c r="BB1967" i="1" l="1"/>
  <c r="BT1966" i="1"/>
  <c r="BB1968" i="1" l="1"/>
  <c r="BT1967" i="1"/>
  <c r="BB1969" i="1" l="1"/>
  <c r="BT1968" i="1"/>
  <c r="BB1970" i="1" l="1"/>
  <c r="BT1969" i="1"/>
  <c r="BB1971" i="1" l="1"/>
  <c r="BT1970" i="1"/>
  <c r="BB1972" i="1" l="1"/>
  <c r="BT1971" i="1"/>
  <c r="BB1973" i="1" l="1"/>
  <c r="BT1972" i="1"/>
  <c r="BB1974" i="1" l="1"/>
  <c r="BT1973" i="1"/>
  <c r="BB1975" i="1" l="1"/>
  <c r="BT1974" i="1"/>
  <c r="BB1976" i="1" l="1"/>
  <c r="BT1975" i="1"/>
  <c r="BB1977" i="1" l="1"/>
  <c r="BT1976" i="1"/>
  <c r="BB1978" i="1" l="1"/>
  <c r="BT1977" i="1"/>
  <c r="BB1979" i="1" l="1"/>
  <c r="BT1978" i="1"/>
  <c r="BB1980" i="1" l="1"/>
  <c r="BT1979" i="1"/>
  <c r="BB1981" i="1" l="1"/>
  <c r="BT1980" i="1"/>
  <c r="BB1982" i="1" l="1"/>
  <c r="BT1981" i="1"/>
  <c r="BB1983" i="1" l="1"/>
  <c r="BT1982" i="1"/>
  <c r="BB1984" i="1" l="1"/>
  <c r="BT1983" i="1"/>
  <c r="BB1985" i="1" l="1"/>
  <c r="BT1984" i="1"/>
  <c r="BB1986" i="1" l="1"/>
  <c r="BT1985" i="1"/>
  <c r="BB1987" i="1" l="1"/>
  <c r="BT1986" i="1"/>
  <c r="BB1988" i="1" l="1"/>
  <c r="BT1987" i="1"/>
  <c r="BB1989" i="1" l="1"/>
  <c r="BT1988" i="1"/>
  <c r="BB1990" i="1" l="1"/>
  <c r="BT1989" i="1"/>
  <c r="BB1991" i="1" l="1"/>
  <c r="BT1990" i="1"/>
  <c r="BB1992" i="1" l="1"/>
  <c r="BT1991" i="1"/>
  <c r="BB1993" i="1" l="1"/>
  <c r="BT1992" i="1"/>
  <c r="BB1994" i="1" l="1"/>
  <c r="BT1993" i="1"/>
  <c r="BB1995" i="1" l="1"/>
  <c r="BT1994" i="1"/>
  <c r="BB1996" i="1" l="1"/>
  <c r="BT1995" i="1"/>
  <c r="BB1997" i="1" l="1"/>
  <c r="BT1996" i="1"/>
  <c r="BB1998" i="1" l="1"/>
  <c r="BT1997" i="1"/>
  <c r="BB1999" i="1" l="1"/>
  <c r="BT1998" i="1"/>
  <c r="BB2000" i="1" l="1"/>
  <c r="BT1999" i="1"/>
  <c r="BB2001" i="1" l="1"/>
  <c r="BT2000" i="1"/>
  <c r="BB2002" i="1" l="1"/>
  <c r="BT2001" i="1"/>
  <c r="BB2003" i="1" l="1"/>
  <c r="BT2002" i="1"/>
  <c r="BB2004" i="1" l="1"/>
  <c r="BT2003" i="1"/>
  <c r="BB2005" i="1" l="1"/>
  <c r="BT2004" i="1"/>
  <c r="BB2006" i="1" l="1"/>
  <c r="BT2005" i="1"/>
  <c r="BT2006" i="1" l="1"/>
  <c r="BB2007" i="1"/>
  <c r="BB2008" i="1" l="1"/>
  <c r="BT2007" i="1"/>
  <c r="BB2009" i="1" l="1"/>
  <c r="BT2008" i="1"/>
  <c r="BB2010" i="1" l="1"/>
  <c r="BT2009" i="1"/>
  <c r="BB2011" i="1" l="1"/>
  <c r="BT2010" i="1"/>
  <c r="BB2012" i="1" l="1"/>
  <c r="BT2011" i="1"/>
  <c r="BB2013" i="1" l="1"/>
  <c r="BT2012" i="1"/>
  <c r="BB2014" i="1" l="1"/>
  <c r="BT2013" i="1"/>
  <c r="BB2015" i="1" l="1"/>
  <c r="BT2014" i="1"/>
  <c r="BB2016" i="1" l="1"/>
  <c r="BT2015" i="1"/>
  <c r="BB2017" i="1" l="1"/>
  <c r="BT2016" i="1"/>
  <c r="BB2018" i="1" l="1"/>
  <c r="BT2017" i="1"/>
  <c r="BT2018" i="1" l="1"/>
  <c r="BB2019" i="1"/>
  <c r="BB2020" i="1" l="1"/>
  <c r="BT2019" i="1"/>
  <c r="BB2021" i="1" l="1"/>
  <c r="BT2020" i="1"/>
  <c r="BB2022" i="1" l="1"/>
  <c r="BT2021" i="1"/>
  <c r="BB2023" i="1" l="1"/>
  <c r="BT2022" i="1"/>
  <c r="BB2024" i="1" l="1"/>
  <c r="BT2023" i="1"/>
  <c r="BB2025" i="1" l="1"/>
  <c r="BT2024" i="1"/>
  <c r="BB2026" i="1" l="1"/>
  <c r="BT2025" i="1"/>
  <c r="BB2027" i="1" l="1"/>
  <c r="BT2026" i="1"/>
  <c r="BB2028" i="1" l="1"/>
  <c r="BT2027" i="1"/>
  <c r="BB2029" i="1" l="1"/>
  <c r="BT2028" i="1"/>
  <c r="BB2030" i="1" l="1"/>
  <c r="BT2029" i="1"/>
  <c r="BB2031" i="1" l="1"/>
  <c r="BT2030" i="1"/>
  <c r="BB2032" i="1" l="1"/>
  <c r="BT2031" i="1"/>
  <c r="BB2033" i="1" l="1"/>
  <c r="BT2032" i="1"/>
  <c r="BB2034" i="1" l="1"/>
  <c r="BT2033" i="1"/>
  <c r="BB2035" i="1" l="1"/>
  <c r="BT2034" i="1"/>
  <c r="BB2036" i="1" l="1"/>
  <c r="BT2035" i="1"/>
  <c r="BB2037" i="1" l="1"/>
  <c r="BT2036" i="1"/>
  <c r="BB2038" i="1" l="1"/>
  <c r="BT2037" i="1"/>
  <c r="BB2039" i="1" l="1"/>
  <c r="BT2038" i="1"/>
  <c r="BB2040" i="1" l="1"/>
  <c r="BT2039" i="1"/>
  <c r="BB2041" i="1" l="1"/>
  <c r="BT2040" i="1"/>
  <c r="BB2042" i="1" l="1"/>
  <c r="BT2041" i="1"/>
  <c r="BB2043" i="1" l="1"/>
  <c r="BT2042" i="1"/>
  <c r="BB2044" i="1" l="1"/>
  <c r="BT2043" i="1"/>
  <c r="BB2045" i="1" l="1"/>
  <c r="BT2044" i="1"/>
  <c r="BB2046" i="1" l="1"/>
  <c r="BT2045" i="1"/>
  <c r="BB2047" i="1" l="1"/>
  <c r="BT2046" i="1"/>
  <c r="BB2048" i="1" l="1"/>
  <c r="BT2047" i="1"/>
  <c r="BB2049" i="1" l="1"/>
  <c r="BT2048" i="1"/>
  <c r="BB2050" i="1" l="1"/>
  <c r="BT2049" i="1"/>
  <c r="BB2051" i="1" l="1"/>
  <c r="BT2050" i="1"/>
  <c r="BB2052" i="1" l="1"/>
  <c r="BT2051" i="1"/>
  <c r="BB2053" i="1" l="1"/>
  <c r="BT2052" i="1"/>
  <c r="BB2054" i="1" l="1"/>
  <c r="BT2053" i="1"/>
  <c r="BB2055" i="1" l="1"/>
  <c r="BT2054" i="1"/>
  <c r="BB2056" i="1" l="1"/>
  <c r="BT2055" i="1"/>
  <c r="BB2057" i="1" l="1"/>
  <c r="BT2056" i="1"/>
  <c r="BB2058" i="1" l="1"/>
  <c r="BT2057" i="1"/>
  <c r="BB2059" i="1" l="1"/>
  <c r="BT2058" i="1"/>
  <c r="BB2060" i="1" l="1"/>
  <c r="BT2059" i="1"/>
  <c r="BB2061" i="1" l="1"/>
  <c r="BT2060" i="1"/>
  <c r="BB2062" i="1" l="1"/>
  <c r="BT2061" i="1"/>
  <c r="BB2063" i="1" l="1"/>
  <c r="BT2062" i="1"/>
  <c r="BB2064" i="1" l="1"/>
  <c r="BT2063" i="1"/>
  <c r="BB2065" i="1" l="1"/>
  <c r="BT2064" i="1"/>
  <c r="BB2066" i="1" l="1"/>
  <c r="BT2065" i="1"/>
  <c r="BB2067" i="1" l="1"/>
  <c r="BT2066" i="1"/>
  <c r="BB2068" i="1" l="1"/>
  <c r="BT2067" i="1"/>
  <c r="BB2069" i="1" l="1"/>
  <c r="BT2068" i="1"/>
  <c r="BB2070" i="1" l="1"/>
  <c r="BT2069" i="1"/>
  <c r="BB2071" i="1" l="1"/>
  <c r="BT2070" i="1"/>
  <c r="BB2072" i="1" l="1"/>
  <c r="BT2071" i="1"/>
  <c r="BB2073" i="1" l="1"/>
  <c r="BT2072" i="1"/>
  <c r="BB2074" i="1" l="1"/>
  <c r="BT2073" i="1"/>
  <c r="BB2075" i="1" l="1"/>
  <c r="BT2074" i="1"/>
  <c r="BB2076" i="1" l="1"/>
  <c r="BT2075" i="1"/>
  <c r="BB2077" i="1" l="1"/>
  <c r="BT2076" i="1"/>
  <c r="BT2077" i="1" l="1"/>
  <c r="BB2078" i="1"/>
  <c r="BB2079" i="1" l="1"/>
  <c r="BT2078" i="1"/>
  <c r="BB2080" i="1" l="1"/>
  <c r="BT2079" i="1"/>
  <c r="BB2081" i="1" l="1"/>
  <c r="BT2080" i="1"/>
  <c r="BB2082" i="1" l="1"/>
  <c r="BT2081" i="1"/>
  <c r="BB2083" i="1" l="1"/>
  <c r="BT2082" i="1"/>
  <c r="BB2084" i="1" l="1"/>
  <c r="BT2083" i="1"/>
  <c r="BB2085" i="1" l="1"/>
  <c r="BT2084" i="1"/>
  <c r="BB2086" i="1" l="1"/>
  <c r="BT2085" i="1"/>
  <c r="BB2087" i="1" l="1"/>
  <c r="BT2086" i="1"/>
  <c r="BB2088" i="1" l="1"/>
  <c r="BT2087" i="1"/>
  <c r="BB2089" i="1" l="1"/>
  <c r="BT2088" i="1"/>
  <c r="BB2090" i="1" l="1"/>
  <c r="BT2089" i="1"/>
  <c r="BB2091" i="1" l="1"/>
  <c r="BT2090" i="1"/>
  <c r="BB2092" i="1" l="1"/>
  <c r="BT2091" i="1"/>
  <c r="BT2092" i="1" l="1"/>
  <c r="BB2093" i="1"/>
  <c r="BB2094" i="1" l="1"/>
  <c r="BT2093" i="1"/>
  <c r="BB2095" i="1" l="1"/>
  <c r="BT2094" i="1"/>
  <c r="BB2096" i="1" l="1"/>
  <c r="BT2095" i="1"/>
  <c r="BB2097" i="1" l="1"/>
  <c r="BT2096" i="1"/>
  <c r="BB2098" i="1" l="1"/>
  <c r="BT2097" i="1"/>
  <c r="BB2099" i="1" l="1"/>
  <c r="BT2098" i="1"/>
  <c r="BB2100" i="1" l="1"/>
  <c r="BT2099" i="1"/>
  <c r="BB2101" i="1" l="1"/>
  <c r="BT2100" i="1"/>
  <c r="BB2102" i="1" l="1"/>
  <c r="BT2101" i="1"/>
  <c r="BB2103" i="1" l="1"/>
  <c r="BT2102" i="1"/>
  <c r="BB2104" i="1" l="1"/>
  <c r="BT2103" i="1"/>
  <c r="BB2105" i="1" l="1"/>
  <c r="BT2104" i="1"/>
  <c r="BB2106" i="1" l="1"/>
  <c r="BT2105" i="1"/>
  <c r="BB2107" i="1" l="1"/>
  <c r="BT2106" i="1"/>
  <c r="BB2108" i="1" l="1"/>
  <c r="BT2107" i="1"/>
  <c r="BB2109" i="1" l="1"/>
  <c r="BT2108" i="1"/>
  <c r="BB2110" i="1" l="1"/>
  <c r="BT2109" i="1"/>
  <c r="BB2111" i="1" l="1"/>
  <c r="BT2110" i="1"/>
  <c r="BB2112" i="1" l="1"/>
  <c r="BT2111" i="1"/>
  <c r="BB2113" i="1" l="1"/>
  <c r="BT2112" i="1"/>
  <c r="BB2114" i="1" l="1"/>
  <c r="BT2113" i="1"/>
  <c r="BB2115" i="1" l="1"/>
  <c r="BT2114" i="1"/>
  <c r="BB2116" i="1" l="1"/>
  <c r="BT2115" i="1"/>
  <c r="BB2117" i="1" l="1"/>
  <c r="BT2116" i="1"/>
  <c r="BB2118" i="1" l="1"/>
  <c r="BT2117" i="1"/>
  <c r="BB2119" i="1" l="1"/>
  <c r="BT2118" i="1"/>
  <c r="BB2120" i="1" l="1"/>
  <c r="BT2119" i="1"/>
  <c r="BB2121" i="1" l="1"/>
  <c r="BT2120" i="1"/>
  <c r="BB2122" i="1" l="1"/>
  <c r="BT2121" i="1"/>
  <c r="BB2123" i="1" l="1"/>
  <c r="BT2122" i="1"/>
  <c r="BB2124" i="1" l="1"/>
  <c r="BT2123" i="1"/>
  <c r="BB2125" i="1" l="1"/>
  <c r="BT2124" i="1"/>
  <c r="BB2126" i="1" l="1"/>
  <c r="BT2125" i="1"/>
  <c r="BB2127" i="1" l="1"/>
  <c r="BT2126" i="1"/>
  <c r="BB2128" i="1" l="1"/>
  <c r="BT2127" i="1"/>
  <c r="BB2129" i="1" l="1"/>
  <c r="BT2128" i="1"/>
  <c r="BB2130" i="1" l="1"/>
  <c r="BT2129" i="1"/>
  <c r="BB2131" i="1" l="1"/>
  <c r="BT2130" i="1"/>
  <c r="BB2132" i="1" l="1"/>
  <c r="BT2131" i="1"/>
  <c r="BB2133" i="1" l="1"/>
  <c r="BT2132" i="1"/>
  <c r="BT2133" i="1" l="1"/>
  <c r="BB2134" i="1"/>
  <c r="BB2135" i="1" l="1"/>
  <c r="BT2134" i="1"/>
  <c r="BB2136" i="1" l="1"/>
  <c r="BT2135" i="1"/>
  <c r="BB2137" i="1" l="1"/>
  <c r="BT2136" i="1"/>
  <c r="BT2137" i="1" l="1"/>
  <c r="BB2138" i="1"/>
  <c r="BB2139" i="1" l="1"/>
  <c r="BT2138" i="1"/>
  <c r="BB2140" i="1" l="1"/>
  <c r="BT2139" i="1"/>
  <c r="BB2141" i="1" l="1"/>
  <c r="BT2140" i="1"/>
  <c r="BB2142" i="1" l="1"/>
  <c r="BT2141" i="1"/>
  <c r="BB2143" i="1" l="1"/>
  <c r="BT2142" i="1"/>
  <c r="BB2144" i="1" l="1"/>
  <c r="BT2143" i="1"/>
  <c r="BB2145" i="1" l="1"/>
  <c r="BT2144" i="1"/>
  <c r="BB2146" i="1" l="1"/>
  <c r="BT2145" i="1"/>
  <c r="BB2147" i="1" l="1"/>
  <c r="BT2146" i="1"/>
  <c r="BT2147" i="1" l="1"/>
  <c r="BB2148" i="1"/>
  <c r="BB2149" i="1" l="1"/>
  <c r="BT2148" i="1"/>
  <c r="BB2150" i="1" l="1"/>
  <c r="BT2149" i="1"/>
  <c r="BB2151" i="1" l="1"/>
  <c r="BT2150" i="1"/>
  <c r="BB2152" i="1" l="1"/>
  <c r="BT2151" i="1"/>
  <c r="BB2153" i="1" l="1"/>
  <c r="BT2152" i="1"/>
  <c r="BB2154" i="1" l="1"/>
  <c r="BT2153" i="1"/>
  <c r="BB2155" i="1" l="1"/>
  <c r="BT2154" i="1"/>
  <c r="BB2156" i="1" l="1"/>
  <c r="BT2155" i="1"/>
  <c r="BB2157" i="1" l="1"/>
  <c r="BT2156" i="1"/>
  <c r="BB2158" i="1" l="1"/>
  <c r="BT2157" i="1"/>
  <c r="BB2159" i="1" l="1"/>
  <c r="BT2158" i="1"/>
  <c r="BB2160" i="1" l="1"/>
  <c r="BT2159" i="1"/>
  <c r="BB2161" i="1" l="1"/>
  <c r="BT2160" i="1"/>
  <c r="BB2162" i="1" l="1"/>
  <c r="BT2161" i="1"/>
  <c r="BB2163" i="1" l="1"/>
  <c r="BT2162" i="1"/>
  <c r="BB2164" i="1" l="1"/>
  <c r="BT2163" i="1"/>
  <c r="BT2164" i="1" l="1"/>
  <c r="BB2165" i="1"/>
  <c r="BB2166" i="1" l="1"/>
  <c r="BT2165" i="1"/>
  <c r="BB2167" i="1" l="1"/>
  <c r="BT2166" i="1"/>
  <c r="BB2168" i="1" l="1"/>
  <c r="BT2167" i="1"/>
  <c r="BB2169" i="1" l="1"/>
  <c r="BT2168" i="1"/>
  <c r="BB2170" i="1" l="1"/>
  <c r="BT2169" i="1"/>
  <c r="BB2171" i="1" l="1"/>
  <c r="BT2170" i="1"/>
  <c r="BB2172" i="1" l="1"/>
  <c r="BT2171" i="1"/>
  <c r="BB2173" i="1" l="1"/>
  <c r="BT2172" i="1"/>
  <c r="BB2174" i="1" l="1"/>
  <c r="BT2173" i="1"/>
  <c r="BB2175" i="1" l="1"/>
  <c r="BT2174" i="1"/>
  <c r="BB2176" i="1" l="1"/>
  <c r="BT2175" i="1"/>
  <c r="BB2177" i="1" l="1"/>
  <c r="BT2176" i="1"/>
  <c r="BB2178" i="1" l="1"/>
  <c r="BT2177" i="1"/>
  <c r="BB2179" i="1" l="1"/>
  <c r="BT2178" i="1"/>
  <c r="BB2180" i="1" l="1"/>
  <c r="BT2179" i="1"/>
  <c r="BB2181" i="1" l="1"/>
  <c r="BT2180" i="1"/>
  <c r="BB2182" i="1" l="1"/>
  <c r="BT2181" i="1"/>
  <c r="BB2183" i="1" l="1"/>
  <c r="BT2182" i="1"/>
  <c r="BB2184" i="1" l="1"/>
  <c r="BT2183" i="1"/>
  <c r="BB2185" i="1" l="1"/>
  <c r="BT2184" i="1"/>
  <c r="BB2186" i="1" l="1"/>
  <c r="BT2185" i="1"/>
  <c r="BB2187" i="1" l="1"/>
  <c r="BT2186" i="1"/>
  <c r="BB2188" i="1" l="1"/>
  <c r="BT2187" i="1"/>
  <c r="BB2189" i="1" l="1"/>
  <c r="BT2188" i="1"/>
  <c r="BB2190" i="1" l="1"/>
  <c r="BT2189" i="1"/>
  <c r="BB2191" i="1" l="1"/>
  <c r="BT2190" i="1"/>
  <c r="BB2192" i="1" l="1"/>
  <c r="BT2191" i="1"/>
  <c r="BB2193" i="1" l="1"/>
  <c r="BT2192" i="1"/>
  <c r="BB2194" i="1" l="1"/>
  <c r="BT2193" i="1"/>
  <c r="BB2195" i="1" l="1"/>
  <c r="BT2194" i="1"/>
  <c r="BB2196" i="1" l="1"/>
  <c r="BT2195" i="1"/>
  <c r="BB2197" i="1" l="1"/>
  <c r="BT2196" i="1"/>
  <c r="BB2198" i="1" l="1"/>
  <c r="BT2197" i="1"/>
  <c r="BB2199" i="1" l="1"/>
  <c r="BT2198" i="1"/>
  <c r="BB2200" i="1" l="1"/>
  <c r="BT2199" i="1"/>
  <c r="BB2201" i="1" l="1"/>
  <c r="BT2200" i="1"/>
  <c r="BB2202" i="1" l="1"/>
  <c r="BT2201" i="1"/>
  <c r="BB2203" i="1" l="1"/>
  <c r="BT2202" i="1"/>
  <c r="BB2204" i="1" l="1"/>
  <c r="BT2203" i="1"/>
  <c r="BB2205" i="1" l="1"/>
  <c r="BT2204" i="1"/>
  <c r="BT2205" i="1" l="1"/>
  <c r="BB2206" i="1"/>
  <c r="BB2207" i="1" l="1"/>
  <c r="BT2206" i="1"/>
  <c r="BB2208" i="1" l="1"/>
  <c r="BT2207" i="1"/>
  <c r="BB2209" i="1" l="1"/>
  <c r="BT2208" i="1"/>
  <c r="BT2209" i="1" l="1"/>
  <c r="BB2210" i="1"/>
  <c r="BB2211" i="1" l="1"/>
  <c r="BT2210" i="1"/>
  <c r="BB2212" i="1" l="1"/>
  <c r="BT2211" i="1"/>
  <c r="BB2213" i="1" l="1"/>
  <c r="BT2212" i="1"/>
  <c r="BB2214" i="1" l="1"/>
  <c r="BT2213" i="1"/>
  <c r="BB2215" i="1" l="1"/>
  <c r="BT2214" i="1"/>
  <c r="BB2216" i="1" l="1"/>
  <c r="BT2215" i="1"/>
  <c r="BB2217" i="1" l="1"/>
  <c r="BT2216" i="1"/>
  <c r="BB2218" i="1" l="1"/>
  <c r="BT2217" i="1"/>
  <c r="BB2219" i="1" l="1"/>
  <c r="BT2218" i="1"/>
  <c r="BB2220" i="1" l="1"/>
  <c r="BT2219" i="1"/>
  <c r="BB2221" i="1" l="1"/>
  <c r="BT2220" i="1"/>
  <c r="BB2222" i="1" l="1"/>
  <c r="BT2221" i="1"/>
  <c r="BB2223" i="1" l="1"/>
  <c r="BT2222" i="1"/>
  <c r="BB2224" i="1" l="1"/>
  <c r="BT2223" i="1"/>
  <c r="BB2225" i="1" l="1"/>
  <c r="BT2224" i="1"/>
  <c r="BB2226" i="1" l="1"/>
  <c r="BT2225" i="1"/>
  <c r="BB2227" i="1" l="1"/>
  <c r="BT2226" i="1"/>
  <c r="BB2228" i="1" l="1"/>
  <c r="BT2227" i="1"/>
  <c r="BB2229" i="1" l="1"/>
  <c r="BT2228" i="1"/>
  <c r="BB2230" i="1" l="1"/>
  <c r="BT2229" i="1"/>
  <c r="BB2231" i="1" l="1"/>
  <c r="BT2230" i="1"/>
  <c r="BB2232" i="1" l="1"/>
  <c r="BT2231" i="1"/>
  <c r="BB2233" i="1" l="1"/>
  <c r="BT2232" i="1"/>
  <c r="BB2234" i="1" l="1"/>
  <c r="BT2233" i="1"/>
  <c r="BB2235" i="1" l="1"/>
  <c r="BT2234" i="1"/>
  <c r="BB2236" i="1" l="1"/>
  <c r="BT2235" i="1"/>
  <c r="BB2237" i="1" l="1"/>
  <c r="BT2236" i="1"/>
  <c r="BB2238" i="1" l="1"/>
  <c r="BT2237" i="1"/>
  <c r="BB2239" i="1" l="1"/>
  <c r="BT2238" i="1"/>
  <c r="BB2240" i="1" l="1"/>
  <c r="BT2239" i="1"/>
  <c r="BB2241" i="1" l="1"/>
  <c r="BT2240" i="1"/>
  <c r="BB2242" i="1" l="1"/>
  <c r="BT2241" i="1"/>
  <c r="BB2243" i="1" l="1"/>
  <c r="BT2242" i="1"/>
  <c r="BB2244" i="1" l="1"/>
  <c r="BT2243" i="1"/>
  <c r="BB2245" i="1" l="1"/>
  <c r="BT2244" i="1"/>
  <c r="BB2246" i="1" l="1"/>
  <c r="BT2245" i="1"/>
  <c r="BB2247" i="1" l="1"/>
  <c r="BT2246" i="1"/>
  <c r="BB2248" i="1" l="1"/>
  <c r="BT2247" i="1"/>
  <c r="BB2249" i="1" l="1"/>
  <c r="BT2248" i="1"/>
  <c r="BB2250" i="1" l="1"/>
  <c r="BT2249" i="1"/>
  <c r="BB2251" i="1" l="1"/>
  <c r="BT2250" i="1"/>
  <c r="BB2252" i="1" l="1"/>
  <c r="BT2251" i="1"/>
  <c r="BB2253" i="1" l="1"/>
  <c r="BT2252" i="1"/>
  <c r="BT2253" i="1" l="1"/>
  <c r="BB2254" i="1"/>
  <c r="BB2255" i="1" l="1"/>
  <c r="BT2254" i="1"/>
  <c r="BB2256" i="1" l="1"/>
  <c r="BT2255" i="1"/>
  <c r="BB2257" i="1" l="1"/>
  <c r="BT2256" i="1"/>
  <c r="BB2258" i="1" l="1"/>
  <c r="BT2257" i="1"/>
  <c r="BB2259" i="1" l="1"/>
  <c r="BT2258" i="1"/>
  <c r="BB2260" i="1" l="1"/>
  <c r="BT2259" i="1"/>
  <c r="BB2261" i="1" l="1"/>
  <c r="BT2260" i="1"/>
  <c r="BB2262" i="1" l="1"/>
  <c r="BT2261" i="1"/>
  <c r="BB2263" i="1" l="1"/>
  <c r="BT2262" i="1"/>
  <c r="BB2264" i="1" l="1"/>
  <c r="BT2263" i="1"/>
  <c r="BB2265" i="1" l="1"/>
  <c r="BT2264" i="1"/>
  <c r="BB2266" i="1" l="1"/>
  <c r="BT2265" i="1"/>
  <c r="BB2267" i="1" l="1"/>
  <c r="BT2266" i="1"/>
  <c r="BB2268" i="1" l="1"/>
  <c r="BT2267" i="1"/>
  <c r="BB2269" i="1" l="1"/>
  <c r="BT2268" i="1"/>
  <c r="BB2270" i="1" l="1"/>
  <c r="BT2269" i="1"/>
  <c r="BB2271" i="1" l="1"/>
  <c r="BT2270" i="1"/>
  <c r="BB2272" i="1" l="1"/>
  <c r="BT2271" i="1"/>
  <c r="BB2273" i="1" l="1"/>
  <c r="BT2272" i="1"/>
  <c r="BB2274" i="1" l="1"/>
  <c r="BT2273" i="1"/>
  <c r="BB2275" i="1" l="1"/>
  <c r="BT2274" i="1"/>
  <c r="BB2276" i="1" l="1"/>
  <c r="BT2275" i="1"/>
  <c r="BB2277" i="1" l="1"/>
  <c r="BT2276" i="1"/>
  <c r="BB2278" i="1" l="1"/>
  <c r="BT2277" i="1"/>
  <c r="BB2279" i="1" l="1"/>
  <c r="BT2278" i="1"/>
  <c r="BB2280" i="1" l="1"/>
  <c r="BT2279" i="1"/>
  <c r="BB2281" i="1" l="1"/>
  <c r="BT2280" i="1"/>
  <c r="BB2282" i="1" l="1"/>
  <c r="BT2281" i="1"/>
  <c r="BB2283" i="1" l="1"/>
  <c r="BT2282" i="1"/>
  <c r="BB2284" i="1" l="1"/>
  <c r="BT2283" i="1"/>
  <c r="BB2285" i="1" l="1"/>
  <c r="BT2284" i="1"/>
  <c r="BB2286" i="1" l="1"/>
  <c r="BT2285" i="1"/>
  <c r="BT2286" i="1" l="1"/>
  <c r="BB2287" i="1"/>
  <c r="BB2288" i="1" l="1"/>
  <c r="BT2287" i="1"/>
  <c r="BB2289" i="1" l="1"/>
  <c r="BT2288" i="1"/>
  <c r="BB2290" i="1" l="1"/>
  <c r="BT2289" i="1"/>
  <c r="BT2290" i="1" l="1"/>
  <c r="BB2291" i="1"/>
  <c r="BB2292" i="1" l="1"/>
  <c r="BT2291" i="1"/>
  <c r="BB2293" i="1" l="1"/>
  <c r="BT2292" i="1"/>
  <c r="BB2294" i="1" l="1"/>
  <c r="BT2293" i="1"/>
  <c r="BB2295" i="1" l="1"/>
  <c r="BT2294" i="1"/>
  <c r="BB2296" i="1" l="1"/>
  <c r="BT2295" i="1"/>
  <c r="BB2297" i="1" l="1"/>
  <c r="BT2296" i="1"/>
  <c r="BB2298" i="1" l="1"/>
  <c r="BT2297" i="1"/>
  <c r="BB2299" i="1" l="1"/>
  <c r="BT2298" i="1"/>
  <c r="BB2300" i="1" l="1"/>
  <c r="BT2299" i="1"/>
  <c r="BB2301" i="1" l="1"/>
  <c r="BT2300" i="1"/>
  <c r="BB2302" i="1" l="1"/>
  <c r="BT2301" i="1"/>
  <c r="BB2303" i="1" l="1"/>
  <c r="BT2302" i="1"/>
  <c r="BB2304" i="1" l="1"/>
  <c r="BT2303" i="1"/>
  <c r="BB2305" i="1" l="1"/>
  <c r="BT2304" i="1"/>
  <c r="BB2306" i="1" l="1"/>
  <c r="BT2305" i="1"/>
  <c r="BB2307" i="1" l="1"/>
  <c r="BT2306" i="1"/>
  <c r="BB2308" i="1" l="1"/>
  <c r="BT2307" i="1"/>
  <c r="BB2309" i="1" l="1"/>
  <c r="BT2308" i="1"/>
  <c r="BB2310" i="1" l="1"/>
  <c r="BT2309" i="1"/>
  <c r="BT2310" i="1" l="1"/>
  <c r="BB2311" i="1"/>
  <c r="BB2312" i="1" l="1"/>
  <c r="BT2311" i="1"/>
  <c r="BB2313" i="1" l="1"/>
  <c r="BT2312" i="1"/>
  <c r="BB2314" i="1" l="1"/>
  <c r="BT2313" i="1"/>
  <c r="BB2315" i="1" l="1"/>
  <c r="BT2314" i="1"/>
  <c r="BB2316" i="1" l="1"/>
  <c r="BT2315" i="1"/>
  <c r="BB2317" i="1" l="1"/>
  <c r="BT2316" i="1"/>
  <c r="BB2318" i="1" l="1"/>
  <c r="BT2317" i="1"/>
  <c r="BB2319" i="1" l="1"/>
  <c r="BT2318" i="1"/>
  <c r="BB2320" i="1" l="1"/>
  <c r="BT2319" i="1"/>
  <c r="BB2321" i="1" l="1"/>
  <c r="BT2320" i="1"/>
  <c r="BB2322" i="1" l="1"/>
  <c r="BT2321" i="1"/>
  <c r="BB2323" i="1" l="1"/>
  <c r="BT2322" i="1"/>
  <c r="BB2324" i="1" l="1"/>
  <c r="BT2323" i="1"/>
  <c r="BB2325" i="1" l="1"/>
  <c r="BT2324" i="1"/>
  <c r="BB2326" i="1" l="1"/>
  <c r="BT2325" i="1"/>
  <c r="BB2327" i="1" l="1"/>
  <c r="BT2326" i="1"/>
  <c r="BB2328" i="1" l="1"/>
  <c r="BT2327" i="1"/>
  <c r="BB2329" i="1" l="1"/>
  <c r="BT2328" i="1"/>
  <c r="BB2330" i="1" l="1"/>
  <c r="BT2329" i="1"/>
  <c r="BB2331" i="1" l="1"/>
  <c r="BT2330" i="1"/>
  <c r="BB2332" i="1" l="1"/>
  <c r="BT2331" i="1"/>
  <c r="BB2333" i="1" l="1"/>
  <c r="BT2332" i="1"/>
  <c r="BB2334" i="1" l="1"/>
  <c r="BT2333" i="1"/>
  <c r="BB2335" i="1" l="1"/>
  <c r="BT2334" i="1"/>
  <c r="BB2336" i="1" l="1"/>
  <c r="BT2335" i="1"/>
  <c r="BB2337" i="1" l="1"/>
  <c r="BT2336" i="1"/>
  <c r="BB2338" i="1" l="1"/>
  <c r="BT2337" i="1"/>
  <c r="BB2339" i="1" l="1"/>
  <c r="BT2338" i="1"/>
  <c r="BB2340" i="1" l="1"/>
  <c r="BT2339" i="1"/>
  <c r="BB2341" i="1" l="1"/>
  <c r="BT2340" i="1"/>
  <c r="BB2342" i="1" l="1"/>
  <c r="BT2341" i="1"/>
  <c r="BB2343" i="1" l="1"/>
  <c r="BT2342" i="1"/>
  <c r="BB2344" i="1" l="1"/>
  <c r="BT2343" i="1"/>
  <c r="BB2345" i="1" l="1"/>
  <c r="BT2344" i="1"/>
  <c r="BB2346" i="1" l="1"/>
  <c r="BT2345" i="1"/>
  <c r="BB2347" i="1" l="1"/>
  <c r="BT2346" i="1"/>
  <c r="BB2348" i="1" l="1"/>
  <c r="BT2347" i="1"/>
  <c r="BB2349" i="1" l="1"/>
  <c r="BT2348" i="1"/>
  <c r="BB2350" i="1" l="1"/>
  <c r="BT2349" i="1"/>
  <c r="BB2351" i="1" l="1"/>
  <c r="BT2350" i="1"/>
  <c r="BB2352" i="1" l="1"/>
  <c r="BT2351" i="1"/>
  <c r="BB2353" i="1" l="1"/>
  <c r="BT2352" i="1"/>
  <c r="BB2354" i="1" l="1"/>
  <c r="BT2353" i="1"/>
  <c r="BB2355" i="1" l="1"/>
  <c r="BT2354" i="1"/>
  <c r="BB2356" i="1" l="1"/>
  <c r="BT2355" i="1"/>
  <c r="BB2357" i="1" l="1"/>
  <c r="BT2356" i="1"/>
  <c r="BB2358" i="1" l="1"/>
  <c r="BT2357" i="1"/>
  <c r="BB2359" i="1" l="1"/>
  <c r="BT2358" i="1"/>
  <c r="BB2360" i="1" l="1"/>
  <c r="BT2359" i="1"/>
  <c r="BB2361" i="1" l="1"/>
  <c r="BT2360" i="1"/>
  <c r="BB2362" i="1" l="1"/>
  <c r="BT2361" i="1"/>
  <c r="BB2363" i="1" l="1"/>
  <c r="BT2362" i="1"/>
  <c r="BB2364" i="1" l="1"/>
  <c r="BT2363" i="1"/>
  <c r="BB2365" i="1" l="1"/>
  <c r="BT2364" i="1"/>
  <c r="BB2366" i="1" l="1"/>
  <c r="BT2365" i="1"/>
  <c r="BB2367" i="1" l="1"/>
  <c r="BT2366" i="1"/>
  <c r="BB2368" i="1" l="1"/>
  <c r="BT2367" i="1"/>
  <c r="BB2369" i="1" l="1"/>
  <c r="BT2368" i="1"/>
  <c r="BB2370" i="1" l="1"/>
  <c r="BT2369" i="1"/>
  <c r="BB2371" i="1" l="1"/>
  <c r="BT2370" i="1"/>
  <c r="BT2371" i="1" l="1"/>
  <c r="BB2372" i="1"/>
  <c r="BB2373" i="1" l="1"/>
  <c r="BT2372" i="1"/>
  <c r="BB2374" i="1" l="1"/>
  <c r="BT2373" i="1"/>
  <c r="BB2375" i="1" l="1"/>
  <c r="BT2374" i="1"/>
  <c r="BB2376" i="1" l="1"/>
  <c r="BT2375" i="1"/>
  <c r="BB2377" i="1" l="1"/>
  <c r="BT2376" i="1"/>
  <c r="BB2378" i="1" l="1"/>
  <c r="BT2377" i="1"/>
  <c r="BB2379" i="1" l="1"/>
  <c r="BT2378" i="1"/>
  <c r="BB2380" i="1" l="1"/>
  <c r="BT2379" i="1"/>
  <c r="BB2381" i="1" l="1"/>
  <c r="BT2380" i="1"/>
  <c r="BB2382" i="1" l="1"/>
  <c r="BT2381" i="1"/>
  <c r="BB2383" i="1" l="1"/>
  <c r="BT2382" i="1"/>
  <c r="BB2384" i="1" l="1"/>
  <c r="BT2383" i="1"/>
  <c r="BB2385" i="1" l="1"/>
  <c r="BT2384" i="1"/>
  <c r="BT2385" i="1" l="1"/>
  <c r="BB2386" i="1"/>
  <c r="BB2387" i="1" l="1"/>
  <c r="BT2386" i="1"/>
  <c r="BB2388" i="1" l="1"/>
  <c r="BT2387" i="1"/>
  <c r="BB2389" i="1" l="1"/>
  <c r="BT2388" i="1"/>
  <c r="BB2390" i="1" l="1"/>
  <c r="BT2389" i="1"/>
  <c r="BB2391" i="1" l="1"/>
  <c r="BT2390" i="1"/>
  <c r="BB2392" i="1" l="1"/>
  <c r="BT2391" i="1"/>
  <c r="BB2393" i="1" l="1"/>
  <c r="BT2392" i="1"/>
  <c r="BB2394" i="1" l="1"/>
  <c r="BT2393" i="1"/>
  <c r="BB2395" i="1" l="1"/>
  <c r="BT2394" i="1"/>
  <c r="BB2396" i="1" l="1"/>
  <c r="BT2395" i="1"/>
  <c r="BB2397" i="1" l="1"/>
  <c r="BT2396" i="1"/>
  <c r="BB2398" i="1" l="1"/>
  <c r="BT2397" i="1"/>
  <c r="BB2399" i="1" l="1"/>
  <c r="BT2398" i="1"/>
  <c r="BT2399" i="1" l="1"/>
  <c r="BB2400" i="1"/>
  <c r="BB2401" i="1" l="1"/>
  <c r="BT2400" i="1"/>
  <c r="BB2402" i="1" l="1"/>
  <c r="BT2401" i="1"/>
  <c r="BB2403" i="1" l="1"/>
  <c r="BT2402" i="1"/>
  <c r="BB2404" i="1" l="1"/>
  <c r="BT2403" i="1"/>
  <c r="BB2405" i="1" l="1"/>
  <c r="BT2404" i="1"/>
  <c r="BB2406" i="1" l="1"/>
  <c r="BT2405" i="1"/>
  <c r="BB2407" i="1" l="1"/>
  <c r="BT2406" i="1"/>
  <c r="BB2408" i="1" l="1"/>
  <c r="BT2407" i="1"/>
  <c r="BB2409" i="1" l="1"/>
  <c r="BT2408" i="1"/>
  <c r="BT2409" i="1" l="1"/>
  <c r="BB2410" i="1"/>
  <c r="BB2411" i="1" l="1"/>
  <c r="BT2410" i="1"/>
  <c r="BB2412" i="1" l="1"/>
  <c r="BT2411" i="1"/>
  <c r="BT2412" i="1" l="1"/>
  <c r="BB2413" i="1"/>
  <c r="BB2414" i="1" l="1"/>
  <c r="BT2413" i="1"/>
  <c r="BB2415" i="1" l="1"/>
  <c r="BT2414" i="1"/>
  <c r="BB2416" i="1" l="1"/>
  <c r="BT2415" i="1"/>
  <c r="BB2417" i="1" l="1"/>
  <c r="BT2416" i="1"/>
  <c r="BT2417" i="1" l="1"/>
  <c r="BB2418" i="1"/>
  <c r="BT2418" i="1" l="1"/>
  <c r="BB2419" i="1"/>
  <c r="BB2420" i="1" l="1"/>
  <c r="BT2419" i="1"/>
  <c r="BB2421" i="1" l="1"/>
  <c r="BT2420" i="1"/>
  <c r="BT2421" i="1" l="1"/>
  <c r="BB2422" i="1"/>
  <c r="BB2423" i="1" l="1"/>
  <c r="BT2422" i="1"/>
  <c r="BB2424" i="1" l="1"/>
  <c r="BT2423" i="1"/>
  <c r="BB2425" i="1" l="1"/>
  <c r="BT2424" i="1"/>
  <c r="BB2426" i="1" l="1"/>
  <c r="BT2425" i="1"/>
  <c r="BB2427" i="1" l="1"/>
  <c r="BT2426" i="1"/>
  <c r="BB2428" i="1" l="1"/>
  <c r="BT2427" i="1"/>
  <c r="BB2429" i="1" l="1"/>
  <c r="BT2429" i="1" s="1"/>
  <c r="BT24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<sst xmlns="http://schemas.openxmlformats.org/spreadsheetml/2006/main" count="32283" uniqueCount="1089">
  <si>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</si>
  <si>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</si>
  <si>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</si>
  <si>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</si>
  <si>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</si>
  <si>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</si>
  <si>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</si>
  <si>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</si>
  <si>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</si>
  <si>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</si>
  <si>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</si>
  <si>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</si>
  <si>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</si>
  <si>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</si>
  <si>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</si>
  <si>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</si>
  <si>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</si>
  <si>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</si>
  <si>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</si>
  <si>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</si>
  <si>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</si>
  <si>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</si>
  <si>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</si>
  <si>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</si>
  <si>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</si>
  <si>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</si>
  <si>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</si>
  <si>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</si>
  <si>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</si>
  <si>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</si>
  <si>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</si>
  <si>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</si>
  <si>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</si>
  <si>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</si>
  <si>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</si>
  <si>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</si>
  <si>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</si>
  <si>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</si>
  <si>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</si>
  <si>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</si>
  <si>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</si>
  <si>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</si>
  <si>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</si>
  <si>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</si>
  <si>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</si>
  <si>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</si>
  <si>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</si>
  <si>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</si>
  <si>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</si>
  <si>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</si>
  <si>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</si>
  <si>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</si>
  <si>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</si>
  <si>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</si>
  <si>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</si>
  <si>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</si>
  <si>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</si>
  <si>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</si>
  <si>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</si>
  <si>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</si>
  <si>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</si>
  <si>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</si>
  <si>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</si>
  <si>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</si>
  <si>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</si>
  <si>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</si>
  <si>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</si>
  <si>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</si>
  <si>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</si>
  <si>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</si>
  <si>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</si>
  <si>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</si>
  <si>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</si>
  <si>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</si>
  <si>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</si>
  <si>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</si>
  <si>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</si>
  <si>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</si>
  <si>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</si>
  <si>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</si>
  <si>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</si>
  <si>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</si>
  <si>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</si>
  <si>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</si>
  <si>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</si>
  <si>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</si>
  <si>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</si>
  <si>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</si>
  <si>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</si>
  <si>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</si>
  <si>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</si>
  <si>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</si>
  <si>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</si>
  <si>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</si>
  <si>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</si>
  <si>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</si>
  <si>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</si>
  <si>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</si>
  <si>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</si>
  <si>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</si>
  <si>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</si>
  <si>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</si>
  <si>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</si>
  <si>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</si>
  <si>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</si>
  <si>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</si>
  <si>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</si>
  <si>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</si>
  <si>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</si>
  <si>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</si>
  <si>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</si>
  <si>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</si>
  <si>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</si>
  <si>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</si>
  <si>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</si>
  <si>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</si>
  <si>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</si>
  <si>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</si>
  <si>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</si>
  <si>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</si>
  <si>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</si>
  <si>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</si>
  <si>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</si>
  <si>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</si>
  <si>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</si>
  <si>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</si>
  <si>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</si>
  <si>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</si>
  <si>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</si>
  <si>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</si>
  <si>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</si>
  <si>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</si>
  <si>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</si>
  <si>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</si>
  <si>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</si>
  <si>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</si>
  <si>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</si>
  <si>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</si>
  <si>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</si>
  <si>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</si>
  <si>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</si>
  <si>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</si>
  <si>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</si>
  <si>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</si>
  <si>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</si>
  <si>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</si>
  <si>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</si>
  <si>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</si>
  <si>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</si>
  <si>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</si>
  <si>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</si>
  <si>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</si>
  <si>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</si>
  <si>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</si>
  <si>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</si>
  <si>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</si>
  <si>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</si>
  <si>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</si>
  <si>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</si>
  <si>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</si>
  <si>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</si>
  <si>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</si>
  <si>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</si>
  <si>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</si>
  <si>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</si>
  <si>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</si>
  <si>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</si>
  <si>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Save-Rebound</t>
  </si>
  <si>
    <t>Save-Freeze</t>
  </si>
  <si>
    <t>ZoneEntry-Other</t>
  </si>
  <si>
    <t>ZoneExit-Other</t>
  </si>
  <si>
    <t>PenaltyShot/Shootout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</si>
  <si>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</si>
  <si>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</si>
  <si>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</si>
  <si>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</si>
  <si>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</si>
  <si>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</si>
  <si>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</si>
  <si>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</si>
  <si>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</si>
  <si>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</si>
  <si>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</si>
  <si>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</si>
  <si>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</si>
  <si>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</si>
  <si>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</si>
  <si>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</si>
  <si>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</si>
  <si>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</si>
  <si>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</si>
  <si>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</si>
  <si>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</si>
  <si>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</si>
  <si>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</si>
  <si>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</si>
  <si>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</si>
  <si>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</si>
  <si>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</si>
  <si>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</si>
  <si>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</si>
  <si>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</si>
  <si>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</si>
  <si>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</si>
  <si>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</si>
  <si>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</si>
  <si>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</si>
  <si>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</si>
  <si>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</si>
  <si>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</si>
  <si>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</si>
  <si>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</si>
  <si>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</si>
  <si>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</si>
  <si>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</si>
  <si>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</si>
  <si>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</si>
  <si>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</si>
  <si>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</si>
  <si>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</si>
  <si>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</si>
  <si>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</si>
  <si>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</si>
  <si>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</si>
  <si>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</si>
  <si>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</si>
  <si>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</si>
  <si>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</si>
  <si>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</si>
  <si>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</si>
  <si>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</si>
  <si>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</si>
  <si>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</si>
  <si>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</si>
  <si>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</si>
  <si>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</si>
  <si>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</si>
  <si>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</si>
  <si>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</si>
  <si>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</si>
  <si>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</si>
  <si>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</si>
  <si>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</si>
  <si>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</si>
  <si>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</si>
  <si>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</si>
  <si>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</si>
  <si>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</si>
  <si>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</si>
  <si>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</si>
  <si>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</si>
  <si>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</si>
  <si>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</si>
  <si>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</si>
  <si>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</si>
  <si>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</si>
  <si>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</si>
  <si>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</si>
  <si>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</si>
  <si>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</si>
  <si>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</si>
  <si>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</si>
  <si>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</si>
  <si>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</si>
  <si>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</si>
  <si>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</si>
  <si>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</si>
  <si>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</si>
  <si>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</si>
  <si>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</si>
  <si>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</si>
  <si>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</si>
  <si>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</si>
  <si>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</si>
  <si>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</si>
  <si>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</si>
  <si>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</si>
  <si>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</si>
  <si>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</si>
  <si>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</si>
  <si>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</si>
  <si>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</si>
  <si>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</si>
  <si>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</si>
  <si>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</si>
  <si>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</si>
  <si>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</si>
  <si>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</si>
  <si>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</si>
  <si>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</si>
  <si>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</si>
  <si>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</si>
  <si>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</si>
  <si>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</si>
  <si>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</si>
  <si>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</si>
  <si>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</si>
  <si>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</si>
  <si>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</si>
  <si>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</si>
  <si>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</si>
  <si>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</si>
  <si>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</si>
  <si>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</si>
  <si>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</si>
  <si>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</si>
  <si>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</si>
  <si>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</si>
  <si>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</si>
  <si>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</si>
  <si>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</si>
  <si>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</si>
  <si>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</si>
  <si>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</si>
  <si>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</si>
  <si>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</si>
  <si>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</si>
  <si>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</si>
  <si>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</si>
  <si>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</si>
  <si>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</si>
  <si>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</si>
  <si>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</si>
  <si>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</si>
  <si>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</si>
  <si>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</si>
  <si>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</si>
  <si>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</si>
  <si>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</si>
  <si>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</si>
  <si>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</si>
  <si>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</si>
  <si>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</si>
  <si>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</si>
  <si>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</si>
  <si>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</si>
  <si>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</si>
  <si>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</si>
  <si>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</si>
  <si>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</si>
  <si>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</si>
  <si>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</si>
  <si>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</si>
  <si>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</si>
  <si>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</si>
  <si>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</si>
  <si>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</si>
  <si>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</si>
  <si>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</si>
  <si>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</si>
  <si>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</si>
  <si>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</si>
  <si>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</si>
  <si>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</si>
  <si>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</si>
  <si>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</si>
  <si>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</si>
  <si>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</si>
  <si>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</si>
  <si>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</si>
  <si>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</si>
  <si>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</si>
  <si>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</si>
  <si>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</si>
  <si>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</si>
  <si>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</si>
  <si>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</si>
  <si>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</si>
  <si>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</si>
  <si>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</si>
  <si>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</si>
  <si>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</si>
  <si>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</si>
  <si>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</si>
  <si>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</si>
  <si>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</si>
  <si>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</si>
  <si>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</si>
  <si>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</si>
  <si>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</si>
  <si>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</si>
  <si>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</si>
  <si>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</si>
  <si>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</si>
  <si>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</si>
  <si>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</si>
  <si>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</si>
  <si>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</si>
  <si>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</si>
  <si>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</si>
  <si>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</si>
  <si>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</si>
  <si>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</si>
  <si>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</si>
  <si>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</si>
  <si>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</si>
  <si>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</si>
  <si>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</si>
  <si>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</si>
  <si>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</si>
  <si>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</si>
  <si>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</si>
  <si>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</si>
  <si>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</si>
  <si>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</si>
  <si>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</si>
  <si>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</si>
  <si>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</si>
  <si>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</si>
  <si>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</si>
  <si>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</si>
  <si>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</si>
  <si>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</si>
  <si>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</si>
  <si>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</si>
  <si>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</si>
  <si>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</si>
  <si>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</si>
  <si>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</si>
  <si>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</si>
  <si>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</si>
  <si>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</si>
  <si>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</si>
  <si>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</si>
  <si>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</si>
  <si>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</si>
  <si>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</si>
  <si>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</si>
  <si>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</si>
  <si>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</si>
  <si>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</si>
  <si>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</si>
  <si>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</si>
  <si>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</si>
  <si>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</si>
  <si>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</si>
  <si>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</si>
  <si>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</si>
  <si>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</si>
  <si>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</si>
  <si>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</si>
  <si>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</si>
  <si>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</si>
  <si>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</si>
  <si>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</si>
  <si>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</si>
  <si>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</si>
  <si>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</si>
  <si>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</si>
  <si>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</si>
  <si>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Breakout</t>
  </si>
  <si>
    <t>play_detail1</t>
  </si>
  <si>
    <t>play_detail2</t>
  </si>
  <si>
    <t>play_detail_successful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</si>
  <si>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</si>
  <si>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</si>
  <si>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</si>
  <si>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</si>
  <si>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</si>
  <si>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</si>
  <si>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</si>
  <si>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</si>
  <si>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</si>
  <si>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</si>
  <si>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</si>
  <si>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</si>
  <si>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</si>
  <si>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</si>
  <si>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</si>
  <si>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</si>
  <si>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</si>
  <si>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</si>
  <si>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</si>
  <si>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</si>
  <si>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</si>
  <si>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</si>
  <si>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</si>
  <si>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</si>
  <si>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</si>
  <si>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</si>
  <si>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</si>
  <si>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</si>
  <si>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</si>
  <si>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</si>
  <si>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</si>
  <si>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</si>
  <si>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</si>
  <si>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</si>
  <si>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</si>
  <si>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</si>
  <si>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</si>
  <si>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</si>
  <si>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</si>
  <si>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</si>
  <si>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</si>
  <si>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</si>
  <si>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</si>
  <si>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</si>
  <si>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</si>
  <si>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</si>
  <si>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</si>
  <si>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</si>
  <si>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</si>
  <si>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</si>
  <si>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</si>
  <si>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</si>
  <si>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</si>
  <si>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</si>
  <si>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</si>
  <si>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pre_shot_pass</t>
  </si>
  <si>
    <t>failed_entry</t>
  </si>
  <si>
    <t>failed_exit</t>
  </si>
  <si>
    <t>botched_retreivals</t>
  </si>
  <si>
    <t>retreival_lead_to_breakout</t>
  </si>
  <si>
    <t>possession_change</t>
  </si>
  <si>
    <t>side_of_puck</t>
  </si>
  <si>
    <t>Offensive</t>
  </si>
  <si>
    <t>Defensive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</si>
  <si>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</si>
  <si>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</si>
  <si>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</si>
  <si>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</si>
  <si>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</si>
  <si>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</si>
  <si>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</si>
  <si>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</si>
  <si>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</si>
  <si>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</si>
  <si>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</si>
  <si>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</si>
  <si>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</si>
  <si>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</si>
  <si>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</si>
  <si>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</si>
  <si>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</si>
  <si>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</si>
  <si>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</si>
  <si>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</si>
  <si>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</si>
  <si>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</si>
  <si>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</si>
  <si>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</si>
  <si>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</si>
  <si>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</si>
  <si>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</si>
  <si>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</si>
  <si>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</si>
  <si>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</si>
  <si>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</si>
  <si>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</si>
  <si>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</si>
  <si>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</si>
  <si>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</si>
  <si>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</si>
  <si>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</si>
  <si>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</si>
  <si>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</si>
  <si>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</si>
  <si>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</si>
  <si>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</si>
  <si>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</si>
  <si>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</si>
  <si>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</si>
  <si>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</si>
  <si>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</si>
  <si>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</si>
  <si>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</si>
  <si>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</si>
  <si>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</si>
  <si>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</si>
  <si>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</si>
  <si>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</si>
  <si>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</si>
  <si>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</si>
  <si>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</si>
  <si>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</si>
  <si>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</si>
  <si>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</si>
  <si>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</si>
  <si>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</si>
  <si>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</si>
  <si>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</si>
  <si>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</si>
  <si>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</si>
  <si>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</si>
  <si>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</si>
  <si>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</si>
  <si>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</si>
  <si>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</si>
  <si>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</si>
  <si>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</si>
  <si>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</si>
  <si>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</si>
  <si>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</si>
  <si>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</si>
  <si>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</si>
  <si>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</si>
  <si>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</si>
  <si>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</si>
  <si>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</si>
  <si>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</si>
  <si>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</si>
  <si>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</si>
  <si>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</si>
  <si>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</si>
  <si>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</si>
  <si>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</si>
  <si>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</si>
  <si>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</si>
  <si>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</si>
  <si>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</si>
  <si>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</si>
  <si>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</si>
  <si>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</si>
  <si>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</si>
  <si>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</si>
  <si>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</si>
  <si>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</si>
  <si>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</si>
  <si>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</si>
  <si>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</si>
  <si>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</si>
  <si>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</si>
  <si>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</si>
  <si>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</si>
  <si>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</si>
  <si>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</si>
  <si>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</si>
  <si>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</si>
  <si>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</si>
  <si>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</si>
  <si>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</si>
  <si>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</si>
  <si>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</si>
  <si>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</si>
  <si>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</si>
  <si>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</si>
  <si>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</si>
  <si>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</si>
  <si>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</si>
  <si>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</si>
  <si>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</si>
  <si>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</si>
  <si>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</si>
  <si>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</si>
  <si>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</si>
  <si>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</si>
  <si>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</si>
  <si>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</si>
  <si>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</si>
  <si>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</si>
  <si>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</si>
  <si>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</si>
  <si>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</si>
  <si>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</si>
  <si>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</si>
  <si>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</si>
  <si>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</si>
  <si>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</si>
  <si>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</si>
  <si>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</si>
  <si>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</si>
  <si>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</si>
  <si>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</si>
  <si>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</si>
  <si>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</si>
  <si>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</si>
  <si>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</si>
  <si>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</si>
  <si>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</si>
  <si>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</si>
  <si>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</si>
  <si>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</si>
  <si>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</si>
  <si>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</si>
  <si>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</si>
  <si>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</si>
  <si>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</si>
  <si>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</si>
  <si>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</si>
  <si>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</si>
  <si>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</si>
  <si>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</si>
  <si>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</si>
  <si>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</si>
  <si>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</si>
  <si>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</si>
  <si>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</si>
  <si>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</si>
  <si>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</si>
  <si>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</si>
  <si>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</si>
  <si>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</si>
  <si>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</si>
  <si>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</si>
  <si>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</si>
  <si>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</si>
  <si>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</si>
  <si>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</si>
  <si>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</si>
  <si>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</si>
  <si>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</si>
  <si>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</si>
  <si>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</si>
  <si>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</si>
  <si>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</si>
  <si>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</si>
  <si>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</si>
  <si>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</si>
  <si>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</si>
  <si>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</si>
  <si>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</si>
  <si>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</si>
  <si>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</si>
  <si>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</si>
  <si>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</si>
  <si>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</si>
  <si>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</si>
  <si>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</si>
  <si>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</si>
  <si>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</si>
  <si>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</si>
  <si>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</si>
  <si>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</si>
  <si>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</si>
  <si>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</si>
  <si>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ZoneEntry-Shot</t>
  </si>
  <si>
    <t>ZoneExit-Shot</t>
  </si>
  <si>
    <t>role_abrev_binary</t>
  </si>
  <si>
    <t>x</t>
  </si>
  <si>
    <t>Shot_MissedPost</t>
  </si>
  <si>
    <t>a</t>
  </si>
  <si>
    <t>17</t>
  </si>
  <si>
    <t>56</t>
  </si>
  <si>
    <t>n</t>
  </si>
  <si>
    <t>h</t>
  </si>
  <si>
    <t>d</t>
  </si>
  <si>
    <t>46</t>
  </si>
  <si>
    <t>31</t>
  </si>
  <si>
    <t>26</t>
  </si>
  <si>
    <t>25</t>
  </si>
  <si>
    <t>21</t>
  </si>
  <si>
    <t>0</t>
  </si>
  <si>
    <t>18</t>
  </si>
  <si>
    <t>15</t>
  </si>
  <si>
    <t>14</t>
  </si>
  <si>
    <t>12</t>
  </si>
  <si>
    <t>07</t>
  </si>
  <si>
    <t>01</t>
  </si>
  <si>
    <t>39</t>
  </si>
  <si>
    <t>35</t>
  </si>
  <si>
    <t>49</t>
  </si>
  <si>
    <t>5</t>
  </si>
  <si>
    <t>55</t>
  </si>
  <si>
    <t>11</t>
  </si>
  <si>
    <t>0.01</t>
  </si>
  <si>
    <t/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</si>
  <si>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</si>
  <si>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</si>
  <si>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</si>
  <si>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</si>
  <si>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</si>
  <si>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</si>
  <si>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</si>
  <si>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</si>
  <si>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</si>
  <si>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</si>
  <si>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</si>
  <si>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</si>
  <si>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</si>
  <si>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</si>
  <si>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</si>
  <si>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</si>
  <si>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</si>
  <si>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</si>
  <si>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</si>
  <si>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</si>
  <si>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</si>
  <si>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</si>
  <si>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</si>
  <si>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</si>
  <si>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</si>
  <si>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</si>
  <si>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</si>
  <si>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</si>
  <si>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</si>
  <si>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</si>
  <si>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</si>
  <si>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</si>
  <si>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</si>
  <si>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</si>
  <si>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</si>
  <si>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</si>
  <si>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</si>
  <si>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</si>
  <si>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</si>
  <si>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</si>
  <si>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</si>
  <si>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</si>
  <si>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</si>
  <si>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</si>
  <si>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</si>
  <si>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</si>
  <si>
    <t>Shootout_OnNet</t>
  </si>
  <si>
    <t>Shootout_Missed</t>
  </si>
  <si>
    <t>Shootout_Saved</t>
  </si>
  <si>
    <t>Zone_EntryFailed</t>
  </si>
  <si>
    <t>play_details</t>
  </si>
  <si>
    <t>DelayedOffside</t>
  </si>
  <si>
    <t>DeflectedShot</t>
  </si>
  <si>
    <t>player_id</t>
  </si>
  <si>
    <t>player_team</t>
  </si>
  <si>
    <t>index</t>
  </si>
  <si>
    <t>team_game_id</t>
  </si>
  <si>
    <t>opp_team_game_id</t>
  </si>
  <si>
    <t>player_game_id</t>
  </si>
  <si>
    <t>team_name</t>
  </si>
  <si>
    <t>opp_team_name</t>
  </si>
  <si>
    <t>n_player_url</t>
  </si>
  <si>
    <t>player_position</t>
  </si>
  <si>
    <t>games_played</t>
  </si>
  <si>
    <t>goals</t>
  </si>
  <si>
    <t>assist</t>
  </si>
  <si>
    <t>goals_against</t>
  </si>
  <si>
    <t>pim</t>
  </si>
  <si>
    <t>shutouts</t>
  </si>
  <si>
    <t>team_id</t>
  </si>
  <si>
    <t>opp_team_id</t>
  </si>
  <si>
    <t>key</t>
  </si>
  <si>
    <t>player_full_name</t>
  </si>
  <si>
    <t>date</t>
  </si>
  <si>
    <t>season</t>
  </si>
  <si>
    <t>sub</t>
  </si>
  <si>
    <t>skill_rating</t>
  </si>
  <si>
    <t>Away Team Goals</t>
  </si>
  <si>
    <t>Home Team Goals</t>
  </si>
  <si>
    <t>Home Team Assists</t>
  </si>
  <si>
    <t>Home Team Penalties</t>
  </si>
  <si>
    <t>Away Team Assists</t>
  </si>
  <si>
    <t>Away Team Penalties</t>
  </si>
  <si>
    <t>In cell B3</t>
  </si>
  <si>
    <t>Goals</t>
  </si>
  <si>
    <t>Penalties</t>
  </si>
  <si>
    <t>AssistP</t>
  </si>
  <si>
    <t>AssistS</t>
  </si>
  <si>
    <t>Total Assists</t>
  </si>
  <si>
    <t>Goal Diff</t>
  </si>
  <si>
    <t>Penalty Diff</t>
  </si>
  <si>
    <t>Assist Diff</t>
  </si>
  <si>
    <t>play_detail_2</t>
  </si>
  <si>
    <t>play_detail1_</t>
  </si>
  <si>
    <t>play_detail2_</t>
  </si>
  <si>
    <t>play_detail_successful_</t>
  </si>
  <si>
    <t>pressured_pressurer_</t>
  </si>
  <si>
    <t>event_index_flag_</t>
  </si>
  <si>
    <t>linked_event_index_flag_</t>
  </si>
  <si>
    <t>sequence_index_flag_</t>
  </si>
  <si>
    <t>play_index_flag_</t>
  </si>
  <si>
    <t>AttemptedTip/Deflection</t>
  </si>
  <si>
    <t>sequence_index_</t>
  </si>
  <si>
    <t>play_index_</t>
  </si>
  <si>
    <t>Home</t>
  </si>
  <si>
    <t>Away</t>
  </si>
  <si>
    <t>player_game_number_</t>
  </si>
  <si>
    <t>venue</t>
  </si>
  <si>
    <t>38</t>
  </si>
  <si>
    <t>PuckRecoveryRetreivalDumpIn</t>
  </si>
  <si>
    <t>PuckRecoveryRetreivalFaceoff</t>
  </si>
  <si>
    <t>PuckRecoveryRetreivalOther</t>
  </si>
  <si>
    <t>PuckRecoveryRetreivalPass</t>
  </si>
  <si>
    <t>PuckRecoveryRetreivalRebound</t>
  </si>
  <si>
    <t>PuckRecoveryRetreivalShot</t>
  </si>
  <si>
    <t>PuckRecoveryRetreivalTurnover</t>
  </si>
  <si>
    <t>PuckRecoveryRetreivalAttemptedClear</t>
  </si>
  <si>
    <t>PuckRecoveryRetreivalClear</t>
  </si>
  <si>
    <t>PuckRecoveryRetreivalLoosePuckBattle</t>
  </si>
  <si>
    <t>RecoveryRetreivalDumpIn</t>
  </si>
  <si>
    <t>RecoveryRetreivalFaceoff</t>
  </si>
  <si>
    <t>RecoveryRetreivalOther</t>
  </si>
  <si>
    <t>RecoveryRetreivalPass</t>
  </si>
  <si>
    <t>RecoveryRetreivalRebound</t>
  </si>
  <si>
    <t>RecoveryRetreivalShot</t>
  </si>
  <si>
    <t>RecoveryRetreivalTurnover</t>
  </si>
  <si>
    <t>RecoveryRetrievalDumpIn</t>
  </si>
  <si>
    <t>RecoveryRetrievalShot</t>
  </si>
  <si>
    <t>AttemptedShot</t>
  </si>
  <si>
    <t>AttemptedPass</t>
  </si>
  <si>
    <t>PassForTip</t>
  </si>
  <si>
    <t>home_team_plus</t>
  </si>
  <si>
    <t>home_team_minus</t>
  </si>
  <si>
    <t>away_team_plus</t>
  </si>
  <si>
    <t>away_team_minus</t>
  </si>
  <si>
    <t>event_team_zone2_</t>
  </si>
  <si>
    <t>Dup</t>
  </si>
  <si>
    <t>player_num_dup_</t>
  </si>
  <si>
    <t>=FILTER([BLB_Tables.xlsx]fact_gameroster!$A:$Z,[BLB_Tables.xlsx]fact_gameroster!$B:$B=events!$BB$2)'</t>
  </si>
  <si>
    <t>59</t>
  </si>
  <si>
    <t>52</t>
  </si>
  <si>
    <t>51</t>
  </si>
  <si>
    <t>48</t>
  </si>
  <si>
    <t>47</t>
  </si>
  <si>
    <t>43</t>
  </si>
  <si>
    <t>42</t>
  </si>
  <si>
    <t>40</t>
  </si>
  <si>
    <t>36</t>
  </si>
  <si>
    <t>32</t>
  </si>
  <si>
    <t>29</t>
  </si>
  <si>
    <t>24</t>
  </si>
  <si>
    <t>19</t>
  </si>
  <si>
    <t>16</t>
  </si>
  <si>
    <t>10</t>
  </si>
  <si>
    <t>06</t>
  </si>
  <si>
    <t>05</t>
  </si>
  <si>
    <t>02</t>
  </si>
  <si>
    <t>33</t>
  </si>
  <si>
    <t>30</t>
  </si>
  <si>
    <t>27</t>
  </si>
  <si>
    <t>23</t>
  </si>
  <si>
    <t>22</t>
  </si>
  <si>
    <t>20</t>
  </si>
  <si>
    <t>09</t>
  </si>
  <si>
    <t>53</t>
  </si>
  <si>
    <t>50</t>
  </si>
  <si>
    <t>44</t>
  </si>
  <si>
    <t>41</t>
  </si>
  <si>
    <t>03</t>
  </si>
  <si>
    <t>13</t>
  </si>
  <si>
    <t>57</t>
  </si>
  <si>
    <t>37</t>
  </si>
  <si>
    <t>34</t>
  </si>
  <si>
    <t>28</t>
  </si>
  <si>
    <t>04</t>
  </si>
  <si>
    <t>58</t>
  </si>
  <si>
    <t>9</t>
  </si>
  <si>
    <t>54</t>
  </si>
  <si>
    <t>45</t>
  </si>
  <si>
    <t>8</t>
  </si>
  <si>
    <t>7</t>
  </si>
  <si>
    <t>6</t>
  </si>
  <si>
    <t>08</t>
  </si>
  <si>
    <t>3</t>
  </si>
  <si>
    <t>4</t>
  </si>
  <si>
    <t>2</t>
  </si>
  <si>
    <t>1</t>
  </si>
  <si>
    <t>Nelson</t>
  </si>
  <si>
    <t>18981N10004</t>
  </si>
  <si>
    <t>18981N10010</t>
  </si>
  <si>
    <t>18981N10004P100111</t>
  </si>
  <si>
    <t>home</t>
  </si>
  <si>
    <t>Michelle Freddolino – 2</t>
  </si>
  <si>
    <t>Forward</t>
  </si>
  <si>
    <t>N10004</t>
  </si>
  <si>
    <t>N10010</t>
  </si>
  <si>
    <t>18981Nelson3</t>
  </si>
  <si>
    <t>Michelle Freddolino</t>
  </si>
  <si>
    <t>P100111</t>
  </si>
  <si>
    <t>18981N10004P100072</t>
  </si>
  <si>
    <t>Bobby Dickinson – 2</t>
  </si>
  <si>
    <t>18981Nelson7</t>
  </si>
  <si>
    <t>Bobby Dickinson</t>
  </si>
  <si>
    <t>P100072</t>
  </si>
  <si>
    <t>18981N10004P100074</t>
  </si>
  <si>
    <t>Marko Somersalmi (C) – 4</t>
  </si>
  <si>
    <t>Defense</t>
  </si>
  <si>
    <t>18981Nelson8</t>
  </si>
  <si>
    <t>Marko Somersalmi</t>
  </si>
  <si>
    <t>P100074</t>
  </si>
  <si>
    <t>18981N10004P100078</t>
  </si>
  <si>
    <t>Kyle Popovich (A) – 5</t>
  </si>
  <si>
    <t>18981Nelson10</t>
  </si>
  <si>
    <t>Kyle Popovich</t>
  </si>
  <si>
    <t>P100078</t>
  </si>
  <si>
    <t>18981N10004P100071</t>
  </si>
  <si>
    <t>Andy Alm – 3</t>
  </si>
  <si>
    <t>18981Nelson15</t>
  </si>
  <si>
    <t>Andy Alm</t>
  </si>
  <si>
    <t>P100071</t>
  </si>
  <si>
    <t>18981N10004P100164</t>
  </si>
  <si>
    <t>Zachary Coleman – 4</t>
  </si>
  <si>
    <t>18981Nelson16</t>
  </si>
  <si>
    <t>Zachary Coleman</t>
  </si>
  <si>
    <t>P100164</t>
  </si>
  <si>
    <t>18981N10004P100061</t>
  </si>
  <si>
    <t>Eric Larson – 3</t>
  </si>
  <si>
    <t>18981Nelson23</t>
  </si>
  <si>
    <t>Eric Larson</t>
  </si>
  <si>
    <t>P100061</t>
  </si>
  <si>
    <t>18981N10004P100138</t>
  </si>
  <si>
    <t>Thane Gilmore – 3</t>
  </si>
  <si>
    <t>Goalie</t>
  </si>
  <si>
    <t>18981Nelson31</t>
  </si>
  <si>
    <t>Thane Gilmore</t>
  </si>
  <si>
    <t>P100138</t>
  </si>
  <si>
    <t>18981N10004P100119</t>
  </si>
  <si>
    <t>Eric Elliott – 5</t>
  </si>
  <si>
    <t>18981Nelson37</t>
  </si>
  <si>
    <t>Eric Elliott</t>
  </si>
  <si>
    <t>P100119</t>
  </si>
  <si>
    <t>18981N10004P100079</t>
  </si>
  <si>
    <t>Joe Lopez – 4</t>
  </si>
  <si>
    <t>18981Nelson44</t>
  </si>
  <si>
    <t>Joe Lopez</t>
  </si>
  <si>
    <t>P100079</t>
  </si>
  <si>
    <t>18981N10004P100066</t>
  </si>
  <si>
    <t>Brock Lofgren – 6</t>
  </si>
  <si>
    <t>18981Nelson79</t>
  </si>
  <si>
    <t>Brock Lofgren</t>
  </si>
  <si>
    <t>P100066</t>
  </si>
  <si>
    <t>18981N10004P100197</t>
  </si>
  <si>
    <t>Samuel Yetsko – 5</t>
  </si>
  <si>
    <t>18981Nelson80</t>
  </si>
  <si>
    <t>Samuel Yetsko</t>
  </si>
  <si>
    <t>P100197</t>
  </si>
  <si>
    <t>18981N10010P100105</t>
  </si>
  <si>
    <t>away</t>
  </si>
  <si>
    <t>Ronnie Pinnell (C) – 4</t>
  </si>
  <si>
    <t>18981Velodrome9</t>
  </si>
  <si>
    <t>Ronnie Pinnell</t>
  </si>
  <si>
    <t>P100105</t>
  </si>
  <si>
    <t>18981N10010P100132</t>
  </si>
  <si>
    <t>Nick Ciampoli – 4</t>
  </si>
  <si>
    <t>18981Velodrome14</t>
  </si>
  <si>
    <t>Nick Ciampoli</t>
  </si>
  <si>
    <t>P100132</t>
  </si>
  <si>
    <t>18981N10010P100108</t>
  </si>
  <si>
    <t>Robert Mayfield (S) – 3</t>
  </si>
  <si>
    <t>18981Velodrome22</t>
  </si>
  <si>
    <t>Robert Mayfield</t>
  </si>
  <si>
    <t>P100108</t>
  </si>
  <si>
    <t>18981N10010P100230</t>
  </si>
  <si>
    <t>Jennifer Valente – 2</t>
  </si>
  <si>
    <t>18981Velodrome24</t>
  </si>
  <si>
    <t>Jennifer Valente</t>
  </si>
  <si>
    <t>P100230</t>
  </si>
  <si>
    <t>18981N10010P100016</t>
  </si>
  <si>
    <t>Wyatt Crandall – 5</t>
  </si>
  <si>
    <t>18981Velodrome39</t>
  </si>
  <si>
    <t>Wyatt Crandall</t>
  </si>
  <si>
    <t>P100016</t>
  </si>
  <si>
    <t>18981N10010P100201</t>
  </si>
  <si>
    <t>Garrett Ashcroft – 5</t>
  </si>
  <si>
    <t>18981Velodrome42</t>
  </si>
  <si>
    <t>Garrett Ashcroft</t>
  </si>
  <si>
    <t>P100201</t>
  </si>
  <si>
    <t>18981N10010P100161</t>
  </si>
  <si>
    <t>Galen Wood – 5</t>
  </si>
  <si>
    <t>18981Velodrome49</t>
  </si>
  <si>
    <t>Galen Wood</t>
  </si>
  <si>
    <t>P100161</t>
  </si>
  <si>
    <t>18981N10010P100070</t>
  </si>
  <si>
    <t>Hayden Perea – 4</t>
  </si>
  <si>
    <t>18981Velodrome52</t>
  </si>
  <si>
    <t>Hayden Perea</t>
  </si>
  <si>
    <t>P100070</t>
  </si>
  <si>
    <t>18981N10010P100224</t>
  </si>
  <si>
    <t>Kaitlyn Shain – 3</t>
  </si>
  <si>
    <t>18981Velodrome61</t>
  </si>
  <si>
    <t>Kaitlyn Shain</t>
  </si>
  <si>
    <t>P100224</t>
  </si>
  <si>
    <t>18981N10010P100001</t>
  </si>
  <si>
    <t>Sam Downs (A) – 6</t>
  </si>
  <si>
    <t>18981Velodrome70</t>
  </si>
  <si>
    <t>Sam Downs</t>
  </si>
  <si>
    <t>P100001</t>
  </si>
  <si>
    <t>18981N10010P100039</t>
  </si>
  <si>
    <t>Nicole Downs – 2</t>
  </si>
  <si>
    <t>18981Velodrome75</t>
  </si>
  <si>
    <t>Nicole Downs</t>
  </si>
  <si>
    <t>P100039</t>
  </si>
  <si>
    <t>18981N10010P100198</t>
  </si>
  <si>
    <t>Maxwell Donaty – 4</t>
  </si>
  <si>
    <t>18981Velodrome84</t>
  </si>
  <si>
    <t>Maxwell Donaty</t>
  </si>
  <si>
    <t>P100198</t>
  </si>
  <si>
    <t>18981N10010P100159</t>
  </si>
  <si>
    <t>Josh Cronk – 5</t>
  </si>
  <si>
    <t>18981Velodrome87</t>
  </si>
  <si>
    <t>Josh Cronk</t>
  </si>
  <si>
    <t>P100159</t>
  </si>
  <si>
    <t>18981N10010P100002</t>
  </si>
  <si>
    <t>Kevin White – 4</t>
  </si>
  <si>
    <t>18981Velodrome91</t>
  </si>
  <si>
    <t>Kevin White</t>
  </si>
  <si>
    <t>P100002</t>
  </si>
  <si>
    <t>18981N10010P100093</t>
  </si>
  <si>
    <t>Pat Major – 3</t>
  </si>
  <si>
    <t>18981Velodrome93</t>
  </si>
  <si>
    <t>Pat Major</t>
  </si>
  <si>
    <t>P100093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</si>
</sst>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quotePrefix="1"/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49" fontId="0" fillId="8" borderId="0" xfId="0" applyNumberFormat="1" applyFill="1"/>
    <xf numFmtId="0" fontId="0" fillId="8" borderId="0" xfId="0" applyFill="1"/>
    <xf numFmtId="49" fontId="3" fillId="8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/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49" fontId="0" fillId="7" borderId="0" xfId="0" applyNumberFormat="1" applyFill="1"/>
    <xf numFmtId="49" fontId="0" fillId="7" borderId="1" xfId="0" applyNumberFormat="1" applyFill="1" applyBorder="1"/>
    <xf numFmtId="0" fontId="0" fillId="8" borderId="1" xfId="0" applyFill="1" applyBorder="1"/>
    <xf numFmtId="0" fontId="3" fillId="11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0</v>
    <v>3</v>
  </rv>
  <rv s="0">
    <v>0</v>
    <v>8</v>
    <v>1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workbookViewId="0">
      <selection activeCell="G4" sqref="G4"/>
    </sheetView>
  </sheetViews>
  <sheetFormatPr baseColWidth="10" defaultRowHeight="16" x14ac:dyDescent="0.2"/>
  <sheetData>
    <row r="1" spans="1:5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18" t="s">
        <v>396</v>
      </c>
      <c r="AW1" s="18" t="s">
        <v>403</v>
      </c>
      <c r="AX1" s="2" t="s">
        <v>404</v>
      </c>
      <c r="AY1" s="2" t="s">
        <v>405</v>
      </c>
    </row>
    <row r="2" spans="1:51" x14ac:dyDescent="0.2">
      <c r="A2">
        <v>40</v>
      </c>
      <c r="B2">
        <v>1</v>
      </c>
      <c r="C2">
        <v>2</v>
      </c>
      <c r="D2" t="s">
        <v>747</v>
      </c>
      <c r="E2">
        <v>0</v>
      </c>
      <c r="F2" t="s">
        <v>750</v>
      </c>
      <c r="G2" t="s">
        <v>289</v>
      </c>
      <c r="H2" t="s">
        <v>341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750</v>
      </c>
      <c r="E3">
        <v>0</v>
      </c>
      <c r="F3" t="s">
        <v>755</v>
      </c>
      <c r="G3" t="s">
        <v>289</v>
      </c>
      <c r="H3" t="s">
        <v>292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393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743</v>
      </c>
      <c r="G5" t="s">
        <v>284</v>
      </c>
      <c r="H5" t="s">
        <v>341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748</v>
      </c>
      <c r="E8">
        <v>0</v>
      </c>
      <c r="F8" t="s">
        <v>751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751</v>
      </c>
      <c r="E9">
        <v>0</v>
      </c>
      <c r="F9" t="s">
        <v>755</v>
      </c>
      <c r="H9" t="s">
        <v>400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755</v>
      </c>
    </row>
    <row r="25" spans="1:42" ht="34" x14ac:dyDescent="0.2">
      <c r="A25" s="20" t="s">
        <v>242</v>
      </c>
      <c r="B25" s="20" t="s">
        <v>725</v>
      </c>
      <c r="C25" s="20" t="s">
        <v>518</v>
      </c>
      <c r="D25" s="20" t="s">
        <v>724</v>
      </c>
      <c r="E25" s="23" t="s">
        <v>243</v>
      </c>
      <c r="F25" s="23" t="s">
        <v>244</v>
      </c>
      <c r="G25" s="29" t="s">
        <v>621</v>
      </c>
      <c r="H25" s="1" t="s">
        <v>0</v>
      </c>
      <c r="I25" s="21" t="s">
        <v>409</v>
      </c>
      <c r="J25" s="21" t="s">
        <v>410</v>
      </c>
      <c r="K25" s="21" t="s">
        <v>411</v>
      </c>
      <c r="L25" s="22" t="s">
        <v>412</v>
      </c>
      <c r="M25" s="1" t="s">
        <v>252</v>
      </c>
      <c r="N25" s="1" t="s">
        <v>253</v>
      </c>
      <c r="O25" s="1" t="s">
        <v>254</v>
      </c>
      <c r="P25" s="7" t="s">
        <v>255</v>
      </c>
      <c r="Q25" s="20" t="s">
        <v>522</v>
      </c>
      <c r="R25" s="20" t="s">
        <v>4</v>
      </c>
      <c r="S25" s="20" t="s">
        <v>728</v>
      </c>
      <c r="T25" s="20" t="s">
        <v>369</v>
      </c>
      <c r="U25" s="20" t="s">
        <v>406</v>
      </c>
      <c r="V25" s="20" t="s">
        <v>407</v>
      </c>
      <c r="W25" s="20" t="s">
        <v>408</v>
      </c>
      <c r="X25" s="23" t="s">
        <v>449</v>
      </c>
      <c r="Y25" s="20" t="s">
        <v>451</v>
      </c>
      <c r="Z25" s="20" t="s">
        <v>452</v>
      </c>
      <c r="AA25" s="23" t="s">
        <v>453</v>
      </c>
      <c r="AB25" s="23" t="s">
        <v>638</v>
      </c>
      <c r="AC25" s="23" t="s">
        <v>525</v>
      </c>
      <c r="AD25" s="23" t="s">
        <v>526</v>
      </c>
      <c r="AE25" s="23" t="s">
        <v>536</v>
      </c>
      <c r="AF25" s="20" t="s">
        <v>454</v>
      </c>
      <c r="AG25" s="1" t="s">
        <v>455</v>
      </c>
      <c r="AH25" s="1" t="s">
        <v>456</v>
      </c>
      <c r="AI25" s="20" t="s">
        <v>534</v>
      </c>
      <c r="AJ25" s="20" t="s">
        <v>535</v>
      </c>
    </row>
    <row r="27" spans="1:42" x14ac:dyDescent="0.2">
      <c r="A27">
        <v>599</v>
      </c>
      <c r="B27" t="s">
        <v>756</v>
      </c>
      <c r="C27" t="s">
        <v>756</v>
      </c>
      <c r="D27" t="s">
        <v>756</v>
      </c>
      <c r="H27">
        <v>1</v>
      </c>
      <c r="I27" t="s">
        <v>742</v>
      </c>
      <c r="J27" t="s">
        <v>748</v>
      </c>
      <c r="Q27" t="s">
        <v>731</v>
      </c>
      <c r="R27">
        <v>13</v>
      </c>
      <c r="S27">
        <v>1</v>
      </c>
      <c r="T27" t="s">
        <v>367</v>
      </c>
      <c r="U27" t="s">
        <v>6</v>
      </c>
      <c r="V27" t="s">
        <v>181</v>
      </c>
      <c r="W27" t="s">
        <v>53</v>
      </c>
      <c r="X27" t="s">
        <v>594</v>
      </c>
      <c r="AF27" t="s">
        <v>368</v>
      </c>
      <c r="AJ27">
        <v>1</v>
      </c>
      <c r="AM27" t="s">
        <v>6</v>
      </c>
      <c r="AN27" t="s">
        <v>181</v>
      </c>
      <c r="AP27" t="s">
        <v>516</v>
      </c>
    </row>
    <row r="28" spans="1:42" x14ac:dyDescent="0.2">
      <c r="A28">
        <v>599</v>
      </c>
      <c r="B28" t="s">
        <v>756</v>
      </c>
      <c r="C28" t="s">
        <v>756</v>
      </c>
      <c r="D28" t="s">
        <v>756</v>
      </c>
      <c r="H28">
        <v>1</v>
      </c>
      <c r="R28">
        <v>9</v>
      </c>
      <c r="T28" t="s">
        <v>368</v>
      </c>
      <c r="Y28" t="s">
        <v>602</v>
      </c>
      <c r="AA28" t="s">
        <v>595</v>
      </c>
      <c r="AJ28">
        <v>1</v>
      </c>
      <c r="AM28" t="s">
        <v>6</v>
      </c>
      <c r="AN28" t="s">
        <v>181</v>
      </c>
      <c r="AP28" t="s">
        <v>517</v>
      </c>
    </row>
    <row r="29" spans="1:42" x14ac:dyDescent="0.2">
      <c r="A29">
        <v>600</v>
      </c>
      <c r="B29" t="s">
        <v>756</v>
      </c>
      <c r="C29" t="s">
        <v>756</v>
      </c>
      <c r="D29" t="s">
        <v>756</v>
      </c>
      <c r="H29">
        <v>1</v>
      </c>
      <c r="I29" t="s">
        <v>742</v>
      </c>
      <c r="J29" t="s">
        <v>413</v>
      </c>
      <c r="T29" t="s">
        <v>368</v>
      </c>
      <c r="U29" t="s">
        <v>11</v>
      </c>
      <c r="V29" t="s">
        <v>177</v>
      </c>
      <c r="W29" t="s">
        <v>39</v>
      </c>
      <c r="AM29" t="s">
        <v>11</v>
      </c>
      <c r="AN29" t="s">
        <v>177</v>
      </c>
      <c r="AP29" t="s">
        <v>756</v>
      </c>
    </row>
    <row r="30" spans="1:42" x14ac:dyDescent="0.2">
      <c r="A30">
        <v>601</v>
      </c>
      <c r="B30" t="s">
        <v>756</v>
      </c>
      <c r="C30" t="s">
        <v>756</v>
      </c>
      <c r="D30" t="s">
        <v>756</v>
      </c>
      <c r="H30">
        <v>2</v>
      </c>
      <c r="I30" t="s">
        <v>733</v>
      </c>
      <c r="J30" t="s">
        <v>737</v>
      </c>
      <c r="K30" t="s">
        <v>753</v>
      </c>
      <c r="L30" t="s">
        <v>749</v>
      </c>
      <c r="T30" t="s">
        <v>368</v>
      </c>
      <c r="U30" t="s">
        <v>393</v>
      </c>
      <c r="AM30" t="s">
        <v>393</v>
      </c>
      <c r="AN30" t="s">
        <v>756</v>
      </c>
      <c r="AP30" t="s">
        <v>756</v>
      </c>
    </row>
    <row r="31" spans="1:42" x14ac:dyDescent="0.2">
      <c r="A31">
        <v>602</v>
      </c>
      <c r="B31" t="s">
        <v>756</v>
      </c>
      <c r="C31" t="s">
        <v>756</v>
      </c>
      <c r="D31" t="s">
        <v>756</v>
      </c>
      <c r="H31">
        <v>2</v>
      </c>
      <c r="I31" t="s">
        <v>743</v>
      </c>
      <c r="J31" t="s">
        <v>413</v>
      </c>
      <c r="Q31" t="s">
        <v>735</v>
      </c>
      <c r="R31">
        <v>70</v>
      </c>
      <c r="S31">
        <v>1</v>
      </c>
      <c r="T31" t="s">
        <v>367</v>
      </c>
      <c r="U31" t="s">
        <v>5</v>
      </c>
      <c r="V31" t="s">
        <v>197</v>
      </c>
      <c r="AF31" t="s">
        <v>734</v>
      </c>
      <c r="AM31" t="s">
        <v>5</v>
      </c>
      <c r="AN31" t="s">
        <v>197</v>
      </c>
      <c r="AP31" t="s">
        <v>516</v>
      </c>
    </row>
    <row r="34" spans="1:42" x14ac:dyDescent="0.2">
      <c r="A34">
        <v>1438</v>
      </c>
      <c r="B34">
        <v>223</v>
      </c>
      <c r="H34">
        <v>3</v>
      </c>
      <c r="I34" t="s">
        <v>752</v>
      </c>
      <c r="J34" t="s">
        <v>753</v>
      </c>
      <c r="Q34" t="s">
        <v>735</v>
      </c>
      <c r="R34">
        <v>61</v>
      </c>
      <c r="S34">
        <v>1</v>
      </c>
      <c r="T34" t="s">
        <v>367</v>
      </c>
      <c r="U34" t="s">
        <v>6</v>
      </c>
      <c r="V34" t="s">
        <v>240</v>
      </c>
      <c r="AF34" t="s">
        <v>368</v>
      </c>
      <c r="AM34" t="s">
        <v>6</v>
      </c>
      <c r="AN34" t="s">
        <v>240</v>
      </c>
      <c r="AP34" t="s">
        <v>516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368</v>
      </c>
      <c r="AM35" t="s">
        <v>6</v>
      </c>
      <c r="AN35" t="s">
        <v>240</v>
      </c>
      <c r="AP35" t="s">
        <v>517</v>
      </c>
    </row>
    <row r="36" spans="1:42" x14ac:dyDescent="0.2">
      <c r="A36">
        <v>1439</v>
      </c>
      <c r="B36">
        <v>223</v>
      </c>
      <c r="H36">
        <v>3</v>
      </c>
      <c r="I36" t="s">
        <v>752</v>
      </c>
      <c r="J36" t="s">
        <v>753</v>
      </c>
      <c r="Q36" t="s">
        <v>735</v>
      </c>
      <c r="R36">
        <v>61</v>
      </c>
      <c r="S36">
        <v>1</v>
      </c>
      <c r="T36" t="s">
        <v>367</v>
      </c>
      <c r="U36" t="s">
        <v>8</v>
      </c>
      <c r="V36" t="s">
        <v>213</v>
      </c>
      <c r="W36" t="s">
        <v>216</v>
      </c>
      <c r="AF36" t="s">
        <v>368</v>
      </c>
      <c r="AM36" t="s">
        <v>8</v>
      </c>
      <c r="AN36" t="s">
        <v>213</v>
      </c>
      <c r="AP36" t="s">
        <v>516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368</v>
      </c>
      <c r="AM37" t="s">
        <v>8</v>
      </c>
      <c r="AN37" t="s">
        <v>213</v>
      </c>
      <c r="AP37" t="s">
        <v>517</v>
      </c>
    </row>
    <row r="38" spans="1:42" x14ac:dyDescent="0.2">
      <c r="A38">
        <v>1440</v>
      </c>
      <c r="B38">
        <v>223</v>
      </c>
      <c r="H38">
        <v>3</v>
      </c>
      <c r="I38" t="s">
        <v>752</v>
      </c>
      <c r="J38" t="s">
        <v>753</v>
      </c>
      <c r="Q38" t="s">
        <v>735</v>
      </c>
      <c r="R38">
        <v>61</v>
      </c>
      <c r="S38">
        <v>1</v>
      </c>
      <c r="T38" t="s">
        <v>367</v>
      </c>
      <c r="U38" t="s">
        <v>11</v>
      </c>
      <c r="V38" t="s">
        <v>187</v>
      </c>
      <c r="W38" t="s">
        <v>40</v>
      </c>
      <c r="AF38" t="s">
        <v>368</v>
      </c>
      <c r="AJ38">
        <v>1</v>
      </c>
      <c r="AM38" t="s">
        <v>11</v>
      </c>
      <c r="AN38" t="s">
        <v>187</v>
      </c>
      <c r="AP38" t="s">
        <v>756</v>
      </c>
    </row>
    <row r="39" spans="1:42" x14ac:dyDescent="0.2">
      <c r="A39">
        <v>1441</v>
      </c>
      <c r="B39">
        <v>223</v>
      </c>
      <c r="H39">
        <v>3</v>
      </c>
      <c r="I39" t="s">
        <v>752</v>
      </c>
      <c r="J39" t="s">
        <v>753</v>
      </c>
      <c r="K39" t="s">
        <v>752</v>
      </c>
      <c r="L39" t="s">
        <v>738</v>
      </c>
      <c r="Q39" t="s">
        <v>735</v>
      </c>
      <c r="R39">
        <v>61</v>
      </c>
      <c r="S39">
        <v>1</v>
      </c>
      <c r="T39" t="s">
        <v>367</v>
      </c>
      <c r="U39" t="s">
        <v>241</v>
      </c>
      <c r="AF39" t="s">
        <v>368</v>
      </c>
      <c r="AJ39">
        <v>1</v>
      </c>
      <c r="AM39" t="s">
        <v>241</v>
      </c>
      <c r="AN39" t="s">
        <v>756</v>
      </c>
      <c r="AP39" t="s">
        <v>756</v>
      </c>
    </row>
    <row r="43" spans="1:42" x14ac:dyDescent="0.2">
      <c r="A43">
        <v>1590</v>
      </c>
      <c r="H43">
        <v>3</v>
      </c>
      <c r="I43" t="s">
        <v>742</v>
      </c>
      <c r="J43" t="s">
        <v>739</v>
      </c>
      <c r="Q43" t="s">
        <v>735</v>
      </c>
      <c r="R43">
        <v>84</v>
      </c>
      <c r="S43">
        <v>1</v>
      </c>
      <c r="T43" t="s">
        <v>367</v>
      </c>
      <c r="U43" t="s">
        <v>417</v>
      </c>
      <c r="AF43" t="s">
        <v>736</v>
      </c>
      <c r="AJ43">
        <v>1</v>
      </c>
      <c r="AM43" t="s">
        <v>417</v>
      </c>
      <c r="AN43" t="s">
        <v>756</v>
      </c>
      <c r="AP43" t="s">
        <v>516</v>
      </c>
    </row>
    <row r="44" spans="1:42" x14ac:dyDescent="0.2">
      <c r="A44">
        <v>1590</v>
      </c>
      <c r="H44">
        <v>3</v>
      </c>
      <c r="R44">
        <v>3</v>
      </c>
      <c r="T44" t="s">
        <v>368</v>
      </c>
      <c r="AJ44">
        <v>1</v>
      </c>
      <c r="AM44" t="s">
        <v>417</v>
      </c>
      <c r="AN44" t="s">
        <v>756</v>
      </c>
      <c r="AP44" t="s">
        <v>517</v>
      </c>
    </row>
    <row r="45" spans="1:42" x14ac:dyDescent="0.2">
      <c r="A45">
        <v>1591</v>
      </c>
      <c r="B45">
        <v>247</v>
      </c>
      <c r="H45">
        <v>3</v>
      </c>
      <c r="I45" t="s">
        <v>742</v>
      </c>
      <c r="J45" t="s">
        <v>740</v>
      </c>
      <c r="Q45" t="s">
        <v>731</v>
      </c>
      <c r="R45">
        <v>18</v>
      </c>
      <c r="S45">
        <v>1</v>
      </c>
      <c r="T45" t="s">
        <v>367</v>
      </c>
      <c r="U45" t="s">
        <v>6</v>
      </c>
      <c r="V45" t="s">
        <v>205</v>
      </c>
      <c r="W45" t="s">
        <v>51</v>
      </c>
      <c r="X45" t="s">
        <v>595</v>
      </c>
      <c r="AF45" t="s">
        <v>368</v>
      </c>
      <c r="AM45" t="s">
        <v>6</v>
      </c>
      <c r="AN45" t="s">
        <v>205</v>
      </c>
      <c r="AP45" t="s">
        <v>516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367</v>
      </c>
      <c r="Y46" t="s">
        <v>684</v>
      </c>
      <c r="AM46" t="s">
        <v>6</v>
      </c>
      <c r="AN46" t="s">
        <v>205</v>
      </c>
      <c r="AP46" t="s">
        <v>516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368</v>
      </c>
      <c r="AM47" t="s">
        <v>6</v>
      </c>
      <c r="AN47" t="s">
        <v>205</v>
      </c>
      <c r="AP47" t="s">
        <v>517</v>
      </c>
    </row>
    <row r="48" spans="1:42" x14ac:dyDescent="0.2">
      <c r="A48">
        <v>1592</v>
      </c>
      <c r="B48">
        <v>247</v>
      </c>
      <c r="H48">
        <v>3</v>
      </c>
      <c r="I48" t="s">
        <v>742</v>
      </c>
      <c r="J48" t="s">
        <v>740</v>
      </c>
      <c r="Q48" t="s">
        <v>735</v>
      </c>
      <c r="R48">
        <v>39</v>
      </c>
      <c r="S48">
        <v>1</v>
      </c>
      <c r="T48" t="s">
        <v>367</v>
      </c>
      <c r="U48" t="s">
        <v>15</v>
      </c>
      <c r="V48" t="s">
        <v>179</v>
      </c>
      <c r="W48" t="s">
        <v>95</v>
      </c>
      <c r="AF48" t="s">
        <v>736</v>
      </c>
      <c r="AM48" t="s">
        <v>15</v>
      </c>
      <c r="AN48" t="s">
        <v>179</v>
      </c>
      <c r="AP48" t="s">
        <v>517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368</v>
      </c>
      <c r="AM49" t="s">
        <v>15</v>
      </c>
      <c r="AN49" t="s">
        <v>179</v>
      </c>
      <c r="AP49" t="s">
        <v>516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368</v>
      </c>
      <c r="Y50" t="s">
        <v>684</v>
      </c>
      <c r="AM50" t="s">
        <v>15</v>
      </c>
      <c r="AN50" t="s">
        <v>179</v>
      </c>
      <c r="AP50" t="s">
        <v>516</v>
      </c>
    </row>
    <row r="51" spans="1:42" x14ac:dyDescent="0.2">
      <c r="A51">
        <v>1593</v>
      </c>
      <c r="B51">
        <v>247</v>
      </c>
      <c r="H51">
        <v>3</v>
      </c>
      <c r="I51" t="s">
        <v>742</v>
      </c>
      <c r="J51" t="s">
        <v>740</v>
      </c>
      <c r="Q51" t="s">
        <v>735</v>
      </c>
      <c r="R51">
        <v>39</v>
      </c>
      <c r="S51">
        <v>1</v>
      </c>
      <c r="T51" t="s">
        <v>367</v>
      </c>
      <c r="AF51" t="s">
        <v>736</v>
      </c>
      <c r="AM51" t="s">
        <v>756</v>
      </c>
      <c r="AN51" t="s">
        <v>756</v>
      </c>
      <c r="AP51" t="s">
        <v>516</v>
      </c>
    </row>
    <row r="52" spans="1:42" x14ac:dyDescent="0.2">
      <c r="A52">
        <v>1594</v>
      </c>
      <c r="H52">
        <v>3</v>
      </c>
      <c r="I52" t="s">
        <v>742</v>
      </c>
      <c r="J52" t="s">
        <v>741</v>
      </c>
      <c r="Q52" t="s">
        <v>731</v>
      </c>
      <c r="R52">
        <v>56</v>
      </c>
      <c r="S52">
        <v>1</v>
      </c>
      <c r="T52" t="s">
        <v>367</v>
      </c>
      <c r="U52" t="s">
        <v>13</v>
      </c>
      <c r="V52" t="s">
        <v>587</v>
      </c>
      <c r="X52" t="s">
        <v>594</v>
      </c>
      <c r="Y52" t="s">
        <v>611</v>
      </c>
      <c r="AA52" t="s">
        <v>594</v>
      </c>
      <c r="AF52" t="s">
        <v>368</v>
      </c>
      <c r="AM52" t="s">
        <v>13</v>
      </c>
      <c r="AN52" t="s">
        <v>587</v>
      </c>
      <c r="AP52" t="s">
        <v>516</v>
      </c>
    </row>
    <row r="53" spans="1:42" x14ac:dyDescent="0.2">
      <c r="A53">
        <v>1595</v>
      </c>
      <c r="H53">
        <v>3</v>
      </c>
      <c r="I53" t="s">
        <v>742</v>
      </c>
      <c r="J53" t="s">
        <v>741</v>
      </c>
      <c r="Q53" t="s">
        <v>731</v>
      </c>
      <c r="R53">
        <v>56</v>
      </c>
      <c r="S53">
        <v>1</v>
      </c>
      <c r="T53" t="s">
        <v>367</v>
      </c>
      <c r="U53" t="s">
        <v>7</v>
      </c>
      <c r="V53" t="s">
        <v>182</v>
      </c>
      <c r="W53" t="s">
        <v>68</v>
      </c>
      <c r="X53" t="s">
        <v>594</v>
      </c>
      <c r="Y53" t="s">
        <v>654</v>
      </c>
      <c r="AA53" t="s">
        <v>594</v>
      </c>
      <c r="AF53" t="s">
        <v>368</v>
      </c>
      <c r="AJ53">
        <v>1</v>
      </c>
      <c r="AM53" t="s">
        <v>7</v>
      </c>
      <c r="AN53" t="s">
        <v>182</v>
      </c>
      <c r="AP53" t="s">
        <v>516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367</v>
      </c>
      <c r="AM54" t="s">
        <v>7</v>
      </c>
      <c r="AN54" t="s">
        <v>182</v>
      </c>
      <c r="AP54" t="s">
        <v>516</v>
      </c>
    </row>
    <row r="55" spans="1:42" x14ac:dyDescent="0.2">
      <c r="A55">
        <v>1595</v>
      </c>
      <c r="H55">
        <v>3</v>
      </c>
      <c r="R55">
        <v>91</v>
      </c>
      <c r="T55" t="s">
        <v>368</v>
      </c>
      <c r="AJ55">
        <v>1</v>
      </c>
      <c r="AM55" t="s">
        <v>7</v>
      </c>
      <c r="AN55" t="s">
        <v>182</v>
      </c>
      <c r="AP55" t="s">
        <v>517</v>
      </c>
    </row>
    <row r="56" spans="1:42" x14ac:dyDescent="0.2">
      <c r="A56">
        <v>1596</v>
      </c>
      <c r="H56">
        <v>3</v>
      </c>
      <c r="I56" t="s">
        <v>742</v>
      </c>
      <c r="J56" t="s">
        <v>741</v>
      </c>
      <c r="Q56" t="s">
        <v>735</v>
      </c>
      <c r="S56">
        <v>1</v>
      </c>
      <c r="T56" t="s">
        <v>367</v>
      </c>
      <c r="U56" t="s">
        <v>238</v>
      </c>
      <c r="V56" t="s">
        <v>184</v>
      </c>
      <c r="W56" t="s">
        <v>378</v>
      </c>
      <c r="AF56" t="s">
        <v>736</v>
      </c>
      <c r="AM56" t="s">
        <v>238</v>
      </c>
      <c r="AN56" t="s">
        <v>184</v>
      </c>
      <c r="AP56" t="s">
        <v>516</v>
      </c>
    </row>
    <row r="57" spans="1:42" x14ac:dyDescent="0.2">
      <c r="A57">
        <v>1597</v>
      </c>
      <c r="H57">
        <v>3</v>
      </c>
      <c r="I57" t="s">
        <v>742</v>
      </c>
      <c r="J57" t="s">
        <v>732</v>
      </c>
      <c r="K57" t="s">
        <v>742</v>
      </c>
      <c r="L57" t="s">
        <v>744</v>
      </c>
      <c r="Q57" t="s">
        <v>731</v>
      </c>
      <c r="R57">
        <v>44</v>
      </c>
      <c r="S57">
        <v>1</v>
      </c>
      <c r="T57" t="s">
        <v>367</v>
      </c>
      <c r="U57" t="s">
        <v>13</v>
      </c>
      <c r="V57" t="s">
        <v>587</v>
      </c>
      <c r="X57" t="s">
        <v>595</v>
      </c>
      <c r="Y57" t="s">
        <v>618</v>
      </c>
      <c r="AA57" t="s">
        <v>595</v>
      </c>
      <c r="AF57" t="s">
        <v>734</v>
      </c>
      <c r="AM57" t="s">
        <v>13</v>
      </c>
      <c r="AN57" t="s">
        <v>587</v>
      </c>
      <c r="AP57" t="s">
        <v>516</v>
      </c>
    </row>
    <row r="58" spans="1:42" x14ac:dyDescent="0.2">
      <c r="A58">
        <v>1598</v>
      </c>
      <c r="H58">
        <v>3</v>
      </c>
      <c r="I58" t="s">
        <v>742</v>
      </c>
      <c r="J58" t="s">
        <v>744</v>
      </c>
      <c r="Q58" t="s">
        <v>731</v>
      </c>
      <c r="R58">
        <v>44</v>
      </c>
      <c r="S58">
        <v>1</v>
      </c>
      <c r="T58" t="s">
        <v>367</v>
      </c>
      <c r="U58" t="s">
        <v>7</v>
      </c>
      <c r="V58" t="s">
        <v>172</v>
      </c>
      <c r="W58" t="s">
        <v>68</v>
      </c>
      <c r="X58" t="s">
        <v>595</v>
      </c>
      <c r="AF58" t="s">
        <v>734</v>
      </c>
      <c r="AM58" t="s">
        <v>7</v>
      </c>
      <c r="AN58" t="s">
        <v>172</v>
      </c>
      <c r="AP58" t="s">
        <v>516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367</v>
      </c>
      <c r="AM59" t="s">
        <v>7</v>
      </c>
      <c r="AN59" t="s">
        <v>172</v>
      </c>
      <c r="AP59" t="s">
        <v>516</v>
      </c>
    </row>
    <row r="60" spans="1:42" x14ac:dyDescent="0.2">
      <c r="A60">
        <v>1599</v>
      </c>
      <c r="H60">
        <v>3</v>
      </c>
      <c r="I60" t="s">
        <v>742</v>
      </c>
      <c r="J60" t="s">
        <v>745</v>
      </c>
      <c r="Q60" t="s">
        <v>731</v>
      </c>
      <c r="R60">
        <v>18</v>
      </c>
      <c r="S60">
        <v>1</v>
      </c>
      <c r="T60" t="s">
        <v>367</v>
      </c>
      <c r="U60" t="s">
        <v>238</v>
      </c>
      <c r="V60" t="s">
        <v>174</v>
      </c>
      <c r="W60" t="s">
        <v>85</v>
      </c>
      <c r="X60" t="s">
        <v>594</v>
      </c>
      <c r="AF60" t="s">
        <v>368</v>
      </c>
      <c r="AJ60">
        <v>1</v>
      </c>
      <c r="AM60" t="s">
        <v>238</v>
      </c>
      <c r="AN60" t="s">
        <v>174</v>
      </c>
      <c r="AP60" t="s">
        <v>516</v>
      </c>
    </row>
    <row r="61" spans="1:42" x14ac:dyDescent="0.2">
      <c r="A61">
        <v>1599</v>
      </c>
      <c r="H61">
        <v>3</v>
      </c>
      <c r="R61">
        <v>24</v>
      </c>
      <c r="T61" t="s">
        <v>368</v>
      </c>
      <c r="AJ61">
        <v>1</v>
      </c>
      <c r="AM61" t="s">
        <v>238</v>
      </c>
      <c r="AN61" t="s">
        <v>174</v>
      </c>
      <c r="AP61" t="s">
        <v>517</v>
      </c>
    </row>
    <row r="62" spans="1:42" x14ac:dyDescent="0.2">
      <c r="A62">
        <v>1600</v>
      </c>
      <c r="H62">
        <v>3</v>
      </c>
      <c r="I62" t="s">
        <v>742</v>
      </c>
      <c r="J62" t="s">
        <v>746</v>
      </c>
      <c r="Q62" t="s">
        <v>735</v>
      </c>
      <c r="R62">
        <v>24</v>
      </c>
      <c r="S62">
        <v>1</v>
      </c>
      <c r="T62" t="s">
        <v>367</v>
      </c>
      <c r="U62" t="s">
        <v>9</v>
      </c>
      <c r="V62" t="s">
        <v>183</v>
      </c>
      <c r="W62" t="s">
        <v>79</v>
      </c>
      <c r="X62" t="s">
        <v>595</v>
      </c>
      <c r="Y62" t="s">
        <v>631</v>
      </c>
      <c r="AA62" t="s">
        <v>595</v>
      </c>
      <c r="AF62" t="s">
        <v>736</v>
      </c>
      <c r="AJ62">
        <v>1</v>
      </c>
      <c r="AM62" t="s">
        <v>9</v>
      </c>
      <c r="AN62" t="s">
        <v>183</v>
      </c>
      <c r="AP62" t="s">
        <v>517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367</v>
      </c>
      <c r="Y63" t="s">
        <v>602</v>
      </c>
      <c r="AA63" t="s">
        <v>595</v>
      </c>
      <c r="AJ63">
        <v>1</v>
      </c>
      <c r="AM63" t="s">
        <v>9</v>
      </c>
      <c r="AN63" t="s">
        <v>183</v>
      </c>
      <c r="AP63" t="s">
        <v>517</v>
      </c>
    </row>
    <row r="64" spans="1:42" x14ac:dyDescent="0.2">
      <c r="A64">
        <v>1600</v>
      </c>
      <c r="H64">
        <v>3</v>
      </c>
      <c r="R64">
        <v>18</v>
      </c>
      <c r="T64" t="s">
        <v>368</v>
      </c>
      <c r="AJ64">
        <v>1</v>
      </c>
      <c r="AM64" t="s">
        <v>9</v>
      </c>
      <c r="AN64" t="s">
        <v>183</v>
      </c>
      <c r="AP64" t="s">
        <v>516</v>
      </c>
    </row>
    <row r="65" spans="1:42" x14ac:dyDescent="0.2">
      <c r="A65">
        <v>1601</v>
      </c>
      <c r="B65">
        <v>248</v>
      </c>
      <c r="H65">
        <v>3</v>
      </c>
      <c r="I65" t="s">
        <v>742</v>
      </c>
      <c r="J65" t="s">
        <v>754</v>
      </c>
      <c r="Q65" t="s">
        <v>735</v>
      </c>
      <c r="R65">
        <v>84</v>
      </c>
      <c r="S65">
        <v>1</v>
      </c>
      <c r="T65" t="s">
        <v>367</v>
      </c>
      <c r="U65" t="s">
        <v>10</v>
      </c>
      <c r="V65" t="s">
        <v>175</v>
      </c>
      <c r="W65" t="s">
        <v>139</v>
      </c>
      <c r="AF65" t="s">
        <v>736</v>
      </c>
      <c r="AM65" t="s">
        <v>10</v>
      </c>
      <c r="AN65" t="s">
        <v>175</v>
      </c>
      <c r="AP65" t="s">
        <v>516</v>
      </c>
    </row>
    <row r="66" spans="1:42" x14ac:dyDescent="0.2">
      <c r="A66">
        <v>1602</v>
      </c>
      <c r="B66">
        <v>248</v>
      </c>
      <c r="H66">
        <v>3</v>
      </c>
      <c r="I66" t="s">
        <v>742</v>
      </c>
      <c r="J66" t="s">
        <v>754</v>
      </c>
      <c r="K66" t="s">
        <v>742</v>
      </c>
      <c r="L66" t="s">
        <v>413</v>
      </c>
      <c r="Q66" t="s">
        <v>735</v>
      </c>
      <c r="R66">
        <v>84</v>
      </c>
      <c r="S66">
        <v>1</v>
      </c>
      <c r="T66" t="s">
        <v>367</v>
      </c>
      <c r="U66" t="s">
        <v>11</v>
      </c>
      <c r="V66" t="s">
        <v>177</v>
      </c>
      <c r="W66" t="s">
        <v>39</v>
      </c>
      <c r="AF66" t="s">
        <v>736</v>
      </c>
      <c r="AM66" t="s">
        <v>11</v>
      </c>
      <c r="AN66" t="s">
        <v>177</v>
      </c>
      <c r="AP66" t="s">
        <v>756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30" t="s">
        <v>356</v>
      </c>
      <c r="C1" s="33" t="s">
        <v>638</v>
      </c>
    </row>
    <row r="2" spans="1:3" ht="17" x14ac:dyDescent="0.2">
      <c r="A2" s="31" t="s">
        <v>357</v>
      </c>
      <c r="C2" s="33" t="s">
        <v>525</v>
      </c>
    </row>
    <row r="3" spans="1:3" ht="17" x14ac:dyDescent="0.2">
      <c r="A3" s="31" t="s">
        <v>358</v>
      </c>
      <c r="C3" s="33" t="s">
        <v>526</v>
      </c>
    </row>
    <row r="4" spans="1:3" ht="17" x14ac:dyDescent="0.2">
      <c r="A4" s="31" t="s">
        <v>256</v>
      </c>
      <c r="C4" s="33" t="s">
        <v>536</v>
      </c>
    </row>
    <row r="5" spans="1:3" x14ac:dyDescent="0.2">
      <c r="A5" s="32" t="s">
        <v>245</v>
      </c>
    </row>
    <row r="6" spans="1:3" x14ac:dyDescent="0.2">
      <c r="A6" s="31" t="s">
        <v>370</v>
      </c>
    </row>
    <row r="7" spans="1:3" x14ac:dyDescent="0.2">
      <c r="A7" s="30" t="s">
        <v>397</v>
      </c>
    </row>
    <row r="8" spans="1:3" x14ac:dyDescent="0.2">
      <c r="A8" s="31" t="s">
        <v>396</v>
      </c>
    </row>
    <row r="9" spans="1:3" x14ac:dyDescent="0.2">
      <c r="A9" s="31" t="s">
        <v>403</v>
      </c>
    </row>
    <row r="10" spans="1:3" x14ac:dyDescent="0.2">
      <c r="A10" s="31" t="s">
        <v>394</v>
      </c>
    </row>
    <row r="11" spans="1:3" x14ac:dyDescent="0.2">
      <c r="A11" s="31" t="s">
        <v>395</v>
      </c>
    </row>
    <row r="12" spans="1:3" x14ac:dyDescent="0.2">
      <c r="A12" s="31" t="s">
        <v>459</v>
      </c>
    </row>
    <row r="13" spans="1:3" x14ac:dyDescent="0.2">
      <c r="A13" s="31" t="s">
        <v>649</v>
      </c>
    </row>
    <row r="14" spans="1:3" x14ac:dyDescent="0.2">
      <c r="A14" s="31" t="s">
        <v>460</v>
      </c>
    </row>
    <row r="15" spans="1:3" x14ac:dyDescent="0.2">
      <c r="A15" s="31" t="s">
        <v>461</v>
      </c>
    </row>
    <row r="16" spans="1:3" x14ac:dyDescent="0.2">
      <c r="A16" s="31" t="s">
        <v>650</v>
      </c>
    </row>
    <row r="17" spans="1:1" x14ac:dyDescent="0.2">
      <c r="A17" s="31" t="s">
        <v>457</v>
      </c>
    </row>
    <row r="18" spans="1:1" x14ac:dyDescent="0.2">
      <c r="A18" s="31" t="s">
        <v>458</v>
      </c>
    </row>
    <row r="19" spans="1:1" x14ac:dyDescent="0.2">
      <c r="A19" s="31" t="s">
        <v>462</v>
      </c>
    </row>
    <row r="20" spans="1:1" x14ac:dyDescent="0.2">
      <c r="A20" s="31" t="s">
        <v>463</v>
      </c>
    </row>
    <row r="21" spans="1:1" x14ac:dyDescent="0.2">
      <c r="A21" s="31" t="s">
        <v>464</v>
      </c>
    </row>
    <row r="22" spans="1:1" x14ac:dyDescent="0.2">
      <c r="A22" s="31" t="s">
        <v>465</v>
      </c>
    </row>
    <row r="23" spans="1:1" x14ac:dyDescent="0.2">
      <c r="A23" s="31" t="s">
        <v>466</v>
      </c>
    </row>
    <row r="24" spans="1:1" x14ac:dyDescent="0.2">
      <c r="A24" s="31" t="s">
        <v>466</v>
      </c>
    </row>
    <row r="25" spans="1:1" x14ac:dyDescent="0.2">
      <c r="A25" s="31" t="s">
        <v>467</v>
      </c>
    </row>
    <row r="26" spans="1:1" x14ac:dyDescent="0.2">
      <c r="A26" s="31" t="s">
        <v>468</v>
      </c>
    </row>
    <row r="27" spans="1:1" x14ac:dyDescent="0.2">
      <c r="A27" s="31" t="s">
        <v>469</v>
      </c>
    </row>
    <row r="28" spans="1:1" x14ac:dyDescent="0.2">
      <c r="A28" s="31" t="s">
        <v>470</v>
      </c>
    </row>
    <row r="29" spans="1:1" x14ac:dyDescent="0.2">
      <c r="A29" s="31" t="s">
        <v>471</v>
      </c>
    </row>
    <row r="30" spans="1:1" x14ac:dyDescent="0.2">
      <c r="A30" s="31" t="s">
        <v>473</v>
      </c>
    </row>
    <row r="31" spans="1:1" x14ac:dyDescent="0.2">
      <c r="A31" s="31" t="s">
        <v>472</v>
      </c>
    </row>
    <row r="32" spans="1:1" x14ac:dyDescent="0.2">
      <c r="A32" s="31" t="s">
        <v>474</v>
      </c>
    </row>
    <row r="33" spans="1:1" x14ac:dyDescent="0.2">
      <c r="A33" s="31" t="s">
        <v>475</v>
      </c>
    </row>
    <row r="34" spans="1:1" x14ac:dyDescent="0.2">
      <c r="A34" s="31" t="s">
        <v>476</v>
      </c>
    </row>
    <row r="35" spans="1:1" x14ac:dyDescent="0.2">
      <c r="A35" s="31" t="s">
        <v>477</v>
      </c>
    </row>
    <row r="36" spans="1:1" x14ac:dyDescent="0.2">
      <c r="A36" s="31" t="s">
        <v>478</v>
      </c>
    </row>
    <row r="37" spans="1:1" x14ac:dyDescent="0.2">
      <c r="A37" s="31" t="s">
        <v>479</v>
      </c>
    </row>
    <row r="38" spans="1:1" x14ac:dyDescent="0.2">
      <c r="A38" s="31" t="s">
        <v>480</v>
      </c>
    </row>
    <row r="39" spans="1:1" x14ac:dyDescent="0.2">
      <c r="A39" s="31" t="s">
        <v>481</v>
      </c>
    </row>
    <row r="40" spans="1:1" x14ac:dyDescent="0.2">
      <c r="A40" s="31" t="s">
        <v>482</v>
      </c>
    </row>
    <row r="41" spans="1:1" x14ac:dyDescent="0.2">
      <c r="A41" s="31" t="s">
        <v>483</v>
      </c>
    </row>
    <row r="42" spans="1:1" x14ac:dyDescent="0.2">
      <c r="A42" s="31" t="s">
        <v>484</v>
      </c>
    </row>
    <row r="43" spans="1:1" x14ac:dyDescent="0.2">
      <c r="A43" s="31" t="s">
        <v>485</v>
      </c>
    </row>
    <row r="44" spans="1:1" x14ac:dyDescent="0.2">
      <c r="A44" s="31" t="s">
        <v>486</v>
      </c>
    </row>
    <row r="45" spans="1:1" x14ac:dyDescent="0.2">
      <c r="A45" s="31" t="s">
        <v>487</v>
      </c>
    </row>
    <row r="46" spans="1:1" x14ac:dyDescent="0.2">
      <c r="A46" s="31" t="s">
        <v>488</v>
      </c>
    </row>
    <row r="47" spans="1:1" x14ac:dyDescent="0.2">
      <c r="A47" s="31" t="s">
        <v>489</v>
      </c>
    </row>
    <row r="48" spans="1:1" x14ac:dyDescent="0.2">
      <c r="A48" s="31" t="s">
        <v>490</v>
      </c>
    </row>
    <row r="49" spans="1:1" x14ac:dyDescent="0.2">
      <c r="A49" s="31" t="s">
        <v>491</v>
      </c>
    </row>
    <row r="50" spans="1:1" x14ac:dyDescent="0.2">
      <c r="A50" s="31" t="s">
        <v>492</v>
      </c>
    </row>
    <row r="51" spans="1:1" x14ac:dyDescent="0.2">
      <c r="A51" s="31" t="s">
        <v>493</v>
      </c>
    </row>
    <row r="52" spans="1:1" x14ac:dyDescent="0.2">
      <c r="A52" s="31" t="s">
        <v>494</v>
      </c>
    </row>
    <row r="53" spans="1:1" x14ac:dyDescent="0.2">
      <c r="A53" s="31" t="s">
        <v>495</v>
      </c>
    </row>
    <row r="54" spans="1:1" x14ac:dyDescent="0.2">
      <c r="A54" s="31" t="s">
        <v>497</v>
      </c>
    </row>
    <row r="55" spans="1:1" x14ac:dyDescent="0.2">
      <c r="A55" s="31" t="s">
        <v>496</v>
      </c>
    </row>
    <row r="56" spans="1:1" x14ac:dyDescent="0.2">
      <c r="A56" s="31" t="s">
        <v>498</v>
      </c>
    </row>
    <row r="57" spans="1:1" x14ac:dyDescent="0.2">
      <c r="A57" s="31" t="s">
        <v>499</v>
      </c>
    </row>
    <row r="58" spans="1:1" x14ac:dyDescent="0.2">
      <c r="A58" s="31" t="s">
        <v>500</v>
      </c>
    </row>
    <row r="59" spans="1:1" x14ac:dyDescent="0.2">
      <c r="A59" s="31" t="s">
        <v>501</v>
      </c>
    </row>
    <row r="60" spans="1:1" x14ac:dyDescent="0.2">
      <c r="A60" s="31" t="s">
        <v>502</v>
      </c>
    </row>
    <row r="61" spans="1:1" x14ac:dyDescent="0.2">
      <c r="A61" s="31" t="s">
        <v>503</v>
      </c>
    </row>
    <row r="62" spans="1:1" x14ac:dyDescent="0.2">
      <c r="A62" s="31" t="s">
        <v>504</v>
      </c>
    </row>
    <row r="63" spans="1:1" x14ac:dyDescent="0.2">
      <c r="A63" s="31" t="s">
        <v>505</v>
      </c>
    </row>
    <row r="64" spans="1:1" x14ac:dyDescent="0.2">
      <c r="A64" s="31" t="s">
        <v>506</v>
      </c>
    </row>
    <row r="65" spans="1:1" x14ac:dyDescent="0.2">
      <c r="A65" s="31" t="s">
        <v>507</v>
      </c>
    </row>
    <row r="66" spans="1:1" x14ac:dyDescent="0.2">
      <c r="A66" s="31" t="s">
        <v>508</v>
      </c>
    </row>
    <row r="67" spans="1:1" x14ac:dyDescent="0.2">
      <c r="A67" s="31" t="s">
        <v>509</v>
      </c>
    </row>
    <row r="68" spans="1:1" x14ac:dyDescent="0.2">
      <c r="A68" s="31" t="s">
        <v>510</v>
      </c>
    </row>
    <row r="69" spans="1:1" x14ac:dyDescent="0.2">
      <c r="A69" s="31" t="s">
        <v>511</v>
      </c>
    </row>
    <row r="70" spans="1:1" x14ac:dyDescent="0.2">
      <c r="A70" s="31" t="s">
        <v>513</v>
      </c>
    </row>
    <row r="71" spans="1:1" x14ac:dyDescent="0.2">
      <c r="A71" s="31" t="s">
        <v>512</v>
      </c>
    </row>
    <row r="72" spans="1:1" x14ac:dyDescent="0.2">
      <c r="A72" s="31" t="s">
        <v>514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26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26" bestFit="1" customWidth="1"/>
    <col min="11" max="17" width="26.6640625" customWidth="1"/>
    <col min="18" max="18" width="4" customWidth="1"/>
    <col min="19" max="19" width="32.83203125" style="26" bestFit="1" customWidth="1"/>
    <col min="21" max="22" width="24" customWidth="1"/>
    <col min="23" max="26" width="21" customWidth="1"/>
    <col min="27" max="27" width="4.5" customWidth="1"/>
    <col min="28" max="28" width="36.6640625" style="26" bestFit="1" customWidth="1"/>
    <col min="36" max="36" width="4" customWidth="1"/>
    <col min="37" max="37" width="39" style="26" bestFit="1" customWidth="1"/>
    <col min="45" max="45" width="4.5" customWidth="1"/>
    <col min="46" max="46" width="9.83203125" style="26" bestFit="1" customWidth="1"/>
    <col min="52" max="52" width="10.83203125" style="26"/>
    <col min="58" max="58" width="20.1640625" style="26" bestFit="1" customWidth="1"/>
    <col min="65" max="65" width="17.1640625" style="26" bestFit="1" customWidth="1"/>
    <col min="70" max="70" width="33.33203125" style="26" bestFit="1" customWidth="1"/>
  </cols>
  <sheetData>
    <row r="1" spans="1:73" s="24" customFormat="1" x14ac:dyDescent="0.2">
      <c r="A1" s="25" t="s">
        <v>1</v>
      </c>
      <c r="B1" s="24" t="s">
        <v>697</v>
      </c>
      <c r="C1" s="24" t="s">
        <v>698</v>
      </c>
      <c r="D1" s="24" t="s">
        <v>700</v>
      </c>
      <c r="E1" s="24" t="s">
        <v>699</v>
      </c>
      <c r="F1" s="24" t="s">
        <v>706</v>
      </c>
      <c r="G1" s="24" t="s">
        <v>707</v>
      </c>
      <c r="J1" s="25" t="s">
        <v>50</v>
      </c>
      <c r="K1" s="24" t="s">
        <v>697</v>
      </c>
      <c r="L1" s="24" t="s">
        <v>698</v>
      </c>
      <c r="M1" s="24" t="s">
        <v>700</v>
      </c>
      <c r="N1" s="24" t="s">
        <v>699</v>
      </c>
      <c r="O1" s="24" t="s">
        <v>706</v>
      </c>
      <c r="P1" s="24" t="s">
        <v>707</v>
      </c>
      <c r="S1" s="25" t="s">
        <v>142</v>
      </c>
      <c r="T1" s="24" t="s">
        <v>697</v>
      </c>
      <c r="U1" s="24" t="s">
        <v>698</v>
      </c>
      <c r="V1" s="24" t="s">
        <v>700</v>
      </c>
      <c r="W1" s="24" t="s">
        <v>699</v>
      </c>
      <c r="X1" s="24" t="s">
        <v>706</v>
      </c>
      <c r="Y1" s="24" t="s">
        <v>707</v>
      </c>
      <c r="AC1" s="24" t="s">
        <v>697</v>
      </c>
      <c r="AD1" s="24" t="s">
        <v>698</v>
      </c>
      <c r="AE1" s="24" t="s">
        <v>700</v>
      </c>
      <c r="AF1" s="24" t="s">
        <v>699</v>
      </c>
      <c r="AG1" s="24" t="s">
        <v>706</v>
      </c>
      <c r="AH1" s="24" t="s">
        <v>707</v>
      </c>
      <c r="AL1" s="24" t="s">
        <v>697</v>
      </c>
      <c r="AM1" s="24" t="s">
        <v>698</v>
      </c>
      <c r="AN1" s="24" t="s">
        <v>700</v>
      </c>
      <c r="AO1" s="24" t="s">
        <v>699</v>
      </c>
      <c r="AP1" s="24" t="s">
        <v>699</v>
      </c>
      <c r="AQ1" s="24" t="s">
        <v>706</v>
      </c>
      <c r="AR1" s="24" t="s">
        <v>707</v>
      </c>
      <c r="AT1" s="25" t="s">
        <v>525</v>
      </c>
      <c r="AU1" s="24" t="s">
        <v>697</v>
      </c>
      <c r="AV1" s="24" t="s">
        <v>698</v>
      </c>
      <c r="AW1" s="24" t="s">
        <v>700</v>
      </c>
      <c r="AX1" s="24" t="s">
        <v>699</v>
      </c>
      <c r="AZ1" s="25" t="s">
        <v>526</v>
      </c>
      <c r="BA1" s="24" t="s">
        <v>697</v>
      </c>
      <c r="BB1" s="24" t="s">
        <v>698</v>
      </c>
      <c r="BC1" s="24" t="s">
        <v>700</v>
      </c>
      <c r="BD1" s="24" t="s">
        <v>699</v>
      </c>
      <c r="BF1" s="25" t="s">
        <v>597</v>
      </c>
      <c r="BG1" s="24" t="s">
        <v>697</v>
      </c>
      <c r="BH1" s="24" t="s">
        <v>698</v>
      </c>
      <c r="BI1" s="24" t="s">
        <v>700</v>
      </c>
      <c r="BJ1" s="24" t="s">
        <v>699</v>
      </c>
      <c r="BM1" s="25" t="s">
        <v>343</v>
      </c>
      <c r="BN1" s="24" t="s">
        <v>697</v>
      </c>
      <c r="BO1" s="24" t="s">
        <v>698</v>
      </c>
      <c r="BP1" s="24" t="s">
        <v>699</v>
      </c>
      <c r="BR1" s="25" t="s">
        <v>344</v>
      </c>
      <c r="BS1" s="24" t="s">
        <v>697</v>
      </c>
      <c r="BT1" s="24" t="s">
        <v>698</v>
      </c>
      <c r="BU1" s="24" t="s">
        <v>699</v>
      </c>
    </row>
    <row r="2" spans="1:73" x14ac:dyDescent="0.2">
      <c r="A2" s="26" t="s">
        <v>5</v>
      </c>
      <c r="J2" s="26" t="s">
        <v>5</v>
      </c>
      <c r="S2" s="26" t="s">
        <v>171</v>
      </c>
      <c r="AB2" s="25" t="s">
        <v>516</v>
      </c>
      <c r="AH2" t="s">
        <v>722</v>
      </c>
      <c r="AK2" s="25" t="s">
        <v>517</v>
      </c>
      <c r="AR2" t="s">
        <v>722</v>
      </c>
      <c r="AT2" s="26" t="s">
        <v>531</v>
      </c>
      <c r="AZ2" s="26" t="s">
        <v>528</v>
      </c>
      <c r="BF2" s="26" t="s">
        <v>639</v>
      </c>
      <c r="BM2" s="26" t="s">
        <v>284</v>
      </c>
      <c r="BR2" s="26" t="s">
        <v>251</v>
      </c>
    </row>
    <row r="3" spans="1:73" x14ac:dyDescent="0.2">
      <c r="A3" s="26" t="s">
        <v>6</v>
      </c>
      <c r="E3" t="s">
        <v>15</v>
      </c>
      <c r="J3" s="26" t="s">
        <v>17</v>
      </c>
      <c r="S3" s="26" t="s">
        <v>176</v>
      </c>
      <c r="X3" t="s">
        <v>595</v>
      </c>
      <c r="AB3" s="26" t="s">
        <v>568</v>
      </c>
      <c r="AK3" s="26" t="s">
        <v>601</v>
      </c>
      <c r="AT3" s="26" t="s">
        <v>532</v>
      </c>
      <c r="AZ3" s="26" t="s">
        <v>527</v>
      </c>
      <c r="BF3" s="26" t="s">
        <v>640</v>
      </c>
      <c r="BM3" s="26" t="s">
        <v>286</v>
      </c>
      <c r="BR3" s="26" t="s">
        <v>291</v>
      </c>
    </row>
    <row r="4" spans="1:73" x14ac:dyDescent="0.2">
      <c r="A4" s="26" t="s">
        <v>7</v>
      </c>
      <c r="J4" s="26" t="s">
        <v>18</v>
      </c>
      <c r="S4" s="26" t="s">
        <v>186</v>
      </c>
      <c r="X4" t="s">
        <v>594</v>
      </c>
      <c r="AB4" s="26" t="s">
        <v>608</v>
      </c>
      <c r="AK4" s="26" t="s">
        <v>631</v>
      </c>
      <c r="AT4" s="26" t="s">
        <v>533</v>
      </c>
      <c r="AZ4" s="26" t="s">
        <v>154</v>
      </c>
      <c r="BF4" s="26" t="s">
        <v>641</v>
      </c>
      <c r="BM4" s="26" t="s">
        <v>287</v>
      </c>
      <c r="BR4" s="26" t="s">
        <v>292</v>
      </c>
    </row>
    <row r="5" spans="1:73" x14ac:dyDescent="0.2">
      <c r="A5" s="26" t="s">
        <v>8</v>
      </c>
      <c r="E5" t="s">
        <v>6</v>
      </c>
      <c r="J5" s="26" t="s">
        <v>19</v>
      </c>
      <c r="S5" s="26" t="s">
        <v>195</v>
      </c>
      <c r="X5" t="s">
        <v>595</v>
      </c>
      <c r="AB5" s="26" t="s">
        <v>653</v>
      </c>
      <c r="AK5" s="26" t="s">
        <v>662</v>
      </c>
      <c r="AT5" s="26" t="s">
        <v>530</v>
      </c>
      <c r="AZ5" s="26" t="s">
        <v>598</v>
      </c>
      <c r="BF5" s="26" t="s">
        <v>642</v>
      </c>
      <c r="BM5" s="26" t="s">
        <v>288</v>
      </c>
      <c r="BR5" s="26" t="s">
        <v>293</v>
      </c>
    </row>
    <row r="6" spans="1:73" x14ac:dyDescent="0.2">
      <c r="A6" s="26" t="s">
        <v>9</v>
      </c>
      <c r="E6" t="s">
        <v>705</v>
      </c>
      <c r="J6" s="27" t="s">
        <v>20</v>
      </c>
      <c r="S6" s="26" t="s">
        <v>200</v>
      </c>
      <c r="X6" t="s">
        <v>595</v>
      </c>
      <c r="AB6" s="26" t="s">
        <v>663</v>
      </c>
      <c r="AK6" s="26" t="s">
        <v>609</v>
      </c>
      <c r="AZ6" s="26" t="s">
        <v>574</v>
      </c>
      <c r="BF6" s="26" t="s">
        <v>643</v>
      </c>
      <c r="BM6" s="26" t="s">
        <v>289</v>
      </c>
      <c r="BR6" s="26" t="s">
        <v>294</v>
      </c>
    </row>
    <row r="7" spans="1:73" x14ac:dyDescent="0.2">
      <c r="A7" s="26" t="s">
        <v>238</v>
      </c>
      <c r="E7" t="s">
        <v>701</v>
      </c>
      <c r="J7" s="26" t="s">
        <v>21</v>
      </c>
      <c r="S7" s="26" t="s">
        <v>202</v>
      </c>
      <c r="X7" t="s">
        <v>594</v>
      </c>
      <c r="AB7" s="26" t="s">
        <v>664</v>
      </c>
      <c r="AK7" s="26" t="s">
        <v>665</v>
      </c>
      <c r="AZ7" s="26" t="s">
        <v>575</v>
      </c>
      <c r="BF7" s="26" t="s">
        <v>644</v>
      </c>
      <c r="BM7" s="26" t="s">
        <v>290</v>
      </c>
      <c r="BR7" s="26" t="s">
        <v>295</v>
      </c>
    </row>
    <row r="8" spans="1:73" x14ac:dyDescent="0.2">
      <c r="A8" s="26" t="s">
        <v>10</v>
      </c>
      <c r="J8" s="26" t="s">
        <v>22</v>
      </c>
      <c r="S8" s="26" t="s">
        <v>203</v>
      </c>
      <c r="X8" t="s">
        <v>595</v>
      </c>
      <c r="AB8" s="26" t="s">
        <v>630</v>
      </c>
      <c r="AK8" s="26" t="s">
        <v>634</v>
      </c>
      <c r="AZ8" s="26" t="s">
        <v>577</v>
      </c>
      <c r="BF8" s="26" t="s">
        <v>645</v>
      </c>
      <c r="BM8" s="26" t="s">
        <v>393</v>
      </c>
      <c r="BR8" s="26" t="s">
        <v>296</v>
      </c>
    </row>
    <row r="9" spans="1:73" x14ac:dyDescent="0.2">
      <c r="A9" s="26" t="s">
        <v>237</v>
      </c>
      <c r="J9" s="26" t="s">
        <v>23</v>
      </c>
      <c r="AB9" s="26" t="s">
        <v>633</v>
      </c>
      <c r="AK9" s="26" t="s">
        <v>637</v>
      </c>
      <c r="AZ9" s="26" t="s">
        <v>578</v>
      </c>
      <c r="BF9" s="26" t="s">
        <v>646</v>
      </c>
      <c r="BM9" s="26" t="s">
        <v>519</v>
      </c>
      <c r="BR9" s="26" t="s">
        <v>285</v>
      </c>
    </row>
    <row r="10" spans="1:73" x14ac:dyDescent="0.2">
      <c r="A10" s="26" t="s">
        <v>11</v>
      </c>
      <c r="E10" t="s">
        <v>702</v>
      </c>
      <c r="J10" s="26" t="s">
        <v>24</v>
      </c>
      <c r="S10" s="26" t="s">
        <v>177</v>
      </c>
      <c r="AB10" s="26" t="s">
        <v>627</v>
      </c>
      <c r="AK10" s="26" t="s">
        <v>625</v>
      </c>
      <c r="AZ10" s="26" t="s">
        <v>599</v>
      </c>
      <c r="BM10" s="26" t="s">
        <v>287</v>
      </c>
      <c r="BR10" s="26" t="s">
        <v>297</v>
      </c>
    </row>
    <row r="11" spans="1:73" x14ac:dyDescent="0.2">
      <c r="A11" s="26" t="s">
        <v>12</v>
      </c>
      <c r="J11" s="28" t="s">
        <v>25</v>
      </c>
      <c r="S11" s="26" t="s">
        <v>187</v>
      </c>
      <c r="AB11" s="26" t="s">
        <v>622</v>
      </c>
      <c r="AK11" s="26" t="s">
        <v>666</v>
      </c>
      <c r="BR11" s="26" t="s">
        <v>298</v>
      </c>
    </row>
    <row r="12" spans="1:73" x14ac:dyDescent="0.2">
      <c r="A12" s="26" t="s">
        <v>13</v>
      </c>
      <c r="J12" s="26" t="s">
        <v>26</v>
      </c>
      <c r="S12" s="26" t="s">
        <v>196</v>
      </c>
      <c r="AB12" s="26" t="s">
        <v>667</v>
      </c>
      <c r="AK12" s="26" t="s">
        <v>626</v>
      </c>
      <c r="BR12" s="26" t="s">
        <v>299</v>
      </c>
    </row>
    <row r="13" spans="1:73" x14ac:dyDescent="0.2">
      <c r="A13" s="26" t="s">
        <v>14</v>
      </c>
      <c r="J13" s="26" t="s">
        <v>27</v>
      </c>
      <c r="S13" s="26" t="s">
        <v>402</v>
      </c>
      <c r="AB13" s="26" t="s">
        <v>668</v>
      </c>
      <c r="AK13" s="26" t="s">
        <v>669</v>
      </c>
      <c r="BR13" s="26" t="s">
        <v>300</v>
      </c>
    </row>
    <row r="14" spans="1:73" x14ac:dyDescent="0.2">
      <c r="A14" s="26" t="s">
        <v>15</v>
      </c>
      <c r="E14" t="s">
        <v>703</v>
      </c>
      <c r="J14" s="26" t="s">
        <v>28</v>
      </c>
      <c r="AB14" s="26" t="s">
        <v>624</v>
      </c>
      <c r="AK14" s="26" t="s">
        <v>670</v>
      </c>
      <c r="BR14" s="26" t="s">
        <v>301</v>
      </c>
    </row>
    <row r="15" spans="1:73" x14ac:dyDescent="0.2">
      <c r="A15" s="26" t="s">
        <v>16</v>
      </c>
      <c r="J15" s="26" t="s">
        <v>29</v>
      </c>
      <c r="S15" s="26" t="s">
        <v>179</v>
      </c>
      <c r="AB15" s="26" t="s">
        <v>671</v>
      </c>
      <c r="AK15" s="26" t="s">
        <v>672</v>
      </c>
      <c r="BR15" s="26" t="s">
        <v>302</v>
      </c>
    </row>
    <row r="16" spans="1:73" x14ac:dyDescent="0.2">
      <c r="A16" s="26" t="s">
        <v>231</v>
      </c>
      <c r="E16" t="s">
        <v>704</v>
      </c>
      <c r="J16" s="26" t="s">
        <v>30</v>
      </c>
      <c r="S16" s="26" t="s">
        <v>189</v>
      </c>
      <c r="AB16" s="26" t="s">
        <v>629</v>
      </c>
      <c r="AK16" s="26" t="s">
        <v>647</v>
      </c>
      <c r="BR16" s="26" t="s">
        <v>303</v>
      </c>
    </row>
    <row r="17" spans="1:70" x14ac:dyDescent="0.2">
      <c r="A17" s="26" t="s">
        <v>241</v>
      </c>
      <c r="J17" s="26" t="s">
        <v>31</v>
      </c>
      <c r="S17" s="26" t="s">
        <v>384</v>
      </c>
      <c r="AB17" s="26" t="s">
        <v>570</v>
      </c>
      <c r="AK17" s="26" t="s">
        <v>602</v>
      </c>
      <c r="BR17" s="26" t="s">
        <v>304</v>
      </c>
    </row>
    <row r="18" spans="1:70" x14ac:dyDescent="0.2">
      <c r="A18" s="26" t="s">
        <v>230</v>
      </c>
      <c r="J18" s="26" t="s">
        <v>32</v>
      </c>
      <c r="AB18" s="26" t="s">
        <v>673</v>
      </c>
      <c r="AK18" s="26" t="s">
        <v>606</v>
      </c>
      <c r="BR18" s="26" t="s">
        <v>305</v>
      </c>
    </row>
    <row r="19" spans="1:70" x14ac:dyDescent="0.2">
      <c r="A19" s="26" t="s">
        <v>392</v>
      </c>
      <c r="J19" s="26" t="s">
        <v>33</v>
      </c>
      <c r="S19" s="26" t="s">
        <v>65</v>
      </c>
      <c r="X19" t="s">
        <v>720</v>
      </c>
      <c r="AB19" s="26" t="s">
        <v>674</v>
      </c>
      <c r="AK19" s="26" t="s">
        <v>605</v>
      </c>
      <c r="BR19" s="26" t="s">
        <v>306</v>
      </c>
    </row>
    <row r="20" spans="1:70" x14ac:dyDescent="0.2">
      <c r="A20" s="26" t="s">
        <v>393</v>
      </c>
      <c r="J20" s="26" t="s">
        <v>34</v>
      </c>
      <c r="S20" s="26" t="s">
        <v>66</v>
      </c>
      <c r="X20" t="s">
        <v>720</v>
      </c>
      <c r="AB20" s="26" t="s">
        <v>675</v>
      </c>
      <c r="AK20" s="26" t="s">
        <v>651</v>
      </c>
      <c r="BR20" s="26" t="s">
        <v>307</v>
      </c>
    </row>
    <row r="21" spans="1:70" x14ac:dyDescent="0.2">
      <c r="A21" s="26" t="s">
        <v>398</v>
      </c>
      <c r="J21" s="26" t="s">
        <v>35</v>
      </c>
      <c r="S21" s="26" t="s">
        <v>67</v>
      </c>
      <c r="X21" t="s">
        <v>720</v>
      </c>
      <c r="AB21" s="26" t="s">
        <v>676</v>
      </c>
      <c r="AK21" s="26" t="s">
        <v>572</v>
      </c>
      <c r="BR21" s="26" t="s">
        <v>308</v>
      </c>
    </row>
    <row r="22" spans="1:70" x14ac:dyDescent="0.2">
      <c r="A22" s="26" t="s">
        <v>287</v>
      </c>
      <c r="J22" s="26" t="s">
        <v>656</v>
      </c>
      <c r="S22" s="26" t="s">
        <v>68</v>
      </c>
      <c r="X22" t="s">
        <v>720</v>
      </c>
      <c r="AB22" s="26" t="s">
        <v>677</v>
      </c>
      <c r="AK22" s="26" t="s">
        <v>628</v>
      </c>
      <c r="BR22" s="26" t="s">
        <v>309</v>
      </c>
    </row>
    <row r="23" spans="1:70" x14ac:dyDescent="0.2">
      <c r="A23" s="26" t="s">
        <v>400</v>
      </c>
      <c r="J23" s="26" t="s">
        <v>657</v>
      </c>
      <c r="S23" s="26" t="s">
        <v>69</v>
      </c>
      <c r="X23" t="s">
        <v>720</v>
      </c>
      <c r="AB23" s="26" t="s">
        <v>678</v>
      </c>
      <c r="AK23" s="26" t="s">
        <v>679</v>
      </c>
      <c r="BR23" s="26" t="s">
        <v>310</v>
      </c>
    </row>
    <row r="24" spans="1:70" x14ac:dyDescent="0.2">
      <c r="A24" s="26" t="s">
        <v>417</v>
      </c>
      <c r="J24" s="26" t="s">
        <v>658</v>
      </c>
      <c r="S24" s="26" t="s">
        <v>371</v>
      </c>
      <c r="X24" t="s">
        <v>720</v>
      </c>
      <c r="AB24" s="26" t="s">
        <v>636</v>
      </c>
      <c r="AK24" s="26" t="s">
        <v>680</v>
      </c>
      <c r="BR24" s="26" t="s">
        <v>311</v>
      </c>
    </row>
    <row r="25" spans="1:70" x14ac:dyDescent="0.2">
      <c r="A25" s="26" t="s">
        <v>529</v>
      </c>
      <c r="J25" s="26" t="s">
        <v>10</v>
      </c>
      <c r="S25" s="26" t="s">
        <v>372</v>
      </c>
      <c r="X25" t="s">
        <v>720</v>
      </c>
      <c r="AB25" s="26" t="s">
        <v>648</v>
      </c>
      <c r="AK25" s="26" t="s">
        <v>681</v>
      </c>
      <c r="BR25" s="26" t="s">
        <v>312</v>
      </c>
    </row>
    <row r="26" spans="1:70" x14ac:dyDescent="0.2">
      <c r="J26" s="26" t="s">
        <v>36</v>
      </c>
      <c r="S26" s="26" t="s">
        <v>381</v>
      </c>
      <c r="X26" t="s">
        <v>720</v>
      </c>
      <c r="AB26" s="26" t="s">
        <v>654</v>
      </c>
      <c r="AK26" s="26" t="s">
        <v>682</v>
      </c>
      <c r="BR26" s="26" t="s">
        <v>313</v>
      </c>
    </row>
    <row r="27" spans="1:70" x14ac:dyDescent="0.2">
      <c r="J27" s="26" t="s">
        <v>37</v>
      </c>
      <c r="S27" s="26" t="s">
        <v>385</v>
      </c>
      <c r="X27" t="s">
        <v>720</v>
      </c>
      <c r="AB27" s="26" t="s">
        <v>619</v>
      </c>
      <c r="AK27" s="26" t="s">
        <v>683</v>
      </c>
      <c r="BR27" s="26" t="s">
        <v>314</v>
      </c>
    </row>
    <row r="28" spans="1:70" x14ac:dyDescent="0.2">
      <c r="J28" s="26" t="s">
        <v>38</v>
      </c>
      <c r="S28" s="26" t="s">
        <v>444</v>
      </c>
      <c r="X28" t="s">
        <v>720</v>
      </c>
      <c r="AB28" s="26" t="s">
        <v>684</v>
      </c>
      <c r="AK28" s="26" t="s">
        <v>635</v>
      </c>
      <c r="BR28" s="26" t="s">
        <v>315</v>
      </c>
    </row>
    <row r="29" spans="1:70" x14ac:dyDescent="0.2">
      <c r="J29" s="26" t="s">
        <v>39</v>
      </c>
      <c r="S29" s="26" t="s">
        <v>445</v>
      </c>
      <c r="X29" t="s">
        <v>720</v>
      </c>
      <c r="AB29" s="26" t="s">
        <v>569</v>
      </c>
      <c r="AK29" s="26" t="s">
        <v>685</v>
      </c>
      <c r="BR29" s="26" t="s">
        <v>316</v>
      </c>
    </row>
    <row r="30" spans="1:70" x14ac:dyDescent="0.2">
      <c r="J30" s="26" t="s">
        <v>40</v>
      </c>
      <c r="S30" s="28" t="s">
        <v>588</v>
      </c>
      <c r="X30" t="s">
        <v>720</v>
      </c>
      <c r="AB30" s="26" t="s">
        <v>603</v>
      </c>
      <c r="AK30" s="26" t="s">
        <v>686</v>
      </c>
      <c r="BR30" s="26" t="s">
        <v>317</v>
      </c>
    </row>
    <row r="31" spans="1:70" x14ac:dyDescent="0.2">
      <c r="J31" s="26" t="s">
        <v>41</v>
      </c>
      <c r="S31" s="28" t="s">
        <v>589</v>
      </c>
      <c r="X31" t="s">
        <v>720</v>
      </c>
      <c r="AB31" s="26" t="s">
        <v>687</v>
      </c>
      <c r="AK31" s="26" t="s">
        <v>688</v>
      </c>
      <c r="BR31" s="26" t="s">
        <v>318</v>
      </c>
    </row>
    <row r="32" spans="1:70" x14ac:dyDescent="0.2">
      <c r="J32" s="26" t="s">
        <v>42</v>
      </c>
      <c r="S32" s="28" t="s">
        <v>590</v>
      </c>
      <c r="X32" t="s">
        <v>720</v>
      </c>
      <c r="AB32" s="26" t="s">
        <v>571</v>
      </c>
      <c r="AK32" s="26" t="s">
        <v>623</v>
      </c>
      <c r="BR32" s="26" t="s">
        <v>319</v>
      </c>
    </row>
    <row r="33" spans="10:70" x14ac:dyDescent="0.2">
      <c r="J33" s="26" t="s">
        <v>43</v>
      </c>
      <c r="S33" s="28" t="s">
        <v>591</v>
      </c>
      <c r="X33" t="s">
        <v>720</v>
      </c>
      <c r="AB33" s="26" t="s">
        <v>655</v>
      </c>
      <c r="AK33" s="26" t="s">
        <v>689</v>
      </c>
      <c r="BR33" s="26" t="s">
        <v>320</v>
      </c>
    </row>
    <row r="34" spans="10:70" x14ac:dyDescent="0.2">
      <c r="J34" s="26" t="s">
        <v>44</v>
      </c>
      <c r="S34" s="28" t="s">
        <v>592</v>
      </c>
      <c r="X34" t="s">
        <v>720</v>
      </c>
      <c r="AB34" s="26" t="s">
        <v>569</v>
      </c>
      <c r="AK34" s="26" t="s">
        <v>632</v>
      </c>
      <c r="BR34" s="26" t="s">
        <v>321</v>
      </c>
    </row>
    <row r="35" spans="10:70" x14ac:dyDescent="0.2">
      <c r="J35" s="26" t="s">
        <v>45</v>
      </c>
      <c r="S35" s="28" t="s">
        <v>70</v>
      </c>
      <c r="X35" t="s">
        <v>720</v>
      </c>
      <c r="AB35" s="26" t="s">
        <v>690</v>
      </c>
      <c r="AK35" s="26" t="s">
        <v>691</v>
      </c>
      <c r="BR35" s="26" t="s">
        <v>322</v>
      </c>
    </row>
    <row r="36" spans="10:70" x14ac:dyDescent="0.2">
      <c r="J36" s="26" t="s">
        <v>46</v>
      </c>
      <c r="AB36" s="26" t="s">
        <v>604</v>
      </c>
      <c r="AK36" s="26" t="s">
        <v>692</v>
      </c>
      <c r="BR36" s="26" t="s">
        <v>323</v>
      </c>
    </row>
    <row r="37" spans="10:70" x14ac:dyDescent="0.2">
      <c r="J37" s="26" t="s">
        <v>47</v>
      </c>
      <c r="S37" s="26" t="s">
        <v>71</v>
      </c>
      <c r="AB37" s="26" t="s">
        <v>573</v>
      </c>
      <c r="AK37" s="26" t="s">
        <v>693</v>
      </c>
      <c r="BR37" s="26" t="s">
        <v>324</v>
      </c>
    </row>
    <row r="38" spans="10:70" x14ac:dyDescent="0.2">
      <c r="J38" s="26" t="s">
        <v>48</v>
      </c>
      <c r="S38" s="26" t="s">
        <v>72</v>
      </c>
      <c r="AB38" s="26" t="s">
        <v>600</v>
      </c>
      <c r="AK38" s="26" t="s">
        <v>610</v>
      </c>
      <c r="BR38" s="26" t="s">
        <v>325</v>
      </c>
    </row>
    <row r="39" spans="10:70" x14ac:dyDescent="0.2">
      <c r="J39" s="26" t="s">
        <v>49</v>
      </c>
      <c r="S39" s="26" t="s">
        <v>73</v>
      </c>
      <c r="AB39" s="26" t="s">
        <v>607</v>
      </c>
      <c r="AK39" s="26" t="s">
        <v>612</v>
      </c>
      <c r="BR39" s="26" t="s">
        <v>326</v>
      </c>
    </row>
    <row r="40" spans="10:70" x14ac:dyDescent="0.2">
      <c r="J40" s="26" t="s">
        <v>167</v>
      </c>
      <c r="S40" s="26" t="s">
        <v>74</v>
      </c>
      <c r="AB40" s="26" t="s">
        <v>694</v>
      </c>
      <c r="AK40" s="26" t="s">
        <v>613</v>
      </c>
      <c r="BR40" s="26" t="s">
        <v>327</v>
      </c>
    </row>
    <row r="41" spans="10:70" x14ac:dyDescent="0.2">
      <c r="J41" s="26" t="s">
        <v>168</v>
      </c>
      <c r="S41" s="26" t="s">
        <v>75</v>
      </c>
      <c r="AB41" s="26" t="s">
        <v>695</v>
      </c>
      <c r="AK41" s="26" t="s">
        <v>614</v>
      </c>
      <c r="BR41" s="26" t="s">
        <v>328</v>
      </c>
    </row>
    <row r="42" spans="10:70" x14ac:dyDescent="0.2">
      <c r="J42" s="26" t="s">
        <v>15</v>
      </c>
      <c r="S42" s="26" t="s">
        <v>446</v>
      </c>
      <c r="AB42" s="26" t="s">
        <v>696</v>
      </c>
      <c r="AK42" s="26" t="s">
        <v>616</v>
      </c>
      <c r="BR42" s="26" t="s">
        <v>329</v>
      </c>
    </row>
    <row r="43" spans="10:70" x14ac:dyDescent="0.2">
      <c r="J43" s="26" t="s">
        <v>241</v>
      </c>
      <c r="S43" s="26" t="s">
        <v>76</v>
      </c>
      <c r="AB43" s="26" t="s">
        <v>611</v>
      </c>
      <c r="AK43" s="26" t="s">
        <v>615</v>
      </c>
      <c r="BR43" s="26" t="s">
        <v>330</v>
      </c>
    </row>
    <row r="44" spans="10:70" x14ac:dyDescent="0.2">
      <c r="J44" s="26" t="s">
        <v>230</v>
      </c>
      <c r="S44" s="26" t="s">
        <v>77</v>
      </c>
      <c r="AB44" s="26" t="s">
        <v>618</v>
      </c>
      <c r="AK44" s="26" t="s">
        <v>617</v>
      </c>
      <c r="BR44" s="26" t="s">
        <v>331</v>
      </c>
    </row>
    <row r="45" spans="10:70" x14ac:dyDescent="0.2">
      <c r="J45" s="26" t="s">
        <v>399</v>
      </c>
      <c r="S45" s="26" t="s">
        <v>354</v>
      </c>
      <c r="AB45" s="26" t="s">
        <v>620</v>
      </c>
      <c r="BR45" s="26" t="s">
        <v>332</v>
      </c>
    </row>
    <row r="46" spans="10:70" x14ac:dyDescent="0.2">
      <c r="J46" s="26" t="s">
        <v>418</v>
      </c>
      <c r="K46" t="s">
        <v>708</v>
      </c>
      <c r="S46" s="26" t="s">
        <v>365</v>
      </c>
      <c r="AB46" s="26" t="s">
        <v>652</v>
      </c>
      <c r="BR46" s="26" t="s">
        <v>333</v>
      </c>
    </row>
    <row r="47" spans="10:70" x14ac:dyDescent="0.2">
      <c r="J47" s="26" t="s">
        <v>586</v>
      </c>
      <c r="K47" t="s">
        <v>709</v>
      </c>
      <c r="O47" t="s">
        <v>720</v>
      </c>
      <c r="P47" t="s">
        <v>723</v>
      </c>
      <c r="S47" s="26" t="s">
        <v>383</v>
      </c>
      <c r="AB47" s="26" t="s">
        <v>610</v>
      </c>
      <c r="BR47" s="26" t="s">
        <v>334</v>
      </c>
    </row>
    <row r="48" spans="10:70" x14ac:dyDescent="0.2">
      <c r="J48" s="26" t="s">
        <v>587</v>
      </c>
      <c r="K48" t="s">
        <v>710</v>
      </c>
      <c r="O48" t="s">
        <v>720</v>
      </c>
      <c r="S48" s="26" t="s">
        <v>391</v>
      </c>
      <c r="AB48" s="26" t="s">
        <v>612</v>
      </c>
      <c r="BR48" s="26" t="s">
        <v>335</v>
      </c>
    </row>
    <row r="49" spans="10:70" x14ac:dyDescent="0.2">
      <c r="J49" s="26" t="s">
        <v>574</v>
      </c>
      <c r="K49" t="s">
        <v>711</v>
      </c>
      <c r="O49" t="s">
        <v>720</v>
      </c>
      <c r="S49" s="26" t="s">
        <v>78</v>
      </c>
      <c r="AB49" s="26" t="s">
        <v>613</v>
      </c>
      <c r="BR49" s="26" t="s">
        <v>336</v>
      </c>
    </row>
    <row r="50" spans="10:70" x14ac:dyDescent="0.2">
      <c r="O50" t="s">
        <v>720</v>
      </c>
      <c r="AB50" s="26" t="s">
        <v>614</v>
      </c>
      <c r="BR50" s="26" t="s">
        <v>337</v>
      </c>
    </row>
    <row r="51" spans="10:70" x14ac:dyDescent="0.2">
      <c r="S51" s="26" t="s">
        <v>79</v>
      </c>
      <c r="AB51" s="26" t="s">
        <v>616</v>
      </c>
      <c r="BR51" s="26" t="s">
        <v>338</v>
      </c>
    </row>
    <row r="52" spans="10:70" x14ac:dyDescent="0.2">
      <c r="S52" s="26" t="s">
        <v>80</v>
      </c>
      <c r="AB52" s="26" t="s">
        <v>615</v>
      </c>
      <c r="BR52" s="26" t="s">
        <v>339</v>
      </c>
    </row>
    <row r="53" spans="10:70" x14ac:dyDescent="0.2">
      <c r="S53" s="26" t="s">
        <v>81</v>
      </c>
      <c r="AB53" s="26" t="s">
        <v>617</v>
      </c>
      <c r="BR53" s="26" t="s">
        <v>340</v>
      </c>
    </row>
    <row r="54" spans="10:70" x14ac:dyDescent="0.2">
      <c r="S54" s="26" t="s">
        <v>82</v>
      </c>
      <c r="BR54" s="26" t="s">
        <v>341</v>
      </c>
    </row>
    <row r="55" spans="10:70" x14ac:dyDescent="0.2">
      <c r="S55" s="26" t="s">
        <v>83</v>
      </c>
      <c r="BR55" s="26" t="s">
        <v>342</v>
      </c>
    </row>
    <row r="56" spans="10:70" x14ac:dyDescent="0.2">
      <c r="S56" s="26" t="s">
        <v>355</v>
      </c>
      <c r="BR56" s="26" t="s">
        <v>290</v>
      </c>
    </row>
    <row r="57" spans="10:70" x14ac:dyDescent="0.2">
      <c r="S57" s="26" t="s">
        <v>366</v>
      </c>
      <c r="BR57" s="26" t="s">
        <v>520</v>
      </c>
    </row>
    <row r="58" spans="10:70" x14ac:dyDescent="0.2">
      <c r="S58" s="26" t="s">
        <v>84</v>
      </c>
      <c r="BR58" s="26" t="s">
        <v>400</v>
      </c>
    </row>
    <row r="60" spans="10:70" x14ac:dyDescent="0.2">
      <c r="S60" s="26" t="s">
        <v>659</v>
      </c>
      <c r="X60" t="s">
        <v>720</v>
      </c>
    </row>
    <row r="61" spans="10:70" x14ac:dyDescent="0.2">
      <c r="S61" s="26" t="s">
        <v>85</v>
      </c>
      <c r="X61" t="s">
        <v>720</v>
      </c>
    </row>
    <row r="62" spans="10:70" x14ac:dyDescent="0.2">
      <c r="S62" s="26" t="s">
        <v>86</v>
      </c>
      <c r="X62" t="s">
        <v>720</v>
      </c>
    </row>
    <row r="63" spans="10:70" x14ac:dyDescent="0.2">
      <c r="S63" s="26" t="s">
        <v>87</v>
      </c>
      <c r="X63" t="s">
        <v>720</v>
      </c>
    </row>
    <row r="64" spans="10:70" x14ac:dyDescent="0.2">
      <c r="S64" s="26" t="s">
        <v>373</v>
      </c>
      <c r="X64" t="s">
        <v>720</v>
      </c>
    </row>
    <row r="65" spans="19:24" x14ac:dyDescent="0.2">
      <c r="S65" s="26" t="s">
        <v>375</v>
      </c>
      <c r="X65" t="s">
        <v>720</v>
      </c>
    </row>
    <row r="66" spans="19:24" x14ac:dyDescent="0.2">
      <c r="S66" s="26" t="s">
        <v>390</v>
      </c>
      <c r="X66" t="s">
        <v>720</v>
      </c>
    </row>
    <row r="67" spans="19:24" x14ac:dyDescent="0.2">
      <c r="S67" s="26" t="s">
        <v>377</v>
      </c>
      <c r="X67" t="s">
        <v>720</v>
      </c>
    </row>
    <row r="68" spans="19:24" x14ac:dyDescent="0.2">
      <c r="S68" s="26" t="s">
        <v>379</v>
      </c>
      <c r="X68" t="s">
        <v>720</v>
      </c>
    </row>
    <row r="69" spans="19:24" x14ac:dyDescent="0.2">
      <c r="S69" s="26" t="s">
        <v>382</v>
      </c>
      <c r="X69" t="s">
        <v>720</v>
      </c>
    </row>
    <row r="70" spans="19:24" x14ac:dyDescent="0.2">
      <c r="S70" s="26" t="s">
        <v>414</v>
      </c>
      <c r="X70" t="s">
        <v>720</v>
      </c>
    </row>
    <row r="71" spans="19:24" x14ac:dyDescent="0.2">
      <c r="S71" s="26" t="s">
        <v>523</v>
      </c>
      <c r="X71" t="s">
        <v>720</v>
      </c>
    </row>
    <row r="72" spans="19:24" x14ac:dyDescent="0.2">
      <c r="S72" s="26" t="s">
        <v>169</v>
      </c>
      <c r="X72" t="s">
        <v>720</v>
      </c>
    </row>
    <row r="74" spans="19:24" x14ac:dyDescent="0.2">
      <c r="S74" s="26" t="s">
        <v>660</v>
      </c>
      <c r="X74" t="s">
        <v>720</v>
      </c>
    </row>
    <row r="75" spans="19:24" x14ac:dyDescent="0.2">
      <c r="S75" s="26" t="s">
        <v>88</v>
      </c>
      <c r="X75" t="s">
        <v>720</v>
      </c>
    </row>
    <row r="76" spans="19:24" x14ac:dyDescent="0.2">
      <c r="S76" s="26" t="s">
        <v>89</v>
      </c>
      <c r="X76" t="s">
        <v>720</v>
      </c>
    </row>
    <row r="77" spans="19:24" x14ac:dyDescent="0.2">
      <c r="S77" s="26" t="s">
        <v>90</v>
      </c>
      <c r="X77" t="s">
        <v>720</v>
      </c>
    </row>
    <row r="78" spans="19:24" x14ac:dyDescent="0.2">
      <c r="S78" s="26" t="s">
        <v>374</v>
      </c>
      <c r="X78" t="s">
        <v>720</v>
      </c>
    </row>
    <row r="79" spans="19:24" x14ac:dyDescent="0.2">
      <c r="S79" s="26" t="s">
        <v>376</v>
      </c>
      <c r="X79" t="s">
        <v>720</v>
      </c>
    </row>
    <row r="80" spans="19:24" x14ac:dyDescent="0.2">
      <c r="S80" s="26" t="s">
        <v>378</v>
      </c>
      <c r="X80" t="s">
        <v>720</v>
      </c>
    </row>
    <row r="81" spans="19:25" x14ac:dyDescent="0.2">
      <c r="S81" s="26" t="s">
        <v>380</v>
      </c>
      <c r="X81" t="s">
        <v>720</v>
      </c>
    </row>
    <row r="82" spans="19:25" x14ac:dyDescent="0.2">
      <c r="S82" s="26" t="s">
        <v>415</v>
      </c>
      <c r="X82" t="s">
        <v>720</v>
      </c>
    </row>
    <row r="83" spans="19:25" x14ac:dyDescent="0.2">
      <c r="S83" s="26" t="s">
        <v>524</v>
      </c>
      <c r="X83" t="s">
        <v>720</v>
      </c>
    </row>
    <row r="84" spans="19:25" x14ac:dyDescent="0.2">
      <c r="S84" s="26" t="s">
        <v>170</v>
      </c>
      <c r="X84" t="s">
        <v>720</v>
      </c>
    </row>
    <row r="86" spans="19:25" x14ac:dyDescent="0.2">
      <c r="S86" s="26" t="s">
        <v>661</v>
      </c>
      <c r="X86" t="s">
        <v>720</v>
      </c>
    </row>
    <row r="87" spans="19:25" x14ac:dyDescent="0.2">
      <c r="S87" s="26" t="s">
        <v>91</v>
      </c>
      <c r="X87" t="s">
        <v>720</v>
      </c>
    </row>
    <row r="88" spans="19:25" x14ac:dyDescent="0.2">
      <c r="S88" s="26" t="s">
        <v>92</v>
      </c>
      <c r="X88" t="s">
        <v>720</v>
      </c>
    </row>
    <row r="89" spans="19:25" x14ac:dyDescent="0.2">
      <c r="S89" s="26" t="s">
        <v>93</v>
      </c>
      <c r="X89" t="s">
        <v>720</v>
      </c>
    </row>
    <row r="91" spans="19:25" x14ac:dyDescent="0.2">
      <c r="S91" s="26" t="s">
        <v>2</v>
      </c>
      <c r="Y91" t="s">
        <v>721</v>
      </c>
    </row>
    <row r="92" spans="19:25" x14ac:dyDescent="0.2">
      <c r="S92" s="26" t="s">
        <v>143</v>
      </c>
      <c r="T92" t="s">
        <v>712</v>
      </c>
      <c r="X92" t="s">
        <v>720</v>
      </c>
    </row>
    <row r="93" spans="19:25" x14ac:dyDescent="0.2">
      <c r="S93" s="26" t="s">
        <v>144</v>
      </c>
      <c r="T93" t="s">
        <v>713</v>
      </c>
      <c r="X93" t="s">
        <v>720</v>
      </c>
    </row>
    <row r="94" spans="19:25" x14ac:dyDescent="0.2">
      <c r="S94" s="26" t="s">
        <v>145</v>
      </c>
      <c r="T94" t="s">
        <v>714</v>
      </c>
      <c r="X94" t="s">
        <v>720</v>
      </c>
    </row>
    <row r="95" spans="19:25" x14ac:dyDescent="0.2">
      <c r="S95" s="26" t="s">
        <v>146</v>
      </c>
      <c r="T95" t="s">
        <v>715</v>
      </c>
      <c r="X95" t="s">
        <v>720</v>
      </c>
    </row>
    <row r="96" spans="19:25" x14ac:dyDescent="0.2">
      <c r="S96" s="26" t="s">
        <v>147</v>
      </c>
      <c r="T96" t="s">
        <v>716</v>
      </c>
      <c r="X96" t="s">
        <v>720</v>
      </c>
    </row>
    <row r="97" spans="19:25" x14ac:dyDescent="0.2">
      <c r="S97" s="26" t="s">
        <v>148</v>
      </c>
      <c r="T97" t="s">
        <v>717</v>
      </c>
      <c r="X97" t="s">
        <v>720</v>
      </c>
    </row>
    <row r="98" spans="19:25" x14ac:dyDescent="0.2">
      <c r="S98" s="26" t="s">
        <v>149</v>
      </c>
      <c r="X98" t="s">
        <v>720</v>
      </c>
    </row>
    <row r="99" spans="19:25" x14ac:dyDescent="0.2">
      <c r="S99" s="26" t="s">
        <v>150</v>
      </c>
      <c r="X99" t="s">
        <v>720</v>
      </c>
    </row>
    <row r="100" spans="19:25" x14ac:dyDescent="0.2">
      <c r="S100" s="26" t="s">
        <v>151</v>
      </c>
      <c r="X100" t="s">
        <v>720</v>
      </c>
    </row>
    <row r="101" spans="19:25" x14ac:dyDescent="0.2">
      <c r="S101" s="26" t="s">
        <v>152</v>
      </c>
      <c r="X101" t="s">
        <v>720</v>
      </c>
    </row>
    <row r="102" spans="19:25" x14ac:dyDescent="0.2">
      <c r="S102" s="26" t="s">
        <v>153</v>
      </c>
      <c r="T102" t="s">
        <v>718</v>
      </c>
      <c r="X102" t="s">
        <v>720</v>
      </c>
    </row>
    <row r="103" spans="19:25" x14ac:dyDescent="0.2">
      <c r="S103" s="26" t="s">
        <v>154</v>
      </c>
      <c r="T103" t="s">
        <v>719</v>
      </c>
      <c r="X103" t="s">
        <v>720</v>
      </c>
    </row>
    <row r="104" spans="19:25" x14ac:dyDescent="0.2">
      <c r="S104" s="26" t="s">
        <v>155</v>
      </c>
      <c r="X104" t="s">
        <v>720</v>
      </c>
    </row>
    <row r="106" spans="19:25" x14ac:dyDescent="0.2">
      <c r="S106" s="26" t="s">
        <v>3</v>
      </c>
      <c r="Y106" t="s">
        <v>721</v>
      </c>
    </row>
    <row r="107" spans="19:25" x14ac:dyDescent="0.2">
      <c r="S107" s="26" t="s">
        <v>156</v>
      </c>
      <c r="X107" t="s">
        <v>720</v>
      </c>
    </row>
    <row r="108" spans="19:25" x14ac:dyDescent="0.2">
      <c r="S108" s="26" t="s">
        <v>157</v>
      </c>
      <c r="X108" t="s">
        <v>720</v>
      </c>
    </row>
    <row r="109" spans="19:25" x14ac:dyDescent="0.2">
      <c r="S109" s="26" t="s">
        <v>158</v>
      </c>
      <c r="X109" t="s">
        <v>720</v>
      </c>
    </row>
    <row r="110" spans="19:25" x14ac:dyDescent="0.2">
      <c r="S110" s="26" t="s">
        <v>159</v>
      </c>
      <c r="X110" t="s">
        <v>720</v>
      </c>
    </row>
    <row r="111" spans="19:25" x14ac:dyDescent="0.2">
      <c r="S111" s="26" t="s">
        <v>160</v>
      </c>
      <c r="X111" t="s">
        <v>720</v>
      </c>
    </row>
    <row r="112" spans="19:25" x14ac:dyDescent="0.2">
      <c r="S112" s="26" t="s">
        <v>161</v>
      </c>
      <c r="X112" t="s">
        <v>720</v>
      </c>
    </row>
    <row r="113" spans="19:24" x14ac:dyDescent="0.2">
      <c r="S113" s="26" t="s">
        <v>162</v>
      </c>
      <c r="X113" t="s">
        <v>720</v>
      </c>
    </row>
    <row r="114" spans="19:24" x14ac:dyDescent="0.2">
      <c r="S114" s="26" t="s">
        <v>163</v>
      </c>
      <c r="X114" t="s">
        <v>720</v>
      </c>
    </row>
    <row r="115" spans="19:24" x14ac:dyDescent="0.2">
      <c r="S115" s="26" t="s">
        <v>164</v>
      </c>
      <c r="X115" t="s">
        <v>720</v>
      </c>
    </row>
    <row r="116" spans="19:24" x14ac:dyDescent="0.2">
      <c r="S116" s="26" t="s">
        <v>165</v>
      </c>
      <c r="X116" t="s">
        <v>720</v>
      </c>
    </row>
    <row r="117" spans="19:24" x14ac:dyDescent="0.2">
      <c r="S117" s="26" t="s">
        <v>166</v>
      </c>
      <c r="X117" t="s">
        <v>720</v>
      </c>
    </row>
    <row r="118" spans="19:24" x14ac:dyDescent="0.2">
      <c r="S118" s="26" t="s">
        <v>152</v>
      </c>
      <c r="X118" t="s">
        <v>720</v>
      </c>
    </row>
    <row r="120" spans="19:24" x14ac:dyDescent="0.2">
      <c r="S120" s="26" t="s">
        <v>51</v>
      </c>
      <c r="X120" t="s">
        <v>720</v>
      </c>
    </row>
    <row r="121" spans="19:24" x14ac:dyDescent="0.2">
      <c r="S121" s="26" t="s">
        <v>52</v>
      </c>
      <c r="X121" t="s">
        <v>720</v>
      </c>
    </row>
    <row r="122" spans="19:24" x14ac:dyDescent="0.2">
      <c r="S122" s="26" t="s">
        <v>53</v>
      </c>
      <c r="X122" t="s">
        <v>720</v>
      </c>
    </row>
    <row r="123" spans="19:24" x14ac:dyDescent="0.2">
      <c r="S123" s="26" t="s">
        <v>55</v>
      </c>
      <c r="X123" t="s">
        <v>720</v>
      </c>
    </row>
    <row r="124" spans="19:24" x14ac:dyDescent="0.2">
      <c r="S124" s="26" t="s">
        <v>56</v>
      </c>
      <c r="X124" t="s">
        <v>720</v>
      </c>
    </row>
    <row r="125" spans="19:24" x14ac:dyDescent="0.2">
      <c r="S125" s="26" t="s">
        <v>57</v>
      </c>
      <c r="X125" t="s">
        <v>720</v>
      </c>
    </row>
    <row r="126" spans="19:24" x14ac:dyDescent="0.2">
      <c r="S126" s="26" t="s">
        <v>58</v>
      </c>
      <c r="X126" t="s">
        <v>720</v>
      </c>
    </row>
    <row r="127" spans="19:24" x14ac:dyDescent="0.2">
      <c r="S127" s="26" t="s">
        <v>59</v>
      </c>
      <c r="X127" t="s">
        <v>720</v>
      </c>
    </row>
    <row r="128" spans="19:24" x14ac:dyDescent="0.2">
      <c r="S128" s="26" t="s">
        <v>60</v>
      </c>
      <c r="X128" t="s">
        <v>720</v>
      </c>
    </row>
    <row r="129" spans="19:24" x14ac:dyDescent="0.2">
      <c r="S129" s="26" t="s">
        <v>54</v>
      </c>
      <c r="X129" t="s">
        <v>720</v>
      </c>
    </row>
    <row r="130" spans="19:24" x14ac:dyDescent="0.2">
      <c r="S130" s="26" t="s">
        <v>64</v>
      </c>
      <c r="X130" t="s">
        <v>720</v>
      </c>
    </row>
    <row r="132" spans="19:24" x14ac:dyDescent="0.2">
      <c r="S132" s="26" t="s">
        <v>94</v>
      </c>
    </row>
    <row r="133" spans="19:24" x14ac:dyDescent="0.2">
      <c r="S133" s="26" t="s">
        <v>95</v>
      </c>
    </row>
    <row r="134" spans="19:24" x14ac:dyDescent="0.2">
      <c r="S134" s="26" t="s">
        <v>96</v>
      </c>
    </row>
    <row r="135" spans="19:24" x14ac:dyDescent="0.2">
      <c r="S135" s="26" t="s">
        <v>97</v>
      </c>
    </row>
    <row r="136" spans="19:24" x14ac:dyDescent="0.2">
      <c r="S136" s="26" t="s">
        <v>98</v>
      </c>
    </row>
    <row r="137" spans="19:24" x14ac:dyDescent="0.2">
      <c r="S137" s="26" t="s">
        <v>99</v>
      </c>
    </row>
    <row r="138" spans="19:24" x14ac:dyDescent="0.2">
      <c r="S138" s="26" t="s">
        <v>100</v>
      </c>
    </row>
    <row r="139" spans="19:24" x14ac:dyDescent="0.2">
      <c r="S139" s="26" t="s">
        <v>101</v>
      </c>
    </row>
    <row r="140" spans="19:24" x14ac:dyDescent="0.2">
      <c r="S140" s="26" t="s">
        <v>416</v>
      </c>
    </row>
    <row r="141" spans="19:24" x14ac:dyDescent="0.2">
      <c r="S141" s="26" t="s">
        <v>443</v>
      </c>
    </row>
    <row r="142" spans="19:24" x14ac:dyDescent="0.2">
      <c r="S142" s="26" t="s">
        <v>102</v>
      </c>
    </row>
    <row r="144" spans="19:24" x14ac:dyDescent="0.2">
      <c r="S144" s="26" t="s">
        <v>232</v>
      </c>
    </row>
    <row r="145" spans="19:19" x14ac:dyDescent="0.2">
      <c r="S145" s="26" t="s">
        <v>233</v>
      </c>
    </row>
    <row r="146" spans="19:19" x14ac:dyDescent="0.2">
      <c r="S146" s="26" t="s">
        <v>234</v>
      </c>
    </row>
    <row r="147" spans="19:19" x14ac:dyDescent="0.2">
      <c r="S147" s="26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BQ139"/>
  <sheetViews>
    <sheetView topLeftCell="BA109" workbookViewId="0">
      <selection activeCell="BK140" sqref="BK140"/>
    </sheetView>
  </sheetViews>
  <sheetFormatPr baseColWidth="10" defaultRowHeight="16" x14ac:dyDescent="0.2"/>
  <cols>
    <col min="1" max="1" width="13.5" customWidth="1"/>
    <col min="7" max="7" width="16.6640625" customWidth="1"/>
    <col min="8" max="8" width="25.5" customWidth="1"/>
    <col min="9" max="9" width="16.5" customWidth="1"/>
    <col min="14" max="14" width="19.33203125" customWidth="1"/>
    <col min="15" max="15" width="19.6640625" customWidth="1"/>
    <col min="16" max="16" width="18.5" customWidth="1"/>
    <col min="17" max="17" width="17.33203125" customWidth="1"/>
    <col min="22" max="22" width="18.5" customWidth="1"/>
    <col min="24" max="24" width="23.83203125" bestFit="1" customWidth="1"/>
    <col min="27" max="27" width="28.83203125" bestFit="1" customWidth="1"/>
    <col min="29" max="29" width="27.5" customWidth="1"/>
    <col min="32" max="32" width="21.5" customWidth="1"/>
    <col min="41" max="41" width="24.33203125" customWidth="1"/>
    <col min="63" max="63" width="32.33203125" customWidth="1"/>
    <col min="64" max="64" width="32" bestFit="1" customWidth="1"/>
    <col min="65" max="65" width="23.83203125" bestFit="1" customWidth="1"/>
    <col min="69" max="69" width="21" customWidth="1"/>
  </cols>
  <sheetData>
    <row r="1" spans="1:69" s="2" customFormat="1" ht="51" x14ac:dyDescent="0.2">
      <c r="A1" s="2" t="s">
        <v>1</v>
      </c>
      <c r="B1" s="2" t="s">
        <v>50</v>
      </c>
      <c r="C1" s="2" t="s">
        <v>142</v>
      </c>
      <c r="D1" s="2" t="s">
        <v>2</v>
      </c>
      <c r="E1" s="2" t="s">
        <v>3</v>
      </c>
      <c r="F1" s="2" t="s">
        <v>230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238</v>
      </c>
      <c r="M1" s="2" t="s">
        <v>10</v>
      </c>
      <c r="N1" s="2" t="s">
        <v>171</v>
      </c>
      <c r="O1" s="2" t="s">
        <v>11</v>
      </c>
      <c r="P1" s="2" t="s">
        <v>14</v>
      </c>
      <c r="Q1" s="2" t="s">
        <v>15</v>
      </c>
      <c r="R1" s="2" t="s">
        <v>172</v>
      </c>
      <c r="S1" s="2" t="s">
        <v>182</v>
      </c>
      <c r="T1" s="2" t="s">
        <v>192</v>
      </c>
      <c r="U1" s="2" t="s">
        <v>199</v>
      </c>
      <c r="V1" s="2" t="s">
        <v>173</v>
      </c>
      <c r="W1" s="2" t="s">
        <v>183</v>
      </c>
      <c r="X1" s="2" t="s">
        <v>174</v>
      </c>
      <c r="Y1" s="2" t="s">
        <v>184</v>
      </c>
      <c r="Z1" s="2" t="s">
        <v>193</v>
      </c>
      <c r="AA1" s="2" t="s">
        <v>194</v>
      </c>
      <c r="AB1" s="2" t="s">
        <v>175</v>
      </c>
      <c r="AC1" s="2" t="s">
        <v>185</v>
      </c>
      <c r="AD1" s="2" t="s">
        <v>187</v>
      </c>
      <c r="AE1" s="2" t="s">
        <v>177</v>
      </c>
      <c r="AF1" s="2" t="s">
        <v>196</v>
      </c>
      <c r="AG1" s="2" t="s">
        <v>803</v>
      </c>
      <c r="AH1" s="2" t="s">
        <v>804</v>
      </c>
      <c r="AI1" s="2" t="s">
        <v>805</v>
      </c>
      <c r="AJ1" s="2" t="s">
        <v>176</v>
      </c>
      <c r="AK1" s="2" t="s">
        <v>186</v>
      </c>
      <c r="AL1" s="2" t="s">
        <v>195</v>
      </c>
      <c r="AM1" s="2" t="s">
        <v>179</v>
      </c>
      <c r="AN1" s="2" t="s">
        <v>189</v>
      </c>
      <c r="AO1" s="2" t="s">
        <v>205</v>
      </c>
      <c r="AP1" s="2" t="s">
        <v>181</v>
      </c>
      <c r="AQ1" s="2" t="s">
        <v>191</v>
      </c>
      <c r="AR1" s="2" t="s">
        <v>198</v>
      </c>
      <c r="AS1" s="2" t="s">
        <v>201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213</v>
      </c>
      <c r="AZ1" s="2" t="s">
        <v>214</v>
      </c>
      <c r="BA1" s="2" t="s">
        <v>215</v>
      </c>
      <c r="BB1" s="2" t="s">
        <v>384</v>
      </c>
      <c r="BC1" s="2" t="s">
        <v>231</v>
      </c>
      <c r="BD1" s="2" t="s">
        <v>388</v>
      </c>
      <c r="BE1" s="2" t="s">
        <v>389</v>
      </c>
      <c r="BF1" t="s">
        <v>13</v>
      </c>
      <c r="BG1" t="s">
        <v>5</v>
      </c>
      <c r="BH1" s="2" t="s">
        <v>730</v>
      </c>
      <c r="BI1" s="2" t="s">
        <v>343</v>
      </c>
      <c r="BJ1" s="2" t="s">
        <v>344</v>
      </c>
      <c r="BK1" s="2" t="s">
        <v>516</v>
      </c>
      <c r="BL1" s="2" t="s">
        <v>517</v>
      </c>
      <c r="BM1" s="2" t="s">
        <v>806</v>
      </c>
      <c r="BN1" s="2" t="s">
        <v>657</v>
      </c>
      <c r="BO1" s="2" t="s">
        <v>658</v>
      </c>
      <c r="BQ1" s="2" t="s">
        <v>807</v>
      </c>
    </row>
    <row r="2" spans="1:69" x14ac:dyDescent="0.2">
      <c r="F2" t="s">
        <v>388</v>
      </c>
      <c r="G2" t="s">
        <v>180</v>
      </c>
      <c r="H2" t="s">
        <v>205</v>
      </c>
      <c r="I2" t="s">
        <v>172</v>
      </c>
      <c r="J2" t="s">
        <v>213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65</v>
      </c>
      <c r="S2" t="s">
        <v>65</v>
      </c>
      <c r="T2" t="s">
        <v>65</v>
      </c>
      <c r="U2" t="s">
        <v>65</v>
      </c>
      <c r="V2" t="s">
        <v>71</v>
      </c>
      <c r="W2" t="s">
        <v>79</v>
      </c>
      <c r="X2" t="s">
        <v>85</v>
      </c>
      <c r="Y2" t="s">
        <v>88</v>
      </c>
      <c r="Z2" t="s">
        <v>91</v>
      </c>
      <c r="AA2" t="s">
        <v>122</v>
      </c>
      <c r="AB2" t="s">
        <v>122</v>
      </c>
      <c r="AC2" t="s">
        <v>122</v>
      </c>
      <c r="AD2" t="s">
        <v>106</v>
      </c>
      <c r="AE2" t="s">
        <v>103</v>
      </c>
      <c r="AF2" t="s">
        <v>111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94</v>
      </c>
      <c r="AN2" t="s">
        <v>94</v>
      </c>
      <c r="AO2" t="s">
        <v>51</v>
      </c>
      <c r="AP2" t="s">
        <v>51</v>
      </c>
      <c r="AQ2" t="s">
        <v>51</v>
      </c>
      <c r="AR2" t="s">
        <v>51</v>
      </c>
      <c r="AS2" t="s">
        <v>62</v>
      </c>
      <c r="AT2" t="s">
        <v>62</v>
      </c>
      <c r="AU2" t="s">
        <v>54</v>
      </c>
      <c r="AV2" t="s">
        <v>51</v>
      </c>
      <c r="AX2" t="s">
        <v>62</v>
      </c>
      <c r="AY2" t="s">
        <v>216</v>
      </c>
      <c r="AZ2" t="s">
        <v>216</v>
      </c>
      <c r="BA2" t="s">
        <v>216</v>
      </c>
      <c r="BB2" t="s">
        <v>94</v>
      </c>
      <c r="BC2" t="s">
        <v>232</v>
      </c>
      <c r="BE2" t="s">
        <v>432</v>
      </c>
      <c r="BF2" t="s">
        <v>418</v>
      </c>
      <c r="BG2" t="s">
        <v>6</v>
      </c>
      <c r="BH2" t="s">
        <v>51</v>
      </c>
      <c r="BI2" t="s">
        <v>284</v>
      </c>
      <c r="BJ2" t="s">
        <v>251</v>
      </c>
      <c r="BK2" t="s">
        <v>538</v>
      </c>
      <c r="BL2" t="s">
        <v>787</v>
      </c>
      <c r="BM2" t="s">
        <v>85</v>
      </c>
      <c r="BN2" t="s">
        <v>88</v>
      </c>
      <c r="BO2" t="s">
        <v>91</v>
      </c>
      <c r="BQ2" t="str" cm="1">
        <f t="array" ref="BQ2:BQ113">_xlfn._xlws.SORT(_xlfn.UNIQUE(BK2:BK1000))</f>
        <v>AssistPrimary</v>
      </c>
    </row>
    <row r="3" spans="1:69" x14ac:dyDescent="0.2">
      <c r="A3" t="s">
        <v>5</v>
      </c>
      <c r="B3" t="s">
        <v>5</v>
      </c>
      <c r="C3" t="s">
        <v>51</v>
      </c>
      <c r="D3" t="s">
        <v>143</v>
      </c>
      <c r="E3" t="s">
        <v>156</v>
      </c>
      <c r="F3" t="s">
        <v>389</v>
      </c>
      <c r="G3" t="s">
        <v>190</v>
      </c>
      <c r="H3" t="s">
        <v>181</v>
      </c>
      <c r="I3" t="s">
        <v>182</v>
      </c>
      <c r="J3" t="s">
        <v>214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80</v>
      </c>
      <c r="X3" t="s">
        <v>86</v>
      </c>
      <c r="Y3" t="s">
        <v>89</v>
      </c>
      <c r="Z3" t="s">
        <v>92</v>
      </c>
      <c r="AA3" t="s">
        <v>123</v>
      </c>
      <c r="AB3" t="s">
        <v>123</v>
      </c>
      <c r="AC3" t="s">
        <v>123</v>
      </c>
      <c r="AD3" t="s">
        <v>107</v>
      </c>
      <c r="AE3" t="s">
        <v>104</v>
      </c>
      <c r="AF3" t="s">
        <v>114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95</v>
      </c>
      <c r="AN3" t="s">
        <v>95</v>
      </c>
      <c r="AO3" t="s">
        <v>52</v>
      </c>
      <c r="AP3" t="s">
        <v>52</v>
      </c>
      <c r="AQ3" t="s">
        <v>52</v>
      </c>
      <c r="AR3" t="s">
        <v>52</v>
      </c>
      <c r="AS3" t="s">
        <v>51</v>
      </c>
      <c r="AT3" t="s">
        <v>51</v>
      </c>
      <c r="AU3" t="s">
        <v>51</v>
      </c>
      <c r="AV3" t="s">
        <v>52</v>
      </c>
      <c r="AW3" t="s">
        <v>51</v>
      </c>
      <c r="AX3" t="s">
        <v>51</v>
      </c>
      <c r="AY3" t="s">
        <v>217</v>
      </c>
      <c r="AZ3" t="s">
        <v>217</v>
      </c>
      <c r="BA3" t="s">
        <v>217</v>
      </c>
      <c r="BB3" t="s">
        <v>95</v>
      </c>
      <c r="BC3" t="s">
        <v>233</v>
      </c>
      <c r="BD3" t="s">
        <v>419</v>
      </c>
      <c r="BE3" t="s">
        <v>433</v>
      </c>
      <c r="BF3" t="s">
        <v>586</v>
      </c>
      <c r="BG3" t="s">
        <v>7</v>
      </c>
      <c r="BH3" t="s">
        <v>52</v>
      </c>
      <c r="BI3" t="s">
        <v>286</v>
      </c>
      <c r="BJ3" t="s">
        <v>291</v>
      </c>
      <c r="BK3" t="s">
        <v>539</v>
      </c>
      <c r="BL3" t="s">
        <v>769</v>
      </c>
      <c r="BM3" t="s">
        <v>86</v>
      </c>
      <c r="BN3" t="s">
        <v>89</v>
      </c>
      <c r="BO3" t="s">
        <v>92</v>
      </c>
      <c r="BQ3" t="str">
        <v>AssistSecondary</v>
      </c>
    </row>
    <row r="4" spans="1:69" x14ac:dyDescent="0.2">
      <c r="A4" t="s">
        <v>6</v>
      </c>
      <c r="B4" t="s">
        <v>17</v>
      </c>
      <c r="C4" t="s">
        <v>52</v>
      </c>
      <c r="D4" t="s">
        <v>144</v>
      </c>
      <c r="E4" t="s">
        <v>157</v>
      </c>
      <c r="G4" t="s">
        <v>197</v>
      </c>
      <c r="H4" t="s">
        <v>191</v>
      </c>
      <c r="I4" t="s">
        <v>192</v>
      </c>
      <c r="J4" t="s">
        <v>215</v>
      </c>
      <c r="L4" t="s">
        <v>193</v>
      </c>
      <c r="M4" t="s">
        <v>194</v>
      </c>
      <c r="N4" t="s">
        <v>195</v>
      </c>
      <c r="O4" s="3" t="s">
        <v>196</v>
      </c>
      <c r="Q4" t="s">
        <v>384</v>
      </c>
      <c r="R4" t="s">
        <v>67</v>
      </c>
      <c r="S4" t="s">
        <v>67</v>
      </c>
      <c r="T4" t="s">
        <v>67</v>
      </c>
      <c r="U4" t="s">
        <v>67</v>
      </c>
      <c r="V4" t="s">
        <v>73</v>
      </c>
      <c r="W4" t="s">
        <v>81</v>
      </c>
      <c r="X4" t="s">
        <v>87</v>
      </c>
      <c r="Y4" t="s">
        <v>90</v>
      </c>
      <c r="Z4" t="s">
        <v>93</v>
      </c>
      <c r="AA4" t="s">
        <v>124</v>
      </c>
      <c r="AB4" t="s">
        <v>124</v>
      </c>
      <c r="AC4" t="s">
        <v>124</v>
      </c>
      <c r="AD4" t="s">
        <v>109</v>
      </c>
      <c r="AE4" t="s">
        <v>39</v>
      </c>
      <c r="AF4" t="s">
        <v>115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96</v>
      </c>
      <c r="AN4" t="s">
        <v>96</v>
      </c>
      <c r="AO4" t="s">
        <v>53</v>
      </c>
      <c r="AP4" t="s">
        <v>53</v>
      </c>
      <c r="AQ4" t="s">
        <v>53</v>
      </c>
      <c r="AR4" t="s">
        <v>53</v>
      </c>
      <c r="AS4" t="s">
        <v>52</v>
      </c>
      <c r="AT4" t="s">
        <v>52</v>
      </c>
      <c r="AU4" t="s">
        <v>52</v>
      </c>
      <c r="AV4" t="s">
        <v>53</v>
      </c>
      <c r="AW4" t="s">
        <v>52</v>
      </c>
      <c r="AX4" t="s">
        <v>52</v>
      </c>
      <c r="AY4" t="s">
        <v>218</v>
      </c>
      <c r="AZ4" t="s">
        <v>218</v>
      </c>
      <c r="BA4" t="s">
        <v>218</v>
      </c>
      <c r="BB4" t="s">
        <v>96</v>
      </c>
      <c r="BC4" t="s">
        <v>234</v>
      </c>
      <c r="BD4" t="s">
        <v>420</v>
      </c>
      <c r="BE4" t="s">
        <v>434</v>
      </c>
      <c r="BF4" t="s">
        <v>587</v>
      </c>
      <c r="BG4" t="s">
        <v>8</v>
      </c>
      <c r="BH4" t="s">
        <v>53</v>
      </c>
      <c r="BI4" t="s">
        <v>287</v>
      </c>
      <c r="BJ4" t="s">
        <v>292</v>
      </c>
      <c r="BK4" t="s">
        <v>596</v>
      </c>
      <c r="BL4" t="s">
        <v>767</v>
      </c>
      <c r="BM4" t="s">
        <v>87</v>
      </c>
      <c r="BN4" t="s">
        <v>90</v>
      </c>
      <c r="BO4" t="s">
        <v>93</v>
      </c>
      <c r="BQ4" t="str">
        <v>AssistTertiary</v>
      </c>
    </row>
    <row r="5" spans="1:69" x14ac:dyDescent="0.2">
      <c r="A5" t="s">
        <v>7</v>
      </c>
      <c r="B5" t="s">
        <v>18</v>
      </c>
      <c r="C5" t="s">
        <v>53</v>
      </c>
      <c r="D5" t="s">
        <v>145</v>
      </c>
      <c r="E5" t="s">
        <v>158</v>
      </c>
      <c r="G5" t="s">
        <v>236</v>
      </c>
      <c r="H5" t="s">
        <v>198</v>
      </c>
      <c r="I5" t="s">
        <v>199</v>
      </c>
      <c r="L5" t="s">
        <v>656</v>
      </c>
      <c r="N5" t="s">
        <v>200</v>
      </c>
      <c r="O5" t="s">
        <v>402</v>
      </c>
      <c r="R5" t="s">
        <v>68</v>
      </c>
      <c r="S5" t="s">
        <v>68</v>
      </c>
      <c r="T5" t="s">
        <v>68</v>
      </c>
      <c r="U5" t="s">
        <v>68</v>
      </c>
      <c r="V5" t="s">
        <v>74</v>
      </c>
      <c r="W5" t="s">
        <v>82</v>
      </c>
      <c r="X5" t="s">
        <v>373</v>
      </c>
      <c r="Y5" t="s">
        <v>374</v>
      </c>
      <c r="AA5" t="s">
        <v>125</v>
      </c>
      <c r="AB5" t="s">
        <v>125</v>
      </c>
      <c r="AC5" t="s">
        <v>125</v>
      </c>
      <c r="AD5" t="s">
        <v>110</v>
      </c>
      <c r="AF5" t="s">
        <v>118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97</v>
      </c>
      <c r="AN5" t="s">
        <v>97</v>
      </c>
      <c r="AO5" t="s">
        <v>55</v>
      </c>
      <c r="AP5" t="s">
        <v>55</v>
      </c>
      <c r="AQ5" t="s">
        <v>55</v>
      </c>
      <c r="AR5" t="s">
        <v>55</v>
      </c>
      <c r="AS5" t="s">
        <v>53</v>
      </c>
      <c r="AT5" t="s">
        <v>53</v>
      </c>
      <c r="AU5" t="s">
        <v>53</v>
      </c>
      <c r="AV5" t="s">
        <v>55</v>
      </c>
      <c r="AW5" t="s">
        <v>53</v>
      </c>
      <c r="AX5" t="s">
        <v>53</v>
      </c>
      <c r="AY5" t="s">
        <v>219</v>
      </c>
      <c r="AZ5" t="s">
        <v>220</v>
      </c>
      <c r="BA5" t="s">
        <v>220</v>
      </c>
      <c r="BB5" t="s">
        <v>97</v>
      </c>
      <c r="BC5" t="s">
        <v>235</v>
      </c>
      <c r="BD5" t="s">
        <v>421</v>
      </c>
      <c r="BE5" t="s">
        <v>435</v>
      </c>
      <c r="BF5" t="s">
        <v>574</v>
      </c>
      <c r="BG5" t="s">
        <v>9</v>
      </c>
      <c r="BH5" t="s">
        <v>55</v>
      </c>
      <c r="BI5" t="s">
        <v>288</v>
      </c>
      <c r="BJ5" t="s">
        <v>293</v>
      </c>
      <c r="BK5" t="s">
        <v>769</v>
      </c>
      <c r="BL5" t="s">
        <v>768</v>
      </c>
      <c r="BM5" t="s">
        <v>373</v>
      </c>
      <c r="BN5" t="s">
        <v>374</v>
      </c>
      <c r="BQ5" t="str">
        <v>AttemptedBlockedShot</v>
      </c>
    </row>
    <row r="6" spans="1:69" x14ac:dyDescent="0.2">
      <c r="A6" t="s">
        <v>8</v>
      </c>
      <c r="B6" t="s">
        <v>19</v>
      </c>
      <c r="C6" t="s">
        <v>54</v>
      </c>
      <c r="D6" t="s">
        <v>146</v>
      </c>
      <c r="E6" t="s">
        <v>159</v>
      </c>
      <c r="G6" t="s">
        <v>401</v>
      </c>
      <c r="H6" t="s">
        <v>201</v>
      </c>
      <c r="L6" t="s">
        <v>657</v>
      </c>
      <c r="N6" t="s">
        <v>202</v>
      </c>
      <c r="R6" t="s">
        <v>69</v>
      </c>
      <c r="S6" t="s">
        <v>69</v>
      </c>
      <c r="T6" t="s">
        <v>69</v>
      </c>
      <c r="U6" t="s">
        <v>69</v>
      </c>
      <c r="V6" t="s">
        <v>75</v>
      </c>
      <c r="W6" t="s">
        <v>83</v>
      </c>
      <c r="X6" t="s">
        <v>375</v>
      </c>
      <c r="Y6" t="s">
        <v>376</v>
      </c>
      <c r="AA6" t="s">
        <v>126</v>
      </c>
      <c r="AB6" t="s">
        <v>126</v>
      </c>
      <c r="AC6" t="s">
        <v>126</v>
      </c>
      <c r="AD6" t="s">
        <v>112</v>
      </c>
      <c r="AF6" t="s">
        <v>119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98</v>
      </c>
      <c r="AN6" t="s">
        <v>98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55</v>
      </c>
      <c r="AU6" t="s">
        <v>55</v>
      </c>
      <c r="AV6" t="s">
        <v>56</v>
      </c>
      <c r="AW6" t="s">
        <v>55</v>
      </c>
      <c r="AX6" t="s">
        <v>55</v>
      </c>
      <c r="AY6" t="s">
        <v>220</v>
      </c>
      <c r="AZ6" t="s">
        <v>221</v>
      </c>
      <c r="BA6" t="s">
        <v>221</v>
      </c>
      <c r="BB6" t="s">
        <v>98</v>
      </c>
      <c r="BD6" t="s">
        <v>422</v>
      </c>
      <c r="BE6" t="s">
        <v>436</v>
      </c>
      <c r="BG6" t="s">
        <v>238</v>
      </c>
      <c r="BH6" t="s">
        <v>56</v>
      </c>
      <c r="BI6" t="s">
        <v>289</v>
      </c>
      <c r="BJ6" t="s">
        <v>294</v>
      </c>
      <c r="BK6" t="s">
        <v>767</v>
      </c>
      <c r="BL6" t="s">
        <v>770</v>
      </c>
      <c r="BM6" t="s">
        <v>375</v>
      </c>
      <c r="BN6" t="s">
        <v>376</v>
      </c>
      <c r="BQ6" t="str">
        <v>AttemptedBreakOutClear</v>
      </c>
    </row>
    <row r="7" spans="1:69" x14ac:dyDescent="0.2">
      <c r="A7" t="s">
        <v>9</v>
      </c>
      <c r="B7" t="s">
        <v>20</v>
      </c>
      <c r="C7" t="s">
        <v>55</v>
      </c>
      <c r="D7" t="s">
        <v>147</v>
      </c>
      <c r="E7" t="s">
        <v>160</v>
      </c>
      <c r="H7" t="s">
        <v>206</v>
      </c>
      <c r="L7" t="s">
        <v>658</v>
      </c>
      <c r="N7" t="s">
        <v>203</v>
      </c>
      <c r="R7" t="s">
        <v>371</v>
      </c>
      <c r="S7" t="s">
        <v>371</v>
      </c>
      <c r="T7" t="s">
        <v>371</v>
      </c>
      <c r="U7" t="s">
        <v>371</v>
      </c>
      <c r="V7" t="s">
        <v>446</v>
      </c>
      <c r="W7" t="s">
        <v>355</v>
      </c>
      <c r="X7" t="s">
        <v>390</v>
      </c>
      <c r="Y7" t="s">
        <v>378</v>
      </c>
      <c r="AA7" t="s">
        <v>127</v>
      </c>
      <c r="AB7" t="s">
        <v>127</v>
      </c>
      <c r="AC7" t="s">
        <v>127</v>
      </c>
      <c r="AD7" t="s">
        <v>113</v>
      </c>
      <c r="AF7" t="s">
        <v>120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99</v>
      </c>
      <c r="AN7" t="s">
        <v>99</v>
      </c>
      <c r="AO7" t="s">
        <v>57</v>
      </c>
      <c r="AP7" t="s">
        <v>57</v>
      </c>
      <c r="AQ7" t="s">
        <v>57</v>
      </c>
      <c r="AR7" t="s">
        <v>57</v>
      </c>
      <c r="AS7" t="s">
        <v>56</v>
      </c>
      <c r="AT7" t="s">
        <v>56</v>
      </c>
      <c r="AU7" t="s">
        <v>56</v>
      </c>
      <c r="AV7" t="s">
        <v>57</v>
      </c>
      <c r="AW7" t="s">
        <v>56</v>
      </c>
      <c r="AX7" t="s">
        <v>56</v>
      </c>
      <c r="AY7" t="s">
        <v>221</v>
      </c>
      <c r="AZ7" t="s">
        <v>222</v>
      </c>
      <c r="BA7" t="s">
        <v>222</v>
      </c>
      <c r="BB7" t="s">
        <v>99</v>
      </c>
      <c r="BD7" t="s">
        <v>423</v>
      </c>
      <c r="BE7" t="s">
        <v>437</v>
      </c>
      <c r="BG7" t="s">
        <v>10</v>
      </c>
      <c r="BH7" t="s">
        <v>57</v>
      </c>
      <c r="BI7" t="s">
        <v>290</v>
      </c>
      <c r="BJ7" t="s">
        <v>295</v>
      </c>
      <c r="BK7" t="s">
        <v>768</v>
      </c>
      <c r="BL7" t="s">
        <v>771</v>
      </c>
      <c r="BM7" t="s">
        <v>390</v>
      </c>
      <c r="BN7" t="s">
        <v>378</v>
      </c>
      <c r="BQ7" t="str">
        <v>AttemptedBreakOutPass</v>
      </c>
    </row>
    <row r="8" spans="1:69" x14ac:dyDescent="0.2">
      <c r="A8" t="s">
        <v>238</v>
      </c>
      <c r="B8" t="s">
        <v>21</v>
      </c>
      <c r="C8" t="s">
        <v>56</v>
      </c>
      <c r="D8" t="s">
        <v>148</v>
      </c>
      <c r="E8" t="s">
        <v>161</v>
      </c>
      <c r="H8" t="s">
        <v>204</v>
      </c>
      <c r="R8" t="s">
        <v>372</v>
      </c>
      <c r="S8" t="s">
        <v>372</v>
      </c>
      <c r="T8" t="s">
        <v>372</v>
      </c>
      <c r="U8" t="s">
        <v>372</v>
      </c>
      <c r="V8" t="s">
        <v>76</v>
      </c>
      <c r="W8" t="s">
        <v>366</v>
      </c>
      <c r="X8" t="s">
        <v>377</v>
      </c>
      <c r="Y8" t="s">
        <v>380</v>
      </c>
      <c r="AA8" t="s">
        <v>128</v>
      </c>
      <c r="AB8" t="s">
        <v>128</v>
      </c>
      <c r="AC8" t="s">
        <v>128</v>
      </c>
      <c r="AD8" t="s">
        <v>116</v>
      </c>
      <c r="AF8" t="s">
        <v>121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100</v>
      </c>
      <c r="AN8" t="s">
        <v>100</v>
      </c>
      <c r="AO8" t="s">
        <v>58</v>
      </c>
      <c r="AP8" t="s">
        <v>58</v>
      </c>
      <c r="AQ8" t="s">
        <v>58</v>
      </c>
      <c r="AR8" t="s">
        <v>58</v>
      </c>
      <c r="AS8" t="s">
        <v>57</v>
      </c>
      <c r="AT8" t="s">
        <v>57</v>
      </c>
      <c r="AU8" t="s">
        <v>57</v>
      </c>
      <c r="AV8" t="s">
        <v>58</v>
      </c>
      <c r="AW8" t="s">
        <v>57</v>
      </c>
      <c r="AX8" t="s">
        <v>57</v>
      </c>
      <c r="AY8" t="s">
        <v>222</v>
      </c>
      <c r="AZ8" t="s">
        <v>223</v>
      </c>
      <c r="BA8" t="s">
        <v>223</v>
      </c>
      <c r="BB8" t="s">
        <v>100</v>
      </c>
      <c r="BD8" t="s">
        <v>424</v>
      </c>
      <c r="BE8" t="s">
        <v>438</v>
      </c>
      <c r="BG8" t="s">
        <v>237</v>
      </c>
      <c r="BH8" t="s">
        <v>58</v>
      </c>
      <c r="BI8" t="s">
        <v>393</v>
      </c>
      <c r="BJ8" t="s">
        <v>296</v>
      </c>
      <c r="BK8" t="s">
        <v>770</v>
      </c>
      <c r="BL8" t="s">
        <v>772</v>
      </c>
      <c r="BM8" t="s">
        <v>377</v>
      </c>
      <c r="BN8" t="s">
        <v>380</v>
      </c>
      <c r="BQ8" t="str">
        <v>AttemptedBreakOutRush</v>
      </c>
    </row>
    <row r="9" spans="1:69" x14ac:dyDescent="0.2">
      <c r="A9" t="s">
        <v>10</v>
      </c>
      <c r="B9" t="s">
        <v>22</v>
      </c>
      <c r="C9" t="s">
        <v>57</v>
      </c>
      <c r="D9" t="s">
        <v>149</v>
      </c>
      <c r="E9" t="s">
        <v>162</v>
      </c>
      <c r="H9" t="s">
        <v>207</v>
      </c>
      <c r="R9" t="s">
        <v>381</v>
      </c>
      <c r="S9" t="s">
        <v>381</v>
      </c>
      <c r="T9" t="s">
        <v>381</v>
      </c>
      <c r="U9" t="s">
        <v>381</v>
      </c>
      <c r="V9" t="s">
        <v>77</v>
      </c>
      <c r="W9" t="s">
        <v>84</v>
      </c>
      <c r="X9" t="s">
        <v>379</v>
      </c>
      <c r="Y9" t="s">
        <v>415</v>
      </c>
      <c r="AA9" t="s">
        <v>129</v>
      </c>
      <c r="AB9" t="s">
        <v>129</v>
      </c>
      <c r="AC9" t="s">
        <v>129</v>
      </c>
      <c r="AD9" t="s">
        <v>108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101</v>
      </c>
      <c r="AN9" t="s">
        <v>101</v>
      </c>
      <c r="AO9" t="s">
        <v>59</v>
      </c>
      <c r="AP9" t="s">
        <v>59</v>
      </c>
      <c r="AQ9" t="s">
        <v>59</v>
      </c>
      <c r="AR9" t="s">
        <v>59</v>
      </c>
      <c r="AS9" t="s">
        <v>58</v>
      </c>
      <c r="AT9" t="s">
        <v>58</v>
      </c>
      <c r="AU9" t="s">
        <v>58</v>
      </c>
      <c r="AV9" t="s">
        <v>59</v>
      </c>
      <c r="AW9" t="s">
        <v>58</v>
      </c>
      <c r="AX9" t="s">
        <v>58</v>
      </c>
      <c r="AY9" t="s">
        <v>223</v>
      </c>
      <c r="AZ9" t="s">
        <v>224</v>
      </c>
      <c r="BA9" t="s">
        <v>224</v>
      </c>
      <c r="BB9" t="s">
        <v>101</v>
      </c>
      <c r="BD9" t="s">
        <v>425</v>
      </c>
      <c r="BE9" t="s">
        <v>439</v>
      </c>
      <c r="BG9" t="s">
        <v>11</v>
      </c>
      <c r="BH9" t="s">
        <v>59</v>
      </c>
      <c r="BI9" t="s">
        <v>519</v>
      </c>
      <c r="BJ9" t="s">
        <v>285</v>
      </c>
      <c r="BK9" t="s">
        <v>771</v>
      </c>
      <c r="BL9" t="s">
        <v>766</v>
      </c>
      <c r="BM9" t="s">
        <v>379</v>
      </c>
      <c r="BN9" t="s">
        <v>415</v>
      </c>
      <c r="BQ9" t="str">
        <v>AttemptedEntryDumpIn</v>
      </c>
    </row>
    <row r="10" spans="1:69" x14ac:dyDescent="0.2">
      <c r="A10" t="s">
        <v>237</v>
      </c>
      <c r="B10" t="s">
        <v>23</v>
      </c>
      <c r="C10" t="s">
        <v>58</v>
      </c>
      <c r="D10" t="s">
        <v>150</v>
      </c>
      <c r="E10" t="s">
        <v>163</v>
      </c>
      <c r="H10" t="s">
        <v>208</v>
      </c>
      <c r="R10" t="s">
        <v>385</v>
      </c>
      <c r="S10" t="s">
        <v>385</v>
      </c>
      <c r="T10" t="s">
        <v>385</v>
      </c>
      <c r="U10" t="s">
        <v>385</v>
      </c>
      <c r="V10" t="s">
        <v>354</v>
      </c>
      <c r="X10" t="s">
        <v>382</v>
      </c>
      <c r="Y10" t="s">
        <v>524</v>
      </c>
      <c r="AA10" t="s">
        <v>130</v>
      </c>
      <c r="AB10" t="s">
        <v>130</v>
      </c>
      <c r="AC10" t="s">
        <v>130</v>
      </c>
      <c r="AD10" t="s">
        <v>105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416</v>
      </c>
      <c r="AN10" t="s">
        <v>416</v>
      </c>
      <c r="AO10" t="s">
        <v>60</v>
      </c>
      <c r="AP10" t="s">
        <v>60</v>
      </c>
      <c r="AQ10" t="s">
        <v>60</v>
      </c>
      <c r="AR10" t="s">
        <v>60</v>
      </c>
      <c r="AS10" t="s">
        <v>59</v>
      </c>
      <c r="AT10" t="s">
        <v>59</v>
      </c>
      <c r="AU10" t="s">
        <v>59</v>
      </c>
      <c r="AV10" t="s">
        <v>60</v>
      </c>
      <c r="AW10" t="s">
        <v>59</v>
      </c>
      <c r="AX10" t="s">
        <v>59</v>
      </c>
      <c r="AY10" t="s">
        <v>224</v>
      </c>
      <c r="AZ10" t="s">
        <v>225</v>
      </c>
      <c r="BA10" t="s">
        <v>225</v>
      </c>
      <c r="BB10" t="s">
        <v>102</v>
      </c>
      <c r="BD10" t="s">
        <v>447</v>
      </c>
      <c r="BE10" t="s">
        <v>440</v>
      </c>
      <c r="BG10" t="s">
        <v>12</v>
      </c>
      <c r="BH10" t="s">
        <v>60</v>
      </c>
      <c r="BI10" t="s">
        <v>287</v>
      </c>
      <c r="BJ10" t="s">
        <v>297</v>
      </c>
      <c r="BK10" t="s">
        <v>772</v>
      </c>
      <c r="BL10" t="s">
        <v>159</v>
      </c>
      <c r="BM10" t="s">
        <v>382</v>
      </c>
      <c r="BN10" t="s">
        <v>524</v>
      </c>
      <c r="BQ10" t="str">
        <v>AttemptedEntryPass</v>
      </c>
    </row>
    <row r="11" spans="1:69" x14ac:dyDescent="0.2">
      <c r="A11" t="s">
        <v>11</v>
      </c>
      <c r="B11" t="s">
        <v>24</v>
      </c>
      <c r="C11" t="s">
        <v>59</v>
      </c>
      <c r="D11" t="s">
        <v>151</v>
      </c>
      <c r="E11" t="s">
        <v>164</v>
      </c>
      <c r="H11" t="s">
        <v>211</v>
      </c>
      <c r="R11" t="s">
        <v>444</v>
      </c>
      <c r="S11" t="s">
        <v>444</v>
      </c>
      <c r="T11" t="s">
        <v>444</v>
      </c>
      <c r="U11" t="s">
        <v>444</v>
      </c>
      <c r="V11" t="s">
        <v>365</v>
      </c>
      <c r="X11" t="s">
        <v>414</v>
      </c>
      <c r="Y11" t="s">
        <v>727</v>
      </c>
      <c r="AA11" t="s">
        <v>131</v>
      </c>
      <c r="AB11" t="s">
        <v>131</v>
      </c>
      <c r="AC11" t="s">
        <v>131</v>
      </c>
      <c r="AD11" t="s">
        <v>41</v>
      </c>
      <c r="AG11" t="s">
        <v>54</v>
      </c>
      <c r="AH11" t="s">
        <v>54</v>
      </c>
      <c r="AI11" t="s">
        <v>64</v>
      </c>
      <c r="AJ11" t="s">
        <v>64</v>
      </c>
      <c r="AK11" t="s">
        <v>64</v>
      </c>
      <c r="AL11" t="s">
        <v>64</v>
      </c>
      <c r="AM11" t="s">
        <v>443</v>
      </c>
      <c r="AN11" t="s">
        <v>443</v>
      </c>
      <c r="AO11" t="s">
        <v>61</v>
      </c>
      <c r="AP11" t="s">
        <v>61</v>
      </c>
      <c r="AQ11" t="s">
        <v>61</v>
      </c>
      <c r="AR11" t="s">
        <v>61</v>
      </c>
      <c r="AS11" t="s">
        <v>60</v>
      </c>
      <c r="AT11" t="s">
        <v>60</v>
      </c>
      <c r="AU11" t="s">
        <v>60</v>
      </c>
      <c r="AV11" t="s">
        <v>61</v>
      </c>
      <c r="AW11" t="s">
        <v>60</v>
      </c>
      <c r="AX11" t="s">
        <v>60</v>
      </c>
      <c r="AY11" t="s">
        <v>225</v>
      </c>
      <c r="AZ11" t="s">
        <v>229</v>
      </c>
      <c r="BA11" t="s">
        <v>229</v>
      </c>
      <c r="BD11" t="s">
        <v>426</v>
      </c>
      <c r="BE11" t="s">
        <v>441</v>
      </c>
      <c r="BG11" t="s">
        <v>13</v>
      </c>
      <c r="BH11" t="s">
        <v>61</v>
      </c>
      <c r="BJ11" t="s">
        <v>298</v>
      </c>
      <c r="BK11" t="s">
        <v>766</v>
      </c>
      <c r="BL11" t="s">
        <v>164</v>
      </c>
      <c r="BM11" t="s">
        <v>414</v>
      </c>
      <c r="BN11" t="s">
        <v>170</v>
      </c>
      <c r="BQ11" t="str">
        <v>AttemptedEntryRush</v>
      </c>
    </row>
    <row r="12" spans="1:69" x14ac:dyDescent="0.2">
      <c r="A12" t="s">
        <v>12</v>
      </c>
      <c r="B12" t="s">
        <v>25</v>
      </c>
      <c r="C12" t="s">
        <v>60</v>
      </c>
      <c r="D12" t="s">
        <v>152</v>
      </c>
      <c r="E12" t="s">
        <v>165</v>
      </c>
      <c r="H12" t="s">
        <v>212</v>
      </c>
      <c r="R12" t="s">
        <v>445</v>
      </c>
      <c r="S12" t="s">
        <v>445</v>
      </c>
      <c r="T12" t="s">
        <v>445</v>
      </c>
      <c r="U12" t="s">
        <v>445</v>
      </c>
      <c r="V12" t="s">
        <v>383</v>
      </c>
      <c r="X12" t="s">
        <v>523</v>
      </c>
      <c r="Y12" t="s">
        <v>170</v>
      </c>
      <c r="AA12" t="s">
        <v>132</v>
      </c>
      <c r="AB12" t="s">
        <v>132</v>
      </c>
      <c r="AC12" t="s">
        <v>132</v>
      </c>
      <c r="AD12" t="s">
        <v>40</v>
      </c>
      <c r="AG12" t="s">
        <v>64</v>
      </c>
      <c r="AH12" t="s">
        <v>64</v>
      </c>
      <c r="AM12" t="s">
        <v>102</v>
      </c>
      <c r="AN12" t="s">
        <v>102</v>
      </c>
      <c r="AO12" t="s">
        <v>63</v>
      </c>
      <c r="AP12" t="s">
        <v>63</v>
      </c>
      <c r="AQ12" t="s">
        <v>63</v>
      </c>
      <c r="AR12" t="s">
        <v>63</v>
      </c>
      <c r="AS12" t="s">
        <v>61</v>
      </c>
      <c r="AT12" t="s">
        <v>61</v>
      </c>
      <c r="AU12" t="s">
        <v>61</v>
      </c>
      <c r="AV12" t="s">
        <v>63</v>
      </c>
      <c r="AW12" t="s">
        <v>61</v>
      </c>
      <c r="AX12" t="s">
        <v>61</v>
      </c>
      <c r="AY12" t="s">
        <v>226</v>
      </c>
      <c r="BD12" t="s">
        <v>427</v>
      </c>
      <c r="BE12" t="s">
        <v>442</v>
      </c>
      <c r="BG12" t="s">
        <v>14</v>
      </c>
      <c r="BH12" t="s">
        <v>63</v>
      </c>
      <c r="BJ12" t="s">
        <v>299</v>
      </c>
      <c r="BK12" t="s">
        <v>450</v>
      </c>
      <c r="BL12" t="s">
        <v>758</v>
      </c>
      <c r="BM12" t="s">
        <v>523</v>
      </c>
      <c r="BQ12" t="str">
        <v>AttemptedKeepin</v>
      </c>
    </row>
    <row r="13" spans="1:69" x14ac:dyDescent="0.2">
      <c r="A13" t="s">
        <v>13</v>
      </c>
      <c r="B13" t="s">
        <v>26</v>
      </c>
      <c r="C13" t="s">
        <v>61</v>
      </c>
      <c r="D13" t="s">
        <v>153</v>
      </c>
      <c r="E13" t="s">
        <v>166</v>
      </c>
      <c r="H13" t="s">
        <v>240</v>
      </c>
      <c r="R13" t="s">
        <v>588</v>
      </c>
      <c r="S13" t="s">
        <v>70</v>
      </c>
      <c r="T13" t="s">
        <v>70</v>
      </c>
      <c r="U13" t="s">
        <v>70</v>
      </c>
      <c r="V13" t="s">
        <v>391</v>
      </c>
      <c r="X13" t="s">
        <v>726</v>
      </c>
      <c r="AA13" t="s">
        <v>134</v>
      </c>
      <c r="AB13" t="s">
        <v>133</v>
      </c>
      <c r="AC13" t="s">
        <v>133</v>
      </c>
      <c r="AO13" t="s">
        <v>54</v>
      </c>
      <c r="AP13" t="s">
        <v>204</v>
      </c>
      <c r="AQ13" t="s">
        <v>204</v>
      </c>
      <c r="AR13" t="s">
        <v>204</v>
      </c>
      <c r="AS13" t="s">
        <v>63</v>
      </c>
      <c r="AT13" t="s">
        <v>63</v>
      </c>
      <c r="AU13" t="s">
        <v>63</v>
      </c>
      <c r="AV13" t="s">
        <v>64</v>
      </c>
      <c r="AW13" t="s">
        <v>63</v>
      </c>
      <c r="AX13" t="s">
        <v>63</v>
      </c>
      <c r="AY13" t="s">
        <v>227</v>
      </c>
      <c r="BD13" t="s">
        <v>428</v>
      </c>
      <c r="BE13" t="s">
        <v>448</v>
      </c>
      <c r="BG13" t="s">
        <v>15</v>
      </c>
      <c r="BH13" t="s">
        <v>204</v>
      </c>
      <c r="BJ13" t="s">
        <v>300</v>
      </c>
      <c r="BK13" t="s">
        <v>450</v>
      </c>
      <c r="BL13" t="s">
        <v>162</v>
      </c>
      <c r="BM13" t="s">
        <v>169</v>
      </c>
      <c r="BQ13" t="str">
        <v>AttemptedPass</v>
      </c>
    </row>
    <row r="14" spans="1:69" x14ac:dyDescent="0.2">
      <c r="A14" t="s">
        <v>14</v>
      </c>
      <c r="B14" t="s">
        <v>27</v>
      </c>
      <c r="C14" t="s">
        <v>62</v>
      </c>
      <c r="D14" t="s">
        <v>154</v>
      </c>
      <c r="E14" t="s">
        <v>152</v>
      </c>
      <c r="H14" t="s">
        <v>730</v>
      </c>
      <c r="R14" t="s">
        <v>589</v>
      </c>
      <c r="S14" t="s">
        <v>589</v>
      </c>
      <c r="T14" t="s">
        <v>589</v>
      </c>
      <c r="U14" t="s">
        <v>589</v>
      </c>
      <c r="V14" t="s">
        <v>78</v>
      </c>
      <c r="X14" t="s">
        <v>169</v>
      </c>
      <c r="AA14" t="s">
        <v>135</v>
      </c>
      <c r="AB14" t="s">
        <v>134</v>
      </c>
      <c r="AC14" t="s">
        <v>134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62</v>
      </c>
      <c r="AW14" t="s">
        <v>64</v>
      </c>
      <c r="AX14" t="s">
        <v>64</v>
      </c>
      <c r="AY14" t="s">
        <v>228</v>
      </c>
      <c r="BD14" t="s">
        <v>429</v>
      </c>
      <c r="BE14" t="s">
        <v>427</v>
      </c>
      <c r="BG14" t="s">
        <v>16</v>
      </c>
      <c r="BH14" t="s">
        <v>64</v>
      </c>
      <c r="BJ14" t="s">
        <v>301</v>
      </c>
      <c r="BK14" t="s">
        <v>774</v>
      </c>
      <c r="BL14" t="s">
        <v>165</v>
      </c>
      <c r="BQ14" t="str">
        <v>AttemptedShot</v>
      </c>
    </row>
    <row r="15" spans="1:69" x14ac:dyDescent="0.2">
      <c r="A15" t="s">
        <v>15</v>
      </c>
      <c r="B15" t="s">
        <v>28</v>
      </c>
      <c r="C15" t="s">
        <v>63</v>
      </c>
      <c r="D15" t="s">
        <v>155</v>
      </c>
      <c r="R15" t="s">
        <v>590</v>
      </c>
      <c r="S15" t="s">
        <v>590</v>
      </c>
      <c r="T15" t="s">
        <v>590</v>
      </c>
      <c r="U15" t="s">
        <v>590</v>
      </c>
      <c r="AA15" t="s">
        <v>136</v>
      </c>
      <c r="AB15" t="s">
        <v>135</v>
      </c>
      <c r="AC15" t="s">
        <v>135</v>
      </c>
      <c r="AV15" t="s">
        <v>54</v>
      </c>
      <c r="AY15" t="s">
        <v>229</v>
      </c>
      <c r="BD15" t="s">
        <v>430</v>
      </c>
      <c r="BG15" t="s">
        <v>231</v>
      </c>
      <c r="BJ15" t="s">
        <v>302</v>
      </c>
      <c r="BK15" t="s">
        <v>773</v>
      </c>
      <c r="BL15" t="s">
        <v>163</v>
      </c>
      <c r="BQ15" t="str">
        <v>AttemptedTip/Deflection</v>
      </c>
    </row>
    <row r="16" spans="1:69" x14ac:dyDescent="0.2">
      <c r="A16" t="s">
        <v>16</v>
      </c>
      <c r="B16" t="s">
        <v>29</v>
      </c>
      <c r="C16" t="s">
        <v>64</v>
      </c>
      <c r="R16" t="s">
        <v>591</v>
      </c>
      <c r="S16" t="s">
        <v>591</v>
      </c>
      <c r="T16" t="s">
        <v>591</v>
      </c>
      <c r="U16" t="s">
        <v>591</v>
      </c>
      <c r="AA16" t="s">
        <v>138</v>
      </c>
      <c r="AB16" t="s">
        <v>136</v>
      </c>
      <c r="AC16" t="s">
        <v>136</v>
      </c>
      <c r="BD16" t="s">
        <v>431</v>
      </c>
      <c r="BJ16" t="s">
        <v>303</v>
      </c>
      <c r="BK16" t="s">
        <v>151</v>
      </c>
      <c r="BL16" t="s">
        <v>556</v>
      </c>
      <c r="BQ16" t="str">
        <v>Backcheck</v>
      </c>
    </row>
    <row r="17" spans="1:69" x14ac:dyDescent="0.2">
      <c r="A17" t="s">
        <v>231</v>
      </c>
      <c r="B17" t="s">
        <v>30</v>
      </c>
      <c r="C17" t="s">
        <v>65</v>
      </c>
      <c r="R17" t="s">
        <v>592</v>
      </c>
      <c r="S17" t="s">
        <v>592</v>
      </c>
      <c r="T17" t="s">
        <v>592</v>
      </c>
      <c r="U17" t="s">
        <v>592</v>
      </c>
      <c r="AA17" t="s">
        <v>139</v>
      </c>
      <c r="AB17" t="s">
        <v>137</v>
      </c>
      <c r="AC17" t="s">
        <v>137</v>
      </c>
      <c r="BJ17" t="s">
        <v>304</v>
      </c>
      <c r="BK17" t="s">
        <v>148</v>
      </c>
      <c r="BL17" t="s">
        <v>166</v>
      </c>
      <c r="BQ17" t="str">
        <v>BeatDeke</v>
      </c>
    </row>
    <row r="18" spans="1:69" x14ac:dyDescent="0.2">
      <c r="A18" t="s">
        <v>241</v>
      </c>
      <c r="B18" t="s">
        <v>31</v>
      </c>
      <c r="C18" t="s">
        <v>66</v>
      </c>
      <c r="R18" t="s">
        <v>70</v>
      </c>
      <c r="S18" t="s">
        <v>70</v>
      </c>
      <c r="T18" t="s">
        <v>70</v>
      </c>
      <c r="U18" t="s">
        <v>70</v>
      </c>
      <c r="AA18" t="s">
        <v>141</v>
      </c>
      <c r="AB18" t="s">
        <v>138</v>
      </c>
      <c r="AC18" t="s">
        <v>138</v>
      </c>
      <c r="BJ18" t="s">
        <v>305</v>
      </c>
      <c r="BK18" t="s">
        <v>548</v>
      </c>
      <c r="BL18" t="s">
        <v>774</v>
      </c>
      <c r="BQ18" t="str">
        <v>BeatFake</v>
      </c>
    </row>
    <row r="19" spans="1:69" x14ac:dyDescent="0.2">
      <c r="A19" t="s">
        <v>230</v>
      </c>
      <c r="B19" t="s">
        <v>32</v>
      </c>
      <c r="C19" t="s">
        <v>67</v>
      </c>
      <c r="AB19" t="s">
        <v>139</v>
      </c>
      <c r="AC19" t="s">
        <v>139</v>
      </c>
      <c r="BJ19" t="s">
        <v>306</v>
      </c>
      <c r="BK19" t="s">
        <v>527</v>
      </c>
      <c r="BL19" t="s">
        <v>773</v>
      </c>
      <c r="BQ19" t="str">
        <v>BeatMiddle</v>
      </c>
    </row>
    <row r="20" spans="1:69" x14ac:dyDescent="0.2">
      <c r="A20" t="s">
        <v>392</v>
      </c>
      <c r="B20" t="s">
        <v>33</v>
      </c>
      <c r="C20" t="s">
        <v>68</v>
      </c>
      <c r="AB20" t="s">
        <v>140</v>
      </c>
      <c r="AC20" t="s">
        <v>140</v>
      </c>
      <c r="BJ20" t="s">
        <v>307</v>
      </c>
      <c r="BK20" t="s">
        <v>150</v>
      </c>
      <c r="BL20" t="s">
        <v>558</v>
      </c>
      <c r="BQ20" t="str">
        <v>BeatSpeed</v>
      </c>
    </row>
    <row r="21" spans="1:69" x14ac:dyDescent="0.2">
      <c r="A21" t="s">
        <v>393</v>
      </c>
      <c r="B21" t="s">
        <v>34</v>
      </c>
      <c r="C21" t="s">
        <v>69</v>
      </c>
      <c r="AB21" t="s">
        <v>141</v>
      </c>
      <c r="AC21" t="s">
        <v>141</v>
      </c>
      <c r="BJ21" t="s">
        <v>308</v>
      </c>
      <c r="BK21" t="s">
        <v>149</v>
      </c>
      <c r="BL21" t="s">
        <v>161</v>
      </c>
      <c r="BQ21" t="str">
        <v>BeatWide</v>
      </c>
    </row>
    <row r="22" spans="1:69" x14ac:dyDescent="0.2">
      <c r="A22" t="s">
        <v>398</v>
      </c>
      <c r="B22" t="s">
        <v>35</v>
      </c>
      <c r="C22" t="s">
        <v>70</v>
      </c>
      <c r="BJ22" t="s">
        <v>309</v>
      </c>
      <c r="BK22" t="s">
        <v>145</v>
      </c>
      <c r="BL22" t="s">
        <v>584</v>
      </c>
      <c r="BQ22" t="str">
        <v>BlockedShot</v>
      </c>
    </row>
    <row r="23" spans="1:69" x14ac:dyDescent="0.2">
      <c r="A23" t="s">
        <v>287</v>
      </c>
      <c r="B23" t="s">
        <v>10</v>
      </c>
      <c r="C23" t="s">
        <v>71</v>
      </c>
      <c r="BJ23" t="s">
        <v>310</v>
      </c>
      <c r="BK23" t="s">
        <v>143</v>
      </c>
      <c r="BL23" t="s">
        <v>760</v>
      </c>
      <c r="BQ23" t="str">
        <v>BoxOut</v>
      </c>
    </row>
    <row r="24" spans="1:69" x14ac:dyDescent="0.2">
      <c r="A24" t="s">
        <v>400</v>
      </c>
      <c r="B24" t="s">
        <v>36</v>
      </c>
      <c r="C24" t="s">
        <v>72</v>
      </c>
      <c r="BJ24" t="s">
        <v>311</v>
      </c>
      <c r="BK24" t="s">
        <v>146</v>
      </c>
      <c r="BL24" t="s">
        <v>762</v>
      </c>
      <c r="BQ24" t="str">
        <v>Breakout</v>
      </c>
    </row>
    <row r="25" spans="1:69" x14ac:dyDescent="0.2">
      <c r="A25" t="s">
        <v>417</v>
      </c>
      <c r="B25" t="s">
        <v>37</v>
      </c>
      <c r="C25" t="s">
        <v>73</v>
      </c>
      <c r="BJ25" t="s">
        <v>312</v>
      </c>
      <c r="BK25" t="s">
        <v>147</v>
      </c>
      <c r="BL25" t="s">
        <v>761</v>
      </c>
      <c r="BQ25" t="str">
        <v>CededZoneEntry</v>
      </c>
    </row>
    <row r="26" spans="1:69" x14ac:dyDescent="0.2">
      <c r="A26" t="s">
        <v>529</v>
      </c>
      <c r="B26" t="s">
        <v>38</v>
      </c>
      <c r="C26" t="s">
        <v>74</v>
      </c>
      <c r="BJ26" t="s">
        <v>313</v>
      </c>
      <c r="BK26" t="s">
        <v>144</v>
      </c>
      <c r="BL26" t="s">
        <v>759</v>
      </c>
      <c r="BQ26" t="str">
        <v>CededZoneExit</v>
      </c>
    </row>
    <row r="27" spans="1:69" x14ac:dyDescent="0.2">
      <c r="B27" t="s">
        <v>39</v>
      </c>
      <c r="C27" t="s">
        <v>75</v>
      </c>
      <c r="BJ27" t="s">
        <v>314</v>
      </c>
      <c r="BK27" t="s">
        <v>537</v>
      </c>
      <c r="BL27" t="s">
        <v>786</v>
      </c>
      <c r="BQ27" t="str">
        <v>Chip</v>
      </c>
    </row>
    <row r="28" spans="1:69" x14ac:dyDescent="0.2">
      <c r="B28" t="s">
        <v>40</v>
      </c>
      <c r="C28" t="s">
        <v>76</v>
      </c>
      <c r="BJ28" t="s">
        <v>315</v>
      </c>
      <c r="BK28" t="s">
        <v>153</v>
      </c>
      <c r="BL28" t="s">
        <v>154</v>
      </c>
      <c r="BQ28" t="str">
        <v>ClearingAttempt</v>
      </c>
    </row>
    <row r="29" spans="1:69" x14ac:dyDescent="0.2">
      <c r="B29" t="s">
        <v>41</v>
      </c>
      <c r="C29" t="s">
        <v>77</v>
      </c>
      <c r="BJ29" t="s">
        <v>316</v>
      </c>
      <c r="BK29" t="s">
        <v>547</v>
      </c>
      <c r="BL29" t="s">
        <v>546</v>
      </c>
      <c r="BQ29" t="str">
        <v>Contain</v>
      </c>
    </row>
    <row r="30" spans="1:69" x14ac:dyDescent="0.2">
      <c r="B30" t="s">
        <v>42</v>
      </c>
      <c r="C30" t="s">
        <v>78</v>
      </c>
      <c r="BJ30" t="s">
        <v>317</v>
      </c>
      <c r="BK30" t="s">
        <v>545</v>
      </c>
      <c r="BL30" t="s">
        <v>757</v>
      </c>
      <c r="BQ30" t="str">
        <v>CrashNet</v>
      </c>
    </row>
    <row r="31" spans="1:69" x14ac:dyDescent="0.2">
      <c r="B31" t="s">
        <v>43</v>
      </c>
      <c r="C31" t="s">
        <v>79</v>
      </c>
      <c r="BJ31" t="s">
        <v>318</v>
      </c>
      <c r="BK31" t="s">
        <v>763</v>
      </c>
      <c r="BL31" t="s">
        <v>566</v>
      </c>
      <c r="BQ31" t="str">
        <v>CutBack</v>
      </c>
    </row>
    <row r="32" spans="1:69" x14ac:dyDescent="0.2">
      <c r="B32" t="s">
        <v>44</v>
      </c>
      <c r="C32" t="s">
        <v>80</v>
      </c>
      <c r="BJ32" t="s">
        <v>319</v>
      </c>
      <c r="BK32" t="s">
        <v>554</v>
      </c>
      <c r="BL32" t="s">
        <v>765</v>
      </c>
      <c r="BQ32" t="str">
        <v>Cycle</v>
      </c>
    </row>
    <row r="33" spans="2:69" x14ac:dyDescent="0.2">
      <c r="B33" t="s">
        <v>45</v>
      </c>
      <c r="C33" t="s">
        <v>81</v>
      </c>
      <c r="BJ33" t="s">
        <v>320</v>
      </c>
      <c r="BK33" t="s">
        <v>154</v>
      </c>
      <c r="BL33" t="s">
        <v>764</v>
      </c>
      <c r="BQ33" t="str">
        <v>DeflectedShot</v>
      </c>
    </row>
    <row r="34" spans="2:69" x14ac:dyDescent="0.2">
      <c r="B34" t="s">
        <v>46</v>
      </c>
      <c r="C34" t="s">
        <v>82</v>
      </c>
      <c r="BJ34" t="s">
        <v>321</v>
      </c>
      <c r="BK34" t="s">
        <v>546</v>
      </c>
      <c r="BL34" t="s">
        <v>563</v>
      </c>
      <c r="BQ34" t="str">
        <v>Deke</v>
      </c>
    </row>
    <row r="35" spans="2:69" x14ac:dyDescent="0.2">
      <c r="B35" t="s">
        <v>47</v>
      </c>
      <c r="C35" t="s">
        <v>83</v>
      </c>
      <c r="BJ35" t="s">
        <v>322</v>
      </c>
      <c r="BK35" t="s">
        <v>549</v>
      </c>
      <c r="BL35" t="s">
        <v>782</v>
      </c>
      <c r="BQ35" t="str">
        <v>Delay</v>
      </c>
    </row>
    <row r="36" spans="2:69" x14ac:dyDescent="0.2">
      <c r="B36" t="s">
        <v>48</v>
      </c>
      <c r="C36" t="s">
        <v>84</v>
      </c>
      <c r="BJ36" t="s">
        <v>323</v>
      </c>
      <c r="BK36" t="s">
        <v>765</v>
      </c>
      <c r="BL36" t="s">
        <v>557</v>
      </c>
      <c r="BQ36" t="str">
        <v>DelayedOffside</v>
      </c>
    </row>
    <row r="37" spans="2:69" x14ac:dyDescent="0.2">
      <c r="B37" t="s">
        <v>49</v>
      </c>
      <c r="C37" t="s">
        <v>85</v>
      </c>
      <c r="BJ37" t="s">
        <v>324</v>
      </c>
      <c r="BK37" t="s">
        <v>764</v>
      </c>
      <c r="BL37" t="s">
        <v>562</v>
      </c>
      <c r="BQ37" t="str">
        <v>DriveCorner</v>
      </c>
    </row>
    <row r="38" spans="2:69" x14ac:dyDescent="0.2">
      <c r="B38" t="s">
        <v>167</v>
      </c>
      <c r="C38" t="s">
        <v>86</v>
      </c>
      <c r="BJ38" t="s">
        <v>325</v>
      </c>
      <c r="BK38" t="s">
        <v>785</v>
      </c>
      <c r="BL38" t="s">
        <v>156</v>
      </c>
      <c r="BQ38" t="str">
        <v>DriveMiddle</v>
      </c>
    </row>
    <row r="39" spans="2:69" x14ac:dyDescent="0.2">
      <c r="B39" t="s">
        <v>168</v>
      </c>
      <c r="C39" t="s">
        <v>87</v>
      </c>
      <c r="BJ39" t="s">
        <v>326</v>
      </c>
      <c r="BK39" t="s">
        <v>784</v>
      </c>
      <c r="BL39" t="s">
        <v>559</v>
      </c>
      <c r="BQ39" t="str">
        <v>DriveNetMiddle</v>
      </c>
    </row>
    <row r="40" spans="2:69" x14ac:dyDescent="0.2">
      <c r="B40" t="s">
        <v>15</v>
      </c>
      <c r="C40" t="s">
        <v>88</v>
      </c>
      <c r="BJ40" t="s">
        <v>327</v>
      </c>
      <c r="BK40" t="s">
        <v>540</v>
      </c>
      <c r="BL40" t="s">
        <v>579</v>
      </c>
      <c r="BQ40" t="str">
        <v>DriveNetWide</v>
      </c>
    </row>
    <row r="41" spans="2:69" x14ac:dyDescent="0.2">
      <c r="B41" t="s">
        <v>241</v>
      </c>
      <c r="C41" t="s">
        <v>89</v>
      </c>
      <c r="BJ41" t="s">
        <v>328</v>
      </c>
      <c r="BK41" t="s">
        <v>152</v>
      </c>
      <c r="BL41" t="s">
        <v>776</v>
      </c>
      <c r="BQ41" t="str">
        <v>DriveWide</v>
      </c>
    </row>
    <row r="42" spans="2:69" x14ac:dyDescent="0.2">
      <c r="B42" t="s">
        <v>230</v>
      </c>
      <c r="C42" t="s">
        <v>90</v>
      </c>
      <c r="BJ42" t="s">
        <v>329</v>
      </c>
      <c r="BK42" t="s">
        <v>876</v>
      </c>
      <c r="BL42" t="s">
        <v>778</v>
      </c>
      <c r="BQ42" t="str">
        <v>Dump/RimInZone</v>
      </c>
    </row>
    <row r="43" spans="2:69" x14ac:dyDescent="0.2">
      <c r="B43" t="s">
        <v>399</v>
      </c>
      <c r="C43" t="s">
        <v>91</v>
      </c>
      <c r="BJ43" t="s">
        <v>330</v>
      </c>
      <c r="BK43" t="s">
        <v>877</v>
      </c>
      <c r="BL43" t="s">
        <v>582</v>
      </c>
      <c r="BQ43" t="str">
        <v>DumpChase</v>
      </c>
    </row>
    <row r="44" spans="2:69" x14ac:dyDescent="0.2">
      <c r="C44" t="s">
        <v>92</v>
      </c>
      <c r="BJ44" t="s">
        <v>331</v>
      </c>
      <c r="BK44" t="s">
        <v>878</v>
      </c>
      <c r="BL44" t="s">
        <v>585</v>
      </c>
      <c r="BQ44" t="str">
        <v>DumpInAttempt</v>
      </c>
    </row>
    <row r="45" spans="2:69" x14ac:dyDescent="0.2">
      <c r="C45" t="s">
        <v>93</v>
      </c>
      <c r="BJ45" t="s">
        <v>332</v>
      </c>
      <c r="BK45" t="s">
        <v>879</v>
      </c>
      <c r="BL45" t="s">
        <v>580</v>
      </c>
      <c r="BQ45" t="str">
        <v>EndToEndRush</v>
      </c>
    </row>
    <row r="46" spans="2:69" x14ac:dyDescent="0.2">
      <c r="C46" t="s">
        <v>94</v>
      </c>
      <c r="BJ46" t="s">
        <v>333</v>
      </c>
      <c r="BK46" t="s">
        <v>880</v>
      </c>
      <c r="BL46" t="s">
        <v>581</v>
      </c>
      <c r="BQ46" t="str">
        <v>FakeShot</v>
      </c>
    </row>
    <row r="47" spans="2:69" x14ac:dyDescent="0.2">
      <c r="C47" t="s">
        <v>95</v>
      </c>
      <c r="BJ47" t="s">
        <v>334</v>
      </c>
      <c r="BK47" t="s">
        <v>881</v>
      </c>
      <c r="BL47" t="s">
        <v>775</v>
      </c>
      <c r="BQ47" t="str">
        <v>ForcedDumpin/Clear</v>
      </c>
    </row>
    <row r="48" spans="2:69" x14ac:dyDescent="0.2">
      <c r="C48" t="s">
        <v>96</v>
      </c>
      <c r="BJ48" t="s">
        <v>335</v>
      </c>
      <c r="BK48" t="s">
        <v>882</v>
      </c>
      <c r="BL48" t="s">
        <v>777</v>
      </c>
      <c r="BQ48" t="str">
        <v>ForcedLostPossession</v>
      </c>
    </row>
    <row r="49" spans="3:69" x14ac:dyDescent="0.2">
      <c r="C49" t="s">
        <v>97</v>
      </c>
      <c r="BJ49" t="s">
        <v>336</v>
      </c>
      <c r="BK49" t="s">
        <v>877</v>
      </c>
      <c r="BL49" t="s">
        <v>544</v>
      </c>
      <c r="BQ49" t="str">
        <v>ForcedMissedPass</v>
      </c>
    </row>
    <row r="50" spans="3:69" x14ac:dyDescent="0.2">
      <c r="C50" t="s">
        <v>98</v>
      </c>
      <c r="BJ50" t="s">
        <v>337</v>
      </c>
      <c r="BK50" t="s">
        <v>878</v>
      </c>
      <c r="BL50" t="s">
        <v>543</v>
      </c>
      <c r="BQ50" t="str">
        <v>ForcedMissedShot</v>
      </c>
    </row>
    <row r="51" spans="3:69" x14ac:dyDescent="0.2">
      <c r="C51" t="s">
        <v>99</v>
      </c>
      <c r="BJ51" t="s">
        <v>338</v>
      </c>
      <c r="BK51" t="s">
        <v>879</v>
      </c>
      <c r="BL51" t="s">
        <v>541</v>
      </c>
      <c r="BQ51" t="str">
        <v>ForcedTurnover</v>
      </c>
    </row>
    <row r="52" spans="3:69" x14ac:dyDescent="0.2">
      <c r="C52" t="s">
        <v>100</v>
      </c>
      <c r="BJ52" t="s">
        <v>339</v>
      </c>
      <c r="BK52" t="s">
        <v>880</v>
      </c>
      <c r="BL52" t="s">
        <v>583</v>
      </c>
      <c r="BQ52" t="str">
        <v>ForceWide</v>
      </c>
    </row>
    <row r="53" spans="3:69" x14ac:dyDescent="0.2">
      <c r="C53" t="s">
        <v>101</v>
      </c>
      <c r="BJ53" t="s">
        <v>340</v>
      </c>
      <c r="BK53" t="s">
        <v>881</v>
      </c>
      <c r="BL53" t="s">
        <v>542</v>
      </c>
      <c r="BQ53" t="str">
        <v>ForecedOutside</v>
      </c>
    </row>
    <row r="54" spans="3:69" x14ac:dyDescent="0.2">
      <c r="C54" t="s">
        <v>102</v>
      </c>
      <c r="BJ54" t="s">
        <v>341</v>
      </c>
      <c r="BK54" t="s">
        <v>882</v>
      </c>
      <c r="BL54" t="s">
        <v>779</v>
      </c>
      <c r="BQ54" t="str">
        <v>Forecheck</v>
      </c>
    </row>
    <row r="55" spans="3:69" x14ac:dyDescent="0.2">
      <c r="C55" t="s">
        <v>103</v>
      </c>
      <c r="BJ55" t="s">
        <v>342</v>
      </c>
      <c r="BK55" t="s">
        <v>883</v>
      </c>
      <c r="BL55" t="s">
        <v>158</v>
      </c>
      <c r="BQ55" t="str">
        <v>FrontofNet</v>
      </c>
    </row>
    <row r="56" spans="3:69" x14ac:dyDescent="0.2">
      <c r="C56" t="s">
        <v>104</v>
      </c>
      <c r="BJ56" t="s">
        <v>290</v>
      </c>
      <c r="BK56" t="s">
        <v>884</v>
      </c>
      <c r="BL56" t="s">
        <v>567</v>
      </c>
      <c r="BQ56" t="str">
        <v>GapControl</v>
      </c>
    </row>
    <row r="57" spans="3:69" x14ac:dyDescent="0.2">
      <c r="C57" t="s">
        <v>39</v>
      </c>
      <c r="BJ57" t="s">
        <v>520</v>
      </c>
      <c r="BK57" t="s">
        <v>552</v>
      </c>
      <c r="BL57" t="s">
        <v>783</v>
      </c>
      <c r="BQ57" t="str">
        <v>GiveAndGo</v>
      </c>
    </row>
    <row r="58" spans="3:69" x14ac:dyDescent="0.2">
      <c r="C58" t="s">
        <v>105</v>
      </c>
      <c r="BJ58" t="s">
        <v>400</v>
      </c>
      <c r="BK58" t="s">
        <v>593</v>
      </c>
      <c r="BL58" t="s">
        <v>565</v>
      </c>
      <c r="BQ58" t="str">
        <v>InShotPassLane</v>
      </c>
    </row>
    <row r="59" spans="3:69" x14ac:dyDescent="0.2">
      <c r="C59" t="s">
        <v>41</v>
      </c>
      <c r="BK59" t="s">
        <v>574</v>
      </c>
      <c r="BL59" t="s">
        <v>564</v>
      </c>
      <c r="BQ59" t="str">
        <v>LoosePuckBattleLost</v>
      </c>
    </row>
    <row r="60" spans="3:69" x14ac:dyDescent="0.2">
      <c r="C60" t="s">
        <v>106</v>
      </c>
      <c r="BK60" t="s">
        <v>780</v>
      </c>
      <c r="BL60" t="s">
        <v>555</v>
      </c>
      <c r="BQ60" t="str">
        <v>LoosePuckBattleWon</v>
      </c>
    </row>
    <row r="61" spans="3:69" x14ac:dyDescent="0.2">
      <c r="C61" t="s">
        <v>107</v>
      </c>
      <c r="BK61" t="s">
        <v>551</v>
      </c>
      <c r="BL61" t="s">
        <v>560</v>
      </c>
      <c r="BQ61" t="str">
        <v>LostPuck</v>
      </c>
    </row>
    <row r="62" spans="3:69" x14ac:dyDescent="0.2">
      <c r="C62" t="s">
        <v>108</v>
      </c>
      <c r="BK62" t="s">
        <v>553</v>
      </c>
      <c r="BL62" t="s">
        <v>561</v>
      </c>
      <c r="BQ62" t="str">
        <v>ManOnMan</v>
      </c>
    </row>
    <row r="63" spans="3:69" x14ac:dyDescent="0.2">
      <c r="C63" t="s">
        <v>109</v>
      </c>
      <c r="BK63" t="s">
        <v>576</v>
      </c>
      <c r="BQ63" t="str">
        <v>MisplayedPuck</v>
      </c>
    </row>
    <row r="64" spans="3:69" x14ac:dyDescent="0.2">
      <c r="C64" t="s">
        <v>110</v>
      </c>
      <c r="BK64" t="s">
        <v>155</v>
      </c>
      <c r="BQ64" t="str">
        <v>OpenIceDeke</v>
      </c>
    </row>
    <row r="65" spans="3:69" x14ac:dyDescent="0.2">
      <c r="C65" t="s">
        <v>111</v>
      </c>
      <c r="BK65" t="s">
        <v>550</v>
      </c>
      <c r="BQ65" t="str">
        <v>Other</v>
      </c>
    </row>
    <row r="66" spans="3:69" x14ac:dyDescent="0.2">
      <c r="C66" t="s">
        <v>112</v>
      </c>
      <c r="BK66" t="s">
        <v>781</v>
      </c>
      <c r="BQ66" t="str">
        <v>PassDeflected</v>
      </c>
    </row>
    <row r="67" spans="3:69" x14ac:dyDescent="0.2">
      <c r="C67" t="s">
        <v>113</v>
      </c>
      <c r="BK67" t="s">
        <v>787</v>
      </c>
      <c r="BQ67" t="str">
        <v>PassForTip</v>
      </c>
    </row>
    <row r="68" spans="3:69" x14ac:dyDescent="0.2">
      <c r="C68" t="s">
        <v>114</v>
      </c>
      <c r="BK68" t="s">
        <v>769</v>
      </c>
      <c r="BQ68" t="str">
        <v>PassIntercepted</v>
      </c>
    </row>
    <row r="69" spans="3:69" x14ac:dyDescent="0.2">
      <c r="C69" t="s">
        <v>115</v>
      </c>
      <c r="BK69" t="s">
        <v>767</v>
      </c>
      <c r="BQ69" t="str">
        <v>PenaltyKillClear</v>
      </c>
    </row>
    <row r="70" spans="3:69" x14ac:dyDescent="0.2">
      <c r="C70" t="s">
        <v>116</v>
      </c>
      <c r="BK70" t="s">
        <v>768</v>
      </c>
      <c r="BQ70" t="str">
        <v>PokeCheck</v>
      </c>
    </row>
    <row r="71" spans="3:69" x14ac:dyDescent="0.2">
      <c r="C71" t="s">
        <v>117</v>
      </c>
      <c r="BK71" t="s">
        <v>770</v>
      </c>
      <c r="BQ71" t="str">
        <v>Pressure</v>
      </c>
    </row>
    <row r="72" spans="3:69" x14ac:dyDescent="0.2">
      <c r="C72" t="s">
        <v>118</v>
      </c>
      <c r="BK72" t="s">
        <v>771</v>
      </c>
      <c r="BQ72" t="str">
        <v>PuckRecoveryRetreivalAttemptedClear</v>
      </c>
    </row>
    <row r="73" spans="3:69" x14ac:dyDescent="0.2">
      <c r="C73" t="s">
        <v>119</v>
      </c>
      <c r="BK73" t="s">
        <v>772</v>
      </c>
      <c r="BQ73" t="str">
        <v>PuckRecoveryRetreivalClear</v>
      </c>
    </row>
    <row r="74" spans="3:69" x14ac:dyDescent="0.2">
      <c r="C74" t="s">
        <v>120</v>
      </c>
      <c r="BK74" t="s">
        <v>766</v>
      </c>
      <c r="BQ74" t="str">
        <v>PuckRecoveryRetreivalDumpIn</v>
      </c>
    </row>
    <row r="75" spans="3:69" x14ac:dyDescent="0.2">
      <c r="C75" t="s">
        <v>121</v>
      </c>
      <c r="BK75" t="s">
        <v>159</v>
      </c>
      <c r="BQ75" t="str">
        <v>PuckRecoveryRetreivalFaceoff</v>
      </c>
    </row>
    <row r="76" spans="3:69" x14ac:dyDescent="0.2">
      <c r="C76" t="s">
        <v>122</v>
      </c>
      <c r="BK76" t="s">
        <v>164</v>
      </c>
      <c r="BQ76" t="str">
        <v>PuckRecoveryRetreivalLoosePuckBattle</v>
      </c>
    </row>
    <row r="77" spans="3:69" x14ac:dyDescent="0.2">
      <c r="C77" t="s">
        <v>123</v>
      </c>
      <c r="BK77" t="s">
        <v>758</v>
      </c>
      <c r="BQ77" t="str">
        <v>PuckRecoveryRetreivalOther</v>
      </c>
    </row>
    <row r="78" spans="3:69" x14ac:dyDescent="0.2">
      <c r="C78" t="s">
        <v>124</v>
      </c>
      <c r="BK78" t="s">
        <v>162</v>
      </c>
      <c r="BQ78" t="str">
        <v>PuckRecoveryRetreivalPass</v>
      </c>
    </row>
    <row r="79" spans="3:69" x14ac:dyDescent="0.2">
      <c r="C79" t="s">
        <v>125</v>
      </c>
      <c r="BK79" t="s">
        <v>165</v>
      </c>
      <c r="BQ79" t="str">
        <v>PuckRecoveryRetreivalRebound</v>
      </c>
    </row>
    <row r="80" spans="3:69" x14ac:dyDescent="0.2">
      <c r="C80" t="s">
        <v>126</v>
      </c>
      <c r="BK80" t="s">
        <v>163</v>
      </c>
      <c r="BQ80" t="str">
        <v>PuckRecoveryRetreivalShot</v>
      </c>
    </row>
    <row r="81" spans="3:69" x14ac:dyDescent="0.2">
      <c r="C81" t="s">
        <v>127</v>
      </c>
      <c r="BK81" t="s">
        <v>556</v>
      </c>
      <c r="BQ81" t="str">
        <v>PuckRecoveryRetreivalTurnover</v>
      </c>
    </row>
    <row r="82" spans="3:69" x14ac:dyDescent="0.2">
      <c r="C82" t="s">
        <v>128</v>
      </c>
      <c r="BK82" t="s">
        <v>166</v>
      </c>
      <c r="BQ82" t="str">
        <v>PuckRetrievalDumpIn</v>
      </c>
    </row>
    <row r="83" spans="3:69" x14ac:dyDescent="0.2">
      <c r="C83" t="s">
        <v>129</v>
      </c>
      <c r="BK83" t="s">
        <v>774</v>
      </c>
      <c r="BQ83" t="str">
        <v>PuckRetrievalRebound</v>
      </c>
    </row>
    <row r="84" spans="3:69" x14ac:dyDescent="0.2">
      <c r="C84" t="s">
        <v>130</v>
      </c>
      <c r="BK84" t="s">
        <v>773</v>
      </c>
      <c r="BQ84" t="str">
        <v>PuckRetrievalShot</v>
      </c>
    </row>
    <row r="85" spans="3:69" x14ac:dyDescent="0.2">
      <c r="C85" t="s">
        <v>131</v>
      </c>
      <c r="BK85" t="s">
        <v>558</v>
      </c>
      <c r="BQ85" t="str">
        <v>QuickUp</v>
      </c>
    </row>
    <row r="86" spans="3:69" x14ac:dyDescent="0.2">
      <c r="C86" t="s">
        <v>132</v>
      </c>
      <c r="BK86" t="s">
        <v>161</v>
      </c>
      <c r="BQ86" t="str">
        <v>ReceiverMissed</v>
      </c>
    </row>
    <row r="87" spans="3:69" x14ac:dyDescent="0.2">
      <c r="C87" t="s">
        <v>133</v>
      </c>
      <c r="BK87" t="s">
        <v>584</v>
      </c>
      <c r="BQ87" t="str">
        <v>RecoveryRetreivalDumpIn</v>
      </c>
    </row>
    <row r="88" spans="3:69" x14ac:dyDescent="0.2">
      <c r="C88" t="s">
        <v>134</v>
      </c>
      <c r="BK88" t="s">
        <v>760</v>
      </c>
      <c r="BQ88" t="str">
        <v>RecoveryRetreivalFaceoff</v>
      </c>
    </row>
    <row r="89" spans="3:69" x14ac:dyDescent="0.2">
      <c r="C89" t="s">
        <v>135</v>
      </c>
      <c r="BK89" t="s">
        <v>762</v>
      </c>
      <c r="BQ89" t="str">
        <v>RecoveryRetreivalOther</v>
      </c>
    </row>
    <row r="90" spans="3:69" x14ac:dyDescent="0.2">
      <c r="C90" t="s">
        <v>136</v>
      </c>
      <c r="BK90" t="s">
        <v>761</v>
      </c>
      <c r="BQ90" t="str">
        <v>RecoveryRetreivalPass</v>
      </c>
    </row>
    <row r="91" spans="3:69" x14ac:dyDescent="0.2">
      <c r="C91" t="s">
        <v>137</v>
      </c>
      <c r="BK91" t="s">
        <v>759</v>
      </c>
      <c r="BQ91" t="str">
        <v>RecoveryRetreivalRebound</v>
      </c>
    </row>
    <row r="92" spans="3:69" x14ac:dyDescent="0.2">
      <c r="C92" t="s">
        <v>138</v>
      </c>
      <c r="BK92" t="s">
        <v>786</v>
      </c>
      <c r="BQ92" t="str">
        <v>RecoveryRetreivalShot</v>
      </c>
    </row>
    <row r="93" spans="3:69" x14ac:dyDescent="0.2">
      <c r="C93" t="s">
        <v>139</v>
      </c>
      <c r="BK93" t="s">
        <v>154</v>
      </c>
      <c r="BQ93" t="str">
        <v>RecoveryRetreivalTurnover</v>
      </c>
    </row>
    <row r="94" spans="3:69" x14ac:dyDescent="0.2">
      <c r="C94" t="s">
        <v>140</v>
      </c>
      <c r="BK94" t="s">
        <v>546</v>
      </c>
      <c r="BQ94" t="str">
        <v>RecoveryRetrievalDumpIn</v>
      </c>
    </row>
    <row r="95" spans="3:69" x14ac:dyDescent="0.2">
      <c r="C95" t="s">
        <v>141</v>
      </c>
      <c r="BK95" t="s">
        <v>757</v>
      </c>
      <c r="BQ95" t="str">
        <v>RecoveryRetrievalShot</v>
      </c>
    </row>
    <row r="96" spans="3:69" x14ac:dyDescent="0.2">
      <c r="C96" t="s">
        <v>241</v>
      </c>
      <c r="BK96" t="s">
        <v>566</v>
      </c>
      <c r="BQ96" t="str">
        <v>Regroup</v>
      </c>
    </row>
    <row r="97" spans="3:69" x14ac:dyDescent="0.2">
      <c r="C97" t="s">
        <v>386</v>
      </c>
      <c r="BK97" t="s">
        <v>765</v>
      </c>
      <c r="BQ97" t="str">
        <v>RegroupClear</v>
      </c>
    </row>
    <row r="98" spans="3:69" x14ac:dyDescent="0.2">
      <c r="C98" t="s">
        <v>387</v>
      </c>
      <c r="BK98" t="s">
        <v>764</v>
      </c>
      <c r="BQ98" t="str">
        <v>RegroupDumpin</v>
      </c>
    </row>
    <row r="99" spans="3:69" x14ac:dyDescent="0.2">
      <c r="BK99" t="s">
        <v>563</v>
      </c>
      <c r="BQ99" t="str">
        <v>Reverse</v>
      </c>
    </row>
    <row r="100" spans="3:69" x14ac:dyDescent="0.2">
      <c r="BK100" t="s">
        <v>782</v>
      </c>
      <c r="BQ100" t="str">
        <v>Screen</v>
      </c>
    </row>
    <row r="101" spans="3:69" x14ac:dyDescent="0.2">
      <c r="BK101" t="s">
        <v>557</v>
      </c>
      <c r="BQ101" t="str">
        <v>SecondTouch</v>
      </c>
    </row>
    <row r="102" spans="3:69" x14ac:dyDescent="0.2">
      <c r="BK102" t="s">
        <v>562</v>
      </c>
      <c r="BQ102" t="str">
        <v>SeperateFromPuck</v>
      </c>
    </row>
    <row r="103" spans="3:69" x14ac:dyDescent="0.2">
      <c r="BK103" t="s">
        <v>156</v>
      </c>
      <c r="BQ103" t="str">
        <v>Speed</v>
      </c>
    </row>
    <row r="104" spans="3:69" x14ac:dyDescent="0.2">
      <c r="BK104" t="s">
        <v>559</v>
      </c>
      <c r="BQ104" t="str">
        <v>StickCheck</v>
      </c>
    </row>
    <row r="105" spans="3:69" x14ac:dyDescent="0.2">
      <c r="BK105" t="s">
        <v>866</v>
      </c>
      <c r="BQ105" t="str">
        <v>StoppedDeke</v>
      </c>
    </row>
    <row r="106" spans="3:69" x14ac:dyDescent="0.2">
      <c r="BK106" t="s">
        <v>867</v>
      </c>
      <c r="BQ106" t="str">
        <v>Surf</v>
      </c>
    </row>
    <row r="107" spans="3:69" x14ac:dyDescent="0.2">
      <c r="BK107" t="s">
        <v>868</v>
      </c>
      <c r="BQ107" t="str">
        <v>Tracker</v>
      </c>
    </row>
    <row r="108" spans="3:69" x14ac:dyDescent="0.2">
      <c r="BK108" t="s">
        <v>869</v>
      </c>
      <c r="BQ108" t="str">
        <v>Wheel</v>
      </c>
    </row>
    <row r="109" spans="3:69" x14ac:dyDescent="0.2">
      <c r="BK109" t="s">
        <v>870</v>
      </c>
      <c r="BQ109" t="str">
        <v>Zone</v>
      </c>
    </row>
    <row r="110" spans="3:69" x14ac:dyDescent="0.2">
      <c r="BK110" t="s">
        <v>871</v>
      </c>
      <c r="BQ110" t="str">
        <v>ZoneEntryDenial</v>
      </c>
    </row>
    <row r="111" spans="3:69" x14ac:dyDescent="0.2">
      <c r="BK111" t="s">
        <v>872</v>
      </c>
      <c r="BQ111" t="str">
        <v>ZoneExitDenial</v>
      </c>
    </row>
    <row r="112" spans="3:69" x14ac:dyDescent="0.2">
      <c r="BK112" t="s">
        <v>867</v>
      </c>
      <c r="BQ112" t="str">
        <v>ZoneKeepin</v>
      </c>
    </row>
    <row r="113" spans="63:69" x14ac:dyDescent="0.2">
      <c r="BK113" t="s">
        <v>868</v>
      </c>
      <c r="BQ113">
        <v>0</v>
      </c>
    </row>
    <row r="114" spans="63:69" x14ac:dyDescent="0.2">
      <c r="BK114" t="s">
        <v>869</v>
      </c>
    </row>
    <row r="115" spans="63:69" x14ac:dyDescent="0.2">
      <c r="BK115" t="s">
        <v>872</v>
      </c>
    </row>
    <row r="116" spans="63:69" x14ac:dyDescent="0.2">
      <c r="BK116" t="s">
        <v>541</v>
      </c>
    </row>
    <row r="117" spans="63:69" x14ac:dyDescent="0.2">
      <c r="BK117" t="s">
        <v>583</v>
      </c>
    </row>
    <row r="118" spans="63:69" x14ac:dyDescent="0.2">
      <c r="BK118" t="s">
        <v>542</v>
      </c>
    </row>
    <row r="119" spans="63:69" x14ac:dyDescent="0.2">
      <c r="BK119" t="s">
        <v>779</v>
      </c>
    </row>
    <row r="120" spans="63:69" x14ac:dyDescent="0.2">
      <c r="BK120" t="s">
        <v>158</v>
      </c>
    </row>
    <row r="121" spans="63:69" x14ac:dyDescent="0.2">
      <c r="BK121" t="s">
        <v>567</v>
      </c>
    </row>
    <row r="122" spans="63:69" x14ac:dyDescent="0.2">
      <c r="BK122" t="s">
        <v>783</v>
      </c>
    </row>
    <row r="123" spans="63:69" x14ac:dyDescent="0.2">
      <c r="BK123" t="s">
        <v>565</v>
      </c>
    </row>
    <row r="124" spans="63:69" x14ac:dyDescent="0.2">
      <c r="BK124" t="s">
        <v>564</v>
      </c>
    </row>
    <row r="125" spans="63:69" x14ac:dyDescent="0.2">
      <c r="BK125" t="s">
        <v>555</v>
      </c>
    </row>
    <row r="126" spans="63:69" x14ac:dyDescent="0.2">
      <c r="BK126" t="s">
        <v>560</v>
      </c>
    </row>
    <row r="127" spans="63:69" x14ac:dyDescent="0.2">
      <c r="BK127" t="s">
        <v>561</v>
      </c>
    </row>
    <row r="128" spans="63:69" x14ac:dyDescent="0.2">
      <c r="BK128" t="s">
        <v>808</v>
      </c>
    </row>
    <row r="129" spans="63:63" x14ac:dyDescent="0.2">
      <c r="BK129" t="s">
        <v>809</v>
      </c>
    </row>
    <row r="130" spans="63:63" x14ac:dyDescent="0.2">
      <c r="BK130" t="s">
        <v>873</v>
      </c>
    </row>
    <row r="131" spans="63:63" x14ac:dyDescent="0.2">
      <c r="BK131" t="s">
        <v>873</v>
      </c>
    </row>
    <row r="132" spans="63:63" x14ac:dyDescent="0.2">
      <c r="BK132" t="s">
        <v>874</v>
      </c>
    </row>
    <row r="133" spans="63:63" x14ac:dyDescent="0.2">
      <c r="BK133" t="s">
        <v>874</v>
      </c>
    </row>
    <row r="134" spans="63:63" x14ac:dyDescent="0.2">
      <c r="BK134" t="s">
        <v>875</v>
      </c>
    </row>
    <row r="135" spans="63:63" x14ac:dyDescent="0.2">
      <c r="BK135" t="s">
        <v>875</v>
      </c>
    </row>
    <row r="136" spans="63:63" x14ac:dyDescent="0.2">
      <c r="BK136" t="s">
        <v>858</v>
      </c>
    </row>
    <row r="137" spans="63:63" x14ac:dyDescent="0.2">
      <c r="BK137" t="s">
        <v>885</v>
      </c>
    </row>
    <row r="138" spans="63:63" x14ac:dyDescent="0.2">
      <c r="BK138" t="s">
        <v>886</v>
      </c>
    </row>
    <row r="139" spans="63:63" x14ac:dyDescent="0.2">
      <c r="BK139" t="s">
        <v>887</v>
      </c>
    </row>
  </sheetData>
  <sortState xmlns:xlrd2="http://schemas.microsoft.com/office/spreadsheetml/2017/richdata2" ref="BL2:BL60">
    <sortCondition ref="BL2:BL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sheetPr>
    <tabColor theme="7"/>
  </sheetPr>
  <dimension ref="A1:BC202"/>
  <sheetViews>
    <sheetView zoomScale="85" workbookViewId="0">
      <pane xSplit="8" ySplit="1" topLeftCell="I44" activePane="bottomRight" state="frozen"/>
      <selection pane="topRight" activeCell="I1" sqref="I1"/>
      <selection pane="bottomLeft" activeCell="A2" sqref="A2"/>
      <selection pane="bottomRight" activeCell="A68" sqref="A68:XFD68"/>
    </sheetView>
  </sheetViews>
  <sheetFormatPr baseColWidth="10" defaultRowHeight="16" x14ac:dyDescent="0.2"/>
  <cols>
    <col min="2" max="2" width="10.83203125" style="6"/>
    <col min="4" max="4" width="10.83203125" style="4" customWidth="1"/>
    <col min="6" max="6" width="10.83203125" style="4"/>
    <col min="7" max="7" width="10.83203125" style="6"/>
    <col min="8" max="8" width="10.83203125" style="5"/>
    <col min="14" max="14" width="10.83203125" hidden="1" customWidth="1"/>
    <col min="15" max="15" width="10.83203125" style="5"/>
    <col min="16" max="16" width="10.83203125" style="6"/>
    <col min="21" max="21" width="10.83203125" customWidth="1"/>
    <col min="23" max="23" width="10.83203125" style="6"/>
    <col min="24" max="24" width="10.83203125" style="6" customWidth="1"/>
    <col min="26" max="26" width="10.83203125" customWidth="1"/>
    <col min="28" max="28" width="10.83203125" customWidth="1"/>
    <col min="33" max="33" width="12.6640625" customWidth="1"/>
    <col min="44" max="44" width="34.6640625" customWidth="1"/>
  </cols>
  <sheetData>
    <row r="1" spans="1:55" s="2" customFormat="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2" t="s">
        <v>888</v>
      </c>
      <c r="AW1" s="2" t="s">
        <v>889</v>
      </c>
      <c r="AX1" s="2" t="s">
        <v>890</v>
      </c>
      <c r="AY1" s="2" t="s">
        <v>891</v>
      </c>
      <c r="AZ1" s="18" t="s">
        <v>396</v>
      </c>
      <c r="BA1" s="18" t="s">
        <v>403</v>
      </c>
      <c r="BB1" s="2" t="s">
        <v>404</v>
      </c>
      <c r="BC1" s="2" t="s">
        <v>405</v>
      </c>
    </row>
    <row r="2" spans="1:55" x14ac:dyDescent="0.2">
      <c r="A2">
        <v>1</v>
      </c>
      <c r="B2" s="6">
        <v>1</v>
      </c>
      <c r="C2">
        <v>18</v>
      </c>
      <c r="D2" s="4" t="s">
        <v>413</v>
      </c>
      <c r="E2">
        <v>17</v>
      </c>
      <c r="F2" s="4" t="s">
        <v>745</v>
      </c>
      <c r="G2" s="6" t="s">
        <v>287</v>
      </c>
      <c r="I2">
        <v>10</v>
      </c>
      <c r="J2">
        <v>15</v>
      </c>
      <c r="K2">
        <v>16</v>
      </c>
      <c r="L2">
        <v>23</v>
      </c>
      <c r="M2">
        <v>37</v>
      </c>
      <c r="O2" s="5">
        <v>31</v>
      </c>
      <c r="P2">
        <v>70</v>
      </c>
      <c r="Q2">
        <v>87</v>
      </c>
      <c r="R2">
        <v>75</v>
      </c>
      <c r="S2">
        <v>22</v>
      </c>
      <c r="T2">
        <v>84</v>
      </c>
      <c r="V2">
        <v>39</v>
      </c>
      <c r="W2" s="6">
        <f>SUMIFS(events!AJ:AJ,events!Q:Q,"=DeadIce",events!AK:AK,"&lt;="&amp;shifts!AG2,events!AL:AL,"&gt;"&amp;shifts!AH2,events!E:E,"="&amp;shifts!B3)+SUMIFS(events!AJ:AJ,events!Q:Q,"=Timeout",events!AK:AK,"&lt;="&amp;shifts!AG2,events!AL:AL,"&gt;"&amp;shifts!AH2,events!E:E,"="&amp;shifts!B3)</f>
        <v>0</v>
      </c>
      <c r="AB2">
        <v>1</v>
      </c>
      <c r="AD2" s="39">
        <v>18981</v>
      </c>
      <c r="AE2" s="39" t="s">
        <v>944</v>
      </c>
      <c r="AF2" s="39" t="s">
        <v>521</v>
      </c>
      <c r="AG2" s="4">
        <f>((C2*60)+D2)</f>
        <v>1080</v>
      </c>
      <c r="AH2" s="4">
        <f>((E2*60)+F2)</f>
        <v>1034</v>
      </c>
      <c r="AI2" s="14">
        <f>ROUND(AG2-AH2,0)</f>
        <v>46</v>
      </c>
      <c r="AJ2">
        <f>COUNTIF(I2:N2,"&gt;0")</f>
        <v>5</v>
      </c>
      <c r="AK2">
        <f>COUNTIF(P2:U2,"&gt;0")</f>
        <v>5</v>
      </c>
      <c r="AL2">
        <f>IF(O2="",1,0)</f>
        <v>0</v>
      </c>
      <c r="AM2">
        <f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 t="shared" ref="AP2:AQ4" si="0">IF(AN2=1,1,0)</f>
        <v>0</v>
      </c>
      <c r="AQ2">
        <f t="shared" si="0"/>
        <v>0</v>
      </c>
      <c r="AR2" t="str">
        <f>IF(AND(AJ2=5,AK2=5,AL2=0,AM2=0),"Full Strength",IF(AP2=1,"Away PowerPlay",IF(AO2=1,"Home PowerPlay",IF(AL2=1,"Home EmptyNet",IF(AM2=1,"Away EmptyNet","")))))</f>
        <v>Full Strength</v>
      </c>
      <c r="AS2" t="str">
        <f>IF(AND(AL2=0,AM2=0),AJ2&amp;"v"&amp;AK2,IF(AL2=1,AJ2&amp;"v"&amp;AK2&amp;" Home EN",IF(AM2=1,AJ2&amp;"v"&amp;AK2&amp;" Away EN","")))</f>
        <v>5v5</v>
      </c>
      <c r="AT2">
        <v>0</v>
      </c>
      <c r="AU2">
        <v>0</v>
      </c>
      <c r="AV2">
        <f>IF(AND($H2="Home Goal", AO2=0),1,0)</f>
        <v>0</v>
      </c>
      <c r="AW2">
        <f>IF(AX2=1,-1,0)</f>
        <v>0</v>
      </c>
      <c r="AX2">
        <f>IF(AND($H2="AwayGoal", AP2=0),1,0)</f>
        <v>0</v>
      </c>
      <c r="AY2">
        <f>IF(AV2=1,-1,0)</f>
        <v>0</v>
      </c>
      <c r="AZ2">
        <f>IFERROR(VLOOKUP(B2,events!AA:BN,40,FALSE),0)</f>
        <v>0</v>
      </c>
      <c r="BA2">
        <v>0</v>
      </c>
      <c r="BB2">
        <f>IF(BA2&lt;5,0,BA2-5)</f>
        <v>0</v>
      </c>
      <c r="BC2" s="4">
        <f>BB2+AI2+3</f>
        <v>49</v>
      </c>
    </row>
    <row r="3" spans="1:55" x14ac:dyDescent="0.2">
      <c r="A3">
        <v>2</v>
      </c>
      <c r="B3" s="6">
        <f t="shared" ref="B3:B66" si="1">IF(G3="PeriodStart",B2+1,B2)</f>
        <v>1</v>
      </c>
      <c r="C3">
        <f t="shared" ref="C3:C66" si="2">IF(G3&lt;&gt;"PeriodStart",E2,18)</f>
        <v>17</v>
      </c>
      <c r="D3" s="4" t="str">
        <f t="shared" ref="D3:D66" si="3">F2</f>
        <v>14</v>
      </c>
      <c r="E3">
        <v>17</v>
      </c>
      <c r="F3" s="4" t="s">
        <v>747</v>
      </c>
      <c r="I3">
        <v>79</v>
      </c>
      <c r="J3">
        <v>3</v>
      </c>
      <c r="K3">
        <v>44</v>
      </c>
      <c r="L3">
        <v>80</v>
      </c>
      <c r="M3">
        <v>37</v>
      </c>
      <c r="O3" s="5">
        <f>O2</f>
        <v>31</v>
      </c>
      <c r="P3">
        <v>70</v>
      </c>
      <c r="Q3">
        <v>87</v>
      </c>
      <c r="R3">
        <v>75</v>
      </c>
      <c r="S3">
        <v>22</v>
      </c>
      <c r="T3">
        <v>84</v>
      </c>
      <c r="V3">
        <f>V2</f>
        <v>39</v>
      </c>
      <c r="W3" s="6">
        <f>SUMIFS(events!AJ:AJ,events!Q:Q,"=DeadIce",events!AK:AK,"&lt;="&amp;shifts!AG3,events!AL:AL,"&gt;"&amp;shifts!AH3,events!E:E,"="&amp;shifts!B4)+SUMIFS(events!AJ:AJ,events!Q:Q,"=Timeout",events!AK:AK,"&lt;="&amp;shifts!AG3,events!AL:AL,"&gt;"&amp;shifts!AH3,events!E:E,"="&amp;shifts!B4)</f>
        <v>0</v>
      </c>
      <c r="X3" s="6" t="str">
        <f>IF(OR($H2="Home Goal",$H2="Away Goal",$H2="Period End"),"",IF(Y2=1,1,""))</f>
        <v/>
      </c>
      <c r="Z3" t="str">
        <f>IF(OR($H2="Home Goal",$H2="Away Goal",$H2="Period End"),"",IF(AA2=1,1,""))</f>
        <v/>
      </c>
      <c r="AA3">
        <v>1</v>
      </c>
      <c r="AB3" t="str">
        <f>IF(OR($H2="Home Goal",$H2="Away Goal",$H2="Period End"),1,IF(AC2=1,1,""))</f>
        <v/>
      </c>
      <c r="AD3" s="39">
        <v>18982</v>
      </c>
      <c r="AE3" s="39" t="s">
        <v>944</v>
      </c>
      <c r="AF3" s="39" t="s">
        <v>521</v>
      </c>
      <c r="AG3" s="4">
        <f>((C3*60)+D3)</f>
        <v>1034</v>
      </c>
      <c r="AH3" s="4">
        <f>((E3*60)+F3)</f>
        <v>1027</v>
      </c>
      <c r="AI3" s="14">
        <f>ROUND(AG3-AH3,0)</f>
        <v>7</v>
      </c>
      <c r="AJ3">
        <f>COUNTIF(I3:N3,"&gt;0")</f>
        <v>5</v>
      </c>
      <c r="AK3">
        <f>COUNTIF(P3:U3,"&gt;0")</f>
        <v>5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 t="shared" si="0"/>
        <v>0</v>
      </c>
      <c r="AQ3">
        <f t="shared" si="0"/>
        <v>0</v>
      </c>
      <c r="AR3" t="str">
        <f>IF(AND(AJ3=5,AK3=5,AL3=0,AM3=0),"Full Strength",IF(AP3=1,"Away PowerPlay",IF(AO3=1,"Home PowerPlay",IF(AL3=1,"Home EmptyNet",IF(AM3=1,"Away EmptyNet","")))))</f>
        <v>Full Strength</v>
      </c>
      <c r="AS3" t="str">
        <f>IF(AND(AL3=0,AM3=0),AJ3&amp;"v"&amp;AK3,IF(AL3=1,AJ3&amp;"v"&amp;AK3&amp;" Home EN",IF(AM3=1,AJ3&amp;"v"&amp;AK3&amp;" Away EN","")))</f>
        <v>5v5</v>
      </c>
      <c r="AT3">
        <f>IF($H2="Home Goal",AT2+1,AT2)</f>
        <v>0</v>
      </c>
      <c r="AU3">
        <f>IF($H2="Away Goal",AU2+1,AU2)</f>
        <v>0</v>
      </c>
      <c r="AV3">
        <f>IF(AND($H3="Home Goal", AO3=0),1,0)</f>
        <v>0</v>
      </c>
      <c r="AW3">
        <f>IF(AX3=1,-1,0)</f>
        <v>0</v>
      </c>
      <c r="AX3">
        <f>IF(AND($H3="Away Goal", AP3=0),1,0)</f>
        <v>0</v>
      </c>
      <c r="AY3">
        <f>IF(AV3=1,-1,0)</f>
        <v>0</v>
      </c>
      <c r="AZ3">
        <f>IFERROR(VLOOKUP(B3,events!AD:BR,37,FALSE),0)</f>
        <v>0</v>
      </c>
      <c r="BA3">
        <f>ROUND(IF(G3="Intermission",BA2,((1080)-((C3*60)+D3))+AZ3),0)</f>
        <v>46</v>
      </c>
      <c r="BB3">
        <f>IF(BA3&lt;5,0,BA3-5)</f>
        <v>41</v>
      </c>
      <c r="BC3" s="4">
        <f>BB3+AI3+3</f>
        <v>51</v>
      </c>
    </row>
    <row r="4" spans="1:55" x14ac:dyDescent="0.2">
      <c r="A4">
        <v>3</v>
      </c>
      <c r="B4" s="6">
        <f t="shared" si="1"/>
        <v>1</v>
      </c>
      <c r="C4">
        <f t="shared" si="2"/>
        <v>17</v>
      </c>
      <c r="D4" s="4" t="str">
        <f t="shared" si="3"/>
        <v>07</v>
      </c>
      <c r="E4">
        <v>17</v>
      </c>
      <c r="F4" s="4" t="s">
        <v>913</v>
      </c>
      <c r="H4" s="5" t="s">
        <v>301</v>
      </c>
      <c r="I4">
        <v>79</v>
      </c>
      <c r="J4">
        <v>3</v>
      </c>
      <c r="K4">
        <v>44</v>
      </c>
      <c r="L4">
        <v>80</v>
      </c>
      <c r="M4">
        <v>37</v>
      </c>
      <c r="O4" s="5">
        <f t="shared" ref="O4:O67" si="4">O3</f>
        <v>31</v>
      </c>
      <c r="P4">
        <v>70</v>
      </c>
      <c r="Q4">
        <v>91</v>
      </c>
      <c r="R4">
        <v>75</v>
      </c>
      <c r="S4">
        <v>22</v>
      </c>
      <c r="T4">
        <v>52</v>
      </c>
      <c r="V4">
        <f t="shared" ref="V4:V67" si="5">V3</f>
        <v>39</v>
      </c>
      <c r="W4" s="6">
        <f>SUMIFS(events!AJ:AJ,events!Q:Q,"=DeadIce",events!AK:AK,"&lt;="&amp;shifts!AG4,events!AL:AL,"&gt;"&amp;shifts!AH4,events!E:E,"="&amp;shifts!B5)+SUMIFS(events!AJ:AJ,events!Q:Q,"=Timeout",events!AK:AK,"&lt;="&amp;shifts!AG4,events!AL:AL,"&gt;"&amp;shifts!AH4,events!E:E,"="&amp;shifts!B5)</f>
        <v>0</v>
      </c>
      <c r="X4" s="6" t="str">
        <f t="shared" ref="X4:X67" si="6">IF(OR($H3="Home Goal",$H3="Away Goal",$H3="Period End"),"",IF(Y3=1,1,""))</f>
        <v/>
      </c>
      <c r="Z4">
        <f t="shared" ref="Z4:Z67" si="7">IF(OR($H3="Home Goal",$H3="Away Goal",$H3="Period End"),"",IF(AA3=1,1,""))</f>
        <v>1</v>
      </c>
      <c r="AA4">
        <v>1</v>
      </c>
      <c r="AB4" t="str">
        <f t="shared" ref="AB4:AB67" si="8">IF(OR($H3="Home Goal",$H3="Away Goal",$H3="Period End"),1,IF(AC3=1,1,""))</f>
        <v/>
      </c>
      <c r="AD4" s="39">
        <v>18983</v>
      </c>
      <c r="AE4" s="39" t="s">
        <v>944</v>
      </c>
      <c r="AF4" s="39" t="s">
        <v>521</v>
      </c>
      <c r="AG4" s="4">
        <f t="shared" ref="AG4:AG67" si="9">((C4*60)+D4)</f>
        <v>1027</v>
      </c>
      <c r="AH4" s="4">
        <f t="shared" ref="AH4:AH67" si="10">((E4*60)+F4)</f>
        <v>1022</v>
      </c>
      <c r="AI4" s="14">
        <f t="shared" ref="AI4:AI67" si="11">ROUND(AG4-AH4,0)</f>
        <v>5</v>
      </c>
      <c r="AJ4">
        <f t="shared" ref="AJ4:AJ67" si="12">COUNTIF(I4:N4,"&gt;0")</f>
        <v>5</v>
      </c>
      <c r="AK4">
        <f t="shared" ref="AK4:AK67" si="13">COUNTIF(P4:U4,"&gt;0")</f>
        <v>5</v>
      </c>
      <c r="AL4">
        <f t="shared" ref="AL4:AL67" si="14">IF(O4="",1,0)</f>
        <v>0</v>
      </c>
      <c r="AM4">
        <f t="shared" ref="AM4:AM67" si="15">IF(V4="",1,0)</f>
        <v>0</v>
      </c>
      <c r="AN4">
        <f t="shared" ref="AN4:AN67" si="16">IF(AND($AL4&lt;&gt;1,$AJ4&lt;$AK4,AM4&lt;&gt;1),1,)</f>
        <v>0</v>
      </c>
      <c r="AO4">
        <f t="shared" ref="AO4:AO67" si="17">IF(AND($AL4&lt;&gt;1,$AJ4&gt;$AK4),1,)</f>
        <v>0</v>
      </c>
      <c r="AP4">
        <f t="shared" ref="AP4:AP67" si="18">IF(AN4=1,1,0)</f>
        <v>0</v>
      </c>
      <c r="AQ4">
        <f t="shared" ref="AQ4:AQ67" si="19">IF(AO4=1,1,0)</f>
        <v>0</v>
      </c>
      <c r="AR4" t="str">
        <f t="shared" ref="AR4:AR67" si="20">IF(AND(AJ4=5,AK4=5,AL4=0,AM4=0),"Full Strength",IF(AP4=1,"Away PowerPlay",IF(AO4=1,"Home PowerPlay",IF(AL4=1,"Home EmptyNet",IF(AM4=1,"Away EmptyNet","")))))</f>
        <v>Full Strength</v>
      </c>
      <c r="AS4" t="str">
        <f t="shared" ref="AS4:AS67" si="21">IF(AND(AL4=0,AM4=0),AJ4&amp;"v"&amp;AK4,IF(AL4=1,AJ4&amp;"v"&amp;AK4&amp;" Home EN",IF(AM4=1,AJ4&amp;"v"&amp;AK4&amp;" Away EN","")))</f>
        <v>5v5</v>
      </c>
      <c r="AT4">
        <f t="shared" ref="AT4:AT67" si="22">IF($H3="Home Goal",AT3+1,AT3)</f>
        <v>0</v>
      </c>
      <c r="AU4">
        <f t="shared" ref="AU4:AU67" si="23">IF($H3="Away Goal",AU3+1,AU3)</f>
        <v>0</v>
      </c>
      <c r="AV4">
        <f t="shared" ref="AV4:AV67" si="24">IF(AND($H4="Home Goal", AO4=0),1,0)</f>
        <v>0</v>
      </c>
      <c r="AW4">
        <f t="shared" ref="AW4:AW67" si="25">IF(AX4=1,-1,0)</f>
        <v>0</v>
      </c>
      <c r="AX4">
        <f t="shared" ref="AX4:AX67" si="26">IF(AND($H4="Away Goal", AP4=0),1,0)</f>
        <v>0</v>
      </c>
      <c r="AY4">
        <f t="shared" ref="AY4:AY67" si="27">IF(AV4=1,-1,0)</f>
        <v>0</v>
      </c>
      <c r="AZ4">
        <f>IFERROR(VLOOKUP(B4,events!AD:BR,37,FALSE),0)</f>
        <v>0</v>
      </c>
      <c r="BA4">
        <f t="shared" ref="BA4:BA67" si="28">ROUND(IF(G4="Intermission",BA3,((1080)-((C4*60)+D4))+AZ4),0)</f>
        <v>53</v>
      </c>
      <c r="BB4">
        <f t="shared" ref="BB4:BB67" si="29">IF(BA4&lt;5,0,BA4-5)</f>
        <v>48</v>
      </c>
      <c r="BC4" s="4">
        <f t="shared" ref="BC4:BC67" si="30">BB4+AI4+3</f>
        <v>56</v>
      </c>
    </row>
    <row r="5" spans="1:55" x14ac:dyDescent="0.2">
      <c r="A5">
        <f t="shared" ref="A5:A68" si="31">A4+1</f>
        <v>4</v>
      </c>
      <c r="B5" s="6">
        <f t="shared" si="1"/>
        <v>1</v>
      </c>
      <c r="C5">
        <f t="shared" si="2"/>
        <v>17</v>
      </c>
      <c r="D5" s="4" t="str">
        <f t="shared" si="3"/>
        <v>02</v>
      </c>
      <c r="E5">
        <v>15</v>
      </c>
      <c r="F5" s="4" t="s">
        <v>924</v>
      </c>
      <c r="G5" s="6" t="s">
        <v>289</v>
      </c>
      <c r="I5">
        <v>79</v>
      </c>
      <c r="J5">
        <v>3</v>
      </c>
      <c r="K5">
        <v>44</v>
      </c>
      <c r="L5">
        <v>80</v>
      </c>
      <c r="M5">
        <v>8</v>
      </c>
      <c r="O5" s="5">
        <f t="shared" si="4"/>
        <v>31</v>
      </c>
      <c r="P5" s="6">
        <v>42</v>
      </c>
      <c r="Q5">
        <v>91</v>
      </c>
      <c r="R5">
        <v>24</v>
      </c>
      <c r="S5">
        <v>93</v>
      </c>
      <c r="T5">
        <v>52</v>
      </c>
      <c r="V5">
        <f t="shared" si="5"/>
        <v>39</v>
      </c>
      <c r="W5" s="6">
        <f>SUMIFS(events!AJ:AJ,events!Q:Q,"=DeadIce",events!AK:AK,"&lt;="&amp;shifts!AG5,events!AL:AL,"&gt;"&amp;shifts!AH5,events!E:E,"="&amp;shifts!B6)+SUMIFS(events!AJ:AJ,events!Q:Q,"=Timeout",events!AK:AK,"&lt;="&amp;shifts!AG5,events!AL:AL,"&gt;"&amp;shifts!AH5,events!E:E,"="&amp;shifts!B6)</f>
        <v>0</v>
      </c>
      <c r="X5" s="6" t="str">
        <f t="shared" si="6"/>
        <v/>
      </c>
      <c r="Z5">
        <f t="shared" si="7"/>
        <v>1</v>
      </c>
      <c r="AA5">
        <v>1</v>
      </c>
      <c r="AB5" t="str">
        <f t="shared" si="8"/>
        <v/>
      </c>
      <c r="AD5" s="39">
        <v>18984</v>
      </c>
      <c r="AE5" s="39" t="s">
        <v>944</v>
      </c>
      <c r="AF5" s="39" t="s">
        <v>521</v>
      </c>
      <c r="AG5" s="4">
        <f t="shared" si="9"/>
        <v>1022</v>
      </c>
      <c r="AH5" s="4">
        <f t="shared" si="10"/>
        <v>941</v>
      </c>
      <c r="AI5" s="14">
        <f t="shared" si="11"/>
        <v>81</v>
      </c>
      <c r="AJ5">
        <f t="shared" si="12"/>
        <v>5</v>
      </c>
      <c r="AK5">
        <f t="shared" si="13"/>
        <v>5</v>
      </c>
      <c r="AL5">
        <f t="shared" si="14"/>
        <v>0</v>
      </c>
      <c r="AM5">
        <f t="shared" si="15"/>
        <v>0</v>
      </c>
      <c r="AN5">
        <f t="shared" si="16"/>
        <v>0</v>
      </c>
      <c r="AO5">
        <f t="shared" si="17"/>
        <v>0</v>
      </c>
      <c r="AP5">
        <f t="shared" si="18"/>
        <v>0</v>
      </c>
      <c r="AQ5">
        <f t="shared" si="19"/>
        <v>0</v>
      </c>
      <c r="AR5" t="str">
        <f t="shared" si="20"/>
        <v>Full Strength</v>
      </c>
      <c r="AS5" t="str">
        <f t="shared" si="21"/>
        <v>5v5</v>
      </c>
      <c r="AT5">
        <f t="shared" si="22"/>
        <v>0</v>
      </c>
      <c r="AU5">
        <f t="shared" si="23"/>
        <v>0</v>
      </c>
      <c r="AV5">
        <f t="shared" si="24"/>
        <v>0</v>
      </c>
      <c r="AW5">
        <f t="shared" si="25"/>
        <v>0</v>
      </c>
      <c r="AX5">
        <f t="shared" si="26"/>
        <v>0</v>
      </c>
      <c r="AY5">
        <f t="shared" si="27"/>
        <v>0</v>
      </c>
      <c r="AZ5">
        <f>IFERROR(VLOOKUP(B5,events!AD:BR,37,FALSE),0)</f>
        <v>0</v>
      </c>
      <c r="BA5">
        <f t="shared" si="28"/>
        <v>58</v>
      </c>
      <c r="BB5">
        <f t="shared" si="29"/>
        <v>53</v>
      </c>
      <c r="BC5" s="4">
        <f t="shared" si="30"/>
        <v>137</v>
      </c>
    </row>
    <row r="6" spans="1:55" x14ac:dyDescent="0.2">
      <c r="A6">
        <f t="shared" si="31"/>
        <v>5</v>
      </c>
      <c r="B6" s="6">
        <f t="shared" si="1"/>
        <v>1</v>
      </c>
      <c r="C6">
        <f t="shared" si="2"/>
        <v>15</v>
      </c>
      <c r="D6" s="4" t="str">
        <f t="shared" si="3"/>
        <v>41</v>
      </c>
      <c r="E6">
        <v>15</v>
      </c>
      <c r="F6" s="4" t="s">
        <v>750</v>
      </c>
      <c r="H6" s="5" t="s">
        <v>341</v>
      </c>
      <c r="I6">
        <v>10</v>
      </c>
      <c r="J6">
        <v>3</v>
      </c>
      <c r="K6">
        <v>44</v>
      </c>
      <c r="L6">
        <v>80</v>
      </c>
      <c r="M6">
        <v>8</v>
      </c>
      <c r="O6" s="5">
        <f t="shared" si="4"/>
        <v>31</v>
      </c>
      <c r="P6" s="6">
        <v>42</v>
      </c>
      <c r="Q6">
        <v>91</v>
      </c>
      <c r="R6">
        <v>24</v>
      </c>
      <c r="S6">
        <v>93</v>
      </c>
      <c r="T6">
        <v>52</v>
      </c>
      <c r="V6">
        <f t="shared" si="5"/>
        <v>39</v>
      </c>
      <c r="W6" s="6">
        <f>SUMIFS(events!AJ:AJ,events!Q:Q,"=DeadIce",events!AK:AK,"&lt;="&amp;shifts!AG6,events!AL:AL,"&gt;"&amp;shifts!AH6,events!E:E,"="&amp;shifts!B7)+SUMIFS(events!AJ:AJ,events!Q:Q,"=Timeout",events!AK:AK,"&lt;="&amp;shifts!AG6,events!AL:AL,"&gt;"&amp;shifts!AH6,events!E:E,"="&amp;shifts!B7)</f>
        <v>0</v>
      </c>
      <c r="X6" s="6" t="str">
        <f t="shared" si="6"/>
        <v/>
      </c>
      <c r="Z6">
        <f t="shared" si="7"/>
        <v>1</v>
      </c>
      <c r="AA6">
        <v>1</v>
      </c>
      <c r="AB6" t="str">
        <f t="shared" si="8"/>
        <v/>
      </c>
      <c r="AD6" s="39">
        <v>18985</v>
      </c>
      <c r="AE6" s="39" t="s">
        <v>944</v>
      </c>
      <c r="AF6" s="39" t="s">
        <v>521</v>
      </c>
      <c r="AG6" s="4">
        <f t="shared" si="9"/>
        <v>941</v>
      </c>
      <c r="AH6" s="4">
        <f t="shared" si="10"/>
        <v>935</v>
      </c>
      <c r="AI6" s="14">
        <f t="shared" si="11"/>
        <v>6</v>
      </c>
      <c r="AJ6">
        <f t="shared" si="12"/>
        <v>5</v>
      </c>
      <c r="AK6">
        <f t="shared" si="13"/>
        <v>5</v>
      </c>
      <c r="AL6">
        <f t="shared" si="14"/>
        <v>0</v>
      </c>
      <c r="AM6">
        <f t="shared" si="15"/>
        <v>0</v>
      </c>
      <c r="AN6">
        <f t="shared" si="16"/>
        <v>0</v>
      </c>
      <c r="AO6">
        <f t="shared" si="17"/>
        <v>0</v>
      </c>
      <c r="AP6">
        <f t="shared" si="18"/>
        <v>0</v>
      </c>
      <c r="AQ6">
        <f t="shared" si="19"/>
        <v>0</v>
      </c>
      <c r="AR6" t="str">
        <f t="shared" si="20"/>
        <v>Full Strength</v>
      </c>
      <c r="AS6" t="str">
        <f t="shared" si="21"/>
        <v>5v5</v>
      </c>
      <c r="AT6">
        <f t="shared" si="22"/>
        <v>0</v>
      </c>
      <c r="AU6">
        <f t="shared" si="23"/>
        <v>0</v>
      </c>
      <c r="AV6">
        <f t="shared" si="24"/>
        <v>0</v>
      </c>
      <c r="AW6">
        <f t="shared" si="25"/>
        <v>0</v>
      </c>
      <c r="AX6">
        <f t="shared" si="26"/>
        <v>0</v>
      </c>
      <c r="AY6">
        <f t="shared" si="27"/>
        <v>0</v>
      </c>
      <c r="AZ6">
        <f>IFERROR(VLOOKUP(B6,events!AD:BR,37,FALSE),0)</f>
        <v>0</v>
      </c>
      <c r="BA6">
        <f t="shared" si="28"/>
        <v>139</v>
      </c>
      <c r="BB6">
        <f t="shared" si="29"/>
        <v>134</v>
      </c>
      <c r="BC6" s="4">
        <f t="shared" si="30"/>
        <v>143</v>
      </c>
    </row>
    <row r="7" spans="1:55" x14ac:dyDescent="0.2">
      <c r="A7">
        <f t="shared" si="31"/>
        <v>6</v>
      </c>
      <c r="B7" s="6">
        <f t="shared" si="1"/>
        <v>1</v>
      </c>
      <c r="C7">
        <f t="shared" si="2"/>
        <v>15</v>
      </c>
      <c r="D7" s="4" t="str">
        <f t="shared" si="3"/>
        <v>35</v>
      </c>
      <c r="E7">
        <v>13</v>
      </c>
      <c r="F7" s="4" t="s">
        <v>927</v>
      </c>
      <c r="G7" s="6" t="s">
        <v>289</v>
      </c>
      <c r="I7">
        <v>10</v>
      </c>
      <c r="J7">
        <v>7</v>
      </c>
      <c r="K7">
        <v>16</v>
      </c>
      <c r="L7">
        <v>23</v>
      </c>
      <c r="M7">
        <v>37</v>
      </c>
      <c r="O7" s="5">
        <f t="shared" si="4"/>
        <v>31</v>
      </c>
      <c r="P7" s="6">
        <v>49</v>
      </c>
      <c r="Q7">
        <v>14</v>
      </c>
      <c r="R7">
        <v>61</v>
      </c>
      <c r="S7">
        <v>9</v>
      </c>
      <c r="T7">
        <v>84</v>
      </c>
      <c r="V7">
        <f t="shared" si="5"/>
        <v>39</v>
      </c>
      <c r="W7" s="6">
        <f>SUMIFS(events!AJ:AJ,events!Q:Q,"=DeadIce",events!AK:AK,"&lt;="&amp;shifts!AG7,events!AL:AL,"&gt;"&amp;shifts!AH7,events!E:E,"="&amp;shifts!B8)+SUMIFS(events!AJ:AJ,events!Q:Q,"=Timeout",events!AK:AK,"&lt;="&amp;shifts!AG7,events!AL:AL,"&gt;"&amp;shifts!AH7,events!E:E,"="&amp;shifts!B8)</f>
        <v>0</v>
      </c>
      <c r="X7" s="6" t="str">
        <f t="shared" si="6"/>
        <v/>
      </c>
      <c r="Z7">
        <f t="shared" si="7"/>
        <v>1</v>
      </c>
      <c r="AA7">
        <v>1</v>
      </c>
      <c r="AB7" t="str">
        <f t="shared" si="8"/>
        <v/>
      </c>
      <c r="AD7" s="39">
        <v>18986</v>
      </c>
      <c r="AE7" s="39" t="s">
        <v>944</v>
      </c>
      <c r="AF7" s="39" t="s">
        <v>521</v>
      </c>
      <c r="AG7" s="4">
        <f t="shared" si="9"/>
        <v>935</v>
      </c>
      <c r="AH7" s="4">
        <f t="shared" si="10"/>
        <v>837</v>
      </c>
      <c r="AI7" s="14">
        <f t="shared" si="11"/>
        <v>98</v>
      </c>
      <c r="AJ7">
        <f t="shared" si="12"/>
        <v>5</v>
      </c>
      <c r="AK7">
        <f t="shared" si="13"/>
        <v>5</v>
      </c>
      <c r="AL7">
        <f t="shared" si="14"/>
        <v>0</v>
      </c>
      <c r="AM7">
        <f t="shared" si="15"/>
        <v>0</v>
      </c>
      <c r="AN7">
        <f t="shared" si="16"/>
        <v>0</v>
      </c>
      <c r="AO7">
        <f t="shared" si="17"/>
        <v>0</v>
      </c>
      <c r="AP7">
        <f t="shared" si="18"/>
        <v>0</v>
      </c>
      <c r="AQ7">
        <f t="shared" si="19"/>
        <v>0</v>
      </c>
      <c r="AR7" t="str">
        <f t="shared" si="20"/>
        <v>Full Strength</v>
      </c>
      <c r="AS7" t="str">
        <f t="shared" si="21"/>
        <v>5v5</v>
      </c>
      <c r="AT7">
        <f t="shared" si="22"/>
        <v>0</v>
      </c>
      <c r="AU7">
        <f t="shared" si="23"/>
        <v>0</v>
      </c>
      <c r="AV7">
        <f t="shared" si="24"/>
        <v>0</v>
      </c>
      <c r="AW7">
        <f t="shared" si="25"/>
        <v>0</v>
      </c>
      <c r="AX7">
        <f t="shared" si="26"/>
        <v>0</v>
      </c>
      <c r="AY7">
        <f t="shared" si="27"/>
        <v>0</v>
      </c>
      <c r="AZ7">
        <f>IFERROR(VLOOKUP(B7,events!AD:BR,37,FALSE),0)</f>
        <v>0</v>
      </c>
      <c r="BA7">
        <f t="shared" si="28"/>
        <v>145</v>
      </c>
      <c r="BB7">
        <f t="shared" si="29"/>
        <v>140</v>
      </c>
      <c r="BC7" s="4">
        <f t="shared" si="30"/>
        <v>241</v>
      </c>
    </row>
    <row r="8" spans="1:55" x14ac:dyDescent="0.2">
      <c r="A8">
        <f t="shared" si="31"/>
        <v>7</v>
      </c>
      <c r="B8" s="6">
        <f t="shared" si="1"/>
        <v>1</v>
      </c>
      <c r="C8">
        <f t="shared" si="2"/>
        <v>13</v>
      </c>
      <c r="D8" s="4" t="str">
        <f t="shared" si="3"/>
        <v>57</v>
      </c>
      <c r="E8">
        <v>13</v>
      </c>
      <c r="F8" s="4" t="s">
        <v>922</v>
      </c>
      <c r="I8">
        <v>10</v>
      </c>
      <c r="J8">
        <v>15</v>
      </c>
      <c r="K8">
        <v>16</v>
      </c>
      <c r="L8">
        <v>80</v>
      </c>
      <c r="M8">
        <v>37</v>
      </c>
      <c r="O8" s="5">
        <f t="shared" si="4"/>
        <v>31</v>
      </c>
      <c r="P8" s="6">
        <v>49</v>
      </c>
      <c r="Q8">
        <v>14</v>
      </c>
      <c r="R8">
        <v>61</v>
      </c>
      <c r="S8">
        <v>9</v>
      </c>
      <c r="T8">
        <v>84</v>
      </c>
      <c r="V8">
        <f t="shared" si="5"/>
        <v>39</v>
      </c>
      <c r="W8" s="6">
        <f>SUMIFS(events!AJ:AJ,events!Q:Q,"=DeadIce",events!AK:AK,"&lt;="&amp;shifts!AG8,events!AL:AL,"&gt;"&amp;shifts!AH8,events!E:E,"="&amp;shifts!B9)+SUMIFS(events!AJ:AJ,events!Q:Q,"=Timeout",events!AK:AK,"&lt;="&amp;shifts!AG8,events!AL:AL,"&gt;"&amp;shifts!AH8,events!E:E,"="&amp;shifts!B9)</f>
        <v>0</v>
      </c>
      <c r="X8" s="6" t="str">
        <f t="shared" si="6"/>
        <v/>
      </c>
      <c r="Z8">
        <f t="shared" si="7"/>
        <v>1</v>
      </c>
      <c r="AA8">
        <v>1</v>
      </c>
      <c r="AB8" t="str">
        <f t="shared" si="8"/>
        <v/>
      </c>
      <c r="AD8" s="39">
        <v>18987</v>
      </c>
      <c r="AE8" s="39" t="s">
        <v>944</v>
      </c>
      <c r="AF8" s="39" t="s">
        <v>521</v>
      </c>
      <c r="AG8" s="4">
        <f t="shared" si="9"/>
        <v>837</v>
      </c>
      <c r="AH8" s="4">
        <f t="shared" si="10"/>
        <v>830</v>
      </c>
      <c r="AI8" s="14">
        <f t="shared" si="11"/>
        <v>7</v>
      </c>
      <c r="AJ8">
        <f t="shared" si="12"/>
        <v>5</v>
      </c>
      <c r="AK8">
        <f t="shared" si="13"/>
        <v>5</v>
      </c>
      <c r="AL8">
        <f t="shared" si="14"/>
        <v>0</v>
      </c>
      <c r="AM8">
        <f t="shared" si="15"/>
        <v>0</v>
      </c>
      <c r="AN8">
        <f t="shared" si="16"/>
        <v>0</v>
      </c>
      <c r="AO8">
        <f t="shared" si="17"/>
        <v>0</v>
      </c>
      <c r="AP8">
        <f t="shared" si="18"/>
        <v>0</v>
      </c>
      <c r="AQ8">
        <f t="shared" si="19"/>
        <v>0</v>
      </c>
      <c r="AR8" t="str">
        <f t="shared" si="20"/>
        <v>Full Strength</v>
      </c>
      <c r="AS8" t="str">
        <f t="shared" si="21"/>
        <v>5v5</v>
      </c>
      <c r="AT8">
        <f t="shared" si="22"/>
        <v>0</v>
      </c>
      <c r="AU8">
        <f t="shared" si="23"/>
        <v>0</v>
      </c>
      <c r="AV8">
        <f t="shared" si="24"/>
        <v>0</v>
      </c>
      <c r="AW8">
        <f t="shared" si="25"/>
        <v>0</v>
      </c>
      <c r="AX8">
        <f t="shared" si="26"/>
        <v>0</v>
      </c>
      <c r="AY8">
        <f t="shared" si="27"/>
        <v>0</v>
      </c>
      <c r="AZ8">
        <f>IFERROR(VLOOKUP(B8,events!AD:BR,37,FALSE),0)</f>
        <v>0</v>
      </c>
      <c r="BA8">
        <f t="shared" si="28"/>
        <v>243</v>
      </c>
      <c r="BB8">
        <f t="shared" si="29"/>
        <v>238</v>
      </c>
      <c r="BC8" s="4">
        <f t="shared" si="30"/>
        <v>248</v>
      </c>
    </row>
    <row r="9" spans="1:55" x14ac:dyDescent="0.2">
      <c r="A9">
        <f t="shared" si="31"/>
        <v>8</v>
      </c>
      <c r="B9" s="6">
        <f t="shared" si="1"/>
        <v>1</v>
      </c>
      <c r="C9">
        <f t="shared" si="2"/>
        <v>13</v>
      </c>
      <c r="D9" s="4" t="str">
        <f t="shared" si="3"/>
        <v>50</v>
      </c>
      <c r="E9">
        <v>13</v>
      </c>
      <c r="F9" s="4" t="s">
        <v>935</v>
      </c>
      <c r="I9">
        <v>10</v>
      </c>
      <c r="J9">
        <v>15</v>
      </c>
      <c r="K9">
        <v>44</v>
      </c>
      <c r="L9">
        <v>80</v>
      </c>
      <c r="M9">
        <v>37</v>
      </c>
      <c r="O9" s="5">
        <f t="shared" si="4"/>
        <v>31</v>
      </c>
      <c r="P9" s="6">
        <v>49</v>
      </c>
      <c r="Q9">
        <v>14</v>
      </c>
      <c r="R9">
        <v>61</v>
      </c>
      <c r="S9">
        <v>9</v>
      </c>
      <c r="T9">
        <v>84</v>
      </c>
      <c r="V9">
        <f t="shared" si="5"/>
        <v>39</v>
      </c>
      <c r="W9" s="6">
        <f>SUMIFS(events!AJ:AJ,events!Q:Q,"=DeadIce",events!AK:AK,"&lt;="&amp;shifts!AG9,events!AL:AL,"&gt;"&amp;shifts!AH9,events!E:E,"="&amp;shifts!B10)+SUMIFS(events!AJ:AJ,events!Q:Q,"=Timeout",events!AK:AK,"&lt;="&amp;shifts!AG9,events!AL:AL,"&gt;"&amp;shifts!AH9,events!E:E,"="&amp;shifts!B10)</f>
        <v>0</v>
      </c>
      <c r="X9" s="6" t="str">
        <f t="shared" si="6"/>
        <v/>
      </c>
      <c r="Z9">
        <f t="shared" si="7"/>
        <v>1</v>
      </c>
      <c r="AA9">
        <v>1</v>
      </c>
      <c r="AB9" t="str">
        <f t="shared" si="8"/>
        <v/>
      </c>
      <c r="AD9" s="39">
        <v>18988</v>
      </c>
      <c r="AE9" s="39" t="s">
        <v>944</v>
      </c>
      <c r="AF9" s="39" t="s">
        <v>521</v>
      </c>
      <c r="AG9" s="4">
        <f t="shared" si="9"/>
        <v>830</v>
      </c>
      <c r="AH9" s="4">
        <f t="shared" si="10"/>
        <v>825</v>
      </c>
      <c r="AI9" s="14">
        <f t="shared" si="11"/>
        <v>5</v>
      </c>
      <c r="AJ9">
        <f t="shared" si="12"/>
        <v>5</v>
      </c>
      <c r="AK9">
        <f t="shared" si="13"/>
        <v>5</v>
      </c>
      <c r="AL9">
        <f t="shared" si="14"/>
        <v>0</v>
      </c>
      <c r="AM9">
        <f t="shared" si="15"/>
        <v>0</v>
      </c>
      <c r="AN9">
        <f t="shared" si="16"/>
        <v>0</v>
      </c>
      <c r="AO9">
        <f t="shared" si="17"/>
        <v>0</v>
      </c>
      <c r="AP9">
        <f t="shared" si="18"/>
        <v>0</v>
      </c>
      <c r="AQ9">
        <f t="shared" si="19"/>
        <v>0</v>
      </c>
      <c r="AR9" t="str">
        <f t="shared" si="20"/>
        <v>Full Strength</v>
      </c>
      <c r="AS9" t="str">
        <f t="shared" si="21"/>
        <v>5v5</v>
      </c>
      <c r="AT9">
        <f t="shared" si="22"/>
        <v>0</v>
      </c>
      <c r="AU9">
        <f t="shared" si="23"/>
        <v>0</v>
      </c>
      <c r="AV9">
        <f t="shared" si="24"/>
        <v>0</v>
      </c>
      <c r="AW9">
        <f t="shared" si="25"/>
        <v>0</v>
      </c>
      <c r="AX9">
        <f t="shared" si="26"/>
        <v>0</v>
      </c>
      <c r="AY9">
        <f t="shared" si="27"/>
        <v>0</v>
      </c>
      <c r="AZ9">
        <f>IFERROR(VLOOKUP(B9,events!AD:BR,37,FALSE),0)</f>
        <v>0</v>
      </c>
      <c r="BA9">
        <f t="shared" si="28"/>
        <v>250</v>
      </c>
      <c r="BB9">
        <f t="shared" si="29"/>
        <v>245</v>
      </c>
      <c r="BC9" s="4">
        <f t="shared" si="30"/>
        <v>253</v>
      </c>
    </row>
    <row r="10" spans="1:55" x14ac:dyDescent="0.2">
      <c r="A10">
        <f t="shared" si="31"/>
        <v>9</v>
      </c>
      <c r="B10" s="6">
        <f t="shared" si="1"/>
        <v>1</v>
      </c>
      <c r="C10">
        <f t="shared" si="2"/>
        <v>13</v>
      </c>
      <c r="D10" s="4" t="str">
        <f t="shared" si="3"/>
        <v>45</v>
      </c>
      <c r="E10">
        <v>13</v>
      </c>
      <c r="F10" s="4" t="s">
        <v>904</v>
      </c>
      <c r="I10">
        <v>79</v>
      </c>
      <c r="J10">
        <v>15</v>
      </c>
      <c r="K10">
        <v>44</v>
      </c>
      <c r="L10">
        <v>80</v>
      </c>
      <c r="M10">
        <v>37</v>
      </c>
      <c r="O10" s="5">
        <f t="shared" si="4"/>
        <v>31</v>
      </c>
      <c r="P10" s="6">
        <v>49</v>
      </c>
      <c r="Q10">
        <v>14</v>
      </c>
      <c r="R10">
        <v>61</v>
      </c>
      <c r="S10">
        <v>9</v>
      </c>
      <c r="T10">
        <v>84</v>
      </c>
      <c r="V10">
        <f t="shared" si="5"/>
        <v>39</v>
      </c>
      <c r="W10" s="6">
        <f>SUMIFS(events!AJ:AJ,events!Q:Q,"=DeadIce",events!AK:AK,"&lt;="&amp;shifts!AG10,events!AL:AL,"&gt;"&amp;shifts!AH10,events!E:E,"="&amp;shifts!B11)+SUMIFS(events!AJ:AJ,events!Q:Q,"=Timeout",events!AK:AK,"&lt;="&amp;shifts!AG10,events!AL:AL,"&gt;"&amp;shifts!AH10,events!E:E,"="&amp;shifts!B11)</f>
        <v>0</v>
      </c>
      <c r="X10" s="6" t="str">
        <f t="shared" si="6"/>
        <v/>
      </c>
      <c r="Z10">
        <f t="shared" si="7"/>
        <v>1</v>
      </c>
      <c r="AA10">
        <v>1</v>
      </c>
      <c r="AB10" t="str">
        <f t="shared" si="8"/>
        <v/>
      </c>
      <c r="AD10" s="39">
        <v>18989</v>
      </c>
      <c r="AE10" s="39" t="s">
        <v>944</v>
      </c>
      <c r="AF10" s="39" t="s">
        <v>521</v>
      </c>
      <c r="AG10" s="4">
        <f t="shared" si="9"/>
        <v>825</v>
      </c>
      <c r="AH10" s="4">
        <f t="shared" si="10"/>
        <v>816</v>
      </c>
      <c r="AI10" s="14">
        <f t="shared" si="11"/>
        <v>9</v>
      </c>
      <c r="AJ10">
        <f t="shared" si="12"/>
        <v>5</v>
      </c>
      <c r="AK10">
        <f t="shared" si="13"/>
        <v>5</v>
      </c>
      <c r="AL10">
        <f t="shared" si="14"/>
        <v>0</v>
      </c>
      <c r="AM10">
        <f t="shared" si="15"/>
        <v>0</v>
      </c>
      <c r="AN10">
        <f t="shared" si="16"/>
        <v>0</v>
      </c>
      <c r="AO10">
        <f t="shared" si="17"/>
        <v>0</v>
      </c>
      <c r="AP10">
        <f t="shared" si="18"/>
        <v>0</v>
      </c>
      <c r="AQ10">
        <f t="shared" si="19"/>
        <v>0</v>
      </c>
      <c r="AR10" t="str">
        <f t="shared" si="20"/>
        <v>Full Strength</v>
      </c>
      <c r="AS10" t="str">
        <f t="shared" si="21"/>
        <v>5v5</v>
      </c>
      <c r="AT10">
        <f t="shared" si="22"/>
        <v>0</v>
      </c>
      <c r="AU10">
        <f t="shared" si="23"/>
        <v>0</v>
      </c>
      <c r="AV10">
        <f t="shared" si="24"/>
        <v>0</v>
      </c>
      <c r="AW10">
        <f t="shared" si="25"/>
        <v>0</v>
      </c>
      <c r="AX10">
        <f t="shared" si="26"/>
        <v>0</v>
      </c>
      <c r="AY10">
        <f t="shared" si="27"/>
        <v>0</v>
      </c>
      <c r="AZ10">
        <f>IFERROR(VLOOKUP(B10,events!AD:BR,37,FALSE),0)</f>
        <v>0</v>
      </c>
      <c r="BA10">
        <f t="shared" si="28"/>
        <v>255</v>
      </c>
      <c r="BB10">
        <f t="shared" si="29"/>
        <v>250</v>
      </c>
      <c r="BC10" s="4">
        <f t="shared" si="30"/>
        <v>262</v>
      </c>
    </row>
    <row r="11" spans="1:55" x14ac:dyDescent="0.2">
      <c r="A11">
        <f t="shared" si="31"/>
        <v>10</v>
      </c>
      <c r="B11" s="6">
        <f t="shared" si="1"/>
        <v>1</v>
      </c>
      <c r="C11">
        <f t="shared" si="2"/>
        <v>13</v>
      </c>
      <c r="D11" s="4" t="str">
        <f t="shared" si="3"/>
        <v>36</v>
      </c>
      <c r="E11">
        <v>13</v>
      </c>
      <c r="F11" s="4" t="s">
        <v>738</v>
      </c>
      <c r="I11">
        <v>79</v>
      </c>
      <c r="J11">
        <v>15</v>
      </c>
      <c r="K11">
        <v>44</v>
      </c>
      <c r="L11">
        <v>80</v>
      </c>
      <c r="M11">
        <v>8</v>
      </c>
      <c r="O11" s="5">
        <f t="shared" si="4"/>
        <v>31</v>
      </c>
      <c r="P11" s="6">
        <v>49</v>
      </c>
      <c r="Q11">
        <v>87</v>
      </c>
      <c r="R11">
        <v>61</v>
      </c>
      <c r="S11">
        <v>9</v>
      </c>
      <c r="T11">
        <v>84</v>
      </c>
      <c r="V11">
        <f t="shared" si="5"/>
        <v>39</v>
      </c>
      <c r="W11" s="6">
        <f>SUMIFS(events!AJ:AJ,events!Q:Q,"=DeadIce",events!AK:AK,"&lt;="&amp;shifts!AG11,events!AL:AL,"&gt;"&amp;shifts!AH11,events!E:E,"="&amp;shifts!B12)+SUMIFS(events!AJ:AJ,events!Q:Q,"=Timeout",events!AK:AK,"&lt;="&amp;shifts!AG11,events!AL:AL,"&gt;"&amp;shifts!AH11,events!E:E,"="&amp;shifts!B12)</f>
        <v>0</v>
      </c>
      <c r="X11" s="6" t="str">
        <f t="shared" si="6"/>
        <v/>
      </c>
      <c r="Z11">
        <f t="shared" si="7"/>
        <v>1</v>
      </c>
      <c r="AB11" t="str">
        <f t="shared" si="8"/>
        <v/>
      </c>
      <c r="AC11">
        <v>1</v>
      </c>
      <c r="AD11" s="39">
        <v>18990</v>
      </c>
      <c r="AE11" s="39" t="s">
        <v>944</v>
      </c>
      <c r="AF11" s="39" t="s">
        <v>521</v>
      </c>
      <c r="AG11" s="4">
        <f t="shared" si="9"/>
        <v>816</v>
      </c>
      <c r="AH11" s="4">
        <f t="shared" si="10"/>
        <v>811</v>
      </c>
      <c r="AI11" s="14">
        <f t="shared" si="11"/>
        <v>5</v>
      </c>
      <c r="AJ11">
        <f t="shared" si="12"/>
        <v>5</v>
      </c>
      <c r="AK11">
        <f t="shared" si="13"/>
        <v>5</v>
      </c>
      <c r="AL11">
        <f t="shared" si="14"/>
        <v>0</v>
      </c>
      <c r="AM11">
        <f t="shared" si="15"/>
        <v>0</v>
      </c>
      <c r="AN11">
        <f t="shared" si="16"/>
        <v>0</v>
      </c>
      <c r="AO11">
        <f t="shared" si="17"/>
        <v>0</v>
      </c>
      <c r="AP11">
        <f t="shared" si="18"/>
        <v>0</v>
      </c>
      <c r="AQ11">
        <f t="shared" si="19"/>
        <v>0</v>
      </c>
      <c r="AR11" t="str">
        <f t="shared" si="20"/>
        <v>Full Strength</v>
      </c>
      <c r="AS11" t="str">
        <f t="shared" si="21"/>
        <v>5v5</v>
      </c>
      <c r="AT11">
        <f t="shared" si="22"/>
        <v>0</v>
      </c>
      <c r="AU11">
        <f t="shared" si="23"/>
        <v>0</v>
      </c>
      <c r="AV11">
        <f t="shared" si="24"/>
        <v>0</v>
      </c>
      <c r="AW11">
        <f t="shared" si="25"/>
        <v>0</v>
      </c>
      <c r="AX11">
        <f t="shared" si="26"/>
        <v>0</v>
      </c>
      <c r="AY11">
        <f t="shared" si="27"/>
        <v>0</v>
      </c>
      <c r="AZ11">
        <f>IFERROR(VLOOKUP(B11,events!AD:BR,37,FALSE),0)</f>
        <v>0</v>
      </c>
      <c r="BA11">
        <f t="shared" si="28"/>
        <v>264</v>
      </c>
      <c r="BB11">
        <f t="shared" si="29"/>
        <v>259</v>
      </c>
      <c r="BC11" s="4">
        <f t="shared" si="30"/>
        <v>267</v>
      </c>
    </row>
    <row r="12" spans="1:55" x14ac:dyDescent="0.2">
      <c r="A12">
        <f t="shared" si="31"/>
        <v>11</v>
      </c>
      <c r="B12" s="6">
        <f t="shared" si="1"/>
        <v>1</v>
      </c>
      <c r="C12">
        <f t="shared" si="2"/>
        <v>13</v>
      </c>
      <c r="D12" s="4" t="str">
        <f t="shared" si="3"/>
        <v>31</v>
      </c>
      <c r="E12">
        <v>13</v>
      </c>
      <c r="F12" s="4" t="s">
        <v>920</v>
      </c>
      <c r="I12">
        <v>79</v>
      </c>
      <c r="J12">
        <v>15</v>
      </c>
      <c r="K12">
        <v>44</v>
      </c>
      <c r="L12">
        <v>80</v>
      </c>
      <c r="M12">
        <v>8</v>
      </c>
      <c r="O12" s="5">
        <f t="shared" si="4"/>
        <v>31</v>
      </c>
      <c r="P12" s="6">
        <v>49</v>
      </c>
      <c r="Q12">
        <v>87</v>
      </c>
      <c r="R12">
        <v>75</v>
      </c>
      <c r="S12">
        <v>22</v>
      </c>
      <c r="T12">
        <v>52</v>
      </c>
      <c r="V12">
        <f t="shared" si="5"/>
        <v>39</v>
      </c>
      <c r="W12" s="6">
        <f>SUMIFS(events!AJ:AJ,events!Q:Q,"=DeadIce",events!AK:AK,"&lt;="&amp;shifts!AG12,events!AL:AL,"&gt;"&amp;shifts!AH12,events!E:E,"="&amp;shifts!B13)+SUMIFS(events!AJ:AJ,events!Q:Q,"=Timeout",events!AK:AK,"&lt;="&amp;shifts!AG12,events!AL:AL,"&gt;"&amp;shifts!AH12,events!E:E,"="&amp;shifts!B13)</f>
        <v>0</v>
      </c>
      <c r="X12" s="6" t="str">
        <f t="shared" si="6"/>
        <v/>
      </c>
      <c r="Z12" t="str">
        <f t="shared" si="7"/>
        <v/>
      </c>
      <c r="AB12">
        <f t="shared" si="8"/>
        <v>1</v>
      </c>
      <c r="AC12">
        <v>1</v>
      </c>
      <c r="AD12" s="39">
        <v>18991</v>
      </c>
      <c r="AE12" s="39" t="s">
        <v>944</v>
      </c>
      <c r="AF12" s="39" t="s">
        <v>521</v>
      </c>
      <c r="AG12" s="4">
        <f t="shared" si="9"/>
        <v>811</v>
      </c>
      <c r="AH12" s="4">
        <f t="shared" si="10"/>
        <v>789</v>
      </c>
      <c r="AI12" s="14">
        <f t="shared" si="11"/>
        <v>22</v>
      </c>
      <c r="AJ12">
        <f t="shared" si="12"/>
        <v>5</v>
      </c>
      <c r="AK12">
        <f t="shared" si="13"/>
        <v>5</v>
      </c>
      <c r="AL12">
        <f t="shared" si="14"/>
        <v>0</v>
      </c>
      <c r="AM12">
        <f t="shared" si="15"/>
        <v>0</v>
      </c>
      <c r="AN12">
        <f t="shared" si="16"/>
        <v>0</v>
      </c>
      <c r="AO12">
        <f t="shared" si="17"/>
        <v>0</v>
      </c>
      <c r="AP12">
        <f t="shared" si="18"/>
        <v>0</v>
      </c>
      <c r="AQ12">
        <f t="shared" si="19"/>
        <v>0</v>
      </c>
      <c r="AR12" t="str">
        <f t="shared" si="20"/>
        <v>Full Strength</v>
      </c>
      <c r="AS12" t="str">
        <f t="shared" si="21"/>
        <v>5v5</v>
      </c>
      <c r="AT12">
        <f t="shared" si="22"/>
        <v>0</v>
      </c>
      <c r="AU12">
        <f t="shared" si="23"/>
        <v>0</v>
      </c>
      <c r="AV12">
        <f t="shared" si="24"/>
        <v>0</v>
      </c>
      <c r="AW12">
        <f t="shared" si="25"/>
        <v>0</v>
      </c>
      <c r="AX12">
        <f t="shared" si="26"/>
        <v>0</v>
      </c>
      <c r="AY12">
        <f t="shared" si="27"/>
        <v>0</v>
      </c>
      <c r="AZ12">
        <f>IFERROR(VLOOKUP(B12,events!AD:BR,37,FALSE),0)</f>
        <v>0</v>
      </c>
      <c r="BA12">
        <f t="shared" si="28"/>
        <v>269</v>
      </c>
      <c r="BB12">
        <f t="shared" si="29"/>
        <v>264</v>
      </c>
      <c r="BC12" s="4">
        <f t="shared" si="30"/>
        <v>289</v>
      </c>
    </row>
    <row r="13" spans="1:55" x14ac:dyDescent="0.2">
      <c r="A13">
        <f t="shared" si="31"/>
        <v>12</v>
      </c>
      <c r="B13" s="6">
        <f t="shared" si="1"/>
        <v>1</v>
      </c>
      <c r="C13">
        <f t="shared" si="2"/>
        <v>13</v>
      </c>
      <c r="D13" s="4" t="str">
        <f t="shared" si="3"/>
        <v>09</v>
      </c>
      <c r="E13">
        <v>12</v>
      </c>
      <c r="F13" s="4" t="s">
        <v>898</v>
      </c>
      <c r="H13" s="5" t="s">
        <v>301</v>
      </c>
      <c r="I13">
        <v>79</v>
      </c>
      <c r="J13">
        <v>15</v>
      </c>
      <c r="K13">
        <v>44</v>
      </c>
      <c r="L13">
        <v>80</v>
      </c>
      <c r="M13">
        <v>8</v>
      </c>
      <c r="O13" s="5">
        <f t="shared" si="4"/>
        <v>31</v>
      </c>
      <c r="P13" s="6">
        <v>70</v>
      </c>
      <c r="Q13">
        <v>87</v>
      </c>
      <c r="R13">
        <v>75</v>
      </c>
      <c r="S13">
        <v>22</v>
      </c>
      <c r="T13">
        <v>52</v>
      </c>
      <c r="V13">
        <f t="shared" si="5"/>
        <v>39</v>
      </c>
      <c r="W13" s="6">
        <f>SUMIFS(events!AJ:AJ,events!Q:Q,"=DeadIce",events!AK:AK,"&lt;="&amp;shifts!AG13,events!AL:AL,"&gt;"&amp;shifts!AH13,events!E:E,"="&amp;shifts!B14)+SUMIFS(events!AJ:AJ,events!Q:Q,"=Timeout",events!AK:AK,"&lt;="&amp;shifts!AG13,events!AL:AL,"&gt;"&amp;shifts!AH13,events!E:E,"="&amp;shifts!B14)</f>
        <v>0</v>
      </c>
      <c r="X13" s="6" t="str">
        <f t="shared" si="6"/>
        <v/>
      </c>
      <c r="Z13" t="str">
        <f t="shared" si="7"/>
        <v/>
      </c>
      <c r="AA13">
        <v>1</v>
      </c>
      <c r="AB13">
        <f t="shared" si="8"/>
        <v>1</v>
      </c>
      <c r="AD13" s="39">
        <v>18992</v>
      </c>
      <c r="AE13" s="39" t="s">
        <v>944</v>
      </c>
      <c r="AF13" s="39" t="s">
        <v>521</v>
      </c>
      <c r="AG13" s="4">
        <f t="shared" si="9"/>
        <v>789</v>
      </c>
      <c r="AH13" s="4">
        <f t="shared" si="10"/>
        <v>771</v>
      </c>
      <c r="AI13" s="14">
        <f t="shared" si="11"/>
        <v>18</v>
      </c>
      <c r="AJ13">
        <f t="shared" si="12"/>
        <v>5</v>
      </c>
      <c r="AK13">
        <f t="shared" si="13"/>
        <v>5</v>
      </c>
      <c r="AL13">
        <f t="shared" si="14"/>
        <v>0</v>
      </c>
      <c r="AM13">
        <f t="shared" si="15"/>
        <v>0</v>
      </c>
      <c r="AN13">
        <f t="shared" si="16"/>
        <v>0</v>
      </c>
      <c r="AO13">
        <f t="shared" si="17"/>
        <v>0</v>
      </c>
      <c r="AP13">
        <f t="shared" si="18"/>
        <v>0</v>
      </c>
      <c r="AQ13">
        <f t="shared" si="19"/>
        <v>0</v>
      </c>
      <c r="AR13" t="str">
        <f t="shared" si="20"/>
        <v>Full Strength</v>
      </c>
      <c r="AS13" t="str">
        <f t="shared" si="21"/>
        <v>5v5</v>
      </c>
      <c r="AT13">
        <f t="shared" si="22"/>
        <v>0</v>
      </c>
      <c r="AU13">
        <f t="shared" si="23"/>
        <v>0</v>
      </c>
      <c r="AV13">
        <f t="shared" si="24"/>
        <v>0</v>
      </c>
      <c r="AW13">
        <f t="shared" si="25"/>
        <v>0</v>
      </c>
      <c r="AX13">
        <f t="shared" si="26"/>
        <v>0</v>
      </c>
      <c r="AY13">
        <f t="shared" si="27"/>
        <v>0</v>
      </c>
      <c r="AZ13">
        <f>IFERROR(VLOOKUP(B13,events!AD:BR,37,FALSE),0)</f>
        <v>0</v>
      </c>
      <c r="BA13">
        <f t="shared" si="28"/>
        <v>291</v>
      </c>
      <c r="BB13">
        <f t="shared" si="29"/>
        <v>286</v>
      </c>
      <c r="BC13" s="4">
        <f t="shared" si="30"/>
        <v>307</v>
      </c>
    </row>
    <row r="14" spans="1:55" x14ac:dyDescent="0.2">
      <c r="A14">
        <f t="shared" si="31"/>
        <v>13</v>
      </c>
      <c r="B14" s="6">
        <f t="shared" si="1"/>
        <v>1</v>
      </c>
      <c r="C14">
        <f t="shared" si="2"/>
        <v>12</v>
      </c>
      <c r="D14" s="4" t="str">
        <f t="shared" si="3"/>
        <v>51</v>
      </c>
      <c r="E14">
        <v>11</v>
      </c>
      <c r="F14" s="4" t="s">
        <v>907</v>
      </c>
      <c r="G14" s="6" t="s">
        <v>289</v>
      </c>
      <c r="I14">
        <v>79</v>
      </c>
      <c r="J14">
        <v>3</v>
      </c>
      <c r="K14">
        <v>44</v>
      </c>
      <c r="L14">
        <v>80</v>
      </c>
      <c r="M14">
        <v>8</v>
      </c>
      <c r="O14" s="5">
        <f t="shared" si="4"/>
        <v>31</v>
      </c>
      <c r="P14" s="6">
        <v>70</v>
      </c>
      <c r="Q14">
        <v>87</v>
      </c>
      <c r="R14">
        <v>75</v>
      </c>
      <c r="S14">
        <v>22</v>
      </c>
      <c r="T14">
        <v>52</v>
      </c>
      <c r="V14">
        <f t="shared" si="5"/>
        <v>39</v>
      </c>
      <c r="W14" s="6">
        <f>SUMIFS(events!AJ:AJ,events!Q:Q,"=DeadIce",events!AK:AK,"&lt;="&amp;shifts!AG14,events!AL:AL,"&gt;"&amp;shifts!AH14,events!E:E,"="&amp;shifts!B15)+SUMIFS(events!AJ:AJ,events!Q:Q,"=Timeout",events!AK:AK,"&lt;="&amp;shifts!AG14,events!AL:AL,"&gt;"&amp;shifts!AH14,events!E:E,"="&amp;shifts!B15)</f>
        <v>0</v>
      </c>
      <c r="X14" s="6" t="str">
        <f t="shared" si="6"/>
        <v/>
      </c>
      <c r="Z14">
        <f t="shared" si="7"/>
        <v>1</v>
      </c>
      <c r="AA14">
        <v>1</v>
      </c>
      <c r="AB14" t="str">
        <f t="shared" si="8"/>
        <v/>
      </c>
      <c r="AD14" s="39">
        <v>18993</v>
      </c>
      <c r="AE14" s="39" t="s">
        <v>944</v>
      </c>
      <c r="AF14" s="39" t="s">
        <v>521</v>
      </c>
      <c r="AG14" s="4">
        <f t="shared" si="9"/>
        <v>771</v>
      </c>
      <c r="AH14" s="4">
        <f t="shared" si="10"/>
        <v>684</v>
      </c>
      <c r="AI14" s="14">
        <f t="shared" si="11"/>
        <v>87</v>
      </c>
      <c r="AJ14">
        <f t="shared" si="12"/>
        <v>5</v>
      </c>
      <c r="AK14">
        <f t="shared" si="13"/>
        <v>5</v>
      </c>
      <c r="AL14">
        <f t="shared" si="14"/>
        <v>0</v>
      </c>
      <c r="AM14">
        <f t="shared" si="15"/>
        <v>0</v>
      </c>
      <c r="AN14">
        <f t="shared" si="16"/>
        <v>0</v>
      </c>
      <c r="AO14">
        <f t="shared" si="17"/>
        <v>0</v>
      </c>
      <c r="AP14">
        <f t="shared" si="18"/>
        <v>0</v>
      </c>
      <c r="AQ14">
        <f t="shared" si="19"/>
        <v>0</v>
      </c>
      <c r="AR14" t="str">
        <f t="shared" si="20"/>
        <v>Full Strength</v>
      </c>
      <c r="AS14" t="str">
        <f t="shared" si="21"/>
        <v>5v5</v>
      </c>
      <c r="AT14">
        <f t="shared" si="22"/>
        <v>0</v>
      </c>
      <c r="AU14">
        <f t="shared" si="23"/>
        <v>0</v>
      </c>
      <c r="AV14">
        <f t="shared" si="24"/>
        <v>0</v>
      </c>
      <c r="AW14">
        <f t="shared" si="25"/>
        <v>0</v>
      </c>
      <c r="AX14">
        <f t="shared" si="26"/>
        <v>0</v>
      </c>
      <c r="AY14">
        <f t="shared" si="27"/>
        <v>0</v>
      </c>
      <c r="AZ14">
        <f>IFERROR(VLOOKUP(B14,events!AD:BR,37,FALSE),0)</f>
        <v>0</v>
      </c>
      <c r="BA14">
        <f t="shared" si="28"/>
        <v>309</v>
      </c>
      <c r="BB14">
        <f t="shared" si="29"/>
        <v>304</v>
      </c>
      <c r="BC14" s="4">
        <f t="shared" si="30"/>
        <v>394</v>
      </c>
    </row>
    <row r="15" spans="1:55" x14ac:dyDescent="0.2">
      <c r="A15">
        <f t="shared" si="31"/>
        <v>14</v>
      </c>
      <c r="B15" s="6">
        <f t="shared" si="1"/>
        <v>1</v>
      </c>
      <c r="C15">
        <f t="shared" si="2"/>
        <v>11</v>
      </c>
      <c r="D15" s="4" t="str">
        <f t="shared" si="3"/>
        <v>24</v>
      </c>
      <c r="E15">
        <v>11</v>
      </c>
      <c r="F15" s="4" t="s">
        <v>926</v>
      </c>
      <c r="I15">
        <v>79</v>
      </c>
      <c r="J15">
        <v>3</v>
      </c>
      <c r="K15">
        <v>16</v>
      </c>
      <c r="L15">
        <v>80</v>
      </c>
      <c r="M15">
        <v>8</v>
      </c>
      <c r="O15" s="5">
        <f t="shared" si="4"/>
        <v>31</v>
      </c>
      <c r="P15" s="6">
        <v>70</v>
      </c>
      <c r="Q15">
        <v>87</v>
      </c>
      <c r="R15">
        <v>75</v>
      </c>
      <c r="S15">
        <v>22</v>
      </c>
      <c r="T15">
        <v>52</v>
      </c>
      <c r="V15">
        <f t="shared" si="5"/>
        <v>39</v>
      </c>
      <c r="W15" s="6">
        <f>SUMIFS(events!AJ:AJ,events!Q:Q,"=DeadIce",events!AK:AK,"&lt;="&amp;shifts!AG15,events!AL:AL,"&gt;"&amp;shifts!AH15,events!E:E,"="&amp;shifts!B16)+SUMIFS(events!AJ:AJ,events!Q:Q,"=Timeout",events!AK:AK,"&lt;="&amp;shifts!AG15,events!AL:AL,"&gt;"&amp;shifts!AH15,events!E:E,"="&amp;shifts!B16)</f>
        <v>0</v>
      </c>
      <c r="X15" s="6" t="str">
        <f t="shared" si="6"/>
        <v/>
      </c>
      <c r="Z15">
        <f t="shared" si="7"/>
        <v>1</v>
      </c>
      <c r="AA15">
        <v>1</v>
      </c>
      <c r="AB15" t="str">
        <f t="shared" si="8"/>
        <v/>
      </c>
      <c r="AD15" s="39">
        <v>18994</v>
      </c>
      <c r="AE15" s="39" t="s">
        <v>944</v>
      </c>
      <c r="AF15" s="39" t="s">
        <v>521</v>
      </c>
      <c r="AG15" s="4">
        <f t="shared" si="9"/>
        <v>684</v>
      </c>
      <c r="AH15" s="4">
        <f t="shared" si="10"/>
        <v>673</v>
      </c>
      <c r="AI15" s="14">
        <f t="shared" si="11"/>
        <v>11</v>
      </c>
      <c r="AJ15">
        <f t="shared" si="12"/>
        <v>5</v>
      </c>
      <c r="AK15">
        <f t="shared" si="13"/>
        <v>5</v>
      </c>
      <c r="AL15">
        <f t="shared" si="14"/>
        <v>0</v>
      </c>
      <c r="AM15">
        <f t="shared" si="15"/>
        <v>0</v>
      </c>
      <c r="AN15">
        <f t="shared" si="16"/>
        <v>0</v>
      </c>
      <c r="AO15">
        <f t="shared" si="17"/>
        <v>0</v>
      </c>
      <c r="AP15">
        <f t="shared" si="18"/>
        <v>0</v>
      </c>
      <c r="AQ15">
        <f t="shared" si="19"/>
        <v>0</v>
      </c>
      <c r="AR15" t="str">
        <f t="shared" si="20"/>
        <v>Full Strength</v>
      </c>
      <c r="AS15" t="str">
        <f t="shared" si="21"/>
        <v>5v5</v>
      </c>
      <c r="AT15">
        <f t="shared" si="22"/>
        <v>0</v>
      </c>
      <c r="AU15">
        <f t="shared" si="23"/>
        <v>0</v>
      </c>
      <c r="AV15">
        <f t="shared" si="24"/>
        <v>0</v>
      </c>
      <c r="AW15">
        <f t="shared" si="25"/>
        <v>0</v>
      </c>
      <c r="AX15">
        <f t="shared" si="26"/>
        <v>0</v>
      </c>
      <c r="AY15">
        <f t="shared" si="27"/>
        <v>0</v>
      </c>
      <c r="AZ15">
        <f>IFERROR(VLOOKUP(B15,events!AD:BR,37,FALSE),0)</f>
        <v>0</v>
      </c>
      <c r="BA15">
        <f t="shared" si="28"/>
        <v>396</v>
      </c>
      <c r="BB15">
        <f t="shared" si="29"/>
        <v>391</v>
      </c>
      <c r="BC15" s="4">
        <f t="shared" si="30"/>
        <v>405</v>
      </c>
    </row>
    <row r="16" spans="1:55" x14ac:dyDescent="0.2">
      <c r="A16">
        <f t="shared" si="31"/>
        <v>15</v>
      </c>
      <c r="B16" s="6">
        <f t="shared" si="1"/>
        <v>1</v>
      </c>
      <c r="C16">
        <f t="shared" si="2"/>
        <v>11</v>
      </c>
      <c r="D16" s="4" t="str">
        <f t="shared" si="3"/>
        <v>13</v>
      </c>
      <c r="E16">
        <v>11</v>
      </c>
      <c r="F16" s="4" t="s">
        <v>925</v>
      </c>
      <c r="I16">
        <v>10</v>
      </c>
      <c r="J16">
        <v>3</v>
      </c>
      <c r="K16">
        <v>16</v>
      </c>
      <c r="L16">
        <v>80</v>
      </c>
      <c r="M16">
        <v>8</v>
      </c>
      <c r="O16" s="5">
        <f t="shared" si="4"/>
        <v>31</v>
      </c>
      <c r="P16" s="6">
        <v>70</v>
      </c>
      <c r="Q16">
        <v>87</v>
      </c>
      <c r="R16">
        <v>75</v>
      </c>
      <c r="S16">
        <v>22</v>
      </c>
      <c r="T16">
        <v>52</v>
      </c>
      <c r="V16">
        <f t="shared" si="5"/>
        <v>39</v>
      </c>
      <c r="W16" s="6">
        <f>SUMIFS(events!AJ:AJ,events!Q:Q,"=DeadIce",events!AK:AK,"&lt;="&amp;shifts!AG16,events!AL:AL,"&gt;"&amp;shifts!AH16,events!E:E,"="&amp;shifts!B17)+SUMIFS(events!AJ:AJ,events!Q:Q,"=Timeout",events!AK:AK,"&lt;="&amp;shifts!AG16,events!AL:AL,"&gt;"&amp;shifts!AH16,events!E:E,"="&amp;shifts!B17)</f>
        <v>0</v>
      </c>
      <c r="X16" s="6" t="str">
        <f t="shared" si="6"/>
        <v/>
      </c>
      <c r="Z16">
        <f t="shared" si="7"/>
        <v>1</v>
      </c>
      <c r="AA16">
        <v>1</v>
      </c>
      <c r="AB16" t="str">
        <f t="shared" si="8"/>
        <v/>
      </c>
      <c r="AD16" s="39">
        <v>18995</v>
      </c>
      <c r="AE16" s="39" t="s">
        <v>944</v>
      </c>
      <c r="AF16" s="39" t="s">
        <v>521</v>
      </c>
      <c r="AG16" s="4">
        <f t="shared" si="9"/>
        <v>673</v>
      </c>
      <c r="AH16" s="4">
        <f t="shared" si="10"/>
        <v>663</v>
      </c>
      <c r="AI16" s="14">
        <f t="shared" si="11"/>
        <v>10</v>
      </c>
      <c r="AJ16">
        <f t="shared" si="12"/>
        <v>5</v>
      </c>
      <c r="AK16">
        <f t="shared" si="13"/>
        <v>5</v>
      </c>
      <c r="AL16">
        <f t="shared" si="14"/>
        <v>0</v>
      </c>
      <c r="AM16">
        <f t="shared" si="15"/>
        <v>0</v>
      </c>
      <c r="AN16">
        <f t="shared" si="16"/>
        <v>0</v>
      </c>
      <c r="AO16">
        <f t="shared" si="17"/>
        <v>0</v>
      </c>
      <c r="AP16">
        <f t="shared" si="18"/>
        <v>0</v>
      </c>
      <c r="AQ16">
        <f t="shared" si="19"/>
        <v>0</v>
      </c>
      <c r="AR16" t="str">
        <f t="shared" si="20"/>
        <v>Full Strength</v>
      </c>
      <c r="AS16" t="str">
        <f t="shared" si="21"/>
        <v>5v5</v>
      </c>
      <c r="AT16">
        <f t="shared" si="22"/>
        <v>0</v>
      </c>
      <c r="AU16">
        <f t="shared" si="23"/>
        <v>0</v>
      </c>
      <c r="AV16">
        <f t="shared" si="24"/>
        <v>0</v>
      </c>
      <c r="AW16">
        <f t="shared" si="25"/>
        <v>0</v>
      </c>
      <c r="AX16">
        <f t="shared" si="26"/>
        <v>0</v>
      </c>
      <c r="AY16">
        <f t="shared" si="27"/>
        <v>0</v>
      </c>
      <c r="AZ16">
        <f>IFERROR(VLOOKUP(B16,events!AD:BR,37,FALSE),0)</f>
        <v>0</v>
      </c>
      <c r="BA16">
        <f t="shared" si="28"/>
        <v>407</v>
      </c>
      <c r="BB16">
        <f t="shared" si="29"/>
        <v>402</v>
      </c>
      <c r="BC16" s="4">
        <f t="shared" si="30"/>
        <v>415</v>
      </c>
    </row>
    <row r="17" spans="1:55" x14ac:dyDescent="0.2">
      <c r="A17">
        <f t="shared" si="31"/>
        <v>16</v>
      </c>
      <c r="B17" s="6">
        <f t="shared" si="1"/>
        <v>1</v>
      </c>
      <c r="C17">
        <f t="shared" si="2"/>
        <v>11</v>
      </c>
      <c r="D17" s="4" t="str">
        <f t="shared" si="3"/>
        <v>03</v>
      </c>
      <c r="E17">
        <v>10</v>
      </c>
      <c r="F17" s="4" t="s">
        <v>922</v>
      </c>
      <c r="I17">
        <v>10</v>
      </c>
      <c r="J17">
        <v>3</v>
      </c>
      <c r="K17">
        <v>16</v>
      </c>
      <c r="L17">
        <v>80</v>
      </c>
      <c r="M17">
        <v>8</v>
      </c>
      <c r="N17">
        <v>68.5</v>
      </c>
      <c r="O17" s="5">
        <f t="shared" si="4"/>
        <v>31</v>
      </c>
      <c r="P17" s="6">
        <v>70</v>
      </c>
      <c r="Q17">
        <v>91</v>
      </c>
      <c r="R17">
        <v>75</v>
      </c>
      <c r="S17">
        <v>22</v>
      </c>
      <c r="T17">
        <v>52</v>
      </c>
      <c r="V17">
        <f t="shared" si="5"/>
        <v>39</v>
      </c>
      <c r="W17" s="6">
        <f>SUMIFS(events!AJ:AJ,events!Q:Q,"=DeadIce",events!AK:AK,"&lt;="&amp;shifts!AG17,events!AL:AL,"&gt;"&amp;shifts!AH17,events!E:E,"="&amp;shifts!B18)+SUMIFS(events!AJ:AJ,events!Q:Q,"=Timeout",events!AK:AK,"&lt;="&amp;shifts!AG17,events!AL:AL,"&gt;"&amp;shifts!AH17,events!E:E,"="&amp;shifts!B18)</f>
        <v>0</v>
      </c>
      <c r="X17" s="6" t="str">
        <f t="shared" si="6"/>
        <v/>
      </c>
      <c r="Z17">
        <f t="shared" si="7"/>
        <v>1</v>
      </c>
      <c r="AB17" t="str">
        <f t="shared" si="8"/>
        <v/>
      </c>
      <c r="AC17">
        <v>1</v>
      </c>
      <c r="AD17" s="39">
        <v>18996</v>
      </c>
      <c r="AE17" s="39" t="s">
        <v>944</v>
      </c>
      <c r="AF17" s="39" t="s">
        <v>521</v>
      </c>
      <c r="AG17" s="4">
        <f t="shared" si="9"/>
        <v>663</v>
      </c>
      <c r="AH17" s="4">
        <f t="shared" si="10"/>
        <v>650</v>
      </c>
      <c r="AI17" s="14">
        <f t="shared" si="11"/>
        <v>13</v>
      </c>
      <c r="AJ17">
        <f t="shared" si="12"/>
        <v>6</v>
      </c>
      <c r="AK17">
        <f t="shared" si="13"/>
        <v>5</v>
      </c>
      <c r="AL17">
        <f t="shared" si="14"/>
        <v>0</v>
      </c>
      <c r="AM17">
        <f t="shared" si="15"/>
        <v>0</v>
      </c>
      <c r="AN17">
        <f t="shared" si="16"/>
        <v>0</v>
      </c>
      <c r="AO17">
        <f t="shared" si="17"/>
        <v>1</v>
      </c>
      <c r="AP17">
        <f t="shared" si="18"/>
        <v>0</v>
      </c>
      <c r="AQ17">
        <f t="shared" si="19"/>
        <v>1</v>
      </c>
      <c r="AR17" t="str">
        <f t="shared" si="20"/>
        <v>Home PowerPlay</v>
      </c>
      <c r="AS17" t="str">
        <f t="shared" si="21"/>
        <v>6v5</v>
      </c>
      <c r="AT17">
        <f t="shared" si="22"/>
        <v>0</v>
      </c>
      <c r="AU17">
        <f t="shared" si="23"/>
        <v>0</v>
      </c>
      <c r="AV17">
        <f t="shared" si="24"/>
        <v>0</v>
      </c>
      <c r="AW17">
        <f t="shared" si="25"/>
        <v>0</v>
      </c>
      <c r="AX17">
        <f t="shared" si="26"/>
        <v>0</v>
      </c>
      <c r="AY17">
        <f t="shared" si="27"/>
        <v>0</v>
      </c>
      <c r="AZ17">
        <f>IFERROR(VLOOKUP(B17,events!AD:BR,37,FALSE),0)</f>
        <v>0</v>
      </c>
      <c r="BA17">
        <f t="shared" si="28"/>
        <v>417</v>
      </c>
      <c r="BB17">
        <f t="shared" si="29"/>
        <v>412</v>
      </c>
      <c r="BC17" s="4">
        <f t="shared" si="30"/>
        <v>428</v>
      </c>
    </row>
    <row r="18" spans="1:55" x14ac:dyDescent="0.2">
      <c r="A18">
        <f t="shared" si="31"/>
        <v>17</v>
      </c>
      <c r="B18" s="6">
        <f t="shared" si="1"/>
        <v>1</v>
      </c>
      <c r="C18">
        <f t="shared" si="2"/>
        <v>10</v>
      </c>
      <c r="D18" s="4" t="str">
        <f t="shared" si="3"/>
        <v>50</v>
      </c>
      <c r="E18">
        <v>10</v>
      </c>
      <c r="F18" s="4" t="s">
        <v>923</v>
      </c>
      <c r="I18">
        <v>10</v>
      </c>
      <c r="J18">
        <v>3</v>
      </c>
      <c r="K18">
        <v>16</v>
      </c>
      <c r="L18">
        <v>80</v>
      </c>
      <c r="M18">
        <v>8</v>
      </c>
      <c r="O18" s="5">
        <f t="shared" si="4"/>
        <v>31</v>
      </c>
      <c r="P18" s="6">
        <v>70</v>
      </c>
      <c r="Q18">
        <v>91</v>
      </c>
      <c r="R18">
        <v>75</v>
      </c>
      <c r="S18">
        <v>93</v>
      </c>
      <c r="T18">
        <v>52</v>
      </c>
      <c r="V18">
        <f t="shared" si="5"/>
        <v>39</v>
      </c>
      <c r="W18" s="6">
        <f>SUMIFS(events!AJ:AJ,events!Q:Q,"=DeadIce",events!AK:AK,"&lt;="&amp;shifts!AG18,events!AL:AL,"&gt;"&amp;shifts!AH18,events!E:E,"="&amp;shifts!B19)+SUMIFS(events!AJ:AJ,events!Q:Q,"=Timeout",events!AK:AK,"&lt;="&amp;shifts!AG18,events!AL:AL,"&gt;"&amp;shifts!AH18,events!E:E,"="&amp;shifts!B19)</f>
        <v>0</v>
      </c>
      <c r="X18" s="6" t="str">
        <f t="shared" si="6"/>
        <v/>
      </c>
      <c r="Y18">
        <v>1</v>
      </c>
      <c r="Z18" t="str">
        <f t="shared" si="7"/>
        <v/>
      </c>
      <c r="AB18">
        <f t="shared" si="8"/>
        <v>1</v>
      </c>
      <c r="AD18" s="39">
        <v>18997</v>
      </c>
      <c r="AE18" s="39" t="s">
        <v>944</v>
      </c>
      <c r="AF18" s="39" t="s">
        <v>521</v>
      </c>
      <c r="AG18" s="4">
        <f t="shared" si="9"/>
        <v>650</v>
      </c>
      <c r="AH18" s="4">
        <f t="shared" si="10"/>
        <v>644</v>
      </c>
      <c r="AI18" s="14">
        <f t="shared" si="11"/>
        <v>6</v>
      </c>
      <c r="AJ18">
        <f t="shared" si="12"/>
        <v>5</v>
      </c>
      <c r="AK18">
        <f t="shared" si="13"/>
        <v>5</v>
      </c>
      <c r="AL18">
        <f t="shared" si="14"/>
        <v>0</v>
      </c>
      <c r="AM18">
        <f t="shared" si="15"/>
        <v>0</v>
      </c>
      <c r="AN18">
        <f t="shared" si="16"/>
        <v>0</v>
      </c>
      <c r="AO18">
        <f t="shared" si="17"/>
        <v>0</v>
      </c>
      <c r="AP18">
        <f t="shared" si="18"/>
        <v>0</v>
      </c>
      <c r="AQ18">
        <f t="shared" si="19"/>
        <v>0</v>
      </c>
      <c r="AR18" t="str">
        <f t="shared" si="20"/>
        <v>Full Strength</v>
      </c>
      <c r="AS18" t="str">
        <f t="shared" si="21"/>
        <v>5v5</v>
      </c>
      <c r="AT18">
        <f t="shared" si="22"/>
        <v>0</v>
      </c>
      <c r="AU18">
        <f t="shared" si="23"/>
        <v>0</v>
      </c>
      <c r="AV18">
        <f t="shared" si="24"/>
        <v>0</v>
      </c>
      <c r="AW18">
        <f t="shared" si="25"/>
        <v>0</v>
      </c>
      <c r="AX18">
        <f t="shared" si="26"/>
        <v>0</v>
      </c>
      <c r="AY18">
        <f t="shared" si="27"/>
        <v>0</v>
      </c>
      <c r="AZ18">
        <f>IFERROR(VLOOKUP(B18,events!AD:BR,37,FALSE),0)</f>
        <v>0</v>
      </c>
      <c r="BA18">
        <f t="shared" si="28"/>
        <v>430</v>
      </c>
      <c r="BB18">
        <f t="shared" si="29"/>
        <v>425</v>
      </c>
      <c r="BC18" s="4">
        <f t="shared" si="30"/>
        <v>434</v>
      </c>
    </row>
    <row r="19" spans="1:55" x14ac:dyDescent="0.2">
      <c r="A19">
        <f t="shared" si="31"/>
        <v>18</v>
      </c>
      <c r="B19" s="6">
        <f t="shared" si="1"/>
        <v>1</v>
      </c>
      <c r="C19">
        <f t="shared" si="2"/>
        <v>10</v>
      </c>
      <c r="D19" s="4" t="str">
        <f t="shared" si="3"/>
        <v>44</v>
      </c>
      <c r="E19">
        <v>10</v>
      </c>
      <c r="F19" s="4" t="s">
        <v>865</v>
      </c>
      <c r="I19">
        <v>10</v>
      </c>
      <c r="J19">
        <v>3</v>
      </c>
      <c r="K19">
        <v>16</v>
      </c>
      <c r="L19">
        <v>80</v>
      </c>
      <c r="M19">
        <v>8</v>
      </c>
      <c r="O19" s="5">
        <f t="shared" si="4"/>
        <v>31</v>
      </c>
      <c r="P19" s="6">
        <v>70</v>
      </c>
      <c r="Q19">
        <v>91</v>
      </c>
      <c r="R19">
        <v>75</v>
      </c>
      <c r="S19">
        <v>93</v>
      </c>
      <c r="T19">
        <v>84</v>
      </c>
      <c r="V19">
        <f t="shared" si="5"/>
        <v>39</v>
      </c>
      <c r="W19" s="6">
        <f>SUMIFS(events!AJ:AJ,events!Q:Q,"=DeadIce",events!AK:AK,"&lt;="&amp;shifts!AG19,events!AL:AL,"&gt;"&amp;shifts!AH19,events!E:E,"="&amp;shifts!B20)+SUMIFS(events!AJ:AJ,events!Q:Q,"=Timeout",events!AK:AK,"&lt;="&amp;shifts!AG19,events!AL:AL,"&gt;"&amp;shifts!AH19,events!E:E,"="&amp;shifts!B20)</f>
        <v>0</v>
      </c>
      <c r="X19" s="6">
        <f>IF(OR($H18="Home Goal",$H18="Away Goal",$H18="Period End"),"",IF(Y18=1,1,""))</f>
        <v>1</v>
      </c>
      <c r="Z19" t="str">
        <f t="shared" si="7"/>
        <v/>
      </c>
      <c r="AA19">
        <v>1</v>
      </c>
      <c r="AB19" t="str">
        <f t="shared" si="8"/>
        <v/>
      </c>
      <c r="AD19" s="39">
        <v>18998</v>
      </c>
      <c r="AE19" s="39" t="s">
        <v>944</v>
      </c>
      <c r="AF19" s="39" t="s">
        <v>521</v>
      </c>
      <c r="AG19" s="4">
        <f t="shared" si="9"/>
        <v>644</v>
      </c>
      <c r="AH19" s="4">
        <f t="shared" si="10"/>
        <v>638</v>
      </c>
      <c r="AI19" s="14">
        <f t="shared" si="11"/>
        <v>6</v>
      </c>
      <c r="AJ19">
        <f t="shared" si="12"/>
        <v>5</v>
      </c>
      <c r="AK19">
        <f t="shared" si="13"/>
        <v>5</v>
      </c>
      <c r="AL19">
        <f t="shared" si="14"/>
        <v>0</v>
      </c>
      <c r="AM19">
        <f t="shared" si="15"/>
        <v>0</v>
      </c>
      <c r="AN19">
        <f t="shared" si="16"/>
        <v>0</v>
      </c>
      <c r="AO19">
        <f t="shared" si="17"/>
        <v>0</v>
      </c>
      <c r="AP19">
        <f t="shared" si="18"/>
        <v>0</v>
      </c>
      <c r="AQ19">
        <f t="shared" si="19"/>
        <v>0</v>
      </c>
      <c r="AR19" t="str">
        <f t="shared" si="20"/>
        <v>Full Strength</v>
      </c>
      <c r="AS19" t="str">
        <f t="shared" si="21"/>
        <v>5v5</v>
      </c>
      <c r="AT19">
        <f t="shared" si="22"/>
        <v>0</v>
      </c>
      <c r="AU19">
        <f t="shared" si="23"/>
        <v>0</v>
      </c>
      <c r="AV19">
        <f t="shared" si="24"/>
        <v>0</v>
      </c>
      <c r="AW19">
        <f t="shared" si="25"/>
        <v>0</v>
      </c>
      <c r="AX19">
        <f t="shared" si="26"/>
        <v>0</v>
      </c>
      <c r="AY19">
        <f t="shared" si="27"/>
        <v>0</v>
      </c>
      <c r="AZ19">
        <f>IFERROR(VLOOKUP(B19,events!AD:BR,37,FALSE),0)</f>
        <v>0</v>
      </c>
      <c r="BA19">
        <f t="shared" si="28"/>
        <v>436</v>
      </c>
      <c r="BB19">
        <f t="shared" si="29"/>
        <v>431</v>
      </c>
      <c r="BC19" s="4">
        <f t="shared" si="30"/>
        <v>440</v>
      </c>
    </row>
    <row r="20" spans="1:55" x14ac:dyDescent="0.2">
      <c r="A20">
        <f t="shared" si="31"/>
        <v>19</v>
      </c>
      <c r="B20" s="6">
        <f t="shared" si="1"/>
        <v>1</v>
      </c>
      <c r="C20">
        <f t="shared" si="2"/>
        <v>10</v>
      </c>
      <c r="D20" s="4" t="str">
        <f t="shared" si="3"/>
        <v>38</v>
      </c>
      <c r="E20">
        <v>10</v>
      </c>
      <c r="F20" s="4" t="s">
        <v>930</v>
      </c>
      <c r="I20">
        <v>10</v>
      </c>
      <c r="J20">
        <v>3</v>
      </c>
      <c r="K20">
        <v>16</v>
      </c>
      <c r="L20">
        <v>80</v>
      </c>
      <c r="M20">
        <v>23</v>
      </c>
      <c r="O20" s="5">
        <f t="shared" si="4"/>
        <v>31</v>
      </c>
      <c r="P20" s="6">
        <v>70</v>
      </c>
      <c r="Q20">
        <v>91</v>
      </c>
      <c r="R20">
        <v>24</v>
      </c>
      <c r="S20">
        <v>93</v>
      </c>
      <c r="T20">
        <v>84</v>
      </c>
      <c r="V20">
        <f t="shared" si="5"/>
        <v>39</v>
      </c>
      <c r="W20" s="6">
        <f>SUMIFS(events!AJ:AJ,events!Q:Q,"=DeadIce",events!AK:AK,"&lt;="&amp;shifts!AG20,events!AL:AL,"&gt;"&amp;shifts!AH20,events!E:E,"="&amp;shifts!B21)+SUMIFS(events!AJ:AJ,events!Q:Q,"=Timeout",events!AK:AK,"&lt;="&amp;shifts!AG20,events!AL:AL,"&gt;"&amp;shifts!AH20,events!E:E,"="&amp;shifts!B21)</f>
        <v>0</v>
      </c>
      <c r="X20" s="6" t="str">
        <f t="shared" si="6"/>
        <v/>
      </c>
      <c r="Y20">
        <v>1</v>
      </c>
      <c r="Z20">
        <f t="shared" si="7"/>
        <v>1</v>
      </c>
      <c r="AA20">
        <v>1</v>
      </c>
      <c r="AB20" t="str">
        <f t="shared" si="8"/>
        <v/>
      </c>
      <c r="AD20" s="39">
        <v>18999</v>
      </c>
      <c r="AE20" s="39" t="s">
        <v>944</v>
      </c>
      <c r="AF20" s="39" t="s">
        <v>521</v>
      </c>
      <c r="AG20" s="4">
        <f t="shared" si="9"/>
        <v>638</v>
      </c>
      <c r="AH20" s="4">
        <f t="shared" si="10"/>
        <v>628</v>
      </c>
      <c r="AI20" s="14">
        <f t="shared" si="11"/>
        <v>10</v>
      </c>
      <c r="AJ20">
        <f t="shared" si="12"/>
        <v>5</v>
      </c>
      <c r="AK20">
        <f t="shared" si="13"/>
        <v>5</v>
      </c>
      <c r="AL20">
        <f t="shared" si="14"/>
        <v>0</v>
      </c>
      <c r="AM20">
        <f t="shared" si="15"/>
        <v>0</v>
      </c>
      <c r="AN20">
        <f t="shared" si="16"/>
        <v>0</v>
      </c>
      <c r="AO20">
        <f t="shared" si="17"/>
        <v>0</v>
      </c>
      <c r="AP20">
        <f t="shared" si="18"/>
        <v>0</v>
      </c>
      <c r="AQ20">
        <f t="shared" si="19"/>
        <v>0</v>
      </c>
      <c r="AR20" t="str">
        <f t="shared" si="20"/>
        <v>Full Strength</v>
      </c>
      <c r="AS20" t="str">
        <f t="shared" si="21"/>
        <v>5v5</v>
      </c>
      <c r="AT20">
        <f t="shared" si="22"/>
        <v>0</v>
      </c>
      <c r="AU20">
        <f t="shared" si="23"/>
        <v>0</v>
      </c>
      <c r="AV20">
        <f t="shared" si="24"/>
        <v>0</v>
      </c>
      <c r="AW20">
        <f t="shared" si="25"/>
        <v>0</v>
      </c>
      <c r="AX20">
        <f t="shared" si="26"/>
        <v>0</v>
      </c>
      <c r="AY20">
        <f t="shared" si="27"/>
        <v>0</v>
      </c>
      <c r="AZ20">
        <f>IFERROR(VLOOKUP(B20,events!AD:BR,37,FALSE),0)</f>
        <v>0</v>
      </c>
      <c r="BA20">
        <f t="shared" si="28"/>
        <v>442</v>
      </c>
      <c r="BB20">
        <f t="shared" si="29"/>
        <v>437</v>
      </c>
      <c r="BC20" s="4">
        <f t="shared" si="30"/>
        <v>450</v>
      </c>
    </row>
    <row r="21" spans="1:55" x14ac:dyDescent="0.2">
      <c r="A21">
        <f t="shared" si="31"/>
        <v>20</v>
      </c>
      <c r="B21" s="6">
        <f t="shared" si="1"/>
        <v>1</v>
      </c>
      <c r="C21">
        <f t="shared" si="2"/>
        <v>10</v>
      </c>
      <c r="D21" s="4" t="str">
        <f t="shared" si="3"/>
        <v>28</v>
      </c>
      <c r="E21">
        <v>10</v>
      </c>
      <c r="F21" s="4" t="s">
        <v>910</v>
      </c>
      <c r="I21">
        <v>79</v>
      </c>
      <c r="J21">
        <v>7</v>
      </c>
      <c r="K21">
        <v>16</v>
      </c>
      <c r="L21">
        <v>37</v>
      </c>
      <c r="M21">
        <v>23</v>
      </c>
      <c r="O21" s="5">
        <f t="shared" si="4"/>
        <v>31</v>
      </c>
      <c r="P21" s="6">
        <v>42</v>
      </c>
      <c r="Q21">
        <v>91</v>
      </c>
      <c r="R21">
        <v>24</v>
      </c>
      <c r="S21">
        <v>93</v>
      </c>
      <c r="T21">
        <v>84</v>
      </c>
      <c r="V21">
        <f t="shared" si="5"/>
        <v>39</v>
      </c>
      <c r="W21" s="6">
        <f>SUMIFS(events!AJ:AJ,events!Q:Q,"=DeadIce",events!AK:AK,"&lt;="&amp;shifts!AG21,events!AL:AL,"&gt;"&amp;shifts!AH21,events!E:E,"="&amp;shifts!B22)+SUMIFS(events!AJ:AJ,events!Q:Q,"=Timeout",events!AK:AK,"&lt;="&amp;shifts!AG21,events!AL:AL,"&gt;"&amp;shifts!AH21,events!E:E,"="&amp;shifts!B22)</f>
        <v>0</v>
      </c>
      <c r="X21" s="6">
        <f t="shared" si="6"/>
        <v>1</v>
      </c>
      <c r="Z21">
        <f t="shared" si="7"/>
        <v>1</v>
      </c>
      <c r="AA21">
        <v>1</v>
      </c>
      <c r="AB21" t="str">
        <f t="shared" si="8"/>
        <v/>
      </c>
      <c r="AD21" s="39">
        <v>19000</v>
      </c>
      <c r="AE21" s="39" t="s">
        <v>944</v>
      </c>
      <c r="AF21" s="39" t="s">
        <v>521</v>
      </c>
      <c r="AG21" s="4">
        <f t="shared" si="9"/>
        <v>628</v>
      </c>
      <c r="AH21" s="4">
        <f t="shared" si="10"/>
        <v>610</v>
      </c>
      <c r="AI21" s="14">
        <f t="shared" si="11"/>
        <v>18</v>
      </c>
      <c r="AJ21">
        <f t="shared" si="12"/>
        <v>5</v>
      </c>
      <c r="AK21">
        <f t="shared" si="13"/>
        <v>5</v>
      </c>
      <c r="AL21">
        <f t="shared" si="14"/>
        <v>0</v>
      </c>
      <c r="AM21">
        <f t="shared" si="15"/>
        <v>0</v>
      </c>
      <c r="AN21">
        <f t="shared" si="16"/>
        <v>0</v>
      </c>
      <c r="AO21">
        <f t="shared" si="17"/>
        <v>0</v>
      </c>
      <c r="AP21">
        <f t="shared" si="18"/>
        <v>0</v>
      </c>
      <c r="AQ21">
        <f t="shared" si="19"/>
        <v>0</v>
      </c>
      <c r="AR21" t="str">
        <f t="shared" si="20"/>
        <v>Full Strength</v>
      </c>
      <c r="AS21" t="str">
        <f t="shared" si="21"/>
        <v>5v5</v>
      </c>
      <c r="AT21">
        <f t="shared" si="22"/>
        <v>0</v>
      </c>
      <c r="AU21">
        <f t="shared" si="23"/>
        <v>0</v>
      </c>
      <c r="AV21">
        <f t="shared" si="24"/>
        <v>0</v>
      </c>
      <c r="AW21">
        <f t="shared" si="25"/>
        <v>0</v>
      </c>
      <c r="AX21">
        <f t="shared" si="26"/>
        <v>0</v>
      </c>
      <c r="AY21">
        <f t="shared" si="27"/>
        <v>0</v>
      </c>
      <c r="AZ21">
        <f>IFERROR(VLOOKUP(B21,events!AD:BR,37,FALSE),0)</f>
        <v>0</v>
      </c>
      <c r="BA21">
        <f t="shared" si="28"/>
        <v>452</v>
      </c>
      <c r="BB21">
        <f t="shared" si="29"/>
        <v>447</v>
      </c>
      <c r="BC21" s="4">
        <f t="shared" si="30"/>
        <v>468</v>
      </c>
    </row>
    <row r="22" spans="1:55" x14ac:dyDescent="0.2">
      <c r="A22">
        <f t="shared" si="31"/>
        <v>21</v>
      </c>
      <c r="B22" s="6">
        <f t="shared" si="1"/>
        <v>1</v>
      </c>
      <c r="C22">
        <f t="shared" si="2"/>
        <v>10</v>
      </c>
      <c r="D22" s="4" t="str">
        <f t="shared" si="3"/>
        <v>10</v>
      </c>
      <c r="E22">
        <v>9</v>
      </c>
      <c r="F22" s="4" t="s">
        <v>896</v>
      </c>
      <c r="I22">
        <v>79</v>
      </c>
      <c r="J22">
        <v>7</v>
      </c>
      <c r="K22">
        <v>44</v>
      </c>
      <c r="L22">
        <v>37</v>
      </c>
      <c r="M22">
        <v>23</v>
      </c>
      <c r="O22" s="5">
        <f t="shared" si="4"/>
        <v>31</v>
      </c>
      <c r="P22" s="6">
        <v>42</v>
      </c>
      <c r="Q22">
        <v>91</v>
      </c>
      <c r="R22">
        <v>24</v>
      </c>
      <c r="S22">
        <v>93</v>
      </c>
      <c r="T22">
        <v>84</v>
      </c>
      <c r="V22">
        <f t="shared" si="5"/>
        <v>39</v>
      </c>
      <c r="W22" s="6">
        <f>SUMIFS(events!AJ:AJ,events!Q:Q,"=DeadIce",events!AK:AK,"&lt;="&amp;shifts!AG22,events!AL:AL,"&gt;"&amp;shifts!AH22,events!E:E,"="&amp;shifts!B23)+SUMIFS(events!AJ:AJ,events!Q:Q,"=Timeout",events!AK:AK,"&lt;="&amp;shifts!AG22,events!AL:AL,"&gt;"&amp;shifts!AH22,events!E:E,"="&amp;shifts!B23)</f>
        <v>0</v>
      </c>
      <c r="X22" s="6" t="str">
        <f t="shared" si="6"/>
        <v/>
      </c>
      <c r="Y22">
        <v>1</v>
      </c>
      <c r="Z22">
        <f t="shared" si="7"/>
        <v>1</v>
      </c>
      <c r="AB22" t="str">
        <f t="shared" si="8"/>
        <v/>
      </c>
      <c r="AD22" s="39">
        <v>19001</v>
      </c>
      <c r="AE22" s="39" t="s">
        <v>944</v>
      </c>
      <c r="AF22" s="39" t="s">
        <v>521</v>
      </c>
      <c r="AG22" s="4">
        <f t="shared" si="9"/>
        <v>610</v>
      </c>
      <c r="AH22" s="4">
        <f t="shared" si="10"/>
        <v>599</v>
      </c>
      <c r="AI22" s="14">
        <f t="shared" si="11"/>
        <v>11</v>
      </c>
      <c r="AJ22">
        <f t="shared" si="12"/>
        <v>5</v>
      </c>
      <c r="AK22">
        <f t="shared" si="13"/>
        <v>5</v>
      </c>
      <c r="AL22">
        <f t="shared" si="14"/>
        <v>0</v>
      </c>
      <c r="AM22">
        <f t="shared" si="15"/>
        <v>0</v>
      </c>
      <c r="AN22">
        <f t="shared" si="16"/>
        <v>0</v>
      </c>
      <c r="AO22">
        <f t="shared" si="17"/>
        <v>0</v>
      </c>
      <c r="AP22">
        <f t="shared" si="18"/>
        <v>0</v>
      </c>
      <c r="AQ22">
        <f t="shared" si="19"/>
        <v>0</v>
      </c>
      <c r="AR22" t="str">
        <f t="shared" si="20"/>
        <v>Full Strength</v>
      </c>
      <c r="AS22" t="str">
        <f t="shared" si="21"/>
        <v>5v5</v>
      </c>
      <c r="AT22">
        <f t="shared" si="22"/>
        <v>0</v>
      </c>
      <c r="AU22">
        <f t="shared" si="23"/>
        <v>0</v>
      </c>
      <c r="AV22">
        <f t="shared" si="24"/>
        <v>0</v>
      </c>
      <c r="AW22">
        <f t="shared" si="25"/>
        <v>0</v>
      </c>
      <c r="AX22">
        <f t="shared" si="26"/>
        <v>0</v>
      </c>
      <c r="AY22">
        <f t="shared" si="27"/>
        <v>0</v>
      </c>
      <c r="AZ22">
        <f>IFERROR(VLOOKUP(B22,events!AD:BR,37,FALSE),0)</f>
        <v>0</v>
      </c>
      <c r="BA22">
        <f t="shared" si="28"/>
        <v>470</v>
      </c>
      <c r="BB22">
        <f t="shared" si="29"/>
        <v>465</v>
      </c>
      <c r="BC22" s="4">
        <f t="shared" si="30"/>
        <v>479</v>
      </c>
    </row>
    <row r="23" spans="1:55" x14ac:dyDescent="0.2">
      <c r="A23">
        <f t="shared" si="31"/>
        <v>22</v>
      </c>
      <c r="B23" s="6">
        <f t="shared" si="1"/>
        <v>1</v>
      </c>
      <c r="C23">
        <f t="shared" si="2"/>
        <v>9</v>
      </c>
      <c r="D23" s="4" t="str">
        <f t="shared" si="3"/>
        <v>59</v>
      </c>
      <c r="E23">
        <v>9</v>
      </c>
      <c r="F23" s="4" t="s">
        <v>923</v>
      </c>
      <c r="H23" s="5" t="s">
        <v>293</v>
      </c>
      <c r="I23">
        <v>79</v>
      </c>
      <c r="J23">
        <v>7</v>
      </c>
      <c r="K23">
        <v>44</v>
      </c>
      <c r="L23">
        <v>37</v>
      </c>
      <c r="M23">
        <v>23</v>
      </c>
      <c r="O23" s="5">
        <f t="shared" si="4"/>
        <v>31</v>
      </c>
      <c r="P23" s="6">
        <v>42</v>
      </c>
      <c r="Q23">
        <v>91</v>
      </c>
      <c r="R23">
        <v>24</v>
      </c>
      <c r="S23">
        <v>93</v>
      </c>
      <c r="T23">
        <v>84</v>
      </c>
      <c r="V23">
        <f t="shared" si="5"/>
        <v>39</v>
      </c>
      <c r="W23" s="6">
        <f>SUMIFS(events!AJ:AJ,events!Q:Q,"=DeadIce",events!AK:AK,"&lt;="&amp;shifts!AG23,events!AL:AL,"&gt;"&amp;shifts!AH23,events!E:E,"="&amp;shifts!B24)+SUMIFS(events!AJ:AJ,events!Q:Q,"=Timeout",events!AK:AK,"&lt;="&amp;shifts!AG23,events!AL:AL,"&gt;"&amp;shifts!AH23,events!E:E,"="&amp;shifts!B24)</f>
        <v>0</v>
      </c>
      <c r="X23" s="6">
        <f t="shared" si="6"/>
        <v>1</v>
      </c>
      <c r="Z23" t="str">
        <f t="shared" si="7"/>
        <v/>
      </c>
      <c r="AA23">
        <v>1</v>
      </c>
      <c r="AB23" t="str">
        <f t="shared" si="8"/>
        <v/>
      </c>
      <c r="AD23" s="39">
        <v>19002</v>
      </c>
      <c r="AE23" s="39" t="s">
        <v>944</v>
      </c>
      <c r="AF23" s="39" t="s">
        <v>521</v>
      </c>
      <c r="AG23" s="4">
        <f t="shared" si="9"/>
        <v>599</v>
      </c>
      <c r="AH23" s="4">
        <f t="shared" si="10"/>
        <v>584</v>
      </c>
      <c r="AI23" s="14">
        <f t="shared" si="11"/>
        <v>15</v>
      </c>
      <c r="AJ23">
        <f t="shared" si="12"/>
        <v>5</v>
      </c>
      <c r="AK23">
        <f t="shared" si="13"/>
        <v>5</v>
      </c>
      <c r="AL23">
        <f t="shared" si="14"/>
        <v>0</v>
      </c>
      <c r="AM23">
        <f t="shared" si="15"/>
        <v>0</v>
      </c>
      <c r="AN23">
        <f t="shared" si="16"/>
        <v>0</v>
      </c>
      <c r="AO23">
        <f t="shared" si="17"/>
        <v>0</v>
      </c>
      <c r="AP23">
        <f t="shared" si="18"/>
        <v>0</v>
      </c>
      <c r="AQ23">
        <f t="shared" si="19"/>
        <v>0</v>
      </c>
      <c r="AR23" t="str">
        <f t="shared" si="20"/>
        <v>Full Strength</v>
      </c>
      <c r="AS23" t="str">
        <f t="shared" si="21"/>
        <v>5v5</v>
      </c>
      <c r="AT23">
        <f t="shared" si="22"/>
        <v>0</v>
      </c>
      <c r="AU23">
        <f t="shared" si="23"/>
        <v>0</v>
      </c>
      <c r="AV23">
        <f t="shared" si="24"/>
        <v>0</v>
      </c>
      <c r="AW23">
        <f t="shared" si="25"/>
        <v>0</v>
      </c>
      <c r="AX23">
        <f t="shared" si="26"/>
        <v>0</v>
      </c>
      <c r="AY23">
        <f t="shared" si="27"/>
        <v>0</v>
      </c>
      <c r="AZ23">
        <f>IFERROR(VLOOKUP(B23,events!AD:BR,37,FALSE),0)</f>
        <v>0</v>
      </c>
      <c r="BA23">
        <f t="shared" si="28"/>
        <v>481</v>
      </c>
      <c r="BB23">
        <f t="shared" si="29"/>
        <v>476</v>
      </c>
      <c r="BC23" s="4">
        <f t="shared" si="30"/>
        <v>494</v>
      </c>
    </row>
    <row r="24" spans="1:55" x14ac:dyDescent="0.2">
      <c r="A24">
        <f t="shared" si="31"/>
        <v>23</v>
      </c>
      <c r="B24" s="6">
        <f t="shared" si="1"/>
        <v>1</v>
      </c>
      <c r="C24">
        <f t="shared" si="2"/>
        <v>9</v>
      </c>
      <c r="D24" s="4" t="str">
        <f t="shared" si="3"/>
        <v>44</v>
      </c>
      <c r="E24">
        <v>8</v>
      </c>
      <c r="F24" s="4" t="s">
        <v>901</v>
      </c>
      <c r="G24" s="6" t="s">
        <v>289</v>
      </c>
      <c r="I24">
        <v>79</v>
      </c>
      <c r="J24">
        <v>7</v>
      </c>
      <c r="K24">
        <v>44</v>
      </c>
      <c r="L24">
        <v>37</v>
      </c>
      <c r="M24">
        <v>23</v>
      </c>
      <c r="O24" s="5">
        <f t="shared" si="4"/>
        <v>31</v>
      </c>
      <c r="P24" s="6">
        <v>42</v>
      </c>
      <c r="Q24">
        <v>91</v>
      </c>
      <c r="R24">
        <v>24</v>
      </c>
      <c r="S24">
        <v>93</v>
      </c>
      <c r="T24">
        <v>84</v>
      </c>
      <c r="V24">
        <f t="shared" si="5"/>
        <v>39</v>
      </c>
      <c r="W24" s="6">
        <f>SUMIFS(events!AJ:AJ,events!Q:Q,"=DeadIce",events!AK:AK,"&lt;="&amp;shifts!AG24,events!AL:AL,"&gt;"&amp;shifts!AH24,events!E:E,"="&amp;shifts!B25)+SUMIFS(events!AJ:AJ,events!Q:Q,"=Timeout",events!AK:AK,"&lt;="&amp;shifts!AG24,events!AL:AL,"&gt;"&amp;shifts!AH24,events!E:E,"="&amp;shifts!B25)</f>
        <v>0</v>
      </c>
      <c r="X24" s="6" t="str">
        <f t="shared" si="6"/>
        <v/>
      </c>
      <c r="Z24">
        <f t="shared" si="7"/>
        <v>1</v>
      </c>
      <c r="AA24">
        <v>1</v>
      </c>
      <c r="AB24" t="str">
        <f t="shared" si="8"/>
        <v/>
      </c>
      <c r="AD24" s="39">
        <v>19003</v>
      </c>
      <c r="AE24" s="39" t="s">
        <v>944</v>
      </c>
      <c r="AF24" s="39" t="s">
        <v>521</v>
      </c>
      <c r="AG24" s="4">
        <f t="shared" si="9"/>
        <v>584</v>
      </c>
      <c r="AH24" s="4">
        <f t="shared" si="10"/>
        <v>523</v>
      </c>
      <c r="AI24" s="14">
        <f t="shared" si="11"/>
        <v>61</v>
      </c>
      <c r="AJ24">
        <f t="shared" si="12"/>
        <v>5</v>
      </c>
      <c r="AK24">
        <f t="shared" si="13"/>
        <v>5</v>
      </c>
      <c r="AL24">
        <f t="shared" si="14"/>
        <v>0</v>
      </c>
      <c r="AM24">
        <f t="shared" si="15"/>
        <v>0</v>
      </c>
      <c r="AN24">
        <f t="shared" si="16"/>
        <v>0</v>
      </c>
      <c r="AO24">
        <f t="shared" si="17"/>
        <v>0</v>
      </c>
      <c r="AP24">
        <f t="shared" si="18"/>
        <v>0</v>
      </c>
      <c r="AQ24">
        <f t="shared" si="19"/>
        <v>0</v>
      </c>
      <c r="AR24" t="str">
        <f t="shared" si="20"/>
        <v>Full Strength</v>
      </c>
      <c r="AS24" t="str">
        <f t="shared" si="21"/>
        <v>5v5</v>
      </c>
      <c r="AT24">
        <f t="shared" si="22"/>
        <v>0</v>
      </c>
      <c r="AU24">
        <f t="shared" si="23"/>
        <v>0</v>
      </c>
      <c r="AV24">
        <f t="shared" si="24"/>
        <v>0</v>
      </c>
      <c r="AW24">
        <f t="shared" si="25"/>
        <v>0</v>
      </c>
      <c r="AX24">
        <f t="shared" si="26"/>
        <v>0</v>
      </c>
      <c r="AY24">
        <f t="shared" si="27"/>
        <v>0</v>
      </c>
      <c r="AZ24">
        <f>IFERROR(VLOOKUP(B24,events!AD:BR,37,FALSE),0)</f>
        <v>0</v>
      </c>
      <c r="BA24">
        <f t="shared" si="28"/>
        <v>496</v>
      </c>
      <c r="BB24">
        <f t="shared" si="29"/>
        <v>491</v>
      </c>
      <c r="BC24" s="4">
        <f t="shared" si="30"/>
        <v>555</v>
      </c>
    </row>
    <row r="25" spans="1:55" x14ac:dyDescent="0.2">
      <c r="A25">
        <f t="shared" si="31"/>
        <v>24</v>
      </c>
      <c r="B25" s="6">
        <f t="shared" si="1"/>
        <v>1</v>
      </c>
      <c r="C25">
        <f t="shared" si="2"/>
        <v>8</v>
      </c>
      <c r="D25" s="4" t="str">
        <f t="shared" si="3"/>
        <v>43</v>
      </c>
      <c r="E25">
        <v>8</v>
      </c>
      <c r="F25" s="4" t="s">
        <v>865</v>
      </c>
      <c r="H25" s="5" t="s">
        <v>293</v>
      </c>
      <c r="I25">
        <v>79</v>
      </c>
      <c r="J25">
        <v>15</v>
      </c>
      <c r="K25">
        <v>44</v>
      </c>
      <c r="L25">
        <v>37</v>
      </c>
      <c r="M25">
        <v>23</v>
      </c>
      <c r="O25" s="5">
        <f t="shared" si="4"/>
        <v>31</v>
      </c>
      <c r="P25" s="6">
        <v>42</v>
      </c>
      <c r="Q25">
        <v>91</v>
      </c>
      <c r="R25">
        <v>24</v>
      </c>
      <c r="S25">
        <v>93</v>
      </c>
      <c r="T25">
        <v>84</v>
      </c>
      <c r="V25">
        <f t="shared" si="5"/>
        <v>39</v>
      </c>
      <c r="W25" s="6">
        <f>SUMIFS(events!AJ:AJ,events!Q:Q,"=DeadIce",events!AK:AK,"&lt;="&amp;shifts!AG25,events!AL:AL,"&gt;"&amp;shifts!AH25,events!E:E,"="&amp;shifts!B26)+SUMIFS(events!AJ:AJ,events!Q:Q,"=Timeout",events!AK:AK,"&lt;="&amp;shifts!AG25,events!AL:AL,"&gt;"&amp;shifts!AH25,events!E:E,"="&amp;shifts!B26)</f>
        <v>0</v>
      </c>
      <c r="X25" s="6" t="str">
        <f t="shared" si="6"/>
        <v/>
      </c>
      <c r="Z25">
        <f t="shared" si="7"/>
        <v>1</v>
      </c>
      <c r="AA25">
        <v>1</v>
      </c>
      <c r="AB25" t="str">
        <f t="shared" si="8"/>
        <v/>
      </c>
      <c r="AD25" s="39">
        <v>19004</v>
      </c>
      <c r="AE25" s="39" t="s">
        <v>944</v>
      </c>
      <c r="AF25" s="39" t="s">
        <v>521</v>
      </c>
      <c r="AG25" s="4">
        <f t="shared" si="9"/>
        <v>523</v>
      </c>
      <c r="AH25" s="4">
        <f t="shared" si="10"/>
        <v>518</v>
      </c>
      <c r="AI25" s="14">
        <f t="shared" si="11"/>
        <v>5</v>
      </c>
      <c r="AJ25">
        <f t="shared" si="12"/>
        <v>5</v>
      </c>
      <c r="AK25">
        <f t="shared" si="13"/>
        <v>5</v>
      </c>
      <c r="AL25">
        <f t="shared" si="14"/>
        <v>0</v>
      </c>
      <c r="AM25">
        <f t="shared" si="15"/>
        <v>0</v>
      </c>
      <c r="AN25">
        <f t="shared" si="16"/>
        <v>0</v>
      </c>
      <c r="AO25">
        <f t="shared" si="17"/>
        <v>0</v>
      </c>
      <c r="AP25">
        <f t="shared" si="18"/>
        <v>0</v>
      </c>
      <c r="AQ25">
        <f t="shared" si="19"/>
        <v>0</v>
      </c>
      <c r="AR25" t="str">
        <f t="shared" si="20"/>
        <v>Full Strength</v>
      </c>
      <c r="AS25" t="str">
        <f t="shared" si="21"/>
        <v>5v5</v>
      </c>
      <c r="AT25">
        <f t="shared" si="22"/>
        <v>0</v>
      </c>
      <c r="AU25">
        <f t="shared" si="23"/>
        <v>0</v>
      </c>
      <c r="AV25">
        <f t="shared" si="24"/>
        <v>0</v>
      </c>
      <c r="AW25">
        <f t="shared" si="25"/>
        <v>0</v>
      </c>
      <c r="AX25">
        <f t="shared" si="26"/>
        <v>0</v>
      </c>
      <c r="AY25">
        <f t="shared" si="27"/>
        <v>0</v>
      </c>
      <c r="AZ25">
        <f>IFERROR(VLOOKUP(B25,events!AD:BR,37,FALSE),0)</f>
        <v>0</v>
      </c>
      <c r="BA25">
        <f t="shared" si="28"/>
        <v>557</v>
      </c>
      <c r="BB25">
        <f t="shared" si="29"/>
        <v>552</v>
      </c>
      <c r="BC25" s="4">
        <f t="shared" si="30"/>
        <v>560</v>
      </c>
    </row>
    <row r="26" spans="1:55" x14ac:dyDescent="0.2">
      <c r="A26">
        <f t="shared" si="31"/>
        <v>25</v>
      </c>
      <c r="B26" s="6">
        <f t="shared" si="1"/>
        <v>1</v>
      </c>
      <c r="C26">
        <f t="shared" si="2"/>
        <v>8</v>
      </c>
      <c r="D26" s="4" t="str">
        <f t="shared" si="3"/>
        <v>38</v>
      </c>
      <c r="E26">
        <v>7</v>
      </c>
      <c r="F26" s="4" t="s">
        <v>914</v>
      </c>
      <c r="G26" s="6" t="s">
        <v>289</v>
      </c>
      <c r="I26">
        <v>10</v>
      </c>
      <c r="J26">
        <v>15</v>
      </c>
      <c r="K26">
        <v>44</v>
      </c>
      <c r="L26">
        <v>37</v>
      </c>
      <c r="M26">
        <v>23</v>
      </c>
      <c r="O26" s="5">
        <f t="shared" si="4"/>
        <v>31</v>
      </c>
      <c r="P26" s="6">
        <v>49</v>
      </c>
      <c r="Q26">
        <v>14</v>
      </c>
      <c r="R26">
        <v>61</v>
      </c>
      <c r="S26">
        <v>9</v>
      </c>
      <c r="T26">
        <v>52</v>
      </c>
      <c r="V26">
        <f t="shared" si="5"/>
        <v>39</v>
      </c>
      <c r="W26" s="6">
        <f>SUMIFS(events!AJ:AJ,events!Q:Q,"=DeadIce",events!AK:AK,"&lt;="&amp;shifts!AG26,events!AL:AL,"&gt;"&amp;shifts!AH26,events!E:E,"="&amp;shifts!B27)+SUMIFS(events!AJ:AJ,events!Q:Q,"=Timeout",events!AK:AK,"&lt;="&amp;shifts!AG26,events!AL:AL,"&gt;"&amp;shifts!AH26,events!E:E,"="&amp;shifts!B27)</f>
        <v>0</v>
      </c>
      <c r="X26" s="6" t="str">
        <f t="shared" si="6"/>
        <v/>
      </c>
      <c r="Z26">
        <f t="shared" si="7"/>
        <v>1</v>
      </c>
      <c r="AA26">
        <v>1</v>
      </c>
      <c r="AB26" t="str">
        <f t="shared" si="8"/>
        <v/>
      </c>
      <c r="AD26" s="39">
        <v>19005</v>
      </c>
      <c r="AE26" s="39" t="s">
        <v>944</v>
      </c>
      <c r="AF26" s="39" t="s">
        <v>521</v>
      </c>
      <c r="AG26" s="4">
        <f t="shared" si="9"/>
        <v>518</v>
      </c>
      <c r="AH26" s="4">
        <f t="shared" si="10"/>
        <v>453</v>
      </c>
      <c r="AI26" s="14">
        <f t="shared" si="11"/>
        <v>65</v>
      </c>
      <c r="AJ26">
        <f t="shared" si="12"/>
        <v>5</v>
      </c>
      <c r="AK26">
        <f t="shared" si="13"/>
        <v>5</v>
      </c>
      <c r="AL26">
        <f t="shared" si="14"/>
        <v>0</v>
      </c>
      <c r="AM26">
        <f t="shared" si="15"/>
        <v>0</v>
      </c>
      <c r="AN26">
        <f t="shared" si="16"/>
        <v>0</v>
      </c>
      <c r="AO26">
        <f t="shared" si="17"/>
        <v>0</v>
      </c>
      <c r="AP26">
        <f t="shared" si="18"/>
        <v>0</v>
      </c>
      <c r="AQ26">
        <f t="shared" si="19"/>
        <v>0</v>
      </c>
      <c r="AR26" t="str">
        <f t="shared" si="20"/>
        <v>Full Strength</v>
      </c>
      <c r="AS26" t="str">
        <f t="shared" si="21"/>
        <v>5v5</v>
      </c>
      <c r="AT26">
        <f t="shared" si="22"/>
        <v>0</v>
      </c>
      <c r="AU26">
        <f t="shared" si="23"/>
        <v>0</v>
      </c>
      <c r="AV26">
        <f t="shared" si="24"/>
        <v>0</v>
      </c>
      <c r="AW26">
        <f t="shared" si="25"/>
        <v>0</v>
      </c>
      <c r="AX26">
        <f t="shared" si="26"/>
        <v>0</v>
      </c>
      <c r="AY26">
        <f t="shared" si="27"/>
        <v>0</v>
      </c>
      <c r="AZ26">
        <f>IFERROR(VLOOKUP(B26,events!AD:BR,37,FALSE),0)</f>
        <v>0</v>
      </c>
      <c r="BA26">
        <f t="shared" si="28"/>
        <v>562</v>
      </c>
      <c r="BB26">
        <f t="shared" si="29"/>
        <v>557</v>
      </c>
      <c r="BC26" s="4">
        <f t="shared" si="30"/>
        <v>625</v>
      </c>
    </row>
    <row r="27" spans="1:55" x14ac:dyDescent="0.2">
      <c r="A27">
        <f t="shared" si="31"/>
        <v>26</v>
      </c>
      <c r="B27" s="6">
        <f t="shared" si="1"/>
        <v>1</v>
      </c>
      <c r="C27">
        <f t="shared" si="2"/>
        <v>7</v>
      </c>
      <c r="D27" s="4" t="str">
        <f t="shared" si="3"/>
        <v>33</v>
      </c>
      <c r="E27">
        <v>7</v>
      </c>
      <c r="F27" s="4" t="s">
        <v>741</v>
      </c>
      <c r="I27">
        <v>10</v>
      </c>
      <c r="J27">
        <v>15</v>
      </c>
      <c r="K27">
        <v>44</v>
      </c>
      <c r="L27">
        <v>80</v>
      </c>
      <c r="M27">
        <v>23</v>
      </c>
      <c r="O27" s="5">
        <f t="shared" si="4"/>
        <v>31</v>
      </c>
      <c r="P27" s="6">
        <v>49</v>
      </c>
      <c r="Q27">
        <v>14</v>
      </c>
      <c r="R27">
        <v>61</v>
      </c>
      <c r="S27">
        <v>9</v>
      </c>
      <c r="T27">
        <v>52</v>
      </c>
      <c r="V27">
        <f t="shared" si="5"/>
        <v>39</v>
      </c>
      <c r="W27" s="6">
        <f>SUMIFS(events!AJ:AJ,events!Q:Q,"=DeadIce",events!AK:AK,"&lt;="&amp;shifts!AG27,events!AL:AL,"&gt;"&amp;shifts!AH27,events!E:E,"="&amp;shifts!B28)+SUMIFS(events!AJ:AJ,events!Q:Q,"=Timeout",events!AK:AK,"&lt;="&amp;shifts!AG27,events!AL:AL,"&gt;"&amp;shifts!AH27,events!E:E,"="&amp;shifts!B28)</f>
        <v>0</v>
      </c>
      <c r="X27" s="6" t="str">
        <f t="shared" si="6"/>
        <v/>
      </c>
      <c r="Z27">
        <f t="shared" si="7"/>
        <v>1</v>
      </c>
      <c r="AA27">
        <v>1</v>
      </c>
      <c r="AB27" t="str">
        <f t="shared" si="8"/>
        <v/>
      </c>
      <c r="AD27" s="39">
        <v>19006</v>
      </c>
      <c r="AE27" s="39" t="s">
        <v>944</v>
      </c>
      <c r="AF27" s="39" t="s">
        <v>521</v>
      </c>
      <c r="AG27" s="4">
        <f t="shared" si="9"/>
        <v>453</v>
      </c>
      <c r="AH27" s="4">
        <f t="shared" si="10"/>
        <v>441</v>
      </c>
      <c r="AI27" s="14">
        <f t="shared" si="11"/>
        <v>12</v>
      </c>
      <c r="AJ27">
        <f t="shared" si="12"/>
        <v>5</v>
      </c>
      <c r="AK27">
        <f t="shared" si="13"/>
        <v>5</v>
      </c>
      <c r="AL27">
        <f t="shared" si="14"/>
        <v>0</v>
      </c>
      <c r="AM27">
        <f t="shared" si="15"/>
        <v>0</v>
      </c>
      <c r="AN27">
        <f t="shared" si="16"/>
        <v>0</v>
      </c>
      <c r="AO27">
        <f t="shared" si="17"/>
        <v>0</v>
      </c>
      <c r="AP27">
        <f t="shared" si="18"/>
        <v>0</v>
      </c>
      <c r="AQ27">
        <f t="shared" si="19"/>
        <v>0</v>
      </c>
      <c r="AR27" t="str">
        <f t="shared" si="20"/>
        <v>Full Strength</v>
      </c>
      <c r="AS27" t="str">
        <f t="shared" si="21"/>
        <v>5v5</v>
      </c>
      <c r="AT27">
        <f t="shared" si="22"/>
        <v>0</v>
      </c>
      <c r="AU27">
        <f t="shared" si="23"/>
        <v>0</v>
      </c>
      <c r="AV27">
        <f t="shared" si="24"/>
        <v>0</v>
      </c>
      <c r="AW27">
        <f t="shared" si="25"/>
        <v>0</v>
      </c>
      <c r="AX27">
        <f t="shared" si="26"/>
        <v>0</v>
      </c>
      <c r="AY27">
        <f t="shared" si="27"/>
        <v>0</v>
      </c>
      <c r="AZ27">
        <f>IFERROR(VLOOKUP(B27,events!AD:BR,37,FALSE),0)</f>
        <v>0</v>
      </c>
      <c r="BA27">
        <f t="shared" si="28"/>
        <v>627</v>
      </c>
      <c r="BB27">
        <f t="shared" si="29"/>
        <v>622</v>
      </c>
      <c r="BC27" s="4">
        <f t="shared" si="30"/>
        <v>637</v>
      </c>
    </row>
    <row r="28" spans="1:55" x14ac:dyDescent="0.2">
      <c r="A28">
        <f t="shared" si="31"/>
        <v>27</v>
      </c>
      <c r="B28" s="6">
        <f t="shared" si="1"/>
        <v>1</v>
      </c>
      <c r="C28">
        <f t="shared" si="2"/>
        <v>7</v>
      </c>
      <c r="D28" s="4" t="str">
        <f t="shared" si="3"/>
        <v>21</v>
      </c>
      <c r="E28">
        <v>6</v>
      </c>
      <c r="F28" s="4" t="s">
        <v>899</v>
      </c>
      <c r="H28" s="5" t="s">
        <v>341</v>
      </c>
      <c r="I28">
        <v>10</v>
      </c>
      <c r="J28">
        <v>3</v>
      </c>
      <c r="K28">
        <v>16</v>
      </c>
      <c r="L28">
        <v>80</v>
      </c>
      <c r="M28">
        <v>8</v>
      </c>
      <c r="O28" s="5">
        <f t="shared" si="4"/>
        <v>31</v>
      </c>
      <c r="P28" s="6">
        <v>49</v>
      </c>
      <c r="Q28">
        <v>14</v>
      </c>
      <c r="R28">
        <v>61</v>
      </c>
      <c r="S28">
        <v>9</v>
      </c>
      <c r="T28">
        <v>52</v>
      </c>
      <c r="V28">
        <f t="shared" si="5"/>
        <v>39</v>
      </c>
      <c r="W28" s="6">
        <f>SUMIFS(events!AJ:AJ,events!Q:Q,"=DeadIce",events!AK:AK,"&lt;="&amp;shifts!AG28,events!AL:AL,"&gt;"&amp;shifts!AH28,events!E:E,"="&amp;shifts!B29)+SUMIFS(events!AJ:AJ,events!Q:Q,"=Timeout",events!AK:AK,"&lt;="&amp;shifts!AG28,events!AL:AL,"&gt;"&amp;shifts!AH28,events!E:E,"="&amp;shifts!B29)</f>
        <v>0</v>
      </c>
      <c r="X28" s="6" t="str">
        <f t="shared" si="6"/>
        <v/>
      </c>
      <c r="Z28">
        <f t="shared" si="7"/>
        <v>1</v>
      </c>
      <c r="AA28">
        <v>1</v>
      </c>
      <c r="AB28" t="str">
        <f t="shared" si="8"/>
        <v/>
      </c>
      <c r="AD28" s="39">
        <v>19007</v>
      </c>
      <c r="AE28" s="39" t="s">
        <v>944</v>
      </c>
      <c r="AF28" s="39" t="s">
        <v>521</v>
      </c>
      <c r="AG28" s="4">
        <f t="shared" si="9"/>
        <v>441</v>
      </c>
      <c r="AH28" s="4">
        <f t="shared" si="10"/>
        <v>408</v>
      </c>
      <c r="AI28" s="14">
        <f t="shared" si="11"/>
        <v>33</v>
      </c>
      <c r="AJ28">
        <f t="shared" si="12"/>
        <v>5</v>
      </c>
      <c r="AK28">
        <f t="shared" si="13"/>
        <v>5</v>
      </c>
      <c r="AL28">
        <f t="shared" si="14"/>
        <v>0</v>
      </c>
      <c r="AM28">
        <f t="shared" si="15"/>
        <v>0</v>
      </c>
      <c r="AN28">
        <f t="shared" si="16"/>
        <v>0</v>
      </c>
      <c r="AO28">
        <f t="shared" si="17"/>
        <v>0</v>
      </c>
      <c r="AP28">
        <f t="shared" si="18"/>
        <v>0</v>
      </c>
      <c r="AQ28">
        <f t="shared" si="19"/>
        <v>0</v>
      </c>
      <c r="AR28" t="str">
        <f t="shared" si="20"/>
        <v>Full Strength</v>
      </c>
      <c r="AS28" t="str">
        <f t="shared" si="21"/>
        <v>5v5</v>
      </c>
      <c r="AT28">
        <f t="shared" si="22"/>
        <v>0</v>
      </c>
      <c r="AU28">
        <f t="shared" si="23"/>
        <v>0</v>
      </c>
      <c r="AV28">
        <f t="shared" si="24"/>
        <v>0</v>
      </c>
      <c r="AW28">
        <f t="shared" si="25"/>
        <v>0</v>
      </c>
      <c r="AX28">
        <f t="shared" si="26"/>
        <v>0</v>
      </c>
      <c r="AY28">
        <f t="shared" si="27"/>
        <v>0</v>
      </c>
      <c r="AZ28">
        <f>IFERROR(VLOOKUP(B28,events!AD:BR,37,FALSE),0)</f>
        <v>0</v>
      </c>
      <c r="BA28">
        <f t="shared" si="28"/>
        <v>639</v>
      </c>
      <c r="BB28">
        <f t="shared" si="29"/>
        <v>634</v>
      </c>
      <c r="BC28" s="4">
        <f t="shared" si="30"/>
        <v>670</v>
      </c>
    </row>
    <row r="29" spans="1:55" x14ac:dyDescent="0.2">
      <c r="A29">
        <f t="shared" si="31"/>
        <v>28</v>
      </c>
      <c r="B29" s="6">
        <f t="shared" si="1"/>
        <v>1</v>
      </c>
      <c r="C29">
        <f t="shared" si="2"/>
        <v>6</v>
      </c>
      <c r="D29" s="4" t="str">
        <f t="shared" si="3"/>
        <v>48</v>
      </c>
      <c r="E29">
        <v>6</v>
      </c>
      <c r="F29" s="4" t="s">
        <v>413</v>
      </c>
      <c r="G29" s="6" t="s">
        <v>289</v>
      </c>
      <c r="I29">
        <v>10</v>
      </c>
      <c r="J29">
        <v>3</v>
      </c>
      <c r="K29">
        <v>16</v>
      </c>
      <c r="L29">
        <v>80</v>
      </c>
      <c r="M29">
        <v>8</v>
      </c>
      <c r="O29" s="5">
        <f t="shared" si="4"/>
        <v>31</v>
      </c>
      <c r="P29" s="6">
        <v>70</v>
      </c>
      <c r="Q29">
        <v>87</v>
      </c>
      <c r="R29">
        <v>75</v>
      </c>
      <c r="S29">
        <v>22</v>
      </c>
      <c r="T29">
        <v>84</v>
      </c>
      <c r="V29">
        <f t="shared" si="5"/>
        <v>39</v>
      </c>
      <c r="W29" s="6">
        <f>SUMIFS(events!AJ:AJ,events!Q:Q,"=DeadIce",events!AK:AK,"&lt;="&amp;shifts!AG29,events!AL:AL,"&gt;"&amp;shifts!AH29,events!E:E,"="&amp;shifts!B30)+SUMIFS(events!AJ:AJ,events!Q:Q,"=Timeout",events!AK:AK,"&lt;="&amp;shifts!AG29,events!AL:AL,"&gt;"&amp;shifts!AH29,events!E:E,"="&amp;shifts!B30)</f>
        <v>0</v>
      </c>
      <c r="X29" s="6" t="str">
        <f t="shared" si="6"/>
        <v/>
      </c>
      <c r="Z29">
        <f t="shared" si="7"/>
        <v>1</v>
      </c>
      <c r="AA29">
        <v>1</v>
      </c>
      <c r="AB29" t="str">
        <f t="shared" si="8"/>
        <v/>
      </c>
      <c r="AD29" s="39">
        <v>19008</v>
      </c>
      <c r="AE29" s="39" t="s">
        <v>944</v>
      </c>
      <c r="AF29" s="39" t="s">
        <v>521</v>
      </c>
      <c r="AG29" s="4">
        <f t="shared" si="9"/>
        <v>408</v>
      </c>
      <c r="AH29" s="4">
        <f t="shared" si="10"/>
        <v>360</v>
      </c>
      <c r="AI29" s="14">
        <f t="shared" si="11"/>
        <v>48</v>
      </c>
      <c r="AJ29">
        <f t="shared" si="12"/>
        <v>5</v>
      </c>
      <c r="AK29">
        <f t="shared" si="13"/>
        <v>5</v>
      </c>
      <c r="AL29">
        <f t="shared" si="14"/>
        <v>0</v>
      </c>
      <c r="AM29">
        <f t="shared" si="15"/>
        <v>0</v>
      </c>
      <c r="AN29">
        <f t="shared" si="16"/>
        <v>0</v>
      </c>
      <c r="AO29">
        <f t="shared" si="17"/>
        <v>0</v>
      </c>
      <c r="AP29">
        <f t="shared" si="18"/>
        <v>0</v>
      </c>
      <c r="AQ29">
        <f t="shared" si="19"/>
        <v>0</v>
      </c>
      <c r="AR29" t="str">
        <f t="shared" si="20"/>
        <v>Full Strength</v>
      </c>
      <c r="AS29" t="str">
        <f t="shared" si="21"/>
        <v>5v5</v>
      </c>
      <c r="AT29">
        <f t="shared" si="22"/>
        <v>0</v>
      </c>
      <c r="AU29">
        <f t="shared" si="23"/>
        <v>0</v>
      </c>
      <c r="AV29">
        <f t="shared" si="24"/>
        <v>0</v>
      </c>
      <c r="AW29">
        <f t="shared" si="25"/>
        <v>0</v>
      </c>
      <c r="AX29">
        <f t="shared" si="26"/>
        <v>0</v>
      </c>
      <c r="AY29">
        <f t="shared" si="27"/>
        <v>0</v>
      </c>
      <c r="AZ29">
        <f>IFERROR(VLOOKUP(B29,events!AD:BR,37,FALSE),0)</f>
        <v>0</v>
      </c>
      <c r="BA29">
        <f t="shared" si="28"/>
        <v>672</v>
      </c>
      <c r="BB29">
        <f t="shared" si="29"/>
        <v>667</v>
      </c>
      <c r="BC29" s="4">
        <f t="shared" si="30"/>
        <v>718</v>
      </c>
    </row>
    <row r="30" spans="1:55" x14ac:dyDescent="0.2">
      <c r="A30">
        <f t="shared" si="31"/>
        <v>29</v>
      </c>
      <c r="B30" s="6">
        <f t="shared" si="1"/>
        <v>1</v>
      </c>
      <c r="C30">
        <f t="shared" si="2"/>
        <v>6</v>
      </c>
      <c r="D30" s="4" t="str">
        <f t="shared" si="3"/>
        <v>00</v>
      </c>
      <c r="E30">
        <v>5</v>
      </c>
      <c r="F30" s="4" t="s">
        <v>906</v>
      </c>
      <c r="H30" s="5" t="s">
        <v>339</v>
      </c>
      <c r="I30">
        <v>79</v>
      </c>
      <c r="J30">
        <v>3</v>
      </c>
      <c r="K30">
        <v>16</v>
      </c>
      <c r="L30">
        <v>80</v>
      </c>
      <c r="M30">
        <v>8</v>
      </c>
      <c r="O30" s="5">
        <f t="shared" si="4"/>
        <v>31</v>
      </c>
      <c r="P30" s="6">
        <v>70</v>
      </c>
      <c r="Q30">
        <v>87</v>
      </c>
      <c r="R30">
        <v>75</v>
      </c>
      <c r="S30">
        <v>22</v>
      </c>
      <c r="T30">
        <v>84</v>
      </c>
      <c r="V30">
        <f t="shared" si="5"/>
        <v>39</v>
      </c>
      <c r="W30" s="6">
        <f>SUMIFS(events!AJ:AJ,events!Q:Q,"=DeadIce",events!AK:AK,"&lt;="&amp;shifts!AG30,events!AL:AL,"&gt;"&amp;shifts!AH30,events!E:E,"="&amp;shifts!B31)+SUMIFS(events!AJ:AJ,events!Q:Q,"=Timeout",events!AK:AK,"&lt;="&amp;shifts!AG30,events!AL:AL,"&gt;"&amp;shifts!AH30,events!E:E,"="&amp;shifts!B31)</f>
        <v>0</v>
      </c>
      <c r="X30" s="6" t="str">
        <f t="shared" si="6"/>
        <v/>
      </c>
      <c r="Z30">
        <f t="shared" si="7"/>
        <v>1</v>
      </c>
      <c r="AA30">
        <v>1</v>
      </c>
      <c r="AB30" t="str">
        <f t="shared" si="8"/>
        <v/>
      </c>
      <c r="AD30" s="39">
        <v>19009</v>
      </c>
      <c r="AE30" s="39" t="s">
        <v>944</v>
      </c>
      <c r="AF30" s="39" t="s">
        <v>521</v>
      </c>
      <c r="AG30" s="4">
        <f t="shared" si="9"/>
        <v>360</v>
      </c>
      <c r="AH30" s="4">
        <f t="shared" si="10"/>
        <v>329</v>
      </c>
      <c r="AI30" s="14">
        <f t="shared" si="11"/>
        <v>31</v>
      </c>
      <c r="AJ30">
        <f t="shared" si="12"/>
        <v>5</v>
      </c>
      <c r="AK30">
        <f t="shared" si="13"/>
        <v>5</v>
      </c>
      <c r="AL30">
        <f t="shared" si="14"/>
        <v>0</v>
      </c>
      <c r="AM30">
        <f t="shared" si="15"/>
        <v>0</v>
      </c>
      <c r="AN30">
        <f t="shared" si="16"/>
        <v>0</v>
      </c>
      <c r="AO30">
        <f t="shared" si="17"/>
        <v>0</v>
      </c>
      <c r="AP30">
        <f t="shared" si="18"/>
        <v>0</v>
      </c>
      <c r="AQ30">
        <f t="shared" si="19"/>
        <v>0</v>
      </c>
      <c r="AR30" t="str">
        <f t="shared" si="20"/>
        <v>Full Strength</v>
      </c>
      <c r="AS30" t="str">
        <f t="shared" si="21"/>
        <v>5v5</v>
      </c>
      <c r="AT30">
        <f t="shared" si="22"/>
        <v>0</v>
      </c>
      <c r="AU30">
        <f t="shared" si="23"/>
        <v>0</v>
      </c>
      <c r="AV30">
        <f t="shared" si="24"/>
        <v>1</v>
      </c>
      <c r="AW30">
        <f t="shared" si="25"/>
        <v>0</v>
      </c>
      <c r="AX30">
        <f t="shared" si="26"/>
        <v>0</v>
      </c>
      <c r="AY30">
        <f t="shared" si="27"/>
        <v>-1</v>
      </c>
      <c r="AZ30">
        <f>IFERROR(VLOOKUP(B30,events!AD:BR,37,FALSE),0)</f>
        <v>0</v>
      </c>
      <c r="BA30">
        <f t="shared" si="28"/>
        <v>720</v>
      </c>
      <c r="BB30">
        <f t="shared" si="29"/>
        <v>715</v>
      </c>
      <c r="BC30" s="4">
        <f t="shared" si="30"/>
        <v>749</v>
      </c>
    </row>
    <row r="31" spans="1:55" x14ac:dyDescent="0.2">
      <c r="A31">
        <f t="shared" si="31"/>
        <v>30</v>
      </c>
      <c r="B31" s="6">
        <f t="shared" si="1"/>
        <v>1</v>
      </c>
      <c r="C31">
        <f t="shared" si="2"/>
        <v>5</v>
      </c>
      <c r="D31" s="4" t="str">
        <f t="shared" si="3"/>
        <v>29</v>
      </c>
      <c r="E31">
        <v>5</v>
      </c>
      <c r="F31" s="4" t="s">
        <v>913</v>
      </c>
      <c r="G31" s="6" t="s">
        <v>286</v>
      </c>
      <c r="H31" s="5" t="s">
        <v>340</v>
      </c>
      <c r="I31">
        <v>79</v>
      </c>
      <c r="J31">
        <v>7</v>
      </c>
      <c r="K31">
        <v>44</v>
      </c>
      <c r="L31">
        <v>80</v>
      </c>
      <c r="M31">
        <v>8</v>
      </c>
      <c r="O31" s="5">
        <f t="shared" si="4"/>
        <v>31</v>
      </c>
      <c r="P31" s="6">
        <v>70</v>
      </c>
      <c r="Q31">
        <v>87</v>
      </c>
      <c r="R31">
        <v>75</v>
      </c>
      <c r="S31">
        <v>22</v>
      </c>
      <c r="T31">
        <v>84</v>
      </c>
      <c r="V31">
        <f t="shared" si="5"/>
        <v>39</v>
      </c>
      <c r="W31" s="6">
        <f>SUMIFS(events!AJ:AJ,events!Q:Q,"=DeadIce",events!AK:AK,"&lt;="&amp;shifts!AG31,events!AL:AL,"&gt;"&amp;shifts!AH31,events!E:E,"="&amp;shifts!B32)+SUMIFS(events!AJ:AJ,events!Q:Q,"=Timeout",events!AK:AK,"&lt;="&amp;shifts!AG31,events!AL:AL,"&gt;"&amp;shifts!AH31,events!E:E,"="&amp;shifts!B32)</f>
        <v>0</v>
      </c>
      <c r="X31" s="6" t="str">
        <f t="shared" si="6"/>
        <v/>
      </c>
      <c r="Y31">
        <v>1</v>
      </c>
      <c r="Z31" t="str">
        <f t="shared" si="7"/>
        <v/>
      </c>
      <c r="AB31">
        <f t="shared" si="8"/>
        <v>1</v>
      </c>
      <c r="AD31" s="39">
        <v>19010</v>
      </c>
      <c r="AE31" s="39" t="s">
        <v>944</v>
      </c>
      <c r="AF31" s="39" t="s">
        <v>521</v>
      </c>
      <c r="AG31" s="4">
        <f t="shared" si="9"/>
        <v>329</v>
      </c>
      <c r="AH31" s="4">
        <f t="shared" si="10"/>
        <v>302</v>
      </c>
      <c r="AI31" s="14">
        <f t="shared" si="11"/>
        <v>27</v>
      </c>
      <c r="AJ31">
        <f t="shared" si="12"/>
        <v>5</v>
      </c>
      <c r="AK31">
        <f t="shared" si="13"/>
        <v>5</v>
      </c>
      <c r="AL31">
        <f t="shared" si="14"/>
        <v>0</v>
      </c>
      <c r="AM31">
        <f t="shared" si="15"/>
        <v>0</v>
      </c>
      <c r="AN31">
        <f t="shared" si="16"/>
        <v>0</v>
      </c>
      <c r="AO31">
        <f t="shared" si="17"/>
        <v>0</v>
      </c>
      <c r="AP31">
        <f t="shared" si="18"/>
        <v>0</v>
      </c>
      <c r="AQ31">
        <f t="shared" si="19"/>
        <v>0</v>
      </c>
      <c r="AR31" t="str">
        <f t="shared" si="20"/>
        <v>Full Strength</v>
      </c>
      <c r="AS31" t="str">
        <f t="shared" si="21"/>
        <v>5v5</v>
      </c>
      <c r="AT31">
        <f t="shared" si="22"/>
        <v>1</v>
      </c>
      <c r="AU31">
        <f t="shared" si="23"/>
        <v>0</v>
      </c>
      <c r="AV31">
        <f t="shared" si="24"/>
        <v>0</v>
      </c>
      <c r="AW31">
        <f t="shared" si="25"/>
        <v>-1</v>
      </c>
      <c r="AX31">
        <f t="shared" si="26"/>
        <v>1</v>
      </c>
      <c r="AY31">
        <f t="shared" si="27"/>
        <v>0</v>
      </c>
      <c r="AZ31">
        <f>IFERROR(VLOOKUP(B31,events!AD:BR,37,FALSE),0)</f>
        <v>0</v>
      </c>
      <c r="BA31">
        <f t="shared" si="28"/>
        <v>751</v>
      </c>
      <c r="BB31">
        <f t="shared" si="29"/>
        <v>746</v>
      </c>
      <c r="BC31" s="4">
        <f t="shared" si="30"/>
        <v>776</v>
      </c>
    </row>
    <row r="32" spans="1:55" x14ac:dyDescent="0.2">
      <c r="A32">
        <f t="shared" si="31"/>
        <v>31</v>
      </c>
      <c r="B32" s="6">
        <f t="shared" si="1"/>
        <v>1</v>
      </c>
      <c r="C32">
        <f t="shared" si="2"/>
        <v>5</v>
      </c>
      <c r="D32" s="4" t="str">
        <f t="shared" si="3"/>
        <v>02</v>
      </c>
      <c r="E32">
        <v>3</v>
      </c>
      <c r="F32" s="4" t="s">
        <v>914</v>
      </c>
      <c r="I32">
        <v>79</v>
      </c>
      <c r="J32">
        <v>7</v>
      </c>
      <c r="K32">
        <v>44</v>
      </c>
      <c r="L32">
        <v>80</v>
      </c>
      <c r="M32">
        <v>8</v>
      </c>
      <c r="O32" s="5">
        <f t="shared" si="4"/>
        <v>31</v>
      </c>
      <c r="P32" s="6">
        <v>70</v>
      </c>
      <c r="Q32">
        <v>87</v>
      </c>
      <c r="R32">
        <v>75</v>
      </c>
      <c r="S32">
        <v>93</v>
      </c>
      <c r="T32">
        <v>52</v>
      </c>
      <c r="V32">
        <f t="shared" si="5"/>
        <v>39</v>
      </c>
      <c r="W32" s="6">
        <f>SUMIFS(events!AJ:AJ,events!Q:Q,"=DeadIce",events!AK:AK,"&lt;="&amp;shifts!AG32,events!AL:AL,"&gt;"&amp;shifts!AH32,events!E:E,"="&amp;shifts!B33)+SUMIFS(events!AJ:AJ,events!Q:Q,"=Timeout",events!AK:AK,"&lt;="&amp;shifts!AG32,events!AL:AL,"&gt;"&amp;shifts!AH32,events!E:E,"="&amp;shifts!B33)</f>
        <v>0</v>
      </c>
      <c r="X32" s="6" t="str">
        <f t="shared" si="6"/>
        <v/>
      </c>
      <c r="Y32">
        <v>1</v>
      </c>
      <c r="Z32" t="str">
        <f t="shared" si="7"/>
        <v/>
      </c>
      <c r="AB32">
        <f t="shared" si="8"/>
        <v>1</v>
      </c>
      <c r="AD32" s="39">
        <v>19011</v>
      </c>
      <c r="AE32" s="39" t="s">
        <v>944</v>
      </c>
      <c r="AF32" s="39" t="s">
        <v>521</v>
      </c>
      <c r="AG32" s="4">
        <f t="shared" si="9"/>
        <v>302</v>
      </c>
      <c r="AH32" s="4">
        <f t="shared" si="10"/>
        <v>213</v>
      </c>
      <c r="AI32" s="14">
        <f t="shared" si="11"/>
        <v>89</v>
      </c>
      <c r="AJ32">
        <f t="shared" si="12"/>
        <v>5</v>
      </c>
      <c r="AK32">
        <f t="shared" si="13"/>
        <v>5</v>
      </c>
      <c r="AL32">
        <f t="shared" si="14"/>
        <v>0</v>
      </c>
      <c r="AM32">
        <f t="shared" si="15"/>
        <v>0</v>
      </c>
      <c r="AN32">
        <f t="shared" si="16"/>
        <v>0</v>
      </c>
      <c r="AO32">
        <f t="shared" si="17"/>
        <v>0</v>
      </c>
      <c r="AP32">
        <f t="shared" si="18"/>
        <v>0</v>
      </c>
      <c r="AQ32">
        <f t="shared" si="19"/>
        <v>0</v>
      </c>
      <c r="AR32" t="str">
        <f t="shared" si="20"/>
        <v>Full Strength</v>
      </c>
      <c r="AS32" t="str">
        <f t="shared" si="21"/>
        <v>5v5</v>
      </c>
      <c r="AT32">
        <f t="shared" si="22"/>
        <v>1</v>
      </c>
      <c r="AU32">
        <f t="shared" si="23"/>
        <v>1</v>
      </c>
      <c r="AV32">
        <f t="shared" si="24"/>
        <v>0</v>
      </c>
      <c r="AW32">
        <f t="shared" si="25"/>
        <v>0</v>
      </c>
      <c r="AX32">
        <f t="shared" si="26"/>
        <v>0</v>
      </c>
      <c r="AY32">
        <f t="shared" si="27"/>
        <v>0</v>
      </c>
      <c r="AZ32">
        <f>IFERROR(VLOOKUP(B32,events!AD:BR,37,FALSE),0)</f>
        <v>0</v>
      </c>
      <c r="BA32">
        <f t="shared" si="28"/>
        <v>778</v>
      </c>
      <c r="BB32">
        <f t="shared" si="29"/>
        <v>773</v>
      </c>
      <c r="BC32" s="4">
        <f t="shared" si="30"/>
        <v>865</v>
      </c>
    </row>
    <row r="33" spans="1:55" x14ac:dyDescent="0.2">
      <c r="A33">
        <f t="shared" si="31"/>
        <v>32</v>
      </c>
      <c r="B33" s="6">
        <f t="shared" si="1"/>
        <v>1</v>
      </c>
      <c r="C33">
        <f t="shared" si="2"/>
        <v>3</v>
      </c>
      <c r="D33" s="4" t="str">
        <f t="shared" si="3"/>
        <v>33</v>
      </c>
      <c r="E33">
        <v>3</v>
      </c>
      <c r="F33" s="4" t="s">
        <v>740</v>
      </c>
      <c r="I33">
        <v>79</v>
      </c>
      <c r="J33">
        <v>7</v>
      </c>
      <c r="K33">
        <v>44</v>
      </c>
      <c r="L33">
        <v>80</v>
      </c>
      <c r="M33">
        <v>8</v>
      </c>
      <c r="O33" s="5">
        <f t="shared" si="4"/>
        <v>31</v>
      </c>
      <c r="P33" s="6">
        <v>70</v>
      </c>
      <c r="Q33">
        <v>91</v>
      </c>
      <c r="R33">
        <v>24</v>
      </c>
      <c r="S33">
        <v>93</v>
      </c>
      <c r="T33">
        <v>52</v>
      </c>
      <c r="V33">
        <f t="shared" si="5"/>
        <v>39</v>
      </c>
      <c r="W33" s="6">
        <f>SUMIFS(events!AJ:AJ,events!Q:Q,"=DeadIce",events!AK:AK,"&lt;="&amp;shifts!AG33,events!AL:AL,"&gt;"&amp;shifts!AH33,events!E:E,"="&amp;shifts!B34)+SUMIFS(events!AJ:AJ,events!Q:Q,"=Timeout",events!AK:AK,"&lt;="&amp;shifts!AG33,events!AL:AL,"&gt;"&amp;shifts!AH33,events!E:E,"="&amp;shifts!B34)</f>
        <v>0</v>
      </c>
      <c r="X33" s="6">
        <f t="shared" si="6"/>
        <v>1</v>
      </c>
      <c r="Z33" t="str">
        <f t="shared" si="7"/>
        <v/>
      </c>
      <c r="AA33">
        <v>1</v>
      </c>
      <c r="AB33" t="str">
        <f t="shared" si="8"/>
        <v/>
      </c>
      <c r="AD33" s="39">
        <v>19012</v>
      </c>
      <c r="AE33" s="39" t="s">
        <v>944</v>
      </c>
      <c r="AF33" s="39" t="s">
        <v>521</v>
      </c>
      <c r="AG33" s="4">
        <f t="shared" si="9"/>
        <v>213</v>
      </c>
      <c r="AH33" s="4">
        <f t="shared" si="10"/>
        <v>205</v>
      </c>
      <c r="AI33" s="14">
        <f t="shared" si="11"/>
        <v>8</v>
      </c>
      <c r="AJ33">
        <f t="shared" si="12"/>
        <v>5</v>
      </c>
      <c r="AK33">
        <f t="shared" si="13"/>
        <v>5</v>
      </c>
      <c r="AL33">
        <f t="shared" si="14"/>
        <v>0</v>
      </c>
      <c r="AM33">
        <f t="shared" si="15"/>
        <v>0</v>
      </c>
      <c r="AN33">
        <f t="shared" si="16"/>
        <v>0</v>
      </c>
      <c r="AO33">
        <f t="shared" si="17"/>
        <v>0</v>
      </c>
      <c r="AP33">
        <f t="shared" si="18"/>
        <v>0</v>
      </c>
      <c r="AQ33">
        <f t="shared" si="19"/>
        <v>0</v>
      </c>
      <c r="AR33" t="str">
        <f t="shared" si="20"/>
        <v>Full Strength</v>
      </c>
      <c r="AS33" t="str">
        <f t="shared" si="21"/>
        <v>5v5</v>
      </c>
      <c r="AT33">
        <f t="shared" si="22"/>
        <v>1</v>
      </c>
      <c r="AU33">
        <f t="shared" si="23"/>
        <v>1</v>
      </c>
      <c r="AV33">
        <f t="shared" si="24"/>
        <v>0</v>
      </c>
      <c r="AW33">
        <f t="shared" si="25"/>
        <v>0</v>
      </c>
      <c r="AX33">
        <f t="shared" si="26"/>
        <v>0</v>
      </c>
      <c r="AY33">
        <f t="shared" si="27"/>
        <v>0</v>
      </c>
      <c r="AZ33">
        <f>IFERROR(VLOOKUP(B33,events!AD:BR,37,FALSE),0)</f>
        <v>0</v>
      </c>
      <c r="BA33">
        <f t="shared" si="28"/>
        <v>867</v>
      </c>
      <c r="BB33">
        <f t="shared" si="29"/>
        <v>862</v>
      </c>
      <c r="BC33" s="4">
        <f t="shared" si="30"/>
        <v>873</v>
      </c>
    </row>
    <row r="34" spans="1:55" x14ac:dyDescent="0.2">
      <c r="A34">
        <f t="shared" si="31"/>
        <v>33</v>
      </c>
      <c r="B34" s="6">
        <f t="shared" si="1"/>
        <v>1</v>
      </c>
      <c r="C34">
        <f t="shared" si="2"/>
        <v>3</v>
      </c>
      <c r="D34" s="4" t="str">
        <f t="shared" si="3"/>
        <v>25</v>
      </c>
      <c r="E34">
        <v>3</v>
      </c>
      <c r="F34" s="4" t="s">
        <v>746</v>
      </c>
      <c r="I34">
        <v>79</v>
      </c>
      <c r="J34">
        <v>15</v>
      </c>
      <c r="K34">
        <v>44</v>
      </c>
      <c r="L34">
        <v>80</v>
      </c>
      <c r="M34">
        <v>23</v>
      </c>
      <c r="O34" s="5">
        <f t="shared" si="4"/>
        <v>31</v>
      </c>
      <c r="P34" s="6">
        <v>42</v>
      </c>
      <c r="Q34">
        <v>91</v>
      </c>
      <c r="R34">
        <v>24</v>
      </c>
      <c r="S34">
        <v>93</v>
      </c>
      <c r="T34">
        <v>52</v>
      </c>
      <c r="V34">
        <f t="shared" si="5"/>
        <v>39</v>
      </c>
      <c r="W34" s="6">
        <f>SUMIFS(events!AJ:AJ,events!Q:Q,"=DeadIce",events!AK:AK,"&lt;="&amp;shifts!AG34,events!AL:AL,"&gt;"&amp;shifts!AH34,events!E:E,"="&amp;shifts!B35)+SUMIFS(events!AJ:AJ,events!Q:Q,"=Timeout",events!AK:AK,"&lt;="&amp;shifts!AG34,events!AL:AL,"&gt;"&amp;shifts!AH34,events!E:E,"="&amp;shifts!B35)</f>
        <v>0</v>
      </c>
      <c r="X34" s="6" t="str">
        <f t="shared" si="6"/>
        <v/>
      </c>
      <c r="Y34">
        <v>1</v>
      </c>
      <c r="Z34">
        <f t="shared" si="7"/>
        <v>1</v>
      </c>
      <c r="AB34" t="str">
        <f t="shared" si="8"/>
        <v/>
      </c>
      <c r="AD34" s="39">
        <v>19013</v>
      </c>
      <c r="AE34" s="39" t="s">
        <v>944</v>
      </c>
      <c r="AF34" s="39" t="s">
        <v>521</v>
      </c>
      <c r="AG34" s="4">
        <f t="shared" si="9"/>
        <v>205</v>
      </c>
      <c r="AH34" s="4">
        <f t="shared" si="10"/>
        <v>192</v>
      </c>
      <c r="AI34" s="14">
        <f t="shared" si="11"/>
        <v>13</v>
      </c>
      <c r="AJ34">
        <f t="shared" si="12"/>
        <v>5</v>
      </c>
      <c r="AK34">
        <f t="shared" si="13"/>
        <v>5</v>
      </c>
      <c r="AL34">
        <f t="shared" si="14"/>
        <v>0</v>
      </c>
      <c r="AM34">
        <f t="shared" si="15"/>
        <v>0</v>
      </c>
      <c r="AN34">
        <f t="shared" si="16"/>
        <v>0</v>
      </c>
      <c r="AO34">
        <f t="shared" si="17"/>
        <v>0</v>
      </c>
      <c r="AP34">
        <f t="shared" si="18"/>
        <v>0</v>
      </c>
      <c r="AQ34">
        <f t="shared" si="19"/>
        <v>0</v>
      </c>
      <c r="AR34" t="str">
        <f t="shared" si="20"/>
        <v>Full Strength</v>
      </c>
      <c r="AS34" t="str">
        <f t="shared" si="21"/>
        <v>5v5</v>
      </c>
      <c r="AT34">
        <f t="shared" si="22"/>
        <v>1</v>
      </c>
      <c r="AU34">
        <f t="shared" si="23"/>
        <v>1</v>
      </c>
      <c r="AV34">
        <f t="shared" si="24"/>
        <v>0</v>
      </c>
      <c r="AW34">
        <f t="shared" si="25"/>
        <v>0</v>
      </c>
      <c r="AX34">
        <f t="shared" si="26"/>
        <v>0</v>
      </c>
      <c r="AY34">
        <f t="shared" si="27"/>
        <v>0</v>
      </c>
      <c r="AZ34">
        <f>IFERROR(VLOOKUP(B34,events!AD:BR,37,FALSE),0)</f>
        <v>0</v>
      </c>
      <c r="BA34">
        <f t="shared" si="28"/>
        <v>875</v>
      </c>
      <c r="BB34">
        <f t="shared" si="29"/>
        <v>870</v>
      </c>
      <c r="BC34" s="4">
        <f t="shared" si="30"/>
        <v>886</v>
      </c>
    </row>
    <row r="35" spans="1:55" x14ac:dyDescent="0.2">
      <c r="A35">
        <f t="shared" si="31"/>
        <v>34</v>
      </c>
      <c r="B35" s="6">
        <f t="shared" si="1"/>
        <v>1</v>
      </c>
      <c r="C35">
        <f t="shared" si="2"/>
        <v>3</v>
      </c>
      <c r="D35" s="4" t="str">
        <f t="shared" si="3"/>
        <v>12</v>
      </c>
      <c r="E35">
        <v>2</v>
      </c>
      <c r="F35" s="4" t="s">
        <v>896</v>
      </c>
      <c r="I35">
        <v>10</v>
      </c>
      <c r="J35">
        <v>15</v>
      </c>
      <c r="K35">
        <v>44</v>
      </c>
      <c r="L35">
        <v>80</v>
      </c>
      <c r="M35">
        <v>23</v>
      </c>
      <c r="O35" s="5">
        <f t="shared" si="4"/>
        <v>31</v>
      </c>
      <c r="P35" s="6">
        <v>42</v>
      </c>
      <c r="Q35">
        <v>91</v>
      </c>
      <c r="R35">
        <v>24</v>
      </c>
      <c r="S35">
        <v>93</v>
      </c>
      <c r="T35">
        <v>52</v>
      </c>
      <c r="V35">
        <f t="shared" si="5"/>
        <v>39</v>
      </c>
      <c r="W35" s="6">
        <f>SUMIFS(events!AJ:AJ,events!Q:Q,"=DeadIce",events!AK:AK,"&lt;="&amp;shifts!AG35,events!AL:AL,"&gt;"&amp;shifts!AH35,events!E:E,"="&amp;shifts!B36)+SUMIFS(events!AJ:AJ,events!Q:Q,"=Timeout",events!AK:AK,"&lt;="&amp;shifts!AG35,events!AL:AL,"&gt;"&amp;shifts!AH35,events!E:E,"="&amp;shifts!B36)</f>
        <v>0</v>
      </c>
      <c r="X35" s="6">
        <f t="shared" si="6"/>
        <v>1</v>
      </c>
      <c r="Y35">
        <v>1</v>
      </c>
      <c r="Z35" t="str">
        <f t="shared" si="7"/>
        <v/>
      </c>
      <c r="AB35" t="str">
        <f t="shared" si="8"/>
        <v/>
      </c>
      <c r="AD35" s="39">
        <v>19014</v>
      </c>
      <c r="AE35" s="39" t="s">
        <v>944</v>
      </c>
      <c r="AF35" s="39" t="s">
        <v>521</v>
      </c>
      <c r="AG35" s="4">
        <f t="shared" si="9"/>
        <v>192</v>
      </c>
      <c r="AH35" s="4">
        <f t="shared" si="10"/>
        <v>179</v>
      </c>
      <c r="AI35" s="14">
        <f t="shared" si="11"/>
        <v>13</v>
      </c>
      <c r="AJ35">
        <f t="shared" si="12"/>
        <v>5</v>
      </c>
      <c r="AK35">
        <f t="shared" si="13"/>
        <v>5</v>
      </c>
      <c r="AL35">
        <f t="shared" si="14"/>
        <v>0</v>
      </c>
      <c r="AM35">
        <f t="shared" si="15"/>
        <v>0</v>
      </c>
      <c r="AN35">
        <f t="shared" si="16"/>
        <v>0</v>
      </c>
      <c r="AO35">
        <f t="shared" si="17"/>
        <v>0</v>
      </c>
      <c r="AP35">
        <f t="shared" si="18"/>
        <v>0</v>
      </c>
      <c r="AQ35">
        <f t="shared" si="19"/>
        <v>0</v>
      </c>
      <c r="AR35" t="str">
        <f t="shared" si="20"/>
        <v>Full Strength</v>
      </c>
      <c r="AS35" t="str">
        <f t="shared" si="21"/>
        <v>5v5</v>
      </c>
      <c r="AT35">
        <f t="shared" si="22"/>
        <v>1</v>
      </c>
      <c r="AU35">
        <f t="shared" si="23"/>
        <v>1</v>
      </c>
      <c r="AV35">
        <f t="shared" si="24"/>
        <v>0</v>
      </c>
      <c r="AW35">
        <f t="shared" si="25"/>
        <v>0</v>
      </c>
      <c r="AX35">
        <f t="shared" si="26"/>
        <v>0</v>
      </c>
      <c r="AY35">
        <f t="shared" si="27"/>
        <v>0</v>
      </c>
      <c r="AZ35">
        <f>IFERROR(VLOOKUP(B35,events!AD:BR,37,FALSE),0)</f>
        <v>0</v>
      </c>
      <c r="BA35">
        <f t="shared" si="28"/>
        <v>888</v>
      </c>
      <c r="BB35">
        <f t="shared" si="29"/>
        <v>883</v>
      </c>
      <c r="BC35" s="4">
        <f t="shared" si="30"/>
        <v>899</v>
      </c>
    </row>
    <row r="36" spans="1:55" x14ac:dyDescent="0.2">
      <c r="A36">
        <f t="shared" si="31"/>
        <v>35</v>
      </c>
      <c r="B36" s="6">
        <f t="shared" si="1"/>
        <v>1</v>
      </c>
      <c r="C36">
        <f t="shared" si="2"/>
        <v>2</v>
      </c>
      <c r="D36" s="4" t="str">
        <f t="shared" si="3"/>
        <v>59</v>
      </c>
      <c r="E36">
        <v>2</v>
      </c>
      <c r="F36" s="4" t="s">
        <v>899</v>
      </c>
      <c r="I36">
        <v>10</v>
      </c>
      <c r="J36">
        <v>15</v>
      </c>
      <c r="K36">
        <v>44</v>
      </c>
      <c r="L36">
        <v>80</v>
      </c>
      <c r="M36">
        <v>23</v>
      </c>
      <c r="O36" s="5">
        <f t="shared" si="4"/>
        <v>31</v>
      </c>
      <c r="P36" s="6">
        <v>42</v>
      </c>
      <c r="Q36">
        <v>91</v>
      </c>
      <c r="R36">
        <v>24</v>
      </c>
      <c r="S36">
        <v>93</v>
      </c>
      <c r="T36">
        <v>9</v>
      </c>
      <c r="V36">
        <f t="shared" si="5"/>
        <v>39</v>
      </c>
      <c r="W36" s="6">
        <f>SUMIFS(events!AJ:AJ,events!Q:Q,"=DeadIce",events!AK:AK,"&lt;="&amp;shifts!AG36,events!AL:AL,"&gt;"&amp;shifts!AH36,events!E:E,"="&amp;shifts!B37)+SUMIFS(events!AJ:AJ,events!Q:Q,"=Timeout",events!AK:AK,"&lt;="&amp;shifts!AG36,events!AL:AL,"&gt;"&amp;shifts!AH36,events!E:E,"="&amp;shifts!B37)</f>
        <v>0</v>
      </c>
      <c r="X36" s="6">
        <f t="shared" si="6"/>
        <v>1</v>
      </c>
      <c r="Z36" t="str">
        <f t="shared" si="7"/>
        <v/>
      </c>
      <c r="AB36" t="str">
        <f t="shared" si="8"/>
        <v/>
      </c>
      <c r="AC36">
        <v>1</v>
      </c>
      <c r="AD36" s="39">
        <v>19015</v>
      </c>
      <c r="AE36" s="39" t="s">
        <v>944</v>
      </c>
      <c r="AF36" s="39" t="s">
        <v>521</v>
      </c>
      <c r="AG36" s="4">
        <f t="shared" si="9"/>
        <v>179</v>
      </c>
      <c r="AH36" s="4">
        <f t="shared" si="10"/>
        <v>168</v>
      </c>
      <c r="AI36" s="14">
        <f t="shared" si="11"/>
        <v>11</v>
      </c>
      <c r="AJ36">
        <f t="shared" si="12"/>
        <v>5</v>
      </c>
      <c r="AK36">
        <f t="shared" si="13"/>
        <v>5</v>
      </c>
      <c r="AL36">
        <f t="shared" si="14"/>
        <v>0</v>
      </c>
      <c r="AM36">
        <f t="shared" si="15"/>
        <v>0</v>
      </c>
      <c r="AN36">
        <f t="shared" si="16"/>
        <v>0</v>
      </c>
      <c r="AO36">
        <f t="shared" si="17"/>
        <v>0</v>
      </c>
      <c r="AP36">
        <f t="shared" si="18"/>
        <v>0</v>
      </c>
      <c r="AQ36">
        <f t="shared" si="19"/>
        <v>0</v>
      </c>
      <c r="AR36" t="str">
        <f t="shared" si="20"/>
        <v>Full Strength</v>
      </c>
      <c r="AS36" t="str">
        <f t="shared" si="21"/>
        <v>5v5</v>
      </c>
      <c r="AT36">
        <f t="shared" si="22"/>
        <v>1</v>
      </c>
      <c r="AU36">
        <f t="shared" si="23"/>
        <v>1</v>
      </c>
      <c r="AV36">
        <f t="shared" si="24"/>
        <v>0</v>
      </c>
      <c r="AW36">
        <f t="shared" si="25"/>
        <v>0</v>
      </c>
      <c r="AX36">
        <f t="shared" si="26"/>
        <v>0</v>
      </c>
      <c r="AY36">
        <f t="shared" si="27"/>
        <v>0</v>
      </c>
      <c r="AZ36">
        <f>IFERROR(VLOOKUP(B36,events!AD:BR,37,FALSE),0)</f>
        <v>0</v>
      </c>
      <c r="BA36">
        <f t="shared" si="28"/>
        <v>901</v>
      </c>
      <c r="BB36">
        <f t="shared" si="29"/>
        <v>896</v>
      </c>
      <c r="BC36" s="4">
        <f t="shared" si="30"/>
        <v>910</v>
      </c>
    </row>
    <row r="37" spans="1:55" x14ac:dyDescent="0.2">
      <c r="A37">
        <f t="shared" si="31"/>
        <v>36</v>
      </c>
      <c r="B37" s="6">
        <f t="shared" si="1"/>
        <v>1</v>
      </c>
      <c r="C37">
        <f t="shared" si="2"/>
        <v>2</v>
      </c>
      <c r="D37" s="4" t="str">
        <f t="shared" si="3"/>
        <v>48</v>
      </c>
      <c r="E37">
        <v>2</v>
      </c>
      <c r="F37" s="4" t="s">
        <v>907</v>
      </c>
      <c r="H37" s="5" t="s">
        <v>301</v>
      </c>
      <c r="I37">
        <v>10</v>
      </c>
      <c r="J37">
        <v>15</v>
      </c>
      <c r="K37">
        <v>44</v>
      </c>
      <c r="L37">
        <v>37</v>
      </c>
      <c r="M37">
        <v>23</v>
      </c>
      <c r="O37" s="5">
        <f t="shared" si="4"/>
        <v>31</v>
      </c>
      <c r="P37" s="6">
        <v>42</v>
      </c>
      <c r="Q37">
        <v>91</v>
      </c>
      <c r="R37">
        <v>24</v>
      </c>
      <c r="S37">
        <v>93</v>
      </c>
      <c r="T37">
        <v>9</v>
      </c>
      <c r="V37">
        <f t="shared" si="5"/>
        <v>39</v>
      </c>
      <c r="W37" s="6">
        <f>SUMIFS(events!AJ:AJ,events!Q:Q,"=DeadIce",events!AK:AK,"&lt;="&amp;shifts!AG37,events!AL:AL,"&gt;"&amp;shifts!AH37,events!E:E,"="&amp;shifts!B38)+SUMIFS(events!AJ:AJ,events!Q:Q,"=Timeout",events!AK:AK,"&lt;="&amp;shifts!AG37,events!AL:AL,"&gt;"&amp;shifts!AH37,events!E:E,"="&amp;shifts!B38)</f>
        <v>0</v>
      </c>
      <c r="X37" s="6" t="str">
        <f t="shared" si="6"/>
        <v/>
      </c>
      <c r="Z37" t="str">
        <f t="shared" si="7"/>
        <v/>
      </c>
      <c r="AA37">
        <v>1</v>
      </c>
      <c r="AB37">
        <f t="shared" si="8"/>
        <v>1</v>
      </c>
      <c r="AD37" s="39">
        <v>19016</v>
      </c>
      <c r="AE37" s="39" t="s">
        <v>944</v>
      </c>
      <c r="AF37" s="39" t="s">
        <v>521</v>
      </c>
      <c r="AG37" s="4">
        <f t="shared" si="9"/>
        <v>168</v>
      </c>
      <c r="AH37" s="4">
        <f t="shared" si="10"/>
        <v>144</v>
      </c>
      <c r="AI37" s="14">
        <f t="shared" si="11"/>
        <v>24</v>
      </c>
      <c r="AJ37">
        <f t="shared" si="12"/>
        <v>5</v>
      </c>
      <c r="AK37">
        <f t="shared" si="13"/>
        <v>5</v>
      </c>
      <c r="AL37">
        <f t="shared" si="14"/>
        <v>0</v>
      </c>
      <c r="AM37">
        <f t="shared" si="15"/>
        <v>0</v>
      </c>
      <c r="AN37">
        <f t="shared" si="16"/>
        <v>0</v>
      </c>
      <c r="AO37">
        <f t="shared" si="17"/>
        <v>0</v>
      </c>
      <c r="AP37">
        <f t="shared" si="18"/>
        <v>0</v>
      </c>
      <c r="AQ37">
        <f t="shared" si="19"/>
        <v>0</v>
      </c>
      <c r="AR37" t="str">
        <f t="shared" si="20"/>
        <v>Full Strength</v>
      </c>
      <c r="AS37" t="str">
        <f t="shared" si="21"/>
        <v>5v5</v>
      </c>
      <c r="AT37">
        <f t="shared" si="22"/>
        <v>1</v>
      </c>
      <c r="AU37">
        <f t="shared" si="23"/>
        <v>1</v>
      </c>
      <c r="AV37">
        <f t="shared" si="24"/>
        <v>0</v>
      </c>
      <c r="AW37">
        <f t="shared" si="25"/>
        <v>0</v>
      </c>
      <c r="AX37">
        <f t="shared" si="26"/>
        <v>0</v>
      </c>
      <c r="AY37">
        <f t="shared" si="27"/>
        <v>0</v>
      </c>
      <c r="AZ37">
        <f>IFERROR(VLOOKUP(B37,events!AD:BR,37,FALSE),0)</f>
        <v>0</v>
      </c>
      <c r="BA37">
        <f t="shared" si="28"/>
        <v>912</v>
      </c>
      <c r="BB37">
        <f t="shared" si="29"/>
        <v>907</v>
      </c>
      <c r="BC37" s="4">
        <f t="shared" si="30"/>
        <v>934</v>
      </c>
    </row>
    <row r="38" spans="1:55" x14ac:dyDescent="0.2">
      <c r="A38">
        <f t="shared" si="31"/>
        <v>37</v>
      </c>
      <c r="B38" s="6">
        <f t="shared" si="1"/>
        <v>1</v>
      </c>
      <c r="C38">
        <f t="shared" si="2"/>
        <v>2</v>
      </c>
      <c r="D38" s="4" t="str">
        <f t="shared" si="3"/>
        <v>24</v>
      </c>
      <c r="E38">
        <v>1</v>
      </c>
      <c r="F38" s="4" t="s">
        <v>900</v>
      </c>
      <c r="G38" s="6" t="s">
        <v>289</v>
      </c>
      <c r="H38" s="5" t="s">
        <v>342</v>
      </c>
      <c r="I38">
        <v>10</v>
      </c>
      <c r="J38">
        <v>3</v>
      </c>
      <c r="K38">
        <v>16</v>
      </c>
      <c r="L38">
        <v>37</v>
      </c>
      <c r="M38">
        <v>23</v>
      </c>
      <c r="O38" s="5">
        <f t="shared" si="4"/>
        <v>31</v>
      </c>
      <c r="P38" s="6">
        <v>42</v>
      </c>
      <c r="Q38">
        <v>91</v>
      </c>
      <c r="R38">
        <v>24</v>
      </c>
      <c r="S38">
        <v>93</v>
      </c>
      <c r="T38">
        <v>9</v>
      </c>
      <c r="V38">
        <f t="shared" si="5"/>
        <v>39</v>
      </c>
      <c r="W38" s="6">
        <f>SUMIFS(events!AJ:AJ,events!Q:Q,"=DeadIce",events!AK:AK,"&lt;="&amp;shifts!AG38,events!AL:AL,"&gt;"&amp;shifts!AH38,events!E:E,"="&amp;shifts!B39)+SUMIFS(events!AJ:AJ,events!Q:Q,"=Timeout",events!AK:AK,"&lt;="&amp;shifts!AG38,events!AL:AL,"&gt;"&amp;shifts!AH38,events!E:E,"="&amp;shifts!B39)</f>
        <v>0</v>
      </c>
      <c r="X38" s="6" t="str">
        <f t="shared" si="6"/>
        <v/>
      </c>
      <c r="Y38">
        <v>1</v>
      </c>
      <c r="Z38">
        <f t="shared" si="7"/>
        <v>1</v>
      </c>
      <c r="AB38" t="str">
        <f t="shared" si="8"/>
        <v/>
      </c>
      <c r="AD38" s="39">
        <v>19017</v>
      </c>
      <c r="AE38" s="39" t="s">
        <v>944</v>
      </c>
      <c r="AF38" s="39" t="s">
        <v>521</v>
      </c>
      <c r="AG38" s="4">
        <f t="shared" si="9"/>
        <v>144</v>
      </c>
      <c r="AH38" s="4">
        <f t="shared" si="10"/>
        <v>107</v>
      </c>
      <c r="AI38" s="14">
        <f t="shared" si="11"/>
        <v>37</v>
      </c>
      <c r="AJ38">
        <f t="shared" si="12"/>
        <v>5</v>
      </c>
      <c r="AK38">
        <f t="shared" si="13"/>
        <v>5</v>
      </c>
      <c r="AL38">
        <f t="shared" si="14"/>
        <v>0</v>
      </c>
      <c r="AM38">
        <f t="shared" si="15"/>
        <v>0</v>
      </c>
      <c r="AN38">
        <f t="shared" si="16"/>
        <v>0</v>
      </c>
      <c r="AO38">
        <f t="shared" si="17"/>
        <v>0</v>
      </c>
      <c r="AP38">
        <f t="shared" si="18"/>
        <v>0</v>
      </c>
      <c r="AQ38">
        <f t="shared" si="19"/>
        <v>0</v>
      </c>
      <c r="AR38" t="str">
        <f t="shared" si="20"/>
        <v>Full Strength</v>
      </c>
      <c r="AS38" t="str">
        <f t="shared" si="21"/>
        <v>5v5</v>
      </c>
      <c r="AT38">
        <f t="shared" si="22"/>
        <v>1</v>
      </c>
      <c r="AU38">
        <f t="shared" si="23"/>
        <v>1</v>
      </c>
      <c r="AV38">
        <f t="shared" si="24"/>
        <v>0</v>
      </c>
      <c r="AW38">
        <f t="shared" si="25"/>
        <v>0</v>
      </c>
      <c r="AX38">
        <f t="shared" si="26"/>
        <v>0</v>
      </c>
      <c r="AY38">
        <f t="shared" si="27"/>
        <v>0</v>
      </c>
      <c r="AZ38">
        <f>IFERROR(VLOOKUP(B38,events!AD:BR,37,FALSE),0)</f>
        <v>0</v>
      </c>
      <c r="BA38">
        <f t="shared" si="28"/>
        <v>936</v>
      </c>
      <c r="BB38">
        <f t="shared" si="29"/>
        <v>931</v>
      </c>
      <c r="BC38" s="4">
        <f t="shared" si="30"/>
        <v>971</v>
      </c>
    </row>
    <row r="39" spans="1:55" x14ac:dyDescent="0.2">
      <c r="A39">
        <f t="shared" si="31"/>
        <v>38</v>
      </c>
      <c r="B39" s="6">
        <f t="shared" si="1"/>
        <v>1</v>
      </c>
      <c r="C39">
        <f t="shared" si="2"/>
        <v>1</v>
      </c>
      <c r="D39" s="4" t="str">
        <f t="shared" si="3"/>
        <v>47</v>
      </c>
      <c r="E39">
        <v>0</v>
      </c>
      <c r="F39" s="4" t="s">
        <v>932</v>
      </c>
      <c r="G39" s="6" t="s">
        <v>289</v>
      </c>
      <c r="H39" s="5" t="s">
        <v>296</v>
      </c>
      <c r="I39">
        <v>10</v>
      </c>
      <c r="J39">
        <v>3</v>
      </c>
      <c r="K39">
        <v>16</v>
      </c>
      <c r="L39">
        <v>37</v>
      </c>
      <c r="M39">
        <v>23</v>
      </c>
      <c r="O39" s="5">
        <f t="shared" si="4"/>
        <v>31</v>
      </c>
      <c r="P39" s="6">
        <v>42</v>
      </c>
      <c r="Q39">
        <v>91</v>
      </c>
      <c r="R39">
        <v>24</v>
      </c>
      <c r="S39">
        <v>84</v>
      </c>
      <c r="T39">
        <v>9</v>
      </c>
      <c r="V39">
        <f t="shared" si="5"/>
        <v>39</v>
      </c>
      <c r="W39" s="6">
        <f>SUMIFS(events!AJ:AJ,events!Q:Q,"=DeadIce",events!AK:AK,"&lt;="&amp;shifts!AG39,events!AL:AL,"&gt;"&amp;shifts!AH39,events!E:E,"="&amp;shifts!B40)+SUMIFS(events!AJ:AJ,events!Q:Q,"=Timeout",events!AK:AK,"&lt;="&amp;shifts!AG39,events!AL:AL,"&gt;"&amp;shifts!AH39,events!E:E,"="&amp;shifts!B40)</f>
        <v>0</v>
      </c>
      <c r="X39" s="6">
        <f t="shared" si="6"/>
        <v>1</v>
      </c>
      <c r="Z39" t="str">
        <f t="shared" si="7"/>
        <v/>
      </c>
      <c r="AA39">
        <v>1</v>
      </c>
      <c r="AB39" t="str">
        <f t="shared" si="8"/>
        <v/>
      </c>
      <c r="AD39" s="39">
        <v>19018</v>
      </c>
      <c r="AE39" s="39" t="s">
        <v>944</v>
      </c>
      <c r="AF39" s="39" t="s">
        <v>521</v>
      </c>
      <c r="AG39" s="4">
        <f t="shared" si="9"/>
        <v>107</v>
      </c>
      <c r="AH39" s="4">
        <f t="shared" si="10"/>
        <v>58</v>
      </c>
      <c r="AI39" s="14">
        <f t="shared" si="11"/>
        <v>49</v>
      </c>
      <c r="AJ39">
        <f t="shared" si="12"/>
        <v>5</v>
      </c>
      <c r="AK39">
        <f t="shared" si="13"/>
        <v>5</v>
      </c>
      <c r="AL39">
        <f t="shared" si="14"/>
        <v>0</v>
      </c>
      <c r="AM39">
        <f t="shared" si="15"/>
        <v>0</v>
      </c>
      <c r="AN39">
        <f t="shared" si="16"/>
        <v>0</v>
      </c>
      <c r="AO39">
        <f t="shared" si="17"/>
        <v>0</v>
      </c>
      <c r="AP39">
        <f t="shared" si="18"/>
        <v>0</v>
      </c>
      <c r="AQ39">
        <f t="shared" si="19"/>
        <v>0</v>
      </c>
      <c r="AR39" t="str">
        <f t="shared" si="20"/>
        <v>Full Strength</v>
      </c>
      <c r="AS39" t="str">
        <f t="shared" si="21"/>
        <v>5v5</v>
      </c>
      <c r="AT39">
        <f t="shared" si="22"/>
        <v>1</v>
      </c>
      <c r="AU39">
        <f t="shared" si="23"/>
        <v>1</v>
      </c>
      <c r="AV39">
        <f t="shared" si="24"/>
        <v>0</v>
      </c>
      <c r="AW39">
        <f t="shared" si="25"/>
        <v>0</v>
      </c>
      <c r="AX39">
        <f t="shared" si="26"/>
        <v>0</v>
      </c>
      <c r="AY39">
        <f t="shared" si="27"/>
        <v>0</v>
      </c>
      <c r="AZ39">
        <f>IFERROR(VLOOKUP(B39,events!AD:BR,37,FALSE),0)</f>
        <v>0</v>
      </c>
      <c r="BA39">
        <f t="shared" si="28"/>
        <v>973</v>
      </c>
      <c r="BB39">
        <f t="shared" si="29"/>
        <v>968</v>
      </c>
      <c r="BC39" s="4">
        <f t="shared" si="30"/>
        <v>1020</v>
      </c>
    </row>
    <row r="40" spans="1:55" x14ac:dyDescent="0.2">
      <c r="A40">
        <f t="shared" si="31"/>
        <v>39</v>
      </c>
      <c r="B40" s="6">
        <f t="shared" si="1"/>
        <v>1</v>
      </c>
      <c r="C40">
        <f t="shared" si="2"/>
        <v>0</v>
      </c>
      <c r="D40" s="4" t="str">
        <f t="shared" si="3"/>
        <v>58</v>
      </c>
      <c r="E40">
        <v>0</v>
      </c>
      <c r="F40" s="4" t="s">
        <v>755</v>
      </c>
      <c r="G40" s="6" t="s">
        <v>288</v>
      </c>
      <c r="H40" s="5" t="s">
        <v>292</v>
      </c>
      <c r="I40">
        <v>10</v>
      </c>
      <c r="J40">
        <v>3</v>
      </c>
      <c r="K40">
        <v>16</v>
      </c>
      <c r="L40">
        <v>80</v>
      </c>
      <c r="M40">
        <v>8</v>
      </c>
      <c r="O40" s="5">
        <f t="shared" si="4"/>
        <v>31</v>
      </c>
      <c r="P40" s="6">
        <v>14</v>
      </c>
      <c r="Q40">
        <v>61</v>
      </c>
      <c r="S40">
        <v>84</v>
      </c>
      <c r="T40">
        <v>52</v>
      </c>
      <c r="V40">
        <f t="shared" si="5"/>
        <v>39</v>
      </c>
      <c r="W40" s="6">
        <f>SUMIFS(events!AJ:AJ,events!Q:Q,"=DeadIce",events!AK:AK,"&lt;="&amp;shifts!AG40,events!AL:AL,"&gt;"&amp;shifts!AH40,events!E:E,"="&amp;shifts!B41)+SUMIFS(events!AJ:AJ,events!Q:Q,"=Timeout",events!AK:AK,"&lt;="&amp;shifts!AG40,events!AL:AL,"&gt;"&amp;shifts!AH40,events!E:E,"="&amp;shifts!B41)</f>
        <v>0</v>
      </c>
      <c r="X40" s="6" t="str">
        <f t="shared" si="6"/>
        <v/>
      </c>
      <c r="Z40">
        <f t="shared" si="7"/>
        <v>1</v>
      </c>
      <c r="AB40" t="str">
        <f t="shared" si="8"/>
        <v/>
      </c>
      <c r="AD40" s="39">
        <v>19019</v>
      </c>
      <c r="AE40" s="39" t="s">
        <v>944</v>
      </c>
      <c r="AF40" s="39" t="s">
        <v>521</v>
      </c>
      <c r="AG40" s="4">
        <f t="shared" si="9"/>
        <v>58</v>
      </c>
      <c r="AH40" s="4">
        <f t="shared" si="10"/>
        <v>0.01</v>
      </c>
      <c r="AI40" s="14">
        <f t="shared" si="11"/>
        <v>58</v>
      </c>
      <c r="AJ40">
        <f t="shared" si="12"/>
        <v>5</v>
      </c>
      <c r="AK40">
        <f t="shared" si="13"/>
        <v>4</v>
      </c>
      <c r="AL40">
        <f t="shared" si="14"/>
        <v>0</v>
      </c>
      <c r="AM40">
        <f t="shared" si="15"/>
        <v>0</v>
      </c>
      <c r="AN40">
        <f t="shared" si="16"/>
        <v>0</v>
      </c>
      <c r="AO40">
        <f t="shared" si="17"/>
        <v>1</v>
      </c>
      <c r="AP40">
        <f t="shared" si="18"/>
        <v>0</v>
      </c>
      <c r="AQ40">
        <f t="shared" si="19"/>
        <v>1</v>
      </c>
      <c r="AR40" t="str">
        <f t="shared" si="20"/>
        <v>Home PowerPlay</v>
      </c>
      <c r="AS40" t="str">
        <f t="shared" si="21"/>
        <v>5v4</v>
      </c>
      <c r="AT40">
        <f t="shared" si="22"/>
        <v>1</v>
      </c>
      <c r="AU40">
        <f t="shared" si="23"/>
        <v>1</v>
      </c>
      <c r="AV40">
        <f t="shared" si="24"/>
        <v>0</v>
      </c>
      <c r="AW40">
        <f t="shared" si="25"/>
        <v>0</v>
      </c>
      <c r="AX40">
        <f t="shared" si="26"/>
        <v>0</v>
      </c>
      <c r="AY40">
        <f t="shared" si="27"/>
        <v>0</v>
      </c>
      <c r="AZ40">
        <f>IFERROR(VLOOKUP(B40,events!AD:BR,37,FALSE),0)</f>
        <v>0</v>
      </c>
      <c r="BA40">
        <f t="shared" si="28"/>
        <v>1022</v>
      </c>
      <c r="BB40">
        <f t="shared" si="29"/>
        <v>1017</v>
      </c>
      <c r="BC40" s="4">
        <f t="shared" si="30"/>
        <v>1078</v>
      </c>
    </row>
    <row r="41" spans="1:55" x14ac:dyDescent="0.2">
      <c r="A41">
        <f t="shared" si="31"/>
        <v>40</v>
      </c>
      <c r="B41" s="6">
        <f t="shared" si="1"/>
        <v>1</v>
      </c>
      <c r="C41">
        <f t="shared" si="2"/>
        <v>0</v>
      </c>
      <c r="D41" s="4" t="str">
        <f t="shared" si="3"/>
        <v>0.01</v>
      </c>
      <c r="G41" s="6" t="s">
        <v>393</v>
      </c>
      <c r="W41" s="6">
        <f>SUMIFS(events!AJ:AJ,events!Q:Q,"=DeadIce",events!AK:AK,"&lt;="&amp;shifts!AG41,events!AL:AL,"&gt;"&amp;shifts!AH41,events!E:E,"="&amp;shifts!B42)+SUMIFS(events!AJ:AJ,events!Q:Q,"=Timeout",events!AK:AK,"&lt;="&amp;shifts!AG41,events!AL:AL,"&gt;"&amp;shifts!AH41,events!E:E,"="&amp;shifts!B42)</f>
        <v>0</v>
      </c>
      <c r="X41" s="6" t="str">
        <f t="shared" si="6"/>
        <v/>
      </c>
      <c r="Z41" t="str">
        <f t="shared" si="7"/>
        <v/>
      </c>
      <c r="AB41">
        <f t="shared" si="8"/>
        <v>1</v>
      </c>
      <c r="AD41" s="39">
        <v>19020</v>
      </c>
      <c r="AE41" s="39" t="s">
        <v>944</v>
      </c>
      <c r="AF41" s="39" t="s">
        <v>521</v>
      </c>
      <c r="AG41" s="4">
        <f t="shared" si="9"/>
        <v>0.01</v>
      </c>
      <c r="AH41" s="4">
        <f t="shared" si="10"/>
        <v>0</v>
      </c>
      <c r="AI41" s="14">
        <f t="shared" si="11"/>
        <v>0</v>
      </c>
      <c r="AJ41">
        <f t="shared" si="12"/>
        <v>0</v>
      </c>
      <c r="AK41">
        <f t="shared" si="13"/>
        <v>0</v>
      </c>
      <c r="AL41">
        <f t="shared" si="14"/>
        <v>1</v>
      </c>
      <c r="AM41">
        <f t="shared" si="15"/>
        <v>1</v>
      </c>
      <c r="AN41">
        <f t="shared" si="16"/>
        <v>0</v>
      </c>
      <c r="AO41">
        <f t="shared" si="17"/>
        <v>0</v>
      </c>
      <c r="AP41">
        <f t="shared" si="18"/>
        <v>0</v>
      </c>
      <c r="AQ41">
        <f t="shared" si="19"/>
        <v>0</v>
      </c>
      <c r="AR41" t="str">
        <f t="shared" si="20"/>
        <v>Home EmptyNet</v>
      </c>
      <c r="AS41" t="str">
        <f t="shared" si="21"/>
        <v>0v0 Home EN</v>
      </c>
      <c r="AT41">
        <f t="shared" si="22"/>
        <v>1</v>
      </c>
      <c r="AU41">
        <f t="shared" si="23"/>
        <v>1</v>
      </c>
      <c r="AV41">
        <f t="shared" si="24"/>
        <v>0</v>
      </c>
      <c r="AW41">
        <f t="shared" si="25"/>
        <v>0</v>
      </c>
      <c r="AX41">
        <f t="shared" si="26"/>
        <v>0</v>
      </c>
      <c r="AY41">
        <f t="shared" si="27"/>
        <v>0</v>
      </c>
      <c r="AZ41">
        <f>IFERROR(VLOOKUP(B41,events!AD:BR,37,FALSE),0)</f>
        <v>0</v>
      </c>
      <c r="BA41">
        <f t="shared" si="28"/>
        <v>1022</v>
      </c>
      <c r="BB41">
        <f t="shared" si="29"/>
        <v>1017</v>
      </c>
      <c r="BC41" s="4">
        <f t="shared" si="30"/>
        <v>1020</v>
      </c>
    </row>
    <row r="42" spans="1:55" x14ac:dyDescent="0.2">
      <c r="A42">
        <f t="shared" si="31"/>
        <v>41</v>
      </c>
      <c r="B42" s="6">
        <f t="shared" si="1"/>
        <v>2</v>
      </c>
      <c r="C42">
        <f t="shared" si="2"/>
        <v>18</v>
      </c>
      <c r="D42" s="4">
        <f t="shared" si="3"/>
        <v>0</v>
      </c>
      <c r="E42">
        <v>17</v>
      </c>
      <c r="F42" s="4" t="s">
        <v>740</v>
      </c>
      <c r="G42" s="6" t="s">
        <v>284</v>
      </c>
      <c r="H42" s="5" t="s">
        <v>339</v>
      </c>
      <c r="I42">
        <v>10</v>
      </c>
      <c r="J42">
        <v>3</v>
      </c>
      <c r="K42">
        <v>16</v>
      </c>
      <c r="L42">
        <v>80</v>
      </c>
      <c r="M42">
        <v>8</v>
      </c>
      <c r="O42" s="5">
        <v>31</v>
      </c>
      <c r="P42" s="6">
        <v>14</v>
      </c>
      <c r="Q42">
        <v>61</v>
      </c>
      <c r="S42">
        <v>84</v>
      </c>
      <c r="T42">
        <v>52</v>
      </c>
      <c r="V42">
        <v>39</v>
      </c>
      <c r="W42" s="6">
        <f>SUMIFS(events!AJ:AJ,events!Q:Q,"=DeadIce",events!AK:AK,"&lt;="&amp;shifts!AG42,events!AL:AL,"&gt;"&amp;shifts!AH42,events!E:E,"="&amp;shifts!B43)+SUMIFS(events!AJ:AJ,events!Q:Q,"=Timeout",events!AK:AK,"&lt;="&amp;shifts!AG42,events!AL:AL,"&gt;"&amp;shifts!AH42,events!E:E,"="&amp;shifts!B43)</f>
        <v>0</v>
      </c>
      <c r="X42" s="6" t="str">
        <f t="shared" si="6"/>
        <v/>
      </c>
      <c r="Z42" t="str">
        <f t="shared" si="7"/>
        <v/>
      </c>
      <c r="AA42">
        <v>1</v>
      </c>
      <c r="AB42" t="str">
        <f t="shared" si="8"/>
        <v/>
      </c>
      <c r="AD42" s="39">
        <v>19021</v>
      </c>
      <c r="AE42" s="39" t="s">
        <v>944</v>
      </c>
      <c r="AF42" s="39" t="s">
        <v>521</v>
      </c>
      <c r="AG42" s="4">
        <f t="shared" si="9"/>
        <v>1080</v>
      </c>
      <c r="AH42" s="4">
        <f t="shared" si="10"/>
        <v>1045</v>
      </c>
      <c r="AI42" s="14">
        <f t="shared" si="11"/>
        <v>35</v>
      </c>
      <c r="AJ42">
        <f t="shared" si="12"/>
        <v>5</v>
      </c>
      <c r="AK42">
        <f t="shared" si="13"/>
        <v>4</v>
      </c>
      <c r="AL42">
        <f t="shared" si="14"/>
        <v>0</v>
      </c>
      <c r="AM42">
        <f t="shared" si="15"/>
        <v>0</v>
      </c>
      <c r="AN42">
        <f t="shared" si="16"/>
        <v>0</v>
      </c>
      <c r="AO42">
        <f t="shared" si="17"/>
        <v>1</v>
      </c>
      <c r="AP42">
        <f t="shared" si="18"/>
        <v>0</v>
      </c>
      <c r="AQ42">
        <f t="shared" si="19"/>
        <v>1</v>
      </c>
      <c r="AR42" t="str">
        <f t="shared" si="20"/>
        <v>Home PowerPlay</v>
      </c>
      <c r="AS42" t="str">
        <f t="shared" si="21"/>
        <v>5v4</v>
      </c>
      <c r="AT42">
        <f t="shared" si="22"/>
        <v>1</v>
      </c>
      <c r="AU42">
        <f t="shared" si="23"/>
        <v>1</v>
      </c>
      <c r="AV42">
        <f t="shared" si="24"/>
        <v>0</v>
      </c>
      <c r="AW42">
        <f t="shared" si="25"/>
        <v>0</v>
      </c>
      <c r="AX42">
        <f t="shared" si="26"/>
        <v>0</v>
      </c>
      <c r="AY42">
        <f t="shared" si="27"/>
        <v>0</v>
      </c>
      <c r="AZ42">
        <f>IFERROR(VLOOKUP(B42,events!AD:BR,37,FALSE),0)</f>
        <v>1152</v>
      </c>
      <c r="BA42">
        <f>ROUND(IF(G42="Intermission",BA41,((1080)-((C42*60)+D42))+AZ42),0)</f>
        <v>1152</v>
      </c>
      <c r="BB42">
        <f t="shared" si="29"/>
        <v>1147</v>
      </c>
      <c r="BC42" s="4">
        <f t="shared" si="30"/>
        <v>1185</v>
      </c>
    </row>
    <row r="43" spans="1:55" x14ac:dyDescent="0.2">
      <c r="A43">
        <f t="shared" si="31"/>
        <v>42</v>
      </c>
      <c r="B43" s="6">
        <f t="shared" si="1"/>
        <v>2</v>
      </c>
      <c r="C43">
        <f t="shared" si="2"/>
        <v>17</v>
      </c>
      <c r="D43" s="4" t="str">
        <f t="shared" si="3"/>
        <v>25</v>
      </c>
      <c r="E43">
        <v>16</v>
      </c>
      <c r="F43" s="4" t="s">
        <v>918</v>
      </c>
      <c r="G43" s="6" t="s">
        <v>286</v>
      </c>
      <c r="H43" s="5" t="s">
        <v>299</v>
      </c>
      <c r="I43">
        <v>79</v>
      </c>
      <c r="J43">
        <v>15</v>
      </c>
      <c r="K43">
        <v>44</v>
      </c>
      <c r="L43">
        <v>37</v>
      </c>
      <c r="M43">
        <v>23</v>
      </c>
      <c r="O43" s="5">
        <f t="shared" si="4"/>
        <v>31</v>
      </c>
      <c r="P43" s="6">
        <v>70</v>
      </c>
      <c r="Q43">
        <v>87</v>
      </c>
      <c r="R43">
        <v>75</v>
      </c>
      <c r="S43">
        <v>22</v>
      </c>
      <c r="T43">
        <v>93</v>
      </c>
      <c r="V43">
        <f t="shared" si="5"/>
        <v>39</v>
      </c>
      <c r="W43" s="6">
        <f>SUMIFS(events!AJ:AJ,events!Q:Q,"=DeadIce",events!AK:AK,"&lt;="&amp;shifts!AG43,events!AL:AL,"&gt;"&amp;shifts!AH43,events!E:E,"="&amp;shifts!B44)+SUMIFS(events!AJ:AJ,events!Q:Q,"=Timeout",events!AK:AK,"&lt;="&amp;shifts!AG43,events!AL:AL,"&gt;"&amp;shifts!AH43,events!E:E,"="&amp;shifts!B44)</f>
        <v>0</v>
      </c>
      <c r="X43" s="6" t="str">
        <f t="shared" si="6"/>
        <v/>
      </c>
      <c r="Y43">
        <v>1</v>
      </c>
      <c r="Z43" t="str">
        <f t="shared" si="7"/>
        <v/>
      </c>
      <c r="AB43">
        <f t="shared" si="8"/>
        <v>1</v>
      </c>
      <c r="AD43" s="39">
        <v>19022</v>
      </c>
      <c r="AE43" s="39" t="s">
        <v>944</v>
      </c>
      <c r="AF43" s="39" t="s">
        <v>521</v>
      </c>
      <c r="AG43" s="4">
        <f t="shared" si="9"/>
        <v>1045</v>
      </c>
      <c r="AH43" s="4">
        <f t="shared" si="10"/>
        <v>982</v>
      </c>
      <c r="AI43" s="14">
        <f t="shared" si="11"/>
        <v>63</v>
      </c>
      <c r="AJ43">
        <f t="shared" si="12"/>
        <v>5</v>
      </c>
      <c r="AK43">
        <f t="shared" si="13"/>
        <v>5</v>
      </c>
      <c r="AL43">
        <f t="shared" si="14"/>
        <v>0</v>
      </c>
      <c r="AM43">
        <f t="shared" si="15"/>
        <v>0</v>
      </c>
      <c r="AN43">
        <f t="shared" si="16"/>
        <v>0</v>
      </c>
      <c r="AO43">
        <f t="shared" si="17"/>
        <v>0</v>
      </c>
      <c r="AP43">
        <f t="shared" si="18"/>
        <v>0</v>
      </c>
      <c r="AQ43">
        <f t="shared" si="19"/>
        <v>0</v>
      </c>
      <c r="AR43" t="str">
        <f t="shared" si="20"/>
        <v>Full Strength</v>
      </c>
      <c r="AS43" t="str">
        <f t="shared" si="21"/>
        <v>5v5</v>
      </c>
      <c r="AT43">
        <f t="shared" si="22"/>
        <v>2</v>
      </c>
      <c r="AU43">
        <f t="shared" si="23"/>
        <v>1</v>
      </c>
      <c r="AV43">
        <f t="shared" si="24"/>
        <v>0</v>
      </c>
      <c r="AW43">
        <f t="shared" si="25"/>
        <v>0</v>
      </c>
      <c r="AX43">
        <f t="shared" si="26"/>
        <v>0</v>
      </c>
      <c r="AY43">
        <f t="shared" si="27"/>
        <v>0</v>
      </c>
      <c r="AZ43">
        <f>IFERROR(VLOOKUP(B43,events!AD:BR,37,FALSE),0)</f>
        <v>1152</v>
      </c>
      <c r="BA43">
        <f t="shared" ref="BA43:BA106" si="32">ROUND(IF(G43="Intermission",BA42,((1080)-((C43*60)+D43))+AZ43),0)</f>
        <v>1187</v>
      </c>
      <c r="BB43">
        <f t="shared" si="29"/>
        <v>1182</v>
      </c>
      <c r="BC43" s="4">
        <f t="shared" si="30"/>
        <v>1248</v>
      </c>
    </row>
    <row r="44" spans="1:55" x14ac:dyDescent="0.2">
      <c r="A44">
        <f t="shared" si="31"/>
        <v>43</v>
      </c>
      <c r="B44" s="6">
        <f t="shared" si="1"/>
        <v>2</v>
      </c>
      <c r="C44">
        <f t="shared" si="2"/>
        <v>16</v>
      </c>
      <c r="D44" s="4" t="str">
        <f t="shared" si="3"/>
        <v>22</v>
      </c>
      <c r="E44">
        <v>15</v>
      </c>
      <c r="F44" s="4" t="s">
        <v>929</v>
      </c>
      <c r="G44" s="6" t="s">
        <v>289</v>
      </c>
      <c r="H44" s="5" t="s">
        <v>296</v>
      </c>
      <c r="I44">
        <v>79</v>
      </c>
      <c r="J44">
        <v>15</v>
      </c>
      <c r="K44">
        <v>44</v>
      </c>
      <c r="L44">
        <v>37</v>
      </c>
      <c r="M44">
        <v>23</v>
      </c>
      <c r="O44" s="5">
        <f t="shared" si="4"/>
        <v>31</v>
      </c>
      <c r="P44" s="6">
        <v>70</v>
      </c>
      <c r="Q44">
        <v>87</v>
      </c>
      <c r="R44">
        <v>75</v>
      </c>
      <c r="S44">
        <v>22</v>
      </c>
      <c r="T44">
        <v>93</v>
      </c>
      <c r="V44">
        <f t="shared" si="5"/>
        <v>39</v>
      </c>
      <c r="W44" s="6">
        <f>SUMIFS(events!AJ:AJ,events!Q:Q,"=DeadIce",events!AK:AK,"&lt;="&amp;shifts!AG44,events!AL:AL,"&gt;"&amp;shifts!AH44,events!E:E,"="&amp;shifts!B45)+SUMIFS(events!AJ:AJ,events!Q:Q,"=Timeout",events!AK:AK,"&lt;="&amp;shifts!AG44,events!AL:AL,"&gt;"&amp;shifts!AH44,events!E:E,"="&amp;shifts!B45)</f>
        <v>0</v>
      </c>
      <c r="X44" s="6">
        <f t="shared" si="6"/>
        <v>1</v>
      </c>
      <c r="Z44" t="str">
        <f t="shared" si="7"/>
        <v/>
      </c>
      <c r="AA44">
        <v>1</v>
      </c>
      <c r="AB44" t="str">
        <f t="shared" si="8"/>
        <v/>
      </c>
      <c r="AD44" s="39">
        <v>19023</v>
      </c>
      <c r="AE44" s="39" t="s">
        <v>944</v>
      </c>
      <c r="AF44" s="39" t="s">
        <v>521</v>
      </c>
      <c r="AG44" s="4">
        <f t="shared" si="9"/>
        <v>982</v>
      </c>
      <c r="AH44" s="4">
        <f t="shared" si="10"/>
        <v>934</v>
      </c>
      <c r="AI44" s="14">
        <f t="shared" si="11"/>
        <v>48</v>
      </c>
      <c r="AJ44">
        <f t="shared" si="12"/>
        <v>5</v>
      </c>
      <c r="AK44">
        <f t="shared" si="13"/>
        <v>5</v>
      </c>
      <c r="AL44">
        <f t="shared" si="14"/>
        <v>0</v>
      </c>
      <c r="AM44">
        <f t="shared" si="15"/>
        <v>0</v>
      </c>
      <c r="AN44">
        <f t="shared" si="16"/>
        <v>0</v>
      </c>
      <c r="AO44">
        <f t="shared" si="17"/>
        <v>0</v>
      </c>
      <c r="AP44">
        <f t="shared" si="18"/>
        <v>0</v>
      </c>
      <c r="AQ44">
        <f t="shared" si="19"/>
        <v>0</v>
      </c>
      <c r="AR44" t="str">
        <f t="shared" si="20"/>
        <v>Full Strength</v>
      </c>
      <c r="AS44" t="str">
        <f t="shared" si="21"/>
        <v>5v5</v>
      </c>
      <c r="AT44">
        <f t="shared" si="22"/>
        <v>2</v>
      </c>
      <c r="AU44">
        <f t="shared" si="23"/>
        <v>1</v>
      </c>
      <c r="AV44">
        <f t="shared" si="24"/>
        <v>0</v>
      </c>
      <c r="AW44">
        <f t="shared" si="25"/>
        <v>0</v>
      </c>
      <c r="AX44">
        <f t="shared" si="26"/>
        <v>0</v>
      </c>
      <c r="AY44">
        <f t="shared" si="27"/>
        <v>0</v>
      </c>
      <c r="AZ44">
        <f>IFERROR(VLOOKUP(B44,events!AD:BR,37,FALSE),0)</f>
        <v>1152</v>
      </c>
      <c r="BA44">
        <f t="shared" si="32"/>
        <v>1250</v>
      </c>
      <c r="BB44">
        <f t="shared" si="29"/>
        <v>1245</v>
      </c>
      <c r="BC44" s="4">
        <f t="shared" si="30"/>
        <v>1296</v>
      </c>
    </row>
    <row r="45" spans="1:55" x14ac:dyDescent="0.2">
      <c r="A45">
        <f t="shared" si="31"/>
        <v>44</v>
      </c>
      <c r="B45" s="6">
        <f t="shared" si="1"/>
        <v>2</v>
      </c>
      <c r="C45">
        <f t="shared" si="2"/>
        <v>15</v>
      </c>
      <c r="D45" s="4" t="str">
        <f t="shared" si="3"/>
        <v>34</v>
      </c>
      <c r="E45">
        <v>14</v>
      </c>
      <c r="F45" s="4" t="s">
        <v>740</v>
      </c>
      <c r="G45" s="6" t="s">
        <v>288</v>
      </c>
      <c r="I45">
        <v>79</v>
      </c>
      <c r="J45">
        <v>15</v>
      </c>
      <c r="K45">
        <v>44</v>
      </c>
      <c r="L45">
        <v>37</v>
      </c>
      <c r="M45">
        <v>23</v>
      </c>
      <c r="O45" s="5">
        <f t="shared" si="4"/>
        <v>31</v>
      </c>
      <c r="P45" s="6">
        <v>70</v>
      </c>
      <c r="Q45">
        <v>49</v>
      </c>
      <c r="S45">
        <v>22</v>
      </c>
      <c r="T45">
        <v>93</v>
      </c>
      <c r="V45">
        <f t="shared" si="5"/>
        <v>39</v>
      </c>
      <c r="W45" s="6">
        <f>SUMIFS(events!AJ:AJ,events!Q:Q,"=DeadIce",events!AK:AK,"&lt;="&amp;shifts!AG45,events!AL:AL,"&gt;"&amp;shifts!AH45,events!E:E,"="&amp;shifts!B46)+SUMIFS(events!AJ:AJ,events!Q:Q,"=Timeout",events!AK:AK,"&lt;="&amp;shifts!AG45,events!AL:AL,"&gt;"&amp;shifts!AH45,events!E:E,"="&amp;shifts!B46)</f>
        <v>0</v>
      </c>
      <c r="X45" s="6" t="str">
        <f t="shared" si="6"/>
        <v/>
      </c>
      <c r="Y45">
        <v>1</v>
      </c>
      <c r="Z45">
        <f t="shared" si="7"/>
        <v>1</v>
      </c>
      <c r="AB45" t="str">
        <f t="shared" si="8"/>
        <v/>
      </c>
      <c r="AD45" s="39">
        <v>19024</v>
      </c>
      <c r="AE45" s="39" t="s">
        <v>944</v>
      </c>
      <c r="AF45" s="39" t="s">
        <v>521</v>
      </c>
      <c r="AG45" s="4">
        <f t="shared" si="9"/>
        <v>934</v>
      </c>
      <c r="AH45" s="4">
        <f t="shared" si="10"/>
        <v>865</v>
      </c>
      <c r="AI45" s="14">
        <f t="shared" si="11"/>
        <v>69</v>
      </c>
      <c r="AJ45">
        <f t="shared" si="12"/>
        <v>5</v>
      </c>
      <c r="AK45">
        <f t="shared" si="13"/>
        <v>4</v>
      </c>
      <c r="AL45">
        <f t="shared" si="14"/>
        <v>0</v>
      </c>
      <c r="AM45">
        <f t="shared" si="15"/>
        <v>0</v>
      </c>
      <c r="AN45">
        <f t="shared" si="16"/>
        <v>0</v>
      </c>
      <c r="AO45">
        <f t="shared" si="17"/>
        <v>1</v>
      </c>
      <c r="AP45">
        <f t="shared" si="18"/>
        <v>0</v>
      </c>
      <c r="AQ45">
        <f t="shared" si="19"/>
        <v>1</v>
      </c>
      <c r="AR45" t="str">
        <f t="shared" si="20"/>
        <v>Home PowerPlay</v>
      </c>
      <c r="AS45" t="str">
        <f t="shared" si="21"/>
        <v>5v4</v>
      </c>
      <c r="AT45">
        <f t="shared" si="22"/>
        <v>2</v>
      </c>
      <c r="AU45">
        <f t="shared" si="23"/>
        <v>1</v>
      </c>
      <c r="AV45">
        <f t="shared" si="24"/>
        <v>0</v>
      </c>
      <c r="AW45">
        <f t="shared" si="25"/>
        <v>0</v>
      </c>
      <c r="AX45">
        <f t="shared" si="26"/>
        <v>0</v>
      </c>
      <c r="AY45">
        <f t="shared" si="27"/>
        <v>0</v>
      </c>
      <c r="AZ45">
        <f>IFERROR(VLOOKUP(B45,events!AD:BR,37,FALSE),0)</f>
        <v>1152</v>
      </c>
      <c r="BA45">
        <f t="shared" si="32"/>
        <v>1298</v>
      </c>
      <c r="BB45">
        <f t="shared" si="29"/>
        <v>1293</v>
      </c>
      <c r="BC45" s="4">
        <f t="shared" si="30"/>
        <v>1365</v>
      </c>
    </row>
    <row r="46" spans="1:55" x14ac:dyDescent="0.2">
      <c r="A46">
        <f t="shared" si="31"/>
        <v>45</v>
      </c>
      <c r="B46" s="6">
        <f t="shared" si="1"/>
        <v>2</v>
      </c>
      <c r="C46">
        <f t="shared" si="2"/>
        <v>14</v>
      </c>
      <c r="D46" s="4" t="str">
        <f t="shared" si="3"/>
        <v>25</v>
      </c>
      <c r="E46">
        <v>14</v>
      </c>
      <c r="F46" s="4" t="s">
        <v>745</v>
      </c>
      <c r="I46">
        <v>79</v>
      </c>
      <c r="J46">
        <v>15</v>
      </c>
      <c r="K46">
        <v>44</v>
      </c>
      <c r="L46">
        <v>37</v>
      </c>
      <c r="M46">
        <v>23</v>
      </c>
      <c r="O46" s="5">
        <f t="shared" si="4"/>
        <v>31</v>
      </c>
      <c r="P46" s="6">
        <v>42</v>
      </c>
      <c r="Q46">
        <v>49</v>
      </c>
      <c r="S46">
        <v>9</v>
      </c>
      <c r="T46">
        <v>93</v>
      </c>
      <c r="V46">
        <f t="shared" si="5"/>
        <v>39</v>
      </c>
      <c r="W46" s="6">
        <f>SUMIFS(events!AJ:AJ,events!Q:Q,"=DeadIce",events!AK:AK,"&lt;="&amp;shifts!AG46,events!AL:AL,"&gt;"&amp;shifts!AH46,events!E:E,"="&amp;shifts!B47)+SUMIFS(events!AJ:AJ,events!Q:Q,"=Timeout",events!AK:AK,"&lt;="&amp;shifts!AG46,events!AL:AL,"&gt;"&amp;shifts!AH46,events!E:E,"="&amp;shifts!B47)</f>
        <v>0</v>
      </c>
      <c r="X46" s="6">
        <f t="shared" si="6"/>
        <v>1</v>
      </c>
      <c r="Z46" t="str">
        <f t="shared" si="7"/>
        <v/>
      </c>
      <c r="AA46">
        <v>1</v>
      </c>
      <c r="AB46" t="str">
        <f t="shared" si="8"/>
        <v/>
      </c>
      <c r="AD46" s="39">
        <v>19025</v>
      </c>
      <c r="AE46" s="39" t="s">
        <v>944</v>
      </c>
      <c r="AF46" s="39" t="s">
        <v>521</v>
      </c>
      <c r="AG46" s="4">
        <f t="shared" si="9"/>
        <v>865</v>
      </c>
      <c r="AH46" s="4">
        <f t="shared" si="10"/>
        <v>854</v>
      </c>
      <c r="AI46" s="14">
        <f t="shared" si="11"/>
        <v>11</v>
      </c>
      <c r="AJ46">
        <f t="shared" si="12"/>
        <v>5</v>
      </c>
      <c r="AK46">
        <f t="shared" si="13"/>
        <v>4</v>
      </c>
      <c r="AL46">
        <f t="shared" si="14"/>
        <v>0</v>
      </c>
      <c r="AM46">
        <f t="shared" si="15"/>
        <v>0</v>
      </c>
      <c r="AN46">
        <f t="shared" si="16"/>
        <v>0</v>
      </c>
      <c r="AO46">
        <f t="shared" si="17"/>
        <v>1</v>
      </c>
      <c r="AP46">
        <f t="shared" si="18"/>
        <v>0</v>
      </c>
      <c r="AQ46">
        <f t="shared" si="19"/>
        <v>1</v>
      </c>
      <c r="AR46" t="str">
        <f t="shared" si="20"/>
        <v>Home PowerPlay</v>
      </c>
      <c r="AS46" t="str">
        <f t="shared" si="21"/>
        <v>5v4</v>
      </c>
      <c r="AT46">
        <f t="shared" si="22"/>
        <v>2</v>
      </c>
      <c r="AU46">
        <f t="shared" si="23"/>
        <v>1</v>
      </c>
      <c r="AV46">
        <f t="shared" si="24"/>
        <v>0</v>
      </c>
      <c r="AW46">
        <f t="shared" si="25"/>
        <v>0</v>
      </c>
      <c r="AX46">
        <f t="shared" si="26"/>
        <v>0</v>
      </c>
      <c r="AY46">
        <f t="shared" si="27"/>
        <v>0</v>
      </c>
      <c r="AZ46">
        <f>IFERROR(VLOOKUP(B46,events!AD:BR,37,FALSE),0)</f>
        <v>1152</v>
      </c>
      <c r="BA46">
        <f t="shared" si="32"/>
        <v>1367</v>
      </c>
      <c r="BB46">
        <f t="shared" si="29"/>
        <v>1362</v>
      </c>
      <c r="BC46" s="4">
        <f t="shared" si="30"/>
        <v>1376</v>
      </c>
    </row>
    <row r="47" spans="1:55" x14ac:dyDescent="0.2">
      <c r="A47">
        <f t="shared" si="31"/>
        <v>46</v>
      </c>
      <c r="B47" s="6">
        <f t="shared" si="1"/>
        <v>2</v>
      </c>
      <c r="C47">
        <f t="shared" si="2"/>
        <v>14</v>
      </c>
      <c r="D47" s="4" t="str">
        <f t="shared" si="3"/>
        <v>14</v>
      </c>
      <c r="E47">
        <v>14</v>
      </c>
      <c r="F47" s="4" t="s">
        <v>413</v>
      </c>
      <c r="I47">
        <v>79</v>
      </c>
      <c r="J47">
        <v>3</v>
      </c>
      <c r="K47">
        <v>44</v>
      </c>
      <c r="L47">
        <v>37</v>
      </c>
      <c r="M47">
        <v>23</v>
      </c>
      <c r="O47" s="5">
        <f t="shared" si="4"/>
        <v>31</v>
      </c>
      <c r="P47" s="6">
        <v>42</v>
      </c>
      <c r="Q47">
        <v>49</v>
      </c>
      <c r="S47">
        <v>9</v>
      </c>
      <c r="T47">
        <v>93</v>
      </c>
      <c r="V47">
        <f t="shared" si="5"/>
        <v>39</v>
      </c>
      <c r="W47" s="6">
        <f>SUMIFS(events!AJ:AJ,events!Q:Q,"=DeadIce",events!AK:AK,"&lt;="&amp;shifts!AG47,events!AL:AL,"&gt;"&amp;shifts!AH47,events!E:E,"="&amp;shifts!B48)+SUMIFS(events!AJ:AJ,events!Q:Q,"=Timeout",events!AK:AK,"&lt;="&amp;shifts!AG47,events!AL:AL,"&gt;"&amp;shifts!AH47,events!E:E,"="&amp;shifts!B48)</f>
        <v>0</v>
      </c>
      <c r="X47" s="6" t="str">
        <f t="shared" si="6"/>
        <v/>
      </c>
      <c r="Y47">
        <v>1</v>
      </c>
      <c r="Z47">
        <f t="shared" si="7"/>
        <v>1</v>
      </c>
      <c r="AB47" t="str">
        <f t="shared" si="8"/>
        <v/>
      </c>
      <c r="AD47" s="39">
        <v>19026</v>
      </c>
      <c r="AE47" s="39" t="s">
        <v>944</v>
      </c>
      <c r="AF47" s="39" t="s">
        <v>521</v>
      </c>
      <c r="AG47" s="4">
        <f t="shared" si="9"/>
        <v>854</v>
      </c>
      <c r="AH47" s="4">
        <f t="shared" si="10"/>
        <v>840</v>
      </c>
      <c r="AI47" s="14">
        <f t="shared" si="11"/>
        <v>14</v>
      </c>
      <c r="AJ47">
        <f t="shared" si="12"/>
        <v>5</v>
      </c>
      <c r="AK47">
        <f t="shared" si="13"/>
        <v>4</v>
      </c>
      <c r="AL47">
        <f t="shared" si="14"/>
        <v>0</v>
      </c>
      <c r="AM47">
        <f t="shared" si="15"/>
        <v>0</v>
      </c>
      <c r="AN47">
        <f t="shared" si="16"/>
        <v>0</v>
      </c>
      <c r="AO47">
        <f t="shared" si="17"/>
        <v>1</v>
      </c>
      <c r="AP47">
        <f t="shared" si="18"/>
        <v>0</v>
      </c>
      <c r="AQ47">
        <f t="shared" si="19"/>
        <v>1</v>
      </c>
      <c r="AR47" t="str">
        <f t="shared" si="20"/>
        <v>Home PowerPlay</v>
      </c>
      <c r="AS47" t="str">
        <f t="shared" si="21"/>
        <v>5v4</v>
      </c>
      <c r="AT47">
        <f t="shared" si="22"/>
        <v>2</v>
      </c>
      <c r="AU47">
        <f t="shared" si="23"/>
        <v>1</v>
      </c>
      <c r="AV47">
        <f t="shared" si="24"/>
        <v>0</v>
      </c>
      <c r="AW47">
        <f t="shared" si="25"/>
        <v>0</v>
      </c>
      <c r="AX47">
        <f t="shared" si="26"/>
        <v>0</v>
      </c>
      <c r="AY47">
        <f t="shared" si="27"/>
        <v>0</v>
      </c>
      <c r="AZ47">
        <f>IFERROR(VLOOKUP(B47,events!AD:BR,37,FALSE),0)</f>
        <v>1152</v>
      </c>
      <c r="BA47">
        <f t="shared" si="32"/>
        <v>1378</v>
      </c>
      <c r="BB47">
        <f t="shared" si="29"/>
        <v>1373</v>
      </c>
      <c r="BC47" s="4">
        <f t="shared" si="30"/>
        <v>1390</v>
      </c>
    </row>
    <row r="48" spans="1:55" x14ac:dyDescent="0.2">
      <c r="A48">
        <f t="shared" si="31"/>
        <v>47</v>
      </c>
      <c r="B48" s="6">
        <f t="shared" si="1"/>
        <v>2</v>
      </c>
      <c r="C48">
        <f t="shared" si="2"/>
        <v>14</v>
      </c>
      <c r="D48" s="4" t="str">
        <f t="shared" si="3"/>
        <v>00</v>
      </c>
      <c r="E48">
        <v>13</v>
      </c>
      <c r="F48" s="4" t="s">
        <v>929</v>
      </c>
      <c r="I48">
        <v>10</v>
      </c>
      <c r="J48">
        <v>3</v>
      </c>
      <c r="K48">
        <v>44</v>
      </c>
      <c r="L48">
        <v>37</v>
      </c>
      <c r="M48">
        <v>23</v>
      </c>
      <c r="O48" s="5">
        <f t="shared" si="4"/>
        <v>31</v>
      </c>
      <c r="P48" s="6">
        <v>42</v>
      </c>
      <c r="Q48">
        <v>49</v>
      </c>
      <c r="S48">
        <v>9</v>
      </c>
      <c r="T48">
        <v>93</v>
      </c>
      <c r="V48">
        <f t="shared" si="5"/>
        <v>39</v>
      </c>
      <c r="W48" s="6">
        <f>SUMIFS(events!AJ:AJ,events!Q:Q,"=DeadIce",events!AK:AK,"&lt;="&amp;shifts!AG48,events!AL:AL,"&gt;"&amp;shifts!AH48,events!E:E,"="&amp;shifts!B49)+SUMIFS(events!AJ:AJ,events!Q:Q,"=Timeout",events!AK:AK,"&lt;="&amp;shifts!AG48,events!AL:AL,"&gt;"&amp;shifts!AH48,events!E:E,"="&amp;shifts!B49)</f>
        <v>0</v>
      </c>
      <c r="X48" s="6">
        <f t="shared" si="6"/>
        <v>1</v>
      </c>
      <c r="Z48" t="str">
        <f t="shared" si="7"/>
        <v/>
      </c>
      <c r="AA48">
        <v>1</v>
      </c>
      <c r="AB48" t="str">
        <f t="shared" si="8"/>
        <v/>
      </c>
      <c r="AD48" s="39">
        <v>19027</v>
      </c>
      <c r="AE48" s="39" t="s">
        <v>944</v>
      </c>
      <c r="AF48" s="39" t="s">
        <v>521</v>
      </c>
      <c r="AG48" s="4">
        <f t="shared" si="9"/>
        <v>840</v>
      </c>
      <c r="AH48" s="4">
        <f t="shared" si="10"/>
        <v>814</v>
      </c>
      <c r="AI48" s="14">
        <f t="shared" si="11"/>
        <v>26</v>
      </c>
      <c r="AJ48">
        <f t="shared" si="12"/>
        <v>5</v>
      </c>
      <c r="AK48">
        <f t="shared" si="13"/>
        <v>4</v>
      </c>
      <c r="AL48">
        <f t="shared" si="14"/>
        <v>0</v>
      </c>
      <c r="AM48">
        <f t="shared" si="15"/>
        <v>0</v>
      </c>
      <c r="AN48">
        <f t="shared" si="16"/>
        <v>0</v>
      </c>
      <c r="AO48">
        <f t="shared" si="17"/>
        <v>1</v>
      </c>
      <c r="AP48">
        <f t="shared" si="18"/>
        <v>0</v>
      </c>
      <c r="AQ48">
        <f t="shared" si="19"/>
        <v>1</v>
      </c>
      <c r="AR48" t="str">
        <f t="shared" si="20"/>
        <v>Home PowerPlay</v>
      </c>
      <c r="AS48" t="str">
        <f t="shared" si="21"/>
        <v>5v4</v>
      </c>
      <c r="AT48">
        <f t="shared" si="22"/>
        <v>2</v>
      </c>
      <c r="AU48">
        <f t="shared" si="23"/>
        <v>1</v>
      </c>
      <c r="AV48">
        <f t="shared" si="24"/>
        <v>0</v>
      </c>
      <c r="AW48">
        <f t="shared" si="25"/>
        <v>0</v>
      </c>
      <c r="AX48">
        <f t="shared" si="26"/>
        <v>0</v>
      </c>
      <c r="AY48">
        <f t="shared" si="27"/>
        <v>0</v>
      </c>
      <c r="AZ48">
        <f>IFERROR(VLOOKUP(B48,events!AD:BR,37,FALSE),0)</f>
        <v>1152</v>
      </c>
      <c r="BA48">
        <f t="shared" si="32"/>
        <v>1392</v>
      </c>
      <c r="BB48">
        <f t="shared" si="29"/>
        <v>1387</v>
      </c>
      <c r="BC48" s="4">
        <f t="shared" si="30"/>
        <v>1416</v>
      </c>
    </row>
    <row r="49" spans="1:55" x14ac:dyDescent="0.2">
      <c r="A49">
        <f t="shared" si="31"/>
        <v>48</v>
      </c>
      <c r="B49" s="6">
        <f t="shared" si="1"/>
        <v>2</v>
      </c>
      <c r="C49">
        <f t="shared" si="2"/>
        <v>13</v>
      </c>
      <c r="D49" s="4" t="str">
        <f t="shared" si="3"/>
        <v>34</v>
      </c>
      <c r="E49">
        <v>12</v>
      </c>
      <c r="F49" s="4" t="s">
        <v>904</v>
      </c>
      <c r="I49">
        <v>10</v>
      </c>
      <c r="J49">
        <v>3</v>
      </c>
      <c r="K49">
        <v>44</v>
      </c>
      <c r="L49">
        <v>37</v>
      </c>
      <c r="M49">
        <v>80</v>
      </c>
      <c r="O49" s="5">
        <f t="shared" si="4"/>
        <v>31</v>
      </c>
      <c r="P49" s="6">
        <v>42</v>
      </c>
      <c r="Q49">
        <v>49</v>
      </c>
      <c r="S49">
        <v>9</v>
      </c>
      <c r="T49">
        <v>93</v>
      </c>
      <c r="V49">
        <f t="shared" si="5"/>
        <v>39</v>
      </c>
      <c r="W49" s="6">
        <f>SUMIFS(events!AJ:AJ,events!Q:Q,"=DeadIce",events!AK:AK,"&lt;="&amp;shifts!AG49,events!AL:AL,"&gt;"&amp;shifts!AH49,events!E:E,"="&amp;shifts!B50)+SUMIFS(events!AJ:AJ,events!Q:Q,"=Timeout",events!AK:AK,"&lt;="&amp;shifts!AG49,events!AL:AL,"&gt;"&amp;shifts!AH49,events!E:E,"="&amp;shifts!B50)</f>
        <v>0</v>
      </c>
      <c r="X49" s="6" t="str">
        <f t="shared" si="6"/>
        <v/>
      </c>
      <c r="Y49">
        <v>1</v>
      </c>
      <c r="Z49">
        <f t="shared" si="7"/>
        <v>1</v>
      </c>
      <c r="AB49" t="str">
        <f t="shared" si="8"/>
        <v/>
      </c>
      <c r="AD49" s="39">
        <v>19028</v>
      </c>
      <c r="AE49" s="39" t="s">
        <v>944</v>
      </c>
      <c r="AF49" s="39" t="s">
        <v>521</v>
      </c>
      <c r="AG49" s="4">
        <f t="shared" si="9"/>
        <v>814</v>
      </c>
      <c r="AH49" s="4">
        <f t="shared" si="10"/>
        <v>756</v>
      </c>
      <c r="AI49" s="14">
        <f t="shared" si="11"/>
        <v>58</v>
      </c>
      <c r="AJ49">
        <f t="shared" si="12"/>
        <v>5</v>
      </c>
      <c r="AK49">
        <f t="shared" si="13"/>
        <v>4</v>
      </c>
      <c r="AL49">
        <f t="shared" si="14"/>
        <v>0</v>
      </c>
      <c r="AM49">
        <f t="shared" si="15"/>
        <v>0</v>
      </c>
      <c r="AN49">
        <f t="shared" si="16"/>
        <v>0</v>
      </c>
      <c r="AO49">
        <f t="shared" si="17"/>
        <v>1</v>
      </c>
      <c r="AP49">
        <f t="shared" si="18"/>
        <v>0</v>
      </c>
      <c r="AQ49">
        <f t="shared" si="19"/>
        <v>1</v>
      </c>
      <c r="AR49" t="str">
        <f t="shared" si="20"/>
        <v>Home PowerPlay</v>
      </c>
      <c r="AS49" t="str">
        <f t="shared" si="21"/>
        <v>5v4</v>
      </c>
      <c r="AT49">
        <f t="shared" si="22"/>
        <v>2</v>
      </c>
      <c r="AU49">
        <f t="shared" si="23"/>
        <v>1</v>
      </c>
      <c r="AV49">
        <f t="shared" si="24"/>
        <v>0</v>
      </c>
      <c r="AW49">
        <f t="shared" si="25"/>
        <v>0</v>
      </c>
      <c r="AX49">
        <f t="shared" si="26"/>
        <v>0</v>
      </c>
      <c r="AY49">
        <f t="shared" si="27"/>
        <v>0</v>
      </c>
      <c r="AZ49">
        <f>IFERROR(VLOOKUP(B49,events!AD:BR,37,FALSE),0)</f>
        <v>1152</v>
      </c>
      <c r="BA49">
        <f t="shared" si="32"/>
        <v>1418</v>
      </c>
      <c r="BB49">
        <f t="shared" si="29"/>
        <v>1413</v>
      </c>
      <c r="BC49" s="4">
        <f t="shared" si="30"/>
        <v>1474</v>
      </c>
    </row>
    <row r="50" spans="1:55" x14ac:dyDescent="0.2">
      <c r="A50">
        <f t="shared" si="31"/>
        <v>49</v>
      </c>
      <c r="B50" s="6">
        <f t="shared" si="1"/>
        <v>2</v>
      </c>
      <c r="C50">
        <f t="shared" si="2"/>
        <v>12</v>
      </c>
      <c r="D50" s="4" t="str">
        <f t="shared" si="3"/>
        <v>36</v>
      </c>
      <c r="E50">
        <v>12</v>
      </c>
      <c r="F50" s="4" t="s">
        <v>907</v>
      </c>
      <c r="I50">
        <v>10</v>
      </c>
      <c r="J50">
        <v>3</v>
      </c>
      <c r="K50">
        <v>44</v>
      </c>
      <c r="L50">
        <v>80</v>
      </c>
      <c r="M50">
        <v>8</v>
      </c>
      <c r="O50" s="5">
        <f t="shared" si="4"/>
        <v>31</v>
      </c>
      <c r="P50" s="6">
        <v>42</v>
      </c>
      <c r="Q50">
        <v>24</v>
      </c>
      <c r="S50">
        <v>9</v>
      </c>
      <c r="T50">
        <v>93</v>
      </c>
      <c r="V50">
        <f t="shared" si="5"/>
        <v>39</v>
      </c>
      <c r="W50" s="6">
        <f>SUMIFS(events!AJ:AJ,events!Q:Q,"=DeadIce",events!AK:AK,"&lt;="&amp;shifts!AG50,events!AL:AL,"&gt;"&amp;shifts!AH50,events!E:E,"="&amp;shifts!B51)+SUMIFS(events!AJ:AJ,events!Q:Q,"=Timeout",events!AK:AK,"&lt;="&amp;shifts!AG50,events!AL:AL,"&gt;"&amp;shifts!AH50,events!E:E,"="&amp;shifts!B51)</f>
        <v>0</v>
      </c>
      <c r="X50" s="6">
        <f t="shared" si="6"/>
        <v>1</v>
      </c>
      <c r="Z50" t="str">
        <f t="shared" si="7"/>
        <v/>
      </c>
      <c r="AA50">
        <v>1</v>
      </c>
      <c r="AB50" t="str">
        <f t="shared" si="8"/>
        <v/>
      </c>
      <c r="AD50" s="39">
        <v>19029</v>
      </c>
      <c r="AE50" s="39" t="s">
        <v>944</v>
      </c>
      <c r="AF50" s="39" t="s">
        <v>521</v>
      </c>
      <c r="AG50" s="4">
        <f t="shared" si="9"/>
        <v>756</v>
      </c>
      <c r="AH50" s="4">
        <f t="shared" si="10"/>
        <v>744</v>
      </c>
      <c r="AI50" s="14">
        <f t="shared" si="11"/>
        <v>12</v>
      </c>
      <c r="AJ50">
        <f t="shared" si="12"/>
        <v>5</v>
      </c>
      <c r="AK50">
        <f t="shared" si="13"/>
        <v>4</v>
      </c>
      <c r="AL50">
        <f t="shared" si="14"/>
        <v>0</v>
      </c>
      <c r="AM50">
        <f t="shared" si="15"/>
        <v>0</v>
      </c>
      <c r="AN50">
        <f t="shared" si="16"/>
        <v>0</v>
      </c>
      <c r="AO50">
        <f t="shared" si="17"/>
        <v>1</v>
      </c>
      <c r="AP50">
        <f t="shared" si="18"/>
        <v>0</v>
      </c>
      <c r="AQ50">
        <f t="shared" si="19"/>
        <v>1</v>
      </c>
      <c r="AR50" t="str">
        <f t="shared" si="20"/>
        <v>Home PowerPlay</v>
      </c>
      <c r="AS50" t="str">
        <f t="shared" si="21"/>
        <v>5v4</v>
      </c>
      <c r="AT50">
        <f t="shared" si="22"/>
        <v>2</v>
      </c>
      <c r="AU50">
        <f t="shared" si="23"/>
        <v>1</v>
      </c>
      <c r="AV50">
        <f t="shared" si="24"/>
        <v>0</v>
      </c>
      <c r="AW50">
        <f t="shared" si="25"/>
        <v>0</v>
      </c>
      <c r="AX50">
        <f t="shared" si="26"/>
        <v>0</v>
      </c>
      <c r="AY50">
        <f t="shared" si="27"/>
        <v>0</v>
      </c>
      <c r="AZ50">
        <f>IFERROR(VLOOKUP(B50,events!AD:BR,37,FALSE),0)</f>
        <v>1152</v>
      </c>
      <c r="BA50">
        <f t="shared" si="32"/>
        <v>1476</v>
      </c>
      <c r="BB50">
        <f t="shared" si="29"/>
        <v>1471</v>
      </c>
      <c r="BC50" s="4">
        <f t="shared" si="30"/>
        <v>1486</v>
      </c>
    </row>
    <row r="51" spans="1:55" x14ac:dyDescent="0.2">
      <c r="A51">
        <f t="shared" si="31"/>
        <v>50</v>
      </c>
      <c r="B51" s="6">
        <f t="shared" si="1"/>
        <v>2</v>
      </c>
      <c r="C51">
        <f t="shared" si="2"/>
        <v>12</v>
      </c>
      <c r="D51" s="4" t="str">
        <f t="shared" si="3"/>
        <v>24</v>
      </c>
      <c r="E51">
        <v>12</v>
      </c>
      <c r="F51" s="4" t="s">
        <v>912</v>
      </c>
      <c r="I51">
        <v>10</v>
      </c>
      <c r="J51">
        <v>7</v>
      </c>
      <c r="K51">
        <v>44</v>
      </c>
      <c r="L51">
        <v>80</v>
      </c>
      <c r="M51">
        <v>8</v>
      </c>
      <c r="O51" s="5">
        <f t="shared" si="4"/>
        <v>31</v>
      </c>
      <c r="P51" s="6">
        <v>42</v>
      </c>
      <c r="Q51">
        <v>24</v>
      </c>
      <c r="S51">
        <v>9</v>
      </c>
      <c r="T51">
        <v>93</v>
      </c>
      <c r="U51" s="6"/>
      <c r="V51">
        <f t="shared" si="5"/>
        <v>39</v>
      </c>
      <c r="W51" s="6">
        <f>SUMIFS(events!AJ:AJ,events!Q:Q,"=DeadIce",events!AK:AK,"&lt;="&amp;shifts!AG51,events!AL:AL,"&gt;"&amp;shifts!AH51,events!E:E,"="&amp;shifts!B52)+SUMIFS(events!AJ:AJ,events!Q:Q,"=Timeout",events!AK:AK,"&lt;="&amp;shifts!AG51,events!AL:AL,"&gt;"&amp;shifts!AH51,events!E:E,"="&amp;shifts!B52)</f>
        <v>0</v>
      </c>
      <c r="X51" s="6" t="str">
        <f t="shared" si="6"/>
        <v/>
      </c>
      <c r="Y51">
        <v>1</v>
      </c>
      <c r="Z51">
        <f t="shared" si="7"/>
        <v>1</v>
      </c>
      <c r="AB51" t="str">
        <f t="shared" si="8"/>
        <v/>
      </c>
      <c r="AD51" s="39">
        <v>19030</v>
      </c>
      <c r="AE51" s="39" t="s">
        <v>944</v>
      </c>
      <c r="AF51" s="39" t="s">
        <v>521</v>
      </c>
      <c r="AG51" s="4">
        <f t="shared" si="9"/>
        <v>744</v>
      </c>
      <c r="AH51" s="4">
        <f t="shared" si="10"/>
        <v>725</v>
      </c>
      <c r="AI51" s="14">
        <f t="shared" si="11"/>
        <v>19</v>
      </c>
      <c r="AJ51">
        <f t="shared" si="12"/>
        <v>5</v>
      </c>
      <c r="AK51">
        <f t="shared" si="13"/>
        <v>4</v>
      </c>
      <c r="AL51">
        <f t="shared" si="14"/>
        <v>0</v>
      </c>
      <c r="AM51">
        <f t="shared" si="15"/>
        <v>0</v>
      </c>
      <c r="AN51">
        <f t="shared" si="16"/>
        <v>0</v>
      </c>
      <c r="AO51">
        <f t="shared" si="17"/>
        <v>1</v>
      </c>
      <c r="AP51">
        <f t="shared" si="18"/>
        <v>0</v>
      </c>
      <c r="AQ51">
        <f t="shared" si="19"/>
        <v>1</v>
      </c>
      <c r="AR51" t="str">
        <f t="shared" si="20"/>
        <v>Home PowerPlay</v>
      </c>
      <c r="AS51" t="str">
        <f t="shared" si="21"/>
        <v>5v4</v>
      </c>
      <c r="AT51">
        <f t="shared" si="22"/>
        <v>2</v>
      </c>
      <c r="AU51">
        <f t="shared" si="23"/>
        <v>1</v>
      </c>
      <c r="AV51">
        <f t="shared" si="24"/>
        <v>0</v>
      </c>
      <c r="AW51">
        <f t="shared" si="25"/>
        <v>0</v>
      </c>
      <c r="AX51">
        <f t="shared" si="26"/>
        <v>0</v>
      </c>
      <c r="AY51">
        <f t="shared" si="27"/>
        <v>0</v>
      </c>
      <c r="AZ51">
        <f>IFERROR(VLOOKUP(B51,events!AD:BR,37,FALSE),0)</f>
        <v>1152</v>
      </c>
      <c r="BA51">
        <f t="shared" si="32"/>
        <v>1488</v>
      </c>
      <c r="BB51">
        <f t="shared" si="29"/>
        <v>1483</v>
      </c>
      <c r="BC51" s="4">
        <f t="shared" si="30"/>
        <v>1505</v>
      </c>
    </row>
    <row r="52" spans="1:55" x14ac:dyDescent="0.2">
      <c r="A52">
        <f t="shared" si="31"/>
        <v>51</v>
      </c>
      <c r="B52" s="6">
        <f t="shared" si="1"/>
        <v>2</v>
      </c>
      <c r="C52">
        <f t="shared" si="2"/>
        <v>12</v>
      </c>
      <c r="D52" s="4" t="str">
        <f t="shared" si="3"/>
        <v>05</v>
      </c>
      <c r="E52">
        <v>11</v>
      </c>
      <c r="F52" s="4" t="s">
        <v>747</v>
      </c>
      <c r="I52">
        <v>10</v>
      </c>
      <c r="J52">
        <v>7</v>
      </c>
      <c r="K52">
        <v>16</v>
      </c>
      <c r="L52">
        <v>80</v>
      </c>
      <c r="M52">
        <v>8</v>
      </c>
      <c r="O52" s="5">
        <f t="shared" si="4"/>
        <v>31</v>
      </c>
      <c r="P52" s="6">
        <v>70</v>
      </c>
      <c r="Q52">
        <v>91</v>
      </c>
      <c r="R52">
        <v>24</v>
      </c>
      <c r="S52">
        <v>52</v>
      </c>
      <c r="T52">
        <v>84</v>
      </c>
      <c r="V52">
        <f t="shared" si="5"/>
        <v>39</v>
      </c>
      <c r="W52" s="6">
        <f>SUMIFS(events!AJ:AJ,events!Q:Q,"=DeadIce",events!AK:AK,"&lt;="&amp;shifts!AG52,events!AL:AL,"&gt;"&amp;shifts!AH52,events!E:E,"="&amp;shifts!B53)+SUMIFS(events!AJ:AJ,events!Q:Q,"=Timeout",events!AK:AK,"&lt;="&amp;shifts!AG52,events!AL:AL,"&gt;"&amp;shifts!AH52,events!E:E,"="&amp;shifts!B53)</f>
        <v>0</v>
      </c>
      <c r="X52" s="6">
        <f t="shared" si="6"/>
        <v>1</v>
      </c>
      <c r="Y52">
        <v>1</v>
      </c>
      <c r="Z52" t="str">
        <f t="shared" si="7"/>
        <v/>
      </c>
      <c r="AB52" t="str">
        <f t="shared" si="8"/>
        <v/>
      </c>
      <c r="AD52" s="39">
        <v>19031</v>
      </c>
      <c r="AE52" s="39" t="s">
        <v>944</v>
      </c>
      <c r="AF52" s="39" t="s">
        <v>521</v>
      </c>
      <c r="AG52" s="4">
        <f t="shared" si="9"/>
        <v>725</v>
      </c>
      <c r="AH52" s="4">
        <f t="shared" si="10"/>
        <v>667</v>
      </c>
      <c r="AI52" s="14">
        <f t="shared" si="11"/>
        <v>58</v>
      </c>
      <c r="AJ52">
        <f t="shared" si="12"/>
        <v>5</v>
      </c>
      <c r="AK52">
        <f t="shared" si="13"/>
        <v>5</v>
      </c>
      <c r="AL52">
        <f t="shared" si="14"/>
        <v>0</v>
      </c>
      <c r="AM52">
        <f t="shared" si="15"/>
        <v>0</v>
      </c>
      <c r="AN52">
        <f t="shared" si="16"/>
        <v>0</v>
      </c>
      <c r="AO52">
        <f t="shared" si="17"/>
        <v>0</v>
      </c>
      <c r="AP52">
        <f t="shared" si="18"/>
        <v>0</v>
      </c>
      <c r="AQ52">
        <f t="shared" si="19"/>
        <v>0</v>
      </c>
      <c r="AR52" t="str">
        <f t="shared" si="20"/>
        <v>Full Strength</v>
      </c>
      <c r="AS52" t="str">
        <f t="shared" si="21"/>
        <v>5v5</v>
      </c>
      <c r="AT52">
        <f t="shared" si="22"/>
        <v>2</v>
      </c>
      <c r="AU52">
        <f t="shared" si="23"/>
        <v>1</v>
      </c>
      <c r="AV52">
        <f t="shared" si="24"/>
        <v>0</v>
      </c>
      <c r="AW52">
        <f t="shared" si="25"/>
        <v>0</v>
      </c>
      <c r="AX52">
        <f t="shared" si="26"/>
        <v>0</v>
      </c>
      <c r="AY52">
        <f t="shared" si="27"/>
        <v>0</v>
      </c>
      <c r="AZ52">
        <f>IFERROR(VLOOKUP(B52,events!AD:BR,37,FALSE),0)</f>
        <v>1152</v>
      </c>
      <c r="BA52">
        <f t="shared" si="32"/>
        <v>1507</v>
      </c>
      <c r="BB52">
        <f t="shared" si="29"/>
        <v>1502</v>
      </c>
      <c r="BC52" s="4">
        <f t="shared" si="30"/>
        <v>1563</v>
      </c>
    </row>
    <row r="53" spans="1:55" x14ac:dyDescent="0.2">
      <c r="A53">
        <f t="shared" si="31"/>
        <v>52</v>
      </c>
      <c r="B53" s="6">
        <f t="shared" si="1"/>
        <v>2</v>
      </c>
      <c r="C53">
        <f t="shared" si="2"/>
        <v>11</v>
      </c>
      <c r="D53" s="4" t="str">
        <f t="shared" si="3"/>
        <v>07</v>
      </c>
      <c r="E53">
        <v>10</v>
      </c>
      <c r="F53" s="4" t="s">
        <v>753</v>
      </c>
      <c r="I53">
        <v>10</v>
      </c>
      <c r="J53">
        <v>7</v>
      </c>
      <c r="K53">
        <v>16</v>
      </c>
      <c r="L53">
        <v>80</v>
      </c>
      <c r="M53">
        <v>8</v>
      </c>
      <c r="O53" s="5">
        <f t="shared" si="4"/>
        <v>31</v>
      </c>
      <c r="P53" s="6">
        <v>49</v>
      </c>
      <c r="Q53">
        <v>91</v>
      </c>
      <c r="R53">
        <v>24</v>
      </c>
      <c r="S53">
        <v>52</v>
      </c>
      <c r="T53">
        <v>84</v>
      </c>
      <c r="V53">
        <f t="shared" si="5"/>
        <v>39</v>
      </c>
      <c r="W53" s="6">
        <f>SUMIFS(events!AJ:AJ,events!Q:Q,"=DeadIce",events!AK:AK,"&lt;="&amp;shifts!AG53,events!AL:AL,"&gt;"&amp;shifts!AH53,events!E:E,"="&amp;shifts!B54)+SUMIFS(events!AJ:AJ,events!Q:Q,"=Timeout",events!AK:AK,"&lt;="&amp;shifts!AG53,events!AL:AL,"&gt;"&amp;shifts!AH53,events!E:E,"="&amp;shifts!B54)</f>
        <v>0</v>
      </c>
      <c r="X53" s="6">
        <f t="shared" si="6"/>
        <v>1</v>
      </c>
      <c r="Y53">
        <v>1</v>
      </c>
      <c r="Z53" t="str">
        <f t="shared" si="7"/>
        <v/>
      </c>
      <c r="AB53" t="str">
        <f t="shared" si="8"/>
        <v/>
      </c>
      <c r="AD53" s="39">
        <v>19032</v>
      </c>
      <c r="AE53" s="39" t="s">
        <v>944</v>
      </c>
      <c r="AF53" s="39" t="s">
        <v>521</v>
      </c>
      <c r="AG53" s="4">
        <f t="shared" si="9"/>
        <v>667</v>
      </c>
      <c r="AH53" s="4">
        <f t="shared" si="10"/>
        <v>655</v>
      </c>
      <c r="AI53" s="14">
        <f t="shared" si="11"/>
        <v>12</v>
      </c>
      <c r="AJ53">
        <f t="shared" si="12"/>
        <v>5</v>
      </c>
      <c r="AK53">
        <f t="shared" si="13"/>
        <v>5</v>
      </c>
      <c r="AL53">
        <f t="shared" si="14"/>
        <v>0</v>
      </c>
      <c r="AM53">
        <f t="shared" si="15"/>
        <v>0</v>
      </c>
      <c r="AN53">
        <f t="shared" si="16"/>
        <v>0</v>
      </c>
      <c r="AO53">
        <f t="shared" si="17"/>
        <v>0</v>
      </c>
      <c r="AP53">
        <f t="shared" si="18"/>
        <v>0</v>
      </c>
      <c r="AQ53">
        <f t="shared" si="19"/>
        <v>0</v>
      </c>
      <c r="AR53" t="str">
        <f t="shared" si="20"/>
        <v>Full Strength</v>
      </c>
      <c r="AS53" t="str">
        <f t="shared" si="21"/>
        <v>5v5</v>
      </c>
      <c r="AT53">
        <f t="shared" si="22"/>
        <v>2</v>
      </c>
      <c r="AU53">
        <f t="shared" si="23"/>
        <v>1</v>
      </c>
      <c r="AV53">
        <f t="shared" si="24"/>
        <v>0</v>
      </c>
      <c r="AW53">
        <f t="shared" si="25"/>
        <v>0</v>
      </c>
      <c r="AX53">
        <f t="shared" si="26"/>
        <v>0</v>
      </c>
      <c r="AY53">
        <f t="shared" si="27"/>
        <v>0</v>
      </c>
      <c r="AZ53">
        <f>IFERROR(VLOOKUP(B53,events!AD:BR,37,FALSE),0)</f>
        <v>1152</v>
      </c>
      <c r="BA53">
        <f t="shared" si="32"/>
        <v>1565</v>
      </c>
      <c r="BB53">
        <f t="shared" si="29"/>
        <v>1560</v>
      </c>
      <c r="BC53" s="4">
        <f t="shared" si="30"/>
        <v>1575</v>
      </c>
    </row>
    <row r="54" spans="1:55" x14ac:dyDescent="0.2">
      <c r="A54">
        <f t="shared" si="31"/>
        <v>53</v>
      </c>
      <c r="B54" s="6">
        <f t="shared" si="1"/>
        <v>2</v>
      </c>
      <c r="C54">
        <f t="shared" si="2"/>
        <v>10</v>
      </c>
      <c r="D54" s="4" t="str">
        <f t="shared" si="3"/>
        <v>55</v>
      </c>
      <c r="E54">
        <v>10</v>
      </c>
      <c r="F54" s="4" t="s">
        <v>749</v>
      </c>
      <c r="I54">
        <v>10</v>
      </c>
      <c r="J54">
        <v>15</v>
      </c>
      <c r="K54">
        <v>16</v>
      </c>
      <c r="L54">
        <v>80</v>
      </c>
      <c r="M54">
        <v>8</v>
      </c>
      <c r="O54" s="5">
        <f t="shared" si="4"/>
        <v>31</v>
      </c>
      <c r="P54" s="6">
        <v>49</v>
      </c>
      <c r="Q54">
        <v>91</v>
      </c>
      <c r="R54">
        <v>24</v>
      </c>
      <c r="S54">
        <v>52</v>
      </c>
      <c r="T54">
        <v>84</v>
      </c>
      <c r="V54">
        <f t="shared" si="5"/>
        <v>39</v>
      </c>
      <c r="W54" s="6">
        <f>SUMIFS(events!AJ:AJ,events!Q:Q,"=DeadIce",events!AK:AK,"&lt;="&amp;shifts!AG54,events!AL:AL,"&gt;"&amp;shifts!AH54,events!E:E,"="&amp;shifts!B55)+SUMIFS(events!AJ:AJ,events!Q:Q,"=Timeout",events!AK:AK,"&lt;="&amp;shifts!AG54,events!AL:AL,"&gt;"&amp;shifts!AH54,events!E:E,"="&amp;shifts!B55)</f>
        <v>0</v>
      </c>
      <c r="X54" s="6">
        <f t="shared" si="6"/>
        <v>1</v>
      </c>
      <c r="Z54" t="str">
        <f t="shared" si="7"/>
        <v/>
      </c>
      <c r="AA54">
        <v>1</v>
      </c>
      <c r="AB54" t="str">
        <f t="shared" si="8"/>
        <v/>
      </c>
      <c r="AD54" s="39">
        <v>19033</v>
      </c>
      <c r="AE54" s="39" t="s">
        <v>944</v>
      </c>
      <c r="AF54" s="39" t="s">
        <v>521</v>
      </c>
      <c r="AG54" s="4">
        <f t="shared" si="9"/>
        <v>655</v>
      </c>
      <c r="AH54" s="4">
        <f t="shared" si="10"/>
        <v>639</v>
      </c>
      <c r="AI54" s="14">
        <f t="shared" si="11"/>
        <v>16</v>
      </c>
      <c r="AJ54">
        <f t="shared" si="12"/>
        <v>5</v>
      </c>
      <c r="AK54">
        <f t="shared" si="13"/>
        <v>5</v>
      </c>
      <c r="AL54">
        <f t="shared" si="14"/>
        <v>0</v>
      </c>
      <c r="AM54">
        <f t="shared" si="15"/>
        <v>0</v>
      </c>
      <c r="AN54">
        <f t="shared" si="16"/>
        <v>0</v>
      </c>
      <c r="AO54">
        <f t="shared" si="17"/>
        <v>0</v>
      </c>
      <c r="AP54">
        <f t="shared" si="18"/>
        <v>0</v>
      </c>
      <c r="AQ54">
        <f t="shared" si="19"/>
        <v>0</v>
      </c>
      <c r="AR54" t="str">
        <f t="shared" si="20"/>
        <v>Full Strength</v>
      </c>
      <c r="AS54" t="str">
        <f t="shared" si="21"/>
        <v>5v5</v>
      </c>
      <c r="AT54">
        <f t="shared" si="22"/>
        <v>2</v>
      </c>
      <c r="AU54">
        <f t="shared" si="23"/>
        <v>1</v>
      </c>
      <c r="AV54">
        <f t="shared" si="24"/>
        <v>0</v>
      </c>
      <c r="AW54">
        <f t="shared" si="25"/>
        <v>0</v>
      </c>
      <c r="AX54">
        <f t="shared" si="26"/>
        <v>0</v>
      </c>
      <c r="AY54">
        <f t="shared" si="27"/>
        <v>0</v>
      </c>
      <c r="AZ54">
        <f>IFERROR(VLOOKUP(B54,events!AD:BR,37,FALSE),0)</f>
        <v>1152</v>
      </c>
      <c r="BA54">
        <f t="shared" si="32"/>
        <v>1577</v>
      </c>
      <c r="BB54">
        <f t="shared" si="29"/>
        <v>1572</v>
      </c>
      <c r="BC54" s="4">
        <f t="shared" si="30"/>
        <v>1591</v>
      </c>
    </row>
    <row r="55" spans="1:55" x14ac:dyDescent="0.2">
      <c r="A55">
        <f t="shared" si="31"/>
        <v>54</v>
      </c>
      <c r="B55" s="6">
        <f t="shared" si="1"/>
        <v>2</v>
      </c>
      <c r="C55">
        <f t="shared" si="2"/>
        <v>10</v>
      </c>
      <c r="D55" s="4" t="str">
        <f t="shared" si="3"/>
        <v>39</v>
      </c>
      <c r="E55">
        <v>10</v>
      </c>
      <c r="F55" s="4" t="s">
        <v>750</v>
      </c>
      <c r="G55" s="6" t="s">
        <v>519</v>
      </c>
      <c r="H55" s="5" t="s">
        <v>296</v>
      </c>
      <c r="I55">
        <v>10</v>
      </c>
      <c r="J55">
        <v>15</v>
      </c>
      <c r="K55">
        <v>16</v>
      </c>
      <c r="L55">
        <v>80</v>
      </c>
      <c r="M55">
        <v>8</v>
      </c>
      <c r="N55">
        <v>79</v>
      </c>
      <c r="P55" s="6">
        <v>49</v>
      </c>
      <c r="Q55">
        <v>91</v>
      </c>
      <c r="R55">
        <v>24</v>
      </c>
      <c r="S55">
        <v>52</v>
      </c>
      <c r="T55">
        <v>84</v>
      </c>
      <c r="V55">
        <f t="shared" si="5"/>
        <v>39</v>
      </c>
      <c r="W55" s="6">
        <f>SUMIFS(events!AJ:AJ,events!Q:Q,"=DeadIce",events!AK:AK,"&lt;="&amp;shifts!AG55,events!AL:AL,"&gt;"&amp;shifts!AH55,events!E:E,"="&amp;shifts!B56)+SUMIFS(events!AJ:AJ,events!Q:Q,"=Timeout",events!AK:AK,"&lt;="&amp;shifts!AG55,events!AL:AL,"&gt;"&amp;shifts!AH55,events!E:E,"="&amp;shifts!B56)</f>
        <v>0</v>
      </c>
      <c r="X55" s="6" t="str">
        <f t="shared" si="6"/>
        <v/>
      </c>
      <c r="Z55">
        <f t="shared" si="7"/>
        <v>1</v>
      </c>
      <c r="AA55">
        <v>1</v>
      </c>
      <c r="AB55" t="str">
        <f t="shared" si="8"/>
        <v/>
      </c>
      <c r="AD55" s="39">
        <v>19034</v>
      </c>
      <c r="AE55" s="39" t="s">
        <v>944</v>
      </c>
      <c r="AF55" s="39" t="s">
        <v>521</v>
      </c>
      <c r="AG55" s="4">
        <f t="shared" si="9"/>
        <v>639</v>
      </c>
      <c r="AH55" s="4">
        <f t="shared" si="10"/>
        <v>635</v>
      </c>
      <c r="AI55" s="14">
        <f t="shared" si="11"/>
        <v>4</v>
      </c>
      <c r="AJ55">
        <f t="shared" si="12"/>
        <v>6</v>
      </c>
      <c r="AK55">
        <f t="shared" si="13"/>
        <v>5</v>
      </c>
      <c r="AL55">
        <f t="shared" si="14"/>
        <v>1</v>
      </c>
      <c r="AM55">
        <f t="shared" si="15"/>
        <v>0</v>
      </c>
      <c r="AN55">
        <f t="shared" si="16"/>
        <v>0</v>
      </c>
      <c r="AO55">
        <f t="shared" si="17"/>
        <v>0</v>
      </c>
      <c r="AP55">
        <f t="shared" si="18"/>
        <v>0</v>
      </c>
      <c r="AQ55">
        <f t="shared" si="19"/>
        <v>0</v>
      </c>
      <c r="AR55" t="str">
        <f t="shared" si="20"/>
        <v>Home EmptyNet</v>
      </c>
      <c r="AS55" t="str">
        <f t="shared" si="21"/>
        <v>6v5 Home EN</v>
      </c>
      <c r="AT55">
        <f t="shared" si="22"/>
        <v>2</v>
      </c>
      <c r="AU55">
        <f t="shared" si="23"/>
        <v>1</v>
      </c>
      <c r="AV55">
        <f t="shared" si="24"/>
        <v>0</v>
      </c>
      <c r="AW55">
        <f t="shared" si="25"/>
        <v>0</v>
      </c>
      <c r="AX55">
        <f t="shared" si="26"/>
        <v>0</v>
      </c>
      <c r="AY55">
        <f t="shared" si="27"/>
        <v>0</v>
      </c>
      <c r="AZ55">
        <f>IFERROR(VLOOKUP(B55,events!AD:BR,37,FALSE),0)</f>
        <v>1152</v>
      </c>
      <c r="BA55">
        <f t="shared" si="32"/>
        <v>1593</v>
      </c>
      <c r="BB55">
        <f t="shared" si="29"/>
        <v>1588</v>
      </c>
      <c r="BC55" s="4">
        <f t="shared" si="30"/>
        <v>1595</v>
      </c>
    </row>
    <row r="56" spans="1:55" x14ac:dyDescent="0.2">
      <c r="A56">
        <f t="shared" si="31"/>
        <v>55</v>
      </c>
      <c r="B56" s="6">
        <f t="shared" si="1"/>
        <v>2</v>
      </c>
      <c r="C56">
        <f t="shared" si="2"/>
        <v>10</v>
      </c>
      <c r="D56" s="4" t="str">
        <f t="shared" si="3"/>
        <v>35</v>
      </c>
      <c r="E56">
        <v>9</v>
      </c>
      <c r="F56" s="4" t="s">
        <v>919</v>
      </c>
      <c r="G56" s="6" t="s">
        <v>288</v>
      </c>
      <c r="I56">
        <v>79</v>
      </c>
      <c r="J56">
        <v>15</v>
      </c>
      <c r="K56">
        <v>16</v>
      </c>
      <c r="L56">
        <v>37</v>
      </c>
      <c r="M56">
        <v>23</v>
      </c>
      <c r="N56">
        <v>7</v>
      </c>
      <c r="O56" s="5">
        <v>31</v>
      </c>
      <c r="P56" s="6">
        <v>14</v>
      </c>
      <c r="Q56">
        <v>61</v>
      </c>
      <c r="S56">
        <v>52</v>
      </c>
      <c r="T56">
        <v>84</v>
      </c>
      <c r="V56">
        <f t="shared" si="5"/>
        <v>39</v>
      </c>
      <c r="W56" s="6">
        <f>SUMIFS(events!AJ:AJ,events!Q:Q,"=DeadIce",events!AK:AK,"&lt;="&amp;shifts!AG56,events!AL:AL,"&gt;"&amp;shifts!AH56,events!E:E,"="&amp;shifts!B57)+SUMIFS(events!AJ:AJ,events!Q:Q,"=Timeout",events!AK:AK,"&lt;="&amp;shifts!AG56,events!AL:AL,"&gt;"&amp;shifts!AH56,events!E:E,"="&amp;shifts!B57)</f>
        <v>0</v>
      </c>
      <c r="X56" s="6" t="str">
        <f t="shared" si="6"/>
        <v/>
      </c>
      <c r="Y56">
        <v>1</v>
      </c>
      <c r="Z56">
        <f t="shared" si="7"/>
        <v>1</v>
      </c>
      <c r="AB56" t="str">
        <f t="shared" si="8"/>
        <v/>
      </c>
      <c r="AD56" s="39">
        <v>19035</v>
      </c>
      <c r="AE56" s="39" t="s">
        <v>944</v>
      </c>
      <c r="AF56" s="39" t="s">
        <v>521</v>
      </c>
      <c r="AG56" s="4">
        <f t="shared" si="9"/>
        <v>635</v>
      </c>
      <c r="AH56" s="4">
        <f t="shared" si="10"/>
        <v>560</v>
      </c>
      <c r="AI56" s="14">
        <f t="shared" si="11"/>
        <v>75</v>
      </c>
      <c r="AJ56">
        <f t="shared" si="12"/>
        <v>6</v>
      </c>
      <c r="AK56">
        <f t="shared" si="13"/>
        <v>4</v>
      </c>
      <c r="AL56">
        <f t="shared" si="14"/>
        <v>0</v>
      </c>
      <c r="AM56">
        <f t="shared" si="15"/>
        <v>0</v>
      </c>
      <c r="AN56">
        <f t="shared" si="16"/>
        <v>0</v>
      </c>
      <c r="AO56">
        <f t="shared" si="17"/>
        <v>1</v>
      </c>
      <c r="AP56">
        <f t="shared" si="18"/>
        <v>0</v>
      </c>
      <c r="AQ56">
        <f t="shared" si="19"/>
        <v>1</v>
      </c>
      <c r="AR56" t="str">
        <f t="shared" si="20"/>
        <v>Home PowerPlay</v>
      </c>
      <c r="AS56" t="str">
        <f t="shared" si="21"/>
        <v>6v4</v>
      </c>
      <c r="AT56">
        <f t="shared" si="22"/>
        <v>2</v>
      </c>
      <c r="AU56">
        <f t="shared" si="23"/>
        <v>1</v>
      </c>
      <c r="AV56">
        <f t="shared" si="24"/>
        <v>0</v>
      </c>
      <c r="AW56">
        <f t="shared" si="25"/>
        <v>0</v>
      </c>
      <c r="AX56">
        <f t="shared" si="26"/>
        <v>0</v>
      </c>
      <c r="AY56">
        <f t="shared" si="27"/>
        <v>0</v>
      </c>
      <c r="AZ56">
        <f>IFERROR(VLOOKUP(B56,events!AD:BR,37,FALSE),0)</f>
        <v>1152</v>
      </c>
      <c r="BA56">
        <f t="shared" si="32"/>
        <v>1597</v>
      </c>
      <c r="BB56">
        <f t="shared" si="29"/>
        <v>1592</v>
      </c>
      <c r="BC56" s="4">
        <f t="shared" si="30"/>
        <v>1670</v>
      </c>
    </row>
    <row r="57" spans="1:55" x14ac:dyDescent="0.2">
      <c r="A57">
        <f t="shared" si="31"/>
        <v>56</v>
      </c>
      <c r="B57" s="6">
        <f t="shared" si="1"/>
        <v>2</v>
      </c>
      <c r="C57">
        <f t="shared" si="2"/>
        <v>9</v>
      </c>
      <c r="D57" s="4" t="str">
        <f t="shared" si="3"/>
        <v>20</v>
      </c>
      <c r="E57">
        <v>8</v>
      </c>
      <c r="F57" s="4" t="s">
        <v>915</v>
      </c>
      <c r="H57" s="5" t="s">
        <v>341</v>
      </c>
      <c r="I57">
        <v>79</v>
      </c>
      <c r="J57">
        <v>15</v>
      </c>
      <c r="K57">
        <v>44</v>
      </c>
      <c r="L57">
        <v>37</v>
      </c>
      <c r="M57">
        <v>23</v>
      </c>
      <c r="O57" s="5">
        <f t="shared" si="4"/>
        <v>31</v>
      </c>
      <c r="P57" s="6">
        <v>14</v>
      </c>
      <c r="Q57">
        <v>61</v>
      </c>
      <c r="S57">
        <v>52</v>
      </c>
      <c r="T57">
        <v>22</v>
      </c>
      <c r="V57">
        <f t="shared" si="5"/>
        <v>39</v>
      </c>
      <c r="W57" s="6">
        <f>SUMIFS(events!AJ:AJ,events!Q:Q,"=DeadIce",events!AK:AK,"&lt;="&amp;shifts!AG57,events!AL:AL,"&gt;"&amp;shifts!AH57,events!E:E,"="&amp;shifts!B58)+SUMIFS(events!AJ:AJ,events!Q:Q,"=Timeout",events!AK:AK,"&lt;="&amp;shifts!AG57,events!AL:AL,"&gt;"&amp;shifts!AH57,events!E:E,"="&amp;shifts!B58)</f>
        <v>0</v>
      </c>
      <c r="X57" s="6">
        <f t="shared" si="6"/>
        <v>1</v>
      </c>
      <c r="Z57" t="str">
        <f t="shared" si="7"/>
        <v/>
      </c>
      <c r="AA57">
        <v>1</v>
      </c>
      <c r="AB57" t="str">
        <f t="shared" si="8"/>
        <v/>
      </c>
      <c r="AD57" s="39">
        <v>19036</v>
      </c>
      <c r="AE57" s="39" t="s">
        <v>944</v>
      </c>
      <c r="AF57" s="39" t="s">
        <v>521</v>
      </c>
      <c r="AG57" s="4">
        <f t="shared" si="9"/>
        <v>560</v>
      </c>
      <c r="AH57" s="4">
        <f t="shared" si="10"/>
        <v>510</v>
      </c>
      <c r="AI57" s="14">
        <f t="shared" si="11"/>
        <v>50</v>
      </c>
      <c r="AJ57">
        <f t="shared" si="12"/>
        <v>5</v>
      </c>
      <c r="AK57">
        <f t="shared" si="13"/>
        <v>4</v>
      </c>
      <c r="AL57">
        <f t="shared" si="14"/>
        <v>0</v>
      </c>
      <c r="AM57">
        <f t="shared" si="15"/>
        <v>0</v>
      </c>
      <c r="AN57">
        <f t="shared" si="16"/>
        <v>0</v>
      </c>
      <c r="AO57">
        <f t="shared" si="17"/>
        <v>1</v>
      </c>
      <c r="AP57">
        <f t="shared" si="18"/>
        <v>0</v>
      </c>
      <c r="AQ57">
        <f t="shared" si="19"/>
        <v>1</v>
      </c>
      <c r="AR57" t="str">
        <f t="shared" si="20"/>
        <v>Home PowerPlay</v>
      </c>
      <c r="AS57" t="str">
        <f t="shared" si="21"/>
        <v>5v4</v>
      </c>
      <c r="AT57">
        <f t="shared" si="22"/>
        <v>2</v>
      </c>
      <c r="AU57">
        <f t="shared" si="23"/>
        <v>1</v>
      </c>
      <c r="AV57">
        <f t="shared" si="24"/>
        <v>0</v>
      </c>
      <c r="AW57">
        <f t="shared" si="25"/>
        <v>0</v>
      </c>
      <c r="AX57">
        <f t="shared" si="26"/>
        <v>0</v>
      </c>
      <c r="AY57">
        <f t="shared" si="27"/>
        <v>0</v>
      </c>
      <c r="AZ57">
        <f>IFERROR(VLOOKUP(B57,events!AD:BR,37,FALSE),0)</f>
        <v>1152</v>
      </c>
      <c r="BA57">
        <f t="shared" si="32"/>
        <v>1672</v>
      </c>
      <c r="BB57">
        <f t="shared" si="29"/>
        <v>1667</v>
      </c>
      <c r="BC57" s="4">
        <f t="shared" si="30"/>
        <v>1720</v>
      </c>
    </row>
    <row r="58" spans="1:55" x14ac:dyDescent="0.2">
      <c r="A58">
        <f t="shared" si="31"/>
        <v>57</v>
      </c>
      <c r="B58" s="6">
        <f t="shared" si="1"/>
        <v>2</v>
      </c>
      <c r="C58">
        <f t="shared" si="2"/>
        <v>8</v>
      </c>
      <c r="D58" s="4" t="str">
        <f t="shared" si="3"/>
        <v>30</v>
      </c>
      <c r="E58">
        <v>7</v>
      </c>
      <c r="F58" s="4" t="s">
        <v>906</v>
      </c>
      <c r="G58" s="6" t="s">
        <v>289</v>
      </c>
      <c r="I58">
        <v>79</v>
      </c>
      <c r="J58">
        <v>3</v>
      </c>
      <c r="K58">
        <v>44</v>
      </c>
      <c r="L58">
        <v>37</v>
      </c>
      <c r="M58">
        <v>23</v>
      </c>
      <c r="O58" s="5">
        <f t="shared" si="4"/>
        <v>31</v>
      </c>
      <c r="P58" s="6">
        <v>87</v>
      </c>
      <c r="Q58">
        <v>75</v>
      </c>
      <c r="S58">
        <v>93</v>
      </c>
      <c r="T58">
        <v>22</v>
      </c>
      <c r="V58">
        <f t="shared" si="5"/>
        <v>39</v>
      </c>
      <c r="W58" s="6">
        <f>SUMIFS(events!AJ:AJ,events!Q:Q,"=DeadIce",events!AK:AK,"&lt;="&amp;shifts!AG58,events!AL:AL,"&gt;"&amp;shifts!AH58,events!E:E,"="&amp;shifts!B59)+SUMIFS(events!AJ:AJ,events!Q:Q,"=Timeout",events!AK:AK,"&lt;="&amp;shifts!AG58,events!AL:AL,"&gt;"&amp;shifts!AH58,events!E:E,"="&amp;shifts!B59)</f>
        <v>0</v>
      </c>
      <c r="X58" s="6" t="str">
        <f t="shared" si="6"/>
        <v/>
      </c>
      <c r="Z58">
        <f t="shared" si="7"/>
        <v>1</v>
      </c>
      <c r="AA58">
        <v>1</v>
      </c>
      <c r="AB58" t="str">
        <f t="shared" si="8"/>
        <v/>
      </c>
      <c r="AD58" s="39">
        <v>19037</v>
      </c>
      <c r="AE58" s="39" t="s">
        <v>944</v>
      </c>
      <c r="AF58" s="39" t="s">
        <v>521</v>
      </c>
      <c r="AG58" s="4">
        <f t="shared" si="9"/>
        <v>510</v>
      </c>
      <c r="AH58" s="4">
        <f t="shared" si="10"/>
        <v>449</v>
      </c>
      <c r="AI58" s="14">
        <f t="shared" si="11"/>
        <v>61</v>
      </c>
      <c r="AJ58">
        <f t="shared" si="12"/>
        <v>5</v>
      </c>
      <c r="AK58">
        <f t="shared" si="13"/>
        <v>4</v>
      </c>
      <c r="AL58">
        <f t="shared" si="14"/>
        <v>0</v>
      </c>
      <c r="AM58">
        <f t="shared" si="15"/>
        <v>0</v>
      </c>
      <c r="AN58">
        <f t="shared" si="16"/>
        <v>0</v>
      </c>
      <c r="AO58">
        <f t="shared" si="17"/>
        <v>1</v>
      </c>
      <c r="AP58">
        <f t="shared" si="18"/>
        <v>0</v>
      </c>
      <c r="AQ58">
        <f t="shared" si="19"/>
        <v>1</v>
      </c>
      <c r="AR58" t="str">
        <f t="shared" si="20"/>
        <v>Home PowerPlay</v>
      </c>
      <c r="AS58" t="str">
        <f t="shared" si="21"/>
        <v>5v4</v>
      </c>
      <c r="AT58">
        <f t="shared" si="22"/>
        <v>2</v>
      </c>
      <c r="AU58">
        <f t="shared" si="23"/>
        <v>1</v>
      </c>
      <c r="AV58">
        <f t="shared" si="24"/>
        <v>0</v>
      </c>
      <c r="AW58">
        <f t="shared" si="25"/>
        <v>0</v>
      </c>
      <c r="AX58">
        <f t="shared" si="26"/>
        <v>0</v>
      </c>
      <c r="AY58">
        <f t="shared" si="27"/>
        <v>0</v>
      </c>
      <c r="AZ58">
        <f>IFERROR(VLOOKUP(B58,events!AD:BR,37,FALSE),0)</f>
        <v>1152</v>
      </c>
      <c r="BA58">
        <f t="shared" si="32"/>
        <v>1722</v>
      </c>
      <c r="BB58">
        <f t="shared" si="29"/>
        <v>1717</v>
      </c>
      <c r="BC58" s="4">
        <f t="shared" si="30"/>
        <v>1781</v>
      </c>
    </row>
    <row r="59" spans="1:55" x14ac:dyDescent="0.2">
      <c r="A59">
        <f t="shared" si="31"/>
        <v>58</v>
      </c>
      <c r="B59" s="6">
        <f t="shared" si="1"/>
        <v>2</v>
      </c>
      <c r="C59">
        <f t="shared" si="2"/>
        <v>7</v>
      </c>
      <c r="D59" s="4" t="str">
        <f t="shared" si="3"/>
        <v>29</v>
      </c>
      <c r="E59">
        <v>7</v>
      </c>
      <c r="F59" s="4" t="s">
        <v>741</v>
      </c>
      <c r="H59" s="5" t="s">
        <v>341</v>
      </c>
      <c r="I59">
        <v>10</v>
      </c>
      <c r="J59">
        <v>3</v>
      </c>
      <c r="K59">
        <v>44</v>
      </c>
      <c r="L59">
        <v>37</v>
      </c>
      <c r="M59">
        <v>23</v>
      </c>
      <c r="O59" s="5">
        <f t="shared" si="4"/>
        <v>31</v>
      </c>
      <c r="P59" s="6">
        <v>87</v>
      </c>
      <c r="Q59">
        <v>75</v>
      </c>
      <c r="S59">
        <v>93</v>
      </c>
      <c r="T59">
        <v>22</v>
      </c>
      <c r="V59">
        <f t="shared" si="5"/>
        <v>39</v>
      </c>
      <c r="W59" s="6">
        <f>SUMIFS(events!AJ:AJ,events!Q:Q,"=DeadIce",events!AK:AK,"&lt;="&amp;shifts!AG59,events!AL:AL,"&gt;"&amp;shifts!AH59,events!E:E,"="&amp;shifts!B60)+SUMIFS(events!AJ:AJ,events!Q:Q,"=Timeout",events!AK:AK,"&lt;="&amp;shifts!AG59,events!AL:AL,"&gt;"&amp;shifts!AH59,events!E:E,"="&amp;shifts!B60)</f>
        <v>0</v>
      </c>
      <c r="X59" s="6" t="str">
        <f t="shared" si="6"/>
        <v/>
      </c>
      <c r="Z59">
        <f t="shared" si="7"/>
        <v>1</v>
      </c>
      <c r="AA59">
        <v>1</v>
      </c>
      <c r="AB59" t="str">
        <f t="shared" si="8"/>
        <v/>
      </c>
      <c r="AD59" s="39">
        <v>19038</v>
      </c>
      <c r="AE59" s="39" t="s">
        <v>944</v>
      </c>
      <c r="AF59" s="39" t="s">
        <v>521</v>
      </c>
      <c r="AG59" s="4">
        <f t="shared" si="9"/>
        <v>449</v>
      </c>
      <c r="AH59" s="4">
        <f t="shared" si="10"/>
        <v>441</v>
      </c>
      <c r="AI59" s="14">
        <f t="shared" si="11"/>
        <v>8</v>
      </c>
      <c r="AJ59">
        <f t="shared" si="12"/>
        <v>5</v>
      </c>
      <c r="AK59">
        <f t="shared" si="13"/>
        <v>4</v>
      </c>
      <c r="AL59">
        <f t="shared" si="14"/>
        <v>0</v>
      </c>
      <c r="AM59">
        <f t="shared" si="15"/>
        <v>0</v>
      </c>
      <c r="AN59">
        <f t="shared" si="16"/>
        <v>0</v>
      </c>
      <c r="AO59">
        <f t="shared" si="17"/>
        <v>1</v>
      </c>
      <c r="AP59">
        <f t="shared" si="18"/>
        <v>0</v>
      </c>
      <c r="AQ59">
        <f t="shared" si="19"/>
        <v>1</v>
      </c>
      <c r="AR59" t="str">
        <f t="shared" si="20"/>
        <v>Home PowerPlay</v>
      </c>
      <c r="AS59" t="str">
        <f t="shared" si="21"/>
        <v>5v4</v>
      </c>
      <c r="AT59">
        <f t="shared" si="22"/>
        <v>2</v>
      </c>
      <c r="AU59">
        <f t="shared" si="23"/>
        <v>1</v>
      </c>
      <c r="AV59">
        <f t="shared" si="24"/>
        <v>0</v>
      </c>
      <c r="AW59">
        <f t="shared" si="25"/>
        <v>0</v>
      </c>
      <c r="AX59">
        <f t="shared" si="26"/>
        <v>0</v>
      </c>
      <c r="AY59">
        <f t="shared" si="27"/>
        <v>0</v>
      </c>
      <c r="AZ59">
        <f>IFERROR(VLOOKUP(B59,events!AD:BR,37,FALSE),0)</f>
        <v>1152</v>
      </c>
      <c r="BA59">
        <f t="shared" si="32"/>
        <v>1783</v>
      </c>
      <c r="BB59">
        <f t="shared" si="29"/>
        <v>1778</v>
      </c>
      <c r="BC59" s="4">
        <f t="shared" si="30"/>
        <v>1789</v>
      </c>
    </row>
    <row r="60" spans="1:55" x14ac:dyDescent="0.2">
      <c r="A60">
        <f t="shared" si="31"/>
        <v>59</v>
      </c>
      <c r="B60" s="6">
        <f t="shared" si="1"/>
        <v>2</v>
      </c>
      <c r="C60">
        <f t="shared" si="2"/>
        <v>7</v>
      </c>
      <c r="D60" s="4" t="str">
        <f t="shared" si="3"/>
        <v>21</v>
      </c>
      <c r="E60">
        <v>6</v>
      </c>
      <c r="F60" s="4" t="s">
        <v>749</v>
      </c>
      <c r="G60" s="6" t="s">
        <v>289</v>
      </c>
      <c r="I60">
        <v>10</v>
      </c>
      <c r="J60">
        <v>3</v>
      </c>
      <c r="K60">
        <v>44</v>
      </c>
      <c r="L60">
        <v>80</v>
      </c>
      <c r="M60">
        <v>8</v>
      </c>
      <c r="O60" s="5">
        <f t="shared" si="4"/>
        <v>31</v>
      </c>
      <c r="P60" s="6">
        <v>87</v>
      </c>
      <c r="Q60">
        <v>75</v>
      </c>
      <c r="S60">
        <v>93</v>
      </c>
      <c r="T60">
        <v>9</v>
      </c>
      <c r="V60">
        <f t="shared" si="5"/>
        <v>39</v>
      </c>
      <c r="W60" s="6">
        <f>SUMIFS(events!AJ:AJ,events!Q:Q,"=DeadIce",events!AK:AK,"&lt;="&amp;shifts!AG60,events!AL:AL,"&gt;"&amp;shifts!AH60,events!E:E,"="&amp;shifts!B61)+SUMIFS(events!AJ:AJ,events!Q:Q,"=Timeout",events!AK:AK,"&lt;="&amp;shifts!AG60,events!AL:AL,"&gt;"&amp;shifts!AH60,events!E:E,"="&amp;shifts!B61)</f>
        <v>0</v>
      </c>
      <c r="X60" s="6" t="str">
        <f t="shared" si="6"/>
        <v/>
      </c>
      <c r="Y60">
        <v>1</v>
      </c>
      <c r="Z60">
        <f t="shared" si="7"/>
        <v>1</v>
      </c>
      <c r="AB60" t="str">
        <f t="shared" si="8"/>
        <v/>
      </c>
      <c r="AD60" s="39">
        <v>19039</v>
      </c>
      <c r="AE60" s="39" t="s">
        <v>944</v>
      </c>
      <c r="AF60" s="39" t="s">
        <v>521</v>
      </c>
      <c r="AG60" s="4">
        <f t="shared" si="9"/>
        <v>441</v>
      </c>
      <c r="AH60" s="4">
        <f t="shared" si="10"/>
        <v>399</v>
      </c>
      <c r="AI60" s="14">
        <f t="shared" si="11"/>
        <v>42</v>
      </c>
      <c r="AJ60">
        <f t="shared" si="12"/>
        <v>5</v>
      </c>
      <c r="AK60">
        <f t="shared" si="13"/>
        <v>4</v>
      </c>
      <c r="AL60">
        <f t="shared" si="14"/>
        <v>0</v>
      </c>
      <c r="AM60">
        <f t="shared" si="15"/>
        <v>0</v>
      </c>
      <c r="AN60">
        <f t="shared" si="16"/>
        <v>0</v>
      </c>
      <c r="AO60">
        <f t="shared" si="17"/>
        <v>1</v>
      </c>
      <c r="AP60">
        <f t="shared" si="18"/>
        <v>0</v>
      </c>
      <c r="AQ60">
        <f t="shared" si="19"/>
        <v>1</v>
      </c>
      <c r="AR60" t="str">
        <f t="shared" si="20"/>
        <v>Home PowerPlay</v>
      </c>
      <c r="AS60" t="str">
        <f t="shared" si="21"/>
        <v>5v4</v>
      </c>
      <c r="AT60">
        <f t="shared" si="22"/>
        <v>2</v>
      </c>
      <c r="AU60">
        <f t="shared" si="23"/>
        <v>1</v>
      </c>
      <c r="AV60">
        <f t="shared" si="24"/>
        <v>0</v>
      </c>
      <c r="AW60">
        <f t="shared" si="25"/>
        <v>0</v>
      </c>
      <c r="AX60">
        <f t="shared" si="26"/>
        <v>0</v>
      </c>
      <c r="AY60">
        <f t="shared" si="27"/>
        <v>0</v>
      </c>
      <c r="AZ60">
        <f>IFERROR(VLOOKUP(B60,events!AD:BR,37,FALSE),0)</f>
        <v>1152</v>
      </c>
      <c r="BA60">
        <f t="shared" si="32"/>
        <v>1791</v>
      </c>
      <c r="BB60">
        <f t="shared" si="29"/>
        <v>1786</v>
      </c>
      <c r="BC60" s="4">
        <f t="shared" si="30"/>
        <v>1831</v>
      </c>
    </row>
    <row r="61" spans="1:55" x14ac:dyDescent="0.2">
      <c r="A61">
        <f t="shared" si="31"/>
        <v>60</v>
      </c>
      <c r="B61" s="6">
        <f t="shared" si="1"/>
        <v>2</v>
      </c>
      <c r="C61">
        <f t="shared" si="2"/>
        <v>6</v>
      </c>
      <c r="D61" s="4" t="str">
        <f t="shared" si="3"/>
        <v>39</v>
      </c>
      <c r="E61">
        <v>6</v>
      </c>
      <c r="F61" s="4" t="s">
        <v>754</v>
      </c>
      <c r="I61">
        <v>10</v>
      </c>
      <c r="J61">
        <v>3</v>
      </c>
      <c r="K61">
        <v>44</v>
      </c>
      <c r="L61">
        <v>80</v>
      </c>
      <c r="M61">
        <v>8</v>
      </c>
      <c r="O61" s="5">
        <f t="shared" si="4"/>
        <v>31</v>
      </c>
      <c r="P61" s="6">
        <v>70</v>
      </c>
      <c r="Q61">
        <v>87</v>
      </c>
      <c r="R61">
        <v>75</v>
      </c>
      <c r="S61">
        <v>93</v>
      </c>
      <c r="T61">
        <v>9</v>
      </c>
      <c r="V61">
        <f t="shared" si="5"/>
        <v>39</v>
      </c>
      <c r="W61" s="6">
        <f>SUMIFS(events!AJ:AJ,events!Q:Q,"=DeadIce",events!AK:AK,"&lt;="&amp;shifts!AG61,events!AL:AL,"&gt;"&amp;shifts!AH61,events!E:E,"="&amp;shifts!B62)+SUMIFS(events!AJ:AJ,events!Q:Q,"=Timeout",events!AK:AK,"&lt;="&amp;shifts!AG61,events!AL:AL,"&gt;"&amp;shifts!AH61,events!E:E,"="&amp;shifts!B62)</f>
        <v>0</v>
      </c>
      <c r="X61" s="6">
        <f t="shared" si="6"/>
        <v>1</v>
      </c>
      <c r="Y61">
        <v>1</v>
      </c>
      <c r="Z61" t="str">
        <f t="shared" si="7"/>
        <v/>
      </c>
      <c r="AB61" t="str">
        <f t="shared" si="8"/>
        <v/>
      </c>
      <c r="AD61" s="39">
        <v>19040</v>
      </c>
      <c r="AE61" s="39" t="s">
        <v>944</v>
      </c>
      <c r="AF61" s="39" t="s">
        <v>521</v>
      </c>
      <c r="AG61" s="4">
        <f t="shared" si="9"/>
        <v>399</v>
      </c>
      <c r="AH61" s="4">
        <f t="shared" si="10"/>
        <v>371</v>
      </c>
      <c r="AI61" s="14">
        <f t="shared" si="11"/>
        <v>28</v>
      </c>
      <c r="AJ61">
        <f t="shared" si="12"/>
        <v>5</v>
      </c>
      <c r="AK61">
        <f t="shared" si="13"/>
        <v>5</v>
      </c>
      <c r="AL61">
        <f t="shared" si="14"/>
        <v>0</v>
      </c>
      <c r="AM61">
        <f t="shared" si="15"/>
        <v>0</v>
      </c>
      <c r="AN61">
        <f t="shared" si="16"/>
        <v>0</v>
      </c>
      <c r="AO61">
        <f t="shared" si="17"/>
        <v>0</v>
      </c>
      <c r="AP61">
        <f t="shared" si="18"/>
        <v>0</v>
      </c>
      <c r="AQ61">
        <f t="shared" si="19"/>
        <v>0</v>
      </c>
      <c r="AR61" t="str">
        <f t="shared" si="20"/>
        <v>Full Strength</v>
      </c>
      <c r="AS61" t="str">
        <f t="shared" si="21"/>
        <v>5v5</v>
      </c>
      <c r="AT61">
        <f t="shared" si="22"/>
        <v>2</v>
      </c>
      <c r="AU61">
        <f t="shared" si="23"/>
        <v>1</v>
      </c>
      <c r="AV61">
        <f t="shared" si="24"/>
        <v>0</v>
      </c>
      <c r="AW61">
        <f t="shared" si="25"/>
        <v>0</v>
      </c>
      <c r="AX61">
        <f t="shared" si="26"/>
        <v>0</v>
      </c>
      <c r="AY61">
        <f t="shared" si="27"/>
        <v>0</v>
      </c>
      <c r="AZ61">
        <f>IFERROR(VLOOKUP(B61,events!AD:BR,37,FALSE),0)</f>
        <v>1152</v>
      </c>
      <c r="BA61">
        <f t="shared" si="32"/>
        <v>1833</v>
      </c>
      <c r="BB61">
        <f t="shared" si="29"/>
        <v>1828</v>
      </c>
      <c r="BC61" s="4">
        <f t="shared" si="30"/>
        <v>1859</v>
      </c>
    </row>
    <row r="62" spans="1:55" x14ac:dyDescent="0.2">
      <c r="A62">
        <f t="shared" si="31"/>
        <v>61</v>
      </c>
      <c r="B62" s="6">
        <f t="shared" si="1"/>
        <v>2</v>
      </c>
      <c r="C62">
        <f t="shared" si="2"/>
        <v>6</v>
      </c>
      <c r="D62" s="4" t="str">
        <f t="shared" si="3"/>
        <v>11</v>
      </c>
      <c r="E62">
        <v>5</v>
      </c>
      <c r="F62" s="4" t="s">
        <v>741</v>
      </c>
      <c r="H62" s="5" t="s">
        <v>298</v>
      </c>
      <c r="I62">
        <v>10</v>
      </c>
      <c r="J62">
        <v>7</v>
      </c>
      <c r="K62">
        <v>44</v>
      </c>
      <c r="L62">
        <v>80</v>
      </c>
      <c r="M62">
        <v>8</v>
      </c>
      <c r="O62" s="5">
        <f t="shared" si="4"/>
        <v>31</v>
      </c>
      <c r="P62" s="6">
        <v>70</v>
      </c>
      <c r="Q62">
        <v>87</v>
      </c>
      <c r="R62">
        <v>75</v>
      </c>
      <c r="S62">
        <v>93</v>
      </c>
      <c r="T62">
        <v>9</v>
      </c>
      <c r="V62">
        <f t="shared" si="5"/>
        <v>39</v>
      </c>
      <c r="W62" s="6">
        <f>SUMIFS(events!AJ:AJ,events!Q:Q,"=DeadIce",events!AK:AK,"&lt;="&amp;shifts!AG62,events!AL:AL,"&gt;"&amp;shifts!AH62,events!E:E,"="&amp;shifts!B63)+SUMIFS(events!AJ:AJ,events!Q:Q,"=Timeout",events!AK:AK,"&lt;="&amp;shifts!AG62,events!AL:AL,"&gt;"&amp;shifts!AH62,events!E:E,"="&amp;shifts!B63)</f>
        <v>0</v>
      </c>
      <c r="X62" s="6">
        <f t="shared" si="6"/>
        <v>1</v>
      </c>
      <c r="Z62" t="str">
        <f t="shared" si="7"/>
        <v/>
      </c>
      <c r="AB62" t="str">
        <f t="shared" si="8"/>
        <v/>
      </c>
      <c r="AC62">
        <v>1</v>
      </c>
      <c r="AD62" s="39">
        <v>19041</v>
      </c>
      <c r="AE62" s="39" t="s">
        <v>944</v>
      </c>
      <c r="AF62" s="39" t="s">
        <v>521</v>
      </c>
      <c r="AG62" s="4">
        <f t="shared" si="9"/>
        <v>371</v>
      </c>
      <c r="AH62" s="4">
        <f t="shared" si="10"/>
        <v>321</v>
      </c>
      <c r="AI62" s="14">
        <f t="shared" si="11"/>
        <v>50</v>
      </c>
      <c r="AJ62">
        <f t="shared" si="12"/>
        <v>5</v>
      </c>
      <c r="AK62">
        <f t="shared" si="13"/>
        <v>5</v>
      </c>
      <c r="AL62">
        <f t="shared" si="14"/>
        <v>0</v>
      </c>
      <c r="AM62">
        <f t="shared" si="15"/>
        <v>0</v>
      </c>
      <c r="AN62">
        <f t="shared" si="16"/>
        <v>0</v>
      </c>
      <c r="AO62">
        <f t="shared" si="17"/>
        <v>0</v>
      </c>
      <c r="AP62">
        <f t="shared" si="18"/>
        <v>0</v>
      </c>
      <c r="AQ62">
        <f t="shared" si="19"/>
        <v>0</v>
      </c>
      <c r="AR62" t="str">
        <f t="shared" si="20"/>
        <v>Full Strength</v>
      </c>
      <c r="AS62" t="str">
        <f t="shared" si="21"/>
        <v>5v5</v>
      </c>
      <c r="AT62">
        <f t="shared" si="22"/>
        <v>2</v>
      </c>
      <c r="AU62">
        <f t="shared" si="23"/>
        <v>1</v>
      </c>
      <c r="AV62">
        <f t="shared" si="24"/>
        <v>0</v>
      </c>
      <c r="AW62">
        <f t="shared" si="25"/>
        <v>0</v>
      </c>
      <c r="AX62">
        <f t="shared" si="26"/>
        <v>0</v>
      </c>
      <c r="AY62">
        <f t="shared" si="27"/>
        <v>0</v>
      </c>
      <c r="AZ62">
        <f>IFERROR(VLOOKUP(B62,events!AD:BR,37,FALSE),0)</f>
        <v>1152</v>
      </c>
      <c r="BA62">
        <f t="shared" si="32"/>
        <v>1861</v>
      </c>
      <c r="BB62">
        <f t="shared" si="29"/>
        <v>1856</v>
      </c>
      <c r="BC62" s="4">
        <f t="shared" si="30"/>
        <v>1909</v>
      </c>
    </row>
    <row r="63" spans="1:55" x14ac:dyDescent="0.2">
      <c r="A63">
        <f t="shared" si="31"/>
        <v>62</v>
      </c>
      <c r="B63" s="6">
        <f t="shared" si="1"/>
        <v>2</v>
      </c>
      <c r="C63">
        <f t="shared" si="2"/>
        <v>5</v>
      </c>
      <c r="D63" s="4" t="str">
        <f t="shared" si="3"/>
        <v>21</v>
      </c>
      <c r="E63">
        <v>4</v>
      </c>
      <c r="F63" s="4" t="s">
        <v>916</v>
      </c>
      <c r="G63" s="6" t="s">
        <v>289</v>
      </c>
      <c r="H63" s="5" t="s">
        <v>341</v>
      </c>
      <c r="I63">
        <v>79</v>
      </c>
      <c r="J63">
        <v>15</v>
      </c>
      <c r="K63">
        <v>16</v>
      </c>
      <c r="L63">
        <v>80</v>
      </c>
      <c r="M63">
        <v>8</v>
      </c>
      <c r="O63" s="5">
        <f t="shared" si="4"/>
        <v>31</v>
      </c>
      <c r="P63" s="6">
        <v>42</v>
      </c>
      <c r="Q63">
        <v>91</v>
      </c>
      <c r="R63">
        <v>24</v>
      </c>
      <c r="S63">
        <v>84</v>
      </c>
      <c r="T63">
        <v>9</v>
      </c>
      <c r="V63">
        <f t="shared" si="5"/>
        <v>39</v>
      </c>
      <c r="W63" s="6">
        <f>SUMIFS(events!AJ:AJ,events!Q:Q,"=DeadIce",events!AK:AK,"&lt;="&amp;shifts!AG63,events!AL:AL,"&gt;"&amp;shifts!AH63,events!E:E,"="&amp;shifts!B64)+SUMIFS(events!AJ:AJ,events!Q:Q,"=Timeout",events!AK:AK,"&lt;="&amp;shifts!AG63,events!AL:AL,"&gt;"&amp;shifts!AH63,events!E:E,"="&amp;shifts!B64)</f>
        <v>0</v>
      </c>
      <c r="X63" s="6" t="str">
        <f t="shared" si="6"/>
        <v/>
      </c>
      <c r="Z63" t="str">
        <f t="shared" si="7"/>
        <v/>
      </c>
      <c r="AA63">
        <v>1</v>
      </c>
      <c r="AB63">
        <f t="shared" si="8"/>
        <v>1</v>
      </c>
      <c r="AD63" s="39">
        <v>19042</v>
      </c>
      <c r="AE63" s="39" t="s">
        <v>944</v>
      </c>
      <c r="AF63" s="39" t="s">
        <v>521</v>
      </c>
      <c r="AG63" s="4">
        <f t="shared" si="9"/>
        <v>321</v>
      </c>
      <c r="AH63" s="4">
        <f t="shared" si="10"/>
        <v>267</v>
      </c>
      <c r="AI63" s="14">
        <f t="shared" si="11"/>
        <v>54</v>
      </c>
      <c r="AJ63">
        <f t="shared" si="12"/>
        <v>5</v>
      </c>
      <c r="AK63">
        <f t="shared" si="13"/>
        <v>5</v>
      </c>
      <c r="AL63">
        <f t="shared" si="14"/>
        <v>0</v>
      </c>
      <c r="AM63">
        <f t="shared" si="15"/>
        <v>0</v>
      </c>
      <c r="AN63">
        <f t="shared" si="16"/>
        <v>0</v>
      </c>
      <c r="AO63">
        <f t="shared" si="17"/>
        <v>0</v>
      </c>
      <c r="AP63">
        <f t="shared" si="18"/>
        <v>0</v>
      </c>
      <c r="AQ63">
        <f t="shared" si="19"/>
        <v>0</v>
      </c>
      <c r="AR63" t="str">
        <f t="shared" si="20"/>
        <v>Full Strength</v>
      </c>
      <c r="AS63" t="str">
        <f t="shared" si="21"/>
        <v>5v5</v>
      </c>
      <c r="AT63">
        <f t="shared" si="22"/>
        <v>2</v>
      </c>
      <c r="AU63">
        <f t="shared" si="23"/>
        <v>1</v>
      </c>
      <c r="AV63">
        <f t="shared" si="24"/>
        <v>0</v>
      </c>
      <c r="AW63">
        <f t="shared" si="25"/>
        <v>0</v>
      </c>
      <c r="AX63">
        <f t="shared" si="26"/>
        <v>0</v>
      </c>
      <c r="AY63">
        <f t="shared" si="27"/>
        <v>0</v>
      </c>
      <c r="AZ63">
        <f>IFERROR(VLOOKUP(B63,events!AD:BR,37,FALSE),0)</f>
        <v>1152</v>
      </c>
      <c r="BA63">
        <f t="shared" si="32"/>
        <v>1911</v>
      </c>
      <c r="BB63">
        <f t="shared" si="29"/>
        <v>1906</v>
      </c>
      <c r="BC63" s="4">
        <f t="shared" si="30"/>
        <v>1963</v>
      </c>
    </row>
    <row r="64" spans="1:55" x14ac:dyDescent="0.2">
      <c r="A64">
        <f t="shared" si="31"/>
        <v>63</v>
      </c>
      <c r="B64" s="6">
        <f t="shared" si="1"/>
        <v>2</v>
      </c>
      <c r="C64">
        <f t="shared" si="2"/>
        <v>4</v>
      </c>
      <c r="D64" s="4" t="str">
        <f t="shared" si="3"/>
        <v>27</v>
      </c>
      <c r="E64">
        <v>3</v>
      </c>
      <c r="F64" s="4" t="s">
        <v>750</v>
      </c>
      <c r="G64" s="6" t="s">
        <v>289</v>
      </c>
      <c r="I64">
        <v>79</v>
      </c>
      <c r="J64">
        <v>15</v>
      </c>
      <c r="K64">
        <v>16</v>
      </c>
      <c r="L64">
        <v>37</v>
      </c>
      <c r="M64">
        <v>23</v>
      </c>
      <c r="O64" s="5">
        <f t="shared" si="4"/>
        <v>31</v>
      </c>
      <c r="P64" s="6">
        <v>42</v>
      </c>
      <c r="Q64">
        <v>91</v>
      </c>
      <c r="R64">
        <v>24</v>
      </c>
      <c r="S64">
        <v>84</v>
      </c>
      <c r="T64">
        <v>52</v>
      </c>
      <c r="V64">
        <f t="shared" si="5"/>
        <v>39</v>
      </c>
      <c r="W64" s="6">
        <f>SUMIFS(events!AJ:AJ,events!Q:Q,"=DeadIce",events!AK:AK,"&lt;="&amp;shifts!AG64,events!AL:AL,"&gt;"&amp;shifts!AH64,events!E:E,"="&amp;shifts!B65)+SUMIFS(events!AJ:AJ,events!Q:Q,"=Timeout",events!AK:AK,"&lt;="&amp;shifts!AG64,events!AL:AL,"&gt;"&amp;shifts!AH64,events!E:E,"="&amp;shifts!B65)</f>
        <v>0</v>
      </c>
      <c r="X64" s="6" t="str">
        <f t="shared" si="6"/>
        <v/>
      </c>
      <c r="Z64">
        <f t="shared" si="7"/>
        <v>1</v>
      </c>
      <c r="AA64">
        <v>1</v>
      </c>
      <c r="AB64" t="str">
        <f t="shared" si="8"/>
        <v/>
      </c>
      <c r="AD64" s="39">
        <v>19043</v>
      </c>
      <c r="AE64" s="39" t="s">
        <v>944</v>
      </c>
      <c r="AF64" s="39" t="s">
        <v>521</v>
      </c>
      <c r="AG64" s="4">
        <f t="shared" si="9"/>
        <v>267</v>
      </c>
      <c r="AH64" s="4">
        <f t="shared" si="10"/>
        <v>215</v>
      </c>
      <c r="AI64" s="14">
        <f t="shared" si="11"/>
        <v>52</v>
      </c>
      <c r="AJ64">
        <f t="shared" si="12"/>
        <v>5</v>
      </c>
      <c r="AK64">
        <f t="shared" si="13"/>
        <v>5</v>
      </c>
      <c r="AL64">
        <f t="shared" si="14"/>
        <v>0</v>
      </c>
      <c r="AM64">
        <f t="shared" si="15"/>
        <v>0</v>
      </c>
      <c r="AN64">
        <f t="shared" si="16"/>
        <v>0</v>
      </c>
      <c r="AO64">
        <f t="shared" si="17"/>
        <v>0</v>
      </c>
      <c r="AP64">
        <f t="shared" si="18"/>
        <v>0</v>
      </c>
      <c r="AQ64">
        <f t="shared" si="19"/>
        <v>0</v>
      </c>
      <c r="AR64" t="str">
        <f t="shared" si="20"/>
        <v>Full Strength</v>
      </c>
      <c r="AS64" t="str">
        <f t="shared" si="21"/>
        <v>5v5</v>
      </c>
      <c r="AT64">
        <f t="shared" si="22"/>
        <v>2</v>
      </c>
      <c r="AU64">
        <f t="shared" si="23"/>
        <v>1</v>
      </c>
      <c r="AV64">
        <f t="shared" si="24"/>
        <v>0</v>
      </c>
      <c r="AW64">
        <f t="shared" si="25"/>
        <v>0</v>
      </c>
      <c r="AX64">
        <f t="shared" si="26"/>
        <v>0</v>
      </c>
      <c r="AY64">
        <f t="shared" si="27"/>
        <v>0</v>
      </c>
      <c r="AZ64">
        <f>IFERROR(VLOOKUP(B64,events!AD:BR,37,FALSE),0)</f>
        <v>1152</v>
      </c>
      <c r="BA64">
        <f t="shared" si="32"/>
        <v>1965</v>
      </c>
      <c r="BB64">
        <f t="shared" si="29"/>
        <v>1960</v>
      </c>
      <c r="BC64" s="4">
        <f t="shared" si="30"/>
        <v>2015</v>
      </c>
    </row>
    <row r="65" spans="1:55" x14ac:dyDescent="0.2">
      <c r="A65">
        <f t="shared" si="31"/>
        <v>64</v>
      </c>
      <c r="B65" s="6">
        <f t="shared" si="1"/>
        <v>2</v>
      </c>
      <c r="C65">
        <f t="shared" si="2"/>
        <v>3</v>
      </c>
      <c r="D65" s="4" t="str">
        <f t="shared" si="3"/>
        <v>35</v>
      </c>
      <c r="E65">
        <v>3</v>
      </c>
      <c r="F65" s="4" t="s">
        <v>905</v>
      </c>
      <c r="H65" s="5" t="s">
        <v>293</v>
      </c>
      <c r="I65">
        <v>10</v>
      </c>
      <c r="J65">
        <v>15</v>
      </c>
      <c r="K65">
        <v>16</v>
      </c>
      <c r="L65">
        <v>37</v>
      </c>
      <c r="M65">
        <v>23</v>
      </c>
      <c r="O65" s="5">
        <f t="shared" si="4"/>
        <v>31</v>
      </c>
      <c r="P65" s="6">
        <v>42</v>
      </c>
      <c r="Q65">
        <v>91</v>
      </c>
      <c r="R65">
        <v>24</v>
      </c>
      <c r="S65">
        <v>84</v>
      </c>
      <c r="T65">
        <v>52</v>
      </c>
      <c r="V65">
        <f t="shared" si="5"/>
        <v>39</v>
      </c>
      <c r="W65" s="6">
        <f>SUMIFS(events!AJ:AJ,events!Q:Q,"=DeadIce",events!AK:AK,"&lt;="&amp;shifts!AG65,events!AL:AL,"&gt;"&amp;shifts!AH65,events!E:E,"="&amp;shifts!B66)+SUMIFS(events!AJ:AJ,events!Q:Q,"=Timeout",events!AK:AK,"&lt;="&amp;shifts!AG65,events!AL:AL,"&gt;"&amp;shifts!AH65,events!E:E,"="&amp;shifts!B66)</f>
        <v>0</v>
      </c>
      <c r="X65" s="6" t="str">
        <f t="shared" si="6"/>
        <v/>
      </c>
      <c r="Z65">
        <f t="shared" si="7"/>
        <v>1</v>
      </c>
      <c r="AA65">
        <v>1</v>
      </c>
      <c r="AB65" t="str">
        <f t="shared" si="8"/>
        <v/>
      </c>
      <c r="AD65" s="39">
        <v>19044</v>
      </c>
      <c r="AE65" s="39" t="s">
        <v>944</v>
      </c>
      <c r="AF65" s="39" t="s">
        <v>521</v>
      </c>
      <c r="AG65" s="4">
        <f t="shared" si="9"/>
        <v>215</v>
      </c>
      <c r="AH65" s="4">
        <f t="shared" si="10"/>
        <v>212</v>
      </c>
      <c r="AI65" s="14">
        <f t="shared" si="11"/>
        <v>3</v>
      </c>
      <c r="AJ65">
        <f t="shared" si="12"/>
        <v>5</v>
      </c>
      <c r="AK65">
        <f t="shared" si="13"/>
        <v>5</v>
      </c>
      <c r="AL65">
        <f t="shared" si="14"/>
        <v>0</v>
      </c>
      <c r="AM65">
        <f t="shared" si="15"/>
        <v>0</v>
      </c>
      <c r="AN65">
        <f t="shared" si="16"/>
        <v>0</v>
      </c>
      <c r="AO65">
        <f t="shared" si="17"/>
        <v>0</v>
      </c>
      <c r="AP65">
        <f t="shared" si="18"/>
        <v>0</v>
      </c>
      <c r="AQ65">
        <f t="shared" si="19"/>
        <v>0</v>
      </c>
      <c r="AR65" t="str">
        <f t="shared" si="20"/>
        <v>Full Strength</v>
      </c>
      <c r="AS65" t="str">
        <f t="shared" si="21"/>
        <v>5v5</v>
      </c>
      <c r="AT65">
        <f t="shared" si="22"/>
        <v>2</v>
      </c>
      <c r="AU65">
        <f t="shared" si="23"/>
        <v>1</v>
      </c>
      <c r="AV65">
        <f t="shared" si="24"/>
        <v>0</v>
      </c>
      <c r="AW65">
        <f t="shared" si="25"/>
        <v>0</v>
      </c>
      <c r="AX65">
        <f t="shared" si="26"/>
        <v>0</v>
      </c>
      <c r="AY65">
        <f t="shared" si="27"/>
        <v>0</v>
      </c>
      <c r="AZ65">
        <f>IFERROR(VLOOKUP(B65,events!AD:BR,37,FALSE),0)</f>
        <v>1152</v>
      </c>
      <c r="BA65">
        <f t="shared" si="32"/>
        <v>2017</v>
      </c>
      <c r="BB65">
        <f t="shared" si="29"/>
        <v>2012</v>
      </c>
      <c r="BC65" s="4">
        <f t="shared" si="30"/>
        <v>2018</v>
      </c>
    </row>
    <row r="66" spans="1:55" x14ac:dyDescent="0.2">
      <c r="A66">
        <f t="shared" si="31"/>
        <v>65</v>
      </c>
      <c r="B66" s="6">
        <f t="shared" si="1"/>
        <v>2</v>
      </c>
      <c r="C66">
        <f t="shared" si="2"/>
        <v>3</v>
      </c>
      <c r="D66" s="4" t="str">
        <f t="shared" si="3"/>
        <v>32</v>
      </c>
      <c r="E66">
        <v>2</v>
      </c>
      <c r="F66" s="4" t="s">
        <v>745</v>
      </c>
      <c r="G66" s="6" t="s">
        <v>289</v>
      </c>
      <c r="I66">
        <v>10</v>
      </c>
      <c r="J66">
        <v>3</v>
      </c>
      <c r="K66">
        <v>44</v>
      </c>
      <c r="L66">
        <v>37</v>
      </c>
      <c r="M66">
        <v>23</v>
      </c>
      <c r="O66" s="5">
        <f t="shared" si="4"/>
        <v>31</v>
      </c>
      <c r="P66" s="6">
        <v>42</v>
      </c>
      <c r="Q66">
        <v>91</v>
      </c>
      <c r="R66">
        <v>24</v>
      </c>
      <c r="S66">
        <v>22</v>
      </c>
      <c r="T66">
        <v>52</v>
      </c>
      <c r="V66">
        <f t="shared" si="5"/>
        <v>39</v>
      </c>
      <c r="W66" s="6">
        <f>SUMIFS(events!AJ:AJ,events!Q:Q,"=DeadIce",events!AK:AK,"&lt;="&amp;shifts!AG66,events!AL:AL,"&gt;"&amp;shifts!AH66,events!E:E,"="&amp;shifts!B67)+SUMIFS(events!AJ:AJ,events!Q:Q,"=Timeout",events!AK:AK,"&lt;="&amp;shifts!AG66,events!AL:AL,"&gt;"&amp;shifts!AH66,events!E:E,"="&amp;shifts!B67)</f>
        <v>0</v>
      </c>
      <c r="X66" s="6" t="str">
        <f t="shared" si="6"/>
        <v/>
      </c>
      <c r="Y66">
        <v>1</v>
      </c>
      <c r="Z66">
        <f t="shared" si="7"/>
        <v>1</v>
      </c>
      <c r="AB66" t="str">
        <f t="shared" si="8"/>
        <v/>
      </c>
      <c r="AD66" s="39">
        <v>19045</v>
      </c>
      <c r="AE66" s="39" t="s">
        <v>944</v>
      </c>
      <c r="AF66" s="39" t="s">
        <v>521</v>
      </c>
      <c r="AG66" s="4">
        <f t="shared" si="9"/>
        <v>212</v>
      </c>
      <c r="AH66" s="4">
        <f t="shared" si="10"/>
        <v>134</v>
      </c>
      <c r="AI66" s="14">
        <f t="shared" si="11"/>
        <v>78</v>
      </c>
      <c r="AJ66">
        <f t="shared" si="12"/>
        <v>5</v>
      </c>
      <c r="AK66">
        <f t="shared" si="13"/>
        <v>5</v>
      </c>
      <c r="AL66">
        <f t="shared" si="14"/>
        <v>0</v>
      </c>
      <c r="AM66">
        <f t="shared" si="15"/>
        <v>0</v>
      </c>
      <c r="AN66">
        <f t="shared" si="16"/>
        <v>0</v>
      </c>
      <c r="AO66">
        <f t="shared" si="17"/>
        <v>0</v>
      </c>
      <c r="AP66">
        <f t="shared" si="18"/>
        <v>0</v>
      </c>
      <c r="AQ66">
        <f t="shared" si="19"/>
        <v>0</v>
      </c>
      <c r="AR66" t="str">
        <f t="shared" si="20"/>
        <v>Full Strength</v>
      </c>
      <c r="AS66" t="str">
        <f t="shared" si="21"/>
        <v>5v5</v>
      </c>
      <c r="AT66">
        <f t="shared" si="22"/>
        <v>2</v>
      </c>
      <c r="AU66">
        <f t="shared" si="23"/>
        <v>1</v>
      </c>
      <c r="AV66">
        <f t="shared" si="24"/>
        <v>0</v>
      </c>
      <c r="AW66">
        <f t="shared" si="25"/>
        <v>0</v>
      </c>
      <c r="AX66">
        <f t="shared" si="26"/>
        <v>0</v>
      </c>
      <c r="AY66">
        <f t="shared" si="27"/>
        <v>0</v>
      </c>
      <c r="AZ66">
        <f>IFERROR(VLOOKUP(B66,events!AD:BR,37,FALSE),0)</f>
        <v>1152</v>
      </c>
      <c r="BA66">
        <f t="shared" si="32"/>
        <v>2020</v>
      </c>
      <c r="BB66">
        <f t="shared" si="29"/>
        <v>2015</v>
      </c>
      <c r="BC66" s="4">
        <f t="shared" si="30"/>
        <v>2096</v>
      </c>
    </row>
    <row r="67" spans="1:55" x14ac:dyDescent="0.2">
      <c r="A67">
        <f t="shared" si="31"/>
        <v>66</v>
      </c>
      <c r="B67" s="6">
        <f t="shared" ref="B67:B130" si="33">IF(G67="PeriodStart",B66+1,B66)</f>
        <v>2</v>
      </c>
      <c r="C67">
        <f t="shared" ref="C67:C130" si="34">IF(G67&lt;&gt;"PeriodStart",E66,18)</f>
        <v>2</v>
      </c>
      <c r="D67" s="4" t="str">
        <f t="shared" ref="D67:D130" si="35">F66</f>
        <v>14</v>
      </c>
      <c r="E67">
        <v>2</v>
      </c>
      <c r="F67" s="4" t="s">
        <v>747</v>
      </c>
      <c r="I67">
        <v>10</v>
      </c>
      <c r="J67">
        <v>3</v>
      </c>
      <c r="K67">
        <v>44</v>
      </c>
      <c r="L67">
        <v>37</v>
      </c>
      <c r="M67">
        <v>23</v>
      </c>
      <c r="N67">
        <v>41.4</v>
      </c>
      <c r="O67" s="5">
        <f t="shared" si="4"/>
        <v>31</v>
      </c>
      <c r="P67" s="6">
        <v>49</v>
      </c>
      <c r="Q67">
        <v>91</v>
      </c>
      <c r="R67">
        <v>24</v>
      </c>
      <c r="S67">
        <v>22</v>
      </c>
      <c r="T67">
        <v>52</v>
      </c>
      <c r="V67">
        <f t="shared" si="5"/>
        <v>39</v>
      </c>
      <c r="W67" s="6">
        <f>SUMIFS(events!AJ:AJ,events!Q:Q,"=DeadIce",events!AK:AK,"&lt;="&amp;shifts!AG67,events!AL:AL,"&gt;"&amp;shifts!AH67,events!E:E,"="&amp;shifts!B68)+SUMIFS(events!AJ:AJ,events!Q:Q,"=Timeout",events!AK:AK,"&lt;="&amp;shifts!AG67,events!AL:AL,"&gt;"&amp;shifts!AH67,events!E:E,"="&amp;shifts!B68)</f>
        <v>0</v>
      </c>
      <c r="X67" s="6">
        <f t="shared" si="6"/>
        <v>1</v>
      </c>
      <c r="Y67">
        <v>1</v>
      </c>
      <c r="Z67" t="str">
        <f t="shared" si="7"/>
        <v/>
      </c>
      <c r="AB67" t="str">
        <f t="shared" si="8"/>
        <v/>
      </c>
      <c r="AD67" s="39">
        <v>19046</v>
      </c>
      <c r="AE67" s="39" t="s">
        <v>944</v>
      </c>
      <c r="AF67" s="39" t="s">
        <v>521</v>
      </c>
      <c r="AG67" s="4">
        <f t="shared" si="9"/>
        <v>134</v>
      </c>
      <c r="AH67" s="4">
        <f t="shared" si="10"/>
        <v>127</v>
      </c>
      <c r="AI67" s="14">
        <f t="shared" si="11"/>
        <v>7</v>
      </c>
      <c r="AJ67">
        <f t="shared" si="12"/>
        <v>6</v>
      </c>
      <c r="AK67">
        <f t="shared" si="13"/>
        <v>5</v>
      </c>
      <c r="AL67">
        <f t="shared" si="14"/>
        <v>0</v>
      </c>
      <c r="AM67">
        <f t="shared" si="15"/>
        <v>0</v>
      </c>
      <c r="AN67">
        <f t="shared" si="16"/>
        <v>0</v>
      </c>
      <c r="AO67">
        <f t="shared" si="17"/>
        <v>1</v>
      </c>
      <c r="AP67">
        <f t="shared" si="18"/>
        <v>0</v>
      </c>
      <c r="AQ67">
        <f t="shared" si="19"/>
        <v>1</v>
      </c>
      <c r="AR67" t="str">
        <f t="shared" si="20"/>
        <v>Home PowerPlay</v>
      </c>
      <c r="AS67" t="str">
        <f t="shared" si="21"/>
        <v>6v5</v>
      </c>
      <c r="AT67">
        <f t="shared" si="22"/>
        <v>2</v>
      </c>
      <c r="AU67">
        <f t="shared" si="23"/>
        <v>1</v>
      </c>
      <c r="AV67">
        <f t="shared" si="24"/>
        <v>0</v>
      </c>
      <c r="AW67">
        <f t="shared" si="25"/>
        <v>0</v>
      </c>
      <c r="AX67">
        <f t="shared" si="26"/>
        <v>0</v>
      </c>
      <c r="AY67">
        <f t="shared" si="27"/>
        <v>0</v>
      </c>
      <c r="AZ67">
        <f>IFERROR(VLOOKUP(B67,events!AD:BR,37,FALSE),0)</f>
        <v>1152</v>
      </c>
      <c r="BA67">
        <f t="shared" si="32"/>
        <v>2098</v>
      </c>
      <c r="BB67">
        <f t="shared" si="29"/>
        <v>2093</v>
      </c>
      <c r="BC67" s="4">
        <f t="shared" si="30"/>
        <v>2103</v>
      </c>
    </row>
    <row r="68" spans="1:55" x14ac:dyDescent="0.2">
      <c r="A68">
        <f t="shared" si="31"/>
        <v>67</v>
      </c>
      <c r="B68" s="6">
        <f t="shared" si="33"/>
        <v>2</v>
      </c>
      <c r="C68">
        <f t="shared" si="34"/>
        <v>2</v>
      </c>
      <c r="D68" s="4" t="str">
        <f t="shared" si="35"/>
        <v>07</v>
      </c>
      <c r="E68">
        <v>2</v>
      </c>
      <c r="F68" s="4" t="s">
        <v>913</v>
      </c>
      <c r="I68">
        <v>10</v>
      </c>
      <c r="J68">
        <v>3</v>
      </c>
      <c r="K68">
        <v>44</v>
      </c>
      <c r="L68">
        <v>37</v>
      </c>
      <c r="M68">
        <v>23</v>
      </c>
      <c r="O68" s="5">
        <f t="shared" ref="O68:O131" si="36">O67</f>
        <v>31</v>
      </c>
      <c r="P68" s="6">
        <v>49</v>
      </c>
      <c r="Q68">
        <v>14</v>
      </c>
      <c r="R68">
        <v>24</v>
      </c>
      <c r="S68">
        <v>22</v>
      </c>
      <c r="T68">
        <v>52</v>
      </c>
      <c r="V68">
        <f t="shared" ref="V68:V131" si="37">V67</f>
        <v>39</v>
      </c>
      <c r="W68" s="6">
        <f>SUMIFS(events!AJ:AJ,events!Q:Q,"=DeadIce",events!AK:AK,"&lt;="&amp;shifts!AG68,events!AL:AL,"&gt;"&amp;shifts!AH68,events!E:E,"="&amp;shifts!B69)+SUMIFS(events!AJ:AJ,events!Q:Q,"=Timeout",events!AK:AK,"&lt;="&amp;shifts!AG68,events!AL:AL,"&gt;"&amp;shifts!AH68,events!E:E,"="&amp;shifts!B69)</f>
        <v>0</v>
      </c>
      <c r="X68" s="6">
        <f t="shared" ref="X68:X131" si="38">IF(OR($H67="Home Goal",$H67="Away Goal",$H67="Period End"),"",IF(Y67=1,1,""))</f>
        <v>1</v>
      </c>
      <c r="Y68">
        <v>1</v>
      </c>
      <c r="Z68" t="str">
        <f t="shared" ref="Z68:Z131" si="39">IF(OR($H67="Home Goal",$H67="Away Goal",$H67="Period End"),"",IF(AA67=1,1,""))</f>
        <v/>
      </c>
      <c r="AB68" t="str">
        <f t="shared" ref="AB68:AB131" si="40">IF(OR($H67="Home Goal",$H67="Away Goal",$H67="Period End"),1,IF(AC67=1,1,""))</f>
        <v/>
      </c>
      <c r="AD68" s="39">
        <v>19047</v>
      </c>
      <c r="AE68" s="39" t="s">
        <v>944</v>
      </c>
      <c r="AF68" s="39" t="s">
        <v>521</v>
      </c>
      <c r="AG68" s="4">
        <f t="shared" ref="AG68:AG131" si="41">((C68*60)+D68)</f>
        <v>127</v>
      </c>
      <c r="AH68" s="4">
        <f t="shared" ref="AH68:AH131" si="42">((E68*60)+F68)</f>
        <v>122</v>
      </c>
      <c r="AI68" s="14">
        <f t="shared" ref="AI68:AI131" si="43">ROUND(AG68-AH68,0)</f>
        <v>5</v>
      </c>
      <c r="AJ68">
        <f t="shared" ref="AJ68:AJ131" si="44">COUNTIF(I68:N68,"&gt;0")</f>
        <v>5</v>
      </c>
      <c r="AK68">
        <f t="shared" ref="AK68:AK131" si="45">COUNTIF(P68:U68,"&gt;0")</f>
        <v>5</v>
      </c>
      <c r="AL68">
        <f t="shared" ref="AL68:AL131" si="46">IF(O68="",1,0)</f>
        <v>0</v>
      </c>
      <c r="AM68">
        <f t="shared" ref="AM68:AM131" si="47">IF(V68="",1,0)</f>
        <v>0</v>
      </c>
      <c r="AN68">
        <f t="shared" ref="AN68:AN131" si="48">IF(AND($AL68&lt;&gt;1,$AJ68&lt;$AK68,AM68&lt;&gt;1),1,)</f>
        <v>0</v>
      </c>
      <c r="AO68">
        <f t="shared" ref="AO68:AO131" si="49">IF(AND($AL68&lt;&gt;1,$AJ68&gt;$AK68),1,)</f>
        <v>0</v>
      </c>
      <c r="AP68">
        <f t="shared" ref="AP68:AP131" si="50">IF(AN68=1,1,0)</f>
        <v>0</v>
      </c>
      <c r="AQ68">
        <f t="shared" ref="AQ68:AQ131" si="51">IF(AO68=1,1,0)</f>
        <v>0</v>
      </c>
      <c r="AR68" t="str">
        <f t="shared" ref="AR68:AR131" si="52">IF(AND(AJ68=5,AK68=5,AL68=0,AM68=0),"Full Strength",IF(AP68=1,"Away PowerPlay",IF(AO68=1,"Home PowerPlay",IF(AL68=1,"Home EmptyNet",IF(AM68=1,"Away EmptyNet","")))))</f>
        <v>Full Strength</v>
      </c>
      <c r="AS68" t="str">
        <f t="shared" ref="AS68:AS131" si="53">IF(AND(AL68=0,AM68=0),AJ68&amp;"v"&amp;AK68,IF(AL68=1,AJ68&amp;"v"&amp;AK68&amp;" Home EN",IF(AM68=1,AJ68&amp;"v"&amp;AK68&amp;" Away EN","")))</f>
        <v>5v5</v>
      </c>
      <c r="AT68">
        <f t="shared" ref="AT68:AT131" si="54">IF($H67="Home Goal",AT67+1,AT67)</f>
        <v>2</v>
      </c>
      <c r="AU68">
        <f t="shared" ref="AU68:AU131" si="55">IF($H67="Away Goal",AU67+1,AU67)</f>
        <v>1</v>
      </c>
      <c r="AV68">
        <f t="shared" ref="AV68:AV131" si="56">IF(AND($H68="Home Goal", AO68=0),1,0)</f>
        <v>0</v>
      </c>
      <c r="AW68">
        <f t="shared" ref="AW68:AW131" si="57">IF(AX68=1,-1,0)</f>
        <v>0</v>
      </c>
      <c r="AX68">
        <f t="shared" ref="AX68:AX131" si="58">IF(AND($H68="Away Goal", AP68=0),1,0)</f>
        <v>0</v>
      </c>
      <c r="AY68">
        <f t="shared" ref="AY68:AY131" si="59">IF(AV68=1,-1,0)</f>
        <v>0</v>
      </c>
      <c r="AZ68">
        <f>IFERROR(VLOOKUP(B68,events!AD:BR,37,FALSE),0)</f>
        <v>1152</v>
      </c>
      <c r="BA68">
        <f t="shared" si="32"/>
        <v>2105</v>
      </c>
      <c r="BB68">
        <f t="shared" ref="BB68:BB106" si="60">IF(BA68&lt;5,0,BA68-5)</f>
        <v>2100</v>
      </c>
      <c r="BC68" s="4">
        <f t="shared" ref="BC68:BC131" si="61">BB68+AI68+3</f>
        <v>2108</v>
      </c>
    </row>
    <row r="69" spans="1:55" x14ac:dyDescent="0.2">
      <c r="A69">
        <f t="shared" ref="A69:A107" si="62">A68+1</f>
        <v>68</v>
      </c>
      <c r="B69" s="6">
        <f t="shared" si="33"/>
        <v>2</v>
      </c>
      <c r="C69">
        <f t="shared" si="34"/>
        <v>2</v>
      </c>
      <c r="D69" s="4" t="str">
        <f t="shared" si="35"/>
        <v>02</v>
      </c>
      <c r="E69">
        <v>1</v>
      </c>
      <c r="F69" s="4" t="s">
        <v>753</v>
      </c>
      <c r="I69">
        <v>10</v>
      </c>
      <c r="J69">
        <v>3</v>
      </c>
      <c r="K69">
        <v>44</v>
      </c>
      <c r="L69">
        <v>37</v>
      </c>
      <c r="M69">
        <v>23</v>
      </c>
      <c r="O69" s="5">
        <f t="shared" si="36"/>
        <v>31</v>
      </c>
      <c r="P69" s="6">
        <v>49</v>
      </c>
      <c r="Q69">
        <v>14</v>
      </c>
      <c r="R69">
        <v>24</v>
      </c>
      <c r="S69">
        <v>93</v>
      </c>
      <c r="T69">
        <v>52</v>
      </c>
      <c r="V69">
        <f t="shared" si="37"/>
        <v>39</v>
      </c>
      <c r="W69" s="6">
        <f>SUMIFS(events!AJ:AJ,events!Q:Q,"=DeadIce",events!AK:AK,"&lt;="&amp;shifts!AG69,events!AL:AL,"&gt;"&amp;shifts!AH69,events!E:E,"="&amp;shifts!B70)+SUMIFS(events!AJ:AJ,events!Q:Q,"=Timeout",events!AK:AK,"&lt;="&amp;shifts!AG69,events!AL:AL,"&gt;"&amp;shifts!AH69,events!E:E,"="&amp;shifts!B70)</f>
        <v>0</v>
      </c>
      <c r="X69" s="6">
        <f t="shared" si="38"/>
        <v>1</v>
      </c>
      <c r="Z69" t="str">
        <f t="shared" si="39"/>
        <v/>
      </c>
      <c r="AB69" t="str">
        <f t="shared" si="40"/>
        <v/>
      </c>
      <c r="AC69">
        <v>1</v>
      </c>
      <c r="AD69" s="39">
        <v>19048</v>
      </c>
      <c r="AE69" s="39" t="s">
        <v>944</v>
      </c>
      <c r="AF69" s="39" t="s">
        <v>521</v>
      </c>
      <c r="AG69" s="4">
        <f t="shared" si="41"/>
        <v>122</v>
      </c>
      <c r="AH69" s="4">
        <f t="shared" si="42"/>
        <v>115</v>
      </c>
      <c r="AI69" s="14">
        <f t="shared" si="43"/>
        <v>7</v>
      </c>
      <c r="AJ69">
        <f t="shared" si="44"/>
        <v>5</v>
      </c>
      <c r="AK69">
        <f t="shared" si="45"/>
        <v>5</v>
      </c>
      <c r="AL69">
        <f t="shared" si="46"/>
        <v>0</v>
      </c>
      <c r="AM69">
        <f t="shared" si="47"/>
        <v>0</v>
      </c>
      <c r="AN69">
        <f t="shared" si="48"/>
        <v>0</v>
      </c>
      <c r="AO69">
        <f t="shared" si="49"/>
        <v>0</v>
      </c>
      <c r="AP69">
        <f t="shared" si="50"/>
        <v>0</v>
      </c>
      <c r="AQ69">
        <f t="shared" si="51"/>
        <v>0</v>
      </c>
      <c r="AR69" t="str">
        <f t="shared" si="52"/>
        <v>Full Strength</v>
      </c>
      <c r="AS69" t="str">
        <f t="shared" si="53"/>
        <v>5v5</v>
      </c>
      <c r="AT69">
        <f t="shared" si="54"/>
        <v>2</v>
      </c>
      <c r="AU69">
        <f t="shared" si="55"/>
        <v>1</v>
      </c>
      <c r="AV69">
        <f t="shared" si="56"/>
        <v>0</v>
      </c>
      <c r="AW69">
        <f t="shared" si="57"/>
        <v>0</v>
      </c>
      <c r="AX69">
        <f t="shared" si="58"/>
        <v>0</v>
      </c>
      <c r="AY69">
        <f t="shared" si="59"/>
        <v>0</v>
      </c>
      <c r="AZ69">
        <f>IFERROR(VLOOKUP(B69,events!AD:BR,37,FALSE),0)</f>
        <v>1152</v>
      </c>
      <c r="BA69">
        <f t="shared" si="32"/>
        <v>2110</v>
      </c>
      <c r="BB69">
        <f t="shared" si="60"/>
        <v>2105</v>
      </c>
      <c r="BC69" s="4">
        <f t="shared" si="61"/>
        <v>2115</v>
      </c>
    </row>
    <row r="70" spans="1:55" x14ac:dyDescent="0.2">
      <c r="A70">
        <f t="shared" si="62"/>
        <v>69</v>
      </c>
      <c r="B70" s="6">
        <f t="shared" si="33"/>
        <v>2</v>
      </c>
      <c r="C70">
        <f t="shared" si="34"/>
        <v>1</v>
      </c>
      <c r="D70" s="4" t="str">
        <f t="shared" si="35"/>
        <v>55</v>
      </c>
      <c r="E70">
        <v>1</v>
      </c>
      <c r="F70" s="4" t="s">
        <v>865</v>
      </c>
      <c r="I70">
        <v>10</v>
      </c>
      <c r="J70">
        <v>3</v>
      </c>
      <c r="K70">
        <v>44</v>
      </c>
      <c r="L70">
        <v>37</v>
      </c>
      <c r="M70">
        <v>23</v>
      </c>
      <c r="O70" s="5">
        <f t="shared" si="36"/>
        <v>31</v>
      </c>
      <c r="P70" s="6">
        <v>49</v>
      </c>
      <c r="Q70">
        <v>14</v>
      </c>
      <c r="R70">
        <v>61</v>
      </c>
      <c r="S70">
        <v>93</v>
      </c>
      <c r="T70">
        <v>52</v>
      </c>
      <c r="V70">
        <f t="shared" si="37"/>
        <v>39</v>
      </c>
      <c r="W70" s="6">
        <f>SUMIFS(events!AJ:AJ,events!Q:Q,"=DeadIce",events!AK:AK,"&lt;="&amp;shifts!AG70,events!AL:AL,"&gt;"&amp;shifts!AH70,events!E:E,"="&amp;shifts!B71)+SUMIFS(events!AJ:AJ,events!Q:Q,"=Timeout",events!AK:AK,"&lt;="&amp;shifts!AG70,events!AL:AL,"&gt;"&amp;shifts!AH70,events!E:E,"="&amp;shifts!B71)</f>
        <v>0</v>
      </c>
      <c r="X70" s="6" t="str">
        <f t="shared" si="38"/>
        <v/>
      </c>
      <c r="Y70">
        <v>1</v>
      </c>
      <c r="Z70" t="str">
        <f t="shared" si="39"/>
        <v/>
      </c>
      <c r="AB70">
        <f t="shared" si="40"/>
        <v>1</v>
      </c>
      <c r="AD70" s="39">
        <v>19049</v>
      </c>
      <c r="AE70" s="39" t="s">
        <v>944</v>
      </c>
      <c r="AF70" s="39" t="s">
        <v>521</v>
      </c>
      <c r="AG70" s="4">
        <f t="shared" si="41"/>
        <v>115</v>
      </c>
      <c r="AH70" s="4">
        <f t="shared" si="42"/>
        <v>98</v>
      </c>
      <c r="AI70" s="14">
        <f t="shared" si="43"/>
        <v>17</v>
      </c>
      <c r="AJ70">
        <f t="shared" si="44"/>
        <v>5</v>
      </c>
      <c r="AK70">
        <f t="shared" si="45"/>
        <v>5</v>
      </c>
      <c r="AL70">
        <f t="shared" si="46"/>
        <v>0</v>
      </c>
      <c r="AM70">
        <f t="shared" si="47"/>
        <v>0</v>
      </c>
      <c r="AN70">
        <f t="shared" si="48"/>
        <v>0</v>
      </c>
      <c r="AO70">
        <f t="shared" si="49"/>
        <v>0</v>
      </c>
      <c r="AP70">
        <f t="shared" si="50"/>
        <v>0</v>
      </c>
      <c r="AQ70">
        <f t="shared" si="51"/>
        <v>0</v>
      </c>
      <c r="AR70" t="str">
        <f t="shared" si="52"/>
        <v>Full Strength</v>
      </c>
      <c r="AS70" t="str">
        <f t="shared" si="53"/>
        <v>5v5</v>
      </c>
      <c r="AT70">
        <f t="shared" si="54"/>
        <v>2</v>
      </c>
      <c r="AU70">
        <f t="shared" si="55"/>
        <v>1</v>
      </c>
      <c r="AV70">
        <f t="shared" si="56"/>
        <v>0</v>
      </c>
      <c r="AW70">
        <f t="shared" si="57"/>
        <v>0</v>
      </c>
      <c r="AX70">
        <f t="shared" si="58"/>
        <v>0</v>
      </c>
      <c r="AY70">
        <f t="shared" si="59"/>
        <v>0</v>
      </c>
      <c r="AZ70">
        <f>IFERROR(VLOOKUP(B70,events!AD:BR,37,FALSE),0)</f>
        <v>1152</v>
      </c>
      <c r="BA70">
        <f t="shared" si="32"/>
        <v>2117</v>
      </c>
      <c r="BB70">
        <f t="shared" si="60"/>
        <v>2112</v>
      </c>
      <c r="BC70" s="4">
        <f t="shared" si="61"/>
        <v>2132</v>
      </c>
    </row>
    <row r="71" spans="1:55" x14ac:dyDescent="0.2">
      <c r="A71">
        <f t="shared" si="62"/>
        <v>70</v>
      </c>
      <c r="B71" s="6">
        <f t="shared" si="33"/>
        <v>2</v>
      </c>
      <c r="C71">
        <f t="shared" si="34"/>
        <v>1</v>
      </c>
      <c r="D71" s="4" t="str">
        <f t="shared" si="35"/>
        <v>38</v>
      </c>
      <c r="E71">
        <v>0</v>
      </c>
      <c r="F71" s="4" t="s">
        <v>896</v>
      </c>
      <c r="I71">
        <v>10</v>
      </c>
      <c r="J71">
        <v>7</v>
      </c>
      <c r="K71">
        <v>44</v>
      </c>
      <c r="L71">
        <v>37</v>
      </c>
      <c r="M71">
        <v>23</v>
      </c>
      <c r="O71" s="5">
        <f t="shared" si="36"/>
        <v>31</v>
      </c>
      <c r="P71" s="6">
        <v>49</v>
      </c>
      <c r="Q71">
        <v>14</v>
      </c>
      <c r="R71">
        <v>61</v>
      </c>
      <c r="S71">
        <v>93</v>
      </c>
      <c r="T71">
        <v>52</v>
      </c>
      <c r="V71">
        <f t="shared" si="37"/>
        <v>39</v>
      </c>
      <c r="W71" s="6">
        <f>SUMIFS(events!AJ:AJ,events!Q:Q,"=DeadIce",events!AK:AK,"&lt;="&amp;shifts!AG71,events!AL:AL,"&gt;"&amp;shifts!AH71,events!E:E,"="&amp;shifts!B72)+SUMIFS(events!AJ:AJ,events!Q:Q,"=Timeout",events!AK:AK,"&lt;="&amp;shifts!AG71,events!AL:AL,"&gt;"&amp;shifts!AH71,events!E:E,"="&amp;shifts!B72)</f>
        <v>0</v>
      </c>
      <c r="X71" s="6">
        <f t="shared" si="38"/>
        <v>1</v>
      </c>
      <c r="Z71" t="str">
        <f t="shared" si="39"/>
        <v/>
      </c>
      <c r="AA71">
        <v>1</v>
      </c>
      <c r="AB71" t="str">
        <f t="shared" si="40"/>
        <v/>
      </c>
      <c r="AD71" s="39">
        <v>19050</v>
      </c>
      <c r="AE71" s="39" t="s">
        <v>944</v>
      </c>
      <c r="AF71" s="39" t="s">
        <v>521</v>
      </c>
      <c r="AG71" s="4">
        <f t="shared" si="41"/>
        <v>98</v>
      </c>
      <c r="AH71" s="4">
        <f t="shared" si="42"/>
        <v>59</v>
      </c>
      <c r="AI71" s="14">
        <f t="shared" si="43"/>
        <v>39</v>
      </c>
      <c r="AJ71">
        <f t="shared" si="44"/>
        <v>5</v>
      </c>
      <c r="AK71">
        <f t="shared" si="45"/>
        <v>5</v>
      </c>
      <c r="AL71">
        <f t="shared" si="46"/>
        <v>0</v>
      </c>
      <c r="AM71">
        <f t="shared" si="47"/>
        <v>0</v>
      </c>
      <c r="AN71">
        <f t="shared" si="48"/>
        <v>0</v>
      </c>
      <c r="AO71">
        <f t="shared" si="49"/>
        <v>0</v>
      </c>
      <c r="AP71">
        <f t="shared" si="50"/>
        <v>0</v>
      </c>
      <c r="AQ71">
        <f t="shared" si="51"/>
        <v>0</v>
      </c>
      <c r="AR71" t="str">
        <f t="shared" si="52"/>
        <v>Full Strength</v>
      </c>
      <c r="AS71" t="str">
        <f t="shared" si="53"/>
        <v>5v5</v>
      </c>
      <c r="AT71">
        <f t="shared" si="54"/>
        <v>2</v>
      </c>
      <c r="AU71">
        <f t="shared" si="55"/>
        <v>1</v>
      </c>
      <c r="AV71">
        <f t="shared" si="56"/>
        <v>0</v>
      </c>
      <c r="AW71">
        <f t="shared" si="57"/>
        <v>0</v>
      </c>
      <c r="AX71">
        <f t="shared" si="58"/>
        <v>0</v>
      </c>
      <c r="AY71">
        <f t="shared" si="59"/>
        <v>0</v>
      </c>
      <c r="AZ71">
        <f>IFERROR(VLOOKUP(B71,events!AD:BR,37,FALSE),0)</f>
        <v>1152</v>
      </c>
      <c r="BA71">
        <f t="shared" si="32"/>
        <v>2134</v>
      </c>
      <c r="BB71">
        <f t="shared" si="60"/>
        <v>2129</v>
      </c>
      <c r="BC71" s="4">
        <f t="shared" si="61"/>
        <v>2171</v>
      </c>
    </row>
    <row r="72" spans="1:55" x14ac:dyDescent="0.2">
      <c r="A72">
        <f t="shared" si="62"/>
        <v>71</v>
      </c>
      <c r="B72" s="6">
        <f t="shared" si="33"/>
        <v>2</v>
      </c>
      <c r="C72">
        <f t="shared" si="34"/>
        <v>0</v>
      </c>
      <c r="D72" s="4" t="str">
        <f t="shared" si="35"/>
        <v>59</v>
      </c>
      <c r="E72">
        <v>0</v>
      </c>
      <c r="F72" s="4" t="s">
        <v>923</v>
      </c>
      <c r="I72">
        <v>10</v>
      </c>
      <c r="J72">
        <v>7</v>
      </c>
      <c r="K72">
        <v>16</v>
      </c>
      <c r="L72">
        <v>37</v>
      </c>
      <c r="M72">
        <v>23</v>
      </c>
      <c r="O72" s="5">
        <f t="shared" si="36"/>
        <v>31</v>
      </c>
      <c r="P72" s="6">
        <v>49</v>
      </c>
      <c r="Q72">
        <v>14</v>
      </c>
      <c r="R72">
        <v>61</v>
      </c>
      <c r="S72">
        <v>93</v>
      </c>
      <c r="T72">
        <v>52</v>
      </c>
      <c r="V72">
        <f t="shared" si="37"/>
        <v>39</v>
      </c>
      <c r="W72" s="6">
        <f>SUMIFS(events!AJ:AJ,events!Q:Q,"=DeadIce",events!AK:AK,"&lt;="&amp;shifts!AG72,events!AL:AL,"&gt;"&amp;shifts!AH72,events!E:E,"="&amp;shifts!B73)+SUMIFS(events!AJ:AJ,events!Q:Q,"=Timeout",events!AK:AK,"&lt;="&amp;shifts!AG72,events!AL:AL,"&gt;"&amp;shifts!AH72,events!E:E,"="&amp;shifts!B73)</f>
        <v>0</v>
      </c>
      <c r="X72" s="6" t="str">
        <f t="shared" si="38"/>
        <v/>
      </c>
      <c r="Y72">
        <v>1</v>
      </c>
      <c r="Z72">
        <f t="shared" si="39"/>
        <v>1</v>
      </c>
      <c r="AB72" t="str">
        <f t="shared" si="40"/>
        <v/>
      </c>
      <c r="AD72" s="39">
        <v>19051</v>
      </c>
      <c r="AE72" s="39" t="s">
        <v>944</v>
      </c>
      <c r="AF72" s="39" t="s">
        <v>521</v>
      </c>
      <c r="AG72" s="4">
        <f t="shared" si="41"/>
        <v>59</v>
      </c>
      <c r="AH72" s="4">
        <f t="shared" si="42"/>
        <v>44</v>
      </c>
      <c r="AI72" s="14">
        <f t="shared" si="43"/>
        <v>15</v>
      </c>
      <c r="AJ72">
        <f t="shared" si="44"/>
        <v>5</v>
      </c>
      <c r="AK72">
        <f t="shared" si="45"/>
        <v>5</v>
      </c>
      <c r="AL72">
        <f t="shared" si="46"/>
        <v>0</v>
      </c>
      <c r="AM72">
        <f t="shared" si="47"/>
        <v>0</v>
      </c>
      <c r="AN72">
        <f t="shared" si="48"/>
        <v>0</v>
      </c>
      <c r="AO72">
        <f t="shared" si="49"/>
        <v>0</v>
      </c>
      <c r="AP72">
        <f t="shared" si="50"/>
        <v>0</v>
      </c>
      <c r="AQ72">
        <f t="shared" si="51"/>
        <v>0</v>
      </c>
      <c r="AR72" t="str">
        <f t="shared" si="52"/>
        <v>Full Strength</v>
      </c>
      <c r="AS72" t="str">
        <f t="shared" si="53"/>
        <v>5v5</v>
      </c>
      <c r="AT72">
        <f t="shared" si="54"/>
        <v>2</v>
      </c>
      <c r="AU72">
        <f t="shared" si="55"/>
        <v>1</v>
      </c>
      <c r="AV72">
        <f t="shared" si="56"/>
        <v>0</v>
      </c>
      <c r="AW72">
        <f t="shared" si="57"/>
        <v>0</v>
      </c>
      <c r="AX72">
        <f t="shared" si="58"/>
        <v>0</v>
      </c>
      <c r="AY72">
        <f t="shared" si="59"/>
        <v>0</v>
      </c>
      <c r="AZ72">
        <f>IFERROR(VLOOKUP(B72,events!AD:BR,37,FALSE),0)</f>
        <v>1152</v>
      </c>
      <c r="BA72">
        <f t="shared" si="32"/>
        <v>2173</v>
      </c>
      <c r="BB72">
        <f t="shared" si="60"/>
        <v>2168</v>
      </c>
      <c r="BC72" s="4">
        <f t="shared" si="61"/>
        <v>2186</v>
      </c>
    </row>
    <row r="73" spans="1:55" x14ac:dyDescent="0.2">
      <c r="A73">
        <f t="shared" si="62"/>
        <v>72</v>
      </c>
      <c r="B73" s="6">
        <f t="shared" si="33"/>
        <v>2</v>
      </c>
      <c r="C73">
        <f t="shared" si="34"/>
        <v>0</v>
      </c>
      <c r="D73" s="4" t="str">
        <f t="shared" si="35"/>
        <v>44</v>
      </c>
      <c r="E73">
        <v>0</v>
      </c>
      <c r="F73" s="4" t="s">
        <v>918</v>
      </c>
      <c r="I73">
        <v>79</v>
      </c>
      <c r="J73">
        <v>7</v>
      </c>
      <c r="K73">
        <v>16</v>
      </c>
      <c r="L73">
        <v>80</v>
      </c>
      <c r="M73">
        <v>8</v>
      </c>
      <c r="O73" s="5">
        <f t="shared" si="36"/>
        <v>31</v>
      </c>
      <c r="P73" s="6">
        <v>49</v>
      </c>
      <c r="Q73">
        <v>14</v>
      </c>
      <c r="R73">
        <v>61</v>
      </c>
      <c r="S73">
        <v>93</v>
      </c>
      <c r="T73">
        <v>52</v>
      </c>
      <c r="V73">
        <f t="shared" si="37"/>
        <v>39</v>
      </c>
      <c r="W73" s="6">
        <f>SUMIFS(events!AJ:AJ,events!Q:Q,"=DeadIce",events!AK:AK,"&lt;="&amp;shifts!AG73,events!AL:AL,"&gt;"&amp;shifts!AH73,events!E:E,"="&amp;shifts!B74)+SUMIFS(events!AJ:AJ,events!Q:Q,"=Timeout",events!AK:AK,"&lt;="&amp;shifts!AG73,events!AL:AL,"&gt;"&amp;shifts!AH73,events!E:E,"="&amp;shifts!B74)</f>
        <v>0</v>
      </c>
      <c r="X73" s="6">
        <f t="shared" si="38"/>
        <v>1</v>
      </c>
      <c r="Y73">
        <v>1</v>
      </c>
      <c r="Z73" t="str">
        <f t="shared" si="39"/>
        <v/>
      </c>
      <c r="AB73" t="str">
        <f t="shared" si="40"/>
        <v/>
      </c>
      <c r="AD73" s="39">
        <v>19052</v>
      </c>
      <c r="AE73" s="39" t="s">
        <v>944</v>
      </c>
      <c r="AF73" s="39" t="s">
        <v>521</v>
      </c>
      <c r="AG73" s="4">
        <f t="shared" si="41"/>
        <v>44</v>
      </c>
      <c r="AH73" s="4">
        <f t="shared" si="42"/>
        <v>22</v>
      </c>
      <c r="AI73" s="14">
        <f t="shared" si="43"/>
        <v>22</v>
      </c>
      <c r="AJ73">
        <f t="shared" si="44"/>
        <v>5</v>
      </c>
      <c r="AK73">
        <f t="shared" si="45"/>
        <v>5</v>
      </c>
      <c r="AL73">
        <f t="shared" si="46"/>
        <v>0</v>
      </c>
      <c r="AM73">
        <f t="shared" si="47"/>
        <v>0</v>
      </c>
      <c r="AN73">
        <f t="shared" si="48"/>
        <v>0</v>
      </c>
      <c r="AO73">
        <f t="shared" si="49"/>
        <v>0</v>
      </c>
      <c r="AP73">
        <f t="shared" si="50"/>
        <v>0</v>
      </c>
      <c r="AQ73">
        <f t="shared" si="51"/>
        <v>0</v>
      </c>
      <c r="AR73" t="str">
        <f t="shared" si="52"/>
        <v>Full Strength</v>
      </c>
      <c r="AS73" t="str">
        <f t="shared" si="53"/>
        <v>5v5</v>
      </c>
      <c r="AT73">
        <f t="shared" si="54"/>
        <v>2</v>
      </c>
      <c r="AU73">
        <f t="shared" si="55"/>
        <v>1</v>
      </c>
      <c r="AV73">
        <f t="shared" si="56"/>
        <v>0</v>
      </c>
      <c r="AW73">
        <f t="shared" si="57"/>
        <v>0</v>
      </c>
      <c r="AX73">
        <f t="shared" si="58"/>
        <v>0</v>
      </c>
      <c r="AY73">
        <f t="shared" si="59"/>
        <v>0</v>
      </c>
      <c r="AZ73">
        <f>IFERROR(VLOOKUP(B73,events!AD:BR,37,FALSE),0)</f>
        <v>1152</v>
      </c>
      <c r="BA73">
        <f t="shared" si="32"/>
        <v>2188</v>
      </c>
      <c r="BB73">
        <f t="shared" si="60"/>
        <v>2183</v>
      </c>
      <c r="BC73" s="4">
        <f t="shared" si="61"/>
        <v>2208</v>
      </c>
    </row>
    <row r="74" spans="1:55" x14ac:dyDescent="0.2">
      <c r="A74">
        <f t="shared" si="62"/>
        <v>73</v>
      </c>
      <c r="B74" s="6">
        <f t="shared" si="33"/>
        <v>2</v>
      </c>
      <c r="C74">
        <f t="shared" si="34"/>
        <v>0</v>
      </c>
      <c r="D74" s="4" t="str">
        <f t="shared" si="35"/>
        <v>22</v>
      </c>
      <c r="E74">
        <v>0</v>
      </c>
      <c r="F74" s="4" t="s">
        <v>755</v>
      </c>
      <c r="H74" s="5" t="s">
        <v>292</v>
      </c>
      <c r="I74">
        <v>79</v>
      </c>
      <c r="J74">
        <v>7</v>
      </c>
      <c r="K74">
        <v>16</v>
      </c>
      <c r="L74">
        <v>80</v>
      </c>
      <c r="M74">
        <v>8</v>
      </c>
      <c r="O74" s="5">
        <f t="shared" si="36"/>
        <v>31</v>
      </c>
      <c r="P74" s="6">
        <v>49</v>
      </c>
      <c r="Q74">
        <v>14</v>
      </c>
      <c r="R74">
        <v>61</v>
      </c>
      <c r="S74">
        <v>93</v>
      </c>
      <c r="T74">
        <v>9</v>
      </c>
      <c r="V74">
        <f t="shared" si="37"/>
        <v>39</v>
      </c>
      <c r="W74" s="6">
        <f>SUMIFS(events!AJ:AJ,events!Q:Q,"=DeadIce",events!AK:AK,"&lt;="&amp;shifts!AG74,events!AL:AL,"&gt;"&amp;shifts!AH74,events!E:E,"="&amp;shifts!B75)+SUMIFS(events!AJ:AJ,events!Q:Q,"=Timeout",events!AK:AK,"&lt;="&amp;shifts!AG74,events!AL:AL,"&gt;"&amp;shifts!AH74,events!E:E,"="&amp;shifts!B75)</f>
        <v>0</v>
      </c>
      <c r="X74" s="6">
        <f t="shared" si="38"/>
        <v>1</v>
      </c>
      <c r="Z74" t="str">
        <f t="shared" si="39"/>
        <v/>
      </c>
      <c r="AA74">
        <v>1</v>
      </c>
      <c r="AB74" t="str">
        <f t="shared" si="40"/>
        <v/>
      </c>
      <c r="AD74" s="39">
        <v>19053</v>
      </c>
      <c r="AE74" s="39" t="s">
        <v>944</v>
      </c>
      <c r="AF74" s="39" t="s">
        <v>521</v>
      </c>
      <c r="AG74" s="4">
        <f t="shared" si="41"/>
        <v>22</v>
      </c>
      <c r="AH74" s="4">
        <f t="shared" si="42"/>
        <v>0.01</v>
      </c>
      <c r="AI74" s="14">
        <f t="shared" si="43"/>
        <v>22</v>
      </c>
      <c r="AJ74">
        <f t="shared" si="44"/>
        <v>5</v>
      </c>
      <c r="AK74">
        <f t="shared" si="45"/>
        <v>5</v>
      </c>
      <c r="AL74">
        <f t="shared" si="46"/>
        <v>0</v>
      </c>
      <c r="AM74">
        <f t="shared" si="47"/>
        <v>0</v>
      </c>
      <c r="AN74">
        <f t="shared" si="48"/>
        <v>0</v>
      </c>
      <c r="AO74">
        <f t="shared" si="49"/>
        <v>0</v>
      </c>
      <c r="AP74">
        <f t="shared" si="50"/>
        <v>0</v>
      </c>
      <c r="AQ74">
        <f t="shared" si="51"/>
        <v>0</v>
      </c>
      <c r="AR74" t="str">
        <f t="shared" si="52"/>
        <v>Full Strength</v>
      </c>
      <c r="AS74" t="str">
        <f t="shared" si="53"/>
        <v>5v5</v>
      </c>
      <c r="AT74">
        <f t="shared" si="54"/>
        <v>2</v>
      </c>
      <c r="AU74">
        <f t="shared" si="55"/>
        <v>1</v>
      </c>
      <c r="AV74">
        <f t="shared" si="56"/>
        <v>0</v>
      </c>
      <c r="AW74">
        <f t="shared" si="57"/>
        <v>0</v>
      </c>
      <c r="AX74">
        <f t="shared" si="58"/>
        <v>0</v>
      </c>
      <c r="AY74">
        <f t="shared" si="59"/>
        <v>0</v>
      </c>
      <c r="AZ74">
        <f>IFERROR(VLOOKUP(B74,events!AD:BR,37,FALSE),0)</f>
        <v>1152</v>
      </c>
      <c r="BA74">
        <f t="shared" si="32"/>
        <v>2210</v>
      </c>
      <c r="BB74">
        <f t="shared" si="60"/>
        <v>2205</v>
      </c>
      <c r="BC74" s="4">
        <f t="shared" si="61"/>
        <v>2230</v>
      </c>
    </row>
    <row r="75" spans="1:55" x14ac:dyDescent="0.2">
      <c r="A75">
        <f t="shared" si="62"/>
        <v>74</v>
      </c>
      <c r="B75" s="6">
        <f t="shared" si="33"/>
        <v>2</v>
      </c>
      <c r="C75">
        <f t="shared" si="34"/>
        <v>0</v>
      </c>
      <c r="D75" s="4" t="str">
        <f t="shared" si="35"/>
        <v>0.01</v>
      </c>
      <c r="G75" s="6" t="s">
        <v>393</v>
      </c>
      <c r="O75" s="5">
        <f t="shared" si="36"/>
        <v>31</v>
      </c>
      <c r="V75">
        <f t="shared" si="37"/>
        <v>39</v>
      </c>
      <c r="W75" s="6">
        <f>SUMIFS(events!AJ:AJ,events!Q:Q,"=DeadIce",events!AK:AK,"&lt;="&amp;shifts!AG75,events!AL:AL,"&gt;"&amp;shifts!AH75,events!E:E,"="&amp;shifts!B76)+SUMIFS(events!AJ:AJ,events!Q:Q,"=Timeout",events!AK:AK,"&lt;="&amp;shifts!AG75,events!AL:AL,"&gt;"&amp;shifts!AH75,events!E:E,"="&amp;shifts!B76)</f>
        <v>0</v>
      </c>
      <c r="X75" s="6" t="str">
        <f t="shared" si="38"/>
        <v/>
      </c>
      <c r="Z75" t="str">
        <f t="shared" si="39"/>
        <v/>
      </c>
      <c r="AB75">
        <f t="shared" si="40"/>
        <v>1</v>
      </c>
      <c r="AD75" s="39">
        <v>19054</v>
      </c>
      <c r="AE75" s="39" t="s">
        <v>944</v>
      </c>
      <c r="AF75" s="39" t="s">
        <v>521</v>
      </c>
      <c r="AG75" s="4">
        <f t="shared" si="41"/>
        <v>0.01</v>
      </c>
      <c r="AH75" s="4">
        <f t="shared" si="42"/>
        <v>0</v>
      </c>
      <c r="AI75" s="14">
        <f t="shared" si="43"/>
        <v>0</v>
      </c>
      <c r="AJ75">
        <f t="shared" si="44"/>
        <v>0</v>
      </c>
      <c r="AK75">
        <f t="shared" si="45"/>
        <v>0</v>
      </c>
      <c r="AL75">
        <f t="shared" si="46"/>
        <v>0</v>
      </c>
      <c r="AM75">
        <f t="shared" si="47"/>
        <v>0</v>
      </c>
      <c r="AN75">
        <f t="shared" si="48"/>
        <v>0</v>
      </c>
      <c r="AO75">
        <f t="shared" si="49"/>
        <v>0</v>
      </c>
      <c r="AP75">
        <f t="shared" si="50"/>
        <v>0</v>
      </c>
      <c r="AQ75">
        <f t="shared" si="51"/>
        <v>0</v>
      </c>
      <c r="AR75" t="str">
        <f t="shared" si="52"/>
        <v/>
      </c>
      <c r="AS75" t="str">
        <f t="shared" si="53"/>
        <v>0v0</v>
      </c>
      <c r="AT75">
        <f t="shared" si="54"/>
        <v>2</v>
      </c>
      <c r="AU75">
        <f t="shared" si="55"/>
        <v>1</v>
      </c>
      <c r="AV75">
        <f t="shared" si="56"/>
        <v>0</v>
      </c>
      <c r="AW75">
        <f t="shared" si="57"/>
        <v>0</v>
      </c>
      <c r="AX75">
        <f t="shared" si="58"/>
        <v>0</v>
      </c>
      <c r="AY75">
        <f t="shared" si="59"/>
        <v>0</v>
      </c>
      <c r="AZ75">
        <f>IFERROR(VLOOKUP(B75,events!AD:BR,37,FALSE),0)</f>
        <v>1152</v>
      </c>
      <c r="BA75">
        <f t="shared" si="32"/>
        <v>2210</v>
      </c>
      <c r="BB75">
        <f t="shared" si="60"/>
        <v>2205</v>
      </c>
      <c r="BC75" s="4">
        <f t="shared" si="61"/>
        <v>2208</v>
      </c>
    </row>
    <row r="76" spans="1:55" x14ac:dyDescent="0.2">
      <c r="A76">
        <f t="shared" si="62"/>
        <v>75</v>
      </c>
      <c r="B76" s="6">
        <f t="shared" si="33"/>
        <v>3</v>
      </c>
      <c r="C76">
        <f t="shared" si="34"/>
        <v>18</v>
      </c>
      <c r="D76" s="4">
        <f t="shared" si="35"/>
        <v>0</v>
      </c>
      <c r="E76">
        <v>17</v>
      </c>
      <c r="F76" s="4" t="s">
        <v>913</v>
      </c>
      <c r="G76" s="6" t="s">
        <v>284</v>
      </c>
      <c r="I76">
        <v>79</v>
      </c>
      <c r="J76">
        <v>15</v>
      </c>
      <c r="K76">
        <v>16</v>
      </c>
      <c r="L76">
        <v>80</v>
      </c>
      <c r="M76">
        <v>8</v>
      </c>
      <c r="O76" s="5">
        <f t="shared" si="36"/>
        <v>31</v>
      </c>
      <c r="P76" s="6">
        <v>70</v>
      </c>
      <c r="Q76">
        <v>87</v>
      </c>
      <c r="R76">
        <v>75</v>
      </c>
      <c r="S76">
        <v>84</v>
      </c>
      <c r="T76">
        <v>9</v>
      </c>
      <c r="V76">
        <f t="shared" si="37"/>
        <v>39</v>
      </c>
      <c r="W76" s="6">
        <f>SUMIFS(events!AJ:AJ,events!Q:Q,"=DeadIce",events!AK:AK,"&lt;="&amp;shifts!AG76,events!AL:AL,"&gt;"&amp;shifts!AH76,events!E:E,"="&amp;shifts!B77)+SUMIFS(events!AJ:AJ,events!Q:Q,"=Timeout",events!AK:AK,"&lt;="&amp;shifts!AG76,events!AL:AL,"&gt;"&amp;shifts!AH76,events!E:E,"="&amp;shifts!B77)</f>
        <v>0</v>
      </c>
      <c r="X76" s="6" t="str">
        <f t="shared" si="38"/>
        <v/>
      </c>
      <c r="Y76">
        <v>1</v>
      </c>
      <c r="Z76" t="str">
        <f t="shared" si="39"/>
        <v/>
      </c>
      <c r="AB76" t="str">
        <f t="shared" si="40"/>
        <v/>
      </c>
      <c r="AD76" s="39">
        <v>19055</v>
      </c>
      <c r="AE76" s="39" t="s">
        <v>944</v>
      </c>
      <c r="AF76" s="39" t="s">
        <v>521</v>
      </c>
      <c r="AG76" s="4">
        <f t="shared" si="41"/>
        <v>1080</v>
      </c>
      <c r="AH76" s="4">
        <f t="shared" si="42"/>
        <v>1022</v>
      </c>
      <c r="AI76" s="14">
        <f t="shared" si="43"/>
        <v>58</v>
      </c>
      <c r="AJ76">
        <f t="shared" si="44"/>
        <v>5</v>
      </c>
      <c r="AK76">
        <f t="shared" si="45"/>
        <v>5</v>
      </c>
      <c r="AL76">
        <f t="shared" si="46"/>
        <v>0</v>
      </c>
      <c r="AM76">
        <f t="shared" si="47"/>
        <v>0</v>
      </c>
      <c r="AN76">
        <f t="shared" si="48"/>
        <v>0</v>
      </c>
      <c r="AO76">
        <f t="shared" si="49"/>
        <v>0</v>
      </c>
      <c r="AP76">
        <f t="shared" si="50"/>
        <v>0</v>
      </c>
      <c r="AQ76">
        <f t="shared" si="51"/>
        <v>0</v>
      </c>
      <c r="AR76" t="str">
        <f t="shared" si="52"/>
        <v>Full Strength</v>
      </c>
      <c r="AS76" t="str">
        <f t="shared" si="53"/>
        <v>5v5</v>
      </c>
      <c r="AT76">
        <f t="shared" si="54"/>
        <v>2</v>
      </c>
      <c r="AU76">
        <f t="shared" si="55"/>
        <v>1</v>
      </c>
      <c r="AV76">
        <f t="shared" si="56"/>
        <v>0</v>
      </c>
      <c r="AW76">
        <f t="shared" si="57"/>
        <v>0</v>
      </c>
      <c r="AX76">
        <f t="shared" si="58"/>
        <v>0</v>
      </c>
      <c r="AY76">
        <f t="shared" si="59"/>
        <v>0</v>
      </c>
      <c r="AZ76">
        <f>IFERROR(VLOOKUP(B76,events!AD:BR,37,FALSE),0)</f>
        <v>2302</v>
      </c>
      <c r="BA76">
        <f t="shared" si="32"/>
        <v>2302</v>
      </c>
      <c r="BB76">
        <f t="shared" si="60"/>
        <v>2297</v>
      </c>
      <c r="BC76" s="4">
        <f t="shared" si="61"/>
        <v>2358</v>
      </c>
    </row>
    <row r="77" spans="1:55" x14ac:dyDescent="0.2">
      <c r="A77">
        <f t="shared" si="62"/>
        <v>76</v>
      </c>
      <c r="B77" s="6">
        <f t="shared" si="33"/>
        <v>3</v>
      </c>
      <c r="C77">
        <f t="shared" si="34"/>
        <v>17</v>
      </c>
      <c r="D77" s="4" t="str">
        <f t="shared" si="35"/>
        <v>02</v>
      </c>
      <c r="E77">
        <v>16</v>
      </c>
      <c r="F77" s="4" t="s">
        <v>865</v>
      </c>
      <c r="I77">
        <v>79</v>
      </c>
      <c r="J77">
        <v>15</v>
      </c>
      <c r="K77">
        <v>16</v>
      </c>
      <c r="L77">
        <v>80</v>
      </c>
      <c r="M77">
        <v>8</v>
      </c>
      <c r="O77" s="5">
        <f t="shared" si="36"/>
        <v>31</v>
      </c>
      <c r="P77" s="6">
        <v>70</v>
      </c>
      <c r="Q77">
        <v>87</v>
      </c>
      <c r="R77">
        <v>75</v>
      </c>
      <c r="S77">
        <v>84</v>
      </c>
      <c r="T77">
        <v>22</v>
      </c>
      <c r="V77">
        <f t="shared" si="37"/>
        <v>39</v>
      </c>
      <c r="W77" s="6">
        <f>SUMIFS(events!AJ:AJ,events!Q:Q,"=DeadIce",events!AK:AK,"&lt;="&amp;shifts!AG77,events!AL:AL,"&gt;"&amp;shifts!AH77,events!E:E,"="&amp;shifts!B78)+SUMIFS(events!AJ:AJ,events!Q:Q,"=Timeout",events!AK:AK,"&lt;="&amp;shifts!AG77,events!AL:AL,"&gt;"&amp;shifts!AH77,events!E:E,"="&amp;shifts!B78)</f>
        <v>0</v>
      </c>
      <c r="X77" s="6">
        <f t="shared" si="38"/>
        <v>1</v>
      </c>
      <c r="Z77" t="str">
        <f t="shared" si="39"/>
        <v/>
      </c>
      <c r="AB77" t="str">
        <f t="shared" si="40"/>
        <v/>
      </c>
      <c r="AC77">
        <v>1</v>
      </c>
      <c r="AD77" s="39">
        <v>19056</v>
      </c>
      <c r="AE77" s="39" t="s">
        <v>944</v>
      </c>
      <c r="AF77" s="39" t="s">
        <v>521</v>
      </c>
      <c r="AG77" s="4">
        <f t="shared" si="41"/>
        <v>1022</v>
      </c>
      <c r="AH77" s="4">
        <f t="shared" si="42"/>
        <v>998</v>
      </c>
      <c r="AI77" s="14">
        <f t="shared" si="43"/>
        <v>24</v>
      </c>
      <c r="AJ77">
        <f t="shared" si="44"/>
        <v>5</v>
      </c>
      <c r="AK77">
        <f t="shared" si="45"/>
        <v>5</v>
      </c>
      <c r="AL77">
        <f t="shared" si="46"/>
        <v>0</v>
      </c>
      <c r="AM77">
        <f t="shared" si="47"/>
        <v>0</v>
      </c>
      <c r="AN77">
        <f t="shared" si="48"/>
        <v>0</v>
      </c>
      <c r="AO77">
        <f t="shared" si="49"/>
        <v>0</v>
      </c>
      <c r="AP77">
        <f t="shared" si="50"/>
        <v>0</v>
      </c>
      <c r="AQ77">
        <f t="shared" si="51"/>
        <v>0</v>
      </c>
      <c r="AR77" t="str">
        <f t="shared" si="52"/>
        <v>Full Strength</v>
      </c>
      <c r="AS77" t="str">
        <f t="shared" si="53"/>
        <v>5v5</v>
      </c>
      <c r="AT77">
        <f t="shared" si="54"/>
        <v>2</v>
      </c>
      <c r="AU77">
        <f t="shared" si="55"/>
        <v>1</v>
      </c>
      <c r="AV77">
        <f t="shared" si="56"/>
        <v>0</v>
      </c>
      <c r="AW77">
        <f t="shared" si="57"/>
        <v>0</v>
      </c>
      <c r="AX77">
        <f t="shared" si="58"/>
        <v>0</v>
      </c>
      <c r="AY77">
        <f t="shared" si="59"/>
        <v>0</v>
      </c>
      <c r="AZ77">
        <f>IFERROR(VLOOKUP(B77,events!AD:BR,37,FALSE),0)</f>
        <v>2302</v>
      </c>
      <c r="BA77">
        <f t="shared" si="32"/>
        <v>2360</v>
      </c>
      <c r="BB77">
        <f t="shared" si="60"/>
        <v>2355</v>
      </c>
      <c r="BC77" s="4">
        <f t="shared" si="61"/>
        <v>2382</v>
      </c>
    </row>
    <row r="78" spans="1:55" x14ac:dyDescent="0.2">
      <c r="A78">
        <f t="shared" si="62"/>
        <v>77</v>
      </c>
      <c r="B78" s="6">
        <f t="shared" si="33"/>
        <v>3</v>
      </c>
      <c r="C78">
        <f t="shared" si="34"/>
        <v>16</v>
      </c>
      <c r="D78" s="4" t="str">
        <f t="shared" si="35"/>
        <v>38</v>
      </c>
      <c r="E78">
        <v>16</v>
      </c>
      <c r="F78" s="4" t="s">
        <v>929</v>
      </c>
      <c r="I78">
        <v>79</v>
      </c>
      <c r="J78">
        <v>3</v>
      </c>
      <c r="K78">
        <v>16</v>
      </c>
      <c r="L78">
        <v>80</v>
      </c>
      <c r="M78">
        <v>8</v>
      </c>
      <c r="O78" s="5">
        <f t="shared" si="36"/>
        <v>31</v>
      </c>
      <c r="P78" s="6">
        <v>70</v>
      </c>
      <c r="Q78">
        <v>87</v>
      </c>
      <c r="R78">
        <v>75</v>
      </c>
      <c r="S78">
        <v>84</v>
      </c>
      <c r="T78">
        <v>22</v>
      </c>
      <c r="V78">
        <f t="shared" si="37"/>
        <v>39</v>
      </c>
      <c r="W78" s="6">
        <f>SUMIFS(events!AJ:AJ,events!Q:Q,"=DeadIce",events!AK:AK,"&lt;="&amp;shifts!AG78,events!AL:AL,"&gt;"&amp;shifts!AH78,events!E:E,"="&amp;shifts!B79)+SUMIFS(events!AJ:AJ,events!Q:Q,"=Timeout",events!AK:AK,"&lt;="&amp;shifts!AG78,events!AL:AL,"&gt;"&amp;shifts!AH78,events!E:E,"="&amp;shifts!B79)</f>
        <v>0</v>
      </c>
      <c r="X78" s="6" t="str">
        <f t="shared" si="38"/>
        <v/>
      </c>
      <c r="Y78">
        <v>1</v>
      </c>
      <c r="Z78" t="str">
        <f t="shared" si="39"/>
        <v/>
      </c>
      <c r="AB78">
        <f t="shared" si="40"/>
        <v>1</v>
      </c>
      <c r="AD78" s="39">
        <v>19057</v>
      </c>
      <c r="AE78" s="39" t="s">
        <v>944</v>
      </c>
      <c r="AF78" s="39" t="s">
        <v>521</v>
      </c>
      <c r="AG78" s="4">
        <f t="shared" si="41"/>
        <v>998</v>
      </c>
      <c r="AH78" s="4">
        <f t="shared" si="42"/>
        <v>994</v>
      </c>
      <c r="AI78" s="14">
        <f t="shared" si="43"/>
        <v>4</v>
      </c>
      <c r="AJ78">
        <f t="shared" si="44"/>
        <v>5</v>
      </c>
      <c r="AK78">
        <f t="shared" si="45"/>
        <v>5</v>
      </c>
      <c r="AL78">
        <f t="shared" si="46"/>
        <v>0</v>
      </c>
      <c r="AM78">
        <f t="shared" si="47"/>
        <v>0</v>
      </c>
      <c r="AN78">
        <f t="shared" si="48"/>
        <v>0</v>
      </c>
      <c r="AO78">
        <f t="shared" si="49"/>
        <v>0</v>
      </c>
      <c r="AP78">
        <f t="shared" si="50"/>
        <v>0</v>
      </c>
      <c r="AQ78">
        <f t="shared" si="51"/>
        <v>0</v>
      </c>
      <c r="AR78" t="str">
        <f t="shared" si="52"/>
        <v>Full Strength</v>
      </c>
      <c r="AS78" t="str">
        <f t="shared" si="53"/>
        <v>5v5</v>
      </c>
      <c r="AT78">
        <f t="shared" si="54"/>
        <v>2</v>
      </c>
      <c r="AU78">
        <f t="shared" si="55"/>
        <v>1</v>
      </c>
      <c r="AV78">
        <f t="shared" si="56"/>
        <v>0</v>
      </c>
      <c r="AW78">
        <f t="shared" si="57"/>
        <v>0</v>
      </c>
      <c r="AX78">
        <f t="shared" si="58"/>
        <v>0</v>
      </c>
      <c r="AY78">
        <f t="shared" si="59"/>
        <v>0</v>
      </c>
      <c r="AZ78">
        <f>IFERROR(VLOOKUP(B78,events!AD:BR,37,FALSE),0)</f>
        <v>2302</v>
      </c>
      <c r="BA78">
        <f t="shared" si="32"/>
        <v>2384</v>
      </c>
      <c r="BB78">
        <f t="shared" si="60"/>
        <v>2379</v>
      </c>
      <c r="BC78" s="4">
        <f t="shared" si="61"/>
        <v>2386</v>
      </c>
    </row>
    <row r="79" spans="1:55" x14ac:dyDescent="0.2">
      <c r="A79">
        <f t="shared" si="62"/>
        <v>78</v>
      </c>
      <c r="B79" s="6">
        <f t="shared" si="33"/>
        <v>3</v>
      </c>
      <c r="C79">
        <f t="shared" si="34"/>
        <v>16</v>
      </c>
      <c r="D79" s="4" t="str">
        <f t="shared" si="35"/>
        <v>34</v>
      </c>
      <c r="E79">
        <v>16</v>
      </c>
      <c r="F79" s="4" t="s">
        <v>908</v>
      </c>
      <c r="I79">
        <v>79</v>
      </c>
      <c r="J79">
        <v>3</v>
      </c>
      <c r="K79">
        <v>44</v>
      </c>
      <c r="L79">
        <v>80</v>
      </c>
      <c r="M79">
        <v>8</v>
      </c>
      <c r="O79" s="5">
        <f t="shared" si="36"/>
        <v>31</v>
      </c>
      <c r="P79" s="6">
        <v>70</v>
      </c>
      <c r="Q79">
        <v>87</v>
      </c>
      <c r="R79">
        <v>75</v>
      </c>
      <c r="S79">
        <v>84</v>
      </c>
      <c r="T79">
        <v>22</v>
      </c>
      <c r="V79">
        <f t="shared" si="37"/>
        <v>39</v>
      </c>
      <c r="W79" s="6">
        <f>SUMIFS(events!AJ:AJ,events!Q:Q,"=DeadIce",events!AK:AK,"&lt;="&amp;shifts!AG79,events!AL:AL,"&gt;"&amp;shifts!AH79,events!E:E,"="&amp;shifts!B80)+SUMIFS(events!AJ:AJ,events!Q:Q,"=Timeout",events!AK:AK,"&lt;="&amp;shifts!AG79,events!AL:AL,"&gt;"&amp;shifts!AH79,events!E:E,"="&amp;shifts!B80)</f>
        <v>0</v>
      </c>
      <c r="X79" s="6">
        <f t="shared" si="38"/>
        <v>1</v>
      </c>
      <c r="Y79">
        <v>1</v>
      </c>
      <c r="Z79" t="str">
        <f t="shared" si="39"/>
        <v/>
      </c>
      <c r="AB79" t="str">
        <f t="shared" si="40"/>
        <v/>
      </c>
      <c r="AD79" s="39">
        <v>19058</v>
      </c>
      <c r="AE79" s="39" t="s">
        <v>944</v>
      </c>
      <c r="AF79" s="39" t="s">
        <v>521</v>
      </c>
      <c r="AG79" s="4">
        <f t="shared" si="41"/>
        <v>994</v>
      </c>
      <c r="AH79" s="4">
        <f t="shared" si="42"/>
        <v>979</v>
      </c>
      <c r="AI79" s="14">
        <f t="shared" si="43"/>
        <v>15</v>
      </c>
      <c r="AJ79">
        <f t="shared" si="44"/>
        <v>5</v>
      </c>
      <c r="AK79">
        <f t="shared" si="45"/>
        <v>5</v>
      </c>
      <c r="AL79">
        <f t="shared" si="46"/>
        <v>0</v>
      </c>
      <c r="AM79">
        <f t="shared" si="47"/>
        <v>0</v>
      </c>
      <c r="AN79">
        <f t="shared" si="48"/>
        <v>0</v>
      </c>
      <c r="AO79">
        <f t="shared" si="49"/>
        <v>0</v>
      </c>
      <c r="AP79">
        <f t="shared" si="50"/>
        <v>0</v>
      </c>
      <c r="AQ79">
        <f t="shared" si="51"/>
        <v>0</v>
      </c>
      <c r="AR79" t="str">
        <f t="shared" si="52"/>
        <v>Full Strength</v>
      </c>
      <c r="AS79" t="str">
        <f t="shared" si="53"/>
        <v>5v5</v>
      </c>
      <c r="AT79">
        <f t="shared" si="54"/>
        <v>2</v>
      </c>
      <c r="AU79">
        <f t="shared" si="55"/>
        <v>1</v>
      </c>
      <c r="AV79">
        <f t="shared" si="56"/>
        <v>0</v>
      </c>
      <c r="AW79">
        <f t="shared" si="57"/>
        <v>0</v>
      </c>
      <c r="AX79">
        <f t="shared" si="58"/>
        <v>0</v>
      </c>
      <c r="AY79">
        <f t="shared" si="59"/>
        <v>0</v>
      </c>
      <c r="AZ79">
        <f>IFERROR(VLOOKUP(B79,events!AD:BR,37,FALSE),0)</f>
        <v>2302</v>
      </c>
      <c r="BA79">
        <f t="shared" si="32"/>
        <v>2388</v>
      </c>
      <c r="BB79">
        <f t="shared" si="60"/>
        <v>2383</v>
      </c>
      <c r="BC79" s="4">
        <f t="shared" si="61"/>
        <v>2401</v>
      </c>
    </row>
    <row r="80" spans="1:55" x14ac:dyDescent="0.2">
      <c r="A80">
        <f t="shared" si="62"/>
        <v>79</v>
      </c>
      <c r="B80" s="6">
        <f t="shared" si="33"/>
        <v>3</v>
      </c>
      <c r="C80">
        <f t="shared" si="34"/>
        <v>16</v>
      </c>
      <c r="D80" s="4" t="str">
        <f t="shared" si="35"/>
        <v>19</v>
      </c>
      <c r="E80">
        <v>16</v>
      </c>
      <c r="F80" s="4" t="s">
        <v>748</v>
      </c>
      <c r="I80">
        <v>79</v>
      </c>
      <c r="J80">
        <v>3</v>
      </c>
      <c r="K80">
        <v>44</v>
      </c>
      <c r="L80">
        <v>80</v>
      </c>
      <c r="M80">
        <v>8</v>
      </c>
      <c r="O80" s="5">
        <f t="shared" si="36"/>
        <v>31</v>
      </c>
      <c r="P80" s="6">
        <v>70</v>
      </c>
      <c r="Q80">
        <v>87</v>
      </c>
      <c r="R80">
        <v>75</v>
      </c>
      <c r="S80">
        <v>52</v>
      </c>
      <c r="T80">
        <v>22</v>
      </c>
      <c r="V80">
        <f t="shared" si="37"/>
        <v>39</v>
      </c>
      <c r="W80" s="6">
        <f>SUMIFS(events!AJ:AJ,events!Q:Q,"=DeadIce",events!AK:AK,"&lt;="&amp;shifts!AG80,events!AL:AL,"&gt;"&amp;shifts!AH80,events!E:E,"="&amp;shifts!B81)+SUMIFS(events!AJ:AJ,events!Q:Q,"=Timeout",events!AK:AK,"&lt;="&amp;shifts!AG80,events!AL:AL,"&gt;"&amp;shifts!AH80,events!E:E,"="&amp;shifts!B81)</f>
        <v>0</v>
      </c>
      <c r="X80" s="6">
        <f t="shared" si="38"/>
        <v>1</v>
      </c>
      <c r="Z80" t="str">
        <f t="shared" si="39"/>
        <v/>
      </c>
      <c r="AA80">
        <v>1</v>
      </c>
      <c r="AB80" t="str">
        <f t="shared" si="40"/>
        <v/>
      </c>
      <c r="AD80" s="39">
        <v>19059</v>
      </c>
      <c r="AE80" s="39" t="s">
        <v>944</v>
      </c>
      <c r="AF80" s="39" t="s">
        <v>521</v>
      </c>
      <c r="AG80" s="4">
        <f t="shared" si="41"/>
        <v>979</v>
      </c>
      <c r="AH80" s="4">
        <f t="shared" si="42"/>
        <v>961</v>
      </c>
      <c r="AI80" s="14">
        <f t="shared" si="43"/>
        <v>18</v>
      </c>
      <c r="AJ80">
        <f t="shared" si="44"/>
        <v>5</v>
      </c>
      <c r="AK80">
        <f t="shared" si="45"/>
        <v>5</v>
      </c>
      <c r="AL80">
        <f t="shared" si="46"/>
        <v>0</v>
      </c>
      <c r="AM80">
        <f t="shared" si="47"/>
        <v>0</v>
      </c>
      <c r="AN80">
        <f t="shared" si="48"/>
        <v>0</v>
      </c>
      <c r="AO80">
        <f t="shared" si="49"/>
        <v>0</v>
      </c>
      <c r="AP80">
        <f t="shared" si="50"/>
        <v>0</v>
      </c>
      <c r="AQ80">
        <f t="shared" si="51"/>
        <v>0</v>
      </c>
      <c r="AR80" t="str">
        <f t="shared" si="52"/>
        <v>Full Strength</v>
      </c>
      <c r="AS80" t="str">
        <f t="shared" si="53"/>
        <v>5v5</v>
      </c>
      <c r="AT80">
        <f t="shared" si="54"/>
        <v>2</v>
      </c>
      <c r="AU80">
        <f t="shared" si="55"/>
        <v>1</v>
      </c>
      <c r="AV80">
        <f t="shared" si="56"/>
        <v>0</v>
      </c>
      <c r="AW80">
        <f t="shared" si="57"/>
        <v>0</v>
      </c>
      <c r="AX80">
        <f t="shared" si="58"/>
        <v>0</v>
      </c>
      <c r="AY80">
        <f t="shared" si="59"/>
        <v>0</v>
      </c>
      <c r="AZ80">
        <f>IFERROR(VLOOKUP(B80,events!AD:BR,37,FALSE),0)</f>
        <v>2302</v>
      </c>
      <c r="BA80">
        <f t="shared" si="32"/>
        <v>2403</v>
      </c>
      <c r="BB80">
        <f t="shared" si="60"/>
        <v>2398</v>
      </c>
      <c r="BC80" s="4">
        <f t="shared" si="61"/>
        <v>2419</v>
      </c>
    </row>
    <row r="81" spans="1:55" x14ac:dyDescent="0.2">
      <c r="A81">
        <f t="shared" si="62"/>
        <v>80</v>
      </c>
      <c r="B81" s="6">
        <f t="shared" si="33"/>
        <v>3</v>
      </c>
      <c r="C81">
        <f t="shared" si="34"/>
        <v>16</v>
      </c>
      <c r="D81" s="4" t="str">
        <f t="shared" si="35"/>
        <v>01</v>
      </c>
      <c r="E81">
        <v>15</v>
      </c>
      <c r="F81" s="4" t="s">
        <v>738</v>
      </c>
      <c r="H81" s="5" t="s">
        <v>342</v>
      </c>
      <c r="I81">
        <v>10</v>
      </c>
      <c r="J81">
        <v>3</v>
      </c>
      <c r="K81">
        <v>44</v>
      </c>
      <c r="L81">
        <v>80</v>
      </c>
      <c r="M81">
        <v>8</v>
      </c>
      <c r="O81" s="5">
        <f t="shared" si="36"/>
        <v>31</v>
      </c>
      <c r="P81" s="6">
        <v>70</v>
      </c>
      <c r="Q81">
        <v>87</v>
      </c>
      <c r="R81">
        <v>75</v>
      </c>
      <c r="S81">
        <v>52</v>
      </c>
      <c r="T81">
        <v>22</v>
      </c>
      <c r="V81">
        <f t="shared" si="37"/>
        <v>39</v>
      </c>
      <c r="W81" s="6">
        <f>SUMIFS(events!AJ:AJ,events!Q:Q,"=DeadIce",events!AK:AK,"&lt;="&amp;shifts!AG81,events!AL:AL,"&gt;"&amp;shifts!AH81,events!E:E,"="&amp;shifts!B82)+SUMIFS(events!AJ:AJ,events!Q:Q,"=Timeout",events!AK:AK,"&lt;="&amp;shifts!AG81,events!AL:AL,"&gt;"&amp;shifts!AH81,events!E:E,"="&amp;shifts!B82)</f>
        <v>0</v>
      </c>
      <c r="X81" s="6" t="str">
        <f t="shared" si="38"/>
        <v/>
      </c>
      <c r="Y81">
        <v>1</v>
      </c>
      <c r="Z81">
        <f t="shared" si="39"/>
        <v>1</v>
      </c>
      <c r="AB81" t="str">
        <f t="shared" si="40"/>
        <v/>
      </c>
      <c r="AD81" s="39">
        <v>19060</v>
      </c>
      <c r="AE81" s="39" t="s">
        <v>944</v>
      </c>
      <c r="AF81" s="39" t="s">
        <v>521</v>
      </c>
      <c r="AG81" s="4">
        <f t="shared" si="41"/>
        <v>961</v>
      </c>
      <c r="AH81" s="4">
        <f t="shared" si="42"/>
        <v>931</v>
      </c>
      <c r="AI81" s="14">
        <f t="shared" si="43"/>
        <v>30</v>
      </c>
      <c r="AJ81">
        <f t="shared" si="44"/>
        <v>5</v>
      </c>
      <c r="AK81">
        <f t="shared" si="45"/>
        <v>5</v>
      </c>
      <c r="AL81">
        <f t="shared" si="46"/>
        <v>0</v>
      </c>
      <c r="AM81">
        <f t="shared" si="47"/>
        <v>0</v>
      </c>
      <c r="AN81">
        <f t="shared" si="48"/>
        <v>0</v>
      </c>
      <c r="AO81">
        <f t="shared" si="49"/>
        <v>0</v>
      </c>
      <c r="AP81">
        <f t="shared" si="50"/>
        <v>0</v>
      </c>
      <c r="AQ81">
        <f t="shared" si="51"/>
        <v>0</v>
      </c>
      <c r="AR81" t="str">
        <f t="shared" si="52"/>
        <v>Full Strength</v>
      </c>
      <c r="AS81" t="str">
        <f t="shared" si="53"/>
        <v>5v5</v>
      </c>
      <c r="AT81">
        <f t="shared" si="54"/>
        <v>2</v>
      </c>
      <c r="AU81">
        <f t="shared" si="55"/>
        <v>1</v>
      </c>
      <c r="AV81">
        <f t="shared" si="56"/>
        <v>0</v>
      </c>
      <c r="AW81">
        <f t="shared" si="57"/>
        <v>0</v>
      </c>
      <c r="AX81">
        <f t="shared" si="58"/>
        <v>0</v>
      </c>
      <c r="AY81">
        <f t="shared" si="59"/>
        <v>0</v>
      </c>
      <c r="AZ81">
        <f>IFERROR(VLOOKUP(B81,events!AD:BR,37,FALSE),0)</f>
        <v>2302</v>
      </c>
      <c r="BA81">
        <f t="shared" si="32"/>
        <v>2421</v>
      </c>
      <c r="BB81">
        <f t="shared" si="60"/>
        <v>2416</v>
      </c>
      <c r="BC81" s="4">
        <f t="shared" si="61"/>
        <v>2449</v>
      </c>
    </row>
    <row r="82" spans="1:55" x14ac:dyDescent="0.2">
      <c r="A82">
        <f t="shared" si="62"/>
        <v>81</v>
      </c>
      <c r="B82" s="6">
        <f t="shared" si="33"/>
        <v>3</v>
      </c>
      <c r="C82">
        <f t="shared" si="34"/>
        <v>15</v>
      </c>
      <c r="D82" s="4" t="str">
        <f t="shared" si="35"/>
        <v>31</v>
      </c>
      <c r="E82">
        <v>14</v>
      </c>
      <c r="F82" s="4" t="s">
        <v>930</v>
      </c>
      <c r="G82" s="6" t="s">
        <v>289</v>
      </c>
      <c r="I82">
        <v>10</v>
      </c>
      <c r="J82">
        <v>7</v>
      </c>
      <c r="K82">
        <v>44</v>
      </c>
      <c r="L82">
        <v>37</v>
      </c>
      <c r="M82">
        <v>23</v>
      </c>
      <c r="O82" s="5">
        <f t="shared" si="36"/>
        <v>31</v>
      </c>
      <c r="P82" s="6">
        <v>42</v>
      </c>
      <c r="Q82">
        <v>91</v>
      </c>
      <c r="R82">
        <v>24</v>
      </c>
      <c r="S82">
        <v>52</v>
      </c>
      <c r="T82">
        <v>22</v>
      </c>
      <c r="V82">
        <f t="shared" si="37"/>
        <v>39</v>
      </c>
      <c r="W82" s="6">
        <f>SUMIFS(events!AJ:AJ,events!Q:Q,"=DeadIce",events!AK:AK,"&lt;="&amp;shifts!AG82,events!AL:AL,"&gt;"&amp;shifts!AH82,events!E:E,"="&amp;shifts!B83)+SUMIFS(events!AJ:AJ,events!Q:Q,"=Timeout",events!AK:AK,"&lt;="&amp;shifts!AG82,events!AL:AL,"&gt;"&amp;shifts!AH82,events!E:E,"="&amp;shifts!B83)</f>
        <v>0</v>
      </c>
      <c r="X82" s="6">
        <f t="shared" si="38"/>
        <v>1</v>
      </c>
      <c r="Y82">
        <v>1</v>
      </c>
      <c r="Z82" t="str">
        <f t="shared" si="39"/>
        <v/>
      </c>
      <c r="AB82" t="str">
        <f t="shared" si="40"/>
        <v/>
      </c>
      <c r="AD82" s="39">
        <v>19061</v>
      </c>
      <c r="AE82" s="39" t="s">
        <v>944</v>
      </c>
      <c r="AF82" s="39" t="s">
        <v>521</v>
      </c>
      <c r="AG82" s="4">
        <f t="shared" si="41"/>
        <v>931</v>
      </c>
      <c r="AH82" s="4">
        <f t="shared" si="42"/>
        <v>868</v>
      </c>
      <c r="AI82" s="14">
        <f t="shared" si="43"/>
        <v>63</v>
      </c>
      <c r="AJ82">
        <f t="shared" si="44"/>
        <v>5</v>
      </c>
      <c r="AK82">
        <f t="shared" si="45"/>
        <v>5</v>
      </c>
      <c r="AL82">
        <f t="shared" si="46"/>
        <v>0</v>
      </c>
      <c r="AM82">
        <f t="shared" si="47"/>
        <v>0</v>
      </c>
      <c r="AN82">
        <f t="shared" si="48"/>
        <v>0</v>
      </c>
      <c r="AO82">
        <f t="shared" si="49"/>
        <v>0</v>
      </c>
      <c r="AP82">
        <f t="shared" si="50"/>
        <v>0</v>
      </c>
      <c r="AQ82">
        <f t="shared" si="51"/>
        <v>0</v>
      </c>
      <c r="AR82" t="str">
        <f t="shared" si="52"/>
        <v>Full Strength</v>
      </c>
      <c r="AS82" t="str">
        <f t="shared" si="53"/>
        <v>5v5</v>
      </c>
      <c r="AT82">
        <f t="shared" si="54"/>
        <v>2</v>
      </c>
      <c r="AU82">
        <f t="shared" si="55"/>
        <v>1</v>
      </c>
      <c r="AV82">
        <f t="shared" si="56"/>
        <v>0</v>
      </c>
      <c r="AW82">
        <f t="shared" si="57"/>
        <v>0</v>
      </c>
      <c r="AX82">
        <f t="shared" si="58"/>
        <v>0</v>
      </c>
      <c r="AY82">
        <f t="shared" si="59"/>
        <v>0</v>
      </c>
      <c r="AZ82">
        <f>IFERROR(VLOOKUP(B82,events!AD:BR,37,FALSE),0)</f>
        <v>2302</v>
      </c>
      <c r="BA82">
        <f t="shared" si="32"/>
        <v>2451</v>
      </c>
      <c r="BB82">
        <f t="shared" si="60"/>
        <v>2446</v>
      </c>
      <c r="BC82" s="4">
        <f t="shared" si="61"/>
        <v>2512</v>
      </c>
    </row>
    <row r="83" spans="1:55" x14ac:dyDescent="0.2">
      <c r="A83">
        <f t="shared" si="62"/>
        <v>82</v>
      </c>
      <c r="B83" s="6">
        <f t="shared" si="33"/>
        <v>3</v>
      </c>
      <c r="C83">
        <f t="shared" si="34"/>
        <v>14</v>
      </c>
      <c r="D83" s="4" t="str">
        <f t="shared" si="35"/>
        <v>28</v>
      </c>
      <c r="E83">
        <v>13</v>
      </c>
      <c r="F83" s="4" t="s">
        <v>908</v>
      </c>
      <c r="I83">
        <v>10</v>
      </c>
      <c r="J83">
        <v>7</v>
      </c>
      <c r="K83">
        <v>44</v>
      </c>
      <c r="L83">
        <v>37</v>
      </c>
      <c r="M83">
        <v>23</v>
      </c>
      <c r="O83" s="5">
        <f t="shared" si="36"/>
        <v>31</v>
      </c>
      <c r="P83" s="6">
        <v>42</v>
      </c>
      <c r="Q83">
        <v>91</v>
      </c>
      <c r="R83">
        <v>24</v>
      </c>
      <c r="S83">
        <v>52</v>
      </c>
      <c r="T83">
        <v>9</v>
      </c>
      <c r="V83">
        <f t="shared" si="37"/>
        <v>39</v>
      </c>
      <c r="W83" s="6">
        <f>SUMIFS(events!AJ:AJ,events!Q:Q,"=DeadIce",events!AK:AK,"&lt;="&amp;shifts!AG83,events!AL:AL,"&gt;"&amp;shifts!AH83,events!E:E,"="&amp;shifts!B84)+SUMIFS(events!AJ:AJ,events!Q:Q,"=Timeout",events!AK:AK,"&lt;="&amp;shifts!AG83,events!AL:AL,"&gt;"&amp;shifts!AH83,events!E:E,"="&amp;shifts!B84)</f>
        <v>0</v>
      </c>
      <c r="X83" s="6">
        <f t="shared" si="38"/>
        <v>1</v>
      </c>
      <c r="Y83">
        <v>1</v>
      </c>
      <c r="Z83" t="str">
        <f t="shared" si="39"/>
        <v/>
      </c>
      <c r="AB83" t="str">
        <f t="shared" si="40"/>
        <v/>
      </c>
      <c r="AD83" s="39">
        <v>19062</v>
      </c>
      <c r="AE83" s="39" t="s">
        <v>944</v>
      </c>
      <c r="AF83" s="39" t="s">
        <v>521</v>
      </c>
      <c r="AG83" s="4">
        <f t="shared" si="41"/>
        <v>868</v>
      </c>
      <c r="AH83" s="4">
        <f t="shared" si="42"/>
        <v>799</v>
      </c>
      <c r="AI83" s="14">
        <f t="shared" si="43"/>
        <v>69</v>
      </c>
      <c r="AJ83">
        <f t="shared" si="44"/>
        <v>5</v>
      </c>
      <c r="AK83">
        <f t="shared" si="45"/>
        <v>5</v>
      </c>
      <c r="AL83">
        <f t="shared" si="46"/>
        <v>0</v>
      </c>
      <c r="AM83">
        <f t="shared" si="47"/>
        <v>0</v>
      </c>
      <c r="AN83">
        <f t="shared" si="48"/>
        <v>0</v>
      </c>
      <c r="AO83">
        <f t="shared" si="49"/>
        <v>0</v>
      </c>
      <c r="AP83">
        <f t="shared" si="50"/>
        <v>0</v>
      </c>
      <c r="AQ83">
        <f t="shared" si="51"/>
        <v>0</v>
      </c>
      <c r="AR83" t="str">
        <f t="shared" si="52"/>
        <v>Full Strength</v>
      </c>
      <c r="AS83" t="str">
        <f t="shared" si="53"/>
        <v>5v5</v>
      </c>
      <c r="AT83">
        <f t="shared" si="54"/>
        <v>2</v>
      </c>
      <c r="AU83">
        <f t="shared" si="55"/>
        <v>1</v>
      </c>
      <c r="AV83">
        <f t="shared" si="56"/>
        <v>0</v>
      </c>
      <c r="AW83">
        <f t="shared" si="57"/>
        <v>0</v>
      </c>
      <c r="AX83">
        <f t="shared" si="58"/>
        <v>0</v>
      </c>
      <c r="AY83">
        <f t="shared" si="59"/>
        <v>0</v>
      </c>
      <c r="AZ83">
        <f>IFERROR(VLOOKUP(B83,events!AD:BR,37,FALSE),0)</f>
        <v>2302</v>
      </c>
      <c r="BA83">
        <f t="shared" si="32"/>
        <v>2514</v>
      </c>
      <c r="BB83">
        <f t="shared" si="60"/>
        <v>2509</v>
      </c>
      <c r="BC83" s="4">
        <f t="shared" si="61"/>
        <v>2581</v>
      </c>
    </row>
    <row r="84" spans="1:55" x14ac:dyDescent="0.2">
      <c r="A84">
        <f t="shared" si="62"/>
        <v>83</v>
      </c>
      <c r="B84" s="6">
        <f t="shared" si="33"/>
        <v>3</v>
      </c>
      <c r="C84">
        <f t="shared" si="34"/>
        <v>13</v>
      </c>
      <c r="D84" s="4" t="str">
        <f t="shared" si="35"/>
        <v>19</v>
      </c>
      <c r="E84">
        <v>13</v>
      </c>
      <c r="F84" s="4" t="s">
        <v>744</v>
      </c>
      <c r="H84" s="5" t="s">
        <v>341</v>
      </c>
      <c r="I84">
        <v>10</v>
      </c>
      <c r="J84">
        <v>7</v>
      </c>
      <c r="K84">
        <v>44</v>
      </c>
      <c r="L84">
        <v>37</v>
      </c>
      <c r="M84">
        <v>23</v>
      </c>
      <c r="O84" s="5">
        <f t="shared" si="36"/>
        <v>31</v>
      </c>
      <c r="P84" s="6">
        <v>42</v>
      </c>
      <c r="Q84">
        <v>14</v>
      </c>
      <c r="R84">
        <v>24</v>
      </c>
      <c r="S84">
        <v>93</v>
      </c>
      <c r="T84">
        <v>9</v>
      </c>
      <c r="V84">
        <f t="shared" si="37"/>
        <v>39</v>
      </c>
      <c r="W84" s="6">
        <f>SUMIFS(events!AJ:AJ,events!Q:Q,"=DeadIce",events!AK:AK,"&lt;="&amp;shifts!AG84,events!AL:AL,"&gt;"&amp;shifts!AH84,events!E:E,"="&amp;shifts!B85)+SUMIFS(events!AJ:AJ,events!Q:Q,"=Timeout",events!AK:AK,"&lt;="&amp;shifts!AG84,events!AL:AL,"&gt;"&amp;shifts!AH84,events!E:E,"="&amp;shifts!B85)</f>
        <v>0</v>
      </c>
      <c r="X84" s="6">
        <f t="shared" si="38"/>
        <v>1</v>
      </c>
      <c r="Z84" t="str">
        <f t="shared" si="39"/>
        <v/>
      </c>
      <c r="AA84">
        <v>1</v>
      </c>
      <c r="AB84" t="str">
        <f t="shared" si="40"/>
        <v/>
      </c>
      <c r="AD84" s="39">
        <v>19063</v>
      </c>
      <c r="AE84" s="39" t="s">
        <v>944</v>
      </c>
      <c r="AF84" s="39" t="s">
        <v>521</v>
      </c>
      <c r="AG84" s="4">
        <f t="shared" si="41"/>
        <v>799</v>
      </c>
      <c r="AH84" s="4">
        <f t="shared" si="42"/>
        <v>795</v>
      </c>
      <c r="AI84" s="14">
        <f t="shared" si="43"/>
        <v>4</v>
      </c>
      <c r="AJ84">
        <f t="shared" si="44"/>
        <v>5</v>
      </c>
      <c r="AK84">
        <f t="shared" si="45"/>
        <v>5</v>
      </c>
      <c r="AL84">
        <f t="shared" si="46"/>
        <v>0</v>
      </c>
      <c r="AM84">
        <f t="shared" si="47"/>
        <v>0</v>
      </c>
      <c r="AN84">
        <f t="shared" si="48"/>
        <v>0</v>
      </c>
      <c r="AO84">
        <f t="shared" si="49"/>
        <v>0</v>
      </c>
      <c r="AP84">
        <f t="shared" si="50"/>
        <v>0</v>
      </c>
      <c r="AQ84">
        <f t="shared" si="51"/>
        <v>0</v>
      </c>
      <c r="AR84" t="str">
        <f t="shared" si="52"/>
        <v>Full Strength</v>
      </c>
      <c r="AS84" t="str">
        <f t="shared" si="53"/>
        <v>5v5</v>
      </c>
      <c r="AT84">
        <f t="shared" si="54"/>
        <v>2</v>
      </c>
      <c r="AU84">
        <f t="shared" si="55"/>
        <v>1</v>
      </c>
      <c r="AV84">
        <f t="shared" si="56"/>
        <v>0</v>
      </c>
      <c r="AW84">
        <f t="shared" si="57"/>
        <v>0</v>
      </c>
      <c r="AX84">
        <f t="shared" si="58"/>
        <v>0</v>
      </c>
      <c r="AY84">
        <f t="shared" si="59"/>
        <v>0</v>
      </c>
      <c r="AZ84">
        <f>IFERROR(VLOOKUP(B84,events!AD:BR,37,FALSE),0)</f>
        <v>2302</v>
      </c>
      <c r="BA84">
        <f t="shared" si="32"/>
        <v>2583</v>
      </c>
      <c r="BB84">
        <f t="shared" si="60"/>
        <v>2578</v>
      </c>
      <c r="BC84" s="4">
        <f t="shared" si="61"/>
        <v>2585</v>
      </c>
    </row>
    <row r="85" spans="1:55" x14ac:dyDescent="0.2">
      <c r="A85">
        <f t="shared" si="62"/>
        <v>84</v>
      </c>
      <c r="B85" s="6">
        <f t="shared" si="33"/>
        <v>3</v>
      </c>
      <c r="C85">
        <f t="shared" si="34"/>
        <v>13</v>
      </c>
      <c r="D85" s="4" t="str">
        <f t="shared" si="35"/>
        <v>15</v>
      </c>
      <c r="E85">
        <v>11</v>
      </c>
      <c r="F85" s="4" t="s">
        <v>922</v>
      </c>
      <c r="G85" s="6" t="s">
        <v>289</v>
      </c>
      <c r="H85" s="5" t="s">
        <v>342</v>
      </c>
      <c r="I85">
        <v>79</v>
      </c>
      <c r="J85">
        <v>15</v>
      </c>
      <c r="K85">
        <v>16</v>
      </c>
      <c r="L85">
        <v>80</v>
      </c>
      <c r="M85">
        <v>8</v>
      </c>
      <c r="O85" s="5">
        <f t="shared" si="36"/>
        <v>31</v>
      </c>
      <c r="P85" s="6">
        <v>49</v>
      </c>
      <c r="Q85">
        <v>14</v>
      </c>
      <c r="R85">
        <v>61</v>
      </c>
      <c r="S85">
        <v>93</v>
      </c>
      <c r="T85">
        <v>84</v>
      </c>
      <c r="V85">
        <f t="shared" si="37"/>
        <v>39</v>
      </c>
      <c r="W85" s="6">
        <f>SUMIFS(events!AJ:AJ,events!Q:Q,"=DeadIce",events!AK:AK,"&lt;="&amp;shifts!AG85,events!AL:AL,"&gt;"&amp;shifts!AH85,events!E:E,"="&amp;shifts!B86)+SUMIFS(events!AJ:AJ,events!Q:Q,"=Timeout",events!AK:AK,"&lt;="&amp;shifts!AG85,events!AL:AL,"&gt;"&amp;shifts!AH85,events!E:E,"="&amp;shifts!B86)</f>
        <v>0</v>
      </c>
      <c r="X85" s="6" t="str">
        <f t="shared" si="38"/>
        <v/>
      </c>
      <c r="Y85">
        <v>1</v>
      </c>
      <c r="Z85">
        <f t="shared" si="39"/>
        <v>1</v>
      </c>
      <c r="AB85" t="str">
        <f t="shared" si="40"/>
        <v/>
      </c>
      <c r="AD85" s="39">
        <v>19064</v>
      </c>
      <c r="AE85" s="39" t="s">
        <v>944</v>
      </c>
      <c r="AF85" s="39" t="s">
        <v>521</v>
      </c>
      <c r="AG85" s="4">
        <f t="shared" si="41"/>
        <v>795</v>
      </c>
      <c r="AH85" s="4">
        <f t="shared" si="42"/>
        <v>710</v>
      </c>
      <c r="AI85" s="14">
        <f t="shared" si="43"/>
        <v>85</v>
      </c>
      <c r="AJ85">
        <f t="shared" si="44"/>
        <v>5</v>
      </c>
      <c r="AK85">
        <f t="shared" si="45"/>
        <v>5</v>
      </c>
      <c r="AL85">
        <f t="shared" si="46"/>
        <v>0</v>
      </c>
      <c r="AM85">
        <f t="shared" si="47"/>
        <v>0</v>
      </c>
      <c r="AN85">
        <f t="shared" si="48"/>
        <v>0</v>
      </c>
      <c r="AO85">
        <f t="shared" si="49"/>
        <v>0</v>
      </c>
      <c r="AP85">
        <f t="shared" si="50"/>
        <v>0</v>
      </c>
      <c r="AQ85">
        <f t="shared" si="51"/>
        <v>0</v>
      </c>
      <c r="AR85" t="str">
        <f t="shared" si="52"/>
        <v>Full Strength</v>
      </c>
      <c r="AS85" t="str">
        <f t="shared" si="53"/>
        <v>5v5</v>
      </c>
      <c r="AT85">
        <f t="shared" si="54"/>
        <v>2</v>
      </c>
      <c r="AU85">
        <f t="shared" si="55"/>
        <v>1</v>
      </c>
      <c r="AV85">
        <f t="shared" si="56"/>
        <v>0</v>
      </c>
      <c r="AW85">
        <f t="shared" si="57"/>
        <v>0</v>
      </c>
      <c r="AX85">
        <f t="shared" si="58"/>
        <v>0</v>
      </c>
      <c r="AY85">
        <f t="shared" si="59"/>
        <v>0</v>
      </c>
      <c r="AZ85">
        <f>IFERROR(VLOOKUP(B85,events!AD:BR,37,FALSE),0)</f>
        <v>2302</v>
      </c>
      <c r="BA85">
        <f t="shared" si="32"/>
        <v>2587</v>
      </c>
      <c r="BB85">
        <f t="shared" si="60"/>
        <v>2582</v>
      </c>
      <c r="BC85" s="4">
        <f t="shared" si="61"/>
        <v>2670</v>
      </c>
    </row>
    <row r="86" spans="1:55" x14ac:dyDescent="0.2">
      <c r="A86">
        <f t="shared" si="62"/>
        <v>85</v>
      </c>
      <c r="B86" s="6">
        <f t="shared" si="33"/>
        <v>3</v>
      </c>
      <c r="C86">
        <f t="shared" si="34"/>
        <v>11</v>
      </c>
      <c r="D86" s="4" t="str">
        <f t="shared" si="35"/>
        <v>50</v>
      </c>
      <c r="E86">
        <v>10</v>
      </c>
      <c r="F86" s="4" t="s">
        <v>733</v>
      </c>
      <c r="G86" s="6" t="s">
        <v>289</v>
      </c>
      <c r="I86">
        <v>79</v>
      </c>
      <c r="J86">
        <v>3</v>
      </c>
      <c r="K86">
        <v>16</v>
      </c>
      <c r="L86">
        <v>80</v>
      </c>
      <c r="M86">
        <v>8</v>
      </c>
      <c r="O86" s="5">
        <f t="shared" si="36"/>
        <v>31</v>
      </c>
      <c r="P86" s="6">
        <v>49</v>
      </c>
      <c r="Q86">
        <v>14</v>
      </c>
      <c r="R86">
        <v>61</v>
      </c>
      <c r="S86">
        <v>93</v>
      </c>
      <c r="T86">
        <v>84</v>
      </c>
      <c r="V86">
        <f t="shared" si="37"/>
        <v>39</v>
      </c>
      <c r="W86" s="6">
        <f>SUMIFS(events!AJ:AJ,events!Q:Q,"=DeadIce",events!AK:AK,"&lt;="&amp;shifts!AG86,events!AL:AL,"&gt;"&amp;shifts!AH86,events!E:E,"="&amp;shifts!B87)+SUMIFS(events!AJ:AJ,events!Q:Q,"=Timeout",events!AK:AK,"&lt;="&amp;shifts!AG86,events!AL:AL,"&gt;"&amp;shifts!AH86,events!E:E,"="&amp;shifts!B87)</f>
        <v>0</v>
      </c>
      <c r="X86" s="6">
        <f t="shared" si="38"/>
        <v>1</v>
      </c>
      <c r="Z86" t="str">
        <f t="shared" si="39"/>
        <v/>
      </c>
      <c r="AA86">
        <v>1</v>
      </c>
      <c r="AB86" t="str">
        <f t="shared" si="40"/>
        <v/>
      </c>
      <c r="AD86" s="39">
        <v>19065</v>
      </c>
      <c r="AE86" s="39" t="s">
        <v>944</v>
      </c>
      <c r="AF86" s="39" t="s">
        <v>521</v>
      </c>
      <c r="AG86" s="4">
        <f t="shared" si="41"/>
        <v>710</v>
      </c>
      <c r="AH86" s="4">
        <f t="shared" si="42"/>
        <v>656</v>
      </c>
      <c r="AI86" s="14">
        <f t="shared" si="43"/>
        <v>54</v>
      </c>
      <c r="AJ86">
        <f t="shared" si="44"/>
        <v>5</v>
      </c>
      <c r="AK86">
        <f t="shared" si="45"/>
        <v>5</v>
      </c>
      <c r="AL86">
        <f t="shared" si="46"/>
        <v>0</v>
      </c>
      <c r="AM86">
        <f t="shared" si="47"/>
        <v>0</v>
      </c>
      <c r="AN86">
        <f t="shared" si="48"/>
        <v>0</v>
      </c>
      <c r="AO86">
        <f t="shared" si="49"/>
        <v>0</v>
      </c>
      <c r="AP86">
        <f t="shared" si="50"/>
        <v>0</v>
      </c>
      <c r="AQ86">
        <f t="shared" si="51"/>
        <v>0</v>
      </c>
      <c r="AR86" t="str">
        <f t="shared" si="52"/>
        <v>Full Strength</v>
      </c>
      <c r="AS86" t="str">
        <f t="shared" si="53"/>
        <v>5v5</v>
      </c>
      <c r="AT86">
        <f t="shared" si="54"/>
        <v>2</v>
      </c>
      <c r="AU86">
        <f t="shared" si="55"/>
        <v>1</v>
      </c>
      <c r="AV86">
        <f t="shared" si="56"/>
        <v>0</v>
      </c>
      <c r="AW86">
        <f t="shared" si="57"/>
        <v>0</v>
      </c>
      <c r="AX86">
        <f t="shared" si="58"/>
        <v>0</v>
      </c>
      <c r="AY86">
        <f t="shared" si="59"/>
        <v>0</v>
      </c>
      <c r="AZ86">
        <f>IFERROR(VLOOKUP(B86,events!AD:BR,37,FALSE),0)</f>
        <v>2302</v>
      </c>
      <c r="BA86">
        <f t="shared" si="32"/>
        <v>2672</v>
      </c>
      <c r="BB86">
        <f t="shared" si="60"/>
        <v>2667</v>
      </c>
      <c r="BC86" s="4">
        <f t="shared" si="61"/>
        <v>2724</v>
      </c>
    </row>
    <row r="87" spans="1:55" x14ac:dyDescent="0.2">
      <c r="A87">
        <f t="shared" si="62"/>
        <v>86</v>
      </c>
      <c r="B87" s="6">
        <f t="shared" si="33"/>
        <v>3</v>
      </c>
      <c r="C87">
        <f t="shared" si="34"/>
        <v>10</v>
      </c>
      <c r="D87" s="4" t="str">
        <f t="shared" si="35"/>
        <v>56</v>
      </c>
      <c r="E87">
        <v>10</v>
      </c>
      <c r="F87" s="4" t="s">
        <v>928</v>
      </c>
      <c r="I87">
        <v>10</v>
      </c>
      <c r="J87">
        <v>3</v>
      </c>
      <c r="K87">
        <v>16</v>
      </c>
      <c r="L87">
        <v>80</v>
      </c>
      <c r="M87">
        <v>8</v>
      </c>
      <c r="O87" s="5">
        <f t="shared" si="36"/>
        <v>31</v>
      </c>
      <c r="P87" s="6">
        <v>49</v>
      </c>
      <c r="Q87">
        <v>14</v>
      </c>
      <c r="R87">
        <v>61</v>
      </c>
      <c r="S87">
        <v>93</v>
      </c>
      <c r="T87">
        <v>84</v>
      </c>
      <c r="V87">
        <f t="shared" si="37"/>
        <v>39</v>
      </c>
      <c r="W87" s="6">
        <f>SUMIFS(events!AJ:AJ,events!Q:Q,"=DeadIce",events!AK:AK,"&lt;="&amp;shifts!AG87,events!AL:AL,"&gt;"&amp;shifts!AH87,events!E:E,"="&amp;shifts!B88)+SUMIFS(events!AJ:AJ,events!Q:Q,"=Timeout",events!AK:AK,"&lt;="&amp;shifts!AG87,events!AL:AL,"&gt;"&amp;shifts!AH87,events!E:E,"="&amp;shifts!B88)</f>
        <v>0</v>
      </c>
      <c r="X87" s="6" t="str">
        <f t="shared" si="38"/>
        <v/>
      </c>
      <c r="Z87">
        <f t="shared" si="39"/>
        <v>1</v>
      </c>
      <c r="AB87" t="str">
        <f t="shared" si="40"/>
        <v/>
      </c>
      <c r="AC87">
        <v>1</v>
      </c>
      <c r="AD87" s="39">
        <v>19066</v>
      </c>
      <c r="AE87" s="39" t="s">
        <v>944</v>
      </c>
      <c r="AF87" s="39" t="s">
        <v>521</v>
      </c>
      <c r="AG87" s="4">
        <f t="shared" si="41"/>
        <v>656</v>
      </c>
      <c r="AH87" s="4">
        <f t="shared" si="42"/>
        <v>637</v>
      </c>
      <c r="AI87" s="14">
        <f t="shared" si="43"/>
        <v>19</v>
      </c>
      <c r="AJ87">
        <f t="shared" si="44"/>
        <v>5</v>
      </c>
      <c r="AK87">
        <f t="shared" si="45"/>
        <v>5</v>
      </c>
      <c r="AL87">
        <f t="shared" si="46"/>
        <v>0</v>
      </c>
      <c r="AM87">
        <f t="shared" si="47"/>
        <v>0</v>
      </c>
      <c r="AN87">
        <f t="shared" si="48"/>
        <v>0</v>
      </c>
      <c r="AO87">
        <f t="shared" si="49"/>
        <v>0</v>
      </c>
      <c r="AP87">
        <f t="shared" si="50"/>
        <v>0</v>
      </c>
      <c r="AQ87">
        <f t="shared" si="51"/>
        <v>0</v>
      </c>
      <c r="AR87" t="str">
        <f t="shared" si="52"/>
        <v>Full Strength</v>
      </c>
      <c r="AS87" t="str">
        <f t="shared" si="53"/>
        <v>5v5</v>
      </c>
      <c r="AT87">
        <f t="shared" si="54"/>
        <v>2</v>
      </c>
      <c r="AU87">
        <f t="shared" si="55"/>
        <v>1</v>
      </c>
      <c r="AV87">
        <f t="shared" si="56"/>
        <v>0</v>
      </c>
      <c r="AW87">
        <f t="shared" si="57"/>
        <v>0</v>
      </c>
      <c r="AX87">
        <f t="shared" si="58"/>
        <v>0</v>
      </c>
      <c r="AY87">
        <f t="shared" si="59"/>
        <v>0</v>
      </c>
      <c r="AZ87">
        <f>IFERROR(VLOOKUP(B87,events!AD:BR,37,FALSE),0)</f>
        <v>2302</v>
      </c>
      <c r="BA87">
        <f t="shared" si="32"/>
        <v>2726</v>
      </c>
      <c r="BB87">
        <f t="shared" si="60"/>
        <v>2721</v>
      </c>
      <c r="BC87" s="4">
        <f t="shared" si="61"/>
        <v>2743</v>
      </c>
    </row>
    <row r="88" spans="1:55" x14ac:dyDescent="0.2">
      <c r="A88">
        <f t="shared" si="62"/>
        <v>87</v>
      </c>
      <c r="B88" s="6">
        <f t="shared" si="33"/>
        <v>3</v>
      </c>
      <c r="C88">
        <f t="shared" si="34"/>
        <v>10</v>
      </c>
      <c r="D88" s="4" t="str">
        <f t="shared" si="35"/>
        <v>37</v>
      </c>
      <c r="E88">
        <v>10</v>
      </c>
      <c r="F88" s="4" t="s">
        <v>905</v>
      </c>
      <c r="I88">
        <v>10</v>
      </c>
      <c r="J88">
        <v>3</v>
      </c>
      <c r="K88">
        <v>44</v>
      </c>
      <c r="L88">
        <v>80</v>
      </c>
      <c r="M88">
        <v>8</v>
      </c>
      <c r="O88" s="5">
        <f t="shared" si="36"/>
        <v>31</v>
      </c>
      <c r="P88" s="6">
        <v>49</v>
      </c>
      <c r="Q88">
        <v>14</v>
      </c>
      <c r="R88">
        <v>61</v>
      </c>
      <c r="S88">
        <v>93</v>
      </c>
      <c r="T88">
        <v>84</v>
      </c>
      <c r="V88">
        <f t="shared" si="37"/>
        <v>39</v>
      </c>
      <c r="W88" s="6">
        <f>SUMIFS(events!AJ:AJ,events!Q:Q,"=DeadIce",events!AK:AK,"&lt;="&amp;shifts!AG88,events!AL:AL,"&gt;"&amp;shifts!AH88,events!E:E,"="&amp;shifts!B89)+SUMIFS(events!AJ:AJ,events!Q:Q,"=Timeout",events!AK:AK,"&lt;="&amp;shifts!AG88,events!AL:AL,"&gt;"&amp;shifts!AH88,events!E:E,"="&amp;shifts!B89)</f>
        <v>0</v>
      </c>
      <c r="X88" s="6" t="str">
        <f t="shared" si="38"/>
        <v/>
      </c>
      <c r="Y88">
        <v>1</v>
      </c>
      <c r="Z88" t="str">
        <f t="shared" si="39"/>
        <v/>
      </c>
      <c r="AB88">
        <f t="shared" si="40"/>
        <v>1</v>
      </c>
      <c r="AD88" s="39">
        <v>19067</v>
      </c>
      <c r="AE88" s="39" t="s">
        <v>944</v>
      </c>
      <c r="AF88" s="39" t="s">
        <v>521</v>
      </c>
      <c r="AG88" s="4">
        <f t="shared" si="41"/>
        <v>637</v>
      </c>
      <c r="AH88" s="4">
        <f t="shared" si="42"/>
        <v>632</v>
      </c>
      <c r="AI88" s="14">
        <f t="shared" si="43"/>
        <v>5</v>
      </c>
      <c r="AJ88">
        <f t="shared" si="44"/>
        <v>5</v>
      </c>
      <c r="AK88">
        <f t="shared" si="45"/>
        <v>5</v>
      </c>
      <c r="AL88">
        <f t="shared" si="46"/>
        <v>0</v>
      </c>
      <c r="AM88">
        <f t="shared" si="47"/>
        <v>0</v>
      </c>
      <c r="AN88">
        <f t="shared" si="48"/>
        <v>0</v>
      </c>
      <c r="AO88">
        <f t="shared" si="49"/>
        <v>0</v>
      </c>
      <c r="AP88">
        <f t="shared" si="50"/>
        <v>0</v>
      </c>
      <c r="AQ88">
        <f t="shared" si="51"/>
        <v>0</v>
      </c>
      <c r="AR88" t="str">
        <f t="shared" si="52"/>
        <v>Full Strength</v>
      </c>
      <c r="AS88" t="str">
        <f t="shared" si="53"/>
        <v>5v5</v>
      </c>
      <c r="AT88">
        <f t="shared" si="54"/>
        <v>2</v>
      </c>
      <c r="AU88">
        <f t="shared" si="55"/>
        <v>1</v>
      </c>
      <c r="AV88">
        <f t="shared" si="56"/>
        <v>0</v>
      </c>
      <c r="AW88">
        <f t="shared" si="57"/>
        <v>0</v>
      </c>
      <c r="AX88">
        <f t="shared" si="58"/>
        <v>0</v>
      </c>
      <c r="AY88">
        <f t="shared" si="59"/>
        <v>0</v>
      </c>
      <c r="AZ88">
        <f>IFERROR(VLOOKUP(B88,events!AD:BR,37,FALSE),0)</f>
        <v>2302</v>
      </c>
      <c r="BA88">
        <f t="shared" si="32"/>
        <v>2745</v>
      </c>
      <c r="BB88">
        <f t="shared" si="60"/>
        <v>2740</v>
      </c>
      <c r="BC88" s="4">
        <f t="shared" si="61"/>
        <v>2748</v>
      </c>
    </row>
    <row r="89" spans="1:55" x14ac:dyDescent="0.2">
      <c r="A89">
        <f t="shared" si="62"/>
        <v>88</v>
      </c>
      <c r="B89" s="6">
        <f t="shared" si="33"/>
        <v>3</v>
      </c>
      <c r="C89">
        <f t="shared" si="34"/>
        <v>10</v>
      </c>
      <c r="D89" s="4" t="str">
        <f t="shared" si="35"/>
        <v>32</v>
      </c>
      <c r="E89">
        <v>10</v>
      </c>
      <c r="F89" s="4" t="s">
        <v>740</v>
      </c>
      <c r="H89" s="5" t="s">
        <v>342</v>
      </c>
      <c r="I89">
        <v>10</v>
      </c>
      <c r="J89">
        <v>3</v>
      </c>
      <c r="K89">
        <v>44</v>
      </c>
      <c r="L89">
        <v>80</v>
      </c>
      <c r="M89">
        <v>8</v>
      </c>
      <c r="O89" s="5">
        <f t="shared" si="36"/>
        <v>31</v>
      </c>
      <c r="P89" s="6">
        <v>49</v>
      </c>
      <c r="Q89">
        <v>14</v>
      </c>
      <c r="R89">
        <v>61</v>
      </c>
      <c r="S89">
        <v>93</v>
      </c>
      <c r="T89">
        <v>52</v>
      </c>
      <c r="V89">
        <f t="shared" si="37"/>
        <v>39</v>
      </c>
      <c r="W89" s="6">
        <f>SUMIFS(events!AJ:AJ,events!Q:Q,"=DeadIce",events!AK:AK,"&lt;="&amp;shifts!AG89,events!AL:AL,"&gt;"&amp;shifts!AH89,events!E:E,"="&amp;shifts!B90)+SUMIFS(events!AJ:AJ,events!Q:Q,"=Timeout",events!AK:AK,"&lt;="&amp;shifts!AG89,events!AL:AL,"&gt;"&amp;shifts!AH89,events!E:E,"="&amp;shifts!B90)</f>
        <v>0</v>
      </c>
      <c r="X89" s="6">
        <f t="shared" si="38"/>
        <v>1</v>
      </c>
      <c r="Y89">
        <v>1</v>
      </c>
      <c r="Z89" t="str">
        <f t="shared" si="39"/>
        <v/>
      </c>
      <c r="AB89" t="str">
        <f t="shared" si="40"/>
        <v/>
      </c>
      <c r="AD89" s="39">
        <v>19068</v>
      </c>
      <c r="AE89" s="39" t="s">
        <v>944</v>
      </c>
      <c r="AF89" s="39" t="s">
        <v>521</v>
      </c>
      <c r="AG89" s="4">
        <f t="shared" si="41"/>
        <v>632</v>
      </c>
      <c r="AH89" s="4">
        <f t="shared" si="42"/>
        <v>625</v>
      </c>
      <c r="AI89" s="14">
        <f t="shared" si="43"/>
        <v>7</v>
      </c>
      <c r="AJ89">
        <f t="shared" si="44"/>
        <v>5</v>
      </c>
      <c r="AK89">
        <f t="shared" si="45"/>
        <v>5</v>
      </c>
      <c r="AL89">
        <f t="shared" si="46"/>
        <v>0</v>
      </c>
      <c r="AM89">
        <f t="shared" si="47"/>
        <v>0</v>
      </c>
      <c r="AN89">
        <f t="shared" si="48"/>
        <v>0</v>
      </c>
      <c r="AO89">
        <f t="shared" si="49"/>
        <v>0</v>
      </c>
      <c r="AP89">
        <f t="shared" si="50"/>
        <v>0</v>
      </c>
      <c r="AQ89">
        <f t="shared" si="51"/>
        <v>0</v>
      </c>
      <c r="AR89" t="str">
        <f t="shared" si="52"/>
        <v>Full Strength</v>
      </c>
      <c r="AS89" t="str">
        <f t="shared" si="53"/>
        <v>5v5</v>
      </c>
      <c r="AT89">
        <f t="shared" si="54"/>
        <v>2</v>
      </c>
      <c r="AU89">
        <f t="shared" si="55"/>
        <v>1</v>
      </c>
      <c r="AV89">
        <f t="shared" si="56"/>
        <v>0</v>
      </c>
      <c r="AW89">
        <f t="shared" si="57"/>
        <v>0</v>
      </c>
      <c r="AX89">
        <f t="shared" si="58"/>
        <v>0</v>
      </c>
      <c r="AY89">
        <f t="shared" si="59"/>
        <v>0</v>
      </c>
      <c r="AZ89">
        <f>IFERROR(VLOOKUP(B89,events!AD:BR,37,FALSE),0)</f>
        <v>2302</v>
      </c>
      <c r="BA89">
        <f t="shared" si="32"/>
        <v>2750</v>
      </c>
      <c r="BB89">
        <f t="shared" si="60"/>
        <v>2745</v>
      </c>
      <c r="BC89" s="4">
        <f t="shared" si="61"/>
        <v>2755</v>
      </c>
    </row>
    <row r="90" spans="1:55" x14ac:dyDescent="0.2">
      <c r="A90">
        <f t="shared" si="62"/>
        <v>89</v>
      </c>
      <c r="B90" s="6">
        <f t="shared" si="33"/>
        <v>3</v>
      </c>
      <c r="C90">
        <f t="shared" si="34"/>
        <v>10</v>
      </c>
      <c r="D90" s="4" t="str">
        <f t="shared" si="35"/>
        <v>25</v>
      </c>
      <c r="E90">
        <v>8</v>
      </c>
      <c r="F90" s="4" t="s">
        <v>915</v>
      </c>
      <c r="G90" s="6" t="s">
        <v>289</v>
      </c>
      <c r="I90">
        <v>10</v>
      </c>
      <c r="J90">
        <v>7</v>
      </c>
      <c r="K90">
        <v>44</v>
      </c>
      <c r="L90">
        <v>37</v>
      </c>
      <c r="M90">
        <v>23</v>
      </c>
      <c r="O90" s="5">
        <f t="shared" si="36"/>
        <v>31</v>
      </c>
      <c r="P90" s="6">
        <v>70</v>
      </c>
      <c r="Q90">
        <v>87</v>
      </c>
      <c r="R90">
        <v>75</v>
      </c>
      <c r="S90">
        <v>22</v>
      </c>
      <c r="T90">
        <v>52</v>
      </c>
      <c r="V90">
        <f t="shared" si="37"/>
        <v>39</v>
      </c>
      <c r="W90" s="6">
        <f>SUMIFS(events!AJ:AJ,events!Q:Q,"=DeadIce",events!AK:AK,"&lt;="&amp;shifts!AG90,events!AL:AL,"&gt;"&amp;shifts!AH90,events!E:E,"="&amp;shifts!B91)+SUMIFS(events!AJ:AJ,events!Q:Q,"=Timeout",events!AK:AK,"&lt;="&amp;shifts!AG90,events!AL:AL,"&gt;"&amp;shifts!AH90,events!E:E,"="&amp;shifts!B91)</f>
        <v>0</v>
      </c>
      <c r="X90" s="6">
        <f t="shared" si="38"/>
        <v>1</v>
      </c>
      <c r="Z90" t="str">
        <f t="shared" si="39"/>
        <v/>
      </c>
      <c r="AB90" t="str">
        <f t="shared" si="40"/>
        <v/>
      </c>
      <c r="AC90">
        <v>1</v>
      </c>
      <c r="AD90" s="39">
        <v>19069</v>
      </c>
      <c r="AE90" s="39" t="s">
        <v>944</v>
      </c>
      <c r="AF90" s="39" t="s">
        <v>521</v>
      </c>
      <c r="AG90" s="4">
        <f t="shared" si="41"/>
        <v>625</v>
      </c>
      <c r="AH90" s="4">
        <f t="shared" si="42"/>
        <v>510</v>
      </c>
      <c r="AI90" s="14">
        <f t="shared" si="43"/>
        <v>115</v>
      </c>
      <c r="AJ90">
        <f t="shared" si="44"/>
        <v>5</v>
      </c>
      <c r="AK90">
        <f t="shared" si="45"/>
        <v>5</v>
      </c>
      <c r="AL90">
        <f t="shared" si="46"/>
        <v>0</v>
      </c>
      <c r="AM90">
        <f t="shared" si="47"/>
        <v>0</v>
      </c>
      <c r="AN90">
        <f t="shared" si="48"/>
        <v>0</v>
      </c>
      <c r="AO90">
        <f t="shared" si="49"/>
        <v>0</v>
      </c>
      <c r="AP90">
        <f t="shared" si="50"/>
        <v>0</v>
      </c>
      <c r="AQ90">
        <f t="shared" si="51"/>
        <v>0</v>
      </c>
      <c r="AR90" t="str">
        <f t="shared" si="52"/>
        <v>Full Strength</v>
      </c>
      <c r="AS90" t="str">
        <f t="shared" si="53"/>
        <v>5v5</v>
      </c>
      <c r="AT90">
        <f t="shared" si="54"/>
        <v>2</v>
      </c>
      <c r="AU90">
        <f t="shared" si="55"/>
        <v>1</v>
      </c>
      <c r="AV90">
        <f t="shared" si="56"/>
        <v>0</v>
      </c>
      <c r="AW90">
        <f t="shared" si="57"/>
        <v>0</v>
      </c>
      <c r="AX90">
        <f t="shared" si="58"/>
        <v>0</v>
      </c>
      <c r="AY90">
        <f t="shared" si="59"/>
        <v>0</v>
      </c>
      <c r="AZ90">
        <f>IFERROR(VLOOKUP(B90,events!AD:BR,37,FALSE),0)</f>
        <v>2302</v>
      </c>
      <c r="BA90">
        <f t="shared" si="32"/>
        <v>2757</v>
      </c>
      <c r="BB90">
        <f t="shared" si="60"/>
        <v>2752</v>
      </c>
      <c r="BC90" s="4">
        <f t="shared" si="61"/>
        <v>2870</v>
      </c>
    </row>
    <row r="91" spans="1:55" x14ac:dyDescent="0.2">
      <c r="A91">
        <f t="shared" si="62"/>
        <v>90</v>
      </c>
      <c r="B91" s="6">
        <f t="shared" si="33"/>
        <v>3</v>
      </c>
      <c r="C91">
        <f t="shared" si="34"/>
        <v>8</v>
      </c>
      <c r="D91" s="4" t="str">
        <f t="shared" si="35"/>
        <v>30</v>
      </c>
      <c r="E91">
        <v>8</v>
      </c>
      <c r="F91" s="4" t="s">
        <v>746</v>
      </c>
      <c r="I91">
        <v>10</v>
      </c>
      <c r="J91">
        <v>15</v>
      </c>
      <c r="K91">
        <v>44</v>
      </c>
      <c r="L91">
        <v>37</v>
      </c>
      <c r="M91">
        <v>23</v>
      </c>
      <c r="N91">
        <v>40.200000000000003</v>
      </c>
      <c r="O91" s="5">
        <f t="shared" si="36"/>
        <v>31</v>
      </c>
      <c r="P91" s="6">
        <v>70</v>
      </c>
      <c r="Q91">
        <v>87</v>
      </c>
      <c r="R91">
        <v>75</v>
      </c>
      <c r="S91">
        <v>22</v>
      </c>
      <c r="T91">
        <v>52</v>
      </c>
      <c r="V91">
        <f t="shared" si="37"/>
        <v>39</v>
      </c>
      <c r="W91" s="6">
        <f>SUMIFS(events!AJ:AJ,events!Q:Q,"=DeadIce",events!AK:AK,"&lt;="&amp;shifts!AG91,events!AL:AL,"&gt;"&amp;shifts!AH91,events!E:E,"="&amp;shifts!B92)+SUMIFS(events!AJ:AJ,events!Q:Q,"=Timeout",events!AK:AK,"&lt;="&amp;shifts!AG91,events!AL:AL,"&gt;"&amp;shifts!AH91,events!E:E,"="&amp;shifts!B92)</f>
        <v>0</v>
      </c>
      <c r="X91" s="6" t="str">
        <f t="shared" si="38"/>
        <v/>
      </c>
      <c r="Y91">
        <v>1</v>
      </c>
      <c r="Z91" t="str">
        <f t="shared" si="39"/>
        <v/>
      </c>
      <c r="AB91">
        <f t="shared" si="40"/>
        <v>1</v>
      </c>
      <c r="AD91" s="39">
        <v>19070</v>
      </c>
      <c r="AE91" s="39" t="s">
        <v>944</v>
      </c>
      <c r="AF91" s="39" t="s">
        <v>521</v>
      </c>
      <c r="AG91" s="4">
        <f t="shared" si="41"/>
        <v>510</v>
      </c>
      <c r="AH91" s="4">
        <f t="shared" si="42"/>
        <v>492</v>
      </c>
      <c r="AI91" s="14">
        <f t="shared" si="43"/>
        <v>18</v>
      </c>
      <c r="AJ91">
        <f t="shared" si="44"/>
        <v>6</v>
      </c>
      <c r="AK91">
        <f t="shared" si="45"/>
        <v>5</v>
      </c>
      <c r="AL91">
        <f t="shared" si="46"/>
        <v>0</v>
      </c>
      <c r="AM91">
        <f t="shared" si="47"/>
        <v>0</v>
      </c>
      <c r="AN91">
        <f t="shared" si="48"/>
        <v>0</v>
      </c>
      <c r="AO91">
        <f t="shared" si="49"/>
        <v>1</v>
      </c>
      <c r="AP91">
        <f t="shared" si="50"/>
        <v>0</v>
      </c>
      <c r="AQ91">
        <f t="shared" si="51"/>
        <v>1</v>
      </c>
      <c r="AR91" t="str">
        <f t="shared" si="52"/>
        <v>Home PowerPlay</v>
      </c>
      <c r="AS91" t="str">
        <f t="shared" si="53"/>
        <v>6v5</v>
      </c>
      <c r="AT91">
        <f t="shared" si="54"/>
        <v>2</v>
      </c>
      <c r="AU91">
        <f t="shared" si="55"/>
        <v>1</v>
      </c>
      <c r="AV91">
        <f t="shared" si="56"/>
        <v>0</v>
      </c>
      <c r="AW91">
        <f t="shared" si="57"/>
        <v>0</v>
      </c>
      <c r="AX91">
        <f t="shared" si="58"/>
        <v>0</v>
      </c>
      <c r="AY91">
        <f t="shared" si="59"/>
        <v>0</v>
      </c>
      <c r="AZ91">
        <f>IFERROR(VLOOKUP(B91,events!AD:BR,37,FALSE),0)</f>
        <v>2302</v>
      </c>
      <c r="BA91">
        <f t="shared" si="32"/>
        <v>2872</v>
      </c>
      <c r="BB91">
        <f t="shared" si="60"/>
        <v>2867</v>
      </c>
      <c r="BC91" s="4">
        <f t="shared" si="61"/>
        <v>2888</v>
      </c>
    </row>
    <row r="92" spans="1:55" x14ac:dyDescent="0.2">
      <c r="A92">
        <f t="shared" si="62"/>
        <v>91</v>
      </c>
      <c r="B92" s="6">
        <f t="shared" si="33"/>
        <v>3</v>
      </c>
      <c r="C92">
        <f t="shared" si="34"/>
        <v>8</v>
      </c>
      <c r="D92" s="4" t="str">
        <f t="shared" si="35"/>
        <v>12</v>
      </c>
      <c r="E92">
        <v>7</v>
      </c>
      <c r="F92" s="4" t="s">
        <v>921</v>
      </c>
      <c r="H92" s="5" t="s">
        <v>342</v>
      </c>
      <c r="I92">
        <v>10</v>
      </c>
      <c r="J92">
        <v>15</v>
      </c>
      <c r="K92">
        <v>44</v>
      </c>
      <c r="L92">
        <v>37</v>
      </c>
      <c r="M92">
        <v>23</v>
      </c>
      <c r="O92" s="5">
        <f t="shared" si="36"/>
        <v>31</v>
      </c>
      <c r="P92" s="6">
        <v>70</v>
      </c>
      <c r="Q92">
        <v>87</v>
      </c>
      <c r="R92">
        <v>75</v>
      </c>
      <c r="S92">
        <v>22</v>
      </c>
      <c r="T92">
        <v>9</v>
      </c>
      <c r="V92">
        <f t="shared" si="37"/>
        <v>39</v>
      </c>
      <c r="W92" s="6">
        <f>SUMIFS(events!AJ:AJ,events!Q:Q,"=DeadIce",events!AK:AK,"&lt;="&amp;shifts!AG92,events!AL:AL,"&gt;"&amp;shifts!AH92,events!E:E,"="&amp;shifts!B93)+SUMIFS(events!AJ:AJ,events!Q:Q,"=Timeout",events!AK:AK,"&lt;="&amp;shifts!AG92,events!AL:AL,"&gt;"&amp;shifts!AH92,events!E:E,"="&amp;shifts!B93)</f>
        <v>0</v>
      </c>
      <c r="X92" s="6">
        <f t="shared" si="38"/>
        <v>1</v>
      </c>
      <c r="Y92">
        <v>1</v>
      </c>
      <c r="Z92" t="str">
        <f t="shared" si="39"/>
        <v/>
      </c>
      <c r="AB92" t="str">
        <f t="shared" si="40"/>
        <v/>
      </c>
      <c r="AD92" s="39">
        <v>19071</v>
      </c>
      <c r="AE92" s="39" t="s">
        <v>944</v>
      </c>
      <c r="AF92" s="39" t="s">
        <v>521</v>
      </c>
      <c r="AG92" s="4">
        <f t="shared" si="41"/>
        <v>492</v>
      </c>
      <c r="AH92" s="4">
        <f t="shared" si="42"/>
        <v>473</v>
      </c>
      <c r="AI92" s="14">
        <f t="shared" si="43"/>
        <v>19</v>
      </c>
      <c r="AJ92">
        <f t="shared" si="44"/>
        <v>5</v>
      </c>
      <c r="AK92">
        <f t="shared" si="45"/>
        <v>5</v>
      </c>
      <c r="AL92">
        <f t="shared" si="46"/>
        <v>0</v>
      </c>
      <c r="AM92">
        <f t="shared" si="47"/>
        <v>0</v>
      </c>
      <c r="AN92">
        <f t="shared" si="48"/>
        <v>0</v>
      </c>
      <c r="AO92">
        <f t="shared" si="49"/>
        <v>0</v>
      </c>
      <c r="AP92">
        <f t="shared" si="50"/>
        <v>0</v>
      </c>
      <c r="AQ92">
        <f t="shared" si="51"/>
        <v>0</v>
      </c>
      <c r="AR92" t="str">
        <f t="shared" si="52"/>
        <v>Full Strength</v>
      </c>
      <c r="AS92" t="str">
        <f t="shared" si="53"/>
        <v>5v5</v>
      </c>
      <c r="AT92">
        <f t="shared" si="54"/>
        <v>2</v>
      </c>
      <c r="AU92">
        <f t="shared" si="55"/>
        <v>1</v>
      </c>
      <c r="AV92">
        <f t="shared" si="56"/>
        <v>0</v>
      </c>
      <c r="AW92">
        <f t="shared" si="57"/>
        <v>0</v>
      </c>
      <c r="AX92">
        <f t="shared" si="58"/>
        <v>0</v>
      </c>
      <c r="AY92">
        <f t="shared" si="59"/>
        <v>0</v>
      </c>
      <c r="AZ92">
        <f>IFERROR(VLOOKUP(B92,events!AD:BR,37,FALSE),0)</f>
        <v>2302</v>
      </c>
      <c r="BA92">
        <f t="shared" si="32"/>
        <v>2890</v>
      </c>
      <c r="BB92">
        <f t="shared" si="60"/>
        <v>2885</v>
      </c>
      <c r="BC92" s="4">
        <f t="shared" si="61"/>
        <v>2907</v>
      </c>
    </row>
    <row r="93" spans="1:55" x14ac:dyDescent="0.2">
      <c r="A93">
        <f t="shared" si="62"/>
        <v>92</v>
      </c>
      <c r="B93" s="6">
        <f t="shared" si="33"/>
        <v>3</v>
      </c>
      <c r="C93">
        <f t="shared" si="34"/>
        <v>7</v>
      </c>
      <c r="D93" s="4" t="str">
        <f t="shared" si="35"/>
        <v>53</v>
      </c>
      <c r="E93">
        <v>7</v>
      </c>
      <c r="F93" s="4" t="s">
        <v>939</v>
      </c>
      <c r="G93" s="6" t="s">
        <v>289</v>
      </c>
      <c r="I93">
        <v>79</v>
      </c>
      <c r="J93">
        <v>15</v>
      </c>
      <c r="K93">
        <v>16</v>
      </c>
      <c r="L93">
        <v>80</v>
      </c>
      <c r="M93">
        <v>8</v>
      </c>
      <c r="O93" s="5">
        <f t="shared" si="36"/>
        <v>31</v>
      </c>
      <c r="P93" s="6">
        <v>70</v>
      </c>
      <c r="Q93">
        <v>91</v>
      </c>
      <c r="R93">
        <v>24</v>
      </c>
      <c r="S93">
        <v>84</v>
      </c>
      <c r="T93">
        <v>9</v>
      </c>
      <c r="V93">
        <f t="shared" si="37"/>
        <v>39</v>
      </c>
      <c r="W93" s="6">
        <f>SUMIFS(events!AJ:AJ,events!Q:Q,"=DeadIce",events!AK:AK,"&lt;="&amp;shifts!AG93,events!AL:AL,"&gt;"&amp;shifts!AH93,events!E:E,"="&amp;shifts!B94)+SUMIFS(events!AJ:AJ,events!Q:Q,"=Timeout",events!AK:AK,"&lt;="&amp;shifts!AG93,events!AL:AL,"&gt;"&amp;shifts!AH93,events!E:E,"="&amp;shifts!B94)</f>
        <v>0</v>
      </c>
      <c r="X93" s="6">
        <f t="shared" si="38"/>
        <v>1</v>
      </c>
      <c r="Y93">
        <v>1</v>
      </c>
      <c r="Z93" t="str">
        <f t="shared" si="39"/>
        <v/>
      </c>
      <c r="AB93" t="str">
        <f t="shared" si="40"/>
        <v/>
      </c>
      <c r="AD93" s="39">
        <v>19072</v>
      </c>
      <c r="AE93" s="39" t="s">
        <v>944</v>
      </c>
      <c r="AF93" s="39" t="s">
        <v>521</v>
      </c>
      <c r="AG93" s="4">
        <f t="shared" si="41"/>
        <v>473</v>
      </c>
      <c r="AH93" s="4">
        <f t="shared" si="42"/>
        <v>428</v>
      </c>
      <c r="AI93" s="14">
        <f t="shared" si="43"/>
        <v>45</v>
      </c>
      <c r="AJ93">
        <f t="shared" si="44"/>
        <v>5</v>
      </c>
      <c r="AK93">
        <f t="shared" si="45"/>
        <v>5</v>
      </c>
      <c r="AL93">
        <f t="shared" si="46"/>
        <v>0</v>
      </c>
      <c r="AM93">
        <f t="shared" si="47"/>
        <v>0</v>
      </c>
      <c r="AN93">
        <f t="shared" si="48"/>
        <v>0</v>
      </c>
      <c r="AO93">
        <f t="shared" si="49"/>
        <v>0</v>
      </c>
      <c r="AP93">
        <f t="shared" si="50"/>
        <v>0</v>
      </c>
      <c r="AQ93">
        <f t="shared" si="51"/>
        <v>0</v>
      </c>
      <c r="AR93" t="str">
        <f t="shared" si="52"/>
        <v>Full Strength</v>
      </c>
      <c r="AS93" t="str">
        <f t="shared" si="53"/>
        <v>5v5</v>
      </c>
      <c r="AT93">
        <f t="shared" si="54"/>
        <v>2</v>
      </c>
      <c r="AU93">
        <f t="shared" si="55"/>
        <v>1</v>
      </c>
      <c r="AV93">
        <f t="shared" si="56"/>
        <v>0</v>
      </c>
      <c r="AW93">
        <f t="shared" si="57"/>
        <v>0</v>
      </c>
      <c r="AX93">
        <f t="shared" si="58"/>
        <v>0</v>
      </c>
      <c r="AY93">
        <f t="shared" si="59"/>
        <v>0</v>
      </c>
      <c r="AZ93">
        <f>IFERROR(VLOOKUP(B93,events!AD:BR,37,FALSE),0)</f>
        <v>2302</v>
      </c>
      <c r="BA93">
        <f t="shared" si="32"/>
        <v>2909</v>
      </c>
      <c r="BB93">
        <f t="shared" si="60"/>
        <v>2904</v>
      </c>
      <c r="BC93" s="4">
        <f t="shared" si="61"/>
        <v>2952</v>
      </c>
    </row>
    <row r="94" spans="1:55" x14ac:dyDescent="0.2">
      <c r="A94">
        <f t="shared" si="62"/>
        <v>93</v>
      </c>
      <c r="B94" s="6">
        <f t="shared" si="33"/>
        <v>3</v>
      </c>
      <c r="C94">
        <f t="shared" si="34"/>
        <v>7</v>
      </c>
      <c r="D94" s="4" t="str">
        <f t="shared" si="35"/>
        <v>08</v>
      </c>
      <c r="E94">
        <v>6</v>
      </c>
      <c r="F94" s="4" t="s">
        <v>935</v>
      </c>
      <c r="I94">
        <v>79</v>
      </c>
      <c r="J94">
        <v>15</v>
      </c>
      <c r="K94">
        <v>16</v>
      </c>
      <c r="L94">
        <v>80</v>
      </c>
      <c r="M94">
        <v>8</v>
      </c>
      <c r="O94" s="5">
        <f t="shared" si="36"/>
        <v>31</v>
      </c>
      <c r="P94" s="6">
        <v>42</v>
      </c>
      <c r="Q94">
        <v>91</v>
      </c>
      <c r="R94">
        <v>24</v>
      </c>
      <c r="S94">
        <v>84</v>
      </c>
      <c r="T94">
        <v>9</v>
      </c>
      <c r="V94">
        <f t="shared" si="37"/>
        <v>39</v>
      </c>
      <c r="W94" s="6">
        <f>SUMIFS(events!AJ:AJ,events!Q:Q,"=DeadIce",events!AK:AK,"&lt;="&amp;shifts!AG94,events!AL:AL,"&gt;"&amp;shifts!AH94,events!E:E,"="&amp;shifts!B95)+SUMIFS(events!AJ:AJ,events!Q:Q,"=Timeout",events!AK:AK,"&lt;="&amp;shifts!AG94,events!AL:AL,"&gt;"&amp;shifts!AH94,events!E:E,"="&amp;shifts!B95)</f>
        <v>0</v>
      </c>
      <c r="X94" s="6">
        <f t="shared" si="38"/>
        <v>1</v>
      </c>
      <c r="Z94" t="str">
        <f t="shared" si="39"/>
        <v/>
      </c>
      <c r="AA94">
        <v>1</v>
      </c>
      <c r="AB94" t="str">
        <f t="shared" si="40"/>
        <v/>
      </c>
      <c r="AD94" s="39">
        <v>19073</v>
      </c>
      <c r="AE94" s="39" t="s">
        <v>944</v>
      </c>
      <c r="AF94" s="39" t="s">
        <v>521</v>
      </c>
      <c r="AG94" s="4">
        <f t="shared" si="41"/>
        <v>428</v>
      </c>
      <c r="AH94" s="4">
        <f t="shared" si="42"/>
        <v>405</v>
      </c>
      <c r="AI94" s="14">
        <f t="shared" si="43"/>
        <v>23</v>
      </c>
      <c r="AJ94">
        <f t="shared" si="44"/>
        <v>5</v>
      </c>
      <c r="AK94">
        <f t="shared" si="45"/>
        <v>5</v>
      </c>
      <c r="AL94">
        <f t="shared" si="46"/>
        <v>0</v>
      </c>
      <c r="AM94">
        <f t="shared" si="47"/>
        <v>0</v>
      </c>
      <c r="AN94">
        <f t="shared" si="48"/>
        <v>0</v>
      </c>
      <c r="AO94">
        <f t="shared" si="49"/>
        <v>0</v>
      </c>
      <c r="AP94">
        <f t="shared" si="50"/>
        <v>0</v>
      </c>
      <c r="AQ94">
        <f t="shared" si="51"/>
        <v>0</v>
      </c>
      <c r="AR94" t="str">
        <f t="shared" si="52"/>
        <v>Full Strength</v>
      </c>
      <c r="AS94" t="str">
        <f t="shared" si="53"/>
        <v>5v5</v>
      </c>
      <c r="AT94">
        <f t="shared" si="54"/>
        <v>2</v>
      </c>
      <c r="AU94">
        <f t="shared" si="55"/>
        <v>1</v>
      </c>
      <c r="AV94">
        <f t="shared" si="56"/>
        <v>0</v>
      </c>
      <c r="AW94">
        <f t="shared" si="57"/>
        <v>0</v>
      </c>
      <c r="AX94">
        <f t="shared" si="58"/>
        <v>0</v>
      </c>
      <c r="AY94">
        <f t="shared" si="59"/>
        <v>0</v>
      </c>
      <c r="AZ94">
        <f>IFERROR(VLOOKUP(B94,events!AD:BR,37,FALSE),0)</f>
        <v>2302</v>
      </c>
      <c r="BA94">
        <f t="shared" si="32"/>
        <v>2954</v>
      </c>
      <c r="BB94">
        <f t="shared" si="60"/>
        <v>2949</v>
      </c>
      <c r="BC94" s="4">
        <f t="shared" si="61"/>
        <v>2975</v>
      </c>
    </row>
    <row r="95" spans="1:55" x14ac:dyDescent="0.2">
      <c r="A95">
        <f t="shared" si="62"/>
        <v>94</v>
      </c>
      <c r="B95" s="6">
        <f t="shared" si="33"/>
        <v>3</v>
      </c>
      <c r="C95">
        <f t="shared" si="34"/>
        <v>6</v>
      </c>
      <c r="D95" s="4" t="str">
        <f t="shared" si="35"/>
        <v>45</v>
      </c>
      <c r="E95">
        <v>6</v>
      </c>
      <c r="F95" s="4" t="s">
        <v>904</v>
      </c>
      <c r="I95">
        <v>79</v>
      </c>
      <c r="J95">
        <v>3</v>
      </c>
      <c r="K95">
        <v>16</v>
      </c>
      <c r="L95">
        <v>80</v>
      </c>
      <c r="M95">
        <v>8</v>
      </c>
      <c r="O95" s="5">
        <f t="shared" si="36"/>
        <v>31</v>
      </c>
      <c r="P95" s="6">
        <v>42</v>
      </c>
      <c r="Q95">
        <v>91</v>
      </c>
      <c r="R95">
        <v>24</v>
      </c>
      <c r="S95">
        <v>84</v>
      </c>
      <c r="T95">
        <v>9</v>
      </c>
      <c r="V95">
        <f t="shared" si="37"/>
        <v>39</v>
      </c>
      <c r="W95" s="6">
        <f>SUMIFS(events!AJ:AJ,events!Q:Q,"=DeadIce",events!AK:AK,"&lt;="&amp;shifts!AG95,events!AL:AL,"&gt;"&amp;shifts!AH95,events!E:E,"="&amp;shifts!B96)+SUMIFS(events!AJ:AJ,events!Q:Q,"=Timeout",events!AK:AK,"&lt;="&amp;shifts!AG95,events!AL:AL,"&gt;"&amp;shifts!AH95,events!E:E,"="&amp;shifts!B96)</f>
        <v>0</v>
      </c>
      <c r="X95" s="6" t="str">
        <f t="shared" si="38"/>
        <v/>
      </c>
      <c r="Y95">
        <v>1</v>
      </c>
      <c r="Z95">
        <f t="shared" si="39"/>
        <v>1</v>
      </c>
      <c r="AB95" t="str">
        <f t="shared" si="40"/>
        <v/>
      </c>
      <c r="AD95" s="39">
        <v>19074</v>
      </c>
      <c r="AE95" s="39" t="s">
        <v>944</v>
      </c>
      <c r="AF95" s="39" t="s">
        <v>521</v>
      </c>
      <c r="AG95" s="4">
        <f t="shared" si="41"/>
        <v>405</v>
      </c>
      <c r="AH95" s="4">
        <f t="shared" si="42"/>
        <v>396</v>
      </c>
      <c r="AI95" s="14">
        <f t="shared" si="43"/>
        <v>9</v>
      </c>
      <c r="AJ95">
        <f t="shared" si="44"/>
        <v>5</v>
      </c>
      <c r="AK95">
        <f t="shared" si="45"/>
        <v>5</v>
      </c>
      <c r="AL95">
        <f t="shared" si="46"/>
        <v>0</v>
      </c>
      <c r="AM95">
        <f t="shared" si="47"/>
        <v>0</v>
      </c>
      <c r="AN95">
        <f t="shared" si="48"/>
        <v>0</v>
      </c>
      <c r="AO95">
        <f t="shared" si="49"/>
        <v>0</v>
      </c>
      <c r="AP95">
        <f t="shared" si="50"/>
        <v>0</v>
      </c>
      <c r="AQ95">
        <f t="shared" si="51"/>
        <v>0</v>
      </c>
      <c r="AR95" t="str">
        <f t="shared" si="52"/>
        <v>Full Strength</v>
      </c>
      <c r="AS95" t="str">
        <f t="shared" si="53"/>
        <v>5v5</v>
      </c>
      <c r="AT95">
        <f t="shared" si="54"/>
        <v>2</v>
      </c>
      <c r="AU95">
        <f t="shared" si="55"/>
        <v>1</v>
      </c>
      <c r="AV95">
        <f t="shared" si="56"/>
        <v>0</v>
      </c>
      <c r="AW95">
        <f t="shared" si="57"/>
        <v>0</v>
      </c>
      <c r="AX95">
        <f t="shared" si="58"/>
        <v>0</v>
      </c>
      <c r="AY95">
        <f t="shared" si="59"/>
        <v>0</v>
      </c>
      <c r="AZ95">
        <f>IFERROR(VLOOKUP(B95,events!AD:BR,37,FALSE),0)</f>
        <v>2302</v>
      </c>
      <c r="BA95">
        <f t="shared" si="32"/>
        <v>2977</v>
      </c>
      <c r="BB95">
        <f t="shared" si="60"/>
        <v>2972</v>
      </c>
      <c r="BC95" s="4">
        <f t="shared" si="61"/>
        <v>2984</v>
      </c>
    </row>
    <row r="96" spans="1:55" x14ac:dyDescent="0.2">
      <c r="A96">
        <f t="shared" si="62"/>
        <v>95</v>
      </c>
      <c r="B96" s="6">
        <f t="shared" si="33"/>
        <v>3</v>
      </c>
      <c r="C96">
        <f t="shared" si="34"/>
        <v>6</v>
      </c>
      <c r="D96" s="4" t="str">
        <f t="shared" si="35"/>
        <v>36</v>
      </c>
      <c r="E96">
        <v>6</v>
      </c>
      <c r="F96" s="4" t="s">
        <v>743</v>
      </c>
      <c r="I96">
        <v>79</v>
      </c>
      <c r="J96">
        <v>3</v>
      </c>
      <c r="K96">
        <v>16</v>
      </c>
      <c r="L96">
        <v>80</v>
      </c>
      <c r="M96">
        <v>8</v>
      </c>
      <c r="O96" s="5">
        <f t="shared" si="36"/>
        <v>31</v>
      </c>
      <c r="P96" s="6">
        <v>42</v>
      </c>
      <c r="Q96">
        <v>91</v>
      </c>
      <c r="R96">
        <v>24</v>
      </c>
      <c r="S96">
        <v>84</v>
      </c>
      <c r="T96">
        <v>93</v>
      </c>
      <c r="V96">
        <f t="shared" si="37"/>
        <v>39</v>
      </c>
      <c r="W96" s="6">
        <f>SUMIFS(events!AJ:AJ,events!Q:Q,"=DeadIce",events!AK:AK,"&lt;="&amp;shifts!AG96,events!AL:AL,"&gt;"&amp;shifts!AH96,events!E:E,"="&amp;shifts!B97)+SUMIFS(events!AJ:AJ,events!Q:Q,"=Timeout",events!AK:AK,"&lt;="&amp;shifts!AG96,events!AL:AL,"&gt;"&amp;shifts!AH96,events!E:E,"="&amp;shifts!B97)</f>
        <v>0</v>
      </c>
      <c r="X96" s="6">
        <f t="shared" si="38"/>
        <v>1</v>
      </c>
      <c r="Y96">
        <v>1</v>
      </c>
      <c r="Z96" t="str">
        <f t="shared" si="39"/>
        <v/>
      </c>
      <c r="AB96" t="str">
        <f t="shared" si="40"/>
        <v/>
      </c>
      <c r="AD96" s="39">
        <v>19075</v>
      </c>
      <c r="AE96" s="39" t="s">
        <v>944</v>
      </c>
      <c r="AF96" s="39" t="s">
        <v>521</v>
      </c>
      <c r="AG96" s="4">
        <f t="shared" si="41"/>
        <v>396</v>
      </c>
      <c r="AH96" s="4">
        <f t="shared" si="42"/>
        <v>378</v>
      </c>
      <c r="AI96" s="14">
        <f t="shared" si="43"/>
        <v>18</v>
      </c>
      <c r="AJ96">
        <f t="shared" si="44"/>
        <v>5</v>
      </c>
      <c r="AK96">
        <f t="shared" si="45"/>
        <v>5</v>
      </c>
      <c r="AL96">
        <f t="shared" si="46"/>
        <v>0</v>
      </c>
      <c r="AM96">
        <f t="shared" si="47"/>
        <v>0</v>
      </c>
      <c r="AN96">
        <f t="shared" si="48"/>
        <v>0</v>
      </c>
      <c r="AO96">
        <f t="shared" si="49"/>
        <v>0</v>
      </c>
      <c r="AP96">
        <f t="shared" si="50"/>
        <v>0</v>
      </c>
      <c r="AQ96">
        <f t="shared" si="51"/>
        <v>0</v>
      </c>
      <c r="AR96" t="str">
        <f t="shared" si="52"/>
        <v>Full Strength</v>
      </c>
      <c r="AS96" t="str">
        <f t="shared" si="53"/>
        <v>5v5</v>
      </c>
      <c r="AT96">
        <f t="shared" si="54"/>
        <v>2</v>
      </c>
      <c r="AU96">
        <f t="shared" si="55"/>
        <v>1</v>
      </c>
      <c r="AV96">
        <f t="shared" si="56"/>
        <v>0</v>
      </c>
      <c r="AW96">
        <f t="shared" si="57"/>
        <v>0</v>
      </c>
      <c r="AX96">
        <f t="shared" si="58"/>
        <v>0</v>
      </c>
      <c r="AY96">
        <f t="shared" si="59"/>
        <v>0</v>
      </c>
      <c r="AZ96">
        <f>IFERROR(VLOOKUP(B96,events!AD:BR,37,FALSE),0)</f>
        <v>2302</v>
      </c>
      <c r="BA96">
        <f t="shared" si="32"/>
        <v>2986</v>
      </c>
      <c r="BB96">
        <f t="shared" si="60"/>
        <v>2981</v>
      </c>
      <c r="BC96" s="4">
        <f t="shared" si="61"/>
        <v>3002</v>
      </c>
    </row>
    <row r="97" spans="1:55" x14ac:dyDescent="0.2">
      <c r="A97">
        <f t="shared" si="62"/>
        <v>96</v>
      </c>
      <c r="B97" s="6">
        <f t="shared" si="33"/>
        <v>3</v>
      </c>
      <c r="C97">
        <f t="shared" si="34"/>
        <v>6</v>
      </c>
      <c r="D97" s="4" t="str">
        <f t="shared" si="35"/>
        <v>18</v>
      </c>
      <c r="E97">
        <v>6</v>
      </c>
      <c r="F97" s="4" t="s">
        <v>910</v>
      </c>
      <c r="I97">
        <v>79</v>
      </c>
      <c r="J97">
        <v>3</v>
      </c>
      <c r="K97">
        <v>16</v>
      </c>
      <c r="L97">
        <v>80</v>
      </c>
      <c r="M97">
        <v>8</v>
      </c>
      <c r="O97" s="5">
        <f t="shared" si="36"/>
        <v>31</v>
      </c>
      <c r="P97" s="6">
        <v>42</v>
      </c>
      <c r="Q97">
        <v>14</v>
      </c>
      <c r="R97">
        <v>24</v>
      </c>
      <c r="S97">
        <v>52</v>
      </c>
      <c r="T97">
        <v>93</v>
      </c>
      <c r="V97">
        <f t="shared" si="37"/>
        <v>39</v>
      </c>
      <c r="W97" s="6">
        <f>SUMIFS(events!AJ:AJ,events!Q:Q,"=DeadIce",events!AK:AK,"&lt;="&amp;shifts!AG97,events!AL:AL,"&gt;"&amp;shifts!AH97,events!E:E,"="&amp;shifts!B98)+SUMIFS(events!AJ:AJ,events!Q:Q,"=Timeout",events!AK:AK,"&lt;="&amp;shifts!AG97,events!AL:AL,"&gt;"&amp;shifts!AH97,events!E:E,"="&amp;shifts!B98)</f>
        <v>0</v>
      </c>
      <c r="X97" s="6">
        <f t="shared" si="38"/>
        <v>1</v>
      </c>
      <c r="Y97">
        <v>1</v>
      </c>
      <c r="Z97" t="str">
        <f t="shared" si="39"/>
        <v/>
      </c>
      <c r="AB97" t="str">
        <f t="shared" si="40"/>
        <v/>
      </c>
      <c r="AD97" s="39">
        <v>19076</v>
      </c>
      <c r="AE97" s="39" t="s">
        <v>944</v>
      </c>
      <c r="AF97" s="39" t="s">
        <v>521</v>
      </c>
      <c r="AG97" s="4">
        <f t="shared" si="41"/>
        <v>378</v>
      </c>
      <c r="AH97" s="4">
        <f t="shared" si="42"/>
        <v>370</v>
      </c>
      <c r="AI97" s="14">
        <f t="shared" si="43"/>
        <v>8</v>
      </c>
      <c r="AJ97">
        <f t="shared" si="44"/>
        <v>5</v>
      </c>
      <c r="AK97">
        <f t="shared" si="45"/>
        <v>5</v>
      </c>
      <c r="AL97">
        <f t="shared" si="46"/>
        <v>0</v>
      </c>
      <c r="AM97">
        <f t="shared" si="47"/>
        <v>0</v>
      </c>
      <c r="AN97">
        <f t="shared" si="48"/>
        <v>0</v>
      </c>
      <c r="AO97">
        <f t="shared" si="49"/>
        <v>0</v>
      </c>
      <c r="AP97">
        <f t="shared" si="50"/>
        <v>0</v>
      </c>
      <c r="AQ97">
        <f t="shared" si="51"/>
        <v>0</v>
      </c>
      <c r="AR97" t="str">
        <f t="shared" si="52"/>
        <v>Full Strength</v>
      </c>
      <c r="AS97" t="str">
        <f t="shared" si="53"/>
        <v>5v5</v>
      </c>
      <c r="AT97">
        <f t="shared" si="54"/>
        <v>2</v>
      </c>
      <c r="AU97">
        <f t="shared" si="55"/>
        <v>1</v>
      </c>
      <c r="AV97">
        <f t="shared" si="56"/>
        <v>0</v>
      </c>
      <c r="AW97">
        <f t="shared" si="57"/>
        <v>0</v>
      </c>
      <c r="AX97">
        <f t="shared" si="58"/>
        <v>0</v>
      </c>
      <c r="AY97">
        <f t="shared" si="59"/>
        <v>0</v>
      </c>
      <c r="AZ97">
        <f>IFERROR(VLOOKUP(B97,events!AD:BR,37,FALSE),0)</f>
        <v>2302</v>
      </c>
      <c r="BA97">
        <f t="shared" si="32"/>
        <v>3004</v>
      </c>
      <c r="BB97">
        <f t="shared" si="60"/>
        <v>2999</v>
      </c>
      <c r="BC97" s="4">
        <f t="shared" si="61"/>
        <v>3010</v>
      </c>
    </row>
    <row r="98" spans="1:55" x14ac:dyDescent="0.2">
      <c r="A98">
        <f t="shared" si="62"/>
        <v>97</v>
      </c>
      <c r="B98" s="6">
        <f t="shared" si="33"/>
        <v>3</v>
      </c>
      <c r="C98">
        <f t="shared" si="34"/>
        <v>6</v>
      </c>
      <c r="D98" s="4" t="str">
        <f t="shared" si="35"/>
        <v>10</v>
      </c>
      <c r="E98">
        <v>5</v>
      </c>
      <c r="F98" s="4" t="s">
        <v>896</v>
      </c>
      <c r="H98" s="5" t="s">
        <v>299</v>
      </c>
      <c r="I98">
        <v>10</v>
      </c>
      <c r="J98">
        <v>3</v>
      </c>
      <c r="K98">
        <v>16</v>
      </c>
      <c r="L98">
        <v>80</v>
      </c>
      <c r="M98">
        <v>8</v>
      </c>
      <c r="O98" s="5">
        <f t="shared" si="36"/>
        <v>31</v>
      </c>
      <c r="P98" s="6">
        <v>42</v>
      </c>
      <c r="Q98">
        <v>14</v>
      </c>
      <c r="R98">
        <v>24</v>
      </c>
      <c r="S98">
        <v>52</v>
      </c>
      <c r="T98">
        <v>93</v>
      </c>
      <c r="V98">
        <f t="shared" si="37"/>
        <v>39</v>
      </c>
      <c r="W98" s="6">
        <f>SUMIFS(events!AJ:AJ,events!Q:Q,"=DeadIce",events!AK:AK,"&lt;="&amp;shifts!AG98,events!AL:AL,"&gt;"&amp;shifts!AH98,events!E:E,"="&amp;shifts!B99)+SUMIFS(events!AJ:AJ,events!Q:Q,"=Timeout",events!AK:AK,"&lt;="&amp;shifts!AG98,events!AL:AL,"&gt;"&amp;shifts!AH98,events!E:E,"="&amp;shifts!B99)</f>
        <v>0</v>
      </c>
      <c r="X98" s="6">
        <f t="shared" si="38"/>
        <v>1</v>
      </c>
      <c r="Y98">
        <v>1</v>
      </c>
      <c r="Z98" t="str">
        <f t="shared" si="39"/>
        <v/>
      </c>
      <c r="AB98" t="str">
        <f t="shared" si="40"/>
        <v/>
      </c>
      <c r="AD98" s="39">
        <v>19077</v>
      </c>
      <c r="AE98" s="39" t="s">
        <v>944</v>
      </c>
      <c r="AF98" s="39" t="s">
        <v>521</v>
      </c>
      <c r="AG98" s="4">
        <f t="shared" si="41"/>
        <v>370</v>
      </c>
      <c r="AH98" s="4">
        <f t="shared" si="42"/>
        <v>359</v>
      </c>
      <c r="AI98" s="14">
        <f t="shared" si="43"/>
        <v>11</v>
      </c>
      <c r="AJ98">
        <f t="shared" si="44"/>
        <v>5</v>
      </c>
      <c r="AK98">
        <f t="shared" si="45"/>
        <v>5</v>
      </c>
      <c r="AL98">
        <f t="shared" si="46"/>
        <v>0</v>
      </c>
      <c r="AM98">
        <f t="shared" si="47"/>
        <v>0</v>
      </c>
      <c r="AN98">
        <f t="shared" si="48"/>
        <v>0</v>
      </c>
      <c r="AO98">
        <f t="shared" si="49"/>
        <v>0</v>
      </c>
      <c r="AP98">
        <f t="shared" si="50"/>
        <v>0</v>
      </c>
      <c r="AQ98">
        <f t="shared" si="51"/>
        <v>0</v>
      </c>
      <c r="AR98" t="str">
        <f t="shared" si="52"/>
        <v>Full Strength</v>
      </c>
      <c r="AS98" t="str">
        <f t="shared" si="53"/>
        <v>5v5</v>
      </c>
      <c r="AT98">
        <f t="shared" si="54"/>
        <v>2</v>
      </c>
      <c r="AU98">
        <f t="shared" si="55"/>
        <v>1</v>
      </c>
      <c r="AV98">
        <f t="shared" si="56"/>
        <v>0</v>
      </c>
      <c r="AW98">
        <f t="shared" si="57"/>
        <v>0</v>
      </c>
      <c r="AX98">
        <f t="shared" si="58"/>
        <v>0</v>
      </c>
      <c r="AY98">
        <f t="shared" si="59"/>
        <v>0</v>
      </c>
      <c r="AZ98">
        <f>IFERROR(VLOOKUP(B98,events!AD:BR,37,FALSE),0)</f>
        <v>2302</v>
      </c>
      <c r="BA98">
        <f t="shared" si="32"/>
        <v>3012</v>
      </c>
      <c r="BB98">
        <f t="shared" si="60"/>
        <v>3007</v>
      </c>
      <c r="BC98" s="4">
        <f t="shared" si="61"/>
        <v>3021</v>
      </c>
    </row>
    <row r="99" spans="1:55" x14ac:dyDescent="0.2">
      <c r="A99">
        <f t="shared" si="62"/>
        <v>98</v>
      </c>
      <c r="B99" s="6">
        <f t="shared" si="33"/>
        <v>3</v>
      </c>
      <c r="C99">
        <f t="shared" si="34"/>
        <v>5</v>
      </c>
      <c r="D99" s="4" t="str">
        <f t="shared" si="35"/>
        <v>59</v>
      </c>
      <c r="E99">
        <v>5</v>
      </c>
      <c r="F99" s="4" t="s">
        <v>743</v>
      </c>
      <c r="G99" s="6" t="s">
        <v>289</v>
      </c>
      <c r="H99" s="5" t="s">
        <v>341</v>
      </c>
      <c r="I99">
        <v>10</v>
      </c>
      <c r="J99">
        <v>3</v>
      </c>
      <c r="K99">
        <v>44</v>
      </c>
      <c r="L99">
        <v>37</v>
      </c>
      <c r="M99">
        <v>23</v>
      </c>
      <c r="N99">
        <v>41.4</v>
      </c>
      <c r="O99" s="5">
        <f t="shared" si="36"/>
        <v>31</v>
      </c>
      <c r="P99" s="6">
        <v>42</v>
      </c>
      <c r="Q99">
        <v>14</v>
      </c>
      <c r="R99">
        <v>24</v>
      </c>
      <c r="S99">
        <v>52</v>
      </c>
      <c r="T99">
        <v>93</v>
      </c>
      <c r="V99">
        <f t="shared" si="37"/>
        <v>39</v>
      </c>
      <c r="W99" s="6">
        <f>SUMIFS(events!AJ:AJ,events!Q:Q,"=DeadIce",events!AK:AK,"&lt;="&amp;shifts!AG99,events!AL:AL,"&gt;"&amp;shifts!AH99,events!E:E,"="&amp;shifts!B100)+SUMIFS(events!AJ:AJ,events!Q:Q,"=Timeout",events!AK:AK,"&lt;="&amp;shifts!AG99,events!AL:AL,"&gt;"&amp;shifts!AH99,events!E:E,"="&amp;shifts!B100)</f>
        <v>0</v>
      </c>
      <c r="X99" s="6">
        <f t="shared" si="38"/>
        <v>1</v>
      </c>
      <c r="Z99" t="str">
        <f t="shared" si="39"/>
        <v/>
      </c>
      <c r="AA99">
        <v>1</v>
      </c>
      <c r="AB99" t="str">
        <f t="shared" si="40"/>
        <v/>
      </c>
      <c r="AD99" s="39">
        <v>19078</v>
      </c>
      <c r="AE99" s="39" t="s">
        <v>944</v>
      </c>
      <c r="AF99" s="39" t="s">
        <v>521</v>
      </c>
      <c r="AG99" s="4">
        <f t="shared" si="41"/>
        <v>359</v>
      </c>
      <c r="AH99" s="4">
        <f t="shared" si="42"/>
        <v>318</v>
      </c>
      <c r="AI99" s="14">
        <f t="shared" si="43"/>
        <v>41</v>
      </c>
      <c r="AJ99">
        <f t="shared" si="44"/>
        <v>6</v>
      </c>
      <c r="AK99">
        <f t="shared" si="45"/>
        <v>5</v>
      </c>
      <c r="AL99">
        <f t="shared" si="46"/>
        <v>0</v>
      </c>
      <c r="AM99">
        <f t="shared" si="47"/>
        <v>0</v>
      </c>
      <c r="AN99">
        <f t="shared" si="48"/>
        <v>0</v>
      </c>
      <c r="AO99">
        <f t="shared" si="49"/>
        <v>1</v>
      </c>
      <c r="AP99">
        <f t="shared" si="50"/>
        <v>0</v>
      </c>
      <c r="AQ99">
        <f t="shared" si="51"/>
        <v>1</v>
      </c>
      <c r="AR99" t="str">
        <f t="shared" si="52"/>
        <v>Home PowerPlay</v>
      </c>
      <c r="AS99" t="str">
        <f t="shared" si="53"/>
        <v>6v5</v>
      </c>
      <c r="AT99">
        <f t="shared" si="54"/>
        <v>2</v>
      </c>
      <c r="AU99">
        <f t="shared" si="55"/>
        <v>1</v>
      </c>
      <c r="AV99">
        <f t="shared" si="56"/>
        <v>0</v>
      </c>
      <c r="AW99">
        <f t="shared" si="57"/>
        <v>0</v>
      </c>
      <c r="AX99">
        <f t="shared" si="58"/>
        <v>0</v>
      </c>
      <c r="AY99">
        <f t="shared" si="59"/>
        <v>0</v>
      </c>
      <c r="AZ99">
        <f>IFERROR(VLOOKUP(B99,events!AD:BR,37,FALSE),0)</f>
        <v>2302</v>
      </c>
      <c r="BA99">
        <f t="shared" si="32"/>
        <v>3023</v>
      </c>
      <c r="BB99">
        <f t="shared" si="60"/>
        <v>3018</v>
      </c>
      <c r="BC99" s="4">
        <f t="shared" si="61"/>
        <v>3062</v>
      </c>
    </row>
    <row r="100" spans="1:55" x14ac:dyDescent="0.2">
      <c r="A100">
        <f t="shared" si="62"/>
        <v>99</v>
      </c>
      <c r="B100" s="6">
        <f t="shared" si="33"/>
        <v>3</v>
      </c>
      <c r="C100">
        <f t="shared" si="34"/>
        <v>5</v>
      </c>
      <c r="D100" s="4" t="str">
        <f t="shared" si="35"/>
        <v>18</v>
      </c>
      <c r="E100">
        <v>3</v>
      </c>
      <c r="F100" s="4" t="s">
        <v>935</v>
      </c>
      <c r="G100" s="6" t="s">
        <v>289</v>
      </c>
      <c r="I100">
        <v>10</v>
      </c>
      <c r="J100">
        <v>7</v>
      </c>
      <c r="K100">
        <v>44</v>
      </c>
      <c r="L100">
        <v>37</v>
      </c>
      <c r="M100">
        <v>23</v>
      </c>
      <c r="O100" s="5">
        <f t="shared" si="36"/>
        <v>31</v>
      </c>
      <c r="P100" s="6">
        <v>49</v>
      </c>
      <c r="Q100">
        <v>14</v>
      </c>
      <c r="R100">
        <v>61</v>
      </c>
      <c r="S100">
        <v>52</v>
      </c>
      <c r="T100">
        <v>93</v>
      </c>
      <c r="V100">
        <f t="shared" si="37"/>
        <v>39</v>
      </c>
      <c r="W100" s="6">
        <f>SUMIFS(events!AJ:AJ,events!Q:Q,"=DeadIce",events!AK:AK,"&lt;="&amp;shifts!AG100,events!AL:AL,"&gt;"&amp;shifts!AH100,events!E:E,"="&amp;shifts!B101)+SUMIFS(events!AJ:AJ,events!Q:Q,"=Timeout",events!AK:AK,"&lt;="&amp;shifts!AG100,events!AL:AL,"&gt;"&amp;shifts!AH100,events!E:E,"="&amp;shifts!B101)</f>
        <v>0</v>
      </c>
      <c r="X100" s="6" t="str">
        <f t="shared" si="38"/>
        <v/>
      </c>
      <c r="Y100">
        <v>1</v>
      </c>
      <c r="Z100">
        <f t="shared" si="39"/>
        <v>1</v>
      </c>
      <c r="AB100" t="str">
        <f t="shared" si="40"/>
        <v/>
      </c>
      <c r="AD100" s="39">
        <v>19079</v>
      </c>
      <c r="AE100" s="39" t="s">
        <v>944</v>
      </c>
      <c r="AF100" s="39" t="s">
        <v>521</v>
      </c>
      <c r="AG100" s="4">
        <f t="shared" si="41"/>
        <v>318</v>
      </c>
      <c r="AH100" s="4">
        <f t="shared" si="42"/>
        <v>225</v>
      </c>
      <c r="AI100" s="14">
        <f t="shared" si="43"/>
        <v>93</v>
      </c>
      <c r="AJ100">
        <f t="shared" si="44"/>
        <v>5</v>
      </c>
      <c r="AK100">
        <f t="shared" si="45"/>
        <v>5</v>
      </c>
      <c r="AL100">
        <f t="shared" si="46"/>
        <v>0</v>
      </c>
      <c r="AM100">
        <f t="shared" si="47"/>
        <v>0</v>
      </c>
      <c r="AN100">
        <f t="shared" si="48"/>
        <v>0</v>
      </c>
      <c r="AO100">
        <f t="shared" si="49"/>
        <v>0</v>
      </c>
      <c r="AP100">
        <f t="shared" si="50"/>
        <v>0</v>
      </c>
      <c r="AQ100">
        <f t="shared" si="51"/>
        <v>0</v>
      </c>
      <c r="AR100" t="str">
        <f t="shared" si="52"/>
        <v>Full Strength</v>
      </c>
      <c r="AS100" t="str">
        <f t="shared" si="53"/>
        <v>5v5</v>
      </c>
      <c r="AT100">
        <f t="shared" si="54"/>
        <v>2</v>
      </c>
      <c r="AU100">
        <f t="shared" si="55"/>
        <v>1</v>
      </c>
      <c r="AV100">
        <f t="shared" si="56"/>
        <v>0</v>
      </c>
      <c r="AW100">
        <f t="shared" si="57"/>
        <v>0</v>
      </c>
      <c r="AX100">
        <f t="shared" si="58"/>
        <v>0</v>
      </c>
      <c r="AY100">
        <f t="shared" si="59"/>
        <v>0</v>
      </c>
      <c r="AZ100">
        <f>IFERROR(VLOOKUP(B100,events!AD:BR,37,FALSE),0)</f>
        <v>2302</v>
      </c>
      <c r="BA100">
        <f t="shared" si="32"/>
        <v>3064</v>
      </c>
      <c r="BB100">
        <f t="shared" si="60"/>
        <v>3059</v>
      </c>
      <c r="BC100" s="4">
        <f t="shared" si="61"/>
        <v>3155</v>
      </c>
    </row>
    <row r="101" spans="1:55" x14ac:dyDescent="0.2">
      <c r="A101">
        <f t="shared" si="62"/>
        <v>100</v>
      </c>
      <c r="B101" s="6">
        <f t="shared" si="33"/>
        <v>3</v>
      </c>
      <c r="C101">
        <f t="shared" si="34"/>
        <v>3</v>
      </c>
      <c r="D101" s="4" t="str">
        <f t="shared" si="35"/>
        <v>45</v>
      </c>
      <c r="E101">
        <v>3</v>
      </c>
      <c r="F101" s="4" t="s">
        <v>915</v>
      </c>
      <c r="I101">
        <v>10</v>
      </c>
      <c r="J101">
        <v>15</v>
      </c>
      <c r="K101">
        <v>44</v>
      </c>
      <c r="L101">
        <v>37</v>
      </c>
      <c r="M101">
        <v>23</v>
      </c>
      <c r="O101" s="5">
        <f t="shared" si="36"/>
        <v>31</v>
      </c>
      <c r="P101" s="6">
        <v>49</v>
      </c>
      <c r="Q101">
        <v>14</v>
      </c>
      <c r="R101">
        <v>61</v>
      </c>
      <c r="S101">
        <v>52</v>
      </c>
      <c r="T101">
        <v>22</v>
      </c>
      <c r="V101">
        <f t="shared" si="37"/>
        <v>39</v>
      </c>
      <c r="W101" s="6">
        <f>SUMIFS(events!AJ:AJ,events!Q:Q,"=DeadIce",events!AK:AK,"&lt;="&amp;shifts!AG101,events!AL:AL,"&gt;"&amp;shifts!AH101,events!E:E,"="&amp;shifts!B102)+SUMIFS(events!AJ:AJ,events!Q:Q,"=Timeout",events!AK:AK,"&lt;="&amp;shifts!AG101,events!AL:AL,"&gt;"&amp;shifts!AH101,events!E:E,"="&amp;shifts!B102)</f>
        <v>0</v>
      </c>
      <c r="X101" s="6">
        <f t="shared" si="38"/>
        <v>1</v>
      </c>
      <c r="Y101">
        <v>1</v>
      </c>
      <c r="Z101" t="str">
        <f t="shared" si="39"/>
        <v/>
      </c>
      <c r="AB101" t="str">
        <f t="shared" si="40"/>
        <v/>
      </c>
      <c r="AD101" s="39">
        <v>19080</v>
      </c>
      <c r="AE101" s="39" t="s">
        <v>944</v>
      </c>
      <c r="AF101" s="39" t="s">
        <v>521</v>
      </c>
      <c r="AG101" s="4">
        <f t="shared" si="41"/>
        <v>225</v>
      </c>
      <c r="AH101" s="4">
        <f t="shared" si="42"/>
        <v>210</v>
      </c>
      <c r="AI101" s="14">
        <f t="shared" si="43"/>
        <v>15</v>
      </c>
      <c r="AJ101">
        <f t="shared" si="44"/>
        <v>5</v>
      </c>
      <c r="AK101">
        <f t="shared" si="45"/>
        <v>5</v>
      </c>
      <c r="AL101">
        <f t="shared" si="46"/>
        <v>0</v>
      </c>
      <c r="AM101">
        <f t="shared" si="47"/>
        <v>0</v>
      </c>
      <c r="AN101">
        <f t="shared" si="48"/>
        <v>0</v>
      </c>
      <c r="AO101">
        <f t="shared" si="49"/>
        <v>0</v>
      </c>
      <c r="AP101">
        <f t="shared" si="50"/>
        <v>0</v>
      </c>
      <c r="AQ101">
        <f t="shared" si="51"/>
        <v>0</v>
      </c>
      <c r="AR101" t="str">
        <f t="shared" si="52"/>
        <v>Full Strength</v>
      </c>
      <c r="AS101" t="str">
        <f t="shared" si="53"/>
        <v>5v5</v>
      </c>
      <c r="AT101">
        <f t="shared" si="54"/>
        <v>2</v>
      </c>
      <c r="AU101">
        <f t="shared" si="55"/>
        <v>1</v>
      </c>
      <c r="AV101">
        <f t="shared" si="56"/>
        <v>0</v>
      </c>
      <c r="AW101">
        <f t="shared" si="57"/>
        <v>0</v>
      </c>
      <c r="AX101">
        <f t="shared" si="58"/>
        <v>0</v>
      </c>
      <c r="AY101">
        <f t="shared" si="59"/>
        <v>0</v>
      </c>
      <c r="AZ101">
        <f>IFERROR(VLOOKUP(B101,events!AD:BR,37,FALSE),0)</f>
        <v>2302</v>
      </c>
      <c r="BA101">
        <f t="shared" si="32"/>
        <v>3157</v>
      </c>
      <c r="BB101">
        <f t="shared" si="60"/>
        <v>3152</v>
      </c>
      <c r="BC101" s="4">
        <f t="shared" si="61"/>
        <v>3170</v>
      </c>
    </row>
    <row r="102" spans="1:55" x14ac:dyDescent="0.2">
      <c r="A102">
        <f t="shared" si="62"/>
        <v>101</v>
      </c>
      <c r="B102" s="6">
        <f t="shared" si="33"/>
        <v>3</v>
      </c>
      <c r="C102">
        <f t="shared" si="34"/>
        <v>3</v>
      </c>
      <c r="D102" s="4" t="str">
        <f t="shared" si="35"/>
        <v>30</v>
      </c>
      <c r="E102">
        <v>3</v>
      </c>
      <c r="F102" s="4" t="s">
        <v>741</v>
      </c>
      <c r="G102" s="6" t="s">
        <v>519</v>
      </c>
      <c r="H102" s="5" t="s">
        <v>295</v>
      </c>
      <c r="I102">
        <v>10</v>
      </c>
      <c r="J102">
        <v>15</v>
      </c>
      <c r="K102">
        <v>44</v>
      </c>
      <c r="L102">
        <v>37</v>
      </c>
      <c r="M102">
        <v>23</v>
      </c>
      <c r="O102" s="5">
        <f t="shared" si="36"/>
        <v>31</v>
      </c>
      <c r="P102" s="6">
        <v>49</v>
      </c>
      <c r="Q102">
        <v>14</v>
      </c>
      <c r="R102">
        <v>61</v>
      </c>
      <c r="S102">
        <v>9</v>
      </c>
      <c r="T102">
        <v>22</v>
      </c>
      <c r="U102">
        <v>87</v>
      </c>
      <c r="W102" s="6">
        <f>SUMIFS(events!AJ:AJ,events!Q:Q,"=DeadIce",events!AK:AK,"&lt;="&amp;shifts!AG102,events!AL:AL,"&gt;"&amp;shifts!AH102,events!E:E,"="&amp;shifts!B103)+SUMIFS(events!AJ:AJ,events!Q:Q,"=Timeout",events!AK:AK,"&lt;="&amp;shifts!AG102,events!AL:AL,"&gt;"&amp;shifts!AH102,events!E:E,"="&amp;shifts!B103)</f>
        <v>0</v>
      </c>
      <c r="X102" s="6">
        <f t="shared" si="38"/>
        <v>1</v>
      </c>
      <c r="Y102">
        <v>1</v>
      </c>
      <c r="Z102" t="str">
        <f t="shared" si="39"/>
        <v/>
      </c>
      <c r="AB102" t="str">
        <f t="shared" si="40"/>
        <v/>
      </c>
      <c r="AD102" s="39">
        <v>19081</v>
      </c>
      <c r="AE102" s="39" t="s">
        <v>944</v>
      </c>
      <c r="AF102" s="39" t="s">
        <v>521</v>
      </c>
      <c r="AG102" s="4">
        <f t="shared" si="41"/>
        <v>210</v>
      </c>
      <c r="AH102" s="4">
        <f t="shared" si="42"/>
        <v>201</v>
      </c>
      <c r="AI102" s="14">
        <f t="shared" si="43"/>
        <v>9</v>
      </c>
      <c r="AJ102">
        <f t="shared" si="44"/>
        <v>5</v>
      </c>
      <c r="AK102">
        <f t="shared" si="45"/>
        <v>6</v>
      </c>
      <c r="AL102">
        <f t="shared" si="46"/>
        <v>0</v>
      </c>
      <c r="AM102">
        <f t="shared" si="47"/>
        <v>1</v>
      </c>
      <c r="AN102">
        <f t="shared" si="48"/>
        <v>0</v>
      </c>
      <c r="AO102">
        <f t="shared" si="49"/>
        <v>0</v>
      </c>
      <c r="AP102">
        <f t="shared" si="50"/>
        <v>0</v>
      </c>
      <c r="AQ102">
        <f t="shared" si="51"/>
        <v>0</v>
      </c>
      <c r="AR102" t="str">
        <f t="shared" si="52"/>
        <v>Away EmptyNet</v>
      </c>
      <c r="AS102" t="str">
        <f t="shared" si="53"/>
        <v>5v6 Away EN</v>
      </c>
      <c r="AT102">
        <f t="shared" si="54"/>
        <v>2</v>
      </c>
      <c r="AU102">
        <f t="shared" si="55"/>
        <v>1</v>
      </c>
      <c r="AV102">
        <f t="shared" si="56"/>
        <v>0</v>
      </c>
      <c r="AW102">
        <f t="shared" si="57"/>
        <v>0</v>
      </c>
      <c r="AX102">
        <f t="shared" si="58"/>
        <v>0</v>
      </c>
      <c r="AY102">
        <f t="shared" si="59"/>
        <v>0</v>
      </c>
      <c r="AZ102">
        <f>IFERROR(VLOOKUP(B102,events!AD:BR,37,FALSE),0)</f>
        <v>2302</v>
      </c>
      <c r="BA102">
        <f t="shared" si="32"/>
        <v>3172</v>
      </c>
      <c r="BB102">
        <f t="shared" si="60"/>
        <v>3167</v>
      </c>
      <c r="BC102" s="4">
        <f t="shared" si="61"/>
        <v>3179</v>
      </c>
    </row>
    <row r="103" spans="1:55" x14ac:dyDescent="0.2">
      <c r="A103">
        <f t="shared" si="62"/>
        <v>102</v>
      </c>
      <c r="B103" s="6">
        <f t="shared" si="33"/>
        <v>3</v>
      </c>
      <c r="C103">
        <f t="shared" si="34"/>
        <v>3</v>
      </c>
      <c r="D103" s="4" t="str">
        <f t="shared" si="35"/>
        <v>21</v>
      </c>
      <c r="E103">
        <v>1</v>
      </c>
      <c r="F103" s="4" t="s">
        <v>934</v>
      </c>
      <c r="G103" s="6" t="s">
        <v>288</v>
      </c>
      <c r="H103" s="5" t="s">
        <v>293</v>
      </c>
      <c r="I103">
        <v>79</v>
      </c>
      <c r="J103">
        <v>15</v>
      </c>
      <c r="L103">
        <v>80</v>
      </c>
      <c r="M103">
        <v>8</v>
      </c>
      <c r="O103" s="5">
        <f t="shared" si="36"/>
        <v>31</v>
      </c>
      <c r="P103" s="6">
        <v>70</v>
      </c>
      <c r="Q103">
        <v>87</v>
      </c>
      <c r="R103">
        <v>75</v>
      </c>
      <c r="S103">
        <v>84</v>
      </c>
      <c r="T103">
        <v>22</v>
      </c>
      <c r="V103">
        <v>39</v>
      </c>
      <c r="W103" s="6">
        <f>SUMIFS(events!AJ:AJ,events!Q:Q,"=DeadIce",events!AK:AK,"&lt;="&amp;shifts!AG103,events!AL:AL,"&gt;"&amp;shifts!AH103,events!E:E,"="&amp;shifts!B104)+SUMIFS(events!AJ:AJ,events!Q:Q,"=Timeout",events!AK:AK,"&lt;="&amp;shifts!AG103,events!AL:AL,"&gt;"&amp;shifts!AH103,events!E:E,"="&amp;shifts!B104)</f>
        <v>0</v>
      </c>
      <c r="X103" s="6">
        <f t="shared" si="38"/>
        <v>1</v>
      </c>
      <c r="Z103" t="str">
        <f t="shared" si="39"/>
        <v/>
      </c>
      <c r="AB103" t="str">
        <f t="shared" si="40"/>
        <v/>
      </c>
      <c r="AC103">
        <v>1</v>
      </c>
      <c r="AD103" s="39">
        <v>19082</v>
      </c>
      <c r="AE103" s="39" t="s">
        <v>944</v>
      </c>
      <c r="AF103" s="39" t="s">
        <v>521</v>
      </c>
      <c r="AG103" s="4">
        <f t="shared" si="41"/>
        <v>201</v>
      </c>
      <c r="AH103" s="4">
        <f t="shared" si="42"/>
        <v>114</v>
      </c>
      <c r="AI103" s="14">
        <f t="shared" si="43"/>
        <v>87</v>
      </c>
      <c r="AJ103">
        <f t="shared" si="44"/>
        <v>4</v>
      </c>
      <c r="AK103">
        <f t="shared" si="45"/>
        <v>5</v>
      </c>
      <c r="AL103">
        <f t="shared" si="46"/>
        <v>0</v>
      </c>
      <c r="AM103">
        <f t="shared" si="47"/>
        <v>0</v>
      </c>
      <c r="AN103">
        <f t="shared" si="48"/>
        <v>1</v>
      </c>
      <c r="AO103">
        <f t="shared" si="49"/>
        <v>0</v>
      </c>
      <c r="AP103">
        <f t="shared" si="50"/>
        <v>1</v>
      </c>
      <c r="AQ103">
        <f t="shared" si="51"/>
        <v>0</v>
      </c>
      <c r="AR103" t="str">
        <f t="shared" si="52"/>
        <v>Away PowerPlay</v>
      </c>
      <c r="AS103" t="str">
        <f t="shared" si="53"/>
        <v>4v5</v>
      </c>
      <c r="AT103">
        <f t="shared" si="54"/>
        <v>2</v>
      </c>
      <c r="AU103">
        <f t="shared" si="55"/>
        <v>1</v>
      </c>
      <c r="AV103">
        <f t="shared" si="56"/>
        <v>0</v>
      </c>
      <c r="AW103">
        <f t="shared" si="57"/>
        <v>0</v>
      </c>
      <c r="AX103">
        <f t="shared" si="58"/>
        <v>0</v>
      </c>
      <c r="AY103">
        <f t="shared" si="59"/>
        <v>0</v>
      </c>
      <c r="AZ103">
        <f>IFERROR(VLOOKUP(B103,events!AD:BR,37,FALSE),0)</f>
        <v>2302</v>
      </c>
      <c r="BA103">
        <f t="shared" si="32"/>
        <v>3181</v>
      </c>
      <c r="BB103">
        <f t="shared" si="60"/>
        <v>3176</v>
      </c>
      <c r="BC103" s="4">
        <f t="shared" si="61"/>
        <v>3266</v>
      </c>
    </row>
    <row r="104" spans="1:55" x14ac:dyDescent="0.2">
      <c r="A104">
        <f t="shared" si="62"/>
        <v>103</v>
      </c>
      <c r="B104" s="6">
        <f t="shared" si="33"/>
        <v>3</v>
      </c>
      <c r="C104">
        <f>IF(G104&lt;&gt;"PeriodStart",E103,18)</f>
        <v>1</v>
      </c>
      <c r="D104" s="4" t="str">
        <f t="shared" si="35"/>
        <v>54</v>
      </c>
      <c r="E104">
        <v>1</v>
      </c>
      <c r="F104" s="4" t="s">
        <v>919</v>
      </c>
      <c r="G104" s="6" t="s">
        <v>289</v>
      </c>
      <c r="I104">
        <v>10</v>
      </c>
      <c r="J104">
        <v>15</v>
      </c>
      <c r="L104">
        <v>80</v>
      </c>
      <c r="M104">
        <v>8</v>
      </c>
      <c r="O104" s="5">
        <f t="shared" si="36"/>
        <v>31</v>
      </c>
      <c r="P104" s="6">
        <v>70</v>
      </c>
      <c r="Q104">
        <v>87</v>
      </c>
      <c r="R104">
        <v>75</v>
      </c>
      <c r="S104">
        <v>52</v>
      </c>
      <c r="T104">
        <v>22</v>
      </c>
      <c r="V104">
        <f t="shared" si="37"/>
        <v>39</v>
      </c>
      <c r="W104" s="6">
        <f>SUMIFS(events!AJ:AJ,events!Q:Q,"=DeadIce",events!AK:AK,"&lt;="&amp;shifts!AG104,events!AL:AL,"&gt;"&amp;shifts!AH104,events!E:E,"="&amp;shifts!B105)+SUMIFS(events!AJ:AJ,events!Q:Q,"=Timeout",events!AK:AK,"&lt;="&amp;shifts!AG104,events!AL:AL,"&gt;"&amp;shifts!AH104,events!E:E,"="&amp;shifts!B105)</f>
        <v>0</v>
      </c>
      <c r="X104" s="6" t="str">
        <f t="shared" si="38"/>
        <v/>
      </c>
      <c r="Y104">
        <v>1</v>
      </c>
      <c r="Z104" t="str">
        <f t="shared" si="39"/>
        <v/>
      </c>
      <c r="AB104">
        <f t="shared" si="40"/>
        <v>1</v>
      </c>
      <c r="AD104" s="39">
        <v>19083</v>
      </c>
      <c r="AE104" s="39" t="s">
        <v>944</v>
      </c>
      <c r="AF104" s="39" t="s">
        <v>521</v>
      </c>
      <c r="AG104" s="4">
        <f t="shared" si="41"/>
        <v>114</v>
      </c>
      <c r="AH104" s="4">
        <f t="shared" si="42"/>
        <v>80</v>
      </c>
      <c r="AI104" s="14">
        <f t="shared" si="43"/>
        <v>34</v>
      </c>
      <c r="AJ104">
        <f t="shared" si="44"/>
        <v>4</v>
      </c>
      <c r="AK104">
        <f t="shared" si="45"/>
        <v>5</v>
      </c>
      <c r="AL104">
        <f t="shared" si="46"/>
        <v>0</v>
      </c>
      <c r="AM104">
        <f t="shared" si="47"/>
        <v>0</v>
      </c>
      <c r="AN104">
        <f t="shared" si="48"/>
        <v>1</v>
      </c>
      <c r="AO104">
        <f t="shared" si="49"/>
        <v>0</v>
      </c>
      <c r="AP104">
        <f t="shared" si="50"/>
        <v>1</v>
      </c>
      <c r="AQ104">
        <f t="shared" si="51"/>
        <v>0</v>
      </c>
      <c r="AR104" t="str">
        <f t="shared" si="52"/>
        <v>Away PowerPlay</v>
      </c>
      <c r="AS104" t="str">
        <f t="shared" si="53"/>
        <v>4v5</v>
      </c>
      <c r="AT104">
        <f t="shared" si="54"/>
        <v>2</v>
      </c>
      <c r="AU104">
        <f t="shared" si="55"/>
        <v>1</v>
      </c>
      <c r="AV104">
        <f t="shared" si="56"/>
        <v>0</v>
      </c>
      <c r="AW104">
        <f t="shared" si="57"/>
        <v>0</v>
      </c>
      <c r="AX104">
        <f t="shared" si="58"/>
        <v>0</v>
      </c>
      <c r="AY104">
        <f t="shared" si="59"/>
        <v>0</v>
      </c>
      <c r="AZ104">
        <f>IFERROR(VLOOKUP(B104,events!AD:BR,37,FALSE),0)</f>
        <v>2302</v>
      </c>
      <c r="BA104">
        <f t="shared" si="32"/>
        <v>3268</v>
      </c>
      <c r="BB104">
        <f t="shared" si="60"/>
        <v>3263</v>
      </c>
      <c r="BC104" s="4">
        <f t="shared" si="61"/>
        <v>3300</v>
      </c>
    </row>
    <row r="105" spans="1:55" x14ac:dyDescent="0.2">
      <c r="A105">
        <f t="shared" si="62"/>
        <v>104</v>
      </c>
      <c r="B105" s="6">
        <f t="shared" si="33"/>
        <v>3</v>
      </c>
      <c r="C105">
        <f>IF(G105&lt;&gt;"PeriodStart",E104,18)</f>
        <v>1</v>
      </c>
      <c r="D105" s="4" t="str">
        <f t="shared" si="35"/>
        <v>20</v>
      </c>
      <c r="E105">
        <v>0</v>
      </c>
      <c r="F105" s="4" t="s">
        <v>737</v>
      </c>
      <c r="H105" s="5" t="s">
        <v>520</v>
      </c>
      <c r="I105">
        <v>10</v>
      </c>
      <c r="J105">
        <v>15</v>
      </c>
      <c r="L105">
        <v>80</v>
      </c>
      <c r="M105">
        <v>8</v>
      </c>
      <c r="O105" s="5">
        <f t="shared" si="36"/>
        <v>31</v>
      </c>
      <c r="P105" s="6">
        <v>70</v>
      </c>
      <c r="Q105">
        <v>87</v>
      </c>
      <c r="R105">
        <v>75</v>
      </c>
      <c r="S105">
        <v>52</v>
      </c>
      <c r="T105">
        <v>22</v>
      </c>
      <c r="U105">
        <v>42</v>
      </c>
      <c r="W105" s="6">
        <f>SUMIFS(events!AJ:AJ,events!Q:Q,"=DeadIce",events!AK:AK,"&lt;="&amp;shifts!AG105,events!AL:AL,"&gt;"&amp;shifts!AH105,events!E:E,"="&amp;shifts!B106)+SUMIFS(events!AJ:AJ,events!Q:Q,"=Timeout",events!AK:AK,"&lt;="&amp;shifts!AG105,events!AL:AL,"&gt;"&amp;shifts!AH105,events!E:E,"="&amp;shifts!B106)</f>
        <v>0</v>
      </c>
      <c r="X105" s="6">
        <f t="shared" si="38"/>
        <v>1</v>
      </c>
      <c r="Y105">
        <v>1</v>
      </c>
      <c r="Z105" t="str">
        <f t="shared" si="39"/>
        <v/>
      </c>
      <c r="AB105" t="str">
        <f t="shared" si="40"/>
        <v/>
      </c>
      <c r="AD105" s="39">
        <v>19084</v>
      </c>
      <c r="AE105" s="39" t="s">
        <v>944</v>
      </c>
      <c r="AF105" s="39" t="s">
        <v>521</v>
      </c>
      <c r="AG105" s="4">
        <f t="shared" si="41"/>
        <v>80</v>
      </c>
      <c r="AH105" s="4">
        <f t="shared" si="42"/>
        <v>46</v>
      </c>
      <c r="AI105" s="14">
        <f t="shared" si="43"/>
        <v>34</v>
      </c>
      <c r="AJ105">
        <f t="shared" si="44"/>
        <v>4</v>
      </c>
      <c r="AK105">
        <f t="shared" si="45"/>
        <v>6</v>
      </c>
      <c r="AL105">
        <f t="shared" si="46"/>
        <v>0</v>
      </c>
      <c r="AM105">
        <f t="shared" si="47"/>
        <v>1</v>
      </c>
      <c r="AN105">
        <f t="shared" si="48"/>
        <v>0</v>
      </c>
      <c r="AO105">
        <f t="shared" si="49"/>
        <v>0</v>
      </c>
      <c r="AP105">
        <f t="shared" si="50"/>
        <v>0</v>
      </c>
      <c r="AQ105">
        <f t="shared" si="51"/>
        <v>0</v>
      </c>
      <c r="AR105" t="str">
        <f t="shared" si="52"/>
        <v>Away EmptyNet</v>
      </c>
      <c r="AS105" t="str">
        <f t="shared" si="53"/>
        <v>4v6 Away EN</v>
      </c>
      <c r="AT105">
        <f t="shared" si="54"/>
        <v>2</v>
      </c>
      <c r="AU105">
        <f t="shared" si="55"/>
        <v>1</v>
      </c>
      <c r="AV105">
        <f t="shared" si="56"/>
        <v>0</v>
      </c>
      <c r="AW105">
        <f t="shared" si="57"/>
        <v>0</v>
      </c>
      <c r="AX105">
        <f t="shared" si="58"/>
        <v>0</v>
      </c>
      <c r="AY105">
        <f t="shared" si="59"/>
        <v>0</v>
      </c>
      <c r="AZ105">
        <f>IFERROR(VLOOKUP(B105,events!AD:BR,37,FALSE),0)</f>
        <v>2302</v>
      </c>
      <c r="BA105">
        <f t="shared" si="32"/>
        <v>3302</v>
      </c>
      <c r="BB105">
        <f t="shared" si="60"/>
        <v>3297</v>
      </c>
      <c r="BC105" s="4">
        <f t="shared" si="61"/>
        <v>3334</v>
      </c>
    </row>
    <row r="106" spans="1:55" x14ac:dyDescent="0.2">
      <c r="A106">
        <f t="shared" si="62"/>
        <v>105</v>
      </c>
      <c r="B106" s="6">
        <f t="shared" si="33"/>
        <v>3</v>
      </c>
      <c r="C106">
        <f t="shared" si="34"/>
        <v>0</v>
      </c>
      <c r="D106" s="4" t="str">
        <f t="shared" si="35"/>
        <v>46</v>
      </c>
      <c r="E106">
        <v>0</v>
      </c>
      <c r="F106" s="4" t="s">
        <v>755</v>
      </c>
      <c r="H106" s="5" t="s">
        <v>400</v>
      </c>
      <c r="I106">
        <v>10</v>
      </c>
      <c r="J106">
        <v>15</v>
      </c>
      <c r="L106">
        <v>37</v>
      </c>
      <c r="M106">
        <v>8</v>
      </c>
      <c r="O106" s="5">
        <f t="shared" si="36"/>
        <v>31</v>
      </c>
      <c r="P106" s="6">
        <v>70</v>
      </c>
      <c r="Q106">
        <v>42</v>
      </c>
      <c r="R106">
        <v>75</v>
      </c>
      <c r="S106">
        <v>52</v>
      </c>
      <c r="T106">
        <v>22</v>
      </c>
      <c r="U106">
        <v>49</v>
      </c>
      <c r="W106" s="6">
        <f>SUMIFS(events!AJ:AJ,events!Q:Q,"=DeadIce",events!AK:AK,"&lt;="&amp;shifts!AG106,events!AL:AL,"&gt;"&amp;shifts!AH106,events!E:E,"="&amp;shifts!B107)+SUMIFS(events!AJ:AJ,events!Q:Q,"=Timeout",events!AK:AK,"&lt;="&amp;shifts!AG106,events!AL:AL,"&gt;"&amp;shifts!AH106,events!E:E,"="&amp;shifts!B107)</f>
        <v>0</v>
      </c>
      <c r="X106" s="6">
        <f t="shared" si="38"/>
        <v>1</v>
      </c>
      <c r="Z106" t="str">
        <f t="shared" si="39"/>
        <v/>
      </c>
      <c r="AB106" t="str">
        <f t="shared" si="40"/>
        <v/>
      </c>
      <c r="AD106" s="39">
        <v>19085</v>
      </c>
      <c r="AE106" s="39" t="s">
        <v>944</v>
      </c>
      <c r="AF106" s="39" t="s">
        <v>521</v>
      </c>
      <c r="AG106" s="4">
        <f t="shared" si="41"/>
        <v>46</v>
      </c>
      <c r="AH106" s="4">
        <f t="shared" si="42"/>
        <v>0.01</v>
      </c>
      <c r="AI106" s="14">
        <f t="shared" si="43"/>
        <v>46</v>
      </c>
      <c r="AJ106">
        <f t="shared" si="44"/>
        <v>4</v>
      </c>
      <c r="AK106">
        <f t="shared" si="45"/>
        <v>6</v>
      </c>
      <c r="AL106">
        <f t="shared" si="46"/>
        <v>0</v>
      </c>
      <c r="AM106">
        <f t="shared" si="47"/>
        <v>1</v>
      </c>
      <c r="AN106">
        <f t="shared" si="48"/>
        <v>0</v>
      </c>
      <c r="AO106">
        <f t="shared" si="49"/>
        <v>0</v>
      </c>
      <c r="AP106">
        <f t="shared" si="50"/>
        <v>0</v>
      </c>
      <c r="AQ106">
        <f t="shared" si="51"/>
        <v>0</v>
      </c>
      <c r="AR106" t="str">
        <f t="shared" si="52"/>
        <v>Away EmptyNet</v>
      </c>
      <c r="AS106" t="str">
        <f t="shared" si="53"/>
        <v>4v6 Away EN</v>
      </c>
      <c r="AT106">
        <f t="shared" si="54"/>
        <v>2</v>
      </c>
      <c r="AU106">
        <f t="shared" si="55"/>
        <v>1</v>
      </c>
      <c r="AV106">
        <f t="shared" si="56"/>
        <v>0</v>
      </c>
      <c r="AW106">
        <f t="shared" si="57"/>
        <v>0</v>
      </c>
      <c r="AX106">
        <f t="shared" si="58"/>
        <v>0</v>
      </c>
      <c r="AY106">
        <f t="shared" si="59"/>
        <v>0</v>
      </c>
      <c r="AZ106">
        <v>2364</v>
      </c>
      <c r="BA106">
        <f t="shared" si="32"/>
        <v>3398</v>
      </c>
      <c r="BB106">
        <f t="shared" si="60"/>
        <v>3393</v>
      </c>
      <c r="BC106" s="4">
        <f t="shared" si="61"/>
        <v>3442</v>
      </c>
    </row>
    <row r="107" spans="1:55" x14ac:dyDescent="0.2">
      <c r="A107">
        <f t="shared" si="62"/>
        <v>106</v>
      </c>
      <c r="AG107" s="4"/>
      <c r="AH107" s="4"/>
      <c r="AI107" s="14"/>
      <c r="BC107" s="4"/>
    </row>
    <row r="108" spans="1:55" x14ac:dyDescent="0.2">
      <c r="AG108" s="4"/>
      <c r="AH108" s="4"/>
      <c r="AI108" s="14"/>
      <c r="BC108" s="4"/>
    </row>
    <row r="109" spans="1:55" x14ac:dyDescent="0.2">
      <c r="AG109" s="4"/>
      <c r="AH109" s="4"/>
      <c r="AI109" s="14"/>
      <c r="BC109" s="4"/>
    </row>
    <row r="110" spans="1:55" x14ac:dyDescent="0.2">
      <c r="AG110" s="4"/>
      <c r="AH110" s="4"/>
      <c r="AI110" s="14"/>
      <c r="BC110" s="4"/>
    </row>
    <row r="111" spans="1:55" x14ac:dyDescent="0.2">
      <c r="AG111" s="4"/>
      <c r="AH111" s="4"/>
      <c r="AI111" s="14"/>
      <c r="BC111" s="4"/>
    </row>
    <row r="112" spans="1:55" x14ac:dyDescent="0.2">
      <c r="AG112" s="4"/>
      <c r="AH112" s="4"/>
      <c r="AI112" s="14"/>
      <c r="BC112" s="4"/>
    </row>
    <row r="113" spans="33:55" x14ac:dyDescent="0.2">
      <c r="AG113" s="4"/>
      <c r="AH113" s="4"/>
      <c r="AI113" s="14"/>
      <c r="BC113" s="4"/>
    </row>
    <row r="114" spans="33:55" x14ac:dyDescent="0.2">
      <c r="AG114" s="4"/>
      <c r="AH114" s="4"/>
      <c r="AI114" s="14"/>
      <c r="BC114" s="4"/>
    </row>
    <row r="115" spans="33:55" x14ac:dyDescent="0.2">
      <c r="AG115" s="4"/>
      <c r="AH115" s="4"/>
      <c r="AI115" s="14"/>
      <c r="BC115" s="4"/>
    </row>
    <row r="116" spans="33:55" x14ac:dyDescent="0.2">
      <c r="AG116" s="4"/>
      <c r="AH116" s="4"/>
      <c r="AI116" s="14"/>
      <c r="BC116" s="4"/>
    </row>
    <row r="117" spans="33:55" x14ac:dyDescent="0.2">
      <c r="AG117" s="4"/>
      <c r="AH117" s="4"/>
      <c r="AI117" s="14"/>
      <c r="BC117" s="4"/>
    </row>
    <row r="118" spans="33:55" x14ac:dyDescent="0.2">
      <c r="AG118" s="4"/>
      <c r="AH118" s="4"/>
      <c r="AI118" s="14"/>
      <c r="BC118" s="4"/>
    </row>
    <row r="119" spans="33:55" x14ac:dyDescent="0.2">
      <c r="AG119" s="4"/>
      <c r="AH119" s="4"/>
      <c r="AI119" s="14"/>
      <c r="BC119" s="4"/>
    </row>
    <row r="120" spans="33:55" x14ac:dyDescent="0.2">
      <c r="AG120" s="4"/>
      <c r="AH120" s="4"/>
      <c r="AI120" s="14"/>
      <c r="BC120" s="4"/>
    </row>
    <row r="121" spans="33:55" x14ac:dyDescent="0.2">
      <c r="AG121" s="4"/>
      <c r="AH121" s="4"/>
      <c r="AI121" s="14"/>
      <c r="BC121" s="4"/>
    </row>
    <row r="122" spans="33:55" x14ac:dyDescent="0.2">
      <c r="AG122" s="4"/>
      <c r="AH122" s="4"/>
      <c r="AI122" s="14"/>
      <c r="BC122" s="4"/>
    </row>
    <row r="123" spans="33:55" x14ac:dyDescent="0.2">
      <c r="AG123" s="4"/>
      <c r="AH123" s="4"/>
      <c r="AI123" s="14"/>
      <c r="BC123" s="4"/>
    </row>
    <row r="124" spans="33:55" x14ac:dyDescent="0.2">
      <c r="AG124" s="4"/>
      <c r="AH124" s="4"/>
      <c r="AI124" s="14"/>
      <c r="BC124" s="4"/>
    </row>
    <row r="125" spans="33:55" x14ac:dyDescent="0.2">
      <c r="AG125" s="4"/>
      <c r="AH125" s="4"/>
      <c r="AI125" s="14"/>
      <c r="BC125" s="4"/>
    </row>
    <row r="126" spans="33:55" x14ac:dyDescent="0.2">
      <c r="AG126" s="4"/>
      <c r="AH126" s="4"/>
      <c r="AI126" s="14"/>
      <c r="BC126" s="4"/>
    </row>
    <row r="127" spans="33:55" x14ac:dyDescent="0.2">
      <c r="AG127" s="4"/>
      <c r="AH127" s="4"/>
      <c r="AI127" s="14"/>
      <c r="BC127" s="4"/>
    </row>
    <row r="128" spans="33:55" x14ac:dyDescent="0.2">
      <c r="AG128" s="4"/>
      <c r="AH128" s="4"/>
      <c r="AI128" s="14"/>
      <c r="BC128" s="4"/>
    </row>
    <row r="129" spans="33:55" x14ac:dyDescent="0.2">
      <c r="AG129" s="4"/>
      <c r="AH129" s="4"/>
      <c r="AI129" s="14"/>
      <c r="BC129" s="4"/>
    </row>
    <row r="130" spans="33:55" x14ac:dyDescent="0.2">
      <c r="AG130" s="4"/>
      <c r="AH130" s="4"/>
      <c r="AI130" s="14"/>
      <c r="BC130" s="4"/>
    </row>
    <row r="131" spans="33:55" x14ac:dyDescent="0.2">
      <c r="AG131" s="4"/>
      <c r="AH131" s="4"/>
      <c r="AI131" s="14"/>
      <c r="BC131" s="4"/>
    </row>
    <row r="132" spans="33:55" x14ac:dyDescent="0.2">
      <c r="AG132" s="4"/>
      <c r="AH132" s="4"/>
      <c r="AI132" s="14"/>
      <c r="BC132" s="4"/>
    </row>
    <row r="133" spans="33:55" x14ac:dyDescent="0.2">
      <c r="AG133" s="4"/>
      <c r="AH133" s="4"/>
      <c r="AI133" s="14"/>
      <c r="BC133" s="4"/>
    </row>
    <row r="134" spans="33:55" x14ac:dyDescent="0.2">
      <c r="AG134" s="4"/>
      <c r="AH134" s="4"/>
      <c r="AI134" s="14"/>
      <c r="BC134" s="4"/>
    </row>
    <row r="135" spans="33:55" x14ac:dyDescent="0.2">
      <c r="AG135" s="4"/>
      <c r="AH135" s="4"/>
      <c r="AI135" s="14"/>
      <c r="BC135" s="4"/>
    </row>
    <row r="136" spans="33:55" x14ac:dyDescent="0.2">
      <c r="AG136" s="4"/>
      <c r="AH136" s="4"/>
      <c r="AI136" s="14"/>
      <c r="BC136" s="4"/>
    </row>
    <row r="137" spans="33:55" x14ac:dyDescent="0.2">
      <c r="AG137" s="4"/>
      <c r="AH137" s="4"/>
      <c r="AI137" s="14"/>
      <c r="BC137" s="4"/>
    </row>
    <row r="138" spans="33:55" x14ac:dyDescent="0.2">
      <c r="AG138" s="4"/>
      <c r="AH138" s="4"/>
      <c r="AI138" s="14"/>
      <c r="BC138" s="4"/>
    </row>
    <row r="139" spans="33:55" x14ac:dyDescent="0.2">
      <c r="AG139" s="4"/>
      <c r="AH139" s="4"/>
      <c r="AI139" s="14"/>
      <c r="BC139" s="4"/>
    </row>
    <row r="140" spans="33:55" x14ac:dyDescent="0.2">
      <c r="AG140" s="4"/>
      <c r="AH140" s="4"/>
      <c r="AI140" s="14"/>
      <c r="BC140" s="4"/>
    </row>
    <row r="141" spans="33:55" x14ac:dyDescent="0.2">
      <c r="AG141" s="4"/>
      <c r="AH141" s="4"/>
      <c r="AI141" s="14"/>
      <c r="BC141" s="4"/>
    </row>
    <row r="142" spans="33:55" x14ac:dyDescent="0.2">
      <c r="AG142" s="4"/>
      <c r="AH142" s="4"/>
      <c r="AI142" s="14"/>
      <c r="BC142" s="4"/>
    </row>
    <row r="143" spans="33:55" x14ac:dyDescent="0.2">
      <c r="AG143" s="4"/>
      <c r="AH143" s="4"/>
      <c r="AI143" s="14"/>
      <c r="BC143" s="4"/>
    </row>
    <row r="144" spans="33:55" x14ac:dyDescent="0.2">
      <c r="AG144" s="4"/>
      <c r="AH144" s="4"/>
      <c r="AI144" s="14"/>
      <c r="BC144" s="4"/>
    </row>
    <row r="145" spans="33:55" x14ac:dyDescent="0.2">
      <c r="AG145" s="4"/>
      <c r="AH145" s="4"/>
      <c r="AI145" s="14"/>
      <c r="BC145" s="4"/>
    </row>
    <row r="146" spans="33:55" x14ac:dyDescent="0.2">
      <c r="AG146" s="4"/>
      <c r="AH146" s="4"/>
      <c r="AI146" s="14"/>
      <c r="BC146" s="4"/>
    </row>
    <row r="147" spans="33:55" x14ac:dyDescent="0.2">
      <c r="AG147" s="4"/>
      <c r="AH147" s="4"/>
      <c r="AI147" s="14"/>
      <c r="BC147" s="4"/>
    </row>
    <row r="148" spans="33:55" x14ac:dyDescent="0.2">
      <c r="AG148" s="4"/>
      <c r="AH148" s="4"/>
      <c r="AI148" s="14"/>
      <c r="BC148" s="4"/>
    </row>
    <row r="149" spans="33:55" x14ac:dyDescent="0.2">
      <c r="AG149" s="4"/>
      <c r="AH149" s="4"/>
      <c r="AI149" s="14"/>
      <c r="BC149" s="4"/>
    </row>
    <row r="150" spans="33:55" x14ac:dyDescent="0.2">
      <c r="AG150" s="4"/>
      <c r="AH150" s="4"/>
      <c r="AI150" s="14"/>
      <c r="BC150" s="4"/>
    </row>
    <row r="151" spans="33:55" x14ac:dyDescent="0.2">
      <c r="AG151" s="4"/>
      <c r="AH151" s="4"/>
      <c r="AI151" s="14"/>
      <c r="BC151" s="4"/>
    </row>
    <row r="152" spans="33:55" x14ac:dyDescent="0.2">
      <c r="AG152" s="4"/>
      <c r="AH152" s="4"/>
      <c r="AI152" s="14"/>
      <c r="BC152" s="4"/>
    </row>
    <row r="153" spans="33:55" x14ac:dyDescent="0.2">
      <c r="AG153" s="4"/>
      <c r="AH153" s="4"/>
      <c r="AI153" s="14"/>
      <c r="BC153" s="4"/>
    </row>
    <row r="154" spans="33:55" x14ac:dyDescent="0.2">
      <c r="AG154" s="4"/>
      <c r="AH154" s="4"/>
      <c r="AI154" s="14"/>
      <c r="BC154" s="4"/>
    </row>
    <row r="155" spans="33:55" x14ac:dyDescent="0.2">
      <c r="AG155" s="4"/>
      <c r="AH155" s="4"/>
      <c r="AI155" s="14"/>
      <c r="BC155" s="4"/>
    </row>
    <row r="156" spans="33:55" x14ac:dyDescent="0.2">
      <c r="AG156" s="4"/>
      <c r="AH156" s="4"/>
      <c r="AI156" s="14"/>
      <c r="BC156" s="4"/>
    </row>
    <row r="157" spans="33:55" x14ac:dyDescent="0.2">
      <c r="AG157" s="4"/>
      <c r="AH157" s="4"/>
      <c r="AI157" s="14"/>
      <c r="BC157" s="4"/>
    </row>
    <row r="158" spans="33:55" x14ac:dyDescent="0.2">
      <c r="AG158" s="4"/>
      <c r="AH158" s="4"/>
      <c r="AI158" s="14"/>
      <c r="BC158" s="4"/>
    </row>
    <row r="159" spans="33:55" x14ac:dyDescent="0.2">
      <c r="AG159" s="4"/>
      <c r="AH159" s="4"/>
      <c r="AI159" s="14"/>
      <c r="BC159" s="4"/>
    </row>
    <row r="160" spans="33:55" x14ac:dyDescent="0.2">
      <c r="AG160" s="4"/>
      <c r="AH160" s="4"/>
      <c r="AI160" s="14"/>
      <c r="BC160" s="4"/>
    </row>
    <row r="161" spans="33:55" x14ac:dyDescent="0.2">
      <c r="AG161" s="4"/>
      <c r="AH161" s="4"/>
      <c r="AI161" s="14"/>
      <c r="BC161" s="4"/>
    </row>
    <row r="162" spans="33:55" x14ac:dyDescent="0.2">
      <c r="AG162" s="4"/>
      <c r="AH162" s="4"/>
      <c r="AI162" s="14"/>
      <c r="BC162" s="4"/>
    </row>
    <row r="163" spans="33:55" x14ac:dyDescent="0.2">
      <c r="AG163" s="4"/>
      <c r="AH163" s="4"/>
      <c r="AI163" s="14"/>
      <c r="BC163" s="4"/>
    </row>
    <row r="164" spans="33:55" x14ac:dyDescent="0.2">
      <c r="AG164" s="4"/>
      <c r="AH164" s="4"/>
      <c r="AI164" s="14"/>
      <c r="BC164" s="4"/>
    </row>
    <row r="165" spans="33:55" x14ac:dyDescent="0.2">
      <c r="AG165" s="4"/>
      <c r="AH165" s="4"/>
      <c r="AI165" s="14"/>
      <c r="BC165" s="4"/>
    </row>
    <row r="166" spans="33:55" x14ac:dyDescent="0.2">
      <c r="AG166" s="4"/>
      <c r="AH166" s="4"/>
      <c r="AI166" s="14"/>
      <c r="BC166" s="4"/>
    </row>
    <row r="167" spans="33:55" x14ac:dyDescent="0.2">
      <c r="AG167" s="4"/>
      <c r="AH167" s="4"/>
      <c r="AI167" s="14"/>
      <c r="BC167" s="4"/>
    </row>
    <row r="168" spans="33:55" x14ac:dyDescent="0.2">
      <c r="AG168" s="4"/>
      <c r="AH168" s="4"/>
      <c r="AI168" s="14"/>
      <c r="BC168" s="4"/>
    </row>
    <row r="169" spans="33:55" x14ac:dyDescent="0.2">
      <c r="AG169" s="4"/>
      <c r="AH169" s="4"/>
      <c r="AI169" s="14"/>
      <c r="BC169" s="4"/>
    </row>
    <row r="170" spans="33:55" x14ac:dyDescent="0.2">
      <c r="AG170" s="4"/>
      <c r="AH170" s="4"/>
      <c r="AI170" s="14"/>
      <c r="BC170" s="4"/>
    </row>
    <row r="171" spans="33:55" x14ac:dyDescent="0.2">
      <c r="AG171" s="4"/>
      <c r="AH171" s="4"/>
      <c r="AI171" s="14"/>
      <c r="BC171" s="4"/>
    </row>
    <row r="172" spans="33:55" x14ac:dyDescent="0.2">
      <c r="AG172" s="4"/>
      <c r="AH172" s="4"/>
      <c r="AI172" s="14"/>
      <c r="BC172" s="4"/>
    </row>
    <row r="173" spans="33:55" x14ac:dyDescent="0.2">
      <c r="AG173" s="4"/>
      <c r="AH173" s="4"/>
      <c r="AI173" s="14"/>
      <c r="BC173" s="4"/>
    </row>
    <row r="174" spans="33:55" x14ac:dyDescent="0.2">
      <c r="AG174" s="4"/>
      <c r="AH174" s="4"/>
      <c r="AI174" s="14"/>
      <c r="BC174" s="4"/>
    </row>
    <row r="175" spans="33:55" x14ac:dyDescent="0.2">
      <c r="AG175" s="4"/>
      <c r="AH175" s="4"/>
      <c r="AI175" s="14"/>
      <c r="BC175" s="4"/>
    </row>
    <row r="176" spans="33:55" x14ac:dyDescent="0.2">
      <c r="AG176" s="4"/>
      <c r="AH176" s="4"/>
      <c r="AI176" s="14"/>
      <c r="BC176" s="4"/>
    </row>
    <row r="177" spans="33:55" x14ac:dyDescent="0.2">
      <c r="AG177" s="4"/>
      <c r="AH177" s="4"/>
      <c r="AI177" s="14"/>
      <c r="BC177" s="4"/>
    </row>
    <row r="178" spans="33:55" x14ac:dyDescent="0.2">
      <c r="AG178" s="4"/>
      <c r="AH178" s="4"/>
      <c r="AI178" s="14"/>
      <c r="BC178" s="4"/>
    </row>
    <row r="179" spans="33:55" x14ac:dyDescent="0.2">
      <c r="AG179" s="4"/>
      <c r="AH179" s="4"/>
      <c r="AI179" s="14"/>
      <c r="BC179" s="4"/>
    </row>
    <row r="180" spans="33:55" x14ac:dyDescent="0.2">
      <c r="AG180" s="4"/>
      <c r="AH180" s="4"/>
      <c r="AI180" s="14"/>
      <c r="BC180" s="4"/>
    </row>
    <row r="181" spans="33:55" x14ac:dyDescent="0.2">
      <c r="AG181" s="4"/>
      <c r="AH181" s="4"/>
      <c r="AI181" s="14"/>
      <c r="BC181" s="4"/>
    </row>
    <row r="182" spans="33:55" x14ac:dyDescent="0.2">
      <c r="AG182" s="4"/>
      <c r="AH182" s="4"/>
      <c r="AI182" s="14"/>
      <c r="BC182" s="4"/>
    </row>
    <row r="183" spans="33:55" x14ac:dyDescent="0.2">
      <c r="AG183" s="4"/>
      <c r="AH183" s="4"/>
      <c r="AI183" s="14"/>
      <c r="BC183" s="4"/>
    </row>
    <row r="184" spans="33:55" x14ac:dyDescent="0.2">
      <c r="AG184" s="4"/>
      <c r="AH184" s="4"/>
      <c r="AI184" s="14"/>
      <c r="BC184" s="4"/>
    </row>
    <row r="185" spans="33:55" x14ac:dyDescent="0.2">
      <c r="AG185" s="4"/>
      <c r="AH185" s="4"/>
      <c r="AI185" s="14"/>
      <c r="BC185" s="4"/>
    </row>
    <row r="186" spans="33:55" x14ac:dyDescent="0.2">
      <c r="AG186" s="4"/>
      <c r="AH186" s="4"/>
      <c r="AI186" s="14"/>
      <c r="BC186" s="4"/>
    </row>
    <row r="187" spans="33:55" x14ac:dyDescent="0.2">
      <c r="AG187" s="4"/>
      <c r="AH187" s="4"/>
      <c r="AI187" s="14"/>
      <c r="BC187" s="4"/>
    </row>
    <row r="188" spans="33:55" x14ac:dyDescent="0.2">
      <c r="AG188" s="4"/>
      <c r="AH188" s="4"/>
      <c r="AI188" s="14"/>
      <c r="BC188" s="4"/>
    </row>
    <row r="189" spans="33:55" x14ac:dyDescent="0.2">
      <c r="AG189" s="4"/>
      <c r="AH189" s="4"/>
      <c r="AI189" s="14"/>
      <c r="BC189" s="4"/>
    </row>
    <row r="190" spans="33:55" x14ac:dyDescent="0.2">
      <c r="AG190" s="4"/>
      <c r="AH190" s="4"/>
      <c r="AI190" s="14"/>
      <c r="BC190" s="4"/>
    </row>
    <row r="191" spans="33:55" x14ac:dyDescent="0.2">
      <c r="AG191" s="4"/>
      <c r="AH191" s="4"/>
      <c r="AI191" s="14"/>
      <c r="BC191" s="4"/>
    </row>
    <row r="192" spans="33:55" x14ac:dyDescent="0.2">
      <c r="AG192" s="4"/>
      <c r="AH192" s="4"/>
      <c r="AI192" s="14"/>
      <c r="BC192" s="4"/>
    </row>
    <row r="193" spans="16:55" x14ac:dyDescent="0.2">
      <c r="AG193" s="4"/>
      <c r="AH193" s="4"/>
      <c r="AI193" s="14"/>
      <c r="BC193" s="4"/>
    </row>
    <row r="194" spans="16:55" x14ac:dyDescent="0.2">
      <c r="AG194" s="4"/>
      <c r="AH194" s="4"/>
      <c r="AI194" s="14"/>
      <c r="BC194" s="4"/>
    </row>
    <row r="195" spans="16:55" x14ac:dyDescent="0.2">
      <c r="AG195" s="4"/>
      <c r="AH195" s="4"/>
      <c r="AI195" s="14"/>
      <c r="BC195" s="4"/>
    </row>
    <row r="196" spans="16:55" x14ac:dyDescent="0.2">
      <c r="AG196" s="4"/>
      <c r="AH196" s="4"/>
      <c r="AI196" s="14"/>
      <c r="BC196" s="4"/>
    </row>
    <row r="197" spans="16:55" x14ac:dyDescent="0.2">
      <c r="AG197" s="4"/>
      <c r="AH197" s="4"/>
      <c r="AI197" s="14"/>
      <c r="BC197" s="4"/>
    </row>
    <row r="198" spans="16:55" x14ac:dyDescent="0.2">
      <c r="AG198" s="4"/>
      <c r="AH198" s="4"/>
      <c r="AI198" s="14"/>
      <c r="BC198" s="4"/>
    </row>
    <row r="199" spans="16:55" x14ac:dyDescent="0.2">
      <c r="AG199" s="4"/>
      <c r="AH199" s="4"/>
      <c r="AI199" s="14"/>
      <c r="BC199" s="4"/>
    </row>
    <row r="200" spans="16:55" x14ac:dyDescent="0.2">
      <c r="P200"/>
      <c r="AG200" s="4"/>
      <c r="AH200" s="4"/>
      <c r="AI200" s="14"/>
      <c r="BC200" s="4"/>
    </row>
    <row r="201" spans="16:55" x14ac:dyDescent="0.2">
      <c r="P201"/>
      <c r="AG201" s="4"/>
      <c r="AH201" s="4"/>
      <c r="AI201" s="14"/>
      <c r="BC201" s="4"/>
    </row>
    <row r="202" spans="16:55" x14ac:dyDescent="0.2">
      <c r="P202"/>
      <c r="AG202" s="4"/>
      <c r="AH202" s="4"/>
      <c r="AI202" s="14"/>
      <c r="BC202" s="4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Lists!$BI:$BI</xm:f>
          </x14:formula1>
          <xm:sqref>G200:G201</xm:sqref>
        </x14:dataValidation>
        <x14:dataValidation type="list" allowBlank="1" showInputMessage="1" showErrorMessage="1" xr:uid="{F96B7B0B-A1E0-0441-9959-A79C46FEC7D1}">
          <x14:formula1>
            <xm:f>Lists!$BJ:$BJ</xm:f>
          </x14:formula1>
          <xm:sqref>H200:H201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sheetPr>
    <tabColor theme="7"/>
  </sheetPr>
  <dimension ref="A1:BU4000"/>
  <sheetViews>
    <sheetView tabSelected="1" zoomScale="90" zoomScaleNormal="90" workbookViewId="0">
      <pane ySplit="1" topLeftCell="A2" activePane="bottomLeft" state="frozen"/>
      <selection pane="bottomLeft" activeCell="AC7" sqref="AC7"/>
    </sheetView>
  </sheetViews>
  <sheetFormatPr baseColWidth="10" defaultRowHeight="16" x14ac:dyDescent="0.2"/>
  <cols>
    <col min="1" max="1" width="5.33203125" customWidth="1"/>
    <col min="2" max="2" width="6.33203125" style="49" customWidth="1"/>
    <col min="3" max="3" width="6" style="49" customWidth="1"/>
    <col min="4" max="4" width="6" style="50" customWidth="1"/>
    <col min="5" max="5" width="7.1640625" customWidth="1"/>
    <col min="6" max="6" width="8.6640625" style="44" customWidth="1"/>
    <col min="7" max="7" width="7.5" customWidth="1"/>
    <col min="8" max="8" width="7.1640625" style="53" customWidth="1"/>
    <col min="9" max="10" width="7.6640625" style="44" customWidth="1"/>
    <col min="11" max="11" width="17.6640625" customWidth="1"/>
    <col min="12" max="12" width="18.83203125" customWidth="1"/>
    <col min="13" max="13" width="14.33203125" customWidth="1"/>
    <col min="14" max="14" width="11.5" customWidth="1"/>
    <col min="15" max="15" width="16.83203125" customWidth="1"/>
    <col min="16" max="16" width="13.83203125" customWidth="1"/>
    <col min="17" max="17" width="10" customWidth="1"/>
    <col min="18" max="18" width="8" style="50" customWidth="1"/>
    <col min="19" max="19" width="9.1640625" customWidth="1"/>
    <col min="20" max="20" width="8.33203125" customWidth="1"/>
    <col min="21" max="21" width="5.33203125" customWidth="1"/>
    <col min="22" max="22" width="6" customWidth="1"/>
    <col min="23" max="25" width="11" customWidth="1"/>
    <col min="26" max="26" width="8.1640625" customWidth="1"/>
    <col min="27" max="27" width="12" customWidth="1"/>
    <col min="28" max="28" width="12.6640625" customWidth="1"/>
    <col min="29" max="29" width="17.1640625" customWidth="1"/>
    <col min="30" max="31" width="10.5" customWidth="1"/>
    <col min="32" max="32" width="10.33203125" customWidth="1"/>
    <col min="33" max="34" width="10.83203125" customWidth="1"/>
    <col min="35" max="36" width="8.33203125" customWidth="1"/>
    <col min="37" max="37" width="15.1640625" customWidth="1"/>
    <col min="38" max="38" width="10.5" customWidth="1"/>
    <col min="39" max="41" width="10.33203125" customWidth="1"/>
    <col min="42" max="42" width="18.33203125" customWidth="1"/>
    <col min="43" max="45" width="15.1640625" customWidth="1"/>
    <col min="46" max="46" width="12" customWidth="1"/>
    <col min="47" max="48" width="17.1640625" customWidth="1"/>
    <col min="49" max="52" width="13.33203125" customWidth="1"/>
    <col min="53" max="53" width="7" style="6" customWidth="1"/>
    <col min="54" max="54" width="7.6640625" customWidth="1"/>
    <col min="55" max="55" width="8.1640625" customWidth="1"/>
    <col min="56" max="56" width="10.1640625" customWidth="1"/>
    <col min="57" max="57" width="13.5" customWidth="1"/>
    <col min="58" max="58" width="15.5" customWidth="1"/>
    <col min="59" max="59" width="15.1640625" customWidth="1"/>
    <col min="60" max="60" width="13.33203125" customWidth="1"/>
    <col min="61" max="61" width="10.83203125" customWidth="1"/>
    <col min="62" max="62" width="11.83203125" customWidth="1"/>
    <col min="63" max="64" width="10.83203125" customWidth="1"/>
    <col min="65" max="65" width="12.5" customWidth="1"/>
    <col min="66" max="67" width="12.83203125" customWidth="1"/>
    <col min="68" max="69" width="10.83203125" customWidth="1"/>
    <col min="70" max="70" width="22" customWidth="1"/>
    <col min="71" max="71" width="12.5" customWidth="1"/>
  </cols>
  <sheetData>
    <row r="1" spans="1:73" s="1" customFormat="1" ht="85" x14ac:dyDescent="0.2">
      <c r="A1" s="20" t="s">
        <v>854</v>
      </c>
      <c r="B1" s="48" t="s">
        <v>856</v>
      </c>
      <c r="C1" s="48" t="s">
        <v>857</v>
      </c>
      <c r="D1" s="54" t="s">
        <v>855</v>
      </c>
      <c r="E1" s="21" t="s">
        <v>409</v>
      </c>
      <c r="F1" s="42" t="s">
        <v>410</v>
      </c>
      <c r="G1" s="21" t="s">
        <v>411</v>
      </c>
      <c r="H1" s="45" t="s">
        <v>412</v>
      </c>
      <c r="I1" s="47" t="s">
        <v>863</v>
      </c>
      <c r="J1" s="47" t="s">
        <v>791</v>
      </c>
      <c r="K1" s="20" t="s">
        <v>792</v>
      </c>
      <c r="L1" s="20" t="s">
        <v>407</v>
      </c>
      <c r="M1" s="20" t="s">
        <v>408</v>
      </c>
      <c r="N1" s="54" t="s">
        <v>800</v>
      </c>
      <c r="O1" s="54" t="s">
        <v>850</v>
      </c>
      <c r="P1" s="54" t="s">
        <v>851</v>
      </c>
      <c r="Q1" s="54" t="s">
        <v>852</v>
      </c>
      <c r="R1" s="54" t="s">
        <v>853</v>
      </c>
      <c r="S1" s="54" t="s">
        <v>802</v>
      </c>
      <c r="T1" s="54" t="s">
        <v>725</v>
      </c>
      <c r="U1" s="54" t="s">
        <v>859</v>
      </c>
      <c r="V1" s="54" t="s">
        <v>860</v>
      </c>
      <c r="W1" s="20" t="s">
        <v>788</v>
      </c>
      <c r="X1" s="1" t="s">
        <v>789</v>
      </c>
      <c r="Y1" s="1" t="s">
        <v>894</v>
      </c>
      <c r="Z1" s="1" t="s">
        <v>790</v>
      </c>
      <c r="AA1" s="1" t="s">
        <v>242</v>
      </c>
      <c r="AB1" s="54" t="s">
        <v>518</v>
      </c>
      <c r="AC1" s="1" t="s">
        <v>724</v>
      </c>
      <c r="AD1" s="41" t="s">
        <v>801</v>
      </c>
      <c r="AE1" s="35" t="s">
        <v>252</v>
      </c>
      <c r="AF1" s="35" t="s">
        <v>253</v>
      </c>
      <c r="AG1" s="35" t="s">
        <v>254</v>
      </c>
      <c r="AH1" s="35" t="s">
        <v>255</v>
      </c>
      <c r="AI1" s="35" t="s">
        <v>369</v>
      </c>
      <c r="AJ1" s="35" t="s">
        <v>892</v>
      </c>
      <c r="AK1" s="35" t="s">
        <v>454</v>
      </c>
      <c r="AL1" s="35" t="s">
        <v>795</v>
      </c>
      <c r="AM1" s="35" t="s">
        <v>796</v>
      </c>
      <c r="AN1" s="35" t="s">
        <v>797</v>
      </c>
      <c r="AO1" s="35" t="s">
        <v>798</v>
      </c>
      <c r="AP1" s="35" t="s">
        <v>455</v>
      </c>
      <c r="AQ1" s="35" t="s">
        <v>456</v>
      </c>
      <c r="AR1" s="35" t="s">
        <v>793</v>
      </c>
      <c r="AS1" s="35" t="s">
        <v>794</v>
      </c>
      <c r="AT1" s="35" t="s">
        <v>515</v>
      </c>
      <c r="AU1" s="35" t="s">
        <v>243</v>
      </c>
      <c r="AV1" s="35" t="s">
        <v>244</v>
      </c>
      <c r="AW1" s="35" t="s">
        <v>451</v>
      </c>
      <c r="AX1" s="35" t="s">
        <v>849</v>
      </c>
      <c r="AY1" s="35" t="s">
        <v>453</v>
      </c>
      <c r="AZ1" s="35" t="s">
        <v>535</v>
      </c>
      <c r="BA1" s="41" t="s">
        <v>621</v>
      </c>
      <c r="BB1" s="35" t="s">
        <v>248</v>
      </c>
      <c r="BC1" s="35" t="s">
        <v>249</v>
      </c>
      <c r="BD1" s="35" t="s">
        <v>250</v>
      </c>
      <c r="BE1" s="35" t="s">
        <v>239</v>
      </c>
      <c r="BF1" s="35" t="s">
        <v>246</v>
      </c>
      <c r="BG1" s="35" t="s">
        <v>247</v>
      </c>
      <c r="BH1" s="35" t="s">
        <v>799</v>
      </c>
      <c r="BI1" s="35" t="s">
        <v>256</v>
      </c>
      <c r="BJ1" s="34" t="s">
        <v>356</v>
      </c>
      <c r="BK1" s="35" t="s">
        <v>357</v>
      </c>
      <c r="BL1" s="35" t="s">
        <v>358</v>
      </c>
      <c r="BM1" s="34" t="s">
        <v>397</v>
      </c>
      <c r="BN1" s="35" t="s">
        <v>396</v>
      </c>
      <c r="BO1" s="35" t="s">
        <v>403</v>
      </c>
      <c r="BP1" s="35" t="s">
        <v>394</v>
      </c>
      <c r="BQ1" s="35" t="s">
        <v>395</v>
      </c>
      <c r="BR1" s="35" t="s">
        <v>245</v>
      </c>
      <c r="BS1" s="35" t="s">
        <v>370</v>
      </c>
      <c r="BT1" s="35" t="s">
        <v>810</v>
      </c>
      <c r="BU1" s="35" t="s">
        <v>811</v>
      </c>
    </row>
    <row r="2" spans="1:73" ht="16" customHeight="1" x14ac:dyDescent="0.2">
      <c r="E2" s="4"/>
      <c r="F2" s="43"/>
      <c r="G2" s="4"/>
      <c r="H2" s="46"/>
      <c r="K2" t="s">
        <v>287</v>
      </c>
      <c r="S2">
        <v>0</v>
      </c>
      <c r="Y2" t="b">
        <f>IF(X2&lt;&gt;"",VLOOKUP(X2,game_rosters!$C$43:$E$64,3,FALSE))</f>
        <v>0</v>
      </c>
      <c r="Z2" t="s">
        <v>729</v>
      </c>
      <c r="AA2">
        <f>S2+1000</f>
        <v>1000</v>
      </c>
      <c r="AB2" t="str">
        <f>IF(T2&lt;&gt;"",9000+T2,"")</f>
        <v/>
      </c>
      <c r="AC2">
        <f t="shared" ref="AC2:AC65" si="0">IF(AB2&lt;&gt;"",AB2,S2+1000)</f>
        <v>1000</v>
      </c>
      <c r="AD2" s="6">
        <v>1</v>
      </c>
      <c r="AG2" t="s">
        <v>756</v>
      </c>
      <c r="AH2" t="s">
        <v>756</v>
      </c>
      <c r="AJ2" t="str">
        <f>IF($J2&lt;&gt;"",$J2,IF($AC2=$AC1,AJ1,""))</f>
        <v/>
      </c>
      <c r="AK2" t="str">
        <f>IF($J2&lt;&gt;"",$J2,IF($AC2=$AC1,AK1,""))</f>
        <v/>
      </c>
      <c r="AL2" t="str">
        <f>IF($W2="","",IF($AJ2="","",IF($W2="h",$AJ2,IF($AJ2="n","n",IF(AND($W2="a",$AJ2="d"),"o",IF(AND($W2="a",$AJ2="o"),"d"))))))</f>
        <v/>
      </c>
      <c r="AM2" t="str">
        <f>IF($W2="","",IF(J2="","",IF(AL2="n","n",IF(AL2="d","o",IF(AL2="o","d","")))))</f>
        <v/>
      </c>
      <c r="AO2" t="str">
        <f>IF($W2&lt;&gt;"",$W2,IF($AC2=$AC1,AO1,""))</f>
        <v/>
      </c>
      <c r="AP2" t="str">
        <f t="shared" ref="AP2:AS3" si="1">IF(AL2&lt;&gt;"",AL2,IF($AC2=$AC1,AP1,""))</f>
        <v/>
      </c>
      <c r="AQ2" t="str">
        <f t="shared" si="1"/>
        <v/>
      </c>
      <c r="AR2" t="str">
        <f t="shared" si="1"/>
        <v/>
      </c>
      <c r="AS2" t="str">
        <f t="shared" si="1"/>
        <v/>
      </c>
      <c r="AT2" t="str">
        <f>IF(AND(AI2="e",OR(BE2="Save",BF2="Turnover_Takeaway",BF2="Play_Defensive")),"Defensive",IF(AND(AI2="o",OR(BE2="Save",BF2="Turnover_Takeaway",BF2="Play_Defensive")),"Offensive",IF(OR(BE2="Deadice",BE2="Stoppage",BE2="Intermission"),"",IF(AI2="e","Offensive",IF(AI2="o","Defensive","")))))</f>
        <v/>
      </c>
      <c r="AU2" t="str">
        <f>IF(U2&lt;&gt;"",U2+5000,"")</f>
        <v/>
      </c>
      <c r="AV2" t="str">
        <f>IF(V2&lt;&gt;"",V2+6000,"")</f>
        <v/>
      </c>
      <c r="AW2" t="str" cm="1">
        <f t="array" ref="AW2">IFERROR(IF(O2&lt;&gt;"",O2,IF(OR($S2="",$T2=""),"",IF(O2&lt;&gt;"",O2,IF($T2&lt;&gt;"",_xlfn._xlws.FILTER(O:O,($BU:$BU=$BU2)*($I:$I=$I2)*($T:$T=$T2)*($S:$S=_xlfn.MINIFS($S:$S,$T:$T,"="&amp;$T2)),"")))))&amp;"",IF(O2="","",""))&amp;""</f>
        <v/>
      </c>
      <c r="AX2" t="str" cm="1">
        <f t="array" ref="AX2">IFERROR(IF(P2&lt;&gt;"",P2,IF(OR($S2="",$T2=""),"",IF($T2&lt;&gt;"",_xlfn._xlws.FILTER(P:P,($BU:$BU=$BU2)*($I:$I=$I2)*($T:$T=$T2)*($S:$S=_xlfn.MINIFS($S:$S,$T:$T,"="&amp;$T2)),""))))&amp;"",IF(P2="","",""))&amp;""</f>
        <v/>
      </c>
      <c r="AY2" t="str" cm="1">
        <f t="array" ref="AY2">IFERROR(IF(Q2&lt;&gt;"",Q2,IF(OR($S2="",$T2=""),"",IF($T2&lt;&gt;"",_xlfn._xlws.FILTER(Q:Q,($BU:$BU=$BU2)*($I:$I=$I2)*($T:$T=$T2)*($S:$S=_xlfn.MINIFS($S:$S,$T:$T,"="&amp;$T2)),""))))&amp;"",IF(Q2="","",""))&amp;""</f>
        <v/>
      </c>
      <c r="AZ2" t="str" cm="1">
        <f t="array" ref="AZ2">IFERROR(IF(R2&lt;&gt;"",R2,IF(OR($S2="",$T2=""),"",IF($T2&lt;&gt;"",_xlfn._xlws.FILTER(R:R,($BU:$BU=$BU2)*($I:$I=$I2)*($T:$T=$T2)*($S:$S=_xlfn.MINIFS($S:$S,$T:$T,"="&amp;$T2)),""))))&amp;"",IF(R2="","",""))&amp;""</f>
        <v/>
      </c>
      <c r="BA2" s="6">
        <v>1</v>
      </c>
      <c r="BB2" s="39">
        <v>18981</v>
      </c>
      <c r="BC2" s="39" t="s">
        <v>944</v>
      </c>
      <c r="BD2" s="39" t="s">
        <v>521</v>
      </c>
      <c r="BE2" t="s">
        <v>287</v>
      </c>
      <c r="BJ2" s="15"/>
      <c r="BM2" s="15"/>
      <c r="BN2">
        <v>0</v>
      </c>
      <c r="BO2">
        <v>0</v>
      </c>
      <c r="BP2">
        <f>IF(BO2&lt;5,0,BO2-5)</f>
        <v>0</v>
      </c>
      <c r="BQ2" s="17">
        <f>BP2+BJ2+5</f>
        <v>5</v>
      </c>
      <c r="BT2" t="str">
        <f>IFERROR(VLOOKUP(BB2&amp;BU2&amp;I2,game_rosters!U:W,3,FALSE),"")</f>
        <v/>
      </c>
      <c r="BU2" t="str">
        <f>IF(AR2="","",IF(AND(AR2="Away",AI2="e"),BD2,IF(AND(AR2="Home",AI2="e"),BC2,IF(AND(AR2="Away",AI2="o"),BC2,IF(AND(AR2="Home",AI2="o"),BD2)))))</f>
        <v/>
      </c>
    </row>
    <row r="3" spans="1:73" ht="16" customHeight="1" x14ac:dyDescent="0.2">
      <c r="A3">
        <v>1</v>
      </c>
      <c r="E3" s="4" t="s">
        <v>743</v>
      </c>
      <c r="F3" s="43" t="s">
        <v>413</v>
      </c>
      <c r="G3" s="4"/>
      <c r="H3" s="46"/>
      <c r="J3" s="44" t="s">
        <v>734</v>
      </c>
      <c r="K3" t="s">
        <v>5</v>
      </c>
      <c r="L3" t="s">
        <v>197</v>
      </c>
      <c r="M3" t="s">
        <v>756</v>
      </c>
      <c r="N3" t="str">
        <f>IF(K3="","",IF(K3="Goal","s",IF(AND(K3="Zone_Entry_Exit",OR(ISNUMBER(SEARCH("fail",L3)),ISNUMBER(SEARCH("FromExitClear",M3)),ISNUMBER(SEARCH("miss",M3)))),"u",IF(AND(K3="Zone_Entry_Exit",OR(NOT(ISNUMBER(SEARCH("fail",L3))),NOT(ISNUMBER(SEARCH("FromExitClear",M3))),NOT(ISNUMBER(SEARCH("miss",M3))))),"s",IF(AND(OR(K3="Shot",K3="Pass"),OR(ISNUMBER(SEARCH("complete",L3)),ISNUMBER(SEARCH("goal",L3)),ISNUMBER(SEARCH("OnNet",L3)))),"s",IF(L3="Turnover_Giveaway","u",IF(AND(OR(K3="Shot",K3="Pass"),OR(ISNUMBER(SEARCH("fail",L3)),NOT(ISNUMBER(SEARCH("complete",L3))),NOT(ISNUMBER(SEARCH("OnNet",L3))))),"u","")))))))</f>
        <v/>
      </c>
      <c r="Q3" t="str">
        <f>IF(O3="","",IF(AND(N3&lt;&gt;"",OR(O3&lt;&gt;"",P3&lt;&gt;"")),N3,IF(OR(ISNUMBER(SEARCH("attemp",O3)),ISNUMBER(SEARCH("mis",O3)),ISNUMBER(SEARCH("fail",O3)),ISNUMBER(SEARCH("loss",O3)),ISNUMBER(SEARCH("lost",O3)),ISNUMBER(SEARCH("attemp",P3)),ISNUMBER(SEARCH("mis",P3)),ISNUMBER(SEARCH("fail",P3)),ISNUMBER(SEARCH("loss",P3)),ISNUMBER(SEARCH("lost",P3))),"u","")))</f>
        <v/>
      </c>
      <c r="S3">
        <v>1</v>
      </c>
      <c r="T3" t="str">
        <f>IF(D3=1,MAX($T$2:$T2)+1,IF(S3=S2,$T2,IF(D3="x",T2,IF(D2="x","",""))))</f>
        <v/>
      </c>
      <c r="U3" t="str">
        <f>IF(B3=1,MAX($U$2:$U2)+1,IF(AND($T3&lt;&gt;"",$T3=$T2),$U2,IF(B3="x",U2,"")))</f>
        <v/>
      </c>
      <c r="V3" t="str">
        <f>IF(C3=1,MAX($V$2:$V2)+1,IF(AND($T3&lt;&gt;"",$T3=$T2),$U2,IF(C3="x",V2,"")))</f>
        <v/>
      </c>
      <c r="W3" t="str">
        <f>IF(AN3="Away","a",IF(AN3="Home","h",""))</f>
        <v>a</v>
      </c>
      <c r="X3">
        <v>70</v>
      </c>
      <c r="Y3" t="e">
        <f>IF(X3&lt;&gt;"",VLOOKUP(X3,game_rosters!$C$43:$E$64,3,FALSE))</f>
        <v>#N/A</v>
      </c>
      <c r="Z3" cm="1">
        <f t="array" ref="Z3">IFERROR(IF(_xlfn._xlws.FILTER(game_rosters!$J:$J,(game_rosters!$G:$G=events!$AN3)*(game_rosters!$J:$J=events!$X3))&gt;0,1,""),"")</f>
        <v>1</v>
      </c>
      <c r="AA3">
        <f>S3+1000</f>
        <v>1001</v>
      </c>
      <c r="AB3" t="str">
        <f>IF(T3&lt;&gt;"",9000+T3,"")</f>
        <v/>
      </c>
      <c r="AC3">
        <f t="shared" si="0"/>
        <v>1001</v>
      </c>
      <c r="AD3" s="6">
        <v>1</v>
      </c>
      <c r="AE3">
        <v>18</v>
      </c>
      <c r="AF3" t="s">
        <v>413</v>
      </c>
      <c r="AG3" t="s">
        <v>756</v>
      </c>
      <c r="AH3" t="s">
        <v>756</v>
      </c>
      <c r="AI3" t="s">
        <v>367</v>
      </c>
      <c r="AJ3" t="str">
        <f>IF($J3&lt;&gt;"",$J3,IF($AC3=$AC2,AJ2,""))</f>
        <v>n</v>
      </c>
      <c r="AK3" t="str">
        <f>IF($J3&lt;&gt;"",$J3,IF($AC3=$AC2,AK2,""))</f>
        <v>n</v>
      </c>
      <c r="AL3" t="str">
        <f>IF($W3="","",IF($AJ3="","",IF($W3="h",$AJ3,IF($AJ3="n","n",IF(AND($W3="a",$AJ3="d"),"o",IF(AND($W3="a",$AJ3="o"),"d"))))))</f>
        <v>n</v>
      </c>
      <c r="AM3" t="str">
        <f>IF($W3="","",IF(J3="","",IF(AL3="n","n",IF(AL3="d","o",IF(AL3="o","d","")))))</f>
        <v>n</v>
      </c>
      <c r="AN3" t="s">
        <v>862</v>
      </c>
      <c r="AO3" t="str">
        <f>IF($W3&lt;&gt;"",$W3,IF($AC3=$AC2,AO2,""))</f>
        <v>a</v>
      </c>
      <c r="AP3" t="str">
        <f t="shared" si="1"/>
        <v>n</v>
      </c>
      <c r="AQ3" t="str">
        <f t="shared" si="1"/>
        <v>n</v>
      </c>
      <c r="AR3" t="str">
        <f t="shared" si="1"/>
        <v>Away</v>
      </c>
      <c r="AS3" t="str">
        <f t="shared" si="1"/>
        <v>a</v>
      </c>
      <c r="AT3" t="str">
        <f>IF(AND(AI3="e",OR(BE3="Save",BF3="Turnover_Takeaway",BF3="Play_Defensive")),"Defensive",IF(AND(AI3="o",OR(BE3="Save",BF3="Turnover_Takeaway",BF3="Play_Defensive")),"Offensive",IF(OR(BE3="Deadice",BE3="Stoppage",BE3="Intermission"),"",IF(AI3="e","Offensive",IF(AI3="o","Defensive","")))))</f>
        <v>Offensive</v>
      </c>
      <c r="AU3" t="str">
        <f>IF(U3&lt;&gt;"",U3+5000,"")</f>
        <v/>
      </c>
      <c r="AV3" t="str">
        <f>IF(V3&lt;&gt;"",V3+6000,"")</f>
        <v/>
      </c>
      <c r="AW3" t="str" cm="1">
        <f t="array" ref="AW3">IFERROR(IF(O3&lt;&gt;"",O3,IF(OR($S3="",$T3=""),"",IF(O3&lt;&gt;"",O3,IF($T3&lt;&gt;"",_xlfn._xlws.FILTER(O:O,($BU:$BU=$BU3)*($I:$I=$I3)*($T:$T=$T3)*($S:$S=_xlfn.MINIFS($S:$S,$T:$T,"="&amp;$T3)),"")))))&amp;"",IF(O3="","",""))&amp;""</f>
        <v/>
      </c>
      <c r="AX3" t="str" cm="1">
        <f t="array" ref="AX3">IFERROR(IF(P3&lt;&gt;"",P3,IF(OR($S3="",$T3=""),"",IF($T3&lt;&gt;"",_xlfn._xlws.FILTER(P:P,($BU:$BU=$BU3)*($I:$I=$I3)*($T:$T=$T3)*($S:$S=_xlfn.MINIFS($S:$S,$T:$T,"="&amp;$T3)),""))))&amp;"",IF(P3="","",""))&amp;""</f>
        <v/>
      </c>
      <c r="AY3" t="str" cm="1">
        <f t="array" ref="AY3">IFERROR(IF(Q3&lt;&gt;"",Q3,IF(OR($S3="",$T3=""),"",IF($T3&lt;&gt;"",_xlfn._xlws.FILTER(Q:Q,($BU:$BU=$BU3)*($I:$I=$I3)*($T:$T=$T3)*($S:$S=_xlfn.MINIFS($S:$S,$T:$T,"="&amp;$T3)),""))))&amp;"",IF(Q3="","",""))&amp;""</f>
        <v/>
      </c>
      <c r="AZ3" t="str" cm="1">
        <f t="array" ref="AZ3">IFERROR(IF(R3&lt;&gt;"",R3,IF(OR($S3="",$T3=""),"",IF($T3&lt;&gt;"",_xlfn._xlws.FILTER(R:R,($BU:$BU=$BU3)*($I:$I=$I3)*($T:$T=$T3)*($S:$S=_xlfn.MINIFS($S:$S,$T:$T,"="&amp;$T3)),""))))&amp;"",IF(R3="","",""))&amp;""</f>
        <v/>
      </c>
      <c r="BA3" s="6">
        <f>IF(OR(L3="Zone_Entry",L3="Zone_Exit"),BA2+1,BA2)</f>
        <v>1</v>
      </c>
      <c r="BB3">
        <f>BB2</f>
        <v>18981</v>
      </c>
      <c r="BC3" t="str">
        <f>BC2</f>
        <v>Nelson</v>
      </c>
      <c r="BD3" t="str">
        <f>BD2</f>
        <v>Velodrome</v>
      </c>
      <c r="BE3" t="s">
        <v>5</v>
      </c>
      <c r="BF3" t="s">
        <v>197</v>
      </c>
      <c r="BG3" t="s">
        <v>756</v>
      </c>
      <c r="BH3" t="str">
        <f>IF($N3&lt;&gt;"",$N3,IF($S3=$S2,BH2,""))</f>
        <v/>
      </c>
      <c r="BI3" cm="1">
        <f t="array" ref="BI3">IFERROR(_xlfn._xlws.FILTER(shifts!A:A,(shifts!B:B=events!AD3)*(shifts!AG:AG&gt;=events!BK3)*(shifts!AH:AH&lt;=events!BL3)),BI2)</f>
        <v>1</v>
      </c>
      <c r="BJ3" s="15">
        <f>IF(AND(AG3="",AH3=""),0,((AE3*60)+AF3)-((AG3*60)+AH3))</f>
        <v>0</v>
      </c>
      <c r="BK3">
        <f>(AE3*60)+AF3</f>
        <v>1080</v>
      </c>
      <c r="BL3">
        <f>IF(AND(AG3="",AH3=""),BK3,((AG3*60)+AH3))</f>
        <v>1080</v>
      </c>
      <c r="BM3" s="15">
        <f>SUMIFS(BJ$2:BJ3,K$2:K3,"=Intermission")+SUMIFS(BJ$2:BJ3,K$2:K3,"=Timeout")</f>
        <v>0</v>
      </c>
      <c r="BN3">
        <f>IF(AD3=1,0,IF(AD3=2,1080+BM3,IF(AD3=3,(1080*2)+BM3,0)))</f>
        <v>0</v>
      </c>
      <c r="BO3" s="19">
        <f>IF(K3="Intermission",BO2,((1080)-((AE3*60)+AF3))+BN3)</f>
        <v>0</v>
      </c>
      <c r="BP3">
        <f>IF(BO3&lt;5,0,BO3-5)</f>
        <v>0</v>
      </c>
      <c r="BQ3" s="17">
        <f>BP3+BJ3+5</f>
        <v>5</v>
      </c>
      <c r="BR3" t="str">
        <f>IF(AI3="e","event_team_player_"&amp;BS3,IF(AI3="o","opp_team_player_"&amp;BS3,""))</f>
        <v>event_team_player_1</v>
      </c>
      <c r="BS3">
        <f>COUNTIFS(S$3:S3,"="&amp;S3,AI$3:AI3,"="&amp;AI3)</f>
        <v>1</v>
      </c>
      <c r="BT3" t="str">
        <f>IFERROR(VLOOKUP(BB3&amp;BU3&amp;X3,game_rosters!U:W,3,FALSE),"")</f>
        <v>P100001</v>
      </c>
      <c r="BU3" t="str">
        <f>IF(AR3="","",IF(AND(AR3="Away",AI3="e"),BD3,IF(AND(AR3="Home",AI3="e"),BC3,IF(AND(AR3="Away",AI3="o"),BC3,IF(AND(AR3="Home",AI3="o"),BD3)))))</f>
        <v>Velodrome</v>
      </c>
    </row>
    <row r="4" spans="1:73" x14ac:dyDescent="0.2">
      <c r="A4" s="28">
        <f t="shared" ref="A4:A68" si="2">IF(K4&lt;&gt;"",1,IF(D4="x","x",""))</f>
        <v>1</v>
      </c>
      <c r="B4" s="28"/>
      <c r="C4" s="28"/>
      <c r="D4" s="28"/>
      <c r="E4" s="51"/>
      <c r="F4" s="51"/>
      <c r="G4" s="51"/>
      <c r="H4" s="52"/>
      <c r="I4" s="28"/>
      <c r="J4" s="28"/>
      <c r="K4" t="s">
        <v>5</v>
      </c>
      <c r="L4" t="s">
        <v>197</v>
      </c>
      <c r="M4" t="s">
        <v>756</v>
      </c>
      <c r="N4" s="28" t="str">
        <f>IF(K4="","",IF(K4="Goal","s",IF(AND(K4="Zone_Entry_Exit",OR(ISNUMBER(SEARCH("fail",L4)),ISNUMBER(SEARCH("FromExitClear",M4)),ISNUMBER(SEARCH("miss",M4)))),"u",IF(AND(K4="Zone_Entry_Exit",OR(NOT(ISNUMBER(SEARCH("fail",L4))),NOT(ISNUMBER(SEARCH("FromExitClear",M4))),NOT(ISNUMBER(SEARCH("miss",M4))))),"s",IF(AND(OR(K4="Shot",K4="Pass"),OR(ISNUMBER(SEARCH("complete",L4)),ISNUMBER(SEARCH("goal",L4)),ISNUMBER(SEARCH("OnNet",L4)))),"s",IF(L4="Turnover_Giveaway","u",IF(AND(OR(K4="Shot",K4="Pass"),OR(ISNUMBER(SEARCH("fail",L4)),NOT(ISNUMBER(SEARCH("complete",L4))),NOT(ISNUMBER(SEARCH("OnNet",L4))))),"u","")))))))</f>
        <v/>
      </c>
      <c r="O4" s="28"/>
      <c r="P4" s="28"/>
      <c r="Q4" s="28" t="str">
        <f>IF(O4="","",IF(AND(N4&lt;&gt;"",OR(O4&lt;&gt;"",P4&lt;&gt;"")),N4,IF(OR(ISNUMBER(SEARCH("attemp",O4)),ISNUMBER(SEARCH("mis",O4)),ISNUMBER(SEARCH("fail",O4)),ISNUMBER(SEARCH("loss",O4)),ISNUMBER(SEARCH("lost",O4)),ISNUMBER(SEARCH("attemp",P4)),ISNUMBER(SEARCH("mis",P4)),ISNUMBER(SEARCH("fail",P4)),ISNUMBER(SEARCH("loss",P4)),ISNUMBER(SEARCH("lost",P4))),"u","")))</f>
        <v/>
      </c>
      <c r="R4" s="28"/>
      <c r="S4" s="28">
        <v>1</v>
      </c>
      <c r="T4" s="28" t="str">
        <f>IF(D4=1,MAX($T$2:$T3)+1,IF(S4=S3,$T3,IF(D4="x",T3,IF(D3="x","",""))))</f>
        <v/>
      </c>
      <c r="U4" s="28" t="str">
        <f>IF(B4=1,MAX($U$2:$U3)+1,IF(AND($T4&lt;&gt;"",$T4=$T3),$U3,IF(B4="x",U3,"")))</f>
        <v/>
      </c>
      <c r="V4" s="28" t="str">
        <f>IF(C4=1,MAX($V$2:$V3)+1,IF(AND($T4&lt;&gt;"",$T4=$T3),$U3,IF(C4="x",V3,"")))</f>
        <v/>
      </c>
      <c r="W4" t="str">
        <f t="shared" ref="W4:W67" si="3">IF(AN4="Away","a",IF(AN4="Home","h",""))</f>
        <v>a</v>
      </c>
      <c r="X4" s="28">
        <v>87</v>
      </c>
      <c r="Y4" s="28" t="e">
        <f>IF(X4&lt;&gt;"",VLOOKUP(X4,game_rosters!$C$43:$E$64,3,FALSE))</f>
        <v>#N/A</v>
      </c>
      <c r="Z4" s="28" cm="1">
        <f t="array" ref="Z4">IFERROR(IF(_xlfn._xlws.FILTER(game_rosters!$J:$J,(game_rosters!$G:$G=events!$AN4)*(game_rosters!$J:$J=events!$X4))&gt;0,1,""),"")</f>
        <v>1</v>
      </c>
      <c r="AA4" s="28">
        <f t="shared" ref="AA4:AA67" si="4">S4+1000</f>
        <v>1001</v>
      </c>
      <c r="AB4" s="28" t="str">
        <f t="shared" ref="AB4:AB67" si="5">IF(T4&lt;&gt;"",9000+T4,"")</f>
        <v/>
      </c>
      <c r="AC4" s="28">
        <f t="shared" si="0"/>
        <v>1001</v>
      </c>
      <c r="AD4" s="6">
        <v>1</v>
      </c>
      <c r="AE4">
        <v>18</v>
      </c>
      <c r="AF4" t="s">
        <v>413</v>
      </c>
      <c r="AG4" t="s">
        <v>756</v>
      </c>
      <c r="AH4" t="s">
        <v>756</v>
      </c>
      <c r="AI4" t="s">
        <v>367</v>
      </c>
      <c r="AJ4" t="str">
        <f t="shared" ref="AJ4:AJ67" si="6">IF($J4&lt;&gt;"",$J4,IF($AC4=$AC3,AJ3,""))</f>
        <v>n</v>
      </c>
      <c r="AK4" t="str">
        <f t="shared" ref="AK4:AK67" si="7">IF($J4&lt;&gt;"",$J4,IF($AC4=$AC3,AK3,""))</f>
        <v>n</v>
      </c>
      <c r="AL4" t="str">
        <f t="shared" ref="AL4:AL67" si="8">IF($W4="","",IF($AJ4="","",IF($W4="h",$AJ4,IF($AJ4="n","n",IF(AND($W4="a",$AJ4="d"),"o",IF(AND($W4="a",$AJ4="o"),"d"))))))</f>
        <v>n</v>
      </c>
      <c r="AM4" t="str">
        <f>IF($W4="","",IF(J4="","",IF(AL4="n","n",IF(AL4="d","o",IF(AL4="o","d","")))))</f>
        <v/>
      </c>
      <c r="AN4" t="s">
        <v>862</v>
      </c>
      <c r="AO4" t="str">
        <f t="shared" ref="AO4:AO67" si="9">IF($W4&lt;&gt;"",$W4,IF($AC4=$AC3,AO3,""))</f>
        <v>a</v>
      </c>
      <c r="AP4" t="str">
        <f t="shared" ref="AP4" si="10">IF(AL4&lt;&gt;"",AL4,IF($AC4=$AC3,AP3,""))</f>
        <v>n</v>
      </c>
      <c r="AQ4" t="str">
        <f t="shared" ref="AQ4" si="11">IF(AM4&lt;&gt;"",AM4,IF($AC4=$AC3,AQ3,""))</f>
        <v>n</v>
      </c>
      <c r="AR4" t="str">
        <f t="shared" ref="AR4" si="12">IF(AN4&lt;&gt;"",AN4,IF($AC4=$AC3,AR3,""))</f>
        <v>Away</v>
      </c>
      <c r="AS4" t="str">
        <f t="shared" ref="AS4" si="13">IF(AO4&lt;&gt;"",AO4,IF($AC4=$AC3,AS3,""))</f>
        <v>a</v>
      </c>
      <c r="AT4" t="str">
        <f t="shared" ref="AT4" si="14">IF(AND(AI4="e",OR(BE4="Save",BF4="Turnover_Takeaway",BF4="Play_Defensive")),"Defensive",IF(AND(AI4="o",OR(BE4="Save",BF4="Turnover_Takeaway",BF4="Play_Defensive")),"Offensive",IF(OR(BE4="Deadice",BE4="Stoppage",BE4="Intermission"),"",IF(AI4="e","Offensive",IF(AI4="o","Defensive","")))))</f>
        <v>Offensive</v>
      </c>
      <c r="AU4" t="str">
        <f t="shared" ref="AU4" si="15">IF(U4&lt;&gt;"",U4+5000,"")</f>
        <v/>
      </c>
      <c r="AV4" t="str">
        <f t="shared" ref="AV4" si="16">IF(V4&lt;&gt;"",V4+6000,"")</f>
        <v/>
      </c>
      <c r="AW4" t="str" cm="1">
        <f t="array" ref="AW4">IFERROR(IF(O4&lt;&gt;"",O4,IF(OR($S4="",$T4=""),"",IF(O4&lt;&gt;"",O4,IF($T4&lt;&gt;"",_xlfn._xlws.FILTER(O:O,($BU:$BU=$BU4)*($I:$I=$I4)*($T:$T=$T4)*($S:$S=_xlfn.MINIFS($S:$S,$T:$T,"="&amp;$T4)),"")))))&amp;"",IF(O4="","",""))&amp;""</f>
        <v/>
      </c>
      <c r="AX4" t="str" cm="1">
        <f t="array" ref="AX4">IFERROR(IF(P4&lt;&gt;"",P4,IF(OR($S4="",$T4=""),"",IF($T4&lt;&gt;"",_xlfn._xlws.FILTER(P:P,($BU:$BU=$BU4)*($I:$I=$I4)*($T:$T=$T4)*($S:$S=_xlfn.MINIFS($S:$S,$T:$T,"="&amp;$T4)),""))))&amp;"",IF(P4="","",""))&amp;""</f>
        <v/>
      </c>
      <c r="AY4" t="str" cm="1">
        <f t="array" ref="AY4">IFERROR(IF(Q4&lt;&gt;"",Q4,IF(OR($S4="",$T4=""),"",IF($T4&lt;&gt;"",_xlfn._xlws.FILTER(Q:Q,($BU:$BU=$BU4)*($I:$I=$I4)*($T:$T=$T4)*($S:$S=_xlfn.MINIFS($S:$S,$T:$T,"="&amp;$T4)),""))))&amp;"",IF(Q4="","",""))&amp;""</f>
        <v/>
      </c>
      <c r="AZ4" t="str" cm="1">
        <f t="array" ref="AZ4">IFERROR(IF(R4&lt;&gt;"",R4,IF(OR($S4="",$T4=""),"",IF($T4&lt;&gt;"",_xlfn._xlws.FILTER(R:R,($BU:$BU=$BU4)*($I:$I=$I4)*($T:$T=$T4)*($S:$S=_xlfn.MINIFS($S:$S,$T:$T,"="&amp;$T4)),""))))&amp;"",IF(R4="","",""))&amp;""</f>
        <v/>
      </c>
      <c r="BA4" s="6">
        <f t="shared" ref="BA4:BA67" si="17">IF(OR(L4="Zone_Entry",L4="Zone_Exit"),BA3+1,BA3)</f>
        <v>1</v>
      </c>
      <c r="BB4">
        <f t="shared" ref="BB4:BB67" si="18">BB3</f>
        <v>18981</v>
      </c>
      <c r="BC4" t="str">
        <f t="shared" ref="BC4:BC67" si="19">BC3</f>
        <v>Nelson</v>
      </c>
      <c r="BD4" t="str">
        <f t="shared" ref="BD4:BD67" si="20">BD3</f>
        <v>Velodrome</v>
      </c>
      <c r="BE4" t="s">
        <v>5</v>
      </c>
      <c r="BF4" t="s">
        <v>197</v>
      </c>
      <c r="BG4" t="s">
        <v>756</v>
      </c>
      <c r="BH4" t="str">
        <f t="shared" ref="BH4" si="21">IF($N4&lt;&gt;"",$N4,IF($S4=$S3,BH3,""))</f>
        <v/>
      </c>
      <c r="BI4" cm="1">
        <f t="array" ref="BI4">IFERROR(_xlfn._xlws.FILTER(shifts!A:A,(shifts!B:B=events!AD4)*(shifts!AG:AG&gt;=events!BK4)*(shifts!AH:AH&lt;=events!BL4)),BI3)</f>
        <v>1</v>
      </c>
      <c r="BJ4" s="15">
        <f t="shared" ref="BJ4:BJ67" si="22">IF(AND(AG4="",AH4=""),0,((AE4*60)+AF4)-((AG4*60)+AH4))</f>
        <v>0</v>
      </c>
      <c r="BK4">
        <f t="shared" ref="BK4" si="23">(AE4*60)+AF4</f>
        <v>1080</v>
      </c>
      <c r="BL4">
        <f t="shared" ref="BL4" si="24">IF(AND(AG4="",AH4=""),BK4,((AG4*60)+AH4))</f>
        <v>1080</v>
      </c>
      <c r="BM4" s="15">
        <f>SUMIFS(BJ$2:BJ4,K$2:K4,"=Intermission")+SUMIFS(BJ$2:BJ4,K$2:K4,"=Timeout")</f>
        <v>0</v>
      </c>
      <c r="BN4">
        <f t="shared" ref="BN4" si="25">IF(AD4=1,0,IF(AD4=2,1080+BM4,IF(AD4=3,(1080*2)+BM4,0)))</f>
        <v>0</v>
      </c>
      <c r="BO4" s="19">
        <f t="shared" ref="BO4" si="26">IF(K4="Intermission",BO3,((1080)-((AE4*60)+AF4))+BN4)</f>
        <v>0</v>
      </c>
      <c r="BP4">
        <f t="shared" ref="BP4" si="27">IF(BO4&lt;5,0,BO4-5)</f>
        <v>0</v>
      </c>
      <c r="BQ4" s="17">
        <f t="shared" ref="BQ4" si="28">BP4+BJ4+5</f>
        <v>5</v>
      </c>
      <c r="BR4" t="str">
        <f t="shared" ref="BR4" si="29">IF(AI4="e","event_team_player_"&amp;BS4,IF(AI4="o","opp_team_player_"&amp;BS4,""))</f>
        <v>event_team_player_2</v>
      </c>
      <c r="BS4">
        <f>COUNTIFS(S$3:S4,"="&amp;S4,AI$3:AI4,"="&amp;AI4)</f>
        <v>2</v>
      </c>
      <c r="BT4" t="str">
        <f>IFERROR(VLOOKUP(BB4&amp;BU4&amp;X4,game_rosters!U:W,3,FALSE),"")</f>
        <v>P100159</v>
      </c>
      <c r="BU4" t="str">
        <f t="shared" ref="BU4" si="30">IF(AR4="","",IF(AND(AR4="Away",AI4="e"),BD4,IF(AND(AR4="Home",AI4="e"),BC4,IF(AND(AR4="Away",AI4="o"),BC4,IF(AND(AR4="Home",AI4="o"),BD4)))))</f>
        <v>Velodrome</v>
      </c>
    </row>
    <row r="5" spans="1:73" x14ac:dyDescent="0.2">
      <c r="A5">
        <f t="shared" si="2"/>
        <v>1</v>
      </c>
      <c r="E5" s="4"/>
      <c r="F5" s="43"/>
      <c r="G5" s="4"/>
      <c r="H5" s="46"/>
      <c r="J5" s="44" t="str">
        <f>IF(OR(K5="Goal",K5="Shot",L5="Zone_Entry",M5="Stoppage-Goal",M4="Stoppage-Goal"),"o",IF(OR(K5="Save",K5="Rebound",L5="Zone_Exit",M5="Stoppage-GoalieStoppage",M4="Stoppage-GoalieStoppage"),"d",IF(OR(L5="Faceoff_AfterGoal",L5="Faceoff_PeriodStart",698="Faceoff_GameStart",M4="Stoppage-Goal"),"n","")))</f>
        <v>n</v>
      </c>
      <c r="K5" t="s">
        <v>5</v>
      </c>
      <c r="L5" t="s">
        <v>197</v>
      </c>
      <c r="M5" t="s">
        <v>756</v>
      </c>
      <c r="N5" t="str">
        <f t="shared" ref="N5:N20" si="31">IF(K5="","",IF(K5="Goal","s",IF(AND(K5="Zone_Entry_Exit",OR(ISNUMBER(SEARCH("fail",L5)),ISNUMBER(SEARCH("FromExitClear",M5)),ISNUMBER(SEARCH("miss",M5)))),"u",IF(AND(K5="Zone_Entry_Exit",OR(NOT(ISNUMBER(SEARCH("fail",L5))),NOT(ISNUMBER(SEARCH("FromExitClear",M5))),NOT(ISNUMBER(SEARCH("miss",M5))))),"s",IF(AND(OR(K5="Shot",K5="Pass"),OR(ISNUMBER(SEARCH("complete",L5)),ISNUMBER(SEARCH("goal",L5)),ISNUMBER(SEARCH("OnNet",L5)))),"s",IF(L5="Turnover_Giveaway","u",IF(AND(OR(K5="Shot",K5="Pass"),OR(ISNUMBER(SEARCH("fail",L5)),NOT(ISNUMBER(SEARCH("complete",L5))),NOT(ISNUMBER(SEARCH("OnNet",L5))))),"u","")))))))</f>
        <v/>
      </c>
      <c r="Q5" t="str">
        <f t="shared" ref="Q5:Q15" si="32">IF(O5="","",IF(AND(N5&lt;&gt;"",OR(O5&lt;&gt;"",P5&lt;&gt;"")),N5,IF(OR(ISNUMBER(SEARCH("attemp",O5)),ISNUMBER(SEARCH("beat",O5)),ISNUMBER(SEARCH("mis",O5)),ISNUMBER(SEARCH("fail",O5)),ISNUMBER(SEARCH("loss",O5)),ISNUMBER(SEARCH("lost",O5)),ISNUMBER(SEARCH("attemp",P5)),ISNUMBER(SEARCH("mis",P5)),ISNUMBER(SEARCH("fail",P5)),ISNUMBER(SEARCH("loss",P5)),ISNUMBER(SEARCH("beat",P5)),ISNUMBER(SEARCH("lost",P5))),"u","")))</f>
        <v/>
      </c>
      <c r="S5">
        <v>1</v>
      </c>
      <c r="U5" t="str">
        <f>IF(B5=1,MAX($U$2:$U4)+1,IF(AND($T5&lt;&gt;"",$T5=$T4),$U4,IF(B5="x",U4,"")))</f>
        <v/>
      </c>
      <c r="V5" t="str">
        <f>IF(C5=1,MAX($V$2:$V4)+1,IF(AND($T5&lt;&gt;"",$T5=$T4),$U4,IF(C5="x",V4,"")))</f>
        <v/>
      </c>
      <c r="W5" t="str">
        <f t="shared" si="3"/>
        <v>a</v>
      </c>
      <c r="X5">
        <v>10</v>
      </c>
      <c r="Y5" t="b">
        <f>IF(X5&lt;&gt;"",VLOOKUP(X5,game_rosters!$C$43:$E$64,3,FALSE))</f>
        <v>0</v>
      </c>
      <c r="Z5" t="str" cm="1">
        <f t="array" ref="Z5">IFERROR(IF(_xlfn._xlws.FILTER(game_rosters!$J:$J,(game_rosters!$G:$G=events!$AN5)*(game_rosters!$J:$J=events!$X5))&gt;0,1,""),"")</f>
        <v/>
      </c>
      <c r="AA5">
        <f t="shared" si="4"/>
        <v>1001</v>
      </c>
      <c r="AB5" t="str">
        <f t="shared" si="5"/>
        <v/>
      </c>
      <c r="AC5">
        <f t="shared" si="0"/>
        <v>1001</v>
      </c>
      <c r="AD5" s="6">
        <v>1</v>
      </c>
      <c r="AE5">
        <v>18</v>
      </c>
      <c r="AF5" t="s">
        <v>413</v>
      </c>
      <c r="AG5" t="s">
        <v>756</v>
      </c>
      <c r="AH5" t="s">
        <v>756</v>
      </c>
      <c r="AI5" t="s">
        <v>368</v>
      </c>
      <c r="AJ5" t="str">
        <f t="shared" si="6"/>
        <v>n</v>
      </c>
      <c r="AK5" t="str">
        <f t="shared" si="7"/>
        <v>n</v>
      </c>
      <c r="AL5" t="str">
        <f t="shared" si="8"/>
        <v>n</v>
      </c>
      <c r="AN5" t="s">
        <v>862</v>
      </c>
      <c r="AO5" t="str">
        <f t="shared" si="9"/>
        <v>a</v>
      </c>
      <c r="AP5" t="str">
        <f t="shared" ref="AP5:AP68" si="33">IF(AL5&lt;&gt;"",AL5,IF($AC5=$AC4,AP4,""))</f>
        <v>n</v>
      </c>
      <c r="AQ5" t="str">
        <f t="shared" ref="AQ5:AQ68" si="34">IF(AM5&lt;&gt;"",AM5,IF($AC5=$AC4,AQ4,""))</f>
        <v>n</v>
      </c>
      <c r="AR5" t="str">
        <f t="shared" ref="AR5:AR68" si="35">IF(AN5&lt;&gt;"",AN5,IF($AC5=$AC4,AR4,""))</f>
        <v>Away</v>
      </c>
      <c r="AS5" t="str">
        <f t="shared" ref="AS5:AS68" si="36">IF(AO5&lt;&gt;"",AO5,IF($AC5=$AC4,AS4,""))</f>
        <v>a</v>
      </c>
      <c r="AT5" t="str">
        <f t="shared" ref="AT5:AT68" si="37">IF(AND(AI5="e",OR(BE5="Save",BF5="Turnover_Takeaway",BF5="Play_Defensive")),"Defensive",IF(AND(AI5="o",OR(BE5="Save",BF5="Turnover_Takeaway",BF5="Play_Defensive")),"Offensive",IF(OR(BE5="Deadice",BE5="Stoppage",BE5="Intermission"),"",IF(AI5="e","Offensive",IF(AI5="o","Defensive","")))))</f>
        <v>Defensive</v>
      </c>
      <c r="BA5" s="6">
        <f t="shared" si="17"/>
        <v>1</v>
      </c>
      <c r="BB5">
        <f t="shared" si="18"/>
        <v>18981</v>
      </c>
      <c r="BC5" t="str">
        <f t="shared" si="19"/>
        <v>Nelson</v>
      </c>
      <c r="BD5" t="str">
        <f t="shared" si="20"/>
        <v>Velodrome</v>
      </c>
      <c r="BE5" t="s">
        <v>5</v>
      </c>
      <c r="BF5" t="s">
        <v>197</v>
      </c>
      <c r="BG5" t="s">
        <v>756</v>
      </c>
      <c r="BI5" cm="1">
        <f t="array" ref="BI5">IFERROR(_xlfn._xlws.FILTER(shifts!A:A,(shifts!B:B=events!AD5)*(shifts!AG:AG&gt;=events!BK5)*(shifts!AH:AH&lt;=events!BL5)),BI4)</f>
        <v>1</v>
      </c>
      <c r="BJ5" s="15">
        <f t="shared" si="22"/>
        <v>0</v>
      </c>
      <c r="BK5">
        <f t="shared" ref="BK5:BK68" si="38">(AE5*60)+AF5</f>
        <v>1080</v>
      </c>
      <c r="BL5">
        <f t="shared" ref="BL5:BL68" si="39">IF(AND(AG5="",AH5=""),BK5,((AG5*60)+AH5))</f>
        <v>1080</v>
      </c>
      <c r="BM5" s="15">
        <f>SUMIFS(BJ$2:BJ5,K$2:K5,"=Intermission")+SUMIFS(BJ$2:BJ5,K$2:K5,"=Timeout")</f>
        <v>0</v>
      </c>
      <c r="BN5">
        <f t="shared" ref="BN5:BN68" si="40">IF(AD5=1,0,IF(AD5=2,1080+BM5,IF(AD5=3,(1080*2)+BM5,0)))</f>
        <v>0</v>
      </c>
      <c r="BO5" s="19">
        <f t="shared" ref="BO5:BO68" si="41">IF(K5="Intermission",BO4,((1080)-((AE5*60)+AF5))+BN5)</f>
        <v>0</v>
      </c>
      <c r="BP5">
        <f t="shared" ref="BP5:BP68" si="42">IF(BO5&lt;5,0,BO5-5)</f>
        <v>0</v>
      </c>
      <c r="BQ5" s="17">
        <f t="shared" ref="BQ5:BQ68" si="43">BP5+BJ5+5</f>
        <v>5</v>
      </c>
      <c r="BR5" t="str">
        <f t="shared" ref="BR5:BR68" si="44">IF(AI5="e","event_team_player_"&amp;BS5,IF(AI5="o","opp_team_player_"&amp;BS5,""))</f>
        <v>opp_team_player_1</v>
      </c>
      <c r="BS5">
        <f>COUNTIFS(S$3:S5,"="&amp;S5,AI$3:AI5,"="&amp;AI5)</f>
        <v>1</v>
      </c>
      <c r="BT5" t="str">
        <f>IFERROR(VLOOKUP(BB5&amp;BU5&amp;X5,game_rosters!U:W,3,FALSE),"")</f>
        <v>P100078</v>
      </c>
      <c r="BU5" t="str">
        <f t="shared" ref="BU5:BU68" si="45">IF(AR5="","",IF(AND(AR5="Away",AI5="e"),BD5,IF(AND(AR5="Home",AI5="e"),BC5,IF(AND(AR5="Away",AI5="o"),BC5,IF(AND(AR5="Home",AI5="o"),BD5)))))</f>
        <v>Nelson</v>
      </c>
    </row>
    <row r="6" spans="1:73" x14ac:dyDescent="0.2">
      <c r="A6">
        <f t="shared" si="2"/>
        <v>1</v>
      </c>
      <c r="E6" s="4"/>
      <c r="F6" s="43"/>
      <c r="G6" s="4"/>
      <c r="H6" s="46"/>
      <c r="J6" s="44" t="str">
        <f t="shared" ref="J6:J69" si="46">IF(OR(K6="Goal",K6="Shot",L6="Zone_Entry",M6="Stoppage-Goal",M5="Stoppage-Goal"),"o",IF(OR(K6="Save",K6="Rebound",L6="Zone_Exit",M6="Stoppage-GoalieStoppage",M5="Stoppage-GoalieStoppage"),"d",IF(OR(L6="Faceoff_AfterGoal",L6="Faceoff_PeriodStart",698="Faceoff_GameStart",M5="Stoppage-Goal"),"n","")))</f>
        <v/>
      </c>
      <c r="K6" t="s">
        <v>13</v>
      </c>
      <c r="L6" t="s">
        <v>756</v>
      </c>
      <c r="M6" t="s">
        <v>756</v>
      </c>
      <c r="N6" t="str">
        <f t="shared" si="31"/>
        <v/>
      </c>
      <c r="Q6" t="str">
        <f t="shared" si="32"/>
        <v/>
      </c>
      <c r="S6">
        <v>2</v>
      </c>
      <c r="U6" t="str">
        <f>IF(B6=1,MAX($U$2:$U5)+1,IF(AND($T6&lt;&gt;"",$T6=$T5),$U5,IF(B6="x",U5,"")))</f>
        <v/>
      </c>
      <c r="V6" t="str">
        <f>IF(C6=1,MAX($V$2:$V5)+1,IF(AND($T6&lt;&gt;"",$T6=$T5),$U5,IF(C6="x",V5,"")))</f>
        <v/>
      </c>
      <c r="W6" t="str">
        <f t="shared" si="3"/>
        <v>a</v>
      </c>
      <c r="X6">
        <v>87</v>
      </c>
      <c r="Y6" t="e">
        <f>IF(X6&lt;&gt;"",VLOOKUP(X6,game_rosters!$C$43:$E$64,3,FALSE))</f>
        <v>#N/A</v>
      </c>
      <c r="Z6" cm="1">
        <f t="array" ref="Z6">IFERROR(IF(_xlfn._xlws.FILTER(game_rosters!$J:$J,(game_rosters!$G:$G=events!$AN6)*(game_rosters!$J:$J=events!$X6))&gt;0,1,""),"")</f>
        <v>1</v>
      </c>
      <c r="AA6">
        <f t="shared" si="4"/>
        <v>1002</v>
      </c>
      <c r="AB6" t="str">
        <f t="shared" si="5"/>
        <v/>
      </c>
      <c r="AC6">
        <f t="shared" si="0"/>
        <v>1002</v>
      </c>
      <c r="AD6" s="6">
        <v>1</v>
      </c>
      <c r="AE6" t="s">
        <v>732</v>
      </c>
      <c r="AF6" t="s">
        <v>896</v>
      </c>
      <c r="AG6" t="s">
        <v>732</v>
      </c>
      <c r="AH6" t="s">
        <v>733</v>
      </c>
      <c r="AI6" t="s">
        <v>367</v>
      </c>
      <c r="AJ6" t="str">
        <f t="shared" si="6"/>
        <v/>
      </c>
      <c r="AK6" t="str">
        <f t="shared" si="7"/>
        <v/>
      </c>
      <c r="AL6" t="str">
        <f t="shared" si="8"/>
        <v/>
      </c>
      <c r="AN6" t="s">
        <v>862</v>
      </c>
      <c r="AO6" t="str">
        <f t="shared" si="9"/>
        <v>a</v>
      </c>
      <c r="AP6" t="str">
        <f t="shared" si="33"/>
        <v/>
      </c>
      <c r="AQ6" t="str">
        <f t="shared" si="34"/>
        <v/>
      </c>
      <c r="AR6" t="str">
        <f t="shared" si="35"/>
        <v>Away</v>
      </c>
      <c r="AS6" t="str">
        <f t="shared" si="36"/>
        <v>a</v>
      </c>
      <c r="AT6" t="str">
        <f t="shared" si="37"/>
        <v>Offensive</v>
      </c>
      <c r="BA6" s="6">
        <f t="shared" si="17"/>
        <v>1</v>
      </c>
      <c r="BB6">
        <f t="shared" si="18"/>
        <v>18981</v>
      </c>
      <c r="BC6" t="str">
        <f t="shared" si="19"/>
        <v>Nelson</v>
      </c>
      <c r="BD6" t="str">
        <f t="shared" si="20"/>
        <v>Velodrome</v>
      </c>
      <c r="BE6" t="s">
        <v>13</v>
      </c>
      <c r="BF6" t="s">
        <v>756</v>
      </c>
      <c r="BG6" t="s">
        <v>756</v>
      </c>
      <c r="BI6" cm="1">
        <f t="array" ref="BI6">IFERROR(_xlfn._xlws.FILTER(shifts!A:A,(shifts!B:B=events!AD6)*(shifts!AG:AG&gt;=events!BK6)*(shifts!AH:AH&lt;=events!BL6)),BI5)</f>
        <v>1</v>
      </c>
      <c r="BJ6" s="15">
        <f t="shared" si="22"/>
        <v>3</v>
      </c>
      <c r="BK6">
        <f t="shared" si="38"/>
        <v>1079</v>
      </c>
      <c r="BL6">
        <f t="shared" si="39"/>
        <v>1076</v>
      </c>
      <c r="BM6" s="15">
        <f>SUMIFS(BJ$2:BJ6,K$2:K6,"=Intermission")+SUMIFS(BJ$2:BJ6,K$2:K6,"=Timeout")</f>
        <v>0</v>
      </c>
      <c r="BN6">
        <f t="shared" si="40"/>
        <v>0</v>
      </c>
      <c r="BO6" s="19">
        <f t="shared" si="41"/>
        <v>1</v>
      </c>
      <c r="BP6">
        <f t="shared" si="42"/>
        <v>0</v>
      </c>
      <c r="BQ6" s="17">
        <f t="shared" si="43"/>
        <v>8</v>
      </c>
      <c r="BR6" t="str">
        <f t="shared" si="44"/>
        <v>event_team_player_1</v>
      </c>
      <c r="BS6">
        <f>COUNTIFS(S$3:S6,"="&amp;S6,AI$3:AI6,"="&amp;AI6)</f>
        <v>1</v>
      </c>
      <c r="BT6" t="str">
        <f>IFERROR(VLOOKUP(BB6&amp;BU6&amp;X6,game_rosters!U:W,3,FALSE),"")</f>
        <v>P100159</v>
      </c>
      <c r="BU6" t="str">
        <f t="shared" si="45"/>
        <v>Velodrome</v>
      </c>
    </row>
    <row r="7" spans="1:73" x14ac:dyDescent="0.2">
      <c r="A7">
        <f t="shared" si="2"/>
        <v>1</v>
      </c>
      <c r="E7" s="4"/>
      <c r="F7" s="43"/>
      <c r="G7" s="4"/>
      <c r="H7" s="46"/>
      <c r="J7" s="44" t="str">
        <f t="shared" si="46"/>
        <v/>
      </c>
      <c r="K7" t="s">
        <v>13</v>
      </c>
      <c r="L7" t="s">
        <v>756</v>
      </c>
      <c r="M7" t="s">
        <v>756</v>
      </c>
      <c r="N7" t="str">
        <f t="shared" si="31"/>
        <v/>
      </c>
      <c r="Q7" t="str">
        <f t="shared" si="32"/>
        <v/>
      </c>
      <c r="S7">
        <v>2</v>
      </c>
      <c r="U7" t="str">
        <f>IF(B7=1,MAX($U$2:$U6)+1,IF(AND($T7&lt;&gt;"",$T7=$T6),$U6,IF(B7="x",U6,"")))</f>
        <v/>
      </c>
      <c r="V7" t="str">
        <f>IF(C7=1,MAX($V$2:$V6)+1,IF(AND($T7&lt;&gt;"",$T7=$T6),$U6,IF(C7="x",V6,"")))</f>
        <v/>
      </c>
      <c r="W7" t="str">
        <f t="shared" si="3"/>
        <v>a</v>
      </c>
      <c r="X7">
        <v>15</v>
      </c>
      <c r="Y7" t="b">
        <f>IF(X7&lt;&gt;"",VLOOKUP(X7,game_rosters!$C$43:$E$64,3,FALSE))</f>
        <v>0</v>
      </c>
      <c r="Z7" t="str" cm="1">
        <f t="array" ref="Z7">IFERROR(IF(_xlfn._xlws.FILTER(game_rosters!$J:$J,(game_rosters!$G:$G=events!$AN7)*(game_rosters!$J:$J=events!$X7))&gt;0,1,""),"")</f>
        <v/>
      </c>
      <c r="AA7">
        <f t="shared" si="4"/>
        <v>1002</v>
      </c>
      <c r="AB7" t="str">
        <f t="shared" si="5"/>
        <v/>
      </c>
      <c r="AC7">
        <f t="shared" si="0"/>
        <v>1002</v>
      </c>
      <c r="AD7" s="6">
        <v>1</v>
      </c>
      <c r="AE7" t="s">
        <v>732</v>
      </c>
      <c r="AF7" t="s">
        <v>896</v>
      </c>
      <c r="AG7" t="s">
        <v>732</v>
      </c>
      <c r="AH7" t="s">
        <v>733</v>
      </c>
      <c r="AI7" t="s">
        <v>368</v>
      </c>
      <c r="AJ7" t="str">
        <f t="shared" si="6"/>
        <v/>
      </c>
      <c r="AK7" t="str">
        <f t="shared" si="7"/>
        <v/>
      </c>
      <c r="AL7" t="str">
        <f t="shared" si="8"/>
        <v/>
      </c>
      <c r="AN7" t="s">
        <v>862</v>
      </c>
      <c r="AO7" t="str">
        <f t="shared" si="9"/>
        <v>a</v>
      </c>
      <c r="AP7" t="str">
        <f t="shared" si="33"/>
        <v/>
      </c>
      <c r="AQ7" t="str">
        <f t="shared" si="34"/>
        <v/>
      </c>
      <c r="AR7" t="str">
        <f t="shared" si="35"/>
        <v>Away</v>
      </c>
      <c r="AS7" t="str">
        <f t="shared" si="36"/>
        <v>a</v>
      </c>
      <c r="AT7" t="str">
        <f t="shared" si="37"/>
        <v>Defensive</v>
      </c>
      <c r="BA7" s="6">
        <f t="shared" si="17"/>
        <v>1</v>
      </c>
      <c r="BB7">
        <f t="shared" si="18"/>
        <v>18981</v>
      </c>
      <c r="BC7" t="str">
        <f t="shared" si="19"/>
        <v>Nelson</v>
      </c>
      <c r="BD7" t="str">
        <f t="shared" si="20"/>
        <v>Velodrome</v>
      </c>
      <c r="BE7" t="s">
        <v>13</v>
      </c>
      <c r="BF7" t="s">
        <v>756</v>
      </c>
      <c r="BG7" t="s">
        <v>756</v>
      </c>
      <c r="BI7" cm="1">
        <f t="array" ref="BI7">IFERROR(_xlfn._xlws.FILTER(shifts!A:A,(shifts!B:B=events!AD7)*(shifts!AG:AG&gt;=events!BK7)*(shifts!AH:AH&lt;=events!BL7)),BI6)</f>
        <v>1</v>
      </c>
      <c r="BJ7" s="15">
        <f t="shared" si="22"/>
        <v>3</v>
      </c>
      <c r="BK7">
        <f t="shared" si="38"/>
        <v>1079</v>
      </c>
      <c r="BL7">
        <f t="shared" si="39"/>
        <v>1076</v>
      </c>
      <c r="BM7" s="15">
        <f>SUMIFS(BJ$2:BJ7,K$2:K7,"=Intermission")+SUMIFS(BJ$2:BJ7,K$2:K7,"=Timeout")</f>
        <v>0</v>
      </c>
      <c r="BN7">
        <f t="shared" si="40"/>
        <v>0</v>
      </c>
      <c r="BO7" s="19">
        <f t="shared" si="41"/>
        <v>1</v>
      </c>
      <c r="BP7">
        <f t="shared" si="42"/>
        <v>0</v>
      </c>
      <c r="BQ7" s="17">
        <f t="shared" si="43"/>
        <v>8</v>
      </c>
      <c r="BR7" t="str">
        <f t="shared" si="44"/>
        <v>opp_team_player_1</v>
      </c>
      <c r="BS7">
        <f>COUNTIFS(S$3:S7,"="&amp;S7,AI$3:AI7,"="&amp;AI7)</f>
        <v>1</v>
      </c>
      <c r="BT7" t="str">
        <f>IFERROR(VLOOKUP(BB7&amp;BU7&amp;X7,game_rosters!U:W,3,FALSE),"")</f>
        <v>P100071</v>
      </c>
      <c r="BU7" t="str">
        <f t="shared" si="45"/>
        <v>Nelson</v>
      </c>
    </row>
    <row r="8" spans="1:73" x14ac:dyDescent="0.2">
      <c r="A8">
        <f t="shared" si="2"/>
        <v>1</v>
      </c>
      <c r="E8" s="4"/>
      <c r="F8" s="43"/>
      <c r="G8" s="4"/>
      <c r="H8" s="46"/>
      <c r="J8" s="44" t="str">
        <f t="shared" si="46"/>
        <v>o</v>
      </c>
      <c r="K8" t="s">
        <v>238</v>
      </c>
      <c r="L8" t="s">
        <v>174</v>
      </c>
      <c r="M8" t="s">
        <v>85</v>
      </c>
      <c r="N8" t="str">
        <f t="shared" si="31"/>
        <v>s</v>
      </c>
      <c r="Q8" t="str">
        <f t="shared" si="32"/>
        <v/>
      </c>
      <c r="S8">
        <v>3</v>
      </c>
      <c r="U8" t="str">
        <f>IF(B8=1,MAX($U$2:$U7)+1,IF(AND($T8&lt;&gt;"",$T8=$T7),$U7,IF(B8="x",U7,"")))</f>
        <v/>
      </c>
      <c r="V8" t="str">
        <f>IF(C8=1,MAX($V$2:$V7)+1,IF(AND($T8&lt;&gt;"",$T8=$T7),$U7,IF(C8="x",V7,"")))</f>
        <v/>
      </c>
      <c r="W8" t="str">
        <f t="shared" si="3"/>
        <v>a</v>
      </c>
      <c r="X8">
        <v>87</v>
      </c>
      <c r="Y8" t="e">
        <f>IF(X8&lt;&gt;"",VLOOKUP(X8,game_rosters!$C$43:$E$64,3,FALSE))</f>
        <v>#N/A</v>
      </c>
      <c r="Z8" cm="1">
        <f t="array" ref="Z8">IFERROR(IF(_xlfn._xlws.FILTER(game_rosters!$J:$J,(game_rosters!$G:$G=events!$AN8)*(game_rosters!$J:$J=events!$X8))&gt;0,1,""),"")</f>
        <v>1</v>
      </c>
      <c r="AA8">
        <f t="shared" si="4"/>
        <v>1003</v>
      </c>
      <c r="AB8" t="str">
        <f t="shared" si="5"/>
        <v/>
      </c>
      <c r="AC8">
        <f t="shared" si="0"/>
        <v>1003</v>
      </c>
      <c r="AD8" s="6">
        <v>1</v>
      </c>
      <c r="AE8" t="s">
        <v>732</v>
      </c>
      <c r="AF8" t="s">
        <v>733</v>
      </c>
      <c r="AG8" t="s">
        <v>732</v>
      </c>
      <c r="AH8" t="s">
        <v>753</v>
      </c>
      <c r="AI8" t="s">
        <v>367</v>
      </c>
      <c r="AJ8" t="str">
        <f t="shared" si="6"/>
        <v>o</v>
      </c>
      <c r="AK8" t="str">
        <f t="shared" si="7"/>
        <v>o</v>
      </c>
      <c r="AL8" t="str">
        <f t="shared" si="8"/>
        <v>d</v>
      </c>
      <c r="AN8" t="s">
        <v>862</v>
      </c>
      <c r="AO8" t="str">
        <f t="shared" si="9"/>
        <v>a</v>
      </c>
      <c r="AP8" t="str">
        <f t="shared" si="33"/>
        <v>d</v>
      </c>
      <c r="AQ8" t="str">
        <f t="shared" si="34"/>
        <v/>
      </c>
      <c r="AR8" t="str">
        <f t="shared" si="35"/>
        <v>Away</v>
      </c>
      <c r="AS8" t="str">
        <f t="shared" si="36"/>
        <v>a</v>
      </c>
      <c r="AT8" t="str">
        <f t="shared" si="37"/>
        <v>Offensive</v>
      </c>
      <c r="BA8" s="6">
        <f t="shared" si="17"/>
        <v>2</v>
      </c>
      <c r="BB8">
        <f t="shared" si="18"/>
        <v>18981</v>
      </c>
      <c r="BC8" t="str">
        <f t="shared" si="19"/>
        <v>Nelson</v>
      </c>
      <c r="BD8" t="str">
        <f t="shared" si="20"/>
        <v>Velodrome</v>
      </c>
      <c r="BE8" t="s">
        <v>238</v>
      </c>
      <c r="BF8" t="s">
        <v>174</v>
      </c>
      <c r="BG8" t="s">
        <v>85</v>
      </c>
      <c r="BI8" cm="1">
        <f t="array" ref="BI8">IFERROR(_xlfn._xlws.FILTER(shifts!A:A,(shifts!B:B=events!AD8)*(shifts!AG:AG&gt;=events!BK8)*(shifts!AH:AH&lt;=events!BL8)),BI7)</f>
        <v>1</v>
      </c>
      <c r="BJ8" s="15">
        <f t="shared" si="22"/>
        <v>1</v>
      </c>
      <c r="BK8">
        <f t="shared" si="38"/>
        <v>1076</v>
      </c>
      <c r="BL8">
        <f t="shared" si="39"/>
        <v>1075</v>
      </c>
      <c r="BM8" s="15">
        <f>SUMIFS(BJ$2:BJ8,K$2:K8,"=Intermission")+SUMIFS(BJ$2:BJ8,K$2:K8,"=Timeout")</f>
        <v>0</v>
      </c>
      <c r="BN8">
        <f t="shared" si="40"/>
        <v>0</v>
      </c>
      <c r="BO8" s="19">
        <f t="shared" si="41"/>
        <v>4</v>
      </c>
      <c r="BP8">
        <f t="shared" si="42"/>
        <v>0</v>
      </c>
      <c r="BQ8" s="17">
        <f t="shared" si="43"/>
        <v>6</v>
      </c>
      <c r="BR8" t="str">
        <f t="shared" si="44"/>
        <v>event_team_player_1</v>
      </c>
      <c r="BS8">
        <f>COUNTIFS(S$3:S8,"="&amp;S8,AI$3:AI8,"="&amp;AI8)</f>
        <v>1</v>
      </c>
      <c r="BT8" t="str">
        <f>IFERROR(VLOOKUP(BB8&amp;BU8&amp;X8,game_rosters!U:W,3,FALSE),"")</f>
        <v>P100159</v>
      </c>
      <c r="BU8" t="str">
        <f t="shared" si="45"/>
        <v>Velodrome</v>
      </c>
    </row>
    <row r="9" spans="1:73" x14ac:dyDescent="0.2">
      <c r="A9">
        <f t="shared" si="2"/>
        <v>1</v>
      </c>
      <c r="E9" s="4"/>
      <c r="F9" s="43"/>
      <c r="G9" s="4"/>
      <c r="H9" s="46"/>
      <c r="J9" s="44" t="str">
        <f t="shared" si="46"/>
        <v>o</v>
      </c>
      <c r="K9" t="s">
        <v>238</v>
      </c>
      <c r="L9" t="s">
        <v>174</v>
      </c>
      <c r="M9" t="s">
        <v>85</v>
      </c>
      <c r="N9" t="str">
        <f t="shared" si="31"/>
        <v>s</v>
      </c>
      <c r="Q9" t="str">
        <f t="shared" si="32"/>
        <v/>
      </c>
      <c r="S9">
        <v>3</v>
      </c>
      <c r="U9" t="str">
        <f>IF(B9=1,MAX($U$2:$U8)+1,IF(AND($T9&lt;&gt;"",$T9=$T8),$U8,IF(B9="x",U8,"")))</f>
        <v/>
      </c>
      <c r="V9" t="str">
        <f>IF(C9=1,MAX($V$2:$V8)+1,IF(AND($T9&lt;&gt;"",$T9=$T8),$U8,IF(C9="x",V8,"")))</f>
        <v/>
      </c>
      <c r="W9" t="str">
        <f t="shared" si="3"/>
        <v>a</v>
      </c>
      <c r="X9">
        <v>15</v>
      </c>
      <c r="Y9" t="b">
        <f>IF(X9&lt;&gt;"",VLOOKUP(X9,game_rosters!$C$43:$E$64,3,FALSE))</f>
        <v>0</v>
      </c>
      <c r="Z9" t="str" cm="1">
        <f t="array" ref="Z9">IFERROR(IF(_xlfn._xlws.FILTER(game_rosters!$J:$J,(game_rosters!$G:$G=events!$AN9)*(game_rosters!$J:$J=events!$X9))&gt;0,1,""),"")</f>
        <v/>
      </c>
      <c r="AA9">
        <f t="shared" si="4"/>
        <v>1003</v>
      </c>
      <c r="AB9" t="str">
        <f t="shared" si="5"/>
        <v/>
      </c>
      <c r="AC9">
        <f t="shared" si="0"/>
        <v>1003</v>
      </c>
      <c r="AD9" s="6">
        <v>1</v>
      </c>
      <c r="AE9" t="s">
        <v>732</v>
      </c>
      <c r="AF9" t="s">
        <v>733</v>
      </c>
      <c r="AG9" t="s">
        <v>732</v>
      </c>
      <c r="AH9" t="s">
        <v>753</v>
      </c>
      <c r="AI9" t="s">
        <v>368</v>
      </c>
      <c r="AJ9" t="str">
        <f t="shared" si="6"/>
        <v>o</v>
      </c>
      <c r="AK9" t="str">
        <f t="shared" si="7"/>
        <v>o</v>
      </c>
      <c r="AL9" t="str">
        <f t="shared" si="8"/>
        <v>d</v>
      </c>
      <c r="AN9" t="s">
        <v>862</v>
      </c>
      <c r="AO9" t="str">
        <f t="shared" si="9"/>
        <v>a</v>
      </c>
      <c r="AP9" t="str">
        <f t="shared" si="33"/>
        <v>d</v>
      </c>
      <c r="AQ9" t="str">
        <f t="shared" si="34"/>
        <v/>
      </c>
      <c r="AR9" t="str">
        <f t="shared" si="35"/>
        <v>Away</v>
      </c>
      <c r="AS9" t="str">
        <f t="shared" si="36"/>
        <v>a</v>
      </c>
      <c r="AT9" t="str">
        <f t="shared" si="37"/>
        <v>Defensive</v>
      </c>
      <c r="BA9" s="6">
        <f t="shared" si="17"/>
        <v>3</v>
      </c>
      <c r="BB9">
        <f t="shared" si="18"/>
        <v>18981</v>
      </c>
      <c r="BC9" t="str">
        <f t="shared" si="19"/>
        <v>Nelson</v>
      </c>
      <c r="BD9" t="str">
        <f t="shared" si="20"/>
        <v>Velodrome</v>
      </c>
      <c r="BE9" t="s">
        <v>238</v>
      </c>
      <c r="BF9" t="s">
        <v>174</v>
      </c>
      <c r="BG9" t="s">
        <v>85</v>
      </c>
      <c r="BI9" cm="1">
        <f t="array" ref="BI9">IFERROR(_xlfn._xlws.FILTER(shifts!A:A,(shifts!B:B=events!AD9)*(shifts!AG:AG&gt;=events!BK9)*(shifts!AH:AH&lt;=events!BL9)),BI8)</f>
        <v>1</v>
      </c>
      <c r="BJ9" s="15">
        <f t="shared" si="22"/>
        <v>1</v>
      </c>
      <c r="BK9">
        <f t="shared" si="38"/>
        <v>1076</v>
      </c>
      <c r="BL9">
        <f t="shared" si="39"/>
        <v>1075</v>
      </c>
      <c r="BM9" s="15">
        <f>SUMIFS(BJ$2:BJ9,K$2:K9,"=Intermission")+SUMIFS(BJ$2:BJ9,K$2:K9,"=Timeout")</f>
        <v>0</v>
      </c>
      <c r="BN9">
        <f t="shared" si="40"/>
        <v>0</v>
      </c>
      <c r="BO9" s="19">
        <f t="shared" si="41"/>
        <v>4</v>
      </c>
      <c r="BP9">
        <f t="shared" si="42"/>
        <v>0</v>
      </c>
      <c r="BQ9" s="17">
        <f t="shared" si="43"/>
        <v>6</v>
      </c>
      <c r="BR9" t="str">
        <f t="shared" si="44"/>
        <v>opp_team_player_1</v>
      </c>
      <c r="BS9">
        <f>COUNTIFS(S$3:S9,"="&amp;S9,AI$3:AI9,"="&amp;AI9)</f>
        <v>1</v>
      </c>
      <c r="BT9" t="str">
        <f>IFERROR(VLOOKUP(BB9&amp;BU9&amp;X9,game_rosters!U:W,3,FALSE),"")</f>
        <v>P100071</v>
      </c>
      <c r="BU9" t="str">
        <f t="shared" si="45"/>
        <v>Nelson</v>
      </c>
    </row>
    <row r="10" spans="1:73" x14ac:dyDescent="0.2">
      <c r="A10">
        <f t="shared" si="2"/>
        <v>1</v>
      </c>
      <c r="E10" s="4"/>
      <c r="F10" s="43"/>
      <c r="G10" s="4"/>
      <c r="H10" s="46"/>
      <c r="J10" s="44" t="str">
        <f t="shared" si="46"/>
        <v>o</v>
      </c>
      <c r="K10" t="s">
        <v>238</v>
      </c>
      <c r="L10" t="s">
        <v>174</v>
      </c>
      <c r="M10" t="s">
        <v>85</v>
      </c>
      <c r="N10" t="str">
        <f t="shared" si="31"/>
        <v>s</v>
      </c>
      <c r="Q10" t="str">
        <f t="shared" si="32"/>
        <v/>
      </c>
      <c r="S10">
        <v>3</v>
      </c>
      <c r="U10" t="str">
        <f>IF(B10=1,MAX($U$2:$U9)+1,IF(AND($T10&lt;&gt;"",$T10=$T9),$U9,IF(B10="x",U9,"")))</f>
        <v/>
      </c>
      <c r="V10" t="str">
        <f>IF(C10=1,MAX($V$2:$V9)+1,IF(AND($T10&lt;&gt;"",$T10=$T9),$U9,IF(C10="x",V9,"")))</f>
        <v/>
      </c>
      <c r="W10" t="str">
        <f t="shared" si="3"/>
        <v>a</v>
      </c>
      <c r="X10">
        <v>23</v>
      </c>
      <c r="Y10" t="b">
        <f>IF(X10&lt;&gt;"",VLOOKUP(X10,game_rosters!$C$43:$E$64,3,FALSE))</f>
        <v>0</v>
      </c>
      <c r="Z10" t="str" cm="1">
        <f t="array" ref="Z10">IFERROR(IF(_xlfn._xlws.FILTER(game_rosters!$J:$J,(game_rosters!$G:$G=events!$AN10)*(game_rosters!$J:$J=events!$X10))&gt;0,1,""),"")</f>
        <v/>
      </c>
      <c r="AA10">
        <f t="shared" si="4"/>
        <v>1003</v>
      </c>
      <c r="AB10" t="str">
        <f t="shared" si="5"/>
        <v/>
      </c>
      <c r="AC10">
        <f t="shared" si="0"/>
        <v>1003</v>
      </c>
      <c r="AD10" s="6">
        <v>1</v>
      </c>
      <c r="AE10" t="s">
        <v>732</v>
      </c>
      <c r="AF10" t="s">
        <v>733</v>
      </c>
      <c r="AG10" t="s">
        <v>732</v>
      </c>
      <c r="AH10" t="s">
        <v>753</v>
      </c>
      <c r="AI10" t="s">
        <v>368</v>
      </c>
      <c r="AJ10" t="str">
        <f t="shared" si="6"/>
        <v>o</v>
      </c>
      <c r="AK10" t="str">
        <f t="shared" si="7"/>
        <v>o</v>
      </c>
      <c r="AL10" t="str">
        <f t="shared" si="8"/>
        <v>d</v>
      </c>
      <c r="AN10" t="s">
        <v>862</v>
      </c>
      <c r="AO10" t="str">
        <f t="shared" si="9"/>
        <v>a</v>
      </c>
      <c r="AP10" t="str">
        <f t="shared" si="33"/>
        <v>d</v>
      </c>
      <c r="AQ10" t="str">
        <f t="shared" si="34"/>
        <v/>
      </c>
      <c r="AR10" t="str">
        <f t="shared" si="35"/>
        <v>Away</v>
      </c>
      <c r="AS10" t="str">
        <f t="shared" si="36"/>
        <v>a</v>
      </c>
      <c r="AT10" t="str">
        <f t="shared" si="37"/>
        <v>Defensive</v>
      </c>
      <c r="BA10" s="6">
        <f t="shared" si="17"/>
        <v>4</v>
      </c>
      <c r="BB10">
        <f t="shared" si="18"/>
        <v>18981</v>
      </c>
      <c r="BC10" t="str">
        <f t="shared" si="19"/>
        <v>Nelson</v>
      </c>
      <c r="BD10" t="str">
        <f t="shared" si="20"/>
        <v>Velodrome</v>
      </c>
      <c r="BE10" t="s">
        <v>238</v>
      </c>
      <c r="BF10" t="s">
        <v>174</v>
      </c>
      <c r="BG10" t="s">
        <v>85</v>
      </c>
      <c r="BI10" cm="1">
        <f t="array" ref="BI10">IFERROR(_xlfn._xlws.FILTER(shifts!A:A,(shifts!B:B=events!AD10)*(shifts!AG:AG&gt;=events!BK10)*(shifts!AH:AH&lt;=events!BL10)),BI9)</f>
        <v>1</v>
      </c>
      <c r="BJ10" s="15">
        <f t="shared" si="22"/>
        <v>1</v>
      </c>
      <c r="BK10">
        <f t="shared" si="38"/>
        <v>1076</v>
      </c>
      <c r="BL10">
        <f t="shared" si="39"/>
        <v>1075</v>
      </c>
      <c r="BM10" s="15">
        <f>SUMIFS(BJ$2:BJ10,K$2:K10,"=Intermission")+SUMIFS(BJ$2:BJ10,K$2:K10,"=Timeout")</f>
        <v>0</v>
      </c>
      <c r="BN10">
        <f t="shared" si="40"/>
        <v>0</v>
      </c>
      <c r="BO10" s="19">
        <f t="shared" si="41"/>
        <v>4</v>
      </c>
      <c r="BP10">
        <f t="shared" si="42"/>
        <v>0</v>
      </c>
      <c r="BQ10" s="17">
        <f t="shared" si="43"/>
        <v>6</v>
      </c>
      <c r="BR10" t="str">
        <f t="shared" si="44"/>
        <v>opp_team_player_2</v>
      </c>
      <c r="BS10">
        <f>COUNTIFS(S$3:S10,"="&amp;S10,AI$3:AI10,"="&amp;AI10)</f>
        <v>2</v>
      </c>
      <c r="BT10" t="str">
        <f>IFERROR(VLOOKUP(BB10&amp;BU10&amp;X10,game_rosters!U:W,3,FALSE),"")</f>
        <v>P100061</v>
      </c>
      <c r="BU10" t="str">
        <f t="shared" si="45"/>
        <v>Nelson</v>
      </c>
    </row>
    <row r="11" spans="1:73" x14ac:dyDescent="0.2">
      <c r="A11">
        <f t="shared" si="2"/>
        <v>1</v>
      </c>
      <c r="E11" s="4"/>
      <c r="F11" s="43"/>
      <c r="G11" s="4"/>
      <c r="H11" s="46"/>
      <c r="J11" s="44" t="str">
        <f t="shared" si="46"/>
        <v>o</v>
      </c>
      <c r="K11" t="s">
        <v>238</v>
      </c>
      <c r="L11" t="s">
        <v>174</v>
      </c>
      <c r="M11" t="s">
        <v>85</v>
      </c>
      <c r="N11" t="str">
        <f t="shared" si="31"/>
        <v>s</v>
      </c>
      <c r="Q11" t="str">
        <f t="shared" si="32"/>
        <v/>
      </c>
      <c r="S11">
        <v>3</v>
      </c>
      <c r="U11" t="str">
        <f>IF(B11=1,MAX($U$2:$U10)+1,IF(AND($T11&lt;&gt;"",$T11=$T10),$U10,IF(B11="x",U10,"")))</f>
        <v/>
      </c>
      <c r="V11" t="str">
        <f>IF(C11=1,MAX($V$2:$V10)+1,IF(AND($T11&lt;&gt;"",$T11=$T10),$U10,IF(C11="x",V10,"")))</f>
        <v/>
      </c>
      <c r="W11" t="str">
        <f t="shared" si="3"/>
        <v>a</v>
      </c>
      <c r="X11">
        <v>37</v>
      </c>
      <c r="Y11" t="b">
        <f>IF(X11&lt;&gt;"",VLOOKUP(X11,game_rosters!$C$43:$E$64,3,FALSE))</f>
        <v>0</v>
      </c>
      <c r="Z11" t="str" cm="1">
        <f t="array" ref="Z11">IFERROR(IF(_xlfn._xlws.FILTER(game_rosters!$J:$J,(game_rosters!$G:$G=events!$AN11)*(game_rosters!$J:$J=events!$X11))&gt;0,1,""),"")</f>
        <v/>
      </c>
      <c r="AA11">
        <f t="shared" si="4"/>
        <v>1003</v>
      </c>
      <c r="AB11" t="str">
        <f t="shared" si="5"/>
        <v/>
      </c>
      <c r="AC11">
        <f t="shared" si="0"/>
        <v>1003</v>
      </c>
      <c r="AD11" s="6">
        <v>1</v>
      </c>
      <c r="AE11" t="s">
        <v>732</v>
      </c>
      <c r="AF11" t="s">
        <v>733</v>
      </c>
      <c r="AG11" t="s">
        <v>732</v>
      </c>
      <c r="AH11" t="s">
        <v>753</v>
      </c>
      <c r="AI11" t="s">
        <v>368</v>
      </c>
      <c r="AJ11" t="str">
        <f t="shared" si="6"/>
        <v>o</v>
      </c>
      <c r="AK11" t="str">
        <f t="shared" si="7"/>
        <v>o</v>
      </c>
      <c r="AL11" t="str">
        <f t="shared" si="8"/>
        <v>d</v>
      </c>
      <c r="AN11" t="s">
        <v>862</v>
      </c>
      <c r="AO11" t="str">
        <f t="shared" si="9"/>
        <v>a</v>
      </c>
      <c r="AP11" t="str">
        <f t="shared" si="33"/>
        <v>d</v>
      </c>
      <c r="AQ11" t="str">
        <f t="shared" si="34"/>
        <v/>
      </c>
      <c r="AR11" t="str">
        <f t="shared" si="35"/>
        <v>Away</v>
      </c>
      <c r="AS11" t="str">
        <f t="shared" si="36"/>
        <v>a</v>
      </c>
      <c r="AT11" t="str">
        <f t="shared" si="37"/>
        <v>Defensive</v>
      </c>
      <c r="BA11" s="6">
        <f t="shared" si="17"/>
        <v>5</v>
      </c>
      <c r="BB11">
        <f t="shared" si="18"/>
        <v>18981</v>
      </c>
      <c r="BC11" t="str">
        <f t="shared" si="19"/>
        <v>Nelson</v>
      </c>
      <c r="BD11" t="str">
        <f t="shared" si="20"/>
        <v>Velodrome</v>
      </c>
      <c r="BE11" t="s">
        <v>238</v>
      </c>
      <c r="BF11" t="s">
        <v>174</v>
      </c>
      <c r="BG11" t="s">
        <v>85</v>
      </c>
      <c r="BI11" cm="1">
        <f t="array" ref="BI11">IFERROR(_xlfn._xlws.FILTER(shifts!A:A,(shifts!B:B=events!AD11)*(shifts!AG:AG&gt;=events!BK11)*(shifts!AH:AH&lt;=events!BL11)),BI10)</f>
        <v>1</v>
      </c>
      <c r="BJ11" s="15">
        <f t="shared" si="22"/>
        <v>1</v>
      </c>
      <c r="BK11">
        <f t="shared" si="38"/>
        <v>1076</v>
      </c>
      <c r="BL11">
        <f t="shared" si="39"/>
        <v>1075</v>
      </c>
      <c r="BM11" s="15">
        <f>SUMIFS(BJ$2:BJ11,K$2:K11,"=Intermission")+SUMIFS(BJ$2:BJ11,K$2:K11,"=Timeout")</f>
        <v>0</v>
      </c>
      <c r="BN11">
        <f t="shared" si="40"/>
        <v>0</v>
      </c>
      <c r="BO11" s="19">
        <f t="shared" si="41"/>
        <v>4</v>
      </c>
      <c r="BP11">
        <f t="shared" si="42"/>
        <v>0</v>
      </c>
      <c r="BQ11" s="17">
        <f t="shared" si="43"/>
        <v>6</v>
      </c>
      <c r="BR11" t="str">
        <f t="shared" si="44"/>
        <v>opp_team_player_3</v>
      </c>
      <c r="BS11">
        <f>COUNTIFS(S$3:S11,"="&amp;S11,AI$3:AI11,"="&amp;AI11)</f>
        <v>3</v>
      </c>
      <c r="BT11" t="str">
        <f>IFERROR(VLOOKUP(BB11&amp;BU11&amp;X11,game_rosters!U:W,3,FALSE),"")</f>
        <v>P100119</v>
      </c>
      <c r="BU11" t="str">
        <f t="shared" si="45"/>
        <v>Nelson</v>
      </c>
    </row>
    <row r="12" spans="1:73" x14ac:dyDescent="0.2">
      <c r="A12">
        <f t="shared" si="2"/>
        <v>1</v>
      </c>
      <c r="E12" s="4"/>
      <c r="F12" s="43"/>
      <c r="G12" s="4"/>
      <c r="H12" s="46"/>
      <c r="J12" s="44" t="str">
        <f t="shared" si="46"/>
        <v>o</v>
      </c>
      <c r="K12" t="s">
        <v>6</v>
      </c>
      <c r="L12" t="s">
        <v>181</v>
      </c>
      <c r="M12" t="s">
        <v>51</v>
      </c>
      <c r="N12" t="str">
        <f t="shared" si="31"/>
        <v>u</v>
      </c>
      <c r="Q12" t="str">
        <f t="shared" si="32"/>
        <v/>
      </c>
      <c r="S12">
        <v>4</v>
      </c>
      <c r="U12" t="str">
        <f>IF(B12=1,MAX($U$2:$U11)+1,IF(AND($T12&lt;&gt;"",$T12=$T11),$U11,IF(B12="x",U11,"")))</f>
        <v/>
      </c>
      <c r="V12" t="str">
        <f>IF(C12=1,MAX($V$2:$V11)+1,IF(AND($T12&lt;&gt;"",$T12=$T11),$U11,IF(C12="x",V11,"")))</f>
        <v/>
      </c>
      <c r="W12" t="str">
        <f t="shared" si="3"/>
        <v>a</v>
      </c>
      <c r="X12">
        <v>87</v>
      </c>
      <c r="Y12" t="e">
        <f>IF(X12&lt;&gt;"",VLOOKUP(X12,game_rosters!$C$43:$E$64,3,FALSE))</f>
        <v>#N/A</v>
      </c>
      <c r="Z12" cm="1">
        <f t="array" ref="Z12">IFERROR(IF(_xlfn._xlws.FILTER(game_rosters!$J:$J,(game_rosters!$G:$G=events!$AN12)*(game_rosters!$J:$J=events!$X12))&gt;0,1,""),"")</f>
        <v>1</v>
      </c>
      <c r="AA12">
        <f t="shared" si="4"/>
        <v>1004</v>
      </c>
      <c r="AB12" t="str">
        <f t="shared" si="5"/>
        <v/>
      </c>
      <c r="AC12">
        <f t="shared" si="0"/>
        <v>1004</v>
      </c>
      <c r="AD12" s="6">
        <v>1</v>
      </c>
      <c r="AE12" t="s">
        <v>732</v>
      </c>
      <c r="AF12" t="s">
        <v>753</v>
      </c>
      <c r="AG12" t="s">
        <v>756</v>
      </c>
      <c r="AH12" t="s">
        <v>756</v>
      </c>
      <c r="AI12" t="s">
        <v>367</v>
      </c>
      <c r="AJ12" t="str">
        <f t="shared" si="6"/>
        <v>o</v>
      </c>
      <c r="AK12" t="str">
        <f t="shared" si="7"/>
        <v>o</v>
      </c>
      <c r="AL12" t="str">
        <f t="shared" si="8"/>
        <v>d</v>
      </c>
      <c r="AN12" t="s">
        <v>862</v>
      </c>
      <c r="AO12" t="str">
        <f t="shared" si="9"/>
        <v>a</v>
      </c>
      <c r="AP12" t="str">
        <f t="shared" si="33"/>
        <v>d</v>
      </c>
      <c r="AQ12" t="str">
        <f t="shared" si="34"/>
        <v/>
      </c>
      <c r="AR12" t="str">
        <f t="shared" si="35"/>
        <v>Away</v>
      </c>
      <c r="AS12" t="str">
        <f t="shared" si="36"/>
        <v>a</v>
      </c>
      <c r="AT12" t="str">
        <f t="shared" si="37"/>
        <v>Offensive</v>
      </c>
      <c r="BA12" s="6">
        <f t="shared" si="17"/>
        <v>5</v>
      </c>
      <c r="BB12">
        <f t="shared" si="18"/>
        <v>18981</v>
      </c>
      <c r="BC12" t="str">
        <f t="shared" si="19"/>
        <v>Nelson</v>
      </c>
      <c r="BD12" t="str">
        <f t="shared" si="20"/>
        <v>Velodrome</v>
      </c>
      <c r="BE12" t="s">
        <v>6</v>
      </c>
      <c r="BF12" t="s">
        <v>181</v>
      </c>
      <c r="BG12" t="s">
        <v>51</v>
      </c>
      <c r="BI12" cm="1">
        <f t="array" ref="BI12">IFERROR(_xlfn._xlws.FILTER(shifts!A:A,(shifts!B:B=events!AD12)*(shifts!AG:AG&gt;=events!BK12)*(shifts!AH:AH&lt;=events!BL12)),BI11)</f>
        <v>1</v>
      </c>
      <c r="BJ12" s="15">
        <f t="shared" si="22"/>
        <v>0</v>
      </c>
      <c r="BK12">
        <f t="shared" si="38"/>
        <v>1075</v>
      </c>
      <c r="BL12">
        <f t="shared" si="39"/>
        <v>1075</v>
      </c>
      <c r="BM12" s="15">
        <f>SUMIFS(BJ$2:BJ12,K$2:K12,"=Intermission")+SUMIFS(BJ$2:BJ12,K$2:K12,"=Timeout")</f>
        <v>0</v>
      </c>
      <c r="BN12">
        <f t="shared" si="40"/>
        <v>0</v>
      </c>
      <c r="BO12" s="19">
        <f t="shared" si="41"/>
        <v>5</v>
      </c>
      <c r="BP12">
        <f t="shared" si="42"/>
        <v>0</v>
      </c>
      <c r="BQ12" s="17">
        <f t="shared" si="43"/>
        <v>5</v>
      </c>
      <c r="BR12" t="str">
        <f t="shared" si="44"/>
        <v>event_team_player_1</v>
      </c>
      <c r="BS12">
        <f>COUNTIFS(S$3:S12,"="&amp;S12,AI$3:AI12,"="&amp;AI12)</f>
        <v>1</v>
      </c>
      <c r="BT12" t="str">
        <f>IFERROR(VLOOKUP(BB12&amp;BU12&amp;X12,game_rosters!U:W,3,FALSE),"")</f>
        <v>P100159</v>
      </c>
      <c r="BU12" t="str">
        <f t="shared" si="45"/>
        <v>Velodrome</v>
      </c>
    </row>
    <row r="13" spans="1:73" x14ac:dyDescent="0.2">
      <c r="A13">
        <f t="shared" si="2"/>
        <v>1</v>
      </c>
      <c r="E13" s="4"/>
      <c r="F13" s="43"/>
      <c r="G13" s="4"/>
      <c r="H13" s="46"/>
      <c r="J13" s="44" t="str">
        <f t="shared" si="46"/>
        <v>o</v>
      </c>
      <c r="K13" t="s">
        <v>6</v>
      </c>
      <c r="L13" t="s">
        <v>181</v>
      </c>
      <c r="M13" t="s">
        <v>51</v>
      </c>
      <c r="N13" t="str">
        <f t="shared" si="31"/>
        <v>u</v>
      </c>
      <c r="Q13" t="str">
        <f t="shared" si="32"/>
        <v/>
      </c>
      <c r="S13">
        <v>4</v>
      </c>
      <c r="U13" t="str">
        <f>IF(B13=1,MAX($U$2:$U12)+1,IF(AND($T13&lt;&gt;"",$T13=$T12),$U12,IF(B13="x",U12,"")))</f>
        <v/>
      </c>
      <c r="V13" t="str">
        <f>IF(C13=1,MAX($V$2:$V12)+1,IF(AND($T13&lt;&gt;"",$T13=$T12),$U12,IF(C13="x",V12,"")))</f>
        <v/>
      </c>
      <c r="W13" t="str">
        <f t="shared" si="3"/>
        <v>a</v>
      </c>
      <c r="X13">
        <v>37</v>
      </c>
      <c r="Y13" t="b">
        <f>IF(X13&lt;&gt;"",VLOOKUP(X13,game_rosters!$C$43:$E$64,3,FALSE))</f>
        <v>0</v>
      </c>
      <c r="Z13" t="str" cm="1">
        <f t="array" ref="Z13">IFERROR(IF(_xlfn._xlws.FILTER(game_rosters!$J:$J,(game_rosters!$G:$G=events!$AN13)*(game_rosters!$J:$J=events!$X13))&gt;0,1,""),"")</f>
        <v/>
      </c>
      <c r="AA13">
        <f t="shared" si="4"/>
        <v>1004</v>
      </c>
      <c r="AB13" t="str">
        <f t="shared" si="5"/>
        <v/>
      </c>
      <c r="AC13">
        <f t="shared" si="0"/>
        <v>1004</v>
      </c>
      <c r="AD13" s="6">
        <v>1</v>
      </c>
      <c r="AE13" t="s">
        <v>732</v>
      </c>
      <c r="AF13" t="s">
        <v>753</v>
      </c>
      <c r="AG13" t="s">
        <v>756</v>
      </c>
      <c r="AH13" t="s">
        <v>756</v>
      </c>
      <c r="AI13" t="s">
        <v>368</v>
      </c>
      <c r="AJ13" t="str">
        <f t="shared" si="6"/>
        <v>o</v>
      </c>
      <c r="AK13" t="str">
        <f t="shared" si="7"/>
        <v>o</v>
      </c>
      <c r="AL13" t="str">
        <f t="shared" si="8"/>
        <v>d</v>
      </c>
      <c r="AN13" t="s">
        <v>862</v>
      </c>
      <c r="AO13" t="str">
        <f t="shared" si="9"/>
        <v>a</v>
      </c>
      <c r="AP13" t="str">
        <f t="shared" si="33"/>
        <v>d</v>
      </c>
      <c r="AQ13" t="str">
        <f t="shared" si="34"/>
        <v/>
      </c>
      <c r="AR13" t="str">
        <f t="shared" si="35"/>
        <v>Away</v>
      </c>
      <c r="AS13" t="str">
        <f t="shared" si="36"/>
        <v>a</v>
      </c>
      <c r="AT13" t="str">
        <f t="shared" si="37"/>
        <v>Defensive</v>
      </c>
      <c r="BA13" s="6">
        <f t="shared" si="17"/>
        <v>5</v>
      </c>
      <c r="BB13">
        <f t="shared" si="18"/>
        <v>18981</v>
      </c>
      <c r="BC13" t="str">
        <f t="shared" si="19"/>
        <v>Nelson</v>
      </c>
      <c r="BD13" t="str">
        <f t="shared" si="20"/>
        <v>Velodrome</v>
      </c>
      <c r="BE13" t="s">
        <v>6</v>
      </c>
      <c r="BF13" t="s">
        <v>181</v>
      </c>
      <c r="BG13" t="s">
        <v>51</v>
      </c>
      <c r="BI13" cm="1">
        <f t="array" ref="BI13">IFERROR(_xlfn._xlws.FILTER(shifts!A:A,(shifts!B:B=events!AD13)*(shifts!AG:AG&gt;=events!BK13)*(shifts!AH:AH&lt;=events!BL13)),BI12)</f>
        <v>1</v>
      </c>
      <c r="BJ13" s="15">
        <f t="shared" si="22"/>
        <v>0</v>
      </c>
      <c r="BK13">
        <f t="shared" si="38"/>
        <v>1075</v>
      </c>
      <c r="BL13">
        <f t="shared" si="39"/>
        <v>1075</v>
      </c>
      <c r="BM13" s="15">
        <f>SUMIFS(BJ$2:BJ13,K$2:K13,"=Intermission")+SUMIFS(BJ$2:BJ13,K$2:K13,"=Timeout")</f>
        <v>0</v>
      </c>
      <c r="BN13">
        <f t="shared" si="40"/>
        <v>0</v>
      </c>
      <c r="BO13" s="19">
        <f t="shared" si="41"/>
        <v>5</v>
      </c>
      <c r="BP13">
        <f t="shared" si="42"/>
        <v>0</v>
      </c>
      <c r="BQ13" s="17">
        <f t="shared" si="43"/>
        <v>5</v>
      </c>
      <c r="BR13" t="str">
        <f t="shared" si="44"/>
        <v>opp_team_player_1</v>
      </c>
      <c r="BS13">
        <f>COUNTIFS(S$3:S13,"="&amp;S13,AI$3:AI13,"="&amp;AI13)</f>
        <v>1</v>
      </c>
      <c r="BT13" t="str">
        <f>IFERROR(VLOOKUP(BB13&amp;BU13&amp;X13,game_rosters!U:W,3,FALSE),"")</f>
        <v>P100119</v>
      </c>
      <c r="BU13" t="str">
        <f t="shared" si="45"/>
        <v>Nelson</v>
      </c>
    </row>
    <row r="14" spans="1:73" x14ac:dyDescent="0.2">
      <c r="A14">
        <f t="shared" si="2"/>
        <v>1</v>
      </c>
      <c r="E14" s="4"/>
      <c r="F14" s="43"/>
      <c r="G14" s="4"/>
      <c r="H14" s="46"/>
      <c r="J14" s="44" t="str">
        <f t="shared" si="46"/>
        <v/>
      </c>
      <c r="K14" t="s">
        <v>9</v>
      </c>
      <c r="L14" t="s">
        <v>173</v>
      </c>
      <c r="M14" t="s">
        <v>77</v>
      </c>
      <c r="N14" t="str">
        <f t="shared" si="31"/>
        <v>u</v>
      </c>
      <c r="Q14" t="str">
        <f t="shared" si="32"/>
        <v/>
      </c>
      <c r="S14">
        <v>5</v>
      </c>
      <c r="U14" t="str">
        <f>IF(B14=1,MAX($U$2:$U13)+1,IF(AND($T14&lt;&gt;"",$T14=$T13),$U13,IF(B14="x",U13,"")))</f>
        <v/>
      </c>
      <c r="V14" t="str">
        <f>IF(C14=1,MAX($V$2:$V13)+1,IF(AND($T14&lt;&gt;"",$T14=$T13),$U13,IF(C14="x",V13,"")))</f>
        <v/>
      </c>
      <c r="W14" t="str">
        <f t="shared" si="3"/>
        <v>a</v>
      </c>
      <c r="X14">
        <v>87</v>
      </c>
      <c r="Y14" t="e">
        <f>IF(X14&lt;&gt;"",VLOOKUP(X14,game_rosters!$C$43:$E$64,3,FALSE))</f>
        <v>#N/A</v>
      </c>
      <c r="Z14" cm="1">
        <f t="array" ref="Z14">IFERROR(IF(_xlfn._xlws.FILTER(game_rosters!$J:$J,(game_rosters!$G:$G=events!$AN14)*(game_rosters!$J:$J=events!$X14))&gt;0,1,""),"")</f>
        <v>1</v>
      </c>
      <c r="AA14">
        <f t="shared" si="4"/>
        <v>1005</v>
      </c>
      <c r="AB14" t="str">
        <f t="shared" si="5"/>
        <v/>
      </c>
      <c r="AC14">
        <f t="shared" si="0"/>
        <v>1005</v>
      </c>
      <c r="AD14" s="6">
        <v>1</v>
      </c>
      <c r="AE14" t="s">
        <v>732</v>
      </c>
      <c r="AF14" t="s">
        <v>753</v>
      </c>
      <c r="AG14" t="s">
        <v>756</v>
      </c>
      <c r="AH14" t="s">
        <v>756</v>
      </c>
      <c r="AI14" t="s">
        <v>367</v>
      </c>
      <c r="AJ14" t="str">
        <f t="shared" si="6"/>
        <v/>
      </c>
      <c r="AK14" t="str">
        <f t="shared" si="7"/>
        <v/>
      </c>
      <c r="AL14" t="str">
        <f t="shared" si="8"/>
        <v/>
      </c>
      <c r="AN14" t="s">
        <v>862</v>
      </c>
      <c r="AO14" t="str">
        <f t="shared" si="9"/>
        <v>a</v>
      </c>
      <c r="AP14" t="str">
        <f t="shared" si="33"/>
        <v/>
      </c>
      <c r="AQ14" t="str">
        <f t="shared" si="34"/>
        <v/>
      </c>
      <c r="AR14" t="str">
        <f t="shared" si="35"/>
        <v>Away</v>
      </c>
      <c r="AS14" t="str">
        <f t="shared" si="36"/>
        <v>a</v>
      </c>
      <c r="AT14" t="str">
        <f t="shared" si="37"/>
        <v>Offensive</v>
      </c>
      <c r="BA14" s="6">
        <f t="shared" si="17"/>
        <v>5</v>
      </c>
      <c r="BB14">
        <f t="shared" si="18"/>
        <v>18981</v>
      </c>
      <c r="BC14" t="str">
        <f t="shared" si="19"/>
        <v>Nelson</v>
      </c>
      <c r="BD14" t="str">
        <f t="shared" si="20"/>
        <v>Velodrome</v>
      </c>
      <c r="BE14" t="s">
        <v>9</v>
      </c>
      <c r="BF14" t="s">
        <v>173</v>
      </c>
      <c r="BG14" t="s">
        <v>77</v>
      </c>
      <c r="BI14" cm="1">
        <f t="array" ref="BI14">IFERROR(_xlfn._xlws.FILTER(shifts!A:A,(shifts!B:B=events!AD14)*(shifts!AG:AG&gt;=events!BK14)*(shifts!AH:AH&lt;=events!BL14)),BI13)</f>
        <v>1</v>
      </c>
      <c r="BJ14" s="15">
        <f t="shared" si="22"/>
        <v>0</v>
      </c>
      <c r="BK14">
        <f t="shared" si="38"/>
        <v>1075</v>
      </c>
      <c r="BL14">
        <f t="shared" si="39"/>
        <v>1075</v>
      </c>
      <c r="BM14" s="15">
        <f>SUMIFS(BJ$2:BJ14,K$2:K14,"=Intermission")+SUMIFS(BJ$2:BJ14,K$2:K14,"=Timeout")</f>
        <v>0</v>
      </c>
      <c r="BN14">
        <f t="shared" si="40"/>
        <v>0</v>
      </c>
      <c r="BO14" s="19">
        <f t="shared" si="41"/>
        <v>5</v>
      </c>
      <c r="BP14">
        <f t="shared" si="42"/>
        <v>0</v>
      </c>
      <c r="BQ14" s="17">
        <f t="shared" si="43"/>
        <v>5</v>
      </c>
      <c r="BR14" t="str">
        <f t="shared" si="44"/>
        <v>event_team_player_1</v>
      </c>
      <c r="BS14">
        <f>COUNTIFS(S$3:S14,"="&amp;S14,AI$3:AI14,"="&amp;AI14)</f>
        <v>1</v>
      </c>
      <c r="BT14" t="str">
        <f>IFERROR(VLOOKUP(BB14&amp;BU14&amp;X14,game_rosters!U:W,3,FALSE),"")</f>
        <v>P100159</v>
      </c>
      <c r="BU14" t="str">
        <f t="shared" si="45"/>
        <v>Velodrome</v>
      </c>
    </row>
    <row r="15" spans="1:73" x14ac:dyDescent="0.2">
      <c r="A15">
        <f t="shared" si="2"/>
        <v>1</v>
      </c>
      <c r="E15" s="4"/>
      <c r="F15" s="43"/>
      <c r="G15" s="4"/>
      <c r="H15" s="46"/>
      <c r="J15" s="44" t="str">
        <f t="shared" si="46"/>
        <v/>
      </c>
      <c r="K15" t="s">
        <v>7</v>
      </c>
      <c r="L15" t="s">
        <v>172</v>
      </c>
      <c r="M15" t="s">
        <v>68</v>
      </c>
      <c r="N15" t="str">
        <f t="shared" si="31"/>
        <v>s</v>
      </c>
      <c r="Q15" t="str">
        <f t="shared" si="32"/>
        <v/>
      </c>
      <c r="S15">
        <v>6</v>
      </c>
      <c r="U15" t="str">
        <f>IF(B15=1,MAX($U$2:$U14)+1,IF(AND($T15&lt;&gt;"",$T15=$T14),$U14,IF(B15="x",U14,"")))</f>
        <v/>
      </c>
      <c r="V15" t="str">
        <f>IF(C15=1,MAX($V$2:$V14)+1,IF(AND($T15&lt;&gt;"",$T15=$T14),$U14,IF(C15="x",V14,"")))</f>
        <v/>
      </c>
      <c r="W15" t="str">
        <f t="shared" si="3"/>
        <v>h</v>
      </c>
      <c r="X15">
        <v>23</v>
      </c>
      <c r="Y15" t="b">
        <f>IF(X15&lt;&gt;"",VLOOKUP(X15,game_rosters!$C$43:$E$64,3,FALSE))</f>
        <v>0</v>
      </c>
      <c r="Z15" cm="1">
        <f t="array" ref="Z15">IFERROR(IF(_xlfn._xlws.FILTER(game_rosters!$J:$J,(game_rosters!$G:$G=events!$AN15)*(game_rosters!$J:$J=events!$X15))&gt;0,1,""),"")</f>
        <v>1</v>
      </c>
      <c r="AA15">
        <f t="shared" si="4"/>
        <v>1006</v>
      </c>
      <c r="AB15" t="str">
        <f t="shared" si="5"/>
        <v/>
      </c>
      <c r="AC15">
        <f t="shared" si="0"/>
        <v>1006</v>
      </c>
      <c r="AD15" s="6">
        <v>1</v>
      </c>
      <c r="AE15" t="s">
        <v>732</v>
      </c>
      <c r="AF15" t="s">
        <v>897</v>
      </c>
      <c r="AG15" t="s">
        <v>756</v>
      </c>
      <c r="AH15" t="s">
        <v>756</v>
      </c>
      <c r="AI15" t="s">
        <v>367</v>
      </c>
      <c r="AJ15" t="str">
        <f t="shared" si="6"/>
        <v/>
      </c>
      <c r="AK15" t="str">
        <f t="shared" si="7"/>
        <v/>
      </c>
      <c r="AL15" t="str">
        <f t="shared" si="8"/>
        <v/>
      </c>
      <c r="AN15" t="s">
        <v>861</v>
      </c>
      <c r="AO15" t="str">
        <f t="shared" si="9"/>
        <v>h</v>
      </c>
      <c r="AP15" t="str">
        <f t="shared" si="33"/>
        <v/>
      </c>
      <c r="AQ15" t="str">
        <f t="shared" si="34"/>
        <v/>
      </c>
      <c r="AR15" t="str">
        <f t="shared" si="35"/>
        <v>Home</v>
      </c>
      <c r="AS15" t="str">
        <f t="shared" si="36"/>
        <v>h</v>
      </c>
      <c r="AT15" t="str">
        <f t="shared" si="37"/>
        <v>Offensive</v>
      </c>
      <c r="BA15" s="6">
        <f t="shared" si="17"/>
        <v>5</v>
      </c>
      <c r="BB15">
        <f t="shared" si="18"/>
        <v>18981</v>
      </c>
      <c r="BC15" t="str">
        <f t="shared" si="19"/>
        <v>Nelson</v>
      </c>
      <c r="BD15" t="str">
        <f t="shared" si="20"/>
        <v>Velodrome</v>
      </c>
      <c r="BE15" t="s">
        <v>7</v>
      </c>
      <c r="BF15" t="s">
        <v>172</v>
      </c>
      <c r="BG15" t="s">
        <v>68</v>
      </c>
      <c r="BI15" cm="1">
        <f t="array" ref="BI15">IFERROR(_xlfn._xlws.FILTER(shifts!A:A,(shifts!B:B=events!AD15)*(shifts!AG:AG&gt;=events!BK15)*(shifts!AH:AH&lt;=events!BL15)),BI14)</f>
        <v>1</v>
      </c>
      <c r="BJ15" s="15">
        <f t="shared" si="22"/>
        <v>0</v>
      </c>
      <c r="BK15">
        <f t="shared" si="38"/>
        <v>1072</v>
      </c>
      <c r="BL15">
        <f t="shared" si="39"/>
        <v>1072</v>
      </c>
      <c r="BM15" s="15">
        <f>SUMIFS(BJ$2:BJ15,K$2:K15,"=Intermission")+SUMIFS(BJ$2:BJ15,K$2:K15,"=Timeout")</f>
        <v>0</v>
      </c>
      <c r="BN15">
        <f t="shared" si="40"/>
        <v>0</v>
      </c>
      <c r="BO15" s="19">
        <f t="shared" si="41"/>
        <v>8</v>
      </c>
      <c r="BP15">
        <f t="shared" si="42"/>
        <v>3</v>
      </c>
      <c r="BQ15" s="17">
        <f t="shared" si="43"/>
        <v>8</v>
      </c>
      <c r="BR15" t="str">
        <f t="shared" si="44"/>
        <v>event_team_player_1</v>
      </c>
      <c r="BS15">
        <f>COUNTIFS(S$3:S15,"="&amp;S15,AI$3:AI15,"="&amp;AI15)</f>
        <v>1</v>
      </c>
      <c r="BT15" t="str">
        <f>IFERROR(VLOOKUP(BB15&amp;BU15&amp;X15,game_rosters!U:W,3,FALSE),"")</f>
        <v>P100061</v>
      </c>
      <c r="BU15" t="str">
        <f t="shared" si="45"/>
        <v>Nelson</v>
      </c>
    </row>
    <row r="16" spans="1:73" x14ac:dyDescent="0.2">
      <c r="A16">
        <f t="shared" si="2"/>
        <v>1</v>
      </c>
      <c r="E16" s="4"/>
      <c r="F16" s="43"/>
      <c r="G16" s="4"/>
      <c r="H16" s="46"/>
      <c r="J16" s="44" t="str">
        <f t="shared" si="46"/>
        <v/>
      </c>
      <c r="K16" t="s">
        <v>7</v>
      </c>
      <c r="L16" t="s">
        <v>172</v>
      </c>
      <c r="M16" t="s">
        <v>68</v>
      </c>
      <c r="N16" t="str">
        <f t="shared" si="31"/>
        <v>s</v>
      </c>
      <c r="Q16" t="str">
        <f t="shared" ref="Q16:Q79" si="47">IF(O16="","",IF(AND(N16&lt;&gt;"",OR(O16&lt;&gt;"",P16&lt;&gt;"")),N16,IF(OR(ISNUMBER(SEARCH("attemp",O16)),ISNUMBER(SEARCH("beat",O16)),ISNUMBER(SEARCH("mis",O16)),ISNUMBER(SEARCH("fail",O16)),ISNUMBER(SEARCH("loss",O16)),ISNUMBER(SEARCH("lost",O16)),ISNUMBER(SEARCH("attemp",P16)),ISNUMBER(SEARCH("mis",P16)),ISNUMBER(SEARCH("fail",P16)),ISNUMBER(SEARCH("loss",P16)),ISNUMBER(SEARCH("beat",P16)),ISNUMBER(SEARCH("lost",P16))),"u","")))</f>
        <v/>
      </c>
      <c r="S16">
        <v>6</v>
      </c>
      <c r="U16" t="str">
        <f>IF(B16=1,MAX($U$2:$U15)+1,IF(AND($T16&lt;&gt;"",$T16=$T15),$U15,IF(B16="x",U15,"")))</f>
        <v/>
      </c>
      <c r="V16" t="str">
        <f>IF(C16=1,MAX($V$2:$V15)+1,IF(AND($T16&lt;&gt;"",$T16=$T15),$U15,IF(C16="x",V15,"")))</f>
        <v/>
      </c>
      <c r="W16" t="str">
        <f t="shared" si="3"/>
        <v>h</v>
      </c>
      <c r="X16">
        <v>16</v>
      </c>
      <c r="Y16" t="b">
        <f>IF(X16&lt;&gt;"",VLOOKUP(X16,game_rosters!$C$43:$E$64,3,FALSE))</f>
        <v>0</v>
      </c>
      <c r="Z16" cm="1">
        <f t="array" ref="Z16">IFERROR(IF(_xlfn._xlws.FILTER(game_rosters!$J:$J,(game_rosters!$G:$G=events!$AN16)*(game_rosters!$J:$J=events!$X16))&gt;0,1,""),"")</f>
        <v>1</v>
      </c>
      <c r="AA16">
        <f t="shared" si="4"/>
        <v>1006</v>
      </c>
      <c r="AB16" t="str">
        <f t="shared" si="5"/>
        <v/>
      </c>
      <c r="AC16">
        <f t="shared" si="0"/>
        <v>1006</v>
      </c>
      <c r="AD16" s="6">
        <v>1</v>
      </c>
      <c r="AE16" t="s">
        <v>732</v>
      </c>
      <c r="AF16" t="s">
        <v>897</v>
      </c>
      <c r="AG16" t="s">
        <v>756</v>
      </c>
      <c r="AH16" t="s">
        <v>756</v>
      </c>
      <c r="AI16" t="s">
        <v>367</v>
      </c>
      <c r="AJ16" t="str">
        <f t="shared" si="6"/>
        <v/>
      </c>
      <c r="AK16" t="str">
        <f t="shared" si="7"/>
        <v/>
      </c>
      <c r="AL16" t="str">
        <f t="shared" si="8"/>
        <v/>
      </c>
      <c r="AN16" t="s">
        <v>861</v>
      </c>
      <c r="AO16" t="str">
        <f t="shared" si="9"/>
        <v>h</v>
      </c>
      <c r="AP16" t="str">
        <f t="shared" si="33"/>
        <v/>
      </c>
      <c r="AQ16" t="str">
        <f t="shared" si="34"/>
        <v/>
      </c>
      <c r="AR16" t="str">
        <f t="shared" si="35"/>
        <v>Home</v>
      </c>
      <c r="AS16" t="str">
        <f t="shared" si="36"/>
        <v>h</v>
      </c>
      <c r="AT16" t="str">
        <f t="shared" si="37"/>
        <v>Offensive</v>
      </c>
      <c r="BA16" s="6">
        <f t="shared" si="17"/>
        <v>5</v>
      </c>
      <c r="BB16">
        <f t="shared" si="18"/>
        <v>18981</v>
      </c>
      <c r="BC16" t="str">
        <f t="shared" si="19"/>
        <v>Nelson</v>
      </c>
      <c r="BD16" t="str">
        <f t="shared" si="20"/>
        <v>Velodrome</v>
      </c>
      <c r="BE16" t="s">
        <v>7</v>
      </c>
      <c r="BF16" t="s">
        <v>172</v>
      </c>
      <c r="BG16" t="s">
        <v>68</v>
      </c>
      <c r="BI16" cm="1">
        <f t="array" ref="BI16">IFERROR(_xlfn._xlws.FILTER(shifts!A:A,(shifts!B:B=events!AD16)*(shifts!AG:AG&gt;=events!BK16)*(shifts!AH:AH&lt;=events!BL16)),BI15)</f>
        <v>1</v>
      </c>
      <c r="BJ16" s="15">
        <f t="shared" si="22"/>
        <v>0</v>
      </c>
      <c r="BK16">
        <f t="shared" si="38"/>
        <v>1072</v>
      </c>
      <c r="BL16">
        <f t="shared" si="39"/>
        <v>1072</v>
      </c>
      <c r="BM16" s="15">
        <f>SUMIFS(BJ$2:BJ16,K$2:K16,"=Intermission")+SUMIFS(BJ$2:BJ16,K$2:K16,"=Timeout")</f>
        <v>0</v>
      </c>
      <c r="BN16">
        <f t="shared" si="40"/>
        <v>0</v>
      </c>
      <c r="BO16" s="19">
        <f t="shared" si="41"/>
        <v>8</v>
      </c>
      <c r="BP16">
        <f t="shared" si="42"/>
        <v>3</v>
      </c>
      <c r="BQ16" s="17">
        <f t="shared" si="43"/>
        <v>8</v>
      </c>
      <c r="BR16" t="str">
        <f t="shared" si="44"/>
        <v>event_team_player_2</v>
      </c>
      <c r="BS16">
        <f>COUNTIFS(S$3:S16,"="&amp;S16,AI$3:AI16,"="&amp;AI16)</f>
        <v>2</v>
      </c>
      <c r="BT16" t="str">
        <f>IFERROR(VLOOKUP(BB16&amp;BU16&amp;X16,game_rosters!U:W,3,FALSE),"")</f>
        <v>P100164</v>
      </c>
      <c r="BU16" t="str">
        <f t="shared" si="45"/>
        <v>Nelson</v>
      </c>
    </row>
    <row r="17" spans="1:73" x14ac:dyDescent="0.2">
      <c r="A17">
        <f t="shared" si="2"/>
        <v>1</v>
      </c>
      <c r="E17" s="4"/>
      <c r="F17" s="43"/>
      <c r="G17" s="4"/>
      <c r="H17" s="46"/>
      <c r="J17" s="44" t="str">
        <f t="shared" si="46"/>
        <v/>
      </c>
      <c r="K17" t="s">
        <v>13</v>
      </c>
      <c r="L17" t="s">
        <v>756</v>
      </c>
      <c r="M17" t="s">
        <v>756</v>
      </c>
      <c r="N17" t="str">
        <f t="shared" si="31"/>
        <v/>
      </c>
      <c r="Q17" t="str">
        <f t="shared" si="47"/>
        <v/>
      </c>
      <c r="S17">
        <v>7</v>
      </c>
      <c r="U17" t="str">
        <f>IF(B17=1,MAX($U$2:$U16)+1,IF(AND($T17&lt;&gt;"",$T17=$T16),$U16,IF(B17="x",U16,"")))</f>
        <v/>
      </c>
      <c r="V17" t="str">
        <f>IF(C17=1,MAX($V$2:$V16)+1,IF(AND($T17&lt;&gt;"",$T17=$T16),$U16,IF(C17="x",V16,"")))</f>
        <v/>
      </c>
      <c r="W17" t="str">
        <f t="shared" si="3"/>
        <v>h</v>
      </c>
      <c r="X17">
        <v>16</v>
      </c>
      <c r="Y17" t="b">
        <f>IF(X17&lt;&gt;"",VLOOKUP(X17,game_rosters!$C$43:$E$64,3,FALSE))</f>
        <v>0</v>
      </c>
      <c r="Z17" cm="1">
        <f t="array" ref="Z17">IFERROR(IF(_xlfn._xlws.FILTER(game_rosters!$J:$J,(game_rosters!$G:$G=events!$AN17)*(game_rosters!$J:$J=events!$X17))&gt;0,1,""),"")</f>
        <v>1</v>
      </c>
      <c r="AA17">
        <f t="shared" si="4"/>
        <v>1007</v>
      </c>
      <c r="AB17" t="str">
        <f t="shared" si="5"/>
        <v/>
      </c>
      <c r="AC17">
        <f t="shared" si="0"/>
        <v>1007</v>
      </c>
      <c r="AD17" s="6">
        <v>1</v>
      </c>
      <c r="AE17" t="s">
        <v>732</v>
      </c>
      <c r="AF17" t="s">
        <v>898</v>
      </c>
      <c r="AG17" t="s">
        <v>732</v>
      </c>
      <c r="AH17" t="s">
        <v>899</v>
      </c>
      <c r="AI17" t="s">
        <v>367</v>
      </c>
      <c r="AJ17" t="str">
        <f t="shared" si="6"/>
        <v/>
      </c>
      <c r="AK17" t="str">
        <f t="shared" si="7"/>
        <v/>
      </c>
      <c r="AL17" t="str">
        <f t="shared" si="8"/>
        <v/>
      </c>
      <c r="AN17" t="s">
        <v>861</v>
      </c>
      <c r="AO17" t="str">
        <f t="shared" si="9"/>
        <v>h</v>
      </c>
      <c r="AP17" t="str">
        <f t="shared" si="33"/>
        <v/>
      </c>
      <c r="AQ17" t="str">
        <f t="shared" si="34"/>
        <v/>
      </c>
      <c r="AR17" t="str">
        <f t="shared" si="35"/>
        <v>Home</v>
      </c>
      <c r="AS17" t="str">
        <f t="shared" si="36"/>
        <v>h</v>
      </c>
      <c r="AT17" t="str">
        <f t="shared" si="37"/>
        <v>Offensive</v>
      </c>
      <c r="BA17" s="6">
        <f t="shared" si="17"/>
        <v>5</v>
      </c>
      <c r="BB17">
        <f t="shared" si="18"/>
        <v>18981</v>
      </c>
      <c r="BC17" t="str">
        <f t="shared" si="19"/>
        <v>Nelson</v>
      </c>
      <c r="BD17" t="str">
        <f t="shared" si="20"/>
        <v>Velodrome</v>
      </c>
      <c r="BE17" t="s">
        <v>13</v>
      </c>
      <c r="BF17" t="s">
        <v>756</v>
      </c>
      <c r="BG17" t="s">
        <v>756</v>
      </c>
      <c r="BI17" cm="1">
        <f t="array" ref="BI17">IFERROR(_xlfn._xlws.FILTER(shifts!A:A,(shifts!B:B=events!AD17)*(shifts!AG:AG&gt;=events!BK17)*(shifts!AH:AH&lt;=events!BL17)),BI16)</f>
        <v>1</v>
      </c>
      <c r="BJ17" s="15">
        <f t="shared" si="22"/>
        <v>3</v>
      </c>
      <c r="BK17">
        <f t="shared" si="38"/>
        <v>1071</v>
      </c>
      <c r="BL17">
        <f t="shared" si="39"/>
        <v>1068</v>
      </c>
      <c r="BM17" s="15">
        <f>SUMIFS(BJ$2:BJ17,K$2:K17,"=Intermission")+SUMIFS(BJ$2:BJ17,K$2:K17,"=Timeout")</f>
        <v>0</v>
      </c>
      <c r="BN17">
        <f t="shared" si="40"/>
        <v>0</v>
      </c>
      <c r="BO17" s="19">
        <f t="shared" si="41"/>
        <v>9</v>
      </c>
      <c r="BP17">
        <f t="shared" si="42"/>
        <v>4</v>
      </c>
      <c r="BQ17" s="17">
        <f t="shared" si="43"/>
        <v>12</v>
      </c>
      <c r="BR17" t="str">
        <f t="shared" si="44"/>
        <v>event_team_player_1</v>
      </c>
      <c r="BS17">
        <f>COUNTIFS(S$3:S17,"="&amp;S17,AI$3:AI17,"="&amp;AI17)</f>
        <v>1</v>
      </c>
      <c r="BT17" t="str">
        <f>IFERROR(VLOOKUP(BB17&amp;BU17&amp;X17,game_rosters!U:W,3,FALSE),"")</f>
        <v>P100164</v>
      </c>
      <c r="BU17" t="str">
        <f t="shared" si="45"/>
        <v>Nelson</v>
      </c>
    </row>
    <row r="18" spans="1:73" x14ac:dyDescent="0.2">
      <c r="A18">
        <f t="shared" si="2"/>
        <v>1</v>
      </c>
      <c r="E18" s="4"/>
      <c r="F18" s="43"/>
      <c r="G18" s="4"/>
      <c r="H18" s="46"/>
      <c r="J18" s="44" t="str">
        <f t="shared" si="46"/>
        <v/>
      </c>
      <c r="K18" t="s">
        <v>13</v>
      </c>
      <c r="L18" t="s">
        <v>756</v>
      </c>
      <c r="M18" t="s">
        <v>756</v>
      </c>
      <c r="N18" t="str">
        <f t="shared" si="31"/>
        <v/>
      </c>
      <c r="Q18" t="str">
        <f t="shared" si="47"/>
        <v/>
      </c>
      <c r="S18">
        <v>7</v>
      </c>
      <c r="U18" t="str">
        <f>IF(B18=1,MAX($U$2:$U17)+1,IF(AND($T18&lt;&gt;"",$T18=$T17),$U17,IF(B18="x",U17,"")))</f>
        <v/>
      </c>
      <c r="V18" t="str">
        <f>IF(C18=1,MAX($V$2:$V17)+1,IF(AND($T18&lt;&gt;"",$T18=$T17),$U17,IF(C18="x",V17,"")))</f>
        <v/>
      </c>
      <c r="W18" t="str">
        <f t="shared" si="3"/>
        <v>h</v>
      </c>
      <c r="X18">
        <v>70</v>
      </c>
      <c r="Y18" t="e">
        <f>IF(X18&lt;&gt;"",VLOOKUP(X18,game_rosters!$C$43:$E$64,3,FALSE))</f>
        <v>#N/A</v>
      </c>
      <c r="Z18" t="str" cm="1">
        <f t="array" ref="Z18">IFERROR(IF(_xlfn._xlws.FILTER(game_rosters!$J:$J,(game_rosters!$G:$G=events!$AN18)*(game_rosters!$J:$J=events!$X18))&gt;0,1,""),"")</f>
        <v/>
      </c>
      <c r="AA18">
        <f t="shared" si="4"/>
        <v>1007</v>
      </c>
      <c r="AB18" t="str">
        <f t="shared" si="5"/>
        <v/>
      </c>
      <c r="AC18">
        <f t="shared" si="0"/>
        <v>1007</v>
      </c>
      <c r="AD18" s="6">
        <v>1</v>
      </c>
      <c r="AE18" t="s">
        <v>732</v>
      </c>
      <c r="AF18" t="s">
        <v>898</v>
      </c>
      <c r="AG18" t="s">
        <v>732</v>
      </c>
      <c r="AH18" t="s">
        <v>899</v>
      </c>
      <c r="AI18" t="s">
        <v>368</v>
      </c>
      <c r="AJ18" t="str">
        <f t="shared" si="6"/>
        <v/>
      </c>
      <c r="AK18" t="str">
        <f t="shared" si="7"/>
        <v/>
      </c>
      <c r="AL18" t="str">
        <f t="shared" si="8"/>
        <v/>
      </c>
      <c r="AN18" t="s">
        <v>861</v>
      </c>
      <c r="AO18" t="str">
        <f t="shared" si="9"/>
        <v>h</v>
      </c>
      <c r="AP18" t="str">
        <f t="shared" si="33"/>
        <v/>
      </c>
      <c r="AQ18" t="str">
        <f t="shared" si="34"/>
        <v/>
      </c>
      <c r="AR18" t="str">
        <f t="shared" si="35"/>
        <v>Home</v>
      </c>
      <c r="AS18" t="str">
        <f t="shared" si="36"/>
        <v>h</v>
      </c>
      <c r="AT18" t="str">
        <f t="shared" si="37"/>
        <v>Defensive</v>
      </c>
      <c r="BA18" s="6">
        <f t="shared" si="17"/>
        <v>5</v>
      </c>
      <c r="BB18">
        <f t="shared" si="18"/>
        <v>18981</v>
      </c>
      <c r="BC18" t="str">
        <f t="shared" si="19"/>
        <v>Nelson</v>
      </c>
      <c r="BD18" t="str">
        <f t="shared" si="20"/>
        <v>Velodrome</v>
      </c>
      <c r="BE18" t="s">
        <v>13</v>
      </c>
      <c r="BF18" t="s">
        <v>756</v>
      </c>
      <c r="BG18" t="s">
        <v>756</v>
      </c>
      <c r="BI18" cm="1">
        <f t="array" ref="BI18">IFERROR(_xlfn._xlws.FILTER(shifts!A:A,(shifts!B:B=events!AD18)*(shifts!AG:AG&gt;=events!BK18)*(shifts!AH:AH&lt;=events!BL18)),BI17)</f>
        <v>1</v>
      </c>
      <c r="BJ18" s="15">
        <f t="shared" si="22"/>
        <v>3</v>
      </c>
      <c r="BK18">
        <f t="shared" si="38"/>
        <v>1071</v>
      </c>
      <c r="BL18">
        <f t="shared" si="39"/>
        <v>1068</v>
      </c>
      <c r="BM18" s="15">
        <f>SUMIFS(BJ$2:BJ18,K$2:K18,"=Intermission")+SUMIFS(BJ$2:BJ18,K$2:K18,"=Timeout")</f>
        <v>0</v>
      </c>
      <c r="BN18">
        <f t="shared" si="40"/>
        <v>0</v>
      </c>
      <c r="BO18" s="19">
        <f t="shared" si="41"/>
        <v>9</v>
      </c>
      <c r="BP18">
        <f t="shared" si="42"/>
        <v>4</v>
      </c>
      <c r="BQ18" s="17">
        <f t="shared" si="43"/>
        <v>12</v>
      </c>
      <c r="BR18" t="str">
        <f t="shared" si="44"/>
        <v>opp_team_player_1</v>
      </c>
      <c r="BS18">
        <f>COUNTIFS(S$3:S18,"="&amp;S18,AI$3:AI18,"="&amp;AI18)</f>
        <v>1</v>
      </c>
      <c r="BT18" t="str">
        <f>IFERROR(VLOOKUP(BB18&amp;BU18&amp;X18,game_rosters!U:W,3,FALSE),"")</f>
        <v>P100001</v>
      </c>
      <c r="BU18" t="str">
        <f t="shared" si="45"/>
        <v>Velodrome</v>
      </c>
    </row>
    <row r="19" spans="1:73" x14ac:dyDescent="0.2">
      <c r="A19">
        <f t="shared" si="2"/>
        <v>1</v>
      </c>
      <c r="E19" s="4"/>
      <c r="F19" s="43"/>
      <c r="G19" s="4"/>
      <c r="H19" s="46"/>
      <c r="J19" s="44" t="str">
        <f t="shared" si="46"/>
        <v/>
      </c>
      <c r="K19" t="s">
        <v>9</v>
      </c>
      <c r="L19" t="s">
        <v>173</v>
      </c>
      <c r="M19" t="s">
        <v>71</v>
      </c>
      <c r="N19" t="str">
        <f t="shared" si="31"/>
        <v>u</v>
      </c>
      <c r="Q19" t="str">
        <f t="shared" si="47"/>
        <v/>
      </c>
      <c r="S19">
        <v>8</v>
      </c>
      <c r="U19" t="str">
        <f>IF(B19=1,MAX($U$2:$U18)+1,IF(AND($T19&lt;&gt;"",$T19=$T18),$U18,IF(B19="x",U18,"")))</f>
        <v/>
      </c>
      <c r="V19" t="str">
        <f>IF(C19=1,MAX($V$2:$V18)+1,IF(AND($T19&lt;&gt;"",$T19=$T18),$U18,IF(C19="x",V18,"")))</f>
        <v/>
      </c>
      <c r="W19" t="str">
        <f t="shared" si="3"/>
        <v>h</v>
      </c>
      <c r="X19">
        <v>16</v>
      </c>
      <c r="Y19" t="b">
        <f>IF(X19&lt;&gt;"",VLOOKUP(X19,game_rosters!$C$43:$E$64,3,FALSE))</f>
        <v>0</v>
      </c>
      <c r="Z19" cm="1">
        <f t="array" ref="Z19">IFERROR(IF(_xlfn._xlws.FILTER(game_rosters!$J:$J,(game_rosters!$G:$G=events!$AN19)*(game_rosters!$J:$J=events!$X19))&gt;0,1,""),"")</f>
        <v>1</v>
      </c>
      <c r="AA19">
        <f t="shared" si="4"/>
        <v>1008</v>
      </c>
      <c r="AB19" t="str">
        <f t="shared" si="5"/>
        <v/>
      </c>
      <c r="AC19">
        <f t="shared" si="0"/>
        <v>1008</v>
      </c>
      <c r="AD19" s="6">
        <v>1</v>
      </c>
      <c r="AE19" t="s">
        <v>732</v>
      </c>
      <c r="AF19" t="s">
        <v>899</v>
      </c>
      <c r="AG19" t="s">
        <v>756</v>
      </c>
      <c r="AH19" t="s">
        <v>756</v>
      </c>
      <c r="AI19" t="s">
        <v>367</v>
      </c>
      <c r="AJ19" t="str">
        <f t="shared" si="6"/>
        <v/>
      </c>
      <c r="AK19" t="str">
        <f t="shared" si="7"/>
        <v/>
      </c>
      <c r="AL19" t="str">
        <f t="shared" si="8"/>
        <v/>
      </c>
      <c r="AN19" t="s">
        <v>861</v>
      </c>
      <c r="AO19" t="str">
        <f t="shared" si="9"/>
        <v>h</v>
      </c>
      <c r="AP19" t="str">
        <f t="shared" si="33"/>
        <v/>
      </c>
      <c r="AQ19" t="str">
        <f t="shared" si="34"/>
        <v/>
      </c>
      <c r="AR19" t="str">
        <f t="shared" si="35"/>
        <v>Home</v>
      </c>
      <c r="AS19" t="str">
        <f t="shared" si="36"/>
        <v>h</v>
      </c>
      <c r="AT19" t="str">
        <f t="shared" si="37"/>
        <v>Offensive</v>
      </c>
      <c r="BA19" s="6">
        <f t="shared" si="17"/>
        <v>5</v>
      </c>
      <c r="BB19">
        <f t="shared" si="18"/>
        <v>18981</v>
      </c>
      <c r="BC19" t="str">
        <f t="shared" si="19"/>
        <v>Nelson</v>
      </c>
      <c r="BD19" t="str">
        <f t="shared" si="20"/>
        <v>Velodrome</v>
      </c>
      <c r="BE19" t="s">
        <v>9</v>
      </c>
      <c r="BF19" t="s">
        <v>173</v>
      </c>
      <c r="BG19" t="s">
        <v>71</v>
      </c>
      <c r="BI19" cm="1">
        <f t="array" ref="BI19">IFERROR(_xlfn._xlws.FILTER(shifts!A:A,(shifts!B:B=events!AD19)*(shifts!AG:AG&gt;=events!BK19)*(shifts!AH:AH&lt;=events!BL19)),BI18)</f>
        <v>1</v>
      </c>
      <c r="BJ19" s="15">
        <f t="shared" si="22"/>
        <v>0</v>
      </c>
      <c r="BK19">
        <f t="shared" si="38"/>
        <v>1068</v>
      </c>
      <c r="BL19">
        <f t="shared" si="39"/>
        <v>1068</v>
      </c>
      <c r="BM19" s="15">
        <f>SUMIFS(BJ$2:BJ19,K$2:K19,"=Intermission")+SUMIFS(BJ$2:BJ19,K$2:K19,"=Timeout")</f>
        <v>0</v>
      </c>
      <c r="BN19">
        <f t="shared" si="40"/>
        <v>0</v>
      </c>
      <c r="BO19" s="19">
        <f t="shared" si="41"/>
        <v>12</v>
      </c>
      <c r="BP19">
        <f t="shared" si="42"/>
        <v>7</v>
      </c>
      <c r="BQ19" s="17">
        <f t="shared" si="43"/>
        <v>12</v>
      </c>
      <c r="BR19" t="str">
        <f t="shared" si="44"/>
        <v>event_team_player_1</v>
      </c>
      <c r="BS19">
        <f>COUNTIFS(S$3:S19,"="&amp;S19,AI$3:AI19,"="&amp;AI19)</f>
        <v>1</v>
      </c>
      <c r="BT19" t="str">
        <f>IFERROR(VLOOKUP(BB19&amp;BU19&amp;X19,game_rosters!U:W,3,FALSE),"")</f>
        <v>P100164</v>
      </c>
      <c r="BU19" t="str">
        <f t="shared" si="45"/>
        <v>Nelson</v>
      </c>
    </row>
    <row r="20" spans="1:73" x14ac:dyDescent="0.2">
      <c r="A20">
        <f t="shared" si="2"/>
        <v>1</v>
      </c>
      <c r="E20" s="4"/>
      <c r="F20" s="43"/>
      <c r="G20" s="4"/>
      <c r="H20" s="46"/>
      <c r="J20" s="44" t="str">
        <f t="shared" si="46"/>
        <v/>
      </c>
      <c r="K20" t="s">
        <v>9</v>
      </c>
      <c r="L20" t="s">
        <v>173</v>
      </c>
      <c r="M20" t="s">
        <v>71</v>
      </c>
      <c r="N20" t="str">
        <f t="shared" si="31"/>
        <v>u</v>
      </c>
      <c r="Q20" t="str">
        <f t="shared" si="47"/>
        <v/>
      </c>
      <c r="S20">
        <v>8</v>
      </c>
      <c r="U20" t="str">
        <f>IF(B20=1,MAX($U$2:$U19)+1,IF(AND($T20&lt;&gt;"",$T20=$T19),$U19,IF(B20="x",U19,"")))</f>
        <v/>
      </c>
      <c r="V20" t="str">
        <f>IF(C20=1,MAX($V$2:$V19)+1,IF(AND($T20&lt;&gt;"",$T20=$T19),$U19,IF(C20="x",V19,"")))</f>
        <v/>
      </c>
      <c r="W20" t="str">
        <f t="shared" si="3"/>
        <v>h</v>
      </c>
      <c r="X20">
        <v>70</v>
      </c>
      <c r="Y20" t="e">
        <f>IF(X20&lt;&gt;"",VLOOKUP(X20,game_rosters!$C$43:$E$64,3,FALSE))</f>
        <v>#N/A</v>
      </c>
      <c r="Z20" t="str" cm="1">
        <f t="array" ref="Z20">IFERROR(IF(_xlfn._xlws.FILTER(game_rosters!$J:$J,(game_rosters!$G:$G=events!$AN20)*(game_rosters!$J:$J=events!$X20))&gt;0,1,""),"")</f>
        <v/>
      </c>
      <c r="AA20">
        <f t="shared" si="4"/>
        <v>1008</v>
      </c>
      <c r="AB20" t="str">
        <f t="shared" si="5"/>
        <v/>
      </c>
      <c r="AC20">
        <f t="shared" si="0"/>
        <v>1008</v>
      </c>
      <c r="AD20" s="6">
        <v>1</v>
      </c>
      <c r="AE20" t="s">
        <v>732</v>
      </c>
      <c r="AF20" t="s">
        <v>899</v>
      </c>
      <c r="AG20" t="s">
        <v>756</v>
      </c>
      <c r="AH20" t="s">
        <v>756</v>
      </c>
      <c r="AI20" t="s">
        <v>368</v>
      </c>
      <c r="AJ20" t="str">
        <f t="shared" si="6"/>
        <v/>
      </c>
      <c r="AK20" t="str">
        <f t="shared" si="7"/>
        <v/>
      </c>
      <c r="AL20" t="str">
        <f t="shared" si="8"/>
        <v/>
      </c>
      <c r="AN20" t="s">
        <v>861</v>
      </c>
      <c r="AO20" t="str">
        <f t="shared" si="9"/>
        <v>h</v>
      </c>
      <c r="AP20" t="str">
        <f t="shared" si="33"/>
        <v/>
      </c>
      <c r="AQ20" t="str">
        <f t="shared" si="34"/>
        <v/>
      </c>
      <c r="AR20" t="str">
        <f t="shared" si="35"/>
        <v>Home</v>
      </c>
      <c r="AS20" t="str">
        <f t="shared" si="36"/>
        <v>h</v>
      </c>
      <c r="AT20" t="str">
        <f t="shared" si="37"/>
        <v>Defensive</v>
      </c>
      <c r="BA20" s="6">
        <f t="shared" si="17"/>
        <v>5</v>
      </c>
      <c r="BB20">
        <f t="shared" si="18"/>
        <v>18981</v>
      </c>
      <c r="BC20" t="str">
        <f t="shared" si="19"/>
        <v>Nelson</v>
      </c>
      <c r="BD20" t="str">
        <f t="shared" si="20"/>
        <v>Velodrome</v>
      </c>
      <c r="BE20" t="s">
        <v>9</v>
      </c>
      <c r="BF20" t="s">
        <v>173</v>
      </c>
      <c r="BG20" t="s">
        <v>71</v>
      </c>
      <c r="BI20" cm="1">
        <f t="array" ref="BI20">IFERROR(_xlfn._xlws.FILTER(shifts!A:A,(shifts!B:B=events!AD20)*(shifts!AG:AG&gt;=events!BK20)*(shifts!AH:AH&lt;=events!BL20)),BI19)</f>
        <v>1</v>
      </c>
      <c r="BJ20" s="15">
        <f t="shared" si="22"/>
        <v>0</v>
      </c>
      <c r="BK20">
        <f t="shared" si="38"/>
        <v>1068</v>
      </c>
      <c r="BL20">
        <f t="shared" si="39"/>
        <v>1068</v>
      </c>
      <c r="BM20" s="15">
        <f>SUMIFS(BJ$2:BJ20,K$2:K20,"=Intermission")+SUMIFS(BJ$2:BJ20,K$2:K20,"=Timeout")</f>
        <v>0</v>
      </c>
      <c r="BN20">
        <f t="shared" si="40"/>
        <v>0</v>
      </c>
      <c r="BO20" s="19">
        <f t="shared" si="41"/>
        <v>12</v>
      </c>
      <c r="BP20">
        <f t="shared" si="42"/>
        <v>7</v>
      </c>
      <c r="BQ20" s="17">
        <f t="shared" si="43"/>
        <v>12</v>
      </c>
      <c r="BR20" t="str">
        <f t="shared" si="44"/>
        <v>opp_team_player_1</v>
      </c>
      <c r="BS20">
        <f>COUNTIFS(S$3:S20,"="&amp;S20,AI$3:AI20,"="&amp;AI20)</f>
        <v>1</v>
      </c>
      <c r="BT20" t="str">
        <f>IFERROR(VLOOKUP(BB20&amp;BU20&amp;X20,game_rosters!U:W,3,FALSE),"")</f>
        <v>P100001</v>
      </c>
      <c r="BU20" t="str">
        <f t="shared" si="45"/>
        <v>Velodrome</v>
      </c>
    </row>
    <row r="21" spans="1:73" x14ac:dyDescent="0.2">
      <c r="A21">
        <f t="shared" si="2"/>
        <v>1</v>
      </c>
      <c r="E21" s="4"/>
      <c r="F21" s="43"/>
      <c r="G21" s="4"/>
      <c r="H21" s="46"/>
      <c r="J21" s="44" t="str">
        <f t="shared" si="46"/>
        <v/>
      </c>
      <c r="K21" t="s">
        <v>238</v>
      </c>
      <c r="L21" t="s">
        <v>193</v>
      </c>
      <c r="M21" t="s">
        <v>91</v>
      </c>
      <c r="N21" t="str">
        <f t="shared" ref="N21:N84" si="48">IF(K21="","",IF(K21="Goal","s",IF(AND(K21="Zone_Entry_Exit",OR(ISNUMBER(SEARCH("fail",L21)),ISNUMBER(SEARCH("FromExitClear",M21)),ISNUMBER(SEARCH("miss",M21)))),"u",IF(AND(K21="Zone_Entry_Exit",OR(NOT(ISNUMBER(SEARCH("fail",L21))),NOT(ISNUMBER(SEARCH("FromExitClear",M21))),NOT(ISNUMBER(SEARCH("miss",M21))))),"s",IF(AND(OR(K21="Shot",K21="Pass"),OR(ISNUMBER(SEARCH("complete",L21)),ISNUMBER(SEARCH("goal",L21)),ISNUMBER(SEARCH("OnNet",L21)))),"s",IF(L21="Turnover_Giveaway","u",IF(AND(OR(K21="Shot",K21="Pass"),OR(ISNUMBER(SEARCH("fail",L21)),NOT(ISNUMBER(SEARCH("complete",L21))),NOT(ISNUMBER(SEARCH("OnNet",L21))))),"u","")))))))</f>
        <v>s</v>
      </c>
      <c r="Q21" t="str">
        <f t="shared" si="47"/>
        <v/>
      </c>
      <c r="S21">
        <v>9</v>
      </c>
      <c r="U21" t="str">
        <f>IF(B21=1,MAX($U$2:$U20)+1,IF(AND($T21&lt;&gt;"",$T21=$T20),$U20,IF(B21="x",U20,"")))</f>
        <v/>
      </c>
      <c r="V21" t="str">
        <f>IF(C21=1,MAX($V$2:$V20)+1,IF(AND($T21&lt;&gt;"",$T21=$T20),$U20,IF(C21="x",V20,"")))</f>
        <v/>
      </c>
      <c r="W21" t="str">
        <f t="shared" si="3"/>
        <v>a</v>
      </c>
      <c r="X21">
        <v>22</v>
      </c>
      <c r="Y21" t="e">
        <f>IF(X21&lt;&gt;"",VLOOKUP(X21,game_rosters!$C$43:$E$64,3,FALSE))</f>
        <v>#N/A</v>
      </c>
      <c r="Z21" cm="1">
        <f t="array" ref="Z21">IFERROR(IF(_xlfn._xlws.FILTER(game_rosters!$J:$J,(game_rosters!$G:$G=events!$AN21)*(game_rosters!$J:$J=events!$X21))&gt;0,1,""),"")</f>
        <v>1</v>
      </c>
      <c r="AA21">
        <f t="shared" si="4"/>
        <v>1009</v>
      </c>
      <c r="AB21" t="str">
        <f t="shared" si="5"/>
        <v/>
      </c>
      <c r="AC21">
        <f t="shared" si="0"/>
        <v>1009</v>
      </c>
      <c r="AD21" s="6">
        <v>1</v>
      </c>
      <c r="AE21" t="s">
        <v>732</v>
      </c>
      <c r="AF21" t="s">
        <v>899</v>
      </c>
      <c r="AG21" t="s">
        <v>756</v>
      </c>
      <c r="AH21" t="s">
        <v>756</v>
      </c>
      <c r="AI21" t="s">
        <v>367</v>
      </c>
      <c r="AJ21" t="str">
        <f t="shared" si="6"/>
        <v/>
      </c>
      <c r="AK21" t="str">
        <f t="shared" si="7"/>
        <v/>
      </c>
      <c r="AL21" t="str">
        <f t="shared" si="8"/>
        <v/>
      </c>
      <c r="AN21" t="s">
        <v>862</v>
      </c>
      <c r="AO21" t="str">
        <f t="shared" si="9"/>
        <v>a</v>
      </c>
      <c r="AP21" t="str">
        <f t="shared" si="33"/>
        <v/>
      </c>
      <c r="AQ21" t="str">
        <f t="shared" si="34"/>
        <v/>
      </c>
      <c r="AR21" t="str">
        <f t="shared" si="35"/>
        <v>Away</v>
      </c>
      <c r="AS21" t="str">
        <f t="shared" si="36"/>
        <v>a</v>
      </c>
      <c r="AT21" t="str">
        <f t="shared" si="37"/>
        <v>Offensive</v>
      </c>
      <c r="BA21" s="6">
        <f t="shared" si="17"/>
        <v>5</v>
      </c>
      <c r="BB21">
        <f t="shared" si="18"/>
        <v>18981</v>
      </c>
      <c r="BC21" t="str">
        <f t="shared" si="19"/>
        <v>Nelson</v>
      </c>
      <c r="BD21" t="str">
        <f t="shared" si="20"/>
        <v>Velodrome</v>
      </c>
      <c r="BE21" t="s">
        <v>238</v>
      </c>
      <c r="BF21" t="s">
        <v>193</v>
      </c>
      <c r="BG21" t="s">
        <v>91</v>
      </c>
      <c r="BI21" cm="1">
        <f t="array" ref="BI21">IFERROR(_xlfn._xlws.FILTER(shifts!A:A,(shifts!B:B=events!AD21)*(shifts!AG:AG&gt;=events!BK21)*(shifts!AH:AH&lt;=events!BL21)),BI20)</f>
        <v>1</v>
      </c>
      <c r="BJ21" s="15">
        <f t="shared" si="22"/>
        <v>0</v>
      </c>
      <c r="BK21">
        <f t="shared" si="38"/>
        <v>1068</v>
      </c>
      <c r="BL21">
        <f t="shared" si="39"/>
        <v>1068</v>
      </c>
      <c r="BM21" s="15">
        <f>SUMIFS(BJ$2:BJ21,K$2:K21,"=Intermission")+SUMIFS(BJ$2:BJ21,K$2:K21,"=Timeout")</f>
        <v>0</v>
      </c>
      <c r="BN21">
        <f t="shared" si="40"/>
        <v>0</v>
      </c>
      <c r="BO21" s="19">
        <f t="shared" si="41"/>
        <v>12</v>
      </c>
      <c r="BP21">
        <f t="shared" si="42"/>
        <v>7</v>
      </c>
      <c r="BQ21" s="17">
        <f t="shared" si="43"/>
        <v>12</v>
      </c>
      <c r="BR21" t="str">
        <f t="shared" si="44"/>
        <v>event_team_player_1</v>
      </c>
      <c r="BS21">
        <f>COUNTIFS(S$3:S21,"="&amp;S21,AI$3:AI21,"="&amp;AI21)</f>
        <v>1</v>
      </c>
      <c r="BT21" t="str">
        <f>IFERROR(VLOOKUP(BB21&amp;BU21&amp;X21,game_rosters!U:W,3,FALSE),"")</f>
        <v>P100108</v>
      </c>
      <c r="BU21" t="str">
        <f t="shared" si="45"/>
        <v>Velodrome</v>
      </c>
    </row>
    <row r="22" spans="1:73" x14ac:dyDescent="0.2">
      <c r="A22">
        <f t="shared" si="2"/>
        <v>1</v>
      </c>
      <c r="E22" s="4"/>
      <c r="F22" s="43"/>
      <c r="G22" s="4"/>
      <c r="H22" s="46"/>
      <c r="J22" s="44" t="str">
        <f t="shared" si="46"/>
        <v/>
      </c>
      <c r="K22" t="s">
        <v>9</v>
      </c>
      <c r="L22" t="s">
        <v>173</v>
      </c>
      <c r="M22" t="s">
        <v>365</v>
      </c>
      <c r="N22" t="str">
        <f t="shared" si="48"/>
        <v>u</v>
      </c>
      <c r="Q22" t="str">
        <f t="shared" si="47"/>
        <v/>
      </c>
      <c r="S22">
        <v>10</v>
      </c>
      <c r="U22" t="str">
        <f>IF(B22=1,MAX($U$2:$U21)+1,IF(AND($T22&lt;&gt;"",$T22=$T21),$U21,IF(B22="x",U21,"")))</f>
        <v/>
      </c>
      <c r="V22" t="str">
        <f>IF(C22=1,MAX($V$2:$V21)+1,IF(AND($T22&lt;&gt;"",$T22=$T21),$U21,IF(C22="x",V21,"")))</f>
        <v/>
      </c>
      <c r="W22" t="str">
        <f t="shared" si="3"/>
        <v>a</v>
      </c>
      <c r="X22">
        <v>22</v>
      </c>
      <c r="Y22" t="e">
        <f>IF(X22&lt;&gt;"",VLOOKUP(X22,game_rosters!$C$43:$E$64,3,FALSE))</f>
        <v>#N/A</v>
      </c>
      <c r="Z22" cm="1">
        <f t="array" ref="Z22">IFERROR(IF(_xlfn._xlws.FILTER(game_rosters!$J:$J,(game_rosters!$G:$G=events!$AN22)*(game_rosters!$J:$J=events!$X22))&gt;0,1,""),"")</f>
        <v>1</v>
      </c>
      <c r="AA22">
        <f t="shared" si="4"/>
        <v>1010</v>
      </c>
      <c r="AB22" t="str">
        <f t="shared" si="5"/>
        <v/>
      </c>
      <c r="AC22">
        <f t="shared" si="0"/>
        <v>1010</v>
      </c>
      <c r="AD22" s="6">
        <v>1</v>
      </c>
      <c r="AE22" t="s">
        <v>732</v>
      </c>
      <c r="AF22" t="s">
        <v>899</v>
      </c>
      <c r="AG22" t="s">
        <v>756</v>
      </c>
      <c r="AH22" t="s">
        <v>756</v>
      </c>
      <c r="AI22" t="s">
        <v>367</v>
      </c>
      <c r="AJ22" t="str">
        <f t="shared" si="6"/>
        <v/>
      </c>
      <c r="AK22" t="str">
        <f t="shared" si="7"/>
        <v/>
      </c>
      <c r="AL22" t="str">
        <f t="shared" si="8"/>
        <v/>
      </c>
      <c r="AN22" t="s">
        <v>862</v>
      </c>
      <c r="AO22" t="str">
        <f t="shared" si="9"/>
        <v>a</v>
      </c>
      <c r="AP22" t="str">
        <f t="shared" si="33"/>
        <v/>
      </c>
      <c r="AQ22" t="str">
        <f t="shared" si="34"/>
        <v/>
      </c>
      <c r="AR22" t="str">
        <f t="shared" si="35"/>
        <v>Away</v>
      </c>
      <c r="AS22" t="str">
        <f t="shared" si="36"/>
        <v>a</v>
      </c>
      <c r="AT22" t="str">
        <f t="shared" si="37"/>
        <v>Offensive</v>
      </c>
      <c r="BA22" s="6">
        <f t="shared" si="17"/>
        <v>5</v>
      </c>
      <c r="BB22">
        <f t="shared" si="18"/>
        <v>18981</v>
      </c>
      <c r="BC22" t="str">
        <f t="shared" si="19"/>
        <v>Nelson</v>
      </c>
      <c r="BD22" t="str">
        <f t="shared" si="20"/>
        <v>Velodrome</v>
      </c>
      <c r="BE22" t="s">
        <v>9</v>
      </c>
      <c r="BF22" t="s">
        <v>173</v>
      </c>
      <c r="BG22" t="s">
        <v>365</v>
      </c>
      <c r="BI22" cm="1">
        <f t="array" ref="BI22">IFERROR(_xlfn._xlws.FILTER(shifts!A:A,(shifts!B:B=events!AD22)*(shifts!AG:AG&gt;=events!BK22)*(shifts!AH:AH&lt;=events!BL22)),BI21)</f>
        <v>1</v>
      </c>
      <c r="BJ22" s="15">
        <f t="shared" si="22"/>
        <v>0</v>
      </c>
      <c r="BK22">
        <f t="shared" si="38"/>
        <v>1068</v>
      </c>
      <c r="BL22">
        <f t="shared" si="39"/>
        <v>1068</v>
      </c>
      <c r="BM22" s="15">
        <f>SUMIFS(BJ$2:BJ22,K$2:K22,"=Intermission")+SUMIFS(BJ$2:BJ22,K$2:K22,"=Timeout")</f>
        <v>0</v>
      </c>
      <c r="BN22">
        <f t="shared" si="40"/>
        <v>0</v>
      </c>
      <c r="BO22" s="19">
        <f t="shared" si="41"/>
        <v>12</v>
      </c>
      <c r="BP22">
        <f t="shared" si="42"/>
        <v>7</v>
      </c>
      <c r="BQ22" s="17">
        <f t="shared" si="43"/>
        <v>12</v>
      </c>
      <c r="BR22" t="str">
        <f t="shared" si="44"/>
        <v>event_team_player_1</v>
      </c>
      <c r="BS22">
        <f>COUNTIFS(S$3:S22,"="&amp;S22,AI$3:AI22,"="&amp;AI22)</f>
        <v>1</v>
      </c>
      <c r="BT22" t="str">
        <f>IFERROR(VLOOKUP(BB22&amp;BU22&amp;X22,game_rosters!U:W,3,FALSE),"")</f>
        <v>P100108</v>
      </c>
      <c r="BU22" t="str">
        <f t="shared" si="45"/>
        <v>Velodrome</v>
      </c>
    </row>
    <row r="23" spans="1:73" x14ac:dyDescent="0.2">
      <c r="A23">
        <f t="shared" si="2"/>
        <v>1</v>
      </c>
      <c r="E23" s="4"/>
      <c r="F23" s="43"/>
      <c r="G23" s="4"/>
      <c r="H23" s="46"/>
      <c r="J23" s="44" t="str">
        <f t="shared" si="46"/>
        <v/>
      </c>
      <c r="K23" t="s">
        <v>9</v>
      </c>
      <c r="L23" t="s">
        <v>173</v>
      </c>
      <c r="M23" t="s">
        <v>365</v>
      </c>
      <c r="N23" t="str">
        <f t="shared" si="48"/>
        <v>u</v>
      </c>
      <c r="Q23" t="str">
        <f t="shared" si="47"/>
        <v/>
      </c>
      <c r="S23">
        <v>10</v>
      </c>
      <c r="U23" t="str">
        <f>IF(B23=1,MAX($U$2:$U22)+1,IF(AND($T23&lt;&gt;"",$T23=$T22),$U22,IF(B23="x",U22,"")))</f>
        <v/>
      </c>
      <c r="V23" t="str">
        <f>IF(C23=1,MAX($V$2:$V22)+1,IF(AND($T23&lt;&gt;"",$T23=$T22),$U22,IF(C23="x",V22,"")))</f>
        <v/>
      </c>
      <c r="W23" t="str">
        <f t="shared" si="3"/>
        <v>a</v>
      </c>
      <c r="X23">
        <v>16</v>
      </c>
      <c r="Y23" t="b">
        <f>IF(X23&lt;&gt;"",VLOOKUP(X23,game_rosters!$C$43:$E$64,3,FALSE))</f>
        <v>0</v>
      </c>
      <c r="Z23" t="str" cm="1">
        <f t="array" ref="Z23">IFERROR(IF(_xlfn._xlws.FILTER(game_rosters!$J:$J,(game_rosters!$G:$G=events!$AN23)*(game_rosters!$J:$J=events!$X23))&gt;0,1,""),"")</f>
        <v/>
      </c>
      <c r="AA23">
        <f t="shared" si="4"/>
        <v>1010</v>
      </c>
      <c r="AB23" t="str">
        <f t="shared" si="5"/>
        <v/>
      </c>
      <c r="AC23">
        <f t="shared" si="0"/>
        <v>1010</v>
      </c>
      <c r="AD23" s="6">
        <v>1</v>
      </c>
      <c r="AE23" t="s">
        <v>732</v>
      </c>
      <c r="AF23" t="s">
        <v>899</v>
      </c>
      <c r="AG23" t="s">
        <v>756</v>
      </c>
      <c r="AH23" t="s">
        <v>756</v>
      </c>
      <c r="AI23" t="s">
        <v>368</v>
      </c>
      <c r="AJ23" t="str">
        <f t="shared" si="6"/>
        <v/>
      </c>
      <c r="AK23" t="str">
        <f t="shared" si="7"/>
        <v/>
      </c>
      <c r="AL23" t="str">
        <f t="shared" si="8"/>
        <v/>
      </c>
      <c r="AN23" t="s">
        <v>862</v>
      </c>
      <c r="AO23" t="str">
        <f t="shared" si="9"/>
        <v>a</v>
      </c>
      <c r="AP23" t="str">
        <f t="shared" si="33"/>
        <v/>
      </c>
      <c r="AQ23" t="str">
        <f t="shared" si="34"/>
        <v/>
      </c>
      <c r="AR23" t="str">
        <f t="shared" si="35"/>
        <v>Away</v>
      </c>
      <c r="AS23" t="str">
        <f t="shared" si="36"/>
        <v>a</v>
      </c>
      <c r="AT23" t="str">
        <f t="shared" si="37"/>
        <v>Defensive</v>
      </c>
      <c r="BA23" s="6">
        <f t="shared" si="17"/>
        <v>5</v>
      </c>
      <c r="BB23">
        <f t="shared" si="18"/>
        <v>18981</v>
      </c>
      <c r="BC23" t="str">
        <f t="shared" si="19"/>
        <v>Nelson</v>
      </c>
      <c r="BD23" t="str">
        <f t="shared" si="20"/>
        <v>Velodrome</v>
      </c>
      <c r="BE23" t="s">
        <v>9</v>
      </c>
      <c r="BF23" t="s">
        <v>173</v>
      </c>
      <c r="BG23" t="s">
        <v>365</v>
      </c>
      <c r="BI23" cm="1">
        <f t="array" ref="BI23">IFERROR(_xlfn._xlws.FILTER(shifts!A:A,(shifts!B:B=events!AD23)*(shifts!AG:AG&gt;=events!BK23)*(shifts!AH:AH&lt;=events!BL23)),BI22)</f>
        <v>1</v>
      </c>
      <c r="BJ23" s="15">
        <f t="shared" si="22"/>
        <v>0</v>
      </c>
      <c r="BK23">
        <f t="shared" si="38"/>
        <v>1068</v>
      </c>
      <c r="BL23">
        <f t="shared" si="39"/>
        <v>1068</v>
      </c>
      <c r="BM23" s="15">
        <f>SUMIFS(BJ$2:BJ23,K$2:K23,"=Intermission")+SUMIFS(BJ$2:BJ23,K$2:K23,"=Timeout")</f>
        <v>0</v>
      </c>
      <c r="BN23">
        <f t="shared" si="40"/>
        <v>0</v>
      </c>
      <c r="BO23" s="19">
        <f t="shared" si="41"/>
        <v>12</v>
      </c>
      <c r="BP23">
        <f t="shared" si="42"/>
        <v>7</v>
      </c>
      <c r="BQ23" s="17">
        <f t="shared" si="43"/>
        <v>12</v>
      </c>
      <c r="BR23" t="str">
        <f t="shared" si="44"/>
        <v>opp_team_player_1</v>
      </c>
      <c r="BS23">
        <f>COUNTIFS(S$3:S23,"="&amp;S23,AI$3:AI23,"="&amp;AI23)</f>
        <v>1</v>
      </c>
      <c r="BT23" t="str">
        <f>IFERROR(VLOOKUP(BB23&amp;BU23&amp;X23,game_rosters!U:W,3,FALSE),"")</f>
        <v>P100164</v>
      </c>
      <c r="BU23" t="str">
        <f t="shared" si="45"/>
        <v>Nelson</v>
      </c>
    </row>
    <row r="24" spans="1:73" x14ac:dyDescent="0.2">
      <c r="A24">
        <f t="shared" si="2"/>
        <v>1</v>
      </c>
      <c r="E24" s="4"/>
      <c r="F24" s="43"/>
      <c r="G24" s="4"/>
      <c r="H24" s="46"/>
      <c r="J24" s="44" t="str">
        <f t="shared" si="46"/>
        <v>d</v>
      </c>
      <c r="K24" t="s">
        <v>238</v>
      </c>
      <c r="L24" t="s">
        <v>184</v>
      </c>
      <c r="M24" t="s">
        <v>88</v>
      </c>
      <c r="N24" t="str">
        <f t="shared" si="48"/>
        <v>s</v>
      </c>
      <c r="Q24" t="str">
        <f t="shared" si="47"/>
        <v/>
      </c>
      <c r="S24">
        <v>11</v>
      </c>
      <c r="U24" t="str">
        <f>IF(B24=1,MAX($U$2:$U23)+1,IF(AND($T24&lt;&gt;"",$T24=$T23),$U23,IF(B24="x",U23,"")))</f>
        <v/>
      </c>
      <c r="V24" t="str">
        <f>IF(C24=1,MAX($V$2:$V23)+1,IF(AND($T24&lt;&gt;"",$T24=$T23),$U23,IF(C24="x",V23,"")))</f>
        <v/>
      </c>
      <c r="W24" t="str">
        <f t="shared" si="3"/>
        <v>h</v>
      </c>
      <c r="X24">
        <v>16</v>
      </c>
      <c r="Y24" t="b">
        <f>IF(X24&lt;&gt;"",VLOOKUP(X24,game_rosters!$C$43:$E$64,3,FALSE))</f>
        <v>0</v>
      </c>
      <c r="Z24" cm="1">
        <f t="array" ref="Z24">IFERROR(IF(_xlfn._xlws.FILTER(game_rosters!$J:$J,(game_rosters!$G:$G=events!$AN24)*(game_rosters!$J:$J=events!$X24))&gt;0,1,""),"")</f>
        <v>1</v>
      </c>
      <c r="AA24">
        <f t="shared" si="4"/>
        <v>1011</v>
      </c>
      <c r="AB24" t="str">
        <f t="shared" si="5"/>
        <v/>
      </c>
      <c r="AC24">
        <f t="shared" si="0"/>
        <v>1011</v>
      </c>
      <c r="AD24" s="6">
        <v>1</v>
      </c>
      <c r="AE24" t="s">
        <v>732</v>
      </c>
      <c r="AF24" t="s">
        <v>900</v>
      </c>
      <c r="AG24" t="s">
        <v>732</v>
      </c>
      <c r="AH24" t="s">
        <v>737</v>
      </c>
      <c r="AI24" t="s">
        <v>367</v>
      </c>
      <c r="AJ24" t="str">
        <f t="shared" si="6"/>
        <v>d</v>
      </c>
      <c r="AK24" t="str">
        <f t="shared" si="7"/>
        <v>d</v>
      </c>
      <c r="AL24" t="str">
        <f t="shared" si="8"/>
        <v>d</v>
      </c>
      <c r="AN24" t="s">
        <v>861</v>
      </c>
      <c r="AO24" t="str">
        <f t="shared" si="9"/>
        <v>h</v>
      </c>
      <c r="AP24" t="str">
        <f t="shared" si="33"/>
        <v>d</v>
      </c>
      <c r="AQ24" t="str">
        <f t="shared" si="34"/>
        <v/>
      </c>
      <c r="AR24" t="str">
        <f t="shared" si="35"/>
        <v>Home</v>
      </c>
      <c r="AS24" t="str">
        <f t="shared" si="36"/>
        <v>h</v>
      </c>
      <c r="AT24" t="str">
        <f t="shared" si="37"/>
        <v>Offensive</v>
      </c>
      <c r="BA24" s="6">
        <f t="shared" si="17"/>
        <v>6</v>
      </c>
      <c r="BB24">
        <f t="shared" si="18"/>
        <v>18981</v>
      </c>
      <c r="BC24" t="str">
        <f t="shared" si="19"/>
        <v>Nelson</v>
      </c>
      <c r="BD24" t="str">
        <f t="shared" si="20"/>
        <v>Velodrome</v>
      </c>
      <c r="BE24" t="s">
        <v>238</v>
      </c>
      <c r="BF24" t="s">
        <v>184</v>
      </c>
      <c r="BG24" t="s">
        <v>88</v>
      </c>
      <c r="BI24" cm="1">
        <f t="array" ref="BI24">IFERROR(_xlfn._xlws.FILTER(shifts!A:A,(shifts!B:B=events!AD24)*(shifts!AG:AG&gt;=events!BK24)*(shifts!AH:AH&lt;=events!BL24)),BI23)</f>
        <v>1</v>
      </c>
      <c r="BJ24" s="15">
        <f t="shared" si="22"/>
        <v>1</v>
      </c>
      <c r="BK24">
        <f t="shared" si="38"/>
        <v>1067</v>
      </c>
      <c r="BL24">
        <f t="shared" si="39"/>
        <v>1066</v>
      </c>
      <c r="BM24" s="15">
        <f>SUMIFS(BJ$2:BJ24,K$2:K24,"=Intermission")+SUMIFS(BJ$2:BJ24,K$2:K24,"=Timeout")</f>
        <v>0</v>
      </c>
      <c r="BN24">
        <f t="shared" si="40"/>
        <v>0</v>
      </c>
      <c r="BO24" s="19">
        <f t="shared" si="41"/>
        <v>13</v>
      </c>
      <c r="BP24">
        <f t="shared" si="42"/>
        <v>8</v>
      </c>
      <c r="BQ24" s="17">
        <f t="shared" si="43"/>
        <v>14</v>
      </c>
      <c r="BR24" t="str">
        <f t="shared" si="44"/>
        <v>event_team_player_1</v>
      </c>
      <c r="BS24">
        <f>COUNTIFS(S$3:S24,"="&amp;S24,AI$3:AI24,"="&amp;AI24)</f>
        <v>1</v>
      </c>
      <c r="BT24" t="str">
        <f>IFERROR(VLOOKUP(BB24&amp;BU24&amp;X24,game_rosters!U:W,3,FALSE),"")</f>
        <v>P100164</v>
      </c>
      <c r="BU24" t="str">
        <f t="shared" si="45"/>
        <v>Nelson</v>
      </c>
    </row>
    <row r="25" spans="1:73" x14ac:dyDescent="0.2">
      <c r="A25">
        <f t="shared" si="2"/>
        <v>1</v>
      </c>
      <c r="E25" s="4"/>
      <c r="F25" s="43"/>
      <c r="G25" s="4"/>
      <c r="H25" s="46"/>
      <c r="J25" s="44" t="str">
        <f t="shared" si="46"/>
        <v>d</v>
      </c>
      <c r="K25" t="s">
        <v>238</v>
      </c>
      <c r="L25" t="s">
        <v>184</v>
      </c>
      <c r="M25" t="s">
        <v>88</v>
      </c>
      <c r="N25" t="str">
        <f t="shared" si="48"/>
        <v>s</v>
      </c>
      <c r="Q25" t="str">
        <f t="shared" si="47"/>
        <v/>
      </c>
      <c r="S25">
        <v>11</v>
      </c>
      <c r="U25" t="str">
        <f>IF(B25=1,MAX($U$2:$U24)+1,IF(AND($T25&lt;&gt;"",$T25=$T24),$U24,IF(B25="x",U24,"")))</f>
        <v/>
      </c>
      <c r="V25" t="str">
        <f>IF(C25=1,MAX($V$2:$V24)+1,IF(AND($T25&lt;&gt;"",$T25=$T24),$U24,IF(C25="x",V24,"")))</f>
        <v/>
      </c>
      <c r="W25" t="str">
        <f t="shared" si="3"/>
        <v>h</v>
      </c>
      <c r="X25">
        <v>70</v>
      </c>
      <c r="Y25" t="e">
        <f>IF(X25&lt;&gt;"",VLOOKUP(X25,game_rosters!$C$43:$E$64,3,FALSE))</f>
        <v>#N/A</v>
      </c>
      <c r="Z25" t="str" cm="1">
        <f t="array" ref="Z25">IFERROR(IF(_xlfn._xlws.FILTER(game_rosters!$J:$J,(game_rosters!$G:$G=events!$AN25)*(game_rosters!$J:$J=events!$X25))&gt;0,1,""),"")</f>
        <v/>
      </c>
      <c r="AA25">
        <f t="shared" si="4"/>
        <v>1011</v>
      </c>
      <c r="AB25" t="str">
        <f t="shared" si="5"/>
        <v/>
      </c>
      <c r="AC25">
        <f t="shared" si="0"/>
        <v>1011</v>
      </c>
      <c r="AD25" s="6">
        <v>1</v>
      </c>
      <c r="AE25" t="s">
        <v>732</v>
      </c>
      <c r="AF25" t="s">
        <v>900</v>
      </c>
      <c r="AG25" t="s">
        <v>732</v>
      </c>
      <c r="AH25" t="s">
        <v>737</v>
      </c>
      <c r="AI25" t="s">
        <v>368</v>
      </c>
      <c r="AJ25" t="str">
        <f t="shared" si="6"/>
        <v>d</v>
      </c>
      <c r="AK25" t="str">
        <f t="shared" si="7"/>
        <v>d</v>
      </c>
      <c r="AL25" t="str">
        <f t="shared" si="8"/>
        <v>d</v>
      </c>
      <c r="AN25" t="s">
        <v>861</v>
      </c>
      <c r="AO25" t="str">
        <f t="shared" si="9"/>
        <v>h</v>
      </c>
      <c r="AP25" t="str">
        <f t="shared" si="33"/>
        <v>d</v>
      </c>
      <c r="AQ25" t="str">
        <f t="shared" si="34"/>
        <v/>
      </c>
      <c r="AR25" t="str">
        <f t="shared" si="35"/>
        <v>Home</v>
      </c>
      <c r="AS25" t="str">
        <f t="shared" si="36"/>
        <v>h</v>
      </c>
      <c r="AT25" t="str">
        <f t="shared" si="37"/>
        <v>Defensive</v>
      </c>
      <c r="BA25" s="6">
        <f t="shared" si="17"/>
        <v>7</v>
      </c>
      <c r="BB25">
        <f t="shared" si="18"/>
        <v>18981</v>
      </c>
      <c r="BC25" t="str">
        <f t="shared" si="19"/>
        <v>Nelson</v>
      </c>
      <c r="BD25" t="str">
        <f t="shared" si="20"/>
        <v>Velodrome</v>
      </c>
      <c r="BE25" t="s">
        <v>238</v>
      </c>
      <c r="BF25" t="s">
        <v>184</v>
      </c>
      <c r="BG25" t="s">
        <v>88</v>
      </c>
      <c r="BI25" cm="1">
        <f t="array" ref="BI25">IFERROR(_xlfn._xlws.FILTER(shifts!A:A,(shifts!B:B=events!AD25)*(shifts!AG:AG&gt;=events!BK25)*(shifts!AH:AH&lt;=events!BL25)),BI24)</f>
        <v>1</v>
      </c>
      <c r="BJ25" s="15">
        <f t="shared" si="22"/>
        <v>1</v>
      </c>
      <c r="BK25">
        <f t="shared" si="38"/>
        <v>1067</v>
      </c>
      <c r="BL25">
        <f t="shared" si="39"/>
        <v>1066</v>
      </c>
      <c r="BM25" s="15">
        <f>SUMIFS(BJ$2:BJ25,K$2:K25,"=Intermission")+SUMIFS(BJ$2:BJ25,K$2:K25,"=Timeout")</f>
        <v>0</v>
      </c>
      <c r="BN25">
        <f t="shared" si="40"/>
        <v>0</v>
      </c>
      <c r="BO25" s="19">
        <f t="shared" si="41"/>
        <v>13</v>
      </c>
      <c r="BP25">
        <f t="shared" si="42"/>
        <v>8</v>
      </c>
      <c r="BQ25" s="17">
        <f t="shared" si="43"/>
        <v>14</v>
      </c>
      <c r="BR25" t="str">
        <f t="shared" si="44"/>
        <v>opp_team_player_1</v>
      </c>
      <c r="BS25">
        <f>COUNTIFS(S$3:S25,"="&amp;S25,AI$3:AI25,"="&amp;AI25)</f>
        <v>1</v>
      </c>
      <c r="BT25" t="str">
        <f>IFERROR(VLOOKUP(BB25&amp;BU25&amp;X25,game_rosters!U:W,3,FALSE),"")</f>
        <v>P100001</v>
      </c>
      <c r="BU25" t="str">
        <f t="shared" si="45"/>
        <v>Velodrome</v>
      </c>
    </row>
    <row r="26" spans="1:73" x14ac:dyDescent="0.2">
      <c r="A26">
        <f t="shared" si="2"/>
        <v>1</v>
      </c>
      <c r="E26" s="4"/>
      <c r="F26" s="43"/>
      <c r="G26" s="4"/>
      <c r="H26" s="46"/>
      <c r="J26" s="44" t="str">
        <f t="shared" si="46"/>
        <v/>
      </c>
      <c r="K26" t="s">
        <v>13</v>
      </c>
      <c r="L26" t="s">
        <v>756</v>
      </c>
      <c r="M26" t="s">
        <v>756</v>
      </c>
      <c r="N26" t="str">
        <f t="shared" si="48"/>
        <v/>
      </c>
      <c r="Q26" t="str">
        <f t="shared" si="47"/>
        <v/>
      </c>
      <c r="S26">
        <v>12</v>
      </c>
      <c r="U26" t="str">
        <f>IF(B26=1,MAX($U$2:$U25)+1,IF(AND($T26&lt;&gt;"",$T26=$T25),$U25,IF(B26="x",U25,"")))</f>
        <v/>
      </c>
      <c r="V26" t="str">
        <f>IF(C26=1,MAX($V$2:$V25)+1,IF(AND($T26&lt;&gt;"",$T26=$T25),$U25,IF(C26="x",V25,"")))</f>
        <v/>
      </c>
      <c r="W26" t="str">
        <f t="shared" si="3"/>
        <v>h</v>
      </c>
      <c r="X26">
        <v>16</v>
      </c>
      <c r="Y26" t="b">
        <f>IF(X26&lt;&gt;"",VLOOKUP(X26,game_rosters!$C$43:$E$64,3,FALSE))</f>
        <v>0</v>
      </c>
      <c r="Z26" cm="1">
        <f t="array" ref="Z26">IFERROR(IF(_xlfn._xlws.FILTER(game_rosters!$J:$J,(game_rosters!$G:$G=events!$AN26)*(game_rosters!$J:$J=events!$X26))&gt;0,1,""),"")</f>
        <v>1</v>
      </c>
      <c r="AA26">
        <f t="shared" si="4"/>
        <v>1012</v>
      </c>
      <c r="AB26" t="str">
        <f t="shared" si="5"/>
        <v/>
      </c>
      <c r="AC26">
        <f t="shared" si="0"/>
        <v>1012</v>
      </c>
      <c r="AD26" s="6">
        <v>1</v>
      </c>
      <c r="AE26" t="s">
        <v>732</v>
      </c>
      <c r="AF26" t="s">
        <v>737</v>
      </c>
      <c r="AG26" t="s">
        <v>732</v>
      </c>
      <c r="AH26" t="s">
        <v>901</v>
      </c>
      <c r="AI26" t="s">
        <v>367</v>
      </c>
      <c r="AJ26" t="str">
        <f t="shared" si="6"/>
        <v/>
      </c>
      <c r="AK26" t="str">
        <f t="shared" si="7"/>
        <v/>
      </c>
      <c r="AL26" t="str">
        <f t="shared" si="8"/>
        <v/>
      </c>
      <c r="AN26" t="s">
        <v>861</v>
      </c>
      <c r="AO26" t="str">
        <f t="shared" si="9"/>
        <v>h</v>
      </c>
      <c r="AP26" t="str">
        <f t="shared" si="33"/>
        <v/>
      </c>
      <c r="AQ26" t="str">
        <f t="shared" si="34"/>
        <v/>
      </c>
      <c r="AR26" t="str">
        <f t="shared" si="35"/>
        <v>Home</v>
      </c>
      <c r="AS26" t="str">
        <f t="shared" si="36"/>
        <v>h</v>
      </c>
      <c r="AT26" t="str">
        <f t="shared" si="37"/>
        <v>Offensive</v>
      </c>
      <c r="BA26" s="6">
        <f t="shared" si="17"/>
        <v>7</v>
      </c>
      <c r="BB26">
        <f t="shared" si="18"/>
        <v>18981</v>
      </c>
      <c r="BC26" t="str">
        <f t="shared" si="19"/>
        <v>Nelson</v>
      </c>
      <c r="BD26" t="str">
        <f t="shared" si="20"/>
        <v>Velodrome</v>
      </c>
      <c r="BE26" t="s">
        <v>13</v>
      </c>
      <c r="BF26" t="s">
        <v>756</v>
      </c>
      <c r="BG26" t="s">
        <v>756</v>
      </c>
      <c r="BI26" cm="1">
        <f t="array" ref="BI26">IFERROR(_xlfn._xlws.FILTER(shifts!A:A,(shifts!B:B=events!AD26)*(shifts!AG:AG&gt;=events!BK26)*(shifts!AH:AH&lt;=events!BL26)),BI25)</f>
        <v>1</v>
      </c>
      <c r="BJ26" s="15">
        <f t="shared" si="22"/>
        <v>3</v>
      </c>
      <c r="BK26">
        <f t="shared" si="38"/>
        <v>1066</v>
      </c>
      <c r="BL26">
        <f t="shared" si="39"/>
        <v>1063</v>
      </c>
      <c r="BM26" s="15">
        <f>SUMIFS(BJ$2:BJ26,K$2:K26,"=Intermission")+SUMIFS(BJ$2:BJ26,K$2:K26,"=Timeout")</f>
        <v>0</v>
      </c>
      <c r="BN26">
        <f t="shared" si="40"/>
        <v>0</v>
      </c>
      <c r="BO26" s="19">
        <f t="shared" si="41"/>
        <v>14</v>
      </c>
      <c r="BP26">
        <f t="shared" si="42"/>
        <v>9</v>
      </c>
      <c r="BQ26" s="17">
        <f t="shared" si="43"/>
        <v>17</v>
      </c>
      <c r="BR26" t="str">
        <f t="shared" si="44"/>
        <v>event_team_player_1</v>
      </c>
      <c r="BS26">
        <f>COUNTIFS(S$3:S26,"="&amp;S26,AI$3:AI26,"="&amp;AI26)</f>
        <v>1</v>
      </c>
      <c r="BT26" t="str">
        <f>IFERROR(VLOOKUP(BB26&amp;BU26&amp;X26,game_rosters!U:W,3,FALSE),"")</f>
        <v>P100164</v>
      </c>
      <c r="BU26" t="str">
        <f t="shared" si="45"/>
        <v>Nelson</v>
      </c>
    </row>
    <row r="27" spans="1:73" x14ac:dyDescent="0.2">
      <c r="A27">
        <f t="shared" si="2"/>
        <v>1</v>
      </c>
      <c r="E27" s="4"/>
      <c r="F27" s="43"/>
      <c r="G27" s="4"/>
      <c r="H27" s="46"/>
      <c r="J27" s="44" t="str">
        <f t="shared" si="46"/>
        <v>o</v>
      </c>
      <c r="K27" t="s">
        <v>238</v>
      </c>
      <c r="L27" t="s">
        <v>174</v>
      </c>
      <c r="M27" t="s">
        <v>85</v>
      </c>
      <c r="N27" t="str">
        <f t="shared" si="48"/>
        <v>s</v>
      </c>
      <c r="Q27" t="str">
        <f t="shared" si="47"/>
        <v/>
      </c>
      <c r="S27">
        <v>13</v>
      </c>
      <c r="U27" t="str">
        <f>IF(B27=1,MAX($U$2:$U26)+1,IF(AND($T27&lt;&gt;"",$T27=$T26),$U26,IF(B27="x",U26,"")))</f>
        <v/>
      </c>
      <c r="V27" t="str">
        <f>IF(C27=1,MAX($V$2:$V26)+1,IF(AND($T27&lt;&gt;"",$T27=$T26),$U26,IF(C27="x",V26,"")))</f>
        <v/>
      </c>
      <c r="W27" t="str">
        <f t="shared" si="3"/>
        <v>h</v>
      </c>
      <c r="X27">
        <v>16</v>
      </c>
      <c r="Y27" t="b">
        <f>IF(X27&lt;&gt;"",VLOOKUP(X27,game_rosters!$C$43:$E$64,3,FALSE))</f>
        <v>0</v>
      </c>
      <c r="Z27" cm="1">
        <f t="array" ref="Z27">IFERROR(IF(_xlfn._xlws.FILTER(game_rosters!$J:$J,(game_rosters!$G:$G=events!$AN27)*(game_rosters!$J:$J=events!$X27))&gt;0,1,""),"")</f>
        <v>1</v>
      </c>
      <c r="AA27">
        <f t="shared" si="4"/>
        <v>1013</v>
      </c>
      <c r="AB27" t="str">
        <f t="shared" si="5"/>
        <v/>
      </c>
      <c r="AC27">
        <f t="shared" si="0"/>
        <v>1013</v>
      </c>
      <c r="AD27" s="6">
        <v>1</v>
      </c>
      <c r="AE27" t="s">
        <v>732</v>
      </c>
      <c r="AF27" t="s">
        <v>901</v>
      </c>
      <c r="AG27" t="s">
        <v>732</v>
      </c>
      <c r="AH27" t="s">
        <v>902</v>
      </c>
      <c r="AI27" t="s">
        <v>367</v>
      </c>
      <c r="AJ27" t="str">
        <f t="shared" si="6"/>
        <v>o</v>
      </c>
      <c r="AK27" t="str">
        <f t="shared" si="7"/>
        <v>o</v>
      </c>
      <c r="AL27" t="str">
        <f t="shared" si="8"/>
        <v>o</v>
      </c>
      <c r="AN27" t="s">
        <v>861</v>
      </c>
      <c r="AO27" t="str">
        <f t="shared" si="9"/>
        <v>h</v>
      </c>
      <c r="AP27" t="str">
        <f t="shared" si="33"/>
        <v>o</v>
      </c>
      <c r="AQ27" t="str">
        <f t="shared" si="34"/>
        <v/>
      </c>
      <c r="AR27" t="str">
        <f t="shared" si="35"/>
        <v>Home</v>
      </c>
      <c r="AS27" t="str">
        <f t="shared" si="36"/>
        <v>h</v>
      </c>
      <c r="AT27" t="str">
        <f t="shared" si="37"/>
        <v>Offensive</v>
      </c>
      <c r="BA27" s="6">
        <f t="shared" si="17"/>
        <v>8</v>
      </c>
      <c r="BB27">
        <f t="shared" si="18"/>
        <v>18981</v>
      </c>
      <c r="BC27" t="str">
        <f t="shared" si="19"/>
        <v>Nelson</v>
      </c>
      <c r="BD27" t="str">
        <f t="shared" si="20"/>
        <v>Velodrome</v>
      </c>
      <c r="BE27" t="s">
        <v>238</v>
      </c>
      <c r="BF27" t="s">
        <v>174</v>
      </c>
      <c r="BG27" t="s">
        <v>85</v>
      </c>
      <c r="BI27" cm="1">
        <f t="array" ref="BI27">IFERROR(_xlfn._xlws.FILTER(shifts!A:A,(shifts!B:B=events!AD27)*(shifts!AG:AG&gt;=events!BK27)*(shifts!AH:AH&lt;=events!BL27)),BI26)</f>
        <v>1</v>
      </c>
      <c r="BJ27" s="15">
        <f t="shared" si="22"/>
        <v>1</v>
      </c>
      <c r="BK27">
        <f t="shared" si="38"/>
        <v>1063</v>
      </c>
      <c r="BL27">
        <f t="shared" si="39"/>
        <v>1062</v>
      </c>
      <c r="BM27" s="15">
        <f>SUMIFS(BJ$2:BJ27,K$2:K27,"=Intermission")+SUMIFS(BJ$2:BJ27,K$2:K27,"=Timeout")</f>
        <v>0</v>
      </c>
      <c r="BN27">
        <f t="shared" si="40"/>
        <v>0</v>
      </c>
      <c r="BO27" s="19">
        <f t="shared" si="41"/>
        <v>17</v>
      </c>
      <c r="BP27">
        <f t="shared" si="42"/>
        <v>12</v>
      </c>
      <c r="BQ27" s="17">
        <f t="shared" si="43"/>
        <v>18</v>
      </c>
      <c r="BR27" t="str">
        <f t="shared" si="44"/>
        <v>event_team_player_1</v>
      </c>
      <c r="BS27">
        <f>COUNTIFS(S$3:S27,"="&amp;S27,AI$3:AI27,"="&amp;AI27)</f>
        <v>1</v>
      </c>
      <c r="BT27" t="str">
        <f>IFERROR(VLOOKUP(BB27&amp;BU27&amp;X27,game_rosters!U:W,3,FALSE),"")</f>
        <v>P100164</v>
      </c>
      <c r="BU27" t="str">
        <f t="shared" si="45"/>
        <v>Nelson</v>
      </c>
    </row>
    <row r="28" spans="1:73" x14ac:dyDescent="0.2">
      <c r="A28">
        <f t="shared" si="2"/>
        <v>1</v>
      </c>
      <c r="E28" s="4"/>
      <c r="F28" s="43"/>
      <c r="G28" s="4"/>
      <c r="H28" s="46"/>
      <c r="J28" s="44" t="str">
        <f t="shared" si="46"/>
        <v>o</v>
      </c>
      <c r="K28" t="s">
        <v>238</v>
      </c>
      <c r="L28" t="s">
        <v>174</v>
      </c>
      <c r="M28" t="s">
        <v>85</v>
      </c>
      <c r="N28" t="str">
        <f t="shared" si="48"/>
        <v>s</v>
      </c>
      <c r="Q28" t="str">
        <f t="shared" si="47"/>
        <v/>
      </c>
      <c r="S28">
        <v>13</v>
      </c>
      <c r="U28" t="str">
        <f>IF(B28=1,MAX($U$2:$U27)+1,IF(AND($T28&lt;&gt;"",$T28=$T27),$U27,IF(B28="x",U27,"")))</f>
        <v/>
      </c>
      <c r="V28" t="str">
        <f>IF(C28=1,MAX($V$2:$V27)+1,IF(AND($T28&lt;&gt;"",$T28=$T27),$U27,IF(C28="x",V27,"")))</f>
        <v/>
      </c>
      <c r="W28" t="str">
        <f t="shared" si="3"/>
        <v>h</v>
      </c>
      <c r="X28">
        <v>10</v>
      </c>
      <c r="Y28" t="b">
        <f>IF(X28&lt;&gt;"",VLOOKUP(X28,game_rosters!$C$43:$E$64,3,FALSE))</f>
        <v>0</v>
      </c>
      <c r="Z28" cm="1">
        <f t="array" ref="Z28">IFERROR(IF(_xlfn._xlws.FILTER(game_rosters!$J:$J,(game_rosters!$G:$G=events!$AN28)*(game_rosters!$J:$J=events!$X28))&gt;0,1,""),"")</f>
        <v>1</v>
      </c>
      <c r="AA28">
        <f t="shared" si="4"/>
        <v>1013</v>
      </c>
      <c r="AB28" t="str">
        <f t="shared" si="5"/>
        <v/>
      </c>
      <c r="AC28">
        <f t="shared" si="0"/>
        <v>1013</v>
      </c>
      <c r="AD28" s="6">
        <v>1</v>
      </c>
      <c r="AE28" t="s">
        <v>732</v>
      </c>
      <c r="AF28" t="s">
        <v>901</v>
      </c>
      <c r="AG28" t="s">
        <v>732</v>
      </c>
      <c r="AH28" t="s">
        <v>902</v>
      </c>
      <c r="AI28" t="s">
        <v>367</v>
      </c>
      <c r="AJ28" t="str">
        <f t="shared" si="6"/>
        <v>o</v>
      </c>
      <c r="AK28" t="str">
        <f t="shared" si="7"/>
        <v>o</v>
      </c>
      <c r="AL28" t="str">
        <f t="shared" si="8"/>
        <v>o</v>
      </c>
      <c r="AN28" t="s">
        <v>861</v>
      </c>
      <c r="AO28" t="str">
        <f t="shared" si="9"/>
        <v>h</v>
      </c>
      <c r="AP28" t="str">
        <f t="shared" si="33"/>
        <v>o</v>
      </c>
      <c r="AQ28" t="str">
        <f t="shared" si="34"/>
        <v/>
      </c>
      <c r="AR28" t="str">
        <f t="shared" si="35"/>
        <v>Home</v>
      </c>
      <c r="AS28" t="str">
        <f t="shared" si="36"/>
        <v>h</v>
      </c>
      <c r="AT28" t="str">
        <f t="shared" si="37"/>
        <v>Offensive</v>
      </c>
      <c r="BA28" s="6">
        <f t="shared" si="17"/>
        <v>9</v>
      </c>
      <c r="BB28">
        <f t="shared" si="18"/>
        <v>18981</v>
      </c>
      <c r="BC28" t="str">
        <f t="shared" si="19"/>
        <v>Nelson</v>
      </c>
      <c r="BD28" t="str">
        <f t="shared" si="20"/>
        <v>Velodrome</v>
      </c>
      <c r="BE28" t="s">
        <v>238</v>
      </c>
      <c r="BF28" t="s">
        <v>174</v>
      </c>
      <c r="BG28" t="s">
        <v>85</v>
      </c>
      <c r="BI28" cm="1">
        <f t="array" ref="BI28">IFERROR(_xlfn._xlws.FILTER(shifts!A:A,(shifts!B:B=events!AD28)*(shifts!AG:AG&gt;=events!BK28)*(shifts!AH:AH&lt;=events!BL28)),BI27)</f>
        <v>1</v>
      </c>
      <c r="BJ28" s="15">
        <f t="shared" si="22"/>
        <v>1</v>
      </c>
      <c r="BK28">
        <f t="shared" si="38"/>
        <v>1063</v>
      </c>
      <c r="BL28">
        <f t="shared" si="39"/>
        <v>1062</v>
      </c>
      <c r="BM28" s="15">
        <f>SUMIFS(BJ$2:BJ28,K$2:K28,"=Intermission")+SUMIFS(BJ$2:BJ28,K$2:K28,"=Timeout")</f>
        <v>0</v>
      </c>
      <c r="BN28">
        <f t="shared" si="40"/>
        <v>0</v>
      </c>
      <c r="BO28" s="19">
        <f t="shared" si="41"/>
        <v>17</v>
      </c>
      <c r="BP28">
        <f t="shared" si="42"/>
        <v>12</v>
      </c>
      <c r="BQ28" s="17">
        <f t="shared" si="43"/>
        <v>18</v>
      </c>
      <c r="BR28" t="str">
        <f t="shared" si="44"/>
        <v>event_team_player_2</v>
      </c>
      <c r="BS28">
        <f>COUNTIFS(S$3:S28,"="&amp;S28,AI$3:AI28,"="&amp;AI28)</f>
        <v>2</v>
      </c>
      <c r="BT28" t="str">
        <f>IFERROR(VLOOKUP(BB28&amp;BU28&amp;X28,game_rosters!U:W,3,FALSE),"")</f>
        <v>P100078</v>
      </c>
      <c r="BU28" t="str">
        <f t="shared" si="45"/>
        <v>Nelson</v>
      </c>
    </row>
    <row r="29" spans="1:73" x14ac:dyDescent="0.2">
      <c r="A29">
        <f t="shared" si="2"/>
        <v>1</v>
      </c>
      <c r="E29" s="4"/>
      <c r="F29" s="43"/>
      <c r="G29" s="4"/>
      <c r="H29" s="46"/>
      <c r="J29" s="44" t="str">
        <f t="shared" si="46"/>
        <v>o</v>
      </c>
      <c r="K29" t="s">
        <v>238</v>
      </c>
      <c r="L29" t="s">
        <v>174</v>
      </c>
      <c r="M29" t="s">
        <v>85</v>
      </c>
      <c r="N29" t="str">
        <f t="shared" si="48"/>
        <v>s</v>
      </c>
      <c r="Q29" t="str">
        <f t="shared" si="47"/>
        <v/>
      </c>
      <c r="S29">
        <v>13</v>
      </c>
      <c r="U29" t="str">
        <f>IF(B29=1,MAX($U$2:$U28)+1,IF(AND($T29&lt;&gt;"",$T29=$T28),$U28,IF(B29="x",U28,"")))</f>
        <v/>
      </c>
      <c r="V29" t="str">
        <f>IF(C29=1,MAX($V$2:$V28)+1,IF(AND($T29&lt;&gt;"",$T29=$T28),$U28,IF(C29="x",V28,"")))</f>
        <v/>
      </c>
      <c r="W29" t="str">
        <f t="shared" si="3"/>
        <v>h</v>
      </c>
      <c r="X29">
        <v>84</v>
      </c>
      <c r="Y29" t="e">
        <f>IF(X29&lt;&gt;"",VLOOKUP(X29,game_rosters!$C$43:$E$64,3,FALSE))</f>
        <v>#N/A</v>
      </c>
      <c r="Z29" t="str" cm="1">
        <f t="array" ref="Z29">IFERROR(IF(_xlfn._xlws.FILTER(game_rosters!$J:$J,(game_rosters!$G:$G=events!$AN29)*(game_rosters!$J:$J=events!$X29))&gt;0,1,""),"")</f>
        <v/>
      </c>
      <c r="AA29">
        <f t="shared" si="4"/>
        <v>1013</v>
      </c>
      <c r="AB29" t="str">
        <f t="shared" si="5"/>
        <v/>
      </c>
      <c r="AC29">
        <f t="shared" si="0"/>
        <v>1013</v>
      </c>
      <c r="AD29" s="6">
        <v>1</v>
      </c>
      <c r="AE29" t="s">
        <v>732</v>
      </c>
      <c r="AF29" t="s">
        <v>901</v>
      </c>
      <c r="AG29" t="s">
        <v>732</v>
      </c>
      <c r="AH29" t="s">
        <v>902</v>
      </c>
      <c r="AI29" t="s">
        <v>368</v>
      </c>
      <c r="AJ29" t="str">
        <f t="shared" si="6"/>
        <v>o</v>
      </c>
      <c r="AK29" t="str">
        <f t="shared" si="7"/>
        <v>o</v>
      </c>
      <c r="AL29" t="str">
        <f t="shared" si="8"/>
        <v>o</v>
      </c>
      <c r="AN29" t="s">
        <v>861</v>
      </c>
      <c r="AO29" t="str">
        <f t="shared" si="9"/>
        <v>h</v>
      </c>
      <c r="AP29" t="str">
        <f t="shared" si="33"/>
        <v>o</v>
      </c>
      <c r="AQ29" t="str">
        <f t="shared" si="34"/>
        <v/>
      </c>
      <c r="AR29" t="str">
        <f t="shared" si="35"/>
        <v>Home</v>
      </c>
      <c r="AS29" t="str">
        <f t="shared" si="36"/>
        <v>h</v>
      </c>
      <c r="AT29" t="str">
        <f t="shared" si="37"/>
        <v>Defensive</v>
      </c>
      <c r="BA29" s="6">
        <f t="shared" si="17"/>
        <v>10</v>
      </c>
      <c r="BB29">
        <f t="shared" si="18"/>
        <v>18981</v>
      </c>
      <c r="BC29" t="str">
        <f t="shared" si="19"/>
        <v>Nelson</v>
      </c>
      <c r="BD29" t="str">
        <f t="shared" si="20"/>
        <v>Velodrome</v>
      </c>
      <c r="BE29" t="s">
        <v>238</v>
      </c>
      <c r="BF29" t="s">
        <v>174</v>
      </c>
      <c r="BG29" t="s">
        <v>85</v>
      </c>
      <c r="BI29" cm="1">
        <f t="array" ref="BI29">IFERROR(_xlfn._xlws.FILTER(shifts!A:A,(shifts!B:B=events!AD29)*(shifts!AG:AG&gt;=events!BK29)*(shifts!AH:AH&lt;=events!BL29)),BI28)</f>
        <v>1</v>
      </c>
      <c r="BJ29" s="15">
        <f t="shared" si="22"/>
        <v>1</v>
      </c>
      <c r="BK29">
        <f t="shared" si="38"/>
        <v>1063</v>
      </c>
      <c r="BL29">
        <f t="shared" si="39"/>
        <v>1062</v>
      </c>
      <c r="BM29" s="15">
        <f>SUMIFS(BJ$2:BJ29,K$2:K29,"=Intermission")+SUMIFS(BJ$2:BJ29,K$2:K29,"=Timeout")</f>
        <v>0</v>
      </c>
      <c r="BN29">
        <f t="shared" si="40"/>
        <v>0</v>
      </c>
      <c r="BO29" s="19">
        <f t="shared" si="41"/>
        <v>17</v>
      </c>
      <c r="BP29">
        <f t="shared" si="42"/>
        <v>12</v>
      </c>
      <c r="BQ29" s="17">
        <f t="shared" si="43"/>
        <v>18</v>
      </c>
      <c r="BR29" t="str">
        <f t="shared" si="44"/>
        <v>opp_team_player_1</v>
      </c>
      <c r="BS29">
        <f>COUNTIFS(S$3:S29,"="&amp;S29,AI$3:AI29,"="&amp;AI29)</f>
        <v>1</v>
      </c>
      <c r="BT29" t="str">
        <f>IFERROR(VLOOKUP(BB29&amp;BU29&amp;X29,game_rosters!U:W,3,FALSE),"")</f>
        <v>P100198</v>
      </c>
      <c r="BU29" t="str">
        <f t="shared" si="45"/>
        <v>Velodrome</v>
      </c>
    </row>
    <row r="30" spans="1:73" x14ac:dyDescent="0.2">
      <c r="A30">
        <f t="shared" si="2"/>
        <v>1</v>
      </c>
      <c r="E30" s="4"/>
      <c r="F30" s="43"/>
      <c r="G30" s="4"/>
      <c r="H30" s="46"/>
      <c r="J30" s="44" t="str">
        <f t="shared" si="46"/>
        <v>o</v>
      </c>
      <c r="K30" t="s">
        <v>238</v>
      </c>
      <c r="L30" t="s">
        <v>174</v>
      </c>
      <c r="M30" t="s">
        <v>85</v>
      </c>
      <c r="N30" t="str">
        <f t="shared" si="48"/>
        <v>s</v>
      </c>
      <c r="Q30" t="str">
        <f t="shared" si="47"/>
        <v/>
      </c>
      <c r="S30">
        <v>13</v>
      </c>
      <c r="U30" t="str">
        <f>IF(B30=1,MAX($U$2:$U29)+1,IF(AND($T30&lt;&gt;"",$T30=$T29),$U29,IF(B30="x",U29,"")))</f>
        <v/>
      </c>
      <c r="V30" t="str">
        <f>IF(C30=1,MAX($V$2:$V29)+1,IF(AND($T30&lt;&gt;"",$T30=$T29),$U29,IF(C30="x",V29,"")))</f>
        <v/>
      </c>
      <c r="W30" t="str">
        <f t="shared" si="3"/>
        <v>h</v>
      </c>
      <c r="X30">
        <v>22</v>
      </c>
      <c r="Y30" t="e">
        <f>IF(X30&lt;&gt;"",VLOOKUP(X30,game_rosters!$C$43:$E$64,3,FALSE))</f>
        <v>#N/A</v>
      </c>
      <c r="Z30" t="str" cm="1">
        <f t="array" ref="Z30">IFERROR(IF(_xlfn._xlws.FILTER(game_rosters!$J:$J,(game_rosters!$G:$G=events!$AN30)*(game_rosters!$J:$J=events!$X30))&gt;0,1,""),"")</f>
        <v/>
      </c>
      <c r="AA30">
        <f t="shared" si="4"/>
        <v>1013</v>
      </c>
      <c r="AB30" t="str">
        <f t="shared" si="5"/>
        <v/>
      </c>
      <c r="AC30">
        <f t="shared" si="0"/>
        <v>1013</v>
      </c>
      <c r="AD30" s="6">
        <v>1</v>
      </c>
      <c r="AE30" t="s">
        <v>732</v>
      </c>
      <c r="AF30" t="s">
        <v>901</v>
      </c>
      <c r="AG30" t="s">
        <v>732</v>
      </c>
      <c r="AH30" t="s">
        <v>902</v>
      </c>
      <c r="AI30" t="s">
        <v>368</v>
      </c>
      <c r="AJ30" t="str">
        <f t="shared" si="6"/>
        <v>o</v>
      </c>
      <c r="AK30" t="str">
        <f t="shared" si="7"/>
        <v>o</v>
      </c>
      <c r="AL30" t="str">
        <f t="shared" si="8"/>
        <v>o</v>
      </c>
      <c r="AN30" t="s">
        <v>861</v>
      </c>
      <c r="AO30" t="str">
        <f t="shared" si="9"/>
        <v>h</v>
      </c>
      <c r="AP30" t="str">
        <f t="shared" si="33"/>
        <v>o</v>
      </c>
      <c r="AQ30" t="str">
        <f t="shared" si="34"/>
        <v/>
      </c>
      <c r="AR30" t="str">
        <f t="shared" si="35"/>
        <v>Home</v>
      </c>
      <c r="AS30" t="str">
        <f t="shared" si="36"/>
        <v>h</v>
      </c>
      <c r="AT30" t="str">
        <f t="shared" si="37"/>
        <v>Defensive</v>
      </c>
      <c r="BA30" s="6">
        <f t="shared" si="17"/>
        <v>11</v>
      </c>
      <c r="BB30">
        <f t="shared" si="18"/>
        <v>18981</v>
      </c>
      <c r="BC30" t="str">
        <f t="shared" si="19"/>
        <v>Nelson</v>
      </c>
      <c r="BD30" t="str">
        <f t="shared" si="20"/>
        <v>Velodrome</v>
      </c>
      <c r="BE30" t="s">
        <v>238</v>
      </c>
      <c r="BF30" t="s">
        <v>174</v>
      </c>
      <c r="BG30" t="s">
        <v>85</v>
      </c>
      <c r="BI30" cm="1">
        <f t="array" ref="BI30">IFERROR(_xlfn._xlws.FILTER(shifts!A:A,(shifts!B:B=events!AD30)*(shifts!AG:AG&gt;=events!BK30)*(shifts!AH:AH&lt;=events!BL30)),BI29)</f>
        <v>1</v>
      </c>
      <c r="BJ30" s="15">
        <f t="shared" si="22"/>
        <v>1</v>
      </c>
      <c r="BK30">
        <f t="shared" si="38"/>
        <v>1063</v>
      </c>
      <c r="BL30">
        <f t="shared" si="39"/>
        <v>1062</v>
      </c>
      <c r="BM30" s="15">
        <f>SUMIFS(BJ$2:BJ30,K$2:K30,"=Intermission")+SUMIFS(BJ$2:BJ30,K$2:K30,"=Timeout")</f>
        <v>0</v>
      </c>
      <c r="BN30">
        <f t="shared" si="40"/>
        <v>0</v>
      </c>
      <c r="BO30" s="19">
        <f t="shared" si="41"/>
        <v>17</v>
      </c>
      <c r="BP30">
        <f t="shared" si="42"/>
        <v>12</v>
      </c>
      <c r="BQ30" s="17">
        <f t="shared" si="43"/>
        <v>18</v>
      </c>
      <c r="BR30" t="str">
        <f t="shared" si="44"/>
        <v>opp_team_player_2</v>
      </c>
      <c r="BS30">
        <f>COUNTIFS(S$3:S30,"="&amp;S30,AI$3:AI30,"="&amp;AI30)</f>
        <v>2</v>
      </c>
      <c r="BT30" t="str">
        <f>IFERROR(VLOOKUP(BB30&amp;BU30&amp;X30,game_rosters!U:W,3,FALSE),"")</f>
        <v>P100108</v>
      </c>
      <c r="BU30" t="str">
        <f t="shared" si="45"/>
        <v>Velodrome</v>
      </c>
    </row>
    <row r="31" spans="1:73" x14ac:dyDescent="0.2">
      <c r="A31">
        <f t="shared" si="2"/>
        <v>1</v>
      </c>
      <c r="E31" s="4"/>
      <c r="F31" s="43"/>
      <c r="G31" s="4"/>
      <c r="H31" s="46"/>
      <c r="J31" s="44" t="str">
        <f t="shared" si="46"/>
        <v>o</v>
      </c>
      <c r="K31" t="s">
        <v>6</v>
      </c>
      <c r="L31" t="s">
        <v>205</v>
      </c>
      <c r="M31" t="s">
        <v>51</v>
      </c>
      <c r="N31" t="str">
        <f t="shared" si="48"/>
        <v>s</v>
      </c>
      <c r="Q31" t="str">
        <f t="shared" si="47"/>
        <v/>
      </c>
      <c r="S31">
        <v>14</v>
      </c>
      <c r="U31" t="str">
        <f>IF(B31=1,MAX($U$2:$U30)+1,IF(AND($T31&lt;&gt;"",$T31=$T30),$U30,IF(B31="x",U30,"")))</f>
        <v/>
      </c>
      <c r="V31" t="str">
        <f>IF(C31=1,MAX($V$2:$V30)+1,IF(AND($T31&lt;&gt;"",$T31=$T30),$U30,IF(C31="x",V30,"")))</f>
        <v/>
      </c>
      <c r="W31" t="str">
        <f t="shared" si="3"/>
        <v>h</v>
      </c>
      <c r="X31">
        <v>16</v>
      </c>
      <c r="Y31" t="b">
        <f>IF(X31&lt;&gt;"",VLOOKUP(X31,game_rosters!$C$43:$E$64,3,FALSE))</f>
        <v>0</v>
      </c>
      <c r="Z31" cm="1">
        <f t="array" ref="Z31">IFERROR(IF(_xlfn._xlws.FILTER(game_rosters!$J:$J,(game_rosters!$G:$G=events!$AN31)*(game_rosters!$J:$J=events!$X31))&gt;0,1,""),"")</f>
        <v>1</v>
      </c>
      <c r="AA31">
        <f t="shared" si="4"/>
        <v>1014</v>
      </c>
      <c r="AB31" t="str">
        <f t="shared" si="5"/>
        <v/>
      </c>
      <c r="AC31">
        <f t="shared" si="0"/>
        <v>1014</v>
      </c>
      <c r="AD31" s="6">
        <v>1</v>
      </c>
      <c r="AE31" t="s">
        <v>732</v>
      </c>
      <c r="AF31" t="s">
        <v>902</v>
      </c>
      <c r="AG31" t="s">
        <v>756</v>
      </c>
      <c r="AH31" t="s">
        <v>756</v>
      </c>
      <c r="AI31" t="s">
        <v>367</v>
      </c>
      <c r="AJ31" t="str">
        <f t="shared" si="6"/>
        <v>o</v>
      </c>
      <c r="AK31" t="str">
        <f t="shared" si="7"/>
        <v>o</v>
      </c>
      <c r="AL31" t="str">
        <f t="shared" si="8"/>
        <v>o</v>
      </c>
      <c r="AN31" t="s">
        <v>861</v>
      </c>
      <c r="AO31" t="str">
        <f t="shared" si="9"/>
        <v>h</v>
      </c>
      <c r="AP31" t="str">
        <f t="shared" si="33"/>
        <v>o</v>
      </c>
      <c r="AQ31" t="str">
        <f t="shared" si="34"/>
        <v/>
      </c>
      <c r="AR31" t="str">
        <f t="shared" si="35"/>
        <v>Home</v>
      </c>
      <c r="AS31" t="str">
        <f t="shared" si="36"/>
        <v>h</v>
      </c>
      <c r="AT31" t="str">
        <f t="shared" si="37"/>
        <v>Offensive</v>
      </c>
      <c r="BA31" s="6">
        <f t="shared" si="17"/>
        <v>11</v>
      </c>
      <c r="BB31">
        <f t="shared" si="18"/>
        <v>18981</v>
      </c>
      <c r="BC31" t="str">
        <f t="shared" si="19"/>
        <v>Nelson</v>
      </c>
      <c r="BD31" t="str">
        <f t="shared" si="20"/>
        <v>Velodrome</v>
      </c>
      <c r="BE31" t="s">
        <v>6</v>
      </c>
      <c r="BF31" t="s">
        <v>205</v>
      </c>
      <c r="BG31" t="s">
        <v>51</v>
      </c>
      <c r="BI31" cm="1">
        <f t="array" ref="BI31">IFERROR(_xlfn._xlws.FILTER(shifts!A:A,(shifts!B:B=events!AD31)*(shifts!AG:AG&gt;=events!BK31)*(shifts!AH:AH&lt;=events!BL31)),BI30)</f>
        <v>1</v>
      </c>
      <c r="BJ31" s="15">
        <f t="shared" si="22"/>
        <v>0</v>
      </c>
      <c r="BK31">
        <f t="shared" si="38"/>
        <v>1062</v>
      </c>
      <c r="BL31">
        <f t="shared" si="39"/>
        <v>1062</v>
      </c>
      <c r="BM31" s="15">
        <f>SUMIFS(BJ$2:BJ31,K$2:K31,"=Intermission")+SUMIFS(BJ$2:BJ31,K$2:K31,"=Timeout")</f>
        <v>0</v>
      </c>
      <c r="BN31">
        <f t="shared" si="40"/>
        <v>0</v>
      </c>
      <c r="BO31" s="19">
        <f t="shared" si="41"/>
        <v>18</v>
      </c>
      <c r="BP31">
        <f t="shared" si="42"/>
        <v>13</v>
      </c>
      <c r="BQ31" s="17">
        <f t="shared" si="43"/>
        <v>18</v>
      </c>
      <c r="BR31" t="str">
        <f t="shared" si="44"/>
        <v>event_team_player_1</v>
      </c>
      <c r="BS31">
        <f>COUNTIFS(S$3:S31,"="&amp;S31,AI$3:AI31,"="&amp;AI31)</f>
        <v>1</v>
      </c>
      <c r="BT31" t="str">
        <f>IFERROR(VLOOKUP(BB31&amp;BU31&amp;X31,game_rosters!U:W,3,FALSE),"")</f>
        <v>P100164</v>
      </c>
      <c r="BU31" t="str">
        <f t="shared" si="45"/>
        <v>Nelson</v>
      </c>
    </row>
    <row r="32" spans="1:73" x14ac:dyDescent="0.2">
      <c r="A32">
        <f t="shared" si="2"/>
        <v>1</v>
      </c>
      <c r="E32" s="4"/>
      <c r="F32" s="43"/>
      <c r="G32" s="4"/>
      <c r="H32" s="46"/>
      <c r="J32" s="44" t="str">
        <f t="shared" si="46"/>
        <v>o</v>
      </c>
      <c r="K32" t="s">
        <v>6</v>
      </c>
      <c r="L32" t="s">
        <v>205</v>
      </c>
      <c r="M32" t="s">
        <v>51</v>
      </c>
      <c r="N32" t="str">
        <f t="shared" si="48"/>
        <v>s</v>
      </c>
      <c r="Q32" t="str">
        <f t="shared" si="47"/>
        <v/>
      </c>
      <c r="S32">
        <v>14</v>
      </c>
      <c r="U32" t="str">
        <f>IF(B32=1,MAX($U$2:$U31)+1,IF(AND($T32&lt;&gt;"",$T32=$T31),$U31,IF(B32="x",U31,"")))</f>
        <v/>
      </c>
      <c r="V32" t="str">
        <f>IF(C32=1,MAX($V$2:$V31)+1,IF(AND($T32&lt;&gt;"",$T32=$T31),$U31,IF(C32="x",V31,"")))</f>
        <v/>
      </c>
      <c r="W32" t="str">
        <f t="shared" si="3"/>
        <v>h</v>
      </c>
      <c r="X32">
        <v>39</v>
      </c>
      <c r="Y32" t="e">
        <f>IF(X32&lt;&gt;"",VLOOKUP(X32,game_rosters!$C$43:$E$64,3,FALSE))</f>
        <v>#N/A</v>
      </c>
      <c r="Z32" t="str" cm="1">
        <f t="array" ref="Z32">IFERROR(IF(_xlfn._xlws.FILTER(game_rosters!$J:$J,(game_rosters!$G:$G=events!$AN32)*(game_rosters!$J:$J=events!$X32))&gt;0,1,""),"")</f>
        <v/>
      </c>
      <c r="AA32">
        <f t="shared" si="4"/>
        <v>1014</v>
      </c>
      <c r="AB32" t="str">
        <f t="shared" si="5"/>
        <v/>
      </c>
      <c r="AC32">
        <f t="shared" si="0"/>
        <v>1014</v>
      </c>
      <c r="AD32" s="6">
        <v>1</v>
      </c>
      <c r="AE32" t="s">
        <v>732</v>
      </c>
      <c r="AF32" t="s">
        <v>902</v>
      </c>
      <c r="AG32" t="s">
        <v>756</v>
      </c>
      <c r="AH32" t="s">
        <v>756</v>
      </c>
      <c r="AI32" t="s">
        <v>368</v>
      </c>
      <c r="AJ32" t="str">
        <f t="shared" si="6"/>
        <v>o</v>
      </c>
      <c r="AK32" t="str">
        <f t="shared" si="7"/>
        <v>o</v>
      </c>
      <c r="AL32" t="str">
        <f t="shared" si="8"/>
        <v>o</v>
      </c>
      <c r="AN32" t="s">
        <v>861</v>
      </c>
      <c r="AO32" t="str">
        <f t="shared" si="9"/>
        <v>h</v>
      </c>
      <c r="AP32" t="str">
        <f t="shared" si="33"/>
        <v>o</v>
      </c>
      <c r="AQ32" t="str">
        <f t="shared" si="34"/>
        <v/>
      </c>
      <c r="AR32" t="str">
        <f t="shared" si="35"/>
        <v>Home</v>
      </c>
      <c r="AS32" t="str">
        <f t="shared" si="36"/>
        <v>h</v>
      </c>
      <c r="AT32" t="str">
        <f t="shared" si="37"/>
        <v>Defensive</v>
      </c>
      <c r="BA32" s="6">
        <f t="shared" si="17"/>
        <v>11</v>
      </c>
      <c r="BB32">
        <f t="shared" si="18"/>
        <v>18981</v>
      </c>
      <c r="BC32" t="str">
        <f t="shared" si="19"/>
        <v>Nelson</v>
      </c>
      <c r="BD32" t="str">
        <f t="shared" si="20"/>
        <v>Velodrome</v>
      </c>
      <c r="BE32" t="s">
        <v>6</v>
      </c>
      <c r="BF32" t="s">
        <v>205</v>
      </c>
      <c r="BG32" t="s">
        <v>51</v>
      </c>
      <c r="BI32" cm="1">
        <f t="array" ref="BI32">IFERROR(_xlfn._xlws.FILTER(shifts!A:A,(shifts!B:B=events!AD32)*(shifts!AG:AG&gt;=events!BK32)*(shifts!AH:AH&lt;=events!BL32)),BI31)</f>
        <v>1</v>
      </c>
      <c r="BJ32" s="15">
        <f t="shared" si="22"/>
        <v>0</v>
      </c>
      <c r="BK32">
        <f t="shared" si="38"/>
        <v>1062</v>
      </c>
      <c r="BL32">
        <f t="shared" si="39"/>
        <v>1062</v>
      </c>
      <c r="BM32" s="15">
        <f>SUMIFS(BJ$2:BJ32,K$2:K32,"=Intermission")+SUMIFS(BJ$2:BJ32,K$2:K32,"=Timeout")</f>
        <v>0</v>
      </c>
      <c r="BN32">
        <f t="shared" si="40"/>
        <v>0</v>
      </c>
      <c r="BO32" s="19">
        <f t="shared" si="41"/>
        <v>18</v>
      </c>
      <c r="BP32">
        <f t="shared" si="42"/>
        <v>13</v>
      </c>
      <c r="BQ32" s="17">
        <f t="shared" si="43"/>
        <v>18</v>
      </c>
      <c r="BR32" t="str">
        <f t="shared" si="44"/>
        <v>opp_team_player_1</v>
      </c>
      <c r="BS32">
        <f>COUNTIFS(S$3:S32,"="&amp;S32,AI$3:AI32,"="&amp;AI32)</f>
        <v>1</v>
      </c>
      <c r="BT32" t="str">
        <f>IFERROR(VLOOKUP(BB32&amp;BU32&amp;X32,game_rosters!U:W,3,FALSE),"")</f>
        <v>P100016</v>
      </c>
      <c r="BU32" t="str">
        <f t="shared" si="45"/>
        <v>Velodrome</v>
      </c>
    </row>
    <row r="33" spans="1:73" x14ac:dyDescent="0.2">
      <c r="A33">
        <f t="shared" si="2"/>
        <v>1</v>
      </c>
      <c r="E33" s="4"/>
      <c r="F33" s="43"/>
      <c r="G33" s="4"/>
      <c r="H33" s="46"/>
      <c r="J33" s="44" t="str">
        <f t="shared" si="46"/>
        <v>o</v>
      </c>
      <c r="K33" t="s">
        <v>6</v>
      </c>
      <c r="L33" t="s">
        <v>205</v>
      </c>
      <c r="M33" t="s">
        <v>51</v>
      </c>
      <c r="N33" t="str">
        <f t="shared" si="48"/>
        <v>s</v>
      </c>
      <c r="Q33" t="str">
        <f t="shared" si="47"/>
        <v/>
      </c>
      <c r="S33">
        <v>14</v>
      </c>
      <c r="U33" t="str">
        <f>IF(B33=1,MAX($U$2:$U32)+1,IF(AND($T33&lt;&gt;"",$T33=$T32),$U32,IF(B33="x",U32,"")))</f>
        <v/>
      </c>
      <c r="V33" t="str">
        <f>IF(C33=1,MAX($V$2:$V32)+1,IF(AND($T33&lt;&gt;"",$T33=$T32),$U32,IF(C33="x",V32,"")))</f>
        <v/>
      </c>
      <c r="W33" t="str">
        <f t="shared" si="3"/>
        <v>h</v>
      </c>
      <c r="X33">
        <v>84</v>
      </c>
      <c r="Y33" t="e">
        <f>IF(X33&lt;&gt;"",VLOOKUP(X33,game_rosters!$C$43:$E$64,3,FALSE))</f>
        <v>#N/A</v>
      </c>
      <c r="Z33" t="str" cm="1">
        <f t="array" ref="Z33">IFERROR(IF(_xlfn._xlws.FILTER(game_rosters!$J:$J,(game_rosters!$G:$G=events!$AN33)*(game_rosters!$J:$J=events!$X33))&gt;0,1,""),"")</f>
        <v/>
      </c>
      <c r="AA33">
        <f t="shared" si="4"/>
        <v>1014</v>
      </c>
      <c r="AB33" t="str">
        <f t="shared" si="5"/>
        <v/>
      </c>
      <c r="AC33">
        <f t="shared" si="0"/>
        <v>1014</v>
      </c>
      <c r="AD33" s="6">
        <v>1</v>
      </c>
      <c r="AE33" t="s">
        <v>732</v>
      </c>
      <c r="AF33" t="s">
        <v>902</v>
      </c>
      <c r="AG33" t="s">
        <v>756</v>
      </c>
      <c r="AH33" t="s">
        <v>756</v>
      </c>
      <c r="AI33" t="s">
        <v>368</v>
      </c>
      <c r="AJ33" t="str">
        <f t="shared" si="6"/>
        <v>o</v>
      </c>
      <c r="AK33" t="str">
        <f t="shared" si="7"/>
        <v>o</v>
      </c>
      <c r="AL33" t="str">
        <f t="shared" si="8"/>
        <v>o</v>
      </c>
      <c r="AN33" t="s">
        <v>861</v>
      </c>
      <c r="AO33" t="str">
        <f t="shared" si="9"/>
        <v>h</v>
      </c>
      <c r="AP33" t="str">
        <f t="shared" si="33"/>
        <v>o</v>
      </c>
      <c r="AQ33" t="str">
        <f t="shared" si="34"/>
        <v/>
      </c>
      <c r="AR33" t="str">
        <f t="shared" si="35"/>
        <v>Home</v>
      </c>
      <c r="AS33" t="str">
        <f t="shared" si="36"/>
        <v>h</v>
      </c>
      <c r="AT33" t="str">
        <f t="shared" si="37"/>
        <v>Defensive</v>
      </c>
      <c r="BA33" s="6">
        <f t="shared" si="17"/>
        <v>11</v>
      </c>
      <c r="BB33">
        <f t="shared" si="18"/>
        <v>18981</v>
      </c>
      <c r="BC33" t="str">
        <f t="shared" si="19"/>
        <v>Nelson</v>
      </c>
      <c r="BD33" t="str">
        <f t="shared" si="20"/>
        <v>Velodrome</v>
      </c>
      <c r="BE33" t="s">
        <v>6</v>
      </c>
      <c r="BF33" t="s">
        <v>205</v>
      </c>
      <c r="BG33" t="s">
        <v>51</v>
      </c>
      <c r="BI33" cm="1">
        <f t="array" ref="BI33">IFERROR(_xlfn._xlws.FILTER(shifts!A:A,(shifts!B:B=events!AD33)*(shifts!AG:AG&gt;=events!BK33)*(shifts!AH:AH&lt;=events!BL33)),BI32)</f>
        <v>1</v>
      </c>
      <c r="BJ33" s="15">
        <f t="shared" si="22"/>
        <v>0</v>
      </c>
      <c r="BK33">
        <f t="shared" si="38"/>
        <v>1062</v>
      </c>
      <c r="BL33">
        <f t="shared" si="39"/>
        <v>1062</v>
      </c>
      <c r="BM33" s="15">
        <f>SUMIFS(BJ$2:BJ33,K$2:K33,"=Intermission")+SUMIFS(BJ$2:BJ33,K$2:K33,"=Timeout")</f>
        <v>0</v>
      </c>
      <c r="BN33">
        <f t="shared" si="40"/>
        <v>0</v>
      </c>
      <c r="BO33" s="19">
        <f t="shared" si="41"/>
        <v>18</v>
      </c>
      <c r="BP33">
        <f t="shared" si="42"/>
        <v>13</v>
      </c>
      <c r="BQ33" s="17">
        <f t="shared" si="43"/>
        <v>18</v>
      </c>
      <c r="BR33" t="str">
        <f t="shared" si="44"/>
        <v>opp_team_player_2</v>
      </c>
      <c r="BS33">
        <f>COUNTIFS(S$3:S33,"="&amp;S33,AI$3:AI33,"="&amp;AI33)</f>
        <v>2</v>
      </c>
      <c r="BT33" t="str">
        <f>IFERROR(VLOOKUP(BB33&amp;BU33&amp;X33,game_rosters!U:W,3,FALSE),"")</f>
        <v>P100198</v>
      </c>
      <c r="BU33" t="str">
        <f t="shared" si="45"/>
        <v>Velodrome</v>
      </c>
    </row>
    <row r="34" spans="1:73" x14ac:dyDescent="0.2">
      <c r="A34">
        <f t="shared" si="2"/>
        <v>1</v>
      </c>
      <c r="E34" s="4"/>
      <c r="F34" s="43"/>
      <c r="G34" s="4"/>
      <c r="H34" s="46"/>
      <c r="J34" s="44" t="str">
        <f t="shared" si="46"/>
        <v>d</v>
      </c>
      <c r="K34" t="s">
        <v>15</v>
      </c>
      <c r="L34" t="s">
        <v>179</v>
      </c>
      <c r="M34" t="s">
        <v>101</v>
      </c>
      <c r="N34" t="str">
        <f t="shared" si="48"/>
        <v/>
      </c>
      <c r="Q34" t="str">
        <f t="shared" si="47"/>
        <v/>
      </c>
      <c r="S34">
        <v>15</v>
      </c>
      <c r="U34" t="str">
        <f>IF(B34=1,MAX($U$2:$U33)+1,IF(AND($T34&lt;&gt;"",$T34=$T33),$U33,IF(B34="x",U33,"")))</f>
        <v/>
      </c>
      <c r="V34" t="str">
        <f>IF(C34=1,MAX($V$2:$V33)+1,IF(AND($T34&lt;&gt;"",$T34=$T33),$U33,IF(C34="x",V33,"")))</f>
        <v/>
      </c>
      <c r="W34" t="str">
        <f t="shared" si="3"/>
        <v>a</v>
      </c>
      <c r="X34">
        <v>39</v>
      </c>
      <c r="Y34" t="e">
        <f>IF(X34&lt;&gt;"",VLOOKUP(X34,game_rosters!$C$43:$E$64,3,FALSE))</f>
        <v>#N/A</v>
      </c>
      <c r="Z34" cm="1">
        <f t="array" ref="Z34">IFERROR(IF(_xlfn._xlws.FILTER(game_rosters!$J:$J,(game_rosters!$G:$G=events!$AN34)*(game_rosters!$J:$J=events!$X34))&gt;0,1,""),"")</f>
        <v>1</v>
      </c>
      <c r="AA34">
        <f t="shared" si="4"/>
        <v>1015</v>
      </c>
      <c r="AB34" t="str">
        <f t="shared" si="5"/>
        <v/>
      </c>
      <c r="AC34">
        <f t="shared" si="0"/>
        <v>1015</v>
      </c>
      <c r="AD34" s="6">
        <v>1</v>
      </c>
      <c r="AE34" t="s">
        <v>732</v>
      </c>
      <c r="AF34" t="s">
        <v>902</v>
      </c>
      <c r="AG34" t="s">
        <v>756</v>
      </c>
      <c r="AH34" t="s">
        <v>756</v>
      </c>
      <c r="AI34" t="s">
        <v>367</v>
      </c>
      <c r="AJ34" t="str">
        <f t="shared" si="6"/>
        <v>d</v>
      </c>
      <c r="AK34" t="str">
        <f t="shared" si="7"/>
        <v>d</v>
      </c>
      <c r="AL34" t="str">
        <f t="shared" si="8"/>
        <v>o</v>
      </c>
      <c r="AN34" t="s">
        <v>862</v>
      </c>
      <c r="AO34" t="str">
        <f t="shared" si="9"/>
        <v>a</v>
      </c>
      <c r="AP34" t="str">
        <f t="shared" si="33"/>
        <v>o</v>
      </c>
      <c r="AQ34" t="str">
        <f t="shared" si="34"/>
        <v/>
      </c>
      <c r="AR34" t="str">
        <f t="shared" si="35"/>
        <v>Away</v>
      </c>
      <c r="AS34" t="str">
        <f t="shared" si="36"/>
        <v>a</v>
      </c>
      <c r="AT34" t="str">
        <f t="shared" si="37"/>
        <v>Defensive</v>
      </c>
      <c r="BA34" s="6">
        <f t="shared" si="17"/>
        <v>11</v>
      </c>
      <c r="BB34">
        <f t="shared" si="18"/>
        <v>18981</v>
      </c>
      <c r="BC34" t="str">
        <f t="shared" si="19"/>
        <v>Nelson</v>
      </c>
      <c r="BD34" t="str">
        <f t="shared" si="20"/>
        <v>Velodrome</v>
      </c>
      <c r="BE34" t="s">
        <v>15</v>
      </c>
      <c r="BF34" t="s">
        <v>179</v>
      </c>
      <c r="BG34" t="s">
        <v>101</v>
      </c>
      <c r="BI34" cm="1">
        <f t="array" ref="BI34">IFERROR(_xlfn._xlws.FILTER(shifts!A:A,(shifts!B:B=events!AD34)*(shifts!AG:AG&gt;=events!BK34)*(shifts!AH:AH&lt;=events!BL34)),BI33)</f>
        <v>1</v>
      </c>
      <c r="BJ34" s="15">
        <f t="shared" si="22"/>
        <v>0</v>
      </c>
      <c r="BK34">
        <f t="shared" si="38"/>
        <v>1062</v>
      </c>
      <c r="BL34">
        <f t="shared" si="39"/>
        <v>1062</v>
      </c>
      <c r="BM34" s="15">
        <f>SUMIFS(BJ$2:BJ34,K$2:K34,"=Intermission")+SUMIFS(BJ$2:BJ34,K$2:K34,"=Timeout")</f>
        <v>0</v>
      </c>
      <c r="BN34">
        <f t="shared" si="40"/>
        <v>0</v>
      </c>
      <c r="BO34" s="19">
        <f t="shared" si="41"/>
        <v>18</v>
      </c>
      <c r="BP34">
        <f t="shared" si="42"/>
        <v>13</v>
      </c>
      <c r="BQ34" s="17">
        <f t="shared" si="43"/>
        <v>18</v>
      </c>
      <c r="BR34" t="str">
        <f t="shared" si="44"/>
        <v>event_team_player_1</v>
      </c>
      <c r="BS34">
        <f>COUNTIFS(S$3:S34,"="&amp;S34,AI$3:AI34,"="&amp;AI34)</f>
        <v>1</v>
      </c>
      <c r="BT34" t="str">
        <f>IFERROR(VLOOKUP(BB34&amp;BU34&amp;X34,game_rosters!U:W,3,FALSE),"")</f>
        <v>P100016</v>
      </c>
      <c r="BU34" t="str">
        <f t="shared" si="45"/>
        <v>Velodrome</v>
      </c>
    </row>
    <row r="35" spans="1:73" x14ac:dyDescent="0.2">
      <c r="A35">
        <f t="shared" si="2"/>
        <v>1</v>
      </c>
      <c r="E35" s="4"/>
      <c r="F35" s="43"/>
      <c r="G35" s="4"/>
      <c r="H35" s="46"/>
      <c r="J35" s="44" t="str">
        <f t="shared" si="46"/>
        <v>d</v>
      </c>
      <c r="K35" t="s">
        <v>15</v>
      </c>
      <c r="L35" t="s">
        <v>179</v>
      </c>
      <c r="M35" t="s">
        <v>101</v>
      </c>
      <c r="N35" t="str">
        <f t="shared" si="48"/>
        <v/>
      </c>
      <c r="Q35" t="str">
        <f t="shared" si="47"/>
        <v/>
      </c>
      <c r="S35">
        <v>15</v>
      </c>
      <c r="U35" t="str">
        <f>IF(B35=1,MAX($U$2:$U34)+1,IF(AND($T35&lt;&gt;"",$T35=$T34),$U34,IF(B35="x",U34,"")))</f>
        <v/>
      </c>
      <c r="V35" t="str">
        <f>IF(C35=1,MAX($V$2:$V34)+1,IF(AND($T35&lt;&gt;"",$T35=$T34),$U34,IF(C35="x",V34,"")))</f>
        <v/>
      </c>
      <c r="W35" t="str">
        <f t="shared" si="3"/>
        <v>a</v>
      </c>
      <c r="X35">
        <v>84</v>
      </c>
      <c r="Y35" t="e">
        <f>IF(X35&lt;&gt;"",VLOOKUP(X35,game_rosters!$C$43:$E$64,3,FALSE))</f>
        <v>#N/A</v>
      </c>
      <c r="Z35" cm="1">
        <f t="array" ref="Z35">IFERROR(IF(_xlfn._xlws.FILTER(game_rosters!$J:$J,(game_rosters!$G:$G=events!$AN35)*(game_rosters!$J:$J=events!$X35))&gt;0,1,""),"")</f>
        <v>1</v>
      </c>
      <c r="AA35">
        <f t="shared" si="4"/>
        <v>1015</v>
      </c>
      <c r="AB35" t="str">
        <f t="shared" si="5"/>
        <v/>
      </c>
      <c r="AC35">
        <f t="shared" si="0"/>
        <v>1015</v>
      </c>
      <c r="AD35" s="6">
        <v>1</v>
      </c>
      <c r="AE35" t="s">
        <v>732</v>
      </c>
      <c r="AF35" t="s">
        <v>902</v>
      </c>
      <c r="AG35" t="s">
        <v>756</v>
      </c>
      <c r="AH35" t="s">
        <v>756</v>
      </c>
      <c r="AI35" t="s">
        <v>367</v>
      </c>
      <c r="AJ35" t="str">
        <f t="shared" si="6"/>
        <v>d</v>
      </c>
      <c r="AK35" t="str">
        <f t="shared" si="7"/>
        <v>d</v>
      </c>
      <c r="AL35" t="str">
        <f t="shared" si="8"/>
        <v>o</v>
      </c>
      <c r="AN35" t="s">
        <v>862</v>
      </c>
      <c r="AO35" t="str">
        <f t="shared" si="9"/>
        <v>a</v>
      </c>
      <c r="AP35" t="str">
        <f t="shared" si="33"/>
        <v>o</v>
      </c>
      <c r="AQ35" t="str">
        <f t="shared" si="34"/>
        <v/>
      </c>
      <c r="AR35" t="str">
        <f t="shared" si="35"/>
        <v>Away</v>
      </c>
      <c r="AS35" t="str">
        <f t="shared" si="36"/>
        <v>a</v>
      </c>
      <c r="AT35" t="str">
        <f t="shared" si="37"/>
        <v>Defensive</v>
      </c>
      <c r="BA35" s="6">
        <f t="shared" si="17"/>
        <v>11</v>
      </c>
      <c r="BB35">
        <f t="shared" si="18"/>
        <v>18981</v>
      </c>
      <c r="BC35" t="str">
        <f t="shared" si="19"/>
        <v>Nelson</v>
      </c>
      <c r="BD35" t="str">
        <f t="shared" si="20"/>
        <v>Velodrome</v>
      </c>
      <c r="BE35" t="s">
        <v>15</v>
      </c>
      <c r="BF35" t="s">
        <v>179</v>
      </c>
      <c r="BG35" t="s">
        <v>101</v>
      </c>
      <c r="BI35" cm="1">
        <f t="array" ref="BI35">IFERROR(_xlfn._xlws.FILTER(shifts!A:A,(shifts!B:B=events!AD35)*(shifts!AG:AG&gt;=events!BK35)*(shifts!AH:AH&lt;=events!BL35)),BI34)</f>
        <v>1</v>
      </c>
      <c r="BJ35" s="15">
        <f t="shared" si="22"/>
        <v>0</v>
      </c>
      <c r="BK35">
        <f t="shared" si="38"/>
        <v>1062</v>
      </c>
      <c r="BL35">
        <f t="shared" si="39"/>
        <v>1062</v>
      </c>
      <c r="BM35" s="15">
        <f>SUMIFS(BJ$2:BJ35,K$2:K35,"=Intermission")+SUMIFS(BJ$2:BJ35,K$2:K35,"=Timeout")</f>
        <v>0</v>
      </c>
      <c r="BN35">
        <f t="shared" si="40"/>
        <v>0</v>
      </c>
      <c r="BO35" s="19">
        <f t="shared" si="41"/>
        <v>18</v>
      </c>
      <c r="BP35">
        <f t="shared" si="42"/>
        <v>13</v>
      </c>
      <c r="BQ35" s="17">
        <f t="shared" si="43"/>
        <v>18</v>
      </c>
      <c r="BR35" t="str">
        <f t="shared" si="44"/>
        <v>event_team_player_2</v>
      </c>
      <c r="BS35">
        <f>COUNTIFS(S$3:S35,"="&amp;S35,AI$3:AI35,"="&amp;AI35)</f>
        <v>2</v>
      </c>
      <c r="BT35" t="str">
        <f>IFERROR(VLOOKUP(BB35&amp;BU35&amp;X35,game_rosters!U:W,3,FALSE),"")</f>
        <v>P100198</v>
      </c>
      <c r="BU35" t="str">
        <f t="shared" si="45"/>
        <v>Velodrome</v>
      </c>
    </row>
    <row r="36" spans="1:73" x14ac:dyDescent="0.2">
      <c r="A36">
        <f t="shared" si="2"/>
        <v>1</v>
      </c>
      <c r="E36" s="4"/>
      <c r="F36" s="43"/>
      <c r="G36" s="4"/>
      <c r="H36" s="46"/>
      <c r="J36" s="44" t="str">
        <f t="shared" si="46"/>
        <v>d</v>
      </c>
      <c r="K36" t="s">
        <v>15</v>
      </c>
      <c r="L36" t="s">
        <v>179</v>
      </c>
      <c r="M36" t="s">
        <v>101</v>
      </c>
      <c r="N36" t="str">
        <f t="shared" si="48"/>
        <v/>
      </c>
      <c r="Q36" t="str">
        <f t="shared" si="47"/>
        <v/>
      </c>
      <c r="S36">
        <v>15</v>
      </c>
      <c r="U36" t="str">
        <f>IF(B36=1,MAX($U$2:$U35)+1,IF(AND($T36&lt;&gt;"",$T36=$T35),$U35,IF(B36="x",U35,"")))</f>
        <v/>
      </c>
      <c r="V36" t="str">
        <f>IF(C36=1,MAX($V$2:$V35)+1,IF(AND($T36&lt;&gt;"",$T36=$T35),$U35,IF(C36="x",V35,"")))</f>
        <v/>
      </c>
      <c r="W36" t="str">
        <f t="shared" si="3"/>
        <v>a</v>
      </c>
      <c r="X36">
        <v>16</v>
      </c>
      <c r="Y36" t="b">
        <f>IF(X36&lt;&gt;"",VLOOKUP(X36,game_rosters!$C$43:$E$64,3,FALSE))</f>
        <v>0</v>
      </c>
      <c r="Z36" t="str" cm="1">
        <f t="array" ref="Z36">IFERROR(IF(_xlfn._xlws.FILTER(game_rosters!$J:$J,(game_rosters!$G:$G=events!$AN36)*(game_rosters!$J:$J=events!$X36))&gt;0,1,""),"")</f>
        <v/>
      </c>
      <c r="AA36">
        <f t="shared" si="4"/>
        <v>1015</v>
      </c>
      <c r="AB36" t="str">
        <f t="shared" si="5"/>
        <v/>
      </c>
      <c r="AC36">
        <f t="shared" si="0"/>
        <v>1015</v>
      </c>
      <c r="AD36" s="6">
        <v>1</v>
      </c>
      <c r="AE36" t="s">
        <v>732</v>
      </c>
      <c r="AF36" t="s">
        <v>902</v>
      </c>
      <c r="AG36" t="s">
        <v>756</v>
      </c>
      <c r="AH36" t="s">
        <v>756</v>
      </c>
      <c r="AI36" t="s">
        <v>368</v>
      </c>
      <c r="AJ36" t="str">
        <f t="shared" si="6"/>
        <v>d</v>
      </c>
      <c r="AK36" t="str">
        <f t="shared" si="7"/>
        <v>d</v>
      </c>
      <c r="AL36" t="str">
        <f t="shared" si="8"/>
        <v>o</v>
      </c>
      <c r="AN36" t="s">
        <v>862</v>
      </c>
      <c r="AO36" t="str">
        <f t="shared" si="9"/>
        <v>a</v>
      </c>
      <c r="AP36" t="str">
        <f t="shared" si="33"/>
        <v>o</v>
      </c>
      <c r="AQ36" t="str">
        <f t="shared" si="34"/>
        <v/>
      </c>
      <c r="AR36" t="str">
        <f t="shared" si="35"/>
        <v>Away</v>
      </c>
      <c r="AS36" t="str">
        <f t="shared" si="36"/>
        <v>a</v>
      </c>
      <c r="AT36" t="str">
        <f t="shared" si="37"/>
        <v>Offensive</v>
      </c>
      <c r="BA36" s="6">
        <f t="shared" si="17"/>
        <v>11</v>
      </c>
      <c r="BB36">
        <f t="shared" si="18"/>
        <v>18981</v>
      </c>
      <c r="BC36" t="str">
        <f t="shared" si="19"/>
        <v>Nelson</v>
      </c>
      <c r="BD36" t="str">
        <f t="shared" si="20"/>
        <v>Velodrome</v>
      </c>
      <c r="BE36" t="s">
        <v>15</v>
      </c>
      <c r="BF36" t="s">
        <v>179</v>
      </c>
      <c r="BG36" t="s">
        <v>101</v>
      </c>
      <c r="BI36" cm="1">
        <f t="array" ref="BI36">IFERROR(_xlfn._xlws.FILTER(shifts!A:A,(shifts!B:B=events!AD36)*(shifts!AG:AG&gt;=events!BK36)*(shifts!AH:AH&lt;=events!BL36)),BI35)</f>
        <v>1</v>
      </c>
      <c r="BJ36" s="15">
        <f t="shared" si="22"/>
        <v>0</v>
      </c>
      <c r="BK36">
        <f t="shared" si="38"/>
        <v>1062</v>
      </c>
      <c r="BL36">
        <f t="shared" si="39"/>
        <v>1062</v>
      </c>
      <c r="BM36" s="15">
        <f>SUMIFS(BJ$2:BJ36,K$2:K36,"=Intermission")+SUMIFS(BJ$2:BJ36,K$2:K36,"=Timeout")</f>
        <v>0</v>
      </c>
      <c r="BN36">
        <f t="shared" si="40"/>
        <v>0</v>
      </c>
      <c r="BO36" s="19">
        <f t="shared" si="41"/>
        <v>18</v>
      </c>
      <c r="BP36">
        <f t="shared" si="42"/>
        <v>13</v>
      </c>
      <c r="BQ36" s="17">
        <f t="shared" si="43"/>
        <v>18</v>
      </c>
      <c r="BR36" t="str">
        <f t="shared" si="44"/>
        <v>opp_team_player_1</v>
      </c>
      <c r="BS36">
        <f>COUNTIFS(S$3:S36,"="&amp;S36,AI$3:AI36,"="&amp;AI36)</f>
        <v>1</v>
      </c>
      <c r="BT36" t="str">
        <f>IFERROR(VLOOKUP(BB36&amp;BU36&amp;X36,game_rosters!U:W,3,FALSE),"")</f>
        <v>P100164</v>
      </c>
      <c r="BU36" t="str">
        <f t="shared" si="45"/>
        <v>Nelson</v>
      </c>
    </row>
    <row r="37" spans="1:73" x14ac:dyDescent="0.2">
      <c r="A37">
        <f t="shared" si="2"/>
        <v>1</v>
      </c>
      <c r="E37" s="4"/>
      <c r="F37" s="43"/>
      <c r="G37" s="4"/>
      <c r="H37" s="46"/>
      <c r="J37" s="44" t="str">
        <f t="shared" si="46"/>
        <v>d</v>
      </c>
      <c r="K37" t="s">
        <v>231</v>
      </c>
      <c r="L37" t="s">
        <v>233</v>
      </c>
      <c r="M37" t="s">
        <v>756</v>
      </c>
      <c r="N37" t="str">
        <f t="shared" si="48"/>
        <v/>
      </c>
      <c r="Q37" t="str">
        <f t="shared" si="47"/>
        <v/>
      </c>
      <c r="S37">
        <v>16</v>
      </c>
      <c r="U37" t="str">
        <f>IF(B37=1,MAX($U$2:$U36)+1,IF(AND($T37&lt;&gt;"",$T37=$T36),$U36,IF(B37="x",U36,"")))</f>
        <v/>
      </c>
      <c r="V37" t="str">
        <f>IF(C37=1,MAX($V$2:$V36)+1,IF(AND($T37&lt;&gt;"",$T37=$T36),$U36,IF(C37="x",V36,"")))</f>
        <v/>
      </c>
      <c r="W37" t="str">
        <f t="shared" si="3"/>
        <v>a</v>
      </c>
      <c r="X37">
        <v>39</v>
      </c>
      <c r="Y37" t="e">
        <f>IF(X37&lt;&gt;"",VLOOKUP(X37,game_rosters!$C$43:$E$64,3,FALSE))</f>
        <v>#N/A</v>
      </c>
      <c r="Z37" cm="1">
        <f t="array" ref="Z37">IFERROR(IF(_xlfn._xlws.FILTER(game_rosters!$J:$J,(game_rosters!$G:$G=events!$AN37)*(game_rosters!$J:$J=events!$X37))&gt;0,1,""),"")</f>
        <v>1</v>
      </c>
      <c r="AA37">
        <f t="shared" si="4"/>
        <v>1016</v>
      </c>
      <c r="AB37" t="str">
        <f t="shared" si="5"/>
        <v/>
      </c>
      <c r="AC37">
        <f t="shared" si="0"/>
        <v>1016</v>
      </c>
      <c r="AD37" s="6">
        <v>1</v>
      </c>
      <c r="AE37" t="s">
        <v>732</v>
      </c>
      <c r="AF37" t="s">
        <v>902</v>
      </c>
      <c r="AG37" t="s">
        <v>756</v>
      </c>
      <c r="AH37" t="s">
        <v>756</v>
      </c>
      <c r="AI37" t="s">
        <v>367</v>
      </c>
      <c r="AJ37" t="str">
        <f t="shared" si="6"/>
        <v>d</v>
      </c>
      <c r="AK37" t="str">
        <f t="shared" si="7"/>
        <v>d</v>
      </c>
      <c r="AL37" t="str">
        <f t="shared" si="8"/>
        <v>o</v>
      </c>
      <c r="AN37" t="s">
        <v>862</v>
      </c>
      <c r="AO37" t="str">
        <f t="shared" si="9"/>
        <v>a</v>
      </c>
      <c r="AP37" t="str">
        <f t="shared" si="33"/>
        <v>o</v>
      </c>
      <c r="AQ37" t="str">
        <f t="shared" si="34"/>
        <v/>
      </c>
      <c r="AR37" t="str">
        <f t="shared" si="35"/>
        <v>Away</v>
      </c>
      <c r="AS37" t="str">
        <f t="shared" si="36"/>
        <v>a</v>
      </c>
      <c r="AT37" t="str">
        <f t="shared" si="37"/>
        <v>Offensive</v>
      </c>
      <c r="BA37" s="6">
        <f t="shared" si="17"/>
        <v>11</v>
      </c>
      <c r="BB37">
        <f t="shared" si="18"/>
        <v>18981</v>
      </c>
      <c r="BC37" t="str">
        <f t="shared" si="19"/>
        <v>Nelson</v>
      </c>
      <c r="BD37" t="str">
        <f t="shared" si="20"/>
        <v>Velodrome</v>
      </c>
      <c r="BE37" t="s">
        <v>231</v>
      </c>
      <c r="BF37" t="s">
        <v>233</v>
      </c>
      <c r="BG37" t="s">
        <v>756</v>
      </c>
      <c r="BI37" cm="1">
        <f t="array" ref="BI37">IFERROR(_xlfn._xlws.FILTER(shifts!A:A,(shifts!B:B=events!AD37)*(shifts!AG:AG&gt;=events!BK37)*(shifts!AH:AH&lt;=events!BL37)),BI36)</f>
        <v>1</v>
      </c>
      <c r="BJ37" s="15">
        <f t="shared" si="22"/>
        <v>0</v>
      </c>
      <c r="BK37">
        <f t="shared" si="38"/>
        <v>1062</v>
      </c>
      <c r="BL37">
        <f t="shared" si="39"/>
        <v>1062</v>
      </c>
      <c r="BM37" s="15">
        <f>SUMIFS(BJ$2:BJ37,K$2:K37,"=Intermission")+SUMIFS(BJ$2:BJ37,K$2:K37,"=Timeout")</f>
        <v>0</v>
      </c>
      <c r="BN37">
        <f t="shared" si="40"/>
        <v>0</v>
      </c>
      <c r="BO37" s="19">
        <f t="shared" si="41"/>
        <v>18</v>
      </c>
      <c r="BP37">
        <f t="shared" si="42"/>
        <v>13</v>
      </c>
      <c r="BQ37" s="17">
        <f t="shared" si="43"/>
        <v>18</v>
      </c>
      <c r="BR37" t="str">
        <f t="shared" si="44"/>
        <v>event_team_player_1</v>
      </c>
      <c r="BS37">
        <f>COUNTIFS(S$3:S37,"="&amp;S37,AI$3:AI37,"="&amp;AI37)</f>
        <v>1</v>
      </c>
      <c r="BT37" t="str">
        <f>IFERROR(VLOOKUP(BB37&amp;BU37&amp;X37,game_rosters!U:W,3,FALSE),"")</f>
        <v>P100016</v>
      </c>
      <c r="BU37" t="str">
        <f t="shared" si="45"/>
        <v>Velodrome</v>
      </c>
    </row>
    <row r="38" spans="1:73" x14ac:dyDescent="0.2">
      <c r="A38">
        <f t="shared" si="2"/>
        <v>1</v>
      </c>
      <c r="E38" s="4"/>
      <c r="F38" s="43"/>
      <c r="G38" s="4"/>
      <c r="H38" s="46"/>
      <c r="J38" s="44" t="str">
        <f t="shared" si="46"/>
        <v/>
      </c>
      <c r="K38" t="s">
        <v>13</v>
      </c>
      <c r="L38" t="s">
        <v>756</v>
      </c>
      <c r="M38" t="s">
        <v>756</v>
      </c>
      <c r="N38" t="str">
        <f t="shared" si="48"/>
        <v/>
      </c>
      <c r="Q38" t="str">
        <f t="shared" si="47"/>
        <v/>
      </c>
      <c r="S38">
        <v>17</v>
      </c>
      <c r="U38" t="str">
        <f>IF(B38=1,MAX($U$2:$U37)+1,IF(AND($T38&lt;&gt;"",$T38=$T37),$U37,IF(B38="x",U37,"")))</f>
        <v/>
      </c>
      <c r="V38" t="str">
        <f>IF(C38=1,MAX($V$2:$V37)+1,IF(AND($T38&lt;&gt;"",$T38=$T37),$U37,IF(C38="x",V37,"")))</f>
        <v/>
      </c>
      <c r="W38" t="str">
        <f t="shared" si="3"/>
        <v>h</v>
      </c>
      <c r="X38">
        <v>16</v>
      </c>
      <c r="Y38" t="b">
        <f>IF(X38&lt;&gt;"",VLOOKUP(X38,game_rosters!$C$43:$E$64,3,FALSE))</f>
        <v>0</v>
      </c>
      <c r="Z38" cm="1">
        <f t="array" ref="Z38">IFERROR(IF(_xlfn._xlws.FILTER(game_rosters!$J:$J,(game_rosters!$G:$G=events!$AN38)*(game_rosters!$J:$J=events!$X38))&gt;0,1,""),"")</f>
        <v>1</v>
      </c>
      <c r="AA38">
        <f t="shared" si="4"/>
        <v>1017</v>
      </c>
      <c r="AB38" t="str">
        <f t="shared" si="5"/>
        <v/>
      </c>
      <c r="AC38">
        <f t="shared" si="0"/>
        <v>1017</v>
      </c>
      <c r="AD38" s="6">
        <v>1</v>
      </c>
      <c r="AE38" t="s">
        <v>732</v>
      </c>
      <c r="AF38" t="s">
        <v>903</v>
      </c>
      <c r="AG38" t="s">
        <v>732</v>
      </c>
      <c r="AH38" t="s">
        <v>749</v>
      </c>
      <c r="AI38" t="s">
        <v>367</v>
      </c>
      <c r="AJ38" t="str">
        <f t="shared" si="6"/>
        <v/>
      </c>
      <c r="AK38" t="str">
        <f t="shared" si="7"/>
        <v/>
      </c>
      <c r="AL38" t="str">
        <f t="shared" si="8"/>
        <v/>
      </c>
      <c r="AN38" t="s">
        <v>861</v>
      </c>
      <c r="AO38" t="str">
        <f t="shared" si="9"/>
        <v>h</v>
      </c>
      <c r="AP38" t="str">
        <f t="shared" si="33"/>
        <v/>
      </c>
      <c r="AQ38" t="str">
        <f t="shared" si="34"/>
        <v/>
      </c>
      <c r="AR38" t="str">
        <f t="shared" si="35"/>
        <v>Home</v>
      </c>
      <c r="AS38" t="str">
        <f t="shared" si="36"/>
        <v>h</v>
      </c>
      <c r="AT38" t="str">
        <f t="shared" si="37"/>
        <v>Offensive</v>
      </c>
      <c r="BA38" s="6">
        <f t="shared" si="17"/>
        <v>11</v>
      </c>
      <c r="BB38">
        <f t="shared" si="18"/>
        <v>18981</v>
      </c>
      <c r="BC38" t="str">
        <f t="shared" si="19"/>
        <v>Nelson</v>
      </c>
      <c r="BD38" t="str">
        <f t="shared" si="20"/>
        <v>Velodrome</v>
      </c>
      <c r="BE38" t="s">
        <v>13</v>
      </c>
      <c r="BF38" t="s">
        <v>756</v>
      </c>
      <c r="BG38" t="s">
        <v>756</v>
      </c>
      <c r="BI38" cm="1">
        <f t="array" ref="BI38">IFERROR(_xlfn._xlws.FILTER(shifts!A:A,(shifts!B:B=events!AD38)*(shifts!AG:AG&gt;=events!BK38)*(shifts!AH:AH&lt;=events!BL38)),BI37)</f>
        <v>1</v>
      </c>
      <c r="BJ38" s="15">
        <f t="shared" si="22"/>
        <v>1</v>
      </c>
      <c r="BK38">
        <f t="shared" si="38"/>
        <v>1060</v>
      </c>
      <c r="BL38">
        <f t="shared" si="39"/>
        <v>1059</v>
      </c>
      <c r="BM38" s="15">
        <f>SUMIFS(BJ$2:BJ38,K$2:K38,"=Intermission")+SUMIFS(BJ$2:BJ38,K$2:K38,"=Timeout")</f>
        <v>0</v>
      </c>
      <c r="BN38">
        <f t="shared" si="40"/>
        <v>0</v>
      </c>
      <c r="BO38" s="19">
        <f t="shared" si="41"/>
        <v>20</v>
      </c>
      <c r="BP38">
        <f t="shared" si="42"/>
        <v>15</v>
      </c>
      <c r="BQ38" s="17">
        <f t="shared" si="43"/>
        <v>21</v>
      </c>
      <c r="BR38" t="str">
        <f t="shared" si="44"/>
        <v>event_team_player_1</v>
      </c>
      <c r="BS38">
        <f>COUNTIFS(S$3:S38,"="&amp;S38,AI$3:AI38,"="&amp;AI38)</f>
        <v>1</v>
      </c>
      <c r="BT38" t="str">
        <f>IFERROR(VLOOKUP(BB38&amp;BU38&amp;X38,game_rosters!U:W,3,FALSE),"")</f>
        <v>P100164</v>
      </c>
      <c r="BU38" t="str">
        <f t="shared" si="45"/>
        <v>Nelson</v>
      </c>
    </row>
    <row r="39" spans="1:73" x14ac:dyDescent="0.2">
      <c r="A39">
        <f t="shared" si="2"/>
        <v>1</v>
      </c>
      <c r="E39" s="4"/>
      <c r="F39" s="43"/>
      <c r="G39" s="4"/>
      <c r="H39" s="46"/>
      <c r="J39" s="44" t="str">
        <f t="shared" si="46"/>
        <v/>
      </c>
      <c r="K39" t="s">
        <v>13</v>
      </c>
      <c r="L39" t="s">
        <v>756</v>
      </c>
      <c r="M39" t="s">
        <v>756</v>
      </c>
      <c r="N39" t="str">
        <f t="shared" si="48"/>
        <v/>
      </c>
      <c r="Q39" t="str">
        <f t="shared" si="47"/>
        <v/>
      </c>
      <c r="S39">
        <v>17</v>
      </c>
      <c r="U39" t="str">
        <f>IF(B39=1,MAX($U$2:$U38)+1,IF(AND($T39&lt;&gt;"",$T39=$T38),$U38,IF(B39="x",U38,"")))</f>
        <v/>
      </c>
      <c r="V39" t="str">
        <f>IF(C39=1,MAX($V$2:$V38)+1,IF(AND($T39&lt;&gt;"",$T39=$T38),$U38,IF(C39="x",V38,"")))</f>
        <v/>
      </c>
      <c r="W39" t="str">
        <f t="shared" si="3"/>
        <v>h</v>
      </c>
      <c r="X39">
        <v>84</v>
      </c>
      <c r="Y39" t="e">
        <f>IF(X39&lt;&gt;"",VLOOKUP(X39,game_rosters!$C$43:$E$64,3,FALSE))</f>
        <v>#N/A</v>
      </c>
      <c r="Z39" t="str" cm="1">
        <f t="array" ref="Z39">IFERROR(IF(_xlfn._xlws.FILTER(game_rosters!$J:$J,(game_rosters!$G:$G=events!$AN39)*(game_rosters!$J:$J=events!$X39))&gt;0,1,""),"")</f>
        <v/>
      </c>
      <c r="AA39">
        <f t="shared" si="4"/>
        <v>1017</v>
      </c>
      <c r="AB39" t="str">
        <f t="shared" si="5"/>
        <v/>
      </c>
      <c r="AC39">
        <f t="shared" si="0"/>
        <v>1017</v>
      </c>
      <c r="AD39" s="6">
        <v>1</v>
      </c>
      <c r="AE39" t="s">
        <v>732</v>
      </c>
      <c r="AF39" t="s">
        <v>903</v>
      </c>
      <c r="AG39" t="s">
        <v>732</v>
      </c>
      <c r="AH39" t="s">
        <v>749</v>
      </c>
      <c r="AI39" t="s">
        <v>368</v>
      </c>
      <c r="AJ39" t="str">
        <f t="shared" si="6"/>
        <v/>
      </c>
      <c r="AK39" t="str">
        <f t="shared" si="7"/>
        <v/>
      </c>
      <c r="AL39" t="str">
        <f t="shared" si="8"/>
        <v/>
      </c>
      <c r="AN39" t="s">
        <v>861</v>
      </c>
      <c r="AO39" t="str">
        <f t="shared" si="9"/>
        <v>h</v>
      </c>
      <c r="AP39" t="str">
        <f t="shared" si="33"/>
        <v/>
      </c>
      <c r="AQ39" t="str">
        <f t="shared" si="34"/>
        <v/>
      </c>
      <c r="AR39" t="str">
        <f t="shared" si="35"/>
        <v>Home</v>
      </c>
      <c r="AS39" t="str">
        <f t="shared" si="36"/>
        <v>h</v>
      </c>
      <c r="AT39" t="str">
        <f t="shared" si="37"/>
        <v>Defensive</v>
      </c>
      <c r="BA39" s="6">
        <f t="shared" si="17"/>
        <v>11</v>
      </c>
      <c r="BB39">
        <f t="shared" si="18"/>
        <v>18981</v>
      </c>
      <c r="BC39" t="str">
        <f t="shared" si="19"/>
        <v>Nelson</v>
      </c>
      <c r="BD39" t="str">
        <f t="shared" si="20"/>
        <v>Velodrome</v>
      </c>
      <c r="BE39" t="s">
        <v>13</v>
      </c>
      <c r="BF39" t="s">
        <v>756</v>
      </c>
      <c r="BG39" t="s">
        <v>756</v>
      </c>
      <c r="BI39" cm="1">
        <f t="array" ref="BI39">IFERROR(_xlfn._xlws.FILTER(shifts!A:A,(shifts!B:B=events!AD39)*(shifts!AG:AG&gt;=events!BK39)*(shifts!AH:AH&lt;=events!BL39)),BI38)</f>
        <v>1</v>
      </c>
      <c r="BJ39" s="15">
        <f t="shared" si="22"/>
        <v>1</v>
      </c>
      <c r="BK39">
        <f t="shared" si="38"/>
        <v>1060</v>
      </c>
      <c r="BL39">
        <f t="shared" si="39"/>
        <v>1059</v>
      </c>
      <c r="BM39" s="15">
        <f>SUMIFS(BJ$2:BJ39,K$2:K39,"=Intermission")+SUMIFS(BJ$2:BJ39,K$2:K39,"=Timeout")</f>
        <v>0</v>
      </c>
      <c r="BN39">
        <f t="shared" si="40"/>
        <v>0</v>
      </c>
      <c r="BO39" s="19">
        <f t="shared" si="41"/>
        <v>20</v>
      </c>
      <c r="BP39">
        <f t="shared" si="42"/>
        <v>15</v>
      </c>
      <c r="BQ39" s="17">
        <f t="shared" si="43"/>
        <v>21</v>
      </c>
      <c r="BR39" t="str">
        <f t="shared" si="44"/>
        <v>opp_team_player_1</v>
      </c>
      <c r="BS39">
        <f>COUNTIFS(S$3:S39,"="&amp;S39,AI$3:AI39,"="&amp;AI39)</f>
        <v>1</v>
      </c>
      <c r="BT39" t="str">
        <f>IFERROR(VLOOKUP(BB39&amp;BU39&amp;X39,game_rosters!U:W,3,FALSE),"")</f>
        <v>P100198</v>
      </c>
      <c r="BU39" t="str">
        <f t="shared" si="45"/>
        <v>Velodrome</v>
      </c>
    </row>
    <row r="40" spans="1:73" x14ac:dyDescent="0.2">
      <c r="A40">
        <f t="shared" si="2"/>
        <v>1</v>
      </c>
      <c r="E40" s="4"/>
      <c r="F40" s="43"/>
      <c r="G40" s="4"/>
      <c r="H40" s="46"/>
      <c r="J40" s="44" t="str">
        <f t="shared" si="46"/>
        <v/>
      </c>
      <c r="K40" t="s">
        <v>7</v>
      </c>
      <c r="L40" t="s">
        <v>182</v>
      </c>
      <c r="M40" t="s">
        <v>67</v>
      </c>
      <c r="N40" t="str">
        <f t="shared" si="48"/>
        <v>u</v>
      </c>
      <c r="Q40" t="str">
        <f t="shared" si="47"/>
        <v/>
      </c>
      <c r="S40">
        <v>18</v>
      </c>
      <c r="U40" t="str">
        <f>IF(B40=1,MAX($U$2:$U39)+1,IF(AND($T40&lt;&gt;"",$T40=$T39),$U39,IF(B40="x",U39,"")))</f>
        <v/>
      </c>
      <c r="V40" t="str">
        <f>IF(C40=1,MAX($V$2:$V39)+1,IF(AND($T40&lt;&gt;"",$T40=$T39),$U39,IF(C40="x",V39,"")))</f>
        <v/>
      </c>
      <c r="W40" t="str">
        <f t="shared" si="3"/>
        <v>h</v>
      </c>
      <c r="X40">
        <v>16</v>
      </c>
      <c r="Y40" t="b">
        <f>IF(X40&lt;&gt;"",VLOOKUP(X40,game_rosters!$C$43:$E$64,3,FALSE))</f>
        <v>0</v>
      </c>
      <c r="Z40" cm="1">
        <f t="array" ref="Z40">IFERROR(IF(_xlfn._xlws.FILTER(game_rosters!$J:$J,(game_rosters!$G:$G=events!$AN40)*(game_rosters!$J:$J=events!$X40))&gt;0,1,""),"")</f>
        <v>1</v>
      </c>
      <c r="AA40">
        <f t="shared" si="4"/>
        <v>1018</v>
      </c>
      <c r="AB40" t="str">
        <f t="shared" si="5"/>
        <v/>
      </c>
      <c r="AC40">
        <f t="shared" si="0"/>
        <v>1018</v>
      </c>
      <c r="AD40" s="6">
        <v>1</v>
      </c>
      <c r="AE40" t="s">
        <v>732</v>
      </c>
      <c r="AF40" t="s">
        <v>749</v>
      </c>
      <c r="AG40" t="s">
        <v>756</v>
      </c>
      <c r="AH40" t="s">
        <v>756</v>
      </c>
      <c r="AI40" t="s">
        <v>367</v>
      </c>
      <c r="AJ40" t="str">
        <f t="shared" si="6"/>
        <v/>
      </c>
      <c r="AK40" t="str">
        <f t="shared" si="7"/>
        <v/>
      </c>
      <c r="AL40" t="str">
        <f t="shared" si="8"/>
        <v/>
      </c>
      <c r="AN40" t="s">
        <v>861</v>
      </c>
      <c r="AO40" t="str">
        <f t="shared" si="9"/>
        <v>h</v>
      </c>
      <c r="AP40" t="str">
        <f t="shared" si="33"/>
        <v/>
      </c>
      <c r="AQ40" t="str">
        <f t="shared" si="34"/>
        <v/>
      </c>
      <c r="AR40" t="str">
        <f t="shared" si="35"/>
        <v>Home</v>
      </c>
      <c r="AS40" t="str">
        <f t="shared" si="36"/>
        <v>h</v>
      </c>
      <c r="AT40" t="str">
        <f t="shared" si="37"/>
        <v>Offensive</v>
      </c>
      <c r="BA40" s="6">
        <f t="shared" si="17"/>
        <v>11</v>
      </c>
      <c r="BB40">
        <f t="shared" si="18"/>
        <v>18981</v>
      </c>
      <c r="BC40" t="str">
        <f t="shared" si="19"/>
        <v>Nelson</v>
      </c>
      <c r="BD40" t="str">
        <f t="shared" si="20"/>
        <v>Velodrome</v>
      </c>
      <c r="BE40" t="s">
        <v>7</v>
      </c>
      <c r="BF40" t="s">
        <v>182</v>
      </c>
      <c r="BG40" t="s">
        <v>67</v>
      </c>
      <c r="BI40" cm="1">
        <f t="array" ref="BI40">IFERROR(_xlfn._xlws.FILTER(shifts!A:A,(shifts!B:B=events!AD40)*(shifts!AG:AG&gt;=events!BK40)*(shifts!AH:AH&lt;=events!BL40)),BI39)</f>
        <v>1</v>
      </c>
      <c r="BJ40" s="15">
        <f t="shared" si="22"/>
        <v>0</v>
      </c>
      <c r="BK40">
        <f t="shared" si="38"/>
        <v>1059</v>
      </c>
      <c r="BL40">
        <f t="shared" si="39"/>
        <v>1059</v>
      </c>
      <c r="BM40" s="15">
        <f>SUMIFS(BJ$2:BJ40,K$2:K40,"=Intermission")+SUMIFS(BJ$2:BJ40,K$2:K40,"=Timeout")</f>
        <v>0</v>
      </c>
      <c r="BN40">
        <f t="shared" si="40"/>
        <v>0</v>
      </c>
      <c r="BO40" s="19">
        <f t="shared" si="41"/>
        <v>21</v>
      </c>
      <c r="BP40">
        <f t="shared" si="42"/>
        <v>16</v>
      </c>
      <c r="BQ40" s="17">
        <f t="shared" si="43"/>
        <v>21</v>
      </c>
      <c r="BR40" t="str">
        <f t="shared" si="44"/>
        <v>event_team_player_1</v>
      </c>
      <c r="BS40">
        <f>COUNTIFS(S$3:S40,"="&amp;S40,AI$3:AI40,"="&amp;AI40)</f>
        <v>1</v>
      </c>
      <c r="BT40" t="str">
        <f>IFERROR(VLOOKUP(BB40&amp;BU40&amp;X40,game_rosters!U:W,3,FALSE),"")</f>
        <v>P100164</v>
      </c>
      <c r="BU40" t="str">
        <f t="shared" si="45"/>
        <v>Nelson</v>
      </c>
    </row>
    <row r="41" spans="1:73" x14ac:dyDescent="0.2">
      <c r="A41">
        <f t="shared" si="2"/>
        <v>1</v>
      </c>
      <c r="E41" s="4"/>
      <c r="F41" s="43"/>
      <c r="G41" s="4"/>
      <c r="H41" s="46"/>
      <c r="J41" s="44" t="str">
        <f t="shared" si="46"/>
        <v/>
      </c>
      <c r="K41" t="s">
        <v>7</v>
      </c>
      <c r="L41" t="s">
        <v>182</v>
      </c>
      <c r="M41" t="s">
        <v>67</v>
      </c>
      <c r="N41" t="str">
        <f t="shared" si="48"/>
        <v>u</v>
      </c>
      <c r="Q41" t="str">
        <f t="shared" si="47"/>
        <v/>
      </c>
      <c r="S41">
        <v>18</v>
      </c>
      <c r="U41" t="str">
        <f>IF(B41=1,MAX($U$2:$U40)+1,IF(AND($T41&lt;&gt;"",$T41=$T40),$U40,IF(B41="x",U40,"")))</f>
        <v/>
      </c>
      <c r="V41" t="str">
        <f>IF(C41=1,MAX($V$2:$V40)+1,IF(AND($T41&lt;&gt;"",$T41=$T40),$U40,IF(C41="x",V40,"")))</f>
        <v/>
      </c>
      <c r="W41" t="str">
        <f t="shared" si="3"/>
        <v>h</v>
      </c>
      <c r="X41">
        <v>10</v>
      </c>
      <c r="Y41" t="b">
        <f>IF(X41&lt;&gt;"",VLOOKUP(X41,game_rosters!$C$43:$E$64,3,FALSE))</f>
        <v>0</v>
      </c>
      <c r="Z41" cm="1">
        <f t="array" ref="Z41">IFERROR(IF(_xlfn._xlws.FILTER(game_rosters!$J:$J,(game_rosters!$G:$G=events!$AN41)*(game_rosters!$J:$J=events!$X41))&gt;0,1,""),"")</f>
        <v>1</v>
      </c>
      <c r="AA41">
        <f t="shared" si="4"/>
        <v>1018</v>
      </c>
      <c r="AB41" t="str">
        <f t="shared" si="5"/>
        <v/>
      </c>
      <c r="AC41">
        <f t="shared" si="0"/>
        <v>1018</v>
      </c>
      <c r="AD41" s="6">
        <v>1</v>
      </c>
      <c r="AE41" t="s">
        <v>732</v>
      </c>
      <c r="AF41" t="s">
        <v>749</v>
      </c>
      <c r="AG41" t="s">
        <v>756</v>
      </c>
      <c r="AH41" t="s">
        <v>756</v>
      </c>
      <c r="AI41" t="s">
        <v>367</v>
      </c>
      <c r="AJ41" t="str">
        <f t="shared" si="6"/>
        <v/>
      </c>
      <c r="AK41" t="str">
        <f t="shared" si="7"/>
        <v/>
      </c>
      <c r="AL41" t="str">
        <f t="shared" si="8"/>
        <v/>
      </c>
      <c r="AN41" t="s">
        <v>861</v>
      </c>
      <c r="AO41" t="str">
        <f t="shared" si="9"/>
        <v>h</v>
      </c>
      <c r="AP41" t="str">
        <f t="shared" si="33"/>
        <v/>
      </c>
      <c r="AQ41" t="str">
        <f t="shared" si="34"/>
        <v/>
      </c>
      <c r="AR41" t="str">
        <f t="shared" si="35"/>
        <v>Home</v>
      </c>
      <c r="AS41" t="str">
        <f t="shared" si="36"/>
        <v>h</v>
      </c>
      <c r="AT41" t="str">
        <f t="shared" si="37"/>
        <v>Offensive</v>
      </c>
      <c r="BA41" s="6">
        <f t="shared" si="17"/>
        <v>11</v>
      </c>
      <c r="BB41">
        <f t="shared" si="18"/>
        <v>18981</v>
      </c>
      <c r="BC41" t="str">
        <f t="shared" si="19"/>
        <v>Nelson</v>
      </c>
      <c r="BD41" t="str">
        <f t="shared" si="20"/>
        <v>Velodrome</v>
      </c>
      <c r="BE41" t="s">
        <v>7</v>
      </c>
      <c r="BF41" t="s">
        <v>182</v>
      </c>
      <c r="BG41" t="s">
        <v>67</v>
      </c>
      <c r="BI41" cm="1">
        <f t="array" ref="BI41">IFERROR(_xlfn._xlws.FILTER(shifts!A:A,(shifts!B:B=events!AD41)*(shifts!AG:AG&gt;=events!BK41)*(shifts!AH:AH&lt;=events!BL41)),BI40)</f>
        <v>1</v>
      </c>
      <c r="BJ41" s="15">
        <f t="shared" si="22"/>
        <v>0</v>
      </c>
      <c r="BK41">
        <f t="shared" si="38"/>
        <v>1059</v>
      </c>
      <c r="BL41">
        <f t="shared" si="39"/>
        <v>1059</v>
      </c>
      <c r="BM41" s="15">
        <f>SUMIFS(BJ$2:BJ41,K$2:K41,"=Intermission")+SUMIFS(BJ$2:BJ41,K$2:K41,"=Timeout")</f>
        <v>0</v>
      </c>
      <c r="BN41">
        <f t="shared" si="40"/>
        <v>0</v>
      </c>
      <c r="BO41" s="19">
        <f t="shared" si="41"/>
        <v>21</v>
      </c>
      <c r="BP41">
        <f t="shared" si="42"/>
        <v>16</v>
      </c>
      <c r="BQ41" s="17">
        <f t="shared" si="43"/>
        <v>21</v>
      </c>
      <c r="BR41" t="str">
        <f t="shared" si="44"/>
        <v>event_team_player_2</v>
      </c>
      <c r="BS41">
        <f>COUNTIFS(S$3:S41,"="&amp;S41,AI$3:AI41,"="&amp;AI41)</f>
        <v>2</v>
      </c>
      <c r="BT41" t="str">
        <f>IFERROR(VLOOKUP(BB41&amp;BU41&amp;X41,game_rosters!U:W,3,FALSE),"")</f>
        <v>P100078</v>
      </c>
      <c r="BU41" t="str">
        <f t="shared" si="45"/>
        <v>Nelson</v>
      </c>
    </row>
    <row r="42" spans="1:73" x14ac:dyDescent="0.2">
      <c r="A42">
        <f t="shared" si="2"/>
        <v>1</v>
      </c>
      <c r="E42" s="4"/>
      <c r="F42" s="43"/>
      <c r="G42" s="4"/>
      <c r="H42" s="46"/>
      <c r="J42" s="44" t="str">
        <f t="shared" si="46"/>
        <v/>
      </c>
      <c r="K42" t="s">
        <v>7</v>
      </c>
      <c r="L42" t="s">
        <v>182</v>
      </c>
      <c r="M42" t="s">
        <v>67</v>
      </c>
      <c r="N42" t="str">
        <f t="shared" si="48"/>
        <v>u</v>
      </c>
      <c r="Q42" t="str">
        <f t="shared" si="47"/>
        <v/>
      </c>
      <c r="S42">
        <v>18</v>
      </c>
      <c r="U42" t="str">
        <f>IF(B42=1,MAX($U$2:$U41)+1,IF(AND($T42&lt;&gt;"",$T42=$T41),$U41,IF(B42="x",U41,"")))</f>
        <v/>
      </c>
      <c r="V42" t="str">
        <f>IF(C42=1,MAX($V$2:$V41)+1,IF(AND($T42&lt;&gt;"",$T42=$T41),$U41,IF(C42="x",V41,"")))</f>
        <v/>
      </c>
      <c r="W42" t="str">
        <f t="shared" si="3"/>
        <v>h</v>
      </c>
      <c r="X42">
        <v>70</v>
      </c>
      <c r="Y42" t="e">
        <f>IF(X42&lt;&gt;"",VLOOKUP(X42,game_rosters!$C$43:$E$64,3,FALSE))</f>
        <v>#N/A</v>
      </c>
      <c r="Z42" t="str" cm="1">
        <f t="array" ref="Z42">IFERROR(IF(_xlfn._xlws.FILTER(game_rosters!$J:$J,(game_rosters!$G:$G=events!$AN42)*(game_rosters!$J:$J=events!$X42))&gt;0,1,""),"")</f>
        <v/>
      </c>
      <c r="AA42">
        <f t="shared" si="4"/>
        <v>1018</v>
      </c>
      <c r="AB42" t="str">
        <f t="shared" si="5"/>
        <v/>
      </c>
      <c r="AC42">
        <f t="shared" si="0"/>
        <v>1018</v>
      </c>
      <c r="AD42" s="6">
        <v>1</v>
      </c>
      <c r="AE42" t="s">
        <v>732</v>
      </c>
      <c r="AF42" t="s">
        <v>749</v>
      </c>
      <c r="AG42" t="s">
        <v>756</v>
      </c>
      <c r="AH42" t="s">
        <v>756</v>
      </c>
      <c r="AI42" t="s">
        <v>368</v>
      </c>
      <c r="AJ42" t="str">
        <f t="shared" si="6"/>
        <v/>
      </c>
      <c r="AK42" t="str">
        <f t="shared" si="7"/>
        <v/>
      </c>
      <c r="AL42" t="str">
        <f t="shared" si="8"/>
        <v/>
      </c>
      <c r="AN42" t="s">
        <v>861</v>
      </c>
      <c r="AO42" t="str">
        <f t="shared" si="9"/>
        <v>h</v>
      </c>
      <c r="AP42" t="str">
        <f t="shared" si="33"/>
        <v/>
      </c>
      <c r="AQ42" t="str">
        <f t="shared" si="34"/>
        <v/>
      </c>
      <c r="AR42" t="str">
        <f t="shared" si="35"/>
        <v>Home</v>
      </c>
      <c r="AS42" t="str">
        <f t="shared" si="36"/>
        <v>h</v>
      </c>
      <c r="AT42" t="str">
        <f t="shared" si="37"/>
        <v>Defensive</v>
      </c>
      <c r="BA42" s="6">
        <f t="shared" si="17"/>
        <v>11</v>
      </c>
      <c r="BB42">
        <f t="shared" si="18"/>
        <v>18981</v>
      </c>
      <c r="BC42" t="str">
        <f t="shared" si="19"/>
        <v>Nelson</v>
      </c>
      <c r="BD42" t="str">
        <f t="shared" si="20"/>
        <v>Velodrome</v>
      </c>
      <c r="BE42" t="s">
        <v>7</v>
      </c>
      <c r="BF42" t="s">
        <v>182</v>
      </c>
      <c r="BG42" t="s">
        <v>67</v>
      </c>
      <c r="BI42" cm="1">
        <f t="array" ref="BI42">IFERROR(_xlfn._xlws.FILTER(shifts!A:A,(shifts!B:B=events!AD42)*(shifts!AG:AG&gt;=events!BK42)*(shifts!AH:AH&lt;=events!BL42)),BI41)</f>
        <v>1</v>
      </c>
      <c r="BJ42" s="15">
        <f t="shared" si="22"/>
        <v>0</v>
      </c>
      <c r="BK42">
        <f t="shared" si="38"/>
        <v>1059</v>
      </c>
      <c r="BL42">
        <f t="shared" si="39"/>
        <v>1059</v>
      </c>
      <c r="BM42" s="15">
        <f>SUMIFS(BJ$2:BJ42,K$2:K42,"=Intermission")+SUMIFS(BJ$2:BJ42,K$2:K42,"=Timeout")</f>
        <v>0</v>
      </c>
      <c r="BN42">
        <f t="shared" si="40"/>
        <v>0</v>
      </c>
      <c r="BO42" s="19">
        <f t="shared" si="41"/>
        <v>21</v>
      </c>
      <c r="BP42">
        <f t="shared" si="42"/>
        <v>16</v>
      </c>
      <c r="BQ42" s="17">
        <f t="shared" si="43"/>
        <v>21</v>
      </c>
      <c r="BR42" t="str">
        <f t="shared" si="44"/>
        <v>opp_team_player_1</v>
      </c>
      <c r="BS42">
        <f>COUNTIFS(S$3:S42,"="&amp;S42,AI$3:AI42,"="&amp;AI42)</f>
        <v>1</v>
      </c>
      <c r="BT42" t="str">
        <f>IFERROR(VLOOKUP(BB42&amp;BU42&amp;X42,game_rosters!U:W,3,FALSE),"")</f>
        <v>P100001</v>
      </c>
      <c r="BU42" t="str">
        <f t="shared" si="45"/>
        <v>Velodrome</v>
      </c>
    </row>
    <row r="43" spans="1:73" x14ac:dyDescent="0.2">
      <c r="A43">
        <f t="shared" si="2"/>
        <v>1</v>
      </c>
      <c r="E43" s="4"/>
      <c r="F43" s="43"/>
      <c r="G43" s="4"/>
      <c r="H43" s="46"/>
      <c r="J43" s="44" t="str">
        <f t="shared" si="46"/>
        <v>o</v>
      </c>
      <c r="K43" t="s">
        <v>6</v>
      </c>
      <c r="L43" t="s">
        <v>191</v>
      </c>
      <c r="M43" t="s">
        <v>51</v>
      </c>
      <c r="N43" t="str">
        <f t="shared" si="48"/>
        <v>u</v>
      </c>
      <c r="Q43" t="str">
        <f t="shared" si="47"/>
        <v/>
      </c>
      <c r="S43">
        <v>19</v>
      </c>
      <c r="U43" t="str">
        <f>IF(B43=1,MAX($U$2:$U42)+1,IF(AND($T43&lt;&gt;"",$T43=$T42),$U42,IF(B43="x",U42,"")))</f>
        <v/>
      </c>
      <c r="V43" t="str">
        <f>IF(C43=1,MAX($V$2:$V42)+1,IF(AND($T43&lt;&gt;"",$T43=$T42),$U42,IF(C43="x",V42,"")))</f>
        <v/>
      </c>
      <c r="W43" t="str">
        <f t="shared" si="3"/>
        <v>h</v>
      </c>
      <c r="X43">
        <v>16</v>
      </c>
      <c r="Y43" t="b">
        <f>IF(X43&lt;&gt;"",VLOOKUP(X43,game_rosters!$C$43:$E$64,3,FALSE))</f>
        <v>0</v>
      </c>
      <c r="Z43" cm="1">
        <f t="array" ref="Z43">IFERROR(IF(_xlfn._xlws.FILTER(game_rosters!$J:$J,(game_rosters!$G:$G=events!$AN43)*(game_rosters!$J:$J=events!$X43))&gt;0,1,""),"")</f>
        <v>1</v>
      </c>
      <c r="AA43">
        <f t="shared" si="4"/>
        <v>1019</v>
      </c>
      <c r="AB43" t="str">
        <f t="shared" si="5"/>
        <v/>
      </c>
      <c r="AC43">
        <f t="shared" si="0"/>
        <v>1019</v>
      </c>
      <c r="AD43" s="6">
        <v>1</v>
      </c>
      <c r="AE43" t="s">
        <v>732</v>
      </c>
      <c r="AF43" t="s">
        <v>904</v>
      </c>
      <c r="AG43" t="s">
        <v>756</v>
      </c>
      <c r="AH43" t="s">
        <v>756</v>
      </c>
      <c r="AI43" t="s">
        <v>367</v>
      </c>
      <c r="AJ43" t="str">
        <f t="shared" si="6"/>
        <v>o</v>
      </c>
      <c r="AK43" t="str">
        <f t="shared" si="7"/>
        <v>o</v>
      </c>
      <c r="AL43" t="str">
        <f t="shared" si="8"/>
        <v>o</v>
      </c>
      <c r="AN43" t="s">
        <v>861</v>
      </c>
      <c r="AO43" t="str">
        <f t="shared" si="9"/>
        <v>h</v>
      </c>
      <c r="AP43" t="str">
        <f t="shared" si="33"/>
        <v>o</v>
      </c>
      <c r="AQ43" t="str">
        <f t="shared" si="34"/>
        <v/>
      </c>
      <c r="AR43" t="str">
        <f t="shared" si="35"/>
        <v>Home</v>
      </c>
      <c r="AS43" t="str">
        <f t="shared" si="36"/>
        <v>h</v>
      </c>
      <c r="AT43" t="str">
        <f t="shared" si="37"/>
        <v>Offensive</v>
      </c>
      <c r="BA43" s="6">
        <f t="shared" si="17"/>
        <v>11</v>
      </c>
      <c r="BB43">
        <f t="shared" si="18"/>
        <v>18981</v>
      </c>
      <c r="BC43" t="str">
        <f t="shared" si="19"/>
        <v>Nelson</v>
      </c>
      <c r="BD43" t="str">
        <f t="shared" si="20"/>
        <v>Velodrome</v>
      </c>
      <c r="BE43" t="s">
        <v>6</v>
      </c>
      <c r="BF43" t="s">
        <v>191</v>
      </c>
      <c r="BG43" t="s">
        <v>51</v>
      </c>
      <c r="BI43" cm="1">
        <f t="array" ref="BI43">IFERROR(_xlfn._xlws.FILTER(shifts!A:A,(shifts!B:B=events!AD43)*(shifts!AG:AG&gt;=events!BK43)*(shifts!AH:AH&lt;=events!BL43)),BI42)</f>
        <v>1</v>
      </c>
      <c r="BJ43" s="15">
        <f t="shared" si="22"/>
        <v>0</v>
      </c>
      <c r="BK43">
        <f t="shared" si="38"/>
        <v>1056</v>
      </c>
      <c r="BL43">
        <f t="shared" si="39"/>
        <v>1056</v>
      </c>
      <c r="BM43" s="15">
        <f>SUMIFS(BJ$2:BJ43,K$2:K43,"=Intermission")+SUMIFS(BJ$2:BJ43,K$2:K43,"=Timeout")</f>
        <v>0</v>
      </c>
      <c r="BN43">
        <f t="shared" si="40"/>
        <v>0</v>
      </c>
      <c r="BO43" s="19">
        <f t="shared" si="41"/>
        <v>24</v>
      </c>
      <c r="BP43">
        <f t="shared" si="42"/>
        <v>19</v>
      </c>
      <c r="BQ43" s="17">
        <f t="shared" si="43"/>
        <v>24</v>
      </c>
      <c r="BR43" t="str">
        <f t="shared" si="44"/>
        <v>event_team_player_1</v>
      </c>
      <c r="BS43">
        <f>COUNTIFS(S$3:S43,"="&amp;S43,AI$3:AI43,"="&amp;AI43)</f>
        <v>1</v>
      </c>
      <c r="BT43" t="str">
        <f>IFERROR(VLOOKUP(BB43&amp;BU43&amp;X43,game_rosters!U:W,3,FALSE),"")</f>
        <v>P100164</v>
      </c>
      <c r="BU43" t="str">
        <f t="shared" si="45"/>
        <v>Nelson</v>
      </c>
    </row>
    <row r="44" spans="1:73" x14ac:dyDescent="0.2">
      <c r="A44">
        <f t="shared" si="2"/>
        <v>1</v>
      </c>
      <c r="E44" s="4"/>
      <c r="F44" s="43"/>
      <c r="G44" s="4"/>
      <c r="H44" s="46"/>
      <c r="J44" s="44" t="str">
        <f t="shared" si="46"/>
        <v>o</v>
      </c>
      <c r="K44" t="s">
        <v>6</v>
      </c>
      <c r="L44" t="s">
        <v>191</v>
      </c>
      <c r="M44" t="s">
        <v>51</v>
      </c>
      <c r="N44" t="str">
        <f t="shared" si="48"/>
        <v>u</v>
      </c>
      <c r="Q44" t="str">
        <f t="shared" si="47"/>
        <v/>
      </c>
      <c r="S44">
        <v>19</v>
      </c>
      <c r="U44" t="str">
        <f>IF(B44=1,MAX($U$2:$U43)+1,IF(AND($T44&lt;&gt;"",$T44=$T43),$U43,IF(B44="x",U43,"")))</f>
        <v/>
      </c>
      <c r="V44" t="str">
        <f>IF(C44=1,MAX($V$2:$V43)+1,IF(AND($T44&lt;&gt;"",$T44=$T43),$U43,IF(C44="x",V43,"")))</f>
        <v/>
      </c>
      <c r="W44" t="str">
        <f t="shared" si="3"/>
        <v>h</v>
      </c>
      <c r="X44">
        <v>10</v>
      </c>
      <c r="Y44" t="b">
        <f>IF(X44&lt;&gt;"",VLOOKUP(X44,game_rosters!$C$43:$E$64,3,FALSE))</f>
        <v>0</v>
      </c>
      <c r="Z44" cm="1">
        <f t="array" ref="Z44">IFERROR(IF(_xlfn._xlws.FILTER(game_rosters!$J:$J,(game_rosters!$G:$G=events!$AN44)*(game_rosters!$J:$J=events!$X44))&gt;0,1,""),"")</f>
        <v>1</v>
      </c>
      <c r="AA44">
        <f t="shared" si="4"/>
        <v>1019</v>
      </c>
      <c r="AB44" t="str">
        <f t="shared" si="5"/>
        <v/>
      </c>
      <c r="AC44">
        <f t="shared" si="0"/>
        <v>1019</v>
      </c>
      <c r="AD44" s="6">
        <v>1</v>
      </c>
      <c r="AE44" t="s">
        <v>732</v>
      </c>
      <c r="AF44" t="s">
        <v>904</v>
      </c>
      <c r="AG44" t="s">
        <v>756</v>
      </c>
      <c r="AH44" t="s">
        <v>756</v>
      </c>
      <c r="AI44" t="s">
        <v>367</v>
      </c>
      <c r="AJ44" t="str">
        <f t="shared" si="6"/>
        <v>o</v>
      </c>
      <c r="AK44" t="str">
        <f t="shared" si="7"/>
        <v>o</v>
      </c>
      <c r="AL44" t="str">
        <f t="shared" si="8"/>
        <v>o</v>
      </c>
      <c r="AN44" t="s">
        <v>861</v>
      </c>
      <c r="AO44" t="str">
        <f t="shared" si="9"/>
        <v>h</v>
      </c>
      <c r="AP44" t="str">
        <f t="shared" si="33"/>
        <v>o</v>
      </c>
      <c r="AQ44" t="str">
        <f t="shared" si="34"/>
        <v/>
      </c>
      <c r="AR44" t="str">
        <f t="shared" si="35"/>
        <v>Home</v>
      </c>
      <c r="AS44" t="str">
        <f t="shared" si="36"/>
        <v>h</v>
      </c>
      <c r="AT44" t="str">
        <f t="shared" si="37"/>
        <v>Offensive</v>
      </c>
      <c r="BA44" s="6">
        <f t="shared" si="17"/>
        <v>11</v>
      </c>
      <c r="BB44">
        <f t="shared" si="18"/>
        <v>18981</v>
      </c>
      <c r="BC44" t="str">
        <f t="shared" si="19"/>
        <v>Nelson</v>
      </c>
      <c r="BD44" t="str">
        <f t="shared" si="20"/>
        <v>Velodrome</v>
      </c>
      <c r="BE44" t="s">
        <v>6</v>
      </c>
      <c r="BF44" t="s">
        <v>191</v>
      </c>
      <c r="BG44" t="s">
        <v>51</v>
      </c>
      <c r="BI44" cm="1">
        <f t="array" ref="BI44">IFERROR(_xlfn._xlws.FILTER(shifts!A:A,(shifts!B:B=events!AD44)*(shifts!AG:AG&gt;=events!BK44)*(shifts!AH:AH&lt;=events!BL44)),BI43)</f>
        <v>1</v>
      </c>
      <c r="BJ44" s="15">
        <f t="shared" si="22"/>
        <v>0</v>
      </c>
      <c r="BK44">
        <f t="shared" si="38"/>
        <v>1056</v>
      </c>
      <c r="BL44">
        <f t="shared" si="39"/>
        <v>1056</v>
      </c>
      <c r="BM44" s="15">
        <f>SUMIFS(BJ$2:BJ44,K$2:K44,"=Intermission")+SUMIFS(BJ$2:BJ44,K$2:K44,"=Timeout")</f>
        <v>0</v>
      </c>
      <c r="BN44">
        <f t="shared" si="40"/>
        <v>0</v>
      </c>
      <c r="BO44" s="19">
        <f t="shared" si="41"/>
        <v>24</v>
      </c>
      <c r="BP44">
        <f t="shared" si="42"/>
        <v>19</v>
      </c>
      <c r="BQ44" s="17">
        <f t="shared" si="43"/>
        <v>24</v>
      </c>
      <c r="BR44" t="str">
        <f t="shared" si="44"/>
        <v>event_team_player_2</v>
      </c>
      <c r="BS44">
        <f>COUNTIFS(S$3:S44,"="&amp;S44,AI$3:AI44,"="&amp;AI44)</f>
        <v>2</v>
      </c>
      <c r="BT44" t="str">
        <f>IFERROR(VLOOKUP(BB44&amp;BU44&amp;X44,game_rosters!U:W,3,FALSE),"")</f>
        <v>P100078</v>
      </c>
      <c r="BU44" t="str">
        <f t="shared" si="45"/>
        <v>Nelson</v>
      </c>
    </row>
    <row r="45" spans="1:73" x14ac:dyDescent="0.2">
      <c r="A45">
        <f t="shared" si="2"/>
        <v>1</v>
      </c>
      <c r="E45" s="4"/>
      <c r="F45" s="43"/>
      <c r="G45" s="4"/>
      <c r="H45" s="46"/>
      <c r="J45" s="44" t="str">
        <f t="shared" si="46"/>
        <v>o</v>
      </c>
      <c r="K45" t="s">
        <v>6</v>
      </c>
      <c r="L45" t="s">
        <v>191</v>
      </c>
      <c r="M45" t="s">
        <v>51</v>
      </c>
      <c r="N45" t="str">
        <f t="shared" si="48"/>
        <v>u</v>
      </c>
      <c r="Q45" t="str">
        <f t="shared" si="47"/>
        <v/>
      </c>
      <c r="S45">
        <v>19</v>
      </c>
      <c r="U45" t="str">
        <f>IF(B45=1,MAX($U$2:$U44)+1,IF(AND($T45&lt;&gt;"",$T45=$T44),$U44,IF(B45="x",U44,"")))</f>
        <v/>
      </c>
      <c r="V45" t="str">
        <f>IF(C45=1,MAX($V$2:$V44)+1,IF(AND($T45&lt;&gt;"",$T45=$T44),$U44,IF(C45="x",V44,"")))</f>
        <v/>
      </c>
      <c r="W45" t="str">
        <f t="shared" si="3"/>
        <v>h</v>
      </c>
      <c r="X45">
        <v>22</v>
      </c>
      <c r="Y45" t="e">
        <f>IF(X45&lt;&gt;"",VLOOKUP(X45,game_rosters!$C$43:$E$64,3,FALSE))</f>
        <v>#N/A</v>
      </c>
      <c r="Z45" t="str" cm="1">
        <f t="array" ref="Z45">IFERROR(IF(_xlfn._xlws.FILTER(game_rosters!$J:$J,(game_rosters!$G:$G=events!$AN45)*(game_rosters!$J:$J=events!$X45))&gt;0,1,""),"")</f>
        <v/>
      </c>
      <c r="AA45">
        <f t="shared" si="4"/>
        <v>1019</v>
      </c>
      <c r="AB45" t="str">
        <f t="shared" si="5"/>
        <v/>
      </c>
      <c r="AC45">
        <f t="shared" si="0"/>
        <v>1019</v>
      </c>
      <c r="AD45" s="6">
        <v>1</v>
      </c>
      <c r="AE45" t="s">
        <v>732</v>
      </c>
      <c r="AF45" t="s">
        <v>904</v>
      </c>
      <c r="AG45" t="s">
        <v>756</v>
      </c>
      <c r="AH45" t="s">
        <v>756</v>
      </c>
      <c r="AI45" t="s">
        <v>368</v>
      </c>
      <c r="AJ45" t="str">
        <f t="shared" si="6"/>
        <v>o</v>
      </c>
      <c r="AK45" t="str">
        <f t="shared" si="7"/>
        <v>o</v>
      </c>
      <c r="AL45" t="str">
        <f t="shared" si="8"/>
        <v>o</v>
      </c>
      <c r="AN45" t="s">
        <v>861</v>
      </c>
      <c r="AO45" t="str">
        <f t="shared" si="9"/>
        <v>h</v>
      </c>
      <c r="AP45" t="str">
        <f t="shared" si="33"/>
        <v>o</v>
      </c>
      <c r="AQ45" t="str">
        <f t="shared" si="34"/>
        <v/>
      </c>
      <c r="AR45" t="str">
        <f t="shared" si="35"/>
        <v>Home</v>
      </c>
      <c r="AS45" t="str">
        <f t="shared" si="36"/>
        <v>h</v>
      </c>
      <c r="AT45" t="str">
        <f t="shared" si="37"/>
        <v>Defensive</v>
      </c>
      <c r="BA45" s="6">
        <f t="shared" si="17"/>
        <v>11</v>
      </c>
      <c r="BB45">
        <f t="shared" si="18"/>
        <v>18981</v>
      </c>
      <c r="BC45" t="str">
        <f t="shared" si="19"/>
        <v>Nelson</v>
      </c>
      <c r="BD45" t="str">
        <f t="shared" si="20"/>
        <v>Velodrome</v>
      </c>
      <c r="BE45" t="s">
        <v>6</v>
      </c>
      <c r="BF45" t="s">
        <v>191</v>
      </c>
      <c r="BG45" t="s">
        <v>51</v>
      </c>
      <c r="BI45" cm="1">
        <f t="array" ref="BI45">IFERROR(_xlfn._xlws.FILTER(shifts!A:A,(shifts!B:B=events!AD45)*(shifts!AG:AG&gt;=events!BK45)*(shifts!AH:AH&lt;=events!BL45)),BI44)</f>
        <v>1</v>
      </c>
      <c r="BJ45" s="15">
        <f t="shared" si="22"/>
        <v>0</v>
      </c>
      <c r="BK45">
        <f t="shared" si="38"/>
        <v>1056</v>
      </c>
      <c r="BL45">
        <f t="shared" si="39"/>
        <v>1056</v>
      </c>
      <c r="BM45" s="15">
        <f>SUMIFS(BJ$2:BJ45,K$2:K45,"=Intermission")+SUMIFS(BJ$2:BJ45,K$2:K45,"=Timeout")</f>
        <v>0</v>
      </c>
      <c r="BN45">
        <f t="shared" si="40"/>
        <v>0</v>
      </c>
      <c r="BO45" s="19">
        <f t="shared" si="41"/>
        <v>24</v>
      </c>
      <c r="BP45">
        <f t="shared" si="42"/>
        <v>19</v>
      </c>
      <c r="BQ45" s="17">
        <f t="shared" si="43"/>
        <v>24</v>
      </c>
      <c r="BR45" t="str">
        <f t="shared" si="44"/>
        <v>opp_team_player_1</v>
      </c>
      <c r="BS45">
        <f>COUNTIFS(S$3:S45,"="&amp;S45,AI$3:AI45,"="&amp;AI45)</f>
        <v>1</v>
      </c>
      <c r="BT45" t="str">
        <f>IFERROR(VLOOKUP(BB45&amp;BU45&amp;X45,game_rosters!U:W,3,FALSE),"")</f>
        <v>P100108</v>
      </c>
      <c r="BU45" t="str">
        <f t="shared" si="45"/>
        <v>Velodrome</v>
      </c>
    </row>
    <row r="46" spans="1:73" x14ac:dyDescent="0.2">
      <c r="A46">
        <f t="shared" si="2"/>
        <v>1</v>
      </c>
      <c r="E46" s="4"/>
      <c r="F46" s="43"/>
      <c r="G46" s="4"/>
      <c r="H46" s="46"/>
      <c r="J46" s="44" t="str">
        <f t="shared" si="46"/>
        <v/>
      </c>
      <c r="K46" t="s">
        <v>9</v>
      </c>
      <c r="L46" t="s">
        <v>173</v>
      </c>
      <c r="M46" t="s">
        <v>76</v>
      </c>
      <c r="N46" t="str">
        <f t="shared" si="48"/>
        <v>u</v>
      </c>
      <c r="Q46" t="str">
        <f t="shared" si="47"/>
        <v/>
      </c>
      <c r="S46">
        <v>20</v>
      </c>
      <c r="U46" t="str">
        <f>IF(B46=1,MAX($U$2:$U45)+1,IF(AND($T46&lt;&gt;"",$T46=$T45),$U45,IF(B46="x",U45,"")))</f>
        <v/>
      </c>
      <c r="V46" t="str">
        <f>IF(C46=1,MAX($V$2:$V45)+1,IF(AND($T46&lt;&gt;"",$T46=$T45),$U45,IF(C46="x",V45,"")))</f>
        <v/>
      </c>
      <c r="W46" t="str">
        <f t="shared" si="3"/>
        <v>h</v>
      </c>
      <c r="X46">
        <v>16</v>
      </c>
      <c r="Y46" t="b">
        <f>IF(X46&lt;&gt;"",VLOOKUP(X46,game_rosters!$C$43:$E$64,3,FALSE))</f>
        <v>0</v>
      </c>
      <c r="Z46" cm="1">
        <f t="array" ref="Z46">IFERROR(IF(_xlfn._xlws.FILTER(game_rosters!$J:$J,(game_rosters!$G:$G=events!$AN46)*(game_rosters!$J:$J=events!$X46))&gt;0,1,""),"")</f>
        <v>1</v>
      </c>
      <c r="AA46">
        <f t="shared" si="4"/>
        <v>1020</v>
      </c>
      <c r="AB46" t="str">
        <f t="shared" si="5"/>
        <v/>
      </c>
      <c r="AC46">
        <f t="shared" si="0"/>
        <v>1020</v>
      </c>
      <c r="AD46" s="6">
        <v>1</v>
      </c>
      <c r="AE46" t="s">
        <v>732</v>
      </c>
      <c r="AF46" t="s">
        <v>904</v>
      </c>
      <c r="AG46" t="s">
        <v>756</v>
      </c>
      <c r="AH46" t="s">
        <v>756</v>
      </c>
      <c r="AI46" t="s">
        <v>367</v>
      </c>
      <c r="AJ46" t="str">
        <f t="shared" si="6"/>
        <v/>
      </c>
      <c r="AK46" t="str">
        <f t="shared" si="7"/>
        <v/>
      </c>
      <c r="AL46" t="str">
        <f t="shared" si="8"/>
        <v/>
      </c>
      <c r="AN46" t="s">
        <v>861</v>
      </c>
      <c r="AO46" t="str">
        <f t="shared" si="9"/>
        <v>h</v>
      </c>
      <c r="AP46" t="str">
        <f t="shared" si="33"/>
        <v/>
      </c>
      <c r="AQ46" t="str">
        <f t="shared" si="34"/>
        <v/>
      </c>
      <c r="AR46" t="str">
        <f t="shared" si="35"/>
        <v>Home</v>
      </c>
      <c r="AS46" t="str">
        <f t="shared" si="36"/>
        <v>h</v>
      </c>
      <c r="AT46" t="str">
        <f t="shared" si="37"/>
        <v>Offensive</v>
      </c>
      <c r="BA46" s="6">
        <f t="shared" si="17"/>
        <v>11</v>
      </c>
      <c r="BB46">
        <f t="shared" si="18"/>
        <v>18981</v>
      </c>
      <c r="BC46" t="str">
        <f t="shared" si="19"/>
        <v>Nelson</v>
      </c>
      <c r="BD46" t="str">
        <f t="shared" si="20"/>
        <v>Velodrome</v>
      </c>
      <c r="BE46" t="s">
        <v>9</v>
      </c>
      <c r="BF46" t="s">
        <v>173</v>
      </c>
      <c r="BG46" t="s">
        <v>76</v>
      </c>
      <c r="BI46" cm="1">
        <f t="array" ref="BI46">IFERROR(_xlfn._xlws.FILTER(shifts!A:A,(shifts!B:B=events!AD46)*(shifts!AG:AG&gt;=events!BK46)*(shifts!AH:AH&lt;=events!BL46)),BI45)</f>
        <v>1</v>
      </c>
      <c r="BJ46" s="15">
        <f t="shared" si="22"/>
        <v>0</v>
      </c>
      <c r="BK46">
        <f t="shared" si="38"/>
        <v>1056</v>
      </c>
      <c r="BL46">
        <f t="shared" si="39"/>
        <v>1056</v>
      </c>
      <c r="BM46" s="15">
        <f>SUMIFS(BJ$2:BJ46,K$2:K46,"=Intermission")+SUMIFS(BJ$2:BJ46,K$2:K46,"=Timeout")</f>
        <v>0</v>
      </c>
      <c r="BN46">
        <f t="shared" si="40"/>
        <v>0</v>
      </c>
      <c r="BO46" s="19">
        <f t="shared" si="41"/>
        <v>24</v>
      </c>
      <c r="BP46">
        <f t="shared" si="42"/>
        <v>19</v>
      </c>
      <c r="BQ46" s="17">
        <f t="shared" si="43"/>
        <v>24</v>
      </c>
      <c r="BR46" t="str">
        <f t="shared" si="44"/>
        <v>event_team_player_1</v>
      </c>
      <c r="BS46">
        <f>COUNTIFS(S$3:S46,"="&amp;S46,AI$3:AI46,"="&amp;AI46)</f>
        <v>1</v>
      </c>
      <c r="BT46" t="str">
        <f>IFERROR(VLOOKUP(BB46&amp;BU46&amp;X46,game_rosters!U:W,3,FALSE),"")</f>
        <v>P100164</v>
      </c>
      <c r="BU46" t="str">
        <f t="shared" si="45"/>
        <v>Nelson</v>
      </c>
    </row>
    <row r="47" spans="1:73" x14ac:dyDescent="0.2">
      <c r="A47">
        <f t="shared" si="2"/>
        <v>1</v>
      </c>
      <c r="E47" s="4"/>
      <c r="F47" s="43"/>
      <c r="G47" s="4"/>
      <c r="H47" s="46"/>
      <c r="J47" s="44" t="str">
        <f t="shared" si="46"/>
        <v/>
      </c>
      <c r="K47" t="s">
        <v>9</v>
      </c>
      <c r="L47" t="s">
        <v>173</v>
      </c>
      <c r="M47" t="s">
        <v>76</v>
      </c>
      <c r="N47" t="str">
        <f t="shared" si="48"/>
        <v>u</v>
      </c>
      <c r="Q47" t="str">
        <f t="shared" si="47"/>
        <v/>
      </c>
      <c r="S47">
        <v>20</v>
      </c>
      <c r="U47" t="str">
        <f>IF(B47=1,MAX($U$2:$U46)+1,IF(AND($T47&lt;&gt;"",$T47=$T46),$U46,IF(B47="x",U46,"")))</f>
        <v/>
      </c>
      <c r="V47" t="str">
        <f>IF(C47=1,MAX($V$2:$V46)+1,IF(AND($T47&lt;&gt;"",$T47=$T46),$U46,IF(C47="x",V46,"")))</f>
        <v/>
      </c>
      <c r="W47" t="str">
        <f t="shared" si="3"/>
        <v>h</v>
      </c>
      <c r="X47">
        <v>22</v>
      </c>
      <c r="Y47" t="e">
        <f>IF(X47&lt;&gt;"",VLOOKUP(X47,game_rosters!$C$43:$E$64,3,FALSE))</f>
        <v>#N/A</v>
      </c>
      <c r="Z47" t="str" cm="1">
        <f t="array" ref="Z47">IFERROR(IF(_xlfn._xlws.FILTER(game_rosters!$J:$J,(game_rosters!$G:$G=events!$AN47)*(game_rosters!$J:$J=events!$X47))&gt;0,1,""),"")</f>
        <v/>
      </c>
      <c r="AA47">
        <f t="shared" si="4"/>
        <v>1020</v>
      </c>
      <c r="AB47" t="str">
        <f t="shared" si="5"/>
        <v/>
      </c>
      <c r="AC47">
        <f t="shared" si="0"/>
        <v>1020</v>
      </c>
      <c r="AD47" s="6">
        <v>1</v>
      </c>
      <c r="AE47" t="s">
        <v>732</v>
      </c>
      <c r="AF47" t="s">
        <v>904</v>
      </c>
      <c r="AG47" t="s">
        <v>756</v>
      </c>
      <c r="AH47" t="s">
        <v>756</v>
      </c>
      <c r="AI47" t="s">
        <v>368</v>
      </c>
      <c r="AJ47" t="str">
        <f t="shared" si="6"/>
        <v/>
      </c>
      <c r="AK47" t="str">
        <f t="shared" si="7"/>
        <v/>
      </c>
      <c r="AL47" t="str">
        <f t="shared" si="8"/>
        <v/>
      </c>
      <c r="AN47" t="s">
        <v>861</v>
      </c>
      <c r="AO47" t="str">
        <f t="shared" si="9"/>
        <v>h</v>
      </c>
      <c r="AP47" t="str">
        <f t="shared" si="33"/>
        <v/>
      </c>
      <c r="AQ47" t="str">
        <f t="shared" si="34"/>
        <v/>
      </c>
      <c r="AR47" t="str">
        <f t="shared" si="35"/>
        <v>Home</v>
      </c>
      <c r="AS47" t="str">
        <f t="shared" si="36"/>
        <v>h</v>
      </c>
      <c r="AT47" t="str">
        <f t="shared" si="37"/>
        <v>Defensive</v>
      </c>
      <c r="BA47" s="6">
        <f t="shared" si="17"/>
        <v>11</v>
      </c>
      <c r="BB47">
        <f t="shared" si="18"/>
        <v>18981</v>
      </c>
      <c r="BC47" t="str">
        <f t="shared" si="19"/>
        <v>Nelson</v>
      </c>
      <c r="BD47" t="str">
        <f t="shared" si="20"/>
        <v>Velodrome</v>
      </c>
      <c r="BE47" t="s">
        <v>9</v>
      </c>
      <c r="BF47" t="s">
        <v>173</v>
      </c>
      <c r="BG47" t="s">
        <v>76</v>
      </c>
      <c r="BI47" cm="1">
        <f t="array" ref="BI47">IFERROR(_xlfn._xlws.FILTER(shifts!A:A,(shifts!B:B=events!AD47)*(shifts!AG:AG&gt;=events!BK47)*(shifts!AH:AH&lt;=events!BL47)),BI46)</f>
        <v>1</v>
      </c>
      <c r="BJ47" s="15">
        <f t="shared" si="22"/>
        <v>0</v>
      </c>
      <c r="BK47">
        <f t="shared" si="38"/>
        <v>1056</v>
      </c>
      <c r="BL47">
        <f t="shared" si="39"/>
        <v>1056</v>
      </c>
      <c r="BM47" s="15">
        <f>SUMIFS(BJ$2:BJ47,K$2:K47,"=Intermission")+SUMIFS(BJ$2:BJ47,K$2:K47,"=Timeout")</f>
        <v>0</v>
      </c>
      <c r="BN47">
        <f t="shared" si="40"/>
        <v>0</v>
      </c>
      <c r="BO47" s="19">
        <f t="shared" si="41"/>
        <v>24</v>
      </c>
      <c r="BP47">
        <f t="shared" si="42"/>
        <v>19</v>
      </c>
      <c r="BQ47" s="17">
        <f t="shared" si="43"/>
        <v>24</v>
      </c>
      <c r="BR47" t="str">
        <f t="shared" si="44"/>
        <v>opp_team_player_1</v>
      </c>
      <c r="BS47">
        <f>COUNTIFS(S$3:S47,"="&amp;S47,AI$3:AI47,"="&amp;AI47)</f>
        <v>1</v>
      </c>
      <c r="BT47" t="str">
        <f>IFERROR(VLOOKUP(BB47&amp;BU47&amp;X47,game_rosters!U:W,3,FALSE),"")</f>
        <v>P100108</v>
      </c>
      <c r="BU47" t="str">
        <f t="shared" si="45"/>
        <v>Velodrome</v>
      </c>
    </row>
    <row r="48" spans="1:73" x14ac:dyDescent="0.2">
      <c r="A48">
        <f t="shared" si="2"/>
        <v>1</v>
      </c>
      <c r="E48" s="4"/>
      <c r="F48" s="43"/>
      <c r="G48" s="4"/>
      <c r="H48" s="46"/>
      <c r="J48" s="44" t="str">
        <f t="shared" si="46"/>
        <v>d</v>
      </c>
      <c r="K48" t="s">
        <v>238</v>
      </c>
      <c r="L48" t="s">
        <v>184</v>
      </c>
      <c r="M48" t="s">
        <v>88</v>
      </c>
      <c r="N48" t="str">
        <f t="shared" si="48"/>
        <v>s</v>
      </c>
      <c r="Q48" t="str">
        <f t="shared" si="47"/>
        <v/>
      </c>
      <c r="S48">
        <v>21</v>
      </c>
      <c r="U48" t="str">
        <f>IF(B48=1,MAX($U$2:$U47)+1,IF(AND($T48&lt;&gt;"",$T48=$T47),$U47,IF(B48="x",U47,"")))</f>
        <v/>
      </c>
      <c r="V48" t="str">
        <f>IF(C48=1,MAX($V$2:$V47)+1,IF(AND($T48&lt;&gt;"",$T48=$T47),$U47,IF(C48="x",V47,"")))</f>
        <v/>
      </c>
      <c r="W48" t="str">
        <f t="shared" si="3"/>
        <v>a</v>
      </c>
      <c r="X48">
        <v>70</v>
      </c>
      <c r="Y48" t="e">
        <f>IF(X48&lt;&gt;"",VLOOKUP(X48,game_rosters!$C$43:$E$64,3,FALSE))</f>
        <v>#N/A</v>
      </c>
      <c r="Z48" cm="1">
        <f t="array" ref="Z48">IFERROR(IF(_xlfn._xlws.FILTER(game_rosters!$J:$J,(game_rosters!$G:$G=events!$AN48)*(game_rosters!$J:$J=events!$X48))&gt;0,1,""),"")</f>
        <v>1</v>
      </c>
      <c r="AA48">
        <f t="shared" si="4"/>
        <v>1021</v>
      </c>
      <c r="AB48" t="str">
        <f t="shared" si="5"/>
        <v/>
      </c>
      <c r="AC48">
        <f t="shared" si="0"/>
        <v>1021</v>
      </c>
      <c r="AD48" s="6">
        <v>1</v>
      </c>
      <c r="AE48" t="s">
        <v>732</v>
      </c>
      <c r="AF48" t="s">
        <v>750</v>
      </c>
      <c r="AG48" t="s">
        <v>732</v>
      </c>
      <c r="AH48" t="s">
        <v>905</v>
      </c>
      <c r="AI48" t="s">
        <v>367</v>
      </c>
      <c r="AJ48" t="str">
        <f t="shared" si="6"/>
        <v>d</v>
      </c>
      <c r="AK48" t="str">
        <f t="shared" si="7"/>
        <v>d</v>
      </c>
      <c r="AL48" t="str">
        <f t="shared" si="8"/>
        <v>o</v>
      </c>
      <c r="AN48" t="s">
        <v>862</v>
      </c>
      <c r="AO48" t="str">
        <f t="shared" si="9"/>
        <v>a</v>
      </c>
      <c r="AP48" t="str">
        <f t="shared" si="33"/>
        <v>o</v>
      </c>
      <c r="AQ48" t="str">
        <f t="shared" si="34"/>
        <v/>
      </c>
      <c r="AR48" t="str">
        <f t="shared" si="35"/>
        <v>Away</v>
      </c>
      <c r="AS48" t="str">
        <f t="shared" si="36"/>
        <v>a</v>
      </c>
      <c r="AT48" t="str">
        <f t="shared" si="37"/>
        <v>Offensive</v>
      </c>
      <c r="BA48" s="6">
        <f t="shared" si="17"/>
        <v>12</v>
      </c>
      <c r="BB48">
        <f t="shared" si="18"/>
        <v>18981</v>
      </c>
      <c r="BC48" t="str">
        <f t="shared" si="19"/>
        <v>Nelson</v>
      </c>
      <c r="BD48" t="str">
        <f t="shared" si="20"/>
        <v>Velodrome</v>
      </c>
      <c r="BE48" t="s">
        <v>238</v>
      </c>
      <c r="BF48" t="s">
        <v>184</v>
      </c>
      <c r="BG48" t="s">
        <v>88</v>
      </c>
      <c r="BI48" cm="1">
        <f t="array" ref="BI48">IFERROR(_xlfn._xlws.FILTER(shifts!A:A,(shifts!B:B=events!AD48)*(shifts!AG:AG&gt;=events!BK48)*(shifts!AH:AH&lt;=events!BL48)),BI47)</f>
        <v>1</v>
      </c>
      <c r="BJ48" s="15">
        <f t="shared" si="22"/>
        <v>3</v>
      </c>
      <c r="BK48">
        <f t="shared" si="38"/>
        <v>1055</v>
      </c>
      <c r="BL48">
        <f t="shared" si="39"/>
        <v>1052</v>
      </c>
      <c r="BM48" s="15">
        <f>SUMIFS(BJ$2:BJ48,K$2:K48,"=Intermission")+SUMIFS(BJ$2:BJ48,K$2:K48,"=Timeout")</f>
        <v>0</v>
      </c>
      <c r="BN48">
        <f t="shared" si="40"/>
        <v>0</v>
      </c>
      <c r="BO48" s="19">
        <f t="shared" si="41"/>
        <v>25</v>
      </c>
      <c r="BP48">
        <f t="shared" si="42"/>
        <v>20</v>
      </c>
      <c r="BQ48" s="17">
        <f t="shared" si="43"/>
        <v>28</v>
      </c>
      <c r="BR48" t="str">
        <f t="shared" si="44"/>
        <v>event_team_player_1</v>
      </c>
      <c r="BS48">
        <f>COUNTIFS(S$3:S48,"="&amp;S48,AI$3:AI48,"="&amp;AI48)</f>
        <v>1</v>
      </c>
      <c r="BT48" t="str">
        <f>IFERROR(VLOOKUP(BB48&amp;BU48&amp;X48,game_rosters!U:W,3,FALSE),"")</f>
        <v>P100001</v>
      </c>
      <c r="BU48" t="str">
        <f t="shared" si="45"/>
        <v>Velodrome</v>
      </c>
    </row>
    <row r="49" spans="1:73" x14ac:dyDescent="0.2">
      <c r="A49">
        <f t="shared" si="2"/>
        <v>1</v>
      </c>
      <c r="E49" s="4"/>
      <c r="F49" s="43"/>
      <c r="G49" s="4"/>
      <c r="H49" s="46"/>
      <c r="J49" s="44" t="str">
        <f t="shared" si="46"/>
        <v/>
      </c>
      <c r="K49" t="s">
        <v>13</v>
      </c>
      <c r="L49" t="s">
        <v>756</v>
      </c>
      <c r="M49" t="s">
        <v>756</v>
      </c>
      <c r="N49" t="str">
        <f t="shared" si="48"/>
        <v/>
      </c>
      <c r="Q49" t="str">
        <f t="shared" si="47"/>
        <v/>
      </c>
      <c r="S49">
        <v>22</v>
      </c>
      <c r="U49" t="str">
        <f>IF(B49=1,MAX($U$2:$U48)+1,IF(AND($T49&lt;&gt;"",$T49=$T48),$U48,IF(B49="x",U48,"")))</f>
        <v/>
      </c>
      <c r="V49" t="str">
        <f>IF(C49=1,MAX($V$2:$V48)+1,IF(AND($T49&lt;&gt;"",$T49=$T48),$U48,IF(C49="x",V48,"")))</f>
        <v/>
      </c>
      <c r="W49" t="str">
        <f t="shared" si="3"/>
        <v>a</v>
      </c>
      <c r="X49">
        <v>70</v>
      </c>
      <c r="Y49" t="e">
        <f>IF(X49&lt;&gt;"",VLOOKUP(X49,game_rosters!$C$43:$E$64,3,FALSE))</f>
        <v>#N/A</v>
      </c>
      <c r="Z49" cm="1">
        <f t="array" ref="Z49">IFERROR(IF(_xlfn._xlws.FILTER(game_rosters!$J:$J,(game_rosters!$G:$G=events!$AN49)*(game_rosters!$J:$J=events!$X49))&gt;0,1,""),"")</f>
        <v>1</v>
      </c>
      <c r="AA49">
        <f t="shared" si="4"/>
        <v>1022</v>
      </c>
      <c r="AB49" t="str">
        <f t="shared" si="5"/>
        <v/>
      </c>
      <c r="AC49">
        <f t="shared" si="0"/>
        <v>1022</v>
      </c>
      <c r="AD49" s="6">
        <v>1</v>
      </c>
      <c r="AE49" t="s">
        <v>732</v>
      </c>
      <c r="AF49" t="s">
        <v>905</v>
      </c>
      <c r="AG49" t="s">
        <v>732</v>
      </c>
      <c r="AH49" t="s">
        <v>738</v>
      </c>
      <c r="AI49" t="s">
        <v>367</v>
      </c>
      <c r="AJ49" t="str">
        <f t="shared" si="6"/>
        <v/>
      </c>
      <c r="AK49" t="str">
        <f t="shared" si="7"/>
        <v/>
      </c>
      <c r="AL49" t="str">
        <f t="shared" si="8"/>
        <v/>
      </c>
      <c r="AN49" t="s">
        <v>862</v>
      </c>
      <c r="AO49" t="str">
        <f t="shared" si="9"/>
        <v>a</v>
      </c>
      <c r="AP49" t="str">
        <f t="shared" si="33"/>
        <v/>
      </c>
      <c r="AQ49" t="str">
        <f t="shared" si="34"/>
        <v/>
      </c>
      <c r="AR49" t="str">
        <f t="shared" si="35"/>
        <v>Away</v>
      </c>
      <c r="AS49" t="str">
        <f t="shared" si="36"/>
        <v>a</v>
      </c>
      <c r="AT49" t="str">
        <f t="shared" si="37"/>
        <v>Offensive</v>
      </c>
      <c r="BA49" s="6">
        <f t="shared" si="17"/>
        <v>12</v>
      </c>
      <c r="BB49">
        <f t="shared" si="18"/>
        <v>18981</v>
      </c>
      <c r="BC49" t="str">
        <f t="shared" si="19"/>
        <v>Nelson</v>
      </c>
      <c r="BD49" t="str">
        <f t="shared" si="20"/>
        <v>Velodrome</v>
      </c>
      <c r="BE49" t="s">
        <v>13</v>
      </c>
      <c r="BF49" t="s">
        <v>756</v>
      </c>
      <c r="BG49" t="s">
        <v>756</v>
      </c>
      <c r="BI49" cm="1">
        <f t="array" ref="BI49">IFERROR(_xlfn._xlws.FILTER(shifts!A:A,(shifts!B:B=events!AD49)*(shifts!AG:AG&gt;=events!BK49)*(shifts!AH:AH&lt;=events!BL49)),BI48)</f>
        <v>1</v>
      </c>
      <c r="BJ49" s="15">
        <f t="shared" si="22"/>
        <v>1</v>
      </c>
      <c r="BK49">
        <f t="shared" si="38"/>
        <v>1052</v>
      </c>
      <c r="BL49">
        <f t="shared" si="39"/>
        <v>1051</v>
      </c>
      <c r="BM49" s="15">
        <f>SUMIFS(BJ$2:BJ49,K$2:K49,"=Intermission")+SUMIFS(BJ$2:BJ49,K$2:K49,"=Timeout")</f>
        <v>0</v>
      </c>
      <c r="BN49">
        <f t="shared" si="40"/>
        <v>0</v>
      </c>
      <c r="BO49" s="19">
        <f t="shared" si="41"/>
        <v>28</v>
      </c>
      <c r="BP49">
        <f t="shared" si="42"/>
        <v>23</v>
      </c>
      <c r="BQ49" s="17">
        <f t="shared" si="43"/>
        <v>29</v>
      </c>
      <c r="BR49" t="str">
        <f t="shared" si="44"/>
        <v>event_team_player_1</v>
      </c>
      <c r="BS49">
        <f>COUNTIFS(S$3:S49,"="&amp;S49,AI$3:AI49,"="&amp;AI49)</f>
        <v>1</v>
      </c>
      <c r="BT49" t="str">
        <f>IFERROR(VLOOKUP(BB49&amp;BU49&amp;X49,game_rosters!U:W,3,FALSE),"")</f>
        <v>P100001</v>
      </c>
      <c r="BU49" t="str">
        <f t="shared" si="45"/>
        <v>Velodrome</v>
      </c>
    </row>
    <row r="50" spans="1:73" x14ac:dyDescent="0.2">
      <c r="A50">
        <f t="shared" si="2"/>
        <v>1</v>
      </c>
      <c r="E50" s="4"/>
      <c r="F50" s="43"/>
      <c r="G50" s="4"/>
      <c r="H50" s="46"/>
      <c r="J50" s="44" t="str">
        <f t="shared" si="46"/>
        <v>o</v>
      </c>
      <c r="K50" t="s">
        <v>238</v>
      </c>
      <c r="L50" t="s">
        <v>174</v>
      </c>
      <c r="M50" t="s">
        <v>85</v>
      </c>
      <c r="N50" t="str">
        <f t="shared" si="48"/>
        <v>s</v>
      </c>
      <c r="Q50" t="str">
        <f t="shared" si="47"/>
        <v/>
      </c>
      <c r="S50">
        <v>23</v>
      </c>
      <c r="U50" t="str">
        <f>IF(B50=1,MAX($U$2:$U49)+1,IF(AND($T50&lt;&gt;"",$T50=$T49),$U49,IF(B50="x",U49,"")))</f>
        <v/>
      </c>
      <c r="V50" t="str">
        <f>IF(C50=1,MAX($V$2:$V49)+1,IF(AND($T50&lt;&gt;"",$T50=$T49),$U49,IF(C50="x",V49,"")))</f>
        <v/>
      </c>
      <c r="W50" t="str">
        <f t="shared" si="3"/>
        <v>a</v>
      </c>
      <c r="X50">
        <v>70</v>
      </c>
      <c r="Y50" t="e">
        <f>IF(X50&lt;&gt;"",VLOOKUP(X50,game_rosters!$C$43:$E$64,3,FALSE))</f>
        <v>#N/A</v>
      </c>
      <c r="Z50" cm="1">
        <f t="array" ref="Z50">IFERROR(IF(_xlfn._xlws.FILTER(game_rosters!$J:$J,(game_rosters!$G:$G=events!$AN50)*(game_rosters!$J:$J=events!$X50))&gt;0,1,""),"")</f>
        <v>1</v>
      </c>
      <c r="AA50">
        <f t="shared" si="4"/>
        <v>1023</v>
      </c>
      <c r="AB50" t="str">
        <f t="shared" si="5"/>
        <v/>
      </c>
      <c r="AC50">
        <f t="shared" si="0"/>
        <v>1023</v>
      </c>
      <c r="AD50" s="6">
        <v>1</v>
      </c>
      <c r="AE50" t="s">
        <v>732</v>
      </c>
      <c r="AF50" t="s">
        <v>738</v>
      </c>
      <c r="AG50" t="s">
        <v>732</v>
      </c>
      <c r="AH50" t="s">
        <v>906</v>
      </c>
      <c r="AI50" t="s">
        <v>367</v>
      </c>
      <c r="AJ50" t="str">
        <f t="shared" si="6"/>
        <v>o</v>
      </c>
      <c r="AK50" t="str">
        <f t="shared" si="7"/>
        <v>o</v>
      </c>
      <c r="AL50" t="str">
        <f t="shared" si="8"/>
        <v>d</v>
      </c>
      <c r="AN50" t="s">
        <v>862</v>
      </c>
      <c r="AO50" t="str">
        <f t="shared" si="9"/>
        <v>a</v>
      </c>
      <c r="AP50" t="str">
        <f t="shared" si="33"/>
        <v>d</v>
      </c>
      <c r="AQ50" t="str">
        <f t="shared" si="34"/>
        <v/>
      </c>
      <c r="AR50" t="str">
        <f t="shared" si="35"/>
        <v>Away</v>
      </c>
      <c r="AS50" t="str">
        <f t="shared" si="36"/>
        <v>a</v>
      </c>
      <c r="AT50" t="str">
        <f t="shared" si="37"/>
        <v>Offensive</v>
      </c>
      <c r="BA50" s="6">
        <f t="shared" si="17"/>
        <v>13</v>
      </c>
      <c r="BB50">
        <f t="shared" si="18"/>
        <v>18981</v>
      </c>
      <c r="BC50" t="str">
        <f t="shared" si="19"/>
        <v>Nelson</v>
      </c>
      <c r="BD50" t="str">
        <f t="shared" si="20"/>
        <v>Velodrome</v>
      </c>
      <c r="BE50" t="s">
        <v>238</v>
      </c>
      <c r="BF50" t="s">
        <v>174</v>
      </c>
      <c r="BG50" t="s">
        <v>85</v>
      </c>
      <c r="BI50" cm="1">
        <f t="array" ref="BI50">IFERROR(_xlfn._xlws.FILTER(shifts!A:A,(shifts!B:B=events!AD50)*(shifts!AG:AG&gt;=events!BK50)*(shifts!AH:AH&lt;=events!BL50)),BI49)</f>
        <v>1</v>
      </c>
      <c r="BJ50" s="15">
        <f t="shared" si="22"/>
        <v>2</v>
      </c>
      <c r="BK50">
        <f t="shared" si="38"/>
        <v>1051</v>
      </c>
      <c r="BL50">
        <f t="shared" si="39"/>
        <v>1049</v>
      </c>
      <c r="BM50" s="15">
        <f>SUMIFS(BJ$2:BJ50,K$2:K50,"=Intermission")+SUMIFS(BJ$2:BJ50,K$2:K50,"=Timeout")</f>
        <v>0</v>
      </c>
      <c r="BN50">
        <f t="shared" si="40"/>
        <v>0</v>
      </c>
      <c r="BO50" s="19">
        <f t="shared" si="41"/>
        <v>29</v>
      </c>
      <c r="BP50">
        <f t="shared" si="42"/>
        <v>24</v>
      </c>
      <c r="BQ50" s="17">
        <f t="shared" si="43"/>
        <v>31</v>
      </c>
      <c r="BR50" t="str">
        <f t="shared" si="44"/>
        <v>event_team_player_1</v>
      </c>
      <c r="BS50">
        <f>COUNTIFS(S$3:S50,"="&amp;S50,AI$3:AI50,"="&amp;AI50)</f>
        <v>1</v>
      </c>
      <c r="BT50" t="str">
        <f>IFERROR(VLOOKUP(BB50&amp;BU50&amp;X50,game_rosters!U:W,3,FALSE),"")</f>
        <v>P100001</v>
      </c>
      <c r="BU50" t="str">
        <f t="shared" si="45"/>
        <v>Velodrome</v>
      </c>
    </row>
    <row r="51" spans="1:73" x14ac:dyDescent="0.2">
      <c r="A51">
        <f t="shared" si="2"/>
        <v>1</v>
      </c>
      <c r="E51" s="4"/>
      <c r="F51" s="43"/>
      <c r="G51" s="4"/>
      <c r="H51" s="46"/>
      <c r="J51" s="44" t="str">
        <f t="shared" si="46"/>
        <v>o</v>
      </c>
      <c r="K51" t="s">
        <v>238</v>
      </c>
      <c r="L51" t="s">
        <v>174</v>
      </c>
      <c r="M51" t="s">
        <v>85</v>
      </c>
      <c r="N51" t="str">
        <f t="shared" si="48"/>
        <v>s</v>
      </c>
      <c r="Q51" t="str">
        <f t="shared" si="47"/>
        <v/>
      </c>
      <c r="S51">
        <v>23</v>
      </c>
      <c r="U51" t="str">
        <f>IF(B51=1,MAX($U$2:$U50)+1,IF(AND($T51&lt;&gt;"",$T51=$T50),$U50,IF(B51="x",U50,"")))</f>
        <v/>
      </c>
      <c r="V51" t="str">
        <f>IF(C51=1,MAX($V$2:$V50)+1,IF(AND($T51&lt;&gt;"",$T51=$T50),$U50,IF(C51="x",V50,"")))</f>
        <v/>
      </c>
      <c r="W51" t="str">
        <f t="shared" si="3"/>
        <v>a</v>
      </c>
      <c r="X51">
        <v>23</v>
      </c>
      <c r="Y51" t="b">
        <f>IF(X51&lt;&gt;"",VLOOKUP(X51,game_rosters!$C$43:$E$64,3,FALSE))</f>
        <v>0</v>
      </c>
      <c r="Z51" t="str" cm="1">
        <f t="array" ref="Z51">IFERROR(IF(_xlfn._xlws.FILTER(game_rosters!$J:$J,(game_rosters!$G:$G=events!$AN51)*(game_rosters!$J:$J=events!$X51))&gt;0,1,""),"")</f>
        <v/>
      </c>
      <c r="AA51">
        <f t="shared" si="4"/>
        <v>1023</v>
      </c>
      <c r="AB51" t="str">
        <f t="shared" si="5"/>
        <v/>
      </c>
      <c r="AC51">
        <f t="shared" si="0"/>
        <v>1023</v>
      </c>
      <c r="AD51" s="6">
        <v>1</v>
      </c>
      <c r="AE51" t="s">
        <v>732</v>
      </c>
      <c r="AF51" t="s">
        <v>738</v>
      </c>
      <c r="AG51" t="s">
        <v>732</v>
      </c>
      <c r="AH51" t="s">
        <v>906</v>
      </c>
      <c r="AI51" t="s">
        <v>368</v>
      </c>
      <c r="AJ51" t="str">
        <f t="shared" si="6"/>
        <v>o</v>
      </c>
      <c r="AK51" t="str">
        <f t="shared" si="7"/>
        <v>o</v>
      </c>
      <c r="AL51" t="str">
        <f t="shared" si="8"/>
        <v>d</v>
      </c>
      <c r="AN51" t="s">
        <v>862</v>
      </c>
      <c r="AO51" t="str">
        <f t="shared" si="9"/>
        <v>a</v>
      </c>
      <c r="AP51" t="str">
        <f t="shared" si="33"/>
        <v>d</v>
      </c>
      <c r="AQ51" t="str">
        <f t="shared" si="34"/>
        <v/>
      </c>
      <c r="AR51" t="str">
        <f t="shared" si="35"/>
        <v>Away</v>
      </c>
      <c r="AS51" t="str">
        <f t="shared" si="36"/>
        <v>a</v>
      </c>
      <c r="AT51" t="str">
        <f t="shared" si="37"/>
        <v>Defensive</v>
      </c>
      <c r="BA51" s="6">
        <f t="shared" si="17"/>
        <v>14</v>
      </c>
      <c r="BB51">
        <f t="shared" si="18"/>
        <v>18981</v>
      </c>
      <c r="BC51" t="str">
        <f t="shared" si="19"/>
        <v>Nelson</v>
      </c>
      <c r="BD51" t="str">
        <f t="shared" si="20"/>
        <v>Velodrome</v>
      </c>
      <c r="BE51" t="s">
        <v>238</v>
      </c>
      <c r="BF51" t="s">
        <v>174</v>
      </c>
      <c r="BG51" t="s">
        <v>85</v>
      </c>
      <c r="BI51" cm="1">
        <f t="array" ref="BI51">IFERROR(_xlfn._xlws.FILTER(shifts!A:A,(shifts!B:B=events!AD51)*(shifts!AG:AG&gt;=events!BK51)*(shifts!AH:AH&lt;=events!BL51)),BI50)</f>
        <v>1</v>
      </c>
      <c r="BJ51" s="15">
        <f t="shared" si="22"/>
        <v>2</v>
      </c>
      <c r="BK51">
        <f t="shared" si="38"/>
        <v>1051</v>
      </c>
      <c r="BL51">
        <f t="shared" si="39"/>
        <v>1049</v>
      </c>
      <c r="BM51" s="15">
        <f>SUMIFS(BJ$2:BJ51,K$2:K51,"=Intermission")+SUMIFS(BJ$2:BJ51,K$2:K51,"=Timeout")</f>
        <v>0</v>
      </c>
      <c r="BN51">
        <f t="shared" si="40"/>
        <v>0</v>
      </c>
      <c r="BO51" s="19">
        <f t="shared" si="41"/>
        <v>29</v>
      </c>
      <c r="BP51">
        <f t="shared" si="42"/>
        <v>24</v>
      </c>
      <c r="BQ51" s="17">
        <f t="shared" si="43"/>
        <v>31</v>
      </c>
      <c r="BR51" t="str">
        <f t="shared" si="44"/>
        <v>opp_team_player_1</v>
      </c>
      <c r="BS51">
        <f>COUNTIFS(S$3:S51,"="&amp;S51,AI$3:AI51,"="&amp;AI51)</f>
        <v>1</v>
      </c>
      <c r="BT51" t="str">
        <f>IFERROR(VLOOKUP(BB51&amp;BU51&amp;X51,game_rosters!U:W,3,FALSE),"")</f>
        <v>P100061</v>
      </c>
      <c r="BU51" t="str">
        <f t="shared" si="45"/>
        <v>Nelson</v>
      </c>
    </row>
    <row r="52" spans="1:73" x14ac:dyDescent="0.2">
      <c r="A52">
        <f t="shared" si="2"/>
        <v>1</v>
      </c>
      <c r="E52" s="4"/>
      <c r="F52" s="43"/>
      <c r="G52" s="4"/>
      <c r="H52" s="46"/>
      <c r="J52" s="44" t="str">
        <f t="shared" si="46"/>
        <v>o</v>
      </c>
      <c r="K52" t="s">
        <v>238</v>
      </c>
      <c r="L52" t="s">
        <v>174</v>
      </c>
      <c r="M52" t="s">
        <v>85</v>
      </c>
      <c r="N52" t="str">
        <f t="shared" si="48"/>
        <v>s</v>
      </c>
      <c r="Q52" t="str">
        <f t="shared" si="47"/>
        <v/>
      </c>
      <c r="S52">
        <v>23</v>
      </c>
      <c r="U52" t="str">
        <f>IF(B52=1,MAX($U$2:$U51)+1,IF(AND($T52&lt;&gt;"",$T52=$T51),$U51,IF(B52="x",U51,"")))</f>
        <v/>
      </c>
      <c r="V52" t="str">
        <f>IF(C52=1,MAX($V$2:$V51)+1,IF(AND($T52&lt;&gt;"",$T52=$T51),$U51,IF(C52="x",V51,"")))</f>
        <v/>
      </c>
      <c r="W52" t="str">
        <f t="shared" si="3"/>
        <v>a</v>
      </c>
      <c r="X52">
        <v>37</v>
      </c>
      <c r="Y52" t="b">
        <f>IF(X52&lt;&gt;"",VLOOKUP(X52,game_rosters!$C$43:$E$64,3,FALSE))</f>
        <v>0</v>
      </c>
      <c r="Z52" t="str" cm="1">
        <f t="array" ref="Z52">IFERROR(IF(_xlfn._xlws.FILTER(game_rosters!$J:$J,(game_rosters!$G:$G=events!$AN52)*(game_rosters!$J:$J=events!$X52))&gt;0,1,""),"")</f>
        <v/>
      </c>
      <c r="AA52">
        <f t="shared" si="4"/>
        <v>1023</v>
      </c>
      <c r="AB52" t="str">
        <f t="shared" si="5"/>
        <v/>
      </c>
      <c r="AC52">
        <f t="shared" si="0"/>
        <v>1023</v>
      </c>
      <c r="AD52" s="6">
        <v>1</v>
      </c>
      <c r="AE52" t="s">
        <v>732</v>
      </c>
      <c r="AF52" t="s">
        <v>738</v>
      </c>
      <c r="AG52" t="s">
        <v>732</v>
      </c>
      <c r="AH52" t="s">
        <v>906</v>
      </c>
      <c r="AI52" t="s">
        <v>368</v>
      </c>
      <c r="AJ52" t="str">
        <f t="shared" si="6"/>
        <v>o</v>
      </c>
      <c r="AK52" t="str">
        <f t="shared" si="7"/>
        <v>o</v>
      </c>
      <c r="AL52" t="str">
        <f t="shared" si="8"/>
        <v>d</v>
      </c>
      <c r="AN52" t="s">
        <v>862</v>
      </c>
      <c r="AO52" t="str">
        <f t="shared" si="9"/>
        <v>a</v>
      </c>
      <c r="AP52" t="str">
        <f t="shared" si="33"/>
        <v>d</v>
      </c>
      <c r="AQ52" t="str">
        <f t="shared" si="34"/>
        <v/>
      </c>
      <c r="AR52" t="str">
        <f t="shared" si="35"/>
        <v>Away</v>
      </c>
      <c r="AS52" t="str">
        <f t="shared" si="36"/>
        <v>a</v>
      </c>
      <c r="AT52" t="str">
        <f t="shared" si="37"/>
        <v>Defensive</v>
      </c>
      <c r="BA52" s="6">
        <f t="shared" si="17"/>
        <v>15</v>
      </c>
      <c r="BB52">
        <f t="shared" si="18"/>
        <v>18981</v>
      </c>
      <c r="BC52" t="str">
        <f t="shared" si="19"/>
        <v>Nelson</v>
      </c>
      <c r="BD52" t="str">
        <f t="shared" si="20"/>
        <v>Velodrome</v>
      </c>
      <c r="BE52" t="s">
        <v>238</v>
      </c>
      <c r="BF52" t="s">
        <v>174</v>
      </c>
      <c r="BG52" t="s">
        <v>85</v>
      </c>
      <c r="BI52" cm="1">
        <f t="array" ref="BI52">IFERROR(_xlfn._xlws.FILTER(shifts!A:A,(shifts!B:B=events!AD52)*(shifts!AG:AG&gt;=events!BK52)*(shifts!AH:AH&lt;=events!BL52)),BI51)</f>
        <v>1</v>
      </c>
      <c r="BJ52" s="15">
        <f t="shared" si="22"/>
        <v>2</v>
      </c>
      <c r="BK52">
        <f t="shared" si="38"/>
        <v>1051</v>
      </c>
      <c r="BL52">
        <f t="shared" si="39"/>
        <v>1049</v>
      </c>
      <c r="BM52" s="15">
        <f>SUMIFS(BJ$2:BJ52,K$2:K52,"=Intermission")+SUMIFS(BJ$2:BJ52,K$2:K52,"=Timeout")</f>
        <v>0</v>
      </c>
      <c r="BN52">
        <f t="shared" si="40"/>
        <v>0</v>
      </c>
      <c r="BO52" s="19">
        <f t="shared" si="41"/>
        <v>29</v>
      </c>
      <c r="BP52">
        <f t="shared" si="42"/>
        <v>24</v>
      </c>
      <c r="BQ52" s="17">
        <f t="shared" si="43"/>
        <v>31</v>
      </c>
      <c r="BR52" t="str">
        <f t="shared" si="44"/>
        <v>opp_team_player_2</v>
      </c>
      <c r="BS52">
        <f>COUNTIFS(S$3:S52,"="&amp;S52,AI$3:AI52,"="&amp;AI52)</f>
        <v>2</v>
      </c>
      <c r="BT52" t="str">
        <f>IFERROR(VLOOKUP(BB52&amp;BU52&amp;X52,game_rosters!U:W,3,FALSE),"")</f>
        <v>P100119</v>
      </c>
      <c r="BU52" t="str">
        <f t="shared" si="45"/>
        <v>Nelson</v>
      </c>
    </row>
    <row r="53" spans="1:73" x14ac:dyDescent="0.2">
      <c r="A53">
        <f t="shared" si="2"/>
        <v>1</v>
      </c>
      <c r="E53" s="4"/>
      <c r="F53" s="43"/>
      <c r="G53" s="4"/>
      <c r="H53" s="46"/>
      <c r="J53" s="44" t="str">
        <f t="shared" si="46"/>
        <v>o</v>
      </c>
      <c r="K53" t="s">
        <v>6</v>
      </c>
      <c r="L53" t="s">
        <v>205</v>
      </c>
      <c r="M53" t="s">
        <v>51</v>
      </c>
      <c r="N53" t="str">
        <f t="shared" si="48"/>
        <v>s</v>
      </c>
      <c r="Q53" t="str">
        <f t="shared" si="47"/>
        <v/>
      </c>
      <c r="S53">
        <v>24</v>
      </c>
      <c r="U53" t="str">
        <f>IF(B53=1,MAX($U$2:$U52)+1,IF(AND($T53&lt;&gt;"",$T53=$T52),$U52,IF(B53="x",U52,"")))</f>
        <v/>
      </c>
      <c r="V53" t="str">
        <f>IF(C53=1,MAX($V$2:$V52)+1,IF(AND($T53&lt;&gt;"",$T53=$T52),$U52,IF(C53="x",V52,"")))</f>
        <v/>
      </c>
      <c r="W53" t="str">
        <f t="shared" si="3"/>
        <v>a</v>
      </c>
      <c r="X53">
        <v>70</v>
      </c>
      <c r="Y53" t="e">
        <f>IF(X53&lt;&gt;"",VLOOKUP(X53,game_rosters!$C$43:$E$64,3,FALSE))</f>
        <v>#N/A</v>
      </c>
      <c r="Z53" cm="1">
        <f t="array" ref="Z53">IFERROR(IF(_xlfn._xlws.FILTER(game_rosters!$J:$J,(game_rosters!$G:$G=events!$AN53)*(game_rosters!$J:$J=events!$X53))&gt;0,1,""),"")</f>
        <v>1</v>
      </c>
      <c r="AA53">
        <f t="shared" si="4"/>
        <v>1024</v>
      </c>
      <c r="AB53" t="str">
        <f t="shared" si="5"/>
        <v/>
      </c>
      <c r="AC53">
        <f t="shared" si="0"/>
        <v>1024</v>
      </c>
      <c r="AD53" s="6">
        <v>1</v>
      </c>
      <c r="AE53" t="s">
        <v>732</v>
      </c>
      <c r="AF53" t="s">
        <v>906</v>
      </c>
      <c r="AG53" t="s">
        <v>756</v>
      </c>
      <c r="AH53" t="s">
        <v>756</v>
      </c>
      <c r="AI53" t="s">
        <v>367</v>
      </c>
      <c r="AJ53" t="str">
        <f t="shared" si="6"/>
        <v>o</v>
      </c>
      <c r="AK53" t="str">
        <f t="shared" si="7"/>
        <v>o</v>
      </c>
      <c r="AL53" t="str">
        <f t="shared" si="8"/>
        <v>d</v>
      </c>
      <c r="AN53" t="s">
        <v>862</v>
      </c>
      <c r="AO53" t="str">
        <f t="shared" si="9"/>
        <v>a</v>
      </c>
      <c r="AP53" t="str">
        <f t="shared" si="33"/>
        <v>d</v>
      </c>
      <c r="AQ53" t="str">
        <f t="shared" si="34"/>
        <v/>
      </c>
      <c r="AR53" t="str">
        <f t="shared" si="35"/>
        <v>Away</v>
      </c>
      <c r="AS53" t="str">
        <f t="shared" si="36"/>
        <v>a</v>
      </c>
      <c r="AT53" t="str">
        <f t="shared" si="37"/>
        <v>Offensive</v>
      </c>
      <c r="BA53" s="6">
        <f t="shared" si="17"/>
        <v>15</v>
      </c>
      <c r="BB53">
        <f t="shared" si="18"/>
        <v>18981</v>
      </c>
      <c r="BC53" t="str">
        <f t="shared" si="19"/>
        <v>Nelson</v>
      </c>
      <c r="BD53" t="str">
        <f t="shared" si="20"/>
        <v>Velodrome</v>
      </c>
      <c r="BE53" t="s">
        <v>6</v>
      </c>
      <c r="BF53" t="s">
        <v>205</v>
      </c>
      <c r="BG53" t="s">
        <v>51</v>
      </c>
      <c r="BI53" cm="1">
        <f t="array" ref="BI53">IFERROR(_xlfn._xlws.FILTER(shifts!A:A,(shifts!B:B=events!AD53)*(shifts!AG:AG&gt;=events!BK53)*(shifts!AH:AH&lt;=events!BL53)),BI52)</f>
        <v>1</v>
      </c>
      <c r="BJ53" s="15">
        <f t="shared" si="22"/>
        <v>0</v>
      </c>
      <c r="BK53">
        <f t="shared" si="38"/>
        <v>1049</v>
      </c>
      <c r="BL53">
        <f t="shared" si="39"/>
        <v>1049</v>
      </c>
      <c r="BM53" s="15">
        <f>SUMIFS(BJ$2:BJ53,K$2:K53,"=Intermission")+SUMIFS(BJ$2:BJ53,K$2:K53,"=Timeout")</f>
        <v>0</v>
      </c>
      <c r="BN53">
        <f t="shared" si="40"/>
        <v>0</v>
      </c>
      <c r="BO53" s="19">
        <f t="shared" si="41"/>
        <v>31</v>
      </c>
      <c r="BP53">
        <f t="shared" si="42"/>
        <v>26</v>
      </c>
      <c r="BQ53" s="17">
        <f t="shared" si="43"/>
        <v>31</v>
      </c>
      <c r="BR53" t="str">
        <f t="shared" si="44"/>
        <v>event_team_player_1</v>
      </c>
      <c r="BS53">
        <f>COUNTIFS(S$3:S53,"="&amp;S53,AI$3:AI53,"="&amp;AI53)</f>
        <v>1</v>
      </c>
      <c r="BT53" t="str">
        <f>IFERROR(VLOOKUP(BB53&amp;BU53&amp;X53,game_rosters!U:W,3,FALSE),"")</f>
        <v>P100001</v>
      </c>
      <c r="BU53" t="str">
        <f t="shared" si="45"/>
        <v>Velodrome</v>
      </c>
    </row>
    <row r="54" spans="1:73" x14ac:dyDescent="0.2">
      <c r="A54">
        <f t="shared" si="2"/>
        <v>1</v>
      </c>
      <c r="E54" s="4"/>
      <c r="F54" s="43"/>
      <c r="G54" s="4"/>
      <c r="H54" s="46"/>
      <c r="J54" s="44" t="str">
        <f t="shared" si="46"/>
        <v>o</v>
      </c>
      <c r="K54" t="s">
        <v>6</v>
      </c>
      <c r="L54" t="s">
        <v>205</v>
      </c>
      <c r="M54" t="s">
        <v>51</v>
      </c>
      <c r="N54" t="str">
        <f t="shared" si="48"/>
        <v>s</v>
      </c>
      <c r="Q54" t="str">
        <f t="shared" si="47"/>
        <v/>
      </c>
      <c r="S54">
        <v>24</v>
      </c>
      <c r="U54" t="str">
        <f>IF(B54=1,MAX($U$2:$U53)+1,IF(AND($T54&lt;&gt;"",$T54=$T53),$U53,IF(B54="x",U53,"")))</f>
        <v/>
      </c>
      <c r="V54" t="str">
        <f>IF(C54=1,MAX($V$2:$V53)+1,IF(AND($T54&lt;&gt;"",$T54=$T53),$U53,IF(C54="x",V53,"")))</f>
        <v/>
      </c>
      <c r="W54" t="str">
        <f t="shared" si="3"/>
        <v>a</v>
      </c>
      <c r="X54">
        <v>31</v>
      </c>
      <c r="Y54" t="b">
        <f>IF(X54&lt;&gt;"",VLOOKUP(X54,game_rosters!$C$43:$E$64,3,FALSE))</f>
        <v>0</v>
      </c>
      <c r="Z54" t="str" cm="1">
        <f t="array" ref="Z54">IFERROR(IF(_xlfn._xlws.FILTER(game_rosters!$J:$J,(game_rosters!$G:$G=events!$AN54)*(game_rosters!$J:$J=events!$X54))&gt;0,1,""),"")</f>
        <v/>
      </c>
      <c r="AA54">
        <f t="shared" si="4"/>
        <v>1024</v>
      </c>
      <c r="AB54" t="str">
        <f t="shared" si="5"/>
        <v/>
      </c>
      <c r="AC54">
        <f t="shared" si="0"/>
        <v>1024</v>
      </c>
      <c r="AD54" s="6">
        <v>1</v>
      </c>
      <c r="AE54" t="s">
        <v>732</v>
      </c>
      <c r="AF54" t="s">
        <v>906</v>
      </c>
      <c r="AG54" t="s">
        <v>756</v>
      </c>
      <c r="AH54" t="s">
        <v>756</v>
      </c>
      <c r="AI54" t="s">
        <v>368</v>
      </c>
      <c r="AJ54" t="str">
        <f t="shared" si="6"/>
        <v>o</v>
      </c>
      <c r="AK54" t="str">
        <f t="shared" si="7"/>
        <v>o</v>
      </c>
      <c r="AL54" t="str">
        <f t="shared" si="8"/>
        <v>d</v>
      </c>
      <c r="AN54" t="s">
        <v>862</v>
      </c>
      <c r="AO54" t="str">
        <f t="shared" si="9"/>
        <v>a</v>
      </c>
      <c r="AP54" t="str">
        <f t="shared" si="33"/>
        <v>d</v>
      </c>
      <c r="AQ54" t="str">
        <f t="shared" si="34"/>
        <v/>
      </c>
      <c r="AR54" t="str">
        <f t="shared" si="35"/>
        <v>Away</v>
      </c>
      <c r="AS54" t="str">
        <f t="shared" si="36"/>
        <v>a</v>
      </c>
      <c r="AT54" t="str">
        <f t="shared" si="37"/>
        <v>Defensive</v>
      </c>
      <c r="BA54" s="6">
        <f t="shared" si="17"/>
        <v>15</v>
      </c>
      <c r="BB54">
        <f t="shared" si="18"/>
        <v>18981</v>
      </c>
      <c r="BC54" t="str">
        <f t="shared" si="19"/>
        <v>Nelson</v>
      </c>
      <c r="BD54" t="str">
        <f t="shared" si="20"/>
        <v>Velodrome</v>
      </c>
      <c r="BE54" t="s">
        <v>6</v>
      </c>
      <c r="BF54" t="s">
        <v>205</v>
      </c>
      <c r="BG54" t="s">
        <v>51</v>
      </c>
      <c r="BI54" cm="1">
        <f t="array" ref="BI54">IFERROR(_xlfn._xlws.FILTER(shifts!A:A,(shifts!B:B=events!AD54)*(shifts!AG:AG&gt;=events!BK54)*(shifts!AH:AH&lt;=events!BL54)),BI53)</f>
        <v>1</v>
      </c>
      <c r="BJ54" s="15">
        <f t="shared" si="22"/>
        <v>0</v>
      </c>
      <c r="BK54">
        <f t="shared" si="38"/>
        <v>1049</v>
      </c>
      <c r="BL54">
        <f t="shared" si="39"/>
        <v>1049</v>
      </c>
      <c r="BM54" s="15">
        <f>SUMIFS(BJ$2:BJ54,K$2:K54,"=Intermission")+SUMIFS(BJ$2:BJ54,K$2:K54,"=Timeout")</f>
        <v>0</v>
      </c>
      <c r="BN54">
        <f t="shared" si="40"/>
        <v>0</v>
      </c>
      <c r="BO54" s="19">
        <f t="shared" si="41"/>
        <v>31</v>
      </c>
      <c r="BP54">
        <f t="shared" si="42"/>
        <v>26</v>
      </c>
      <c r="BQ54" s="17">
        <f t="shared" si="43"/>
        <v>31</v>
      </c>
      <c r="BR54" t="str">
        <f t="shared" si="44"/>
        <v>opp_team_player_1</v>
      </c>
      <c r="BS54">
        <f>COUNTIFS(S$3:S54,"="&amp;S54,AI$3:AI54,"="&amp;AI54)</f>
        <v>1</v>
      </c>
      <c r="BT54" t="str">
        <f>IFERROR(VLOOKUP(BB54&amp;BU54&amp;X54,game_rosters!U:W,3,FALSE),"")</f>
        <v>P100138</v>
      </c>
      <c r="BU54" t="str">
        <f t="shared" si="45"/>
        <v>Nelson</v>
      </c>
    </row>
    <row r="55" spans="1:73" x14ac:dyDescent="0.2">
      <c r="A55">
        <f t="shared" si="2"/>
        <v>1</v>
      </c>
      <c r="E55" s="4"/>
      <c r="F55" s="43"/>
      <c r="G55" s="4"/>
      <c r="H55" s="46"/>
      <c r="J55" s="44" t="str">
        <f t="shared" si="46"/>
        <v>o</v>
      </c>
      <c r="K55" t="s">
        <v>6</v>
      </c>
      <c r="L55" t="s">
        <v>205</v>
      </c>
      <c r="M55" t="s">
        <v>51</v>
      </c>
      <c r="N55" t="str">
        <f t="shared" si="48"/>
        <v>s</v>
      </c>
      <c r="Q55" t="str">
        <f t="shared" si="47"/>
        <v/>
      </c>
      <c r="S55">
        <v>24</v>
      </c>
      <c r="U55" t="str">
        <f>IF(B55=1,MAX($U$2:$U54)+1,IF(AND($T55&lt;&gt;"",$T55=$T54),$U54,IF(B55="x",U54,"")))</f>
        <v/>
      </c>
      <c r="V55" t="str">
        <f>IF(C55=1,MAX($V$2:$V54)+1,IF(AND($T55&lt;&gt;"",$T55=$T54),$U54,IF(C55="x",V54,"")))</f>
        <v/>
      </c>
      <c r="W55" t="str">
        <f t="shared" si="3"/>
        <v>a</v>
      </c>
      <c r="X55">
        <v>37</v>
      </c>
      <c r="Y55" t="b">
        <f>IF(X55&lt;&gt;"",VLOOKUP(X55,game_rosters!$C$43:$E$64,3,FALSE))</f>
        <v>0</v>
      </c>
      <c r="Z55" t="str" cm="1">
        <f t="array" ref="Z55">IFERROR(IF(_xlfn._xlws.FILTER(game_rosters!$J:$J,(game_rosters!$G:$G=events!$AN55)*(game_rosters!$J:$J=events!$X55))&gt;0,1,""),"")</f>
        <v/>
      </c>
      <c r="AA55">
        <f t="shared" si="4"/>
        <v>1024</v>
      </c>
      <c r="AB55" t="str">
        <f t="shared" si="5"/>
        <v/>
      </c>
      <c r="AC55">
        <f t="shared" si="0"/>
        <v>1024</v>
      </c>
      <c r="AD55" s="6">
        <v>1</v>
      </c>
      <c r="AE55" t="s">
        <v>732</v>
      </c>
      <c r="AF55" t="s">
        <v>906</v>
      </c>
      <c r="AG55" t="s">
        <v>756</v>
      </c>
      <c r="AH55" t="s">
        <v>756</v>
      </c>
      <c r="AI55" t="s">
        <v>368</v>
      </c>
      <c r="AJ55" t="str">
        <f t="shared" si="6"/>
        <v>o</v>
      </c>
      <c r="AK55" t="str">
        <f t="shared" si="7"/>
        <v>o</v>
      </c>
      <c r="AL55" t="str">
        <f t="shared" si="8"/>
        <v>d</v>
      </c>
      <c r="AN55" t="s">
        <v>862</v>
      </c>
      <c r="AO55" t="str">
        <f t="shared" si="9"/>
        <v>a</v>
      </c>
      <c r="AP55" t="str">
        <f t="shared" si="33"/>
        <v>d</v>
      </c>
      <c r="AQ55" t="str">
        <f t="shared" si="34"/>
        <v/>
      </c>
      <c r="AR55" t="str">
        <f t="shared" si="35"/>
        <v>Away</v>
      </c>
      <c r="AS55" t="str">
        <f t="shared" si="36"/>
        <v>a</v>
      </c>
      <c r="AT55" t="str">
        <f t="shared" si="37"/>
        <v>Defensive</v>
      </c>
      <c r="BA55" s="6">
        <f t="shared" si="17"/>
        <v>15</v>
      </c>
      <c r="BB55">
        <f t="shared" si="18"/>
        <v>18981</v>
      </c>
      <c r="BC55" t="str">
        <f t="shared" si="19"/>
        <v>Nelson</v>
      </c>
      <c r="BD55" t="str">
        <f t="shared" si="20"/>
        <v>Velodrome</v>
      </c>
      <c r="BE55" t="s">
        <v>6</v>
      </c>
      <c r="BF55" t="s">
        <v>205</v>
      </c>
      <c r="BG55" t="s">
        <v>51</v>
      </c>
      <c r="BI55" cm="1">
        <f t="array" ref="BI55">IFERROR(_xlfn._xlws.FILTER(shifts!A:A,(shifts!B:B=events!AD55)*(shifts!AG:AG&gt;=events!BK55)*(shifts!AH:AH&lt;=events!BL55)),BI54)</f>
        <v>1</v>
      </c>
      <c r="BJ55" s="15">
        <f t="shared" si="22"/>
        <v>0</v>
      </c>
      <c r="BK55">
        <f t="shared" si="38"/>
        <v>1049</v>
      </c>
      <c r="BL55">
        <f t="shared" si="39"/>
        <v>1049</v>
      </c>
      <c r="BM55" s="15">
        <f>SUMIFS(BJ$2:BJ55,K$2:K55,"=Intermission")+SUMIFS(BJ$2:BJ55,K$2:K55,"=Timeout")</f>
        <v>0</v>
      </c>
      <c r="BN55">
        <f t="shared" si="40"/>
        <v>0</v>
      </c>
      <c r="BO55" s="19">
        <f t="shared" si="41"/>
        <v>31</v>
      </c>
      <c r="BP55">
        <f t="shared" si="42"/>
        <v>26</v>
      </c>
      <c r="BQ55" s="17">
        <f t="shared" si="43"/>
        <v>31</v>
      </c>
      <c r="BR55" t="str">
        <f t="shared" si="44"/>
        <v>opp_team_player_2</v>
      </c>
      <c r="BS55">
        <f>COUNTIFS(S$3:S55,"="&amp;S55,AI$3:AI55,"="&amp;AI55)</f>
        <v>2</v>
      </c>
      <c r="BT55" t="str">
        <f>IFERROR(VLOOKUP(BB55&amp;BU55&amp;X55,game_rosters!U:W,3,FALSE),"")</f>
        <v>P100119</v>
      </c>
      <c r="BU55" t="str">
        <f t="shared" si="45"/>
        <v>Nelson</v>
      </c>
    </row>
    <row r="56" spans="1:73" x14ac:dyDescent="0.2">
      <c r="A56">
        <f t="shared" si="2"/>
        <v>1</v>
      </c>
      <c r="E56" s="4"/>
      <c r="F56" s="43"/>
      <c r="G56" s="4"/>
      <c r="H56" s="46"/>
      <c r="J56" s="44" t="str">
        <f t="shared" si="46"/>
        <v>d</v>
      </c>
      <c r="K56" t="s">
        <v>15</v>
      </c>
      <c r="L56" t="s">
        <v>179</v>
      </c>
      <c r="M56" t="s">
        <v>96</v>
      </c>
      <c r="N56" t="str">
        <f t="shared" si="48"/>
        <v/>
      </c>
      <c r="Q56" t="str">
        <f t="shared" si="47"/>
        <v/>
      </c>
      <c r="S56">
        <v>25</v>
      </c>
      <c r="U56" t="str">
        <f>IF(B56=1,MAX($U$2:$U55)+1,IF(AND($T56&lt;&gt;"",$T56=$T55),$U55,IF(B56="x",U55,"")))</f>
        <v/>
      </c>
      <c r="V56" t="str">
        <f>IF(C56=1,MAX($V$2:$V55)+1,IF(AND($T56&lt;&gt;"",$T56=$T55),$U55,IF(C56="x",V55,"")))</f>
        <v/>
      </c>
      <c r="W56" t="str">
        <f t="shared" si="3"/>
        <v>h</v>
      </c>
      <c r="X56">
        <v>31</v>
      </c>
      <c r="Y56" t="b">
        <f>IF(X56&lt;&gt;"",VLOOKUP(X56,game_rosters!$C$43:$E$64,3,FALSE))</f>
        <v>0</v>
      </c>
      <c r="Z56" cm="1">
        <f t="array" ref="Z56">IFERROR(IF(_xlfn._xlws.FILTER(game_rosters!$J:$J,(game_rosters!$G:$G=events!$AN56)*(game_rosters!$J:$J=events!$X56))&gt;0,1,""),"")</f>
        <v>1</v>
      </c>
      <c r="AA56">
        <f t="shared" si="4"/>
        <v>1025</v>
      </c>
      <c r="AB56" t="str">
        <f t="shared" si="5"/>
        <v/>
      </c>
      <c r="AC56">
        <f t="shared" si="0"/>
        <v>1025</v>
      </c>
      <c r="AD56" s="6">
        <v>1</v>
      </c>
      <c r="AE56" t="s">
        <v>732</v>
      </c>
      <c r="AF56" t="s">
        <v>906</v>
      </c>
      <c r="AG56" t="s">
        <v>756</v>
      </c>
      <c r="AH56" t="s">
        <v>756</v>
      </c>
      <c r="AI56" t="s">
        <v>367</v>
      </c>
      <c r="AJ56" t="str">
        <f t="shared" si="6"/>
        <v>d</v>
      </c>
      <c r="AK56" t="str">
        <f t="shared" si="7"/>
        <v>d</v>
      </c>
      <c r="AL56" t="str">
        <f t="shared" si="8"/>
        <v>d</v>
      </c>
      <c r="AN56" t="s">
        <v>861</v>
      </c>
      <c r="AO56" t="str">
        <f t="shared" si="9"/>
        <v>h</v>
      </c>
      <c r="AP56" t="str">
        <f t="shared" si="33"/>
        <v>d</v>
      </c>
      <c r="AQ56" t="str">
        <f t="shared" si="34"/>
        <v/>
      </c>
      <c r="AR56" t="str">
        <f t="shared" si="35"/>
        <v>Home</v>
      </c>
      <c r="AS56" t="str">
        <f t="shared" si="36"/>
        <v>h</v>
      </c>
      <c r="AT56" t="str">
        <f t="shared" si="37"/>
        <v>Defensive</v>
      </c>
      <c r="BA56" s="6">
        <f t="shared" si="17"/>
        <v>15</v>
      </c>
      <c r="BB56">
        <f t="shared" si="18"/>
        <v>18981</v>
      </c>
      <c r="BC56" t="str">
        <f t="shared" si="19"/>
        <v>Nelson</v>
      </c>
      <c r="BD56" t="str">
        <f t="shared" si="20"/>
        <v>Velodrome</v>
      </c>
      <c r="BE56" t="s">
        <v>15</v>
      </c>
      <c r="BF56" t="s">
        <v>179</v>
      </c>
      <c r="BG56" t="s">
        <v>96</v>
      </c>
      <c r="BI56" cm="1">
        <f t="array" ref="BI56">IFERROR(_xlfn._xlws.FILTER(shifts!A:A,(shifts!B:B=events!AD56)*(shifts!AG:AG&gt;=events!BK56)*(shifts!AH:AH&lt;=events!BL56)),BI55)</f>
        <v>1</v>
      </c>
      <c r="BJ56" s="15">
        <f t="shared" si="22"/>
        <v>0</v>
      </c>
      <c r="BK56">
        <f t="shared" si="38"/>
        <v>1049</v>
      </c>
      <c r="BL56">
        <f t="shared" si="39"/>
        <v>1049</v>
      </c>
      <c r="BM56" s="15">
        <f>SUMIFS(BJ$2:BJ56,K$2:K56,"=Intermission")+SUMIFS(BJ$2:BJ56,K$2:K56,"=Timeout")</f>
        <v>0</v>
      </c>
      <c r="BN56">
        <f t="shared" si="40"/>
        <v>0</v>
      </c>
      <c r="BO56" s="19">
        <f t="shared" si="41"/>
        <v>31</v>
      </c>
      <c r="BP56">
        <f t="shared" si="42"/>
        <v>26</v>
      </c>
      <c r="BQ56" s="17">
        <f t="shared" si="43"/>
        <v>31</v>
      </c>
      <c r="BR56" t="str">
        <f t="shared" si="44"/>
        <v>event_team_player_1</v>
      </c>
      <c r="BS56">
        <f>COUNTIFS(S$3:S56,"="&amp;S56,AI$3:AI56,"="&amp;AI56)</f>
        <v>1</v>
      </c>
      <c r="BT56" t="str">
        <f>IFERROR(VLOOKUP(BB56&amp;BU56&amp;X56,game_rosters!U:W,3,FALSE),"")</f>
        <v>P100138</v>
      </c>
      <c r="BU56" t="str">
        <f t="shared" si="45"/>
        <v>Nelson</v>
      </c>
    </row>
    <row r="57" spans="1:73" x14ac:dyDescent="0.2">
      <c r="A57">
        <f t="shared" si="2"/>
        <v>1</v>
      </c>
      <c r="E57" s="4"/>
      <c r="F57" s="43"/>
      <c r="G57" s="4"/>
      <c r="H57" s="46"/>
      <c r="J57" s="44" t="str">
        <f t="shared" si="46"/>
        <v>d</v>
      </c>
      <c r="K57" t="s">
        <v>15</v>
      </c>
      <c r="L57" t="s">
        <v>179</v>
      </c>
      <c r="M57" t="s">
        <v>96</v>
      </c>
      <c r="N57" t="str">
        <f t="shared" si="48"/>
        <v/>
      </c>
      <c r="Q57" t="str">
        <f t="shared" si="47"/>
        <v/>
      </c>
      <c r="S57">
        <v>25</v>
      </c>
      <c r="U57" t="str">
        <f>IF(B57=1,MAX($U$2:$U56)+1,IF(AND($T57&lt;&gt;"",$T57=$T56),$U56,IF(B57="x",U56,"")))</f>
        <v/>
      </c>
      <c r="V57" t="str">
        <f>IF(C57=1,MAX($V$2:$V56)+1,IF(AND($T57&lt;&gt;"",$T57=$T56),$U56,IF(C57="x",V56,"")))</f>
        <v/>
      </c>
      <c r="W57" t="str">
        <f t="shared" si="3"/>
        <v>h</v>
      </c>
      <c r="X57">
        <v>37</v>
      </c>
      <c r="Y57" t="b">
        <f>IF(X57&lt;&gt;"",VLOOKUP(X57,game_rosters!$C$43:$E$64,3,FALSE))</f>
        <v>0</v>
      </c>
      <c r="Z57" cm="1">
        <f t="array" ref="Z57">IFERROR(IF(_xlfn._xlws.FILTER(game_rosters!$J:$J,(game_rosters!$G:$G=events!$AN57)*(game_rosters!$J:$J=events!$X57))&gt;0,1,""),"")</f>
        <v>1</v>
      </c>
      <c r="AA57">
        <f t="shared" si="4"/>
        <v>1025</v>
      </c>
      <c r="AB57" t="str">
        <f t="shared" si="5"/>
        <v/>
      </c>
      <c r="AC57">
        <f t="shared" si="0"/>
        <v>1025</v>
      </c>
      <c r="AD57" s="6">
        <v>1</v>
      </c>
      <c r="AE57" t="s">
        <v>732</v>
      </c>
      <c r="AF57" t="s">
        <v>906</v>
      </c>
      <c r="AG57" t="s">
        <v>756</v>
      </c>
      <c r="AH57" t="s">
        <v>756</v>
      </c>
      <c r="AI57" t="s">
        <v>367</v>
      </c>
      <c r="AJ57" t="str">
        <f t="shared" si="6"/>
        <v>d</v>
      </c>
      <c r="AK57" t="str">
        <f t="shared" si="7"/>
        <v>d</v>
      </c>
      <c r="AL57" t="str">
        <f t="shared" si="8"/>
        <v>d</v>
      </c>
      <c r="AN57" t="s">
        <v>861</v>
      </c>
      <c r="AO57" t="str">
        <f t="shared" si="9"/>
        <v>h</v>
      </c>
      <c r="AP57" t="str">
        <f t="shared" si="33"/>
        <v>d</v>
      </c>
      <c r="AQ57" t="str">
        <f t="shared" si="34"/>
        <v/>
      </c>
      <c r="AR57" t="str">
        <f t="shared" si="35"/>
        <v>Home</v>
      </c>
      <c r="AS57" t="str">
        <f t="shared" si="36"/>
        <v>h</v>
      </c>
      <c r="AT57" t="str">
        <f t="shared" si="37"/>
        <v>Defensive</v>
      </c>
      <c r="BA57" s="6">
        <f t="shared" si="17"/>
        <v>15</v>
      </c>
      <c r="BB57">
        <f t="shared" si="18"/>
        <v>18981</v>
      </c>
      <c r="BC57" t="str">
        <f t="shared" si="19"/>
        <v>Nelson</v>
      </c>
      <c r="BD57" t="str">
        <f t="shared" si="20"/>
        <v>Velodrome</v>
      </c>
      <c r="BE57" t="s">
        <v>15</v>
      </c>
      <c r="BF57" t="s">
        <v>179</v>
      </c>
      <c r="BG57" t="s">
        <v>96</v>
      </c>
      <c r="BI57" cm="1">
        <f t="array" ref="BI57">IFERROR(_xlfn._xlws.FILTER(shifts!A:A,(shifts!B:B=events!AD57)*(shifts!AG:AG&gt;=events!BK57)*(shifts!AH:AH&lt;=events!BL57)),BI56)</f>
        <v>1</v>
      </c>
      <c r="BJ57" s="15">
        <f t="shared" si="22"/>
        <v>0</v>
      </c>
      <c r="BK57">
        <f t="shared" si="38"/>
        <v>1049</v>
      </c>
      <c r="BL57">
        <f t="shared" si="39"/>
        <v>1049</v>
      </c>
      <c r="BM57" s="15">
        <f>SUMIFS(BJ$2:BJ57,K$2:K57,"=Intermission")+SUMIFS(BJ$2:BJ57,K$2:K57,"=Timeout")</f>
        <v>0</v>
      </c>
      <c r="BN57">
        <f t="shared" si="40"/>
        <v>0</v>
      </c>
      <c r="BO57" s="19">
        <f t="shared" si="41"/>
        <v>31</v>
      </c>
      <c r="BP57">
        <f t="shared" si="42"/>
        <v>26</v>
      </c>
      <c r="BQ57" s="17">
        <f t="shared" si="43"/>
        <v>31</v>
      </c>
      <c r="BR57" t="str">
        <f t="shared" si="44"/>
        <v>event_team_player_2</v>
      </c>
      <c r="BS57">
        <f>COUNTIFS(S$3:S57,"="&amp;S57,AI$3:AI57,"="&amp;AI57)</f>
        <v>2</v>
      </c>
      <c r="BT57" t="str">
        <f>IFERROR(VLOOKUP(BB57&amp;BU57&amp;X57,game_rosters!U:W,3,FALSE),"")</f>
        <v>P100119</v>
      </c>
      <c r="BU57" t="str">
        <f t="shared" si="45"/>
        <v>Nelson</v>
      </c>
    </row>
    <row r="58" spans="1:73" x14ac:dyDescent="0.2">
      <c r="A58">
        <f t="shared" si="2"/>
        <v>1</v>
      </c>
      <c r="E58" s="4"/>
      <c r="F58" s="43"/>
      <c r="G58" s="4"/>
      <c r="H58" s="46"/>
      <c r="J58" s="44" t="str">
        <f t="shared" si="46"/>
        <v>d</v>
      </c>
      <c r="K58" t="s">
        <v>15</v>
      </c>
      <c r="L58" t="s">
        <v>179</v>
      </c>
      <c r="M58" t="s">
        <v>96</v>
      </c>
      <c r="N58" t="str">
        <f t="shared" si="48"/>
        <v/>
      </c>
      <c r="Q58" t="str">
        <f t="shared" si="47"/>
        <v/>
      </c>
      <c r="S58">
        <v>25</v>
      </c>
      <c r="U58" t="str">
        <f>IF(B58=1,MAX($U$2:$U57)+1,IF(AND($T58&lt;&gt;"",$T58=$T57),$U57,IF(B58="x",U57,"")))</f>
        <v/>
      </c>
      <c r="V58" t="str">
        <f>IF(C58=1,MAX($V$2:$V57)+1,IF(AND($T58&lt;&gt;"",$T58=$T57),$U57,IF(C58="x",V57,"")))</f>
        <v/>
      </c>
      <c r="W58" t="str">
        <f t="shared" si="3"/>
        <v>h</v>
      </c>
      <c r="X58">
        <v>70</v>
      </c>
      <c r="Y58" t="e">
        <f>IF(X58&lt;&gt;"",VLOOKUP(X58,game_rosters!$C$43:$E$64,3,FALSE))</f>
        <v>#N/A</v>
      </c>
      <c r="Z58" t="str" cm="1">
        <f t="array" ref="Z58">IFERROR(IF(_xlfn._xlws.FILTER(game_rosters!$J:$J,(game_rosters!$G:$G=events!$AN58)*(game_rosters!$J:$J=events!$X58))&gt;0,1,""),"")</f>
        <v/>
      </c>
      <c r="AA58">
        <f t="shared" si="4"/>
        <v>1025</v>
      </c>
      <c r="AB58" t="str">
        <f t="shared" si="5"/>
        <v/>
      </c>
      <c r="AC58">
        <f t="shared" si="0"/>
        <v>1025</v>
      </c>
      <c r="AD58" s="6">
        <v>1</v>
      </c>
      <c r="AE58" t="s">
        <v>732</v>
      </c>
      <c r="AF58" t="s">
        <v>906</v>
      </c>
      <c r="AG58" t="s">
        <v>756</v>
      </c>
      <c r="AH58" t="s">
        <v>756</v>
      </c>
      <c r="AI58" t="s">
        <v>368</v>
      </c>
      <c r="AJ58" t="str">
        <f t="shared" si="6"/>
        <v>d</v>
      </c>
      <c r="AK58" t="str">
        <f t="shared" si="7"/>
        <v>d</v>
      </c>
      <c r="AL58" t="str">
        <f t="shared" si="8"/>
        <v>d</v>
      </c>
      <c r="AN58" t="s">
        <v>861</v>
      </c>
      <c r="AO58" t="str">
        <f t="shared" si="9"/>
        <v>h</v>
      </c>
      <c r="AP58" t="str">
        <f t="shared" si="33"/>
        <v>d</v>
      </c>
      <c r="AQ58" t="str">
        <f t="shared" si="34"/>
        <v/>
      </c>
      <c r="AR58" t="str">
        <f t="shared" si="35"/>
        <v>Home</v>
      </c>
      <c r="AS58" t="str">
        <f t="shared" si="36"/>
        <v>h</v>
      </c>
      <c r="AT58" t="str">
        <f t="shared" si="37"/>
        <v>Offensive</v>
      </c>
      <c r="BA58" s="6">
        <f t="shared" si="17"/>
        <v>15</v>
      </c>
      <c r="BB58">
        <f t="shared" si="18"/>
        <v>18981</v>
      </c>
      <c r="BC58" t="str">
        <f t="shared" si="19"/>
        <v>Nelson</v>
      </c>
      <c r="BD58" t="str">
        <f t="shared" si="20"/>
        <v>Velodrome</v>
      </c>
      <c r="BE58" t="s">
        <v>15</v>
      </c>
      <c r="BF58" t="s">
        <v>179</v>
      </c>
      <c r="BG58" t="s">
        <v>96</v>
      </c>
      <c r="BI58" cm="1">
        <f t="array" ref="BI58">IFERROR(_xlfn._xlws.FILTER(shifts!A:A,(shifts!B:B=events!AD58)*(shifts!AG:AG&gt;=events!BK58)*(shifts!AH:AH&lt;=events!BL58)),BI57)</f>
        <v>1</v>
      </c>
      <c r="BJ58" s="15">
        <f t="shared" si="22"/>
        <v>0</v>
      </c>
      <c r="BK58">
        <f t="shared" si="38"/>
        <v>1049</v>
      </c>
      <c r="BL58">
        <f t="shared" si="39"/>
        <v>1049</v>
      </c>
      <c r="BM58" s="15">
        <f>SUMIFS(BJ$2:BJ58,K$2:K58,"=Intermission")+SUMIFS(BJ$2:BJ58,K$2:K58,"=Timeout")</f>
        <v>0</v>
      </c>
      <c r="BN58">
        <f t="shared" si="40"/>
        <v>0</v>
      </c>
      <c r="BO58" s="19">
        <f t="shared" si="41"/>
        <v>31</v>
      </c>
      <c r="BP58">
        <f t="shared" si="42"/>
        <v>26</v>
      </c>
      <c r="BQ58" s="17">
        <f t="shared" si="43"/>
        <v>31</v>
      </c>
      <c r="BR58" t="str">
        <f t="shared" si="44"/>
        <v>opp_team_player_1</v>
      </c>
      <c r="BS58">
        <f>COUNTIFS(S$3:S58,"="&amp;S58,AI$3:AI58,"="&amp;AI58)</f>
        <v>1</v>
      </c>
      <c r="BT58" t="str">
        <f>IFERROR(VLOOKUP(BB58&amp;BU58&amp;X58,game_rosters!U:W,3,FALSE),"")</f>
        <v>P100001</v>
      </c>
      <c r="BU58" t="str">
        <f t="shared" si="45"/>
        <v>Velodrome</v>
      </c>
    </row>
    <row r="59" spans="1:73" x14ac:dyDescent="0.2">
      <c r="A59">
        <f t="shared" si="2"/>
        <v>1</v>
      </c>
      <c r="E59" s="4"/>
      <c r="F59" s="43"/>
      <c r="G59" s="4"/>
      <c r="H59" s="46"/>
      <c r="J59" s="44" t="str">
        <f t="shared" si="46"/>
        <v>d</v>
      </c>
      <c r="K59" t="s">
        <v>231</v>
      </c>
      <c r="L59" t="s">
        <v>233</v>
      </c>
      <c r="M59" t="s">
        <v>756</v>
      </c>
      <c r="N59" t="str">
        <f t="shared" si="48"/>
        <v/>
      </c>
      <c r="Q59" t="str">
        <f t="shared" si="47"/>
        <v/>
      </c>
      <c r="S59">
        <v>26</v>
      </c>
      <c r="U59" t="str">
        <f>IF(B59=1,MAX($U$2:$U58)+1,IF(AND($T59&lt;&gt;"",$T59=$T58),$U58,IF(B59="x",U58,"")))</f>
        <v/>
      </c>
      <c r="V59" t="str">
        <f>IF(C59=1,MAX($V$2:$V58)+1,IF(AND($T59&lt;&gt;"",$T59=$T58),$U58,IF(C59="x",V58,"")))</f>
        <v/>
      </c>
      <c r="W59" t="str">
        <f t="shared" si="3"/>
        <v>h</v>
      </c>
      <c r="X59">
        <v>31</v>
      </c>
      <c r="Y59" t="b">
        <f>IF(X59&lt;&gt;"",VLOOKUP(X59,game_rosters!$C$43:$E$64,3,FALSE))</f>
        <v>0</v>
      </c>
      <c r="Z59" cm="1">
        <f t="array" ref="Z59">IFERROR(IF(_xlfn._xlws.FILTER(game_rosters!$J:$J,(game_rosters!$G:$G=events!$AN59)*(game_rosters!$J:$J=events!$X59))&gt;0,1,""),"")</f>
        <v>1</v>
      </c>
      <c r="AA59">
        <f t="shared" si="4"/>
        <v>1026</v>
      </c>
      <c r="AB59" t="str">
        <f t="shared" si="5"/>
        <v/>
      </c>
      <c r="AC59">
        <f t="shared" si="0"/>
        <v>1026</v>
      </c>
      <c r="AD59" s="6">
        <v>1</v>
      </c>
      <c r="AE59" t="s">
        <v>732</v>
      </c>
      <c r="AF59" t="s">
        <v>906</v>
      </c>
      <c r="AG59" t="s">
        <v>756</v>
      </c>
      <c r="AH59" t="s">
        <v>756</v>
      </c>
      <c r="AI59" t="s">
        <v>367</v>
      </c>
      <c r="AJ59" t="str">
        <f t="shared" si="6"/>
        <v>d</v>
      </c>
      <c r="AK59" t="str">
        <f t="shared" si="7"/>
        <v>d</v>
      </c>
      <c r="AL59" t="str">
        <f t="shared" si="8"/>
        <v>d</v>
      </c>
      <c r="AN59" t="s">
        <v>861</v>
      </c>
      <c r="AO59" t="str">
        <f t="shared" si="9"/>
        <v>h</v>
      </c>
      <c r="AP59" t="str">
        <f t="shared" si="33"/>
        <v>d</v>
      </c>
      <c r="AQ59" t="str">
        <f t="shared" si="34"/>
        <v/>
      </c>
      <c r="AR59" t="str">
        <f t="shared" si="35"/>
        <v>Home</v>
      </c>
      <c r="AS59" t="str">
        <f t="shared" si="36"/>
        <v>h</v>
      </c>
      <c r="AT59" t="str">
        <f t="shared" si="37"/>
        <v>Offensive</v>
      </c>
      <c r="BA59" s="6">
        <f t="shared" si="17"/>
        <v>15</v>
      </c>
      <c r="BB59">
        <f t="shared" si="18"/>
        <v>18981</v>
      </c>
      <c r="BC59" t="str">
        <f t="shared" si="19"/>
        <v>Nelson</v>
      </c>
      <c r="BD59" t="str">
        <f t="shared" si="20"/>
        <v>Velodrome</v>
      </c>
      <c r="BE59" t="s">
        <v>231</v>
      </c>
      <c r="BF59" t="s">
        <v>233</v>
      </c>
      <c r="BG59" t="s">
        <v>756</v>
      </c>
      <c r="BI59" cm="1">
        <f t="array" ref="BI59">IFERROR(_xlfn._xlws.FILTER(shifts!A:A,(shifts!B:B=events!AD59)*(shifts!AG:AG&gt;=events!BK59)*(shifts!AH:AH&lt;=events!BL59)),BI58)</f>
        <v>1</v>
      </c>
      <c r="BJ59" s="15">
        <f t="shared" si="22"/>
        <v>0</v>
      </c>
      <c r="BK59">
        <f t="shared" si="38"/>
        <v>1049</v>
      </c>
      <c r="BL59">
        <f t="shared" si="39"/>
        <v>1049</v>
      </c>
      <c r="BM59" s="15">
        <f>SUMIFS(BJ$2:BJ59,K$2:K59,"=Intermission")+SUMIFS(BJ$2:BJ59,K$2:K59,"=Timeout")</f>
        <v>0</v>
      </c>
      <c r="BN59">
        <f t="shared" si="40"/>
        <v>0</v>
      </c>
      <c r="BO59" s="19">
        <f t="shared" si="41"/>
        <v>31</v>
      </c>
      <c r="BP59">
        <f t="shared" si="42"/>
        <v>26</v>
      </c>
      <c r="BQ59" s="17">
        <f t="shared" si="43"/>
        <v>31</v>
      </c>
      <c r="BR59" t="str">
        <f t="shared" si="44"/>
        <v>event_team_player_1</v>
      </c>
      <c r="BS59">
        <f>COUNTIFS(S$3:S59,"="&amp;S59,AI$3:AI59,"="&amp;AI59)</f>
        <v>1</v>
      </c>
      <c r="BT59" t="str">
        <f>IFERROR(VLOOKUP(BB59&amp;BU59&amp;X59,game_rosters!U:W,3,FALSE),"")</f>
        <v>P100138</v>
      </c>
      <c r="BU59" t="str">
        <f t="shared" si="45"/>
        <v>Nelson</v>
      </c>
    </row>
    <row r="60" spans="1:73" x14ac:dyDescent="0.2">
      <c r="A60">
        <f t="shared" si="2"/>
        <v>1</v>
      </c>
      <c r="E60" s="4"/>
      <c r="F60" s="43"/>
      <c r="G60" s="4"/>
      <c r="H60" s="46"/>
      <c r="J60" s="44" t="str">
        <f t="shared" si="46"/>
        <v/>
      </c>
      <c r="K60" t="s">
        <v>13</v>
      </c>
      <c r="L60" t="s">
        <v>756</v>
      </c>
      <c r="M60" t="s">
        <v>756</v>
      </c>
      <c r="N60" t="str">
        <f t="shared" si="48"/>
        <v/>
      </c>
      <c r="Q60" t="str">
        <f t="shared" si="47"/>
        <v/>
      </c>
      <c r="S60">
        <v>27</v>
      </c>
      <c r="U60" t="str">
        <f>IF(B60=1,MAX($U$2:$U59)+1,IF(AND($T60&lt;&gt;"",$T60=$T59),$U59,IF(B60="x",U59,"")))</f>
        <v/>
      </c>
      <c r="V60" t="str">
        <f>IF(C60=1,MAX($V$2:$V59)+1,IF(AND($T60&lt;&gt;"",$T60=$T59),$U59,IF(C60="x",V59,"")))</f>
        <v/>
      </c>
      <c r="W60" t="str">
        <f t="shared" si="3"/>
        <v>a</v>
      </c>
      <c r="X60">
        <v>70</v>
      </c>
      <c r="Y60" t="e">
        <f>IF(X60&lt;&gt;"",VLOOKUP(X60,game_rosters!$C$43:$E$64,3,FALSE))</f>
        <v>#N/A</v>
      </c>
      <c r="Z60" cm="1">
        <f t="array" ref="Z60">IFERROR(IF(_xlfn._xlws.FILTER(game_rosters!$J:$J,(game_rosters!$G:$G=events!$AN60)*(game_rosters!$J:$J=events!$X60))&gt;0,1,""),"")</f>
        <v>1</v>
      </c>
      <c r="AA60">
        <f t="shared" si="4"/>
        <v>1027</v>
      </c>
      <c r="AB60" t="str">
        <f t="shared" si="5"/>
        <v/>
      </c>
      <c r="AC60">
        <f t="shared" si="0"/>
        <v>1027</v>
      </c>
      <c r="AD60" s="6">
        <v>1</v>
      </c>
      <c r="AE60" t="s">
        <v>732</v>
      </c>
      <c r="AF60" t="s">
        <v>739</v>
      </c>
      <c r="AG60" t="s">
        <v>732</v>
      </c>
      <c r="AH60" t="s">
        <v>907</v>
      </c>
      <c r="AI60" t="s">
        <v>367</v>
      </c>
      <c r="AJ60" t="str">
        <f t="shared" si="6"/>
        <v/>
      </c>
      <c r="AK60" t="str">
        <f t="shared" si="7"/>
        <v/>
      </c>
      <c r="AL60" t="str">
        <f t="shared" si="8"/>
        <v/>
      </c>
      <c r="AN60" t="s">
        <v>862</v>
      </c>
      <c r="AO60" t="str">
        <f t="shared" si="9"/>
        <v>a</v>
      </c>
      <c r="AP60" t="str">
        <f t="shared" si="33"/>
        <v/>
      </c>
      <c r="AQ60" t="str">
        <f t="shared" si="34"/>
        <v/>
      </c>
      <c r="AR60" t="str">
        <f t="shared" si="35"/>
        <v>Away</v>
      </c>
      <c r="AS60" t="str">
        <f t="shared" si="36"/>
        <v>a</v>
      </c>
      <c r="AT60" t="str">
        <f t="shared" si="37"/>
        <v>Offensive</v>
      </c>
      <c r="BA60" s="6">
        <f t="shared" si="17"/>
        <v>15</v>
      </c>
      <c r="BB60">
        <f t="shared" si="18"/>
        <v>18981</v>
      </c>
      <c r="BC60" t="str">
        <f t="shared" si="19"/>
        <v>Nelson</v>
      </c>
      <c r="BD60" t="str">
        <f t="shared" si="20"/>
        <v>Velodrome</v>
      </c>
      <c r="BE60" t="s">
        <v>13</v>
      </c>
      <c r="BF60" t="s">
        <v>756</v>
      </c>
      <c r="BG60" t="s">
        <v>756</v>
      </c>
      <c r="BI60" cm="1">
        <f t="array" ref="BI60">IFERROR(_xlfn._xlws.FILTER(shifts!A:A,(shifts!B:B=events!AD60)*(shifts!AG:AG&gt;=events!BK60)*(shifts!AH:AH&lt;=events!BL60)),BI59)</f>
        <v>1</v>
      </c>
      <c r="BJ60" s="15">
        <f t="shared" si="22"/>
        <v>2</v>
      </c>
      <c r="BK60">
        <f t="shared" si="38"/>
        <v>1046</v>
      </c>
      <c r="BL60">
        <f t="shared" si="39"/>
        <v>1044</v>
      </c>
      <c r="BM60" s="15">
        <f>SUMIFS(BJ$2:BJ60,K$2:K60,"=Intermission")+SUMIFS(BJ$2:BJ60,K$2:K60,"=Timeout")</f>
        <v>0</v>
      </c>
      <c r="BN60">
        <f t="shared" si="40"/>
        <v>0</v>
      </c>
      <c r="BO60" s="19">
        <f t="shared" si="41"/>
        <v>34</v>
      </c>
      <c r="BP60">
        <f t="shared" si="42"/>
        <v>29</v>
      </c>
      <c r="BQ60" s="17">
        <f t="shared" si="43"/>
        <v>36</v>
      </c>
      <c r="BR60" t="str">
        <f t="shared" si="44"/>
        <v>event_team_player_1</v>
      </c>
      <c r="BS60">
        <f>COUNTIFS(S$3:S60,"="&amp;S60,AI$3:AI60,"="&amp;AI60)</f>
        <v>1</v>
      </c>
      <c r="BT60" t="str">
        <f>IFERROR(VLOOKUP(BB60&amp;BU60&amp;X60,game_rosters!U:W,3,FALSE),"")</f>
        <v>P100001</v>
      </c>
      <c r="BU60" t="str">
        <f t="shared" si="45"/>
        <v>Velodrome</v>
      </c>
    </row>
    <row r="61" spans="1:73" x14ac:dyDescent="0.2">
      <c r="A61">
        <f t="shared" si="2"/>
        <v>1</v>
      </c>
      <c r="E61" s="4"/>
      <c r="F61" s="43"/>
      <c r="G61" s="4"/>
      <c r="H61" s="46"/>
      <c r="J61" s="44" t="str">
        <f t="shared" si="46"/>
        <v/>
      </c>
      <c r="K61" t="s">
        <v>13</v>
      </c>
      <c r="L61" t="s">
        <v>756</v>
      </c>
      <c r="M61" t="s">
        <v>756</v>
      </c>
      <c r="N61" t="str">
        <f t="shared" si="48"/>
        <v/>
      </c>
      <c r="Q61" t="str">
        <f t="shared" si="47"/>
        <v/>
      </c>
      <c r="S61">
        <v>27</v>
      </c>
      <c r="U61" t="str">
        <f>IF(B61=1,MAX($U$2:$U60)+1,IF(AND($T61&lt;&gt;"",$T61=$T60),$U60,IF(B61="x",U60,"")))</f>
        <v/>
      </c>
      <c r="V61" t="str">
        <f>IF(C61=1,MAX($V$2:$V60)+1,IF(AND($T61&lt;&gt;"",$T61=$T60),$U60,IF(C61="x",V60,"")))</f>
        <v/>
      </c>
      <c r="W61" t="str">
        <f t="shared" si="3"/>
        <v>a</v>
      </c>
      <c r="X61">
        <v>37</v>
      </c>
      <c r="Y61" t="b">
        <f>IF(X61&lt;&gt;"",VLOOKUP(X61,game_rosters!$C$43:$E$64,3,FALSE))</f>
        <v>0</v>
      </c>
      <c r="Z61" t="str" cm="1">
        <f t="array" ref="Z61">IFERROR(IF(_xlfn._xlws.FILTER(game_rosters!$J:$J,(game_rosters!$G:$G=events!$AN61)*(game_rosters!$J:$J=events!$X61))&gt;0,1,""),"")</f>
        <v/>
      </c>
      <c r="AA61">
        <f t="shared" si="4"/>
        <v>1027</v>
      </c>
      <c r="AB61" t="str">
        <f t="shared" si="5"/>
        <v/>
      </c>
      <c r="AC61">
        <f t="shared" si="0"/>
        <v>1027</v>
      </c>
      <c r="AD61" s="6">
        <v>1</v>
      </c>
      <c r="AE61" t="s">
        <v>732</v>
      </c>
      <c r="AF61" t="s">
        <v>739</v>
      </c>
      <c r="AG61" t="s">
        <v>732</v>
      </c>
      <c r="AH61" t="s">
        <v>907</v>
      </c>
      <c r="AI61" t="s">
        <v>368</v>
      </c>
      <c r="AJ61" t="str">
        <f t="shared" si="6"/>
        <v/>
      </c>
      <c r="AK61" t="str">
        <f t="shared" si="7"/>
        <v/>
      </c>
      <c r="AL61" t="str">
        <f t="shared" si="8"/>
        <v/>
      </c>
      <c r="AN61" t="s">
        <v>862</v>
      </c>
      <c r="AO61" t="str">
        <f t="shared" si="9"/>
        <v>a</v>
      </c>
      <c r="AP61" t="str">
        <f t="shared" si="33"/>
        <v/>
      </c>
      <c r="AQ61" t="str">
        <f t="shared" si="34"/>
        <v/>
      </c>
      <c r="AR61" t="str">
        <f t="shared" si="35"/>
        <v>Away</v>
      </c>
      <c r="AS61" t="str">
        <f t="shared" si="36"/>
        <v>a</v>
      </c>
      <c r="AT61" t="str">
        <f t="shared" si="37"/>
        <v>Defensive</v>
      </c>
      <c r="BA61" s="6">
        <f t="shared" si="17"/>
        <v>15</v>
      </c>
      <c r="BB61">
        <f t="shared" si="18"/>
        <v>18981</v>
      </c>
      <c r="BC61" t="str">
        <f t="shared" si="19"/>
        <v>Nelson</v>
      </c>
      <c r="BD61" t="str">
        <f t="shared" si="20"/>
        <v>Velodrome</v>
      </c>
      <c r="BE61" t="s">
        <v>13</v>
      </c>
      <c r="BF61" t="s">
        <v>756</v>
      </c>
      <c r="BG61" t="s">
        <v>756</v>
      </c>
      <c r="BI61" cm="1">
        <f t="array" ref="BI61">IFERROR(_xlfn._xlws.FILTER(shifts!A:A,(shifts!B:B=events!AD61)*(shifts!AG:AG&gt;=events!BK61)*(shifts!AH:AH&lt;=events!BL61)),BI60)</f>
        <v>1</v>
      </c>
      <c r="BJ61" s="15">
        <f t="shared" si="22"/>
        <v>2</v>
      </c>
      <c r="BK61">
        <f t="shared" si="38"/>
        <v>1046</v>
      </c>
      <c r="BL61">
        <f t="shared" si="39"/>
        <v>1044</v>
      </c>
      <c r="BM61" s="15">
        <f>SUMIFS(BJ$2:BJ61,K$2:K61,"=Intermission")+SUMIFS(BJ$2:BJ61,K$2:K61,"=Timeout")</f>
        <v>0</v>
      </c>
      <c r="BN61">
        <f t="shared" si="40"/>
        <v>0</v>
      </c>
      <c r="BO61" s="19">
        <f t="shared" si="41"/>
        <v>34</v>
      </c>
      <c r="BP61">
        <f t="shared" si="42"/>
        <v>29</v>
      </c>
      <c r="BQ61" s="17">
        <f t="shared" si="43"/>
        <v>36</v>
      </c>
      <c r="BR61" t="str">
        <f t="shared" si="44"/>
        <v>opp_team_player_1</v>
      </c>
      <c r="BS61">
        <f>COUNTIFS(S$3:S61,"="&amp;S61,AI$3:AI61,"="&amp;AI61)</f>
        <v>1</v>
      </c>
      <c r="BT61" t="str">
        <f>IFERROR(VLOOKUP(BB61&amp;BU61&amp;X61,game_rosters!U:W,3,FALSE),"")</f>
        <v>P100119</v>
      </c>
      <c r="BU61" t="str">
        <f t="shared" si="45"/>
        <v>Nelson</v>
      </c>
    </row>
    <row r="62" spans="1:73" x14ac:dyDescent="0.2">
      <c r="A62">
        <f t="shared" si="2"/>
        <v>1</v>
      </c>
      <c r="E62" s="4"/>
      <c r="F62" s="43"/>
      <c r="G62" s="4"/>
      <c r="H62" s="46"/>
      <c r="J62" s="44" t="str">
        <f t="shared" si="46"/>
        <v/>
      </c>
      <c r="K62" t="s">
        <v>7</v>
      </c>
      <c r="L62" t="s">
        <v>172</v>
      </c>
      <c r="M62" t="s">
        <v>66</v>
      </c>
      <c r="N62" t="str">
        <f t="shared" si="48"/>
        <v>s</v>
      </c>
      <c r="Q62" t="str">
        <f t="shared" si="47"/>
        <v/>
      </c>
      <c r="S62">
        <v>28</v>
      </c>
      <c r="U62" t="str">
        <f>IF(B62=1,MAX($U$2:$U61)+1,IF(AND($T62&lt;&gt;"",$T62=$T61),$U61,IF(B62="x",U61,"")))</f>
        <v/>
      </c>
      <c r="V62" t="str">
        <f>IF(C62=1,MAX($V$2:$V61)+1,IF(AND($T62&lt;&gt;"",$T62=$T61),$U61,IF(C62="x",V61,"")))</f>
        <v/>
      </c>
      <c r="W62" t="str">
        <f t="shared" si="3"/>
        <v>a</v>
      </c>
      <c r="X62">
        <v>70</v>
      </c>
      <c r="Y62" t="e">
        <f>IF(X62&lt;&gt;"",VLOOKUP(X62,game_rosters!$C$43:$E$64,3,FALSE))</f>
        <v>#N/A</v>
      </c>
      <c r="Z62" cm="1">
        <f t="array" ref="Z62">IFERROR(IF(_xlfn._xlws.FILTER(game_rosters!$J:$J,(game_rosters!$G:$G=events!$AN62)*(game_rosters!$J:$J=events!$X62))&gt;0,1,""),"")</f>
        <v>1</v>
      </c>
      <c r="AA62">
        <f t="shared" si="4"/>
        <v>1028</v>
      </c>
      <c r="AB62" t="str">
        <f t="shared" si="5"/>
        <v/>
      </c>
      <c r="AC62">
        <f t="shared" si="0"/>
        <v>1028</v>
      </c>
      <c r="AD62" s="6">
        <v>1</v>
      </c>
      <c r="AE62" t="s">
        <v>732</v>
      </c>
      <c r="AF62" t="s">
        <v>907</v>
      </c>
      <c r="AG62" t="s">
        <v>756</v>
      </c>
      <c r="AH62" t="s">
        <v>756</v>
      </c>
      <c r="AI62" t="s">
        <v>367</v>
      </c>
      <c r="AJ62" t="str">
        <f t="shared" si="6"/>
        <v/>
      </c>
      <c r="AK62" t="str">
        <f t="shared" si="7"/>
        <v/>
      </c>
      <c r="AL62" t="str">
        <f t="shared" si="8"/>
        <v/>
      </c>
      <c r="AN62" t="s">
        <v>862</v>
      </c>
      <c r="AO62" t="str">
        <f t="shared" si="9"/>
        <v>a</v>
      </c>
      <c r="AP62" t="str">
        <f t="shared" si="33"/>
        <v/>
      </c>
      <c r="AQ62" t="str">
        <f t="shared" si="34"/>
        <v/>
      </c>
      <c r="AR62" t="str">
        <f t="shared" si="35"/>
        <v>Away</v>
      </c>
      <c r="AS62" t="str">
        <f t="shared" si="36"/>
        <v>a</v>
      </c>
      <c r="AT62" t="str">
        <f t="shared" si="37"/>
        <v>Offensive</v>
      </c>
      <c r="BA62" s="6">
        <f t="shared" si="17"/>
        <v>15</v>
      </c>
      <c r="BB62">
        <f t="shared" si="18"/>
        <v>18981</v>
      </c>
      <c r="BC62" t="str">
        <f t="shared" si="19"/>
        <v>Nelson</v>
      </c>
      <c r="BD62" t="str">
        <f t="shared" si="20"/>
        <v>Velodrome</v>
      </c>
      <c r="BE62" t="s">
        <v>7</v>
      </c>
      <c r="BF62" t="s">
        <v>172</v>
      </c>
      <c r="BG62" t="s">
        <v>66</v>
      </c>
      <c r="BI62" cm="1">
        <f t="array" ref="BI62">IFERROR(_xlfn._xlws.FILTER(shifts!A:A,(shifts!B:B=events!AD62)*(shifts!AG:AG&gt;=events!BK62)*(shifts!AH:AH&lt;=events!BL62)),BI61)</f>
        <v>1</v>
      </c>
      <c r="BJ62" s="15">
        <f t="shared" si="22"/>
        <v>0</v>
      </c>
      <c r="BK62">
        <f t="shared" si="38"/>
        <v>1044</v>
      </c>
      <c r="BL62">
        <f t="shared" si="39"/>
        <v>1044</v>
      </c>
      <c r="BM62" s="15">
        <f>SUMIFS(BJ$2:BJ62,K$2:K62,"=Intermission")+SUMIFS(BJ$2:BJ62,K$2:K62,"=Timeout")</f>
        <v>0</v>
      </c>
      <c r="BN62">
        <f t="shared" si="40"/>
        <v>0</v>
      </c>
      <c r="BO62" s="19">
        <f t="shared" si="41"/>
        <v>36</v>
      </c>
      <c r="BP62">
        <f t="shared" si="42"/>
        <v>31</v>
      </c>
      <c r="BQ62" s="17">
        <f t="shared" si="43"/>
        <v>36</v>
      </c>
      <c r="BR62" t="str">
        <f t="shared" si="44"/>
        <v>event_team_player_1</v>
      </c>
      <c r="BS62">
        <f>COUNTIFS(S$3:S62,"="&amp;S62,AI$3:AI62,"="&amp;AI62)</f>
        <v>1</v>
      </c>
      <c r="BT62" t="str">
        <f>IFERROR(VLOOKUP(BB62&amp;BU62&amp;X62,game_rosters!U:W,3,FALSE),"")</f>
        <v>P100001</v>
      </c>
      <c r="BU62" t="str">
        <f t="shared" si="45"/>
        <v>Velodrome</v>
      </c>
    </row>
    <row r="63" spans="1:73" x14ac:dyDescent="0.2">
      <c r="A63">
        <f t="shared" si="2"/>
        <v>1</v>
      </c>
      <c r="E63" s="4"/>
      <c r="F63" s="43"/>
      <c r="G63" s="4"/>
      <c r="H63" s="46"/>
      <c r="J63" s="44" t="str">
        <f t="shared" si="46"/>
        <v/>
      </c>
      <c r="K63" t="s">
        <v>7</v>
      </c>
      <c r="L63" t="s">
        <v>172</v>
      </c>
      <c r="M63" t="s">
        <v>66</v>
      </c>
      <c r="N63" t="str">
        <f t="shared" si="48"/>
        <v>s</v>
      </c>
      <c r="Q63" t="str">
        <f t="shared" si="47"/>
        <v/>
      </c>
      <c r="S63">
        <v>28</v>
      </c>
      <c r="U63" t="str">
        <f>IF(B63=1,MAX($U$2:$U62)+1,IF(AND($T63&lt;&gt;"",$T63=$T62),$U62,IF(B63="x",U62,"")))</f>
        <v/>
      </c>
      <c r="V63" t="str">
        <f>IF(C63=1,MAX($V$2:$V62)+1,IF(AND($T63&lt;&gt;"",$T63=$T62),$U62,IF(C63="x",V62,"")))</f>
        <v/>
      </c>
      <c r="W63" t="str">
        <f t="shared" si="3"/>
        <v>a</v>
      </c>
      <c r="X63">
        <v>84</v>
      </c>
      <c r="Y63" t="e">
        <f>IF(X63&lt;&gt;"",VLOOKUP(X63,game_rosters!$C$43:$E$64,3,FALSE))</f>
        <v>#N/A</v>
      </c>
      <c r="Z63" cm="1">
        <f t="array" ref="Z63">IFERROR(IF(_xlfn._xlws.FILTER(game_rosters!$J:$J,(game_rosters!$G:$G=events!$AN63)*(game_rosters!$J:$J=events!$X63))&gt;0,1,""),"")</f>
        <v>1</v>
      </c>
      <c r="AA63">
        <f t="shared" si="4"/>
        <v>1028</v>
      </c>
      <c r="AB63" t="str">
        <f t="shared" si="5"/>
        <v/>
      </c>
      <c r="AC63">
        <f t="shared" si="0"/>
        <v>1028</v>
      </c>
      <c r="AD63" s="6">
        <v>1</v>
      </c>
      <c r="AE63" t="s">
        <v>732</v>
      </c>
      <c r="AF63" t="s">
        <v>907</v>
      </c>
      <c r="AG63" t="s">
        <v>756</v>
      </c>
      <c r="AH63" t="s">
        <v>756</v>
      </c>
      <c r="AI63" t="s">
        <v>367</v>
      </c>
      <c r="AJ63" t="str">
        <f t="shared" si="6"/>
        <v/>
      </c>
      <c r="AK63" t="str">
        <f t="shared" si="7"/>
        <v/>
      </c>
      <c r="AL63" t="str">
        <f t="shared" si="8"/>
        <v/>
      </c>
      <c r="AN63" t="s">
        <v>862</v>
      </c>
      <c r="AO63" t="str">
        <f t="shared" si="9"/>
        <v>a</v>
      </c>
      <c r="AP63" t="str">
        <f t="shared" si="33"/>
        <v/>
      </c>
      <c r="AQ63" t="str">
        <f t="shared" si="34"/>
        <v/>
      </c>
      <c r="AR63" t="str">
        <f t="shared" si="35"/>
        <v>Away</v>
      </c>
      <c r="AS63" t="str">
        <f t="shared" si="36"/>
        <v>a</v>
      </c>
      <c r="AT63" t="str">
        <f t="shared" si="37"/>
        <v>Offensive</v>
      </c>
      <c r="BA63" s="6">
        <f t="shared" si="17"/>
        <v>15</v>
      </c>
      <c r="BB63">
        <f t="shared" si="18"/>
        <v>18981</v>
      </c>
      <c r="BC63" t="str">
        <f t="shared" si="19"/>
        <v>Nelson</v>
      </c>
      <c r="BD63" t="str">
        <f t="shared" si="20"/>
        <v>Velodrome</v>
      </c>
      <c r="BE63" t="s">
        <v>7</v>
      </c>
      <c r="BF63" t="s">
        <v>172</v>
      </c>
      <c r="BG63" t="s">
        <v>66</v>
      </c>
      <c r="BI63" cm="1">
        <f t="array" ref="BI63">IFERROR(_xlfn._xlws.FILTER(shifts!A:A,(shifts!B:B=events!AD63)*(shifts!AG:AG&gt;=events!BK63)*(shifts!AH:AH&lt;=events!BL63)),BI62)</f>
        <v>1</v>
      </c>
      <c r="BJ63" s="15">
        <f t="shared" si="22"/>
        <v>0</v>
      </c>
      <c r="BK63">
        <f t="shared" si="38"/>
        <v>1044</v>
      </c>
      <c r="BL63">
        <f t="shared" si="39"/>
        <v>1044</v>
      </c>
      <c r="BM63" s="15">
        <f>SUMIFS(BJ$2:BJ63,K$2:K63,"=Intermission")+SUMIFS(BJ$2:BJ63,K$2:K63,"=Timeout")</f>
        <v>0</v>
      </c>
      <c r="BN63">
        <f t="shared" si="40"/>
        <v>0</v>
      </c>
      <c r="BO63" s="19">
        <f t="shared" si="41"/>
        <v>36</v>
      </c>
      <c r="BP63">
        <f t="shared" si="42"/>
        <v>31</v>
      </c>
      <c r="BQ63" s="17">
        <f t="shared" si="43"/>
        <v>36</v>
      </c>
      <c r="BR63" t="str">
        <f t="shared" si="44"/>
        <v>event_team_player_2</v>
      </c>
      <c r="BS63">
        <f>COUNTIFS(S$3:S63,"="&amp;S63,AI$3:AI63,"="&amp;AI63)</f>
        <v>2</v>
      </c>
      <c r="BT63" t="str">
        <f>IFERROR(VLOOKUP(BB63&amp;BU63&amp;X63,game_rosters!U:W,3,FALSE),"")</f>
        <v>P100198</v>
      </c>
      <c r="BU63" t="str">
        <f t="shared" si="45"/>
        <v>Velodrome</v>
      </c>
    </row>
    <row r="64" spans="1:73" x14ac:dyDescent="0.2">
      <c r="A64">
        <f t="shared" si="2"/>
        <v>1</v>
      </c>
      <c r="E64" s="4"/>
      <c r="F64" s="43"/>
      <c r="G64" s="4"/>
      <c r="H64" s="46"/>
      <c r="J64" s="44" t="str">
        <f t="shared" si="46"/>
        <v/>
      </c>
      <c r="K64" t="s">
        <v>7</v>
      </c>
      <c r="L64" t="s">
        <v>172</v>
      </c>
      <c r="M64" t="s">
        <v>66</v>
      </c>
      <c r="N64" t="str">
        <f t="shared" si="48"/>
        <v>s</v>
      </c>
      <c r="Q64" t="str">
        <f t="shared" si="47"/>
        <v/>
      </c>
      <c r="S64">
        <v>28</v>
      </c>
      <c r="U64" t="str">
        <f>IF(B64=1,MAX($U$2:$U63)+1,IF(AND($T64&lt;&gt;"",$T64=$T63),$U63,IF(B64="x",U63,"")))</f>
        <v/>
      </c>
      <c r="V64" t="str">
        <f>IF(C64=1,MAX($V$2:$V63)+1,IF(AND($T64&lt;&gt;"",$T64=$T63),$U63,IF(C64="x",V63,"")))</f>
        <v/>
      </c>
      <c r="W64" t="str">
        <f t="shared" si="3"/>
        <v>a</v>
      </c>
      <c r="X64">
        <v>23</v>
      </c>
      <c r="Y64" t="b">
        <f>IF(X64&lt;&gt;"",VLOOKUP(X64,game_rosters!$C$43:$E$64,3,FALSE))</f>
        <v>0</v>
      </c>
      <c r="Z64" t="str" cm="1">
        <f t="array" ref="Z64">IFERROR(IF(_xlfn._xlws.FILTER(game_rosters!$J:$J,(game_rosters!$G:$G=events!$AN64)*(game_rosters!$J:$J=events!$X64))&gt;0,1,""),"")</f>
        <v/>
      </c>
      <c r="AA64">
        <f t="shared" si="4"/>
        <v>1028</v>
      </c>
      <c r="AB64" t="str">
        <f t="shared" si="5"/>
        <v/>
      </c>
      <c r="AC64">
        <f t="shared" si="0"/>
        <v>1028</v>
      </c>
      <c r="AD64" s="6">
        <v>1</v>
      </c>
      <c r="AE64" t="s">
        <v>732</v>
      </c>
      <c r="AF64" t="s">
        <v>907</v>
      </c>
      <c r="AG64" t="s">
        <v>756</v>
      </c>
      <c r="AH64" t="s">
        <v>756</v>
      </c>
      <c r="AI64" t="s">
        <v>368</v>
      </c>
      <c r="AJ64" t="str">
        <f t="shared" si="6"/>
        <v/>
      </c>
      <c r="AK64" t="str">
        <f t="shared" si="7"/>
        <v/>
      </c>
      <c r="AL64" t="str">
        <f t="shared" si="8"/>
        <v/>
      </c>
      <c r="AN64" t="s">
        <v>862</v>
      </c>
      <c r="AO64" t="str">
        <f t="shared" si="9"/>
        <v>a</v>
      </c>
      <c r="AP64" t="str">
        <f t="shared" si="33"/>
        <v/>
      </c>
      <c r="AQ64" t="str">
        <f t="shared" si="34"/>
        <v/>
      </c>
      <c r="AR64" t="str">
        <f t="shared" si="35"/>
        <v>Away</v>
      </c>
      <c r="AS64" t="str">
        <f t="shared" si="36"/>
        <v>a</v>
      </c>
      <c r="AT64" t="str">
        <f t="shared" si="37"/>
        <v>Defensive</v>
      </c>
      <c r="BA64" s="6">
        <f t="shared" si="17"/>
        <v>15</v>
      </c>
      <c r="BB64">
        <f t="shared" si="18"/>
        <v>18981</v>
      </c>
      <c r="BC64" t="str">
        <f t="shared" si="19"/>
        <v>Nelson</v>
      </c>
      <c r="BD64" t="str">
        <f t="shared" si="20"/>
        <v>Velodrome</v>
      </c>
      <c r="BE64" t="s">
        <v>7</v>
      </c>
      <c r="BF64" t="s">
        <v>172</v>
      </c>
      <c r="BG64" t="s">
        <v>66</v>
      </c>
      <c r="BI64" cm="1">
        <f t="array" ref="BI64">IFERROR(_xlfn._xlws.FILTER(shifts!A:A,(shifts!B:B=events!AD64)*(shifts!AG:AG&gt;=events!BK64)*(shifts!AH:AH&lt;=events!BL64)),BI63)</f>
        <v>1</v>
      </c>
      <c r="BJ64" s="15">
        <f t="shared" si="22"/>
        <v>0</v>
      </c>
      <c r="BK64">
        <f t="shared" si="38"/>
        <v>1044</v>
      </c>
      <c r="BL64">
        <f t="shared" si="39"/>
        <v>1044</v>
      </c>
      <c r="BM64" s="15">
        <f>SUMIFS(BJ$2:BJ64,K$2:K64,"=Intermission")+SUMIFS(BJ$2:BJ64,K$2:K64,"=Timeout")</f>
        <v>0</v>
      </c>
      <c r="BN64">
        <f t="shared" si="40"/>
        <v>0</v>
      </c>
      <c r="BO64" s="19">
        <f t="shared" si="41"/>
        <v>36</v>
      </c>
      <c r="BP64">
        <f t="shared" si="42"/>
        <v>31</v>
      </c>
      <c r="BQ64" s="17">
        <f t="shared" si="43"/>
        <v>36</v>
      </c>
      <c r="BR64" t="str">
        <f t="shared" si="44"/>
        <v>opp_team_player_1</v>
      </c>
      <c r="BS64">
        <f>COUNTIFS(S$3:S64,"="&amp;S64,AI$3:AI64,"="&amp;AI64)</f>
        <v>1</v>
      </c>
      <c r="BT64" t="str">
        <f>IFERROR(VLOOKUP(BB64&amp;BU64&amp;X64,game_rosters!U:W,3,FALSE),"")</f>
        <v>P100061</v>
      </c>
      <c r="BU64" t="str">
        <f t="shared" si="45"/>
        <v>Nelson</v>
      </c>
    </row>
    <row r="65" spans="1:73" x14ac:dyDescent="0.2">
      <c r="A65">
        <f t="shared" si="2"/>
        <v>1</v>
      </c>
      <c r="E65" s="4"/>
      <c r="F65" s="43"/>
      <c r="G65" s="4"/>
      <c r="H65" s="46"/>
      <c r="J65" s="44" t="str">
        <f t="shared" si="46"/>
        <v/>
      </c>
      <c r="K65" t="s">
        <v>7</v>
      </c>
      <c r="L65" t="s">
        <v>172</v>
      </c>
      <c r="M65" t="s">
        <v>68</v>
      </c>
      <c r="N65" t="str">
        <f t="shared" si="48"/>
        <v>s</v>
      </c>
      <c r="Q65" t="str">
        <f t="shared" si="47"/>
        <v/>
      </c>
      <c r="S65">
        <v>29</v>
      </c>
      <c r="U65" t="str">
        <f>IF(B65=1,MAX($U$2:$U64)+1,IF(AND($T65&lt;&gt;"",$T65=$T64),$U64,IF(B65="x",U64,"")))</f>
        <v/>
      </c>
      <c r="V65" t="str">
        <f>IF(C65=1,MAX($V$2:$V64)+1,IF(AND($T65&lt;&gt;"",$T65=$T64),$U64,IF(C65="x",V64,"")))</f>
        <v/>
      </c>
      <c r="W65" t="str">
        <f t="shared" si="3"/>
        <v>a</v>
      </c>
      <c r="X65">
        <v>84</v>
      </c>
      <c r="Y65" t="e">
        <f>IF(X65&lt;&gt;"",VLOOKUP(X65,game_rosters!$C$43:$E$64,3,FALSE))</f>
        <v>#N/A</v>
      </c>
      <c r="Z65" cm="1">
        <f t="array" ref="Z65">IFERROR(IF(_xlfn._xlws.FILTER(game_rosters!$J:$J,(game_rosters!$G:$G=events!$AN65)*(game_rosters!$J:$J=events!$X65))&gt;0,1,""),"")</f>
        <v>1</v>
      </c>
      <c r="AA65">
        <f t="shared" si="4"/>
        <v>1029</v>
      </c>
      <c r="AB65" t="str">
        <f t="shared" si="5"/>
        <v/>
      </c>
      <c r="AC65">
        <f t="shared" si="0"/>
        <v>1029</v>
      </c>
      <c r="AD65" s="6">
        <v>1</v>
      </c>
      <c r="AE65" t="s">
        <v>732</v>
      </c>
      <c r="AF65" t="s">
        <v>741</v>
      </c>
      <c r="AG65" t="s">
        <v>756</v>
      </c>
      <c r="AH65" t="s">
        <v>756</v>
      </c>
      <c r="AI65" t="s">
        <v>367</v>
      </c>
      <c r="AJ65" t="str">
        <f t="shared" si="6"/>
        <v/>
      </c>
      <c r="AK65" t="str">
        <f t="shared" si="7"/>
        <v/>
      </c>
      <c r="AL65" t="str">
        <f t="shared" si="8"/>
        <v/>
      </c>
      <c r="AN65" t="s">
        <v>862</v>
      </c>
      <c r="AO65" t="str">
        <f t="shared" si="9"/>
        <v>a</v>
      </c>
      <c r="AP65" t="str">
        <f t="shared" si="33"/>
        <v/>
      </c>
      <c r="AQ65" t="str">
        <f t="shared" si="34"/>
        <v/>
      </c>
      <c r="AR65" t="str">
        <f t="shared" si="35"/>
        <v>Away</v>
      </c>
      <c r="AS65" t="str">
        <f t="shared" si="36"/>
        <v>a</v>
      </c>
      <c r="AT65" t="str">
        <f t="shared" si="37"/>
        <v>Offensive</v>
      </c>
      <c r="BA65" s="6">
        <f t="shared" si="17"/>
        <v>15</v>
      </c>
      <c r="BB65">
        <f t="shared" si="18"/>
        <v>18981</v>
      </c>
      <c r="BC65" t="str">
        <f t="shared" si="19"/>
        <v>Nelson</v>
      </c>
      <c r="BD65" t="str">
        <f t="shared" si="20"/>
        <v>Velodrome</v>
      </c>
      <c r="BE65" t="s">
        <v>7</v>
      </c>
      <c r="BF65" t="s">
        <v>172</v>
      </c>
      <c r="BG65" t="s">
        <v>68</v>
      </c>
      <c r="BI65" cm="1">
        <f t="array" ref="BI65">IFERROR(_xlfn._xlws.FILTER(shifts!A:A,(shifts!B:B=events!AD65)*(shifts!AG:AG&gt;=events!BK65)*(shifts!AH:AH&lt;=events!BL65)),BI64)</f>
        <v>1</v>
      </c>
      <c r="BJ65" s="15">
        <f t="shared" si="22"/>
        <v>0</v>
      </c>
      <c r="BK65">
        <f t="shared" si="38"/>
        <v>1041</v>
      </c>
      <c r="BL65">
        <f t="shared" si="39"/>
        <v>1041</v>
      </c>
      <c r="BM65" s="15">
        <f>SUMIFS(BJ$2:BJ65,K$2:K65,"=Intermission")+SUMIFS(BJ$2:BJ65,K$2:K65,"=Timeout")</f>
        <v>0</v>
      </c>
      <c r="BN65">
        <f t="shared" si="40"/>
        <v>0</v>
      </c>
      <c r="BO65" s="19">
        <f t="shared" si="41"/>
        <v>39</v>
      </c>
      <c r="BP65">
        <f t="shared" si="42"/>
        <v>34</v>
      </c>
      <c r="BQ65" s="17">
        <f t="shared" si="43"/>
        <v>39</v>
      </c>
      <c r="BR65" t="str">
        <f t="shared" si="44"/>
        <v>event_team_player_1</v>
      </c>
      <c r="BS65">
        <f>COUNTIFS(S$3:S65,"="&amp;S65,AI$3:AI65,"="&amp;AI65)</f>
        <v>1</v>
      </c>
      <c r="BT65" t="str">
        <f>IFERROR(VLOOKUP(BB65&amp;BU65&amp;X65,game_rosters!U:W,3,FALSE),"")</f>
        <v>P100198</v>
      </c>
      <c r="BU65" t="str">
        <f t="shared" si="45"/>
        <v>Velodrome</v>
      </c>
    </row>
    <row r="66" spans="1:73" x14ac:dyDescent="0.2">
      <c r="A66">
        <f t="shared" si="2"/>
        <v>1</v>
      </c>
      <c r="E66" s="4"/>
      <c r="F66" s="43"/>
      <c r="G66" s="4"/>
      <c r="H66" s="46"/>
      <c r="J66" s="44" t="str">
        <f t="shared" si="46"/>
        <v/>
      </c>
      <c r="K66" t="s">
        <v>7</v>
      </c>
      <c r="L66" t="s">
        <v>172</v>
      </c>
      <c r="M66" t="s">
        <v>68</v>
      </c>
      <c r="N66" t="str">
        <f t="shared" si="48"/>
        <v>s</v>
      </c>
      <c r="Q66" t="str">
        <f t="shared" si="47"/>
        <v/>
      </c>
      <c r="S66">
        <v>29</v>
      </c>
      <c r="U66" t="str">
        <f>IF(B66=1,MAX($U$2:$U65)+1,IF(AND($T66&lt;&gt;"",$T66=$T65),$U65,IF(B66="x",U65,"")))</f>
        <v/>
      </c>
      <c r="V66" t="str">
        <f>IF(C66=1,MAX($V$2:$V65)+1,IF(AND($T66&lt;&gt;"",$T66=$T65),$U65,IF(C66="x",V65,"")))</f>
        <v/>
      </c>
      <c r="W66" t="str">
        <f t="shared" si="3"/>
        <v>a</v>
      </c>
      <c r="X66">
        <v>87</v>
      </c>
      <c r="Y66" t="e">
        <f>IF(X66&lt;&gt;"",VLOOKUP(X66,game_rosters!$C$43:$E$64,3,FALSE))</f>
        <v>#N/A</v>
      </c>
      <c r="Z66" cm="1">
        <f t="array" ref="Z66">IFERROR(IF(_xlfn._xlws.FILTER(game_rosters!$J:$J,(game_rosters!$G:$G=events!$AN66)*(game_rosters!$J:$J=events!$X66))&gt;0,1,""),"")</f>
        <v>1</v>
      </c>
      <c r="AA66">
        <f t="shared" si="4"/>
        <v>1029</v>
      </c>
      <c r="AB66" t="str">
        <f t="shared" si="5"/>
        <v/>
      </c>
      <c r="AC66">
        <f t="shared" ref="AC66:AC129" si="49">IF(AB66&lt;&gt;"",AB66,S66+1000)</f>
        <v>1029</v>
      </c>
      <c r="AD66" s="6">
        <v>1</v>
      </c>
      <c r="AE66" t="s">
        <v>732</v>
      </c>
      <c r="AF66" t="s">
        <v>741</v>
      </c>
      <c r="AG66" t="s">
        <v>756</v>
      </c>
      <c r="AH66" t="s">
        <v>756</v>
      </c>
      <c r="AI66" t="s">
        <v>367</v>
      </c>
      <c r="AJ66" t="str">
        <f t="shared" si="6"/>
        <v/>
      </c>
      <c r="AK66" t="str">
        <f t="shared" si="7"/>
        <v/>
      </c>
      <c r="AL66" t="str">
        <f t="shared" si="8"/>
        <v/>
      </c>
      <c r="AN66" t="s">
        <v>862</v>
      </c>
      <c r="AO66" t="str">
        <f t="shared" si="9"/>
        <v>a</v>
      </c>
      <c r="AP66" t="str">
        <f t="shared" si="33"/>
        <v/>
      </c>
      <c r="AQ66" t="str">
        <f t="shared" si="34"/>
        <v/>
      </c>
      <c r="AR66" t="str">
        <f t="shared" si="35"/>
        <v>Away</v>
      </c>
      <c r="AS66" t="str">
        <f t="shared" si="36"/>
        <v>a</v>
      </c>
      <c r="AT66" t="str">
        <f t="shared" si="37"/>
        <v>Offensive</v>
      </c>
      <c r="BA66" s="6">
        <f t="shared" si="17"/>
        <v>15</v>
      </c>
      <c r="BB66">
        <f t="shared" si="18"/>
        <v>18981</v>
      </c>
      <c r="BC66" t="str">
        <f t="shared" si="19"/>
        <v>Nelson</v>
      </c>
      <c r="BD66" t="str">
        <f t="shared" si="20"/>
        <v>Velodrome</v>
      </c>
      <c r="BE66" t="s">
        <v>7</v>
      </c>
      <c r="BF66" t="s">
        <v>172</v>
      </c>
      <c r="BG66" t="s">
        <v>68</v>
      </c>
      <c r="BI66" cm="1">
        <f t="array" ref="BI66">IFERROR(_xlfn._xlws.FILTER(shifts!A:A,(shifts!B:B=events!AD66)*(shifts!AG:AG&gt;=events!BK66)*(shifts!AH:AH&lt;=events!BL66)),BI65)</f>
        <v>1</v>
      </c>
      <c r="BJ66" s="15">
        <f t="shared" si="22"/>
        <v>0</v>
      </c>
      <c r="BK66">
        <f t="shared" si="38"/>
        <v>1041</v>
      </c>
      <c r="BL66">
        <f t="shared" si="39"/>
        <v>1041</v>
      </c>
      <c r="BM66" s="15">
        <f>SUMIFS(BJ$2:BJ66,K$2:K66,"=Intermission")+SUMIFS(BJ$2:BJ66,K$2:K66,"=Timeout")</f>
        <v>0</v>
      </c>
      <c r="BN66">
        <f t="shared" si="40"/>
        <v>0</v>
      </c>
      <c r="BO66" s="19">
        <f t="shared" si="41"/>
        <v>39</v>
      </c>
      <c r="BP66">
        <f t="shared" si="42"/>
        <v>34</v>
      </c>
      <c r="BQ66" s="17">
        <f t="shared" si="43"/>
        <v>39</v>
      </c>
      <c r="BR66" t="str">
        <f t="shared" si="44"/>
        <v>event_team_player_2</v>
      </c>
      <c r="BS66">
        <f>COUNTIFS(S$3:S66,"="&amp;S66,AI$3:AI66,"="&amp;AI66)</f>
        <v>2</v>
      </c>
      <c r="BT66" t="str">
        <f>IFERROR(VLOOKUP(BB66&amp;BU66&amp;X66,game_rosters!U:W,3,FALSE),"")</f>
        <v>P100159</v>
      </c>
      <c r="BU66" t="str">
        <f t="shared" si="45"/>
        <v>Velodrome</v>
      </c>
    </row>
    <row r="67" spans="1:73" x14ac:dyDescent="0.2">
      <c r="A67">
        <f t="shared" si="2"/>
        <v>1</v>
      </c>
      <c r="E67" s="4"/>
      <c r="F67" s="43"/>
      <c r="G67" s="4"/>
      <c r="H67" s="46"/>
      <c r="J67" s="44" t="str">
        <f t="shared" si="46"/>
        <v/>
      </c>
      <c r="K67" t="s">
        <v>7</v>
      </c>
      <c r="L67" t="s">
        <v>172</v>
      </c>
      <c r="M67" t="s">
        <v>68</v>
      </c>
      <c r="N67" t="str">
        <f t="shared" si="48"/>
        <v>s</v>
      </c>
      <c r="Q67" t="str">
        <f t="shared" si="47"/>
        <v/>
      </c>
      <c r="S67">
        <v>29</v>
      </c>
      <c r="U67" t="str">
        <f>IF(B67=1,MAX($U$2:$U66)+1,IF(AND($T67&lt;&gt;"",$T67=$T66),$U66,IF(B67="x",U66,"")))</f>
        <v/>
      </c>
      <c r="V67" t="str">
        <f>IF(C67=1,MAX($V$2:$V66)+1,IF(AND($T67&lt;&gt;"",$T67=$T66),$U66,IF(C67="x",V66,"")))</f>
        <v/>
      </c>
      <c r="W67" t="str">
        <f t="shared" si="3"/>
        <v>a</v>
      </c>
      <c r="X67">
        <v>15</v>
      </c>
      <c r="Y67" t="b">
        <f>IF(X67&lt;&gt;"",VLOOKUP(X67,game_rosters!$C$43:$E$64,3,FALSE))</f>
        <v>0</v>
      </c>
      <c r="Z67" t="str" cm="1">
        <f t="array" ref="Z67">IFERROR(IF(_xlfn._xlws.FILTER(game_rosters!$J:$J,(game_rosters!$G:$G=events!$AN67)*(game_rosters!$J:$J=events!$X67))&gt;0,1,""),"")</f>
        <v/>
      </c>
      <c r="AA67">
        <f t="shared" si="4"/>
        <v>1029</v>
      </c>
      <c r="AB67" t="str">
        <f t="shared" si="5"/>
        <v/>
      </c>
      <c r="AC67">
        <f t="shared" si="49"/>
        <v>1029</v>
      </c>
      <c r="AD67" s="6">
        <v>1</v>
      </c>
      <c r="AE67" t="s">
        <v>732</v>
      </c>
      <c r="AF67" t="s">
        <v>741</v>
      </c>
      <c r="AG67" t="s">
        <v>756</v>
      </c>
      <c r="AH67" t="s">
        <v>756</v>
      </c>
      <c r="AI67" t="s">
        <v>368</v>
      </c>
      <c r="AJ67" t="str">
        <f t="shared" si="6"/>
        <v/>
      </c>
      <c r="AK67" t="str">
        <f t="shared" si="7"/>
        <v/>
      </c>
      <c r="AL67" t="str">
        <f t="shared" si="8"/>
        <v/>
      </c>
      <c r="AN67" t="s">
        <v>862</v>
      </c>
      <c r="AO67" t="str">
        <f t="shared" si="9"/>
        <v>a</v>
      </c>
      <c r="AP67" t="str">
        <f t="shared" si="33"/>
        <v/>
      </c>
      <c r="AQ67" t="str">
        <f t="shared" si="34"/>
        <v/>
      </c>
      <c r="AR67" t="str">
        <f t="shared" si="35"/>
        <v>Away</v>
      </c>
      <c r="AS67" t="str">
        <f t="shared" si="36"/>
        <v>a</v>
      </c>
      <c r="AT67" t="str">
        <f t="shared" si="37"/>
        <v>Defensive</v>
      </c>
      <c r="BA67" s="6">
        <f t="shared" si="17"/>
        <v>15</v>
      </c>
      <c r="BB67">
        <f t="shared" si="18"/>
        <v>18981</v>
      </c>
      <c r="BC67" t="str">
        <f t="shared" si="19"/>
        <v>Nelson</v>
      </c>
      <c r="BD67" t="str">
        <f t="shared" si="20"/>
        <v>Velodrome</v>
      </c>
      <c r="BE67" t="s">
        <v>7</v>
      </c>
      <c r="BF67" t="s">
        <v>172</v>
      </c>
      <c r="BG67" t="s">
        <v>68</v>
      </c>
      <c r="BI67" cm="1">
        <f t="array" ref="BI67">IFERROR(_xlfn._xlws.FILTER(shifts!A:A,(shifts!B:B=events!AD67)*(shifts!AG:AG&gt;=events!BK67)*(shifts!AH:AH&lt;=events!BL67)),BI66)</f>
        <v>1</v>
      </c>
      <c r="BJ67" s="15">
        <f t="shared" si="22"/>
        <v>0</v>
      </c>
      <c r="BK67">
        <f t="shared" si="38"/>
        <v>1041</v>
      </c>
      <c r="BL67">
        <f t="shared" si="39"/>
        <v>1041</v>
      </c>
      <c r="BM67" s="15">
        <f>SUMIFS(BJ$2:BJ67,K$2:K67,"=Intermission")+SUMIFS(BJ$2:BJ67,K$2:K67,"=Timeout")</f>
        <v>0</v>
      </c>
      <c r="BN67">
        <f t="shared" si="40"/>
        <v>0</v>
      </c>
      <c r="BO67" s="19">
        <f t="shared" si="41"/>
        <v>39</v>
      </c>
      <c r="BP67">
        <f t="shared" si="42"/>
        <v>34</v>
      </c>
      <c r="BQ67" s="17">
        <f t="shared" si="43"/>
        <v>39</v>
      </c>
      <c r="BR67" t="str">
        <f t="shared" si="44"/>
        <v>opp_team_player_1</v>
      </c>
      <c r="BS67">
        <f>COUNTIFS(S$3:S67,"="&amp;S67,AI$3:AI67,"="&amp;AI67)</f>
        <v>1</v>
      </c>
      <c r="BT67" t="str">
        <f>IFERROR(VLOOKUP(BB67&amp;BU67&amp;X67,game_rosters!U:W,3,FALSE),"")</f>
        <v>P100071</v>
      </c>
      <c r="BU67" t="str">
        <f t="shared" si="45"/>
        <v>Nelson</v>
      </c>
    </row>
    <row r="68" spans="1:73" x14ac:dyDescent="0.2">
      <c r="A68">
        <f t="shared" si="2"/>
        <v>1</v>
      </c>
      <c r="E68" s="4"/>
      <c r="F68" s="43"/>
      <c r="G68" s="4"/>
      <c r="H68" s="46"/>
      <c r="J68" s="44" t="str">
        <f t="shared" si="46"/>
        <v/>
      </c>
      <c r="K68" t="s">
        <v>13</v>
      </c>
      <c r="L68" t="s">
        <v>756</v>
      </c>
      <c r="M68" t="s">
        <v>756</v>
      </c>
      <c r="N68" t="str">
        <f t="shared" si="48"/>
        <v/>
      </c>
      <c r="Q68" t="str">
        <f t="shared" si="47"/>
        <v/>
      </c>
      <c r="S68">
        <v>30</v>
      </c>
      <c r="U68" t="str">
        <f>IF(B68=1,MAX($U$2:$U67)+1,IF(AND($T68&lt;&gt;"",$T68=$T67),$U67,IF(B68="x",U67,"")))</f>
        <v/>
      </c>
      <c r="V68" t="str">
        <f>IF(C68=1,MAX($V$2:$V67)+1,IF(AND($T68&lt;&gt;"",$T68=$T67),$U67,IF(C68="x",V67,"")))</f>
        <v/>
      </c>
      <c r="W68" t="str">
        <f t="shared" ref="W68:W131" si="50">IF(AN68="Away","a",IF(AN68="Home","h",""))</f>
        <v>a</v>
      </c>
      <c r="X68">
        <v>87</v>
      </c>
      <c r="Y68" t="e">
        <f>IF(X68&lt;&gt;"",VLOOKUP(X68,game_rosters!$C$43:$E$64,3,FALSE))</f>
        <v>#N/A</v>
      </c>
      <c r="Z68" cm="1">
        <f t="array" ref="Z68">IFERROR(IF(_xlfn._xlws.FILTER(game_rosters!$J:$J,(game_rosters!$G:$G=events!$AN68)*(game_rosters!$J:$J=events!$X68))&gt;0,1,""),"")</f>
        <v>1</v>
      </c>
      <c r="AA68">
        <f t="shared" ref="AA68:AA131" si="51">S68+1000</f>
        <v>1030</v>
      </c>
      <c r="AB68" t="str">
        <f t="shared" ref="AB68:AB131" si="52">IF(T68&lt;&gt;"",9000+T68,"")</f>
        <v/>
      </c>
      <c r="AC68">
        <f t="shared" si="49"/>
        <v>1030</v>
      </c>
      <c r="AD68" s="6">
        <v>1</v>
      </c>
      <c r="AE68" t="s">
        <v>732</v>
      </c>
      <c r="AF68" t="s">
        <v>741</v>
      </c>
      <c r="AG68" t="s">
        <v>732</v>
      </c>
      <c r="AH68" t="s">
        <v>908</v>
      </c>
      <c r="AI68" t="s">
        <v>367</v>
      </c>
      <c r="AJ68" t="str">
        <f t="shared" ref="AJ68:AK83" si="53">IF($J68&lt;&gt;"",$J68,IF($AC68=$AC67,AJ67,""))</f>
        <v/>
      </c>
      <c r="AK68" t="str">
        <f t="shared" si="53"/>
        <v/>
      </c>
      <c r="AL68" t="str">
        <f t="shared" ref="AL68:AL131" si="54">IF($W68="","",IF($AJ68="","",IF($W68="h",$AJ68,IF($AJ68="n","n",IF(AND($W68="a",$AJ68="d"),"o",IF(AND($W68="a",$AJ68="o"),"d"))))))</f>
        <v/>
      </c>
      <c r="AN68" t="s">
        <v>862</v>
      </c>
      <c r="AO68" t="str">
        <f t="shared" ref="AO68:AO131" si="55">IF($W68&lt;&gt;"",$W68,IF($AC68=$AC67,AO67,""))</f>
        <v>a</v>
      </c>
      <c r="AP68" t="str">
        <f t="shared" si="33"/>
        <v/>
      </c>
      <c r="AQ68" t="str">
        <f t="shared" si="34"/>
        <v/>
      </c>
      <c r="AR68" t="str">
        <f t="shared" si="35"/>
        <v>Away</v>
      </c>
      <c r="AS68" t="str">
        <f t="shared" si="36"/>
        <v>a</v>
      </c>
      <c r="AT68" t="str">
        <f t="shared" si="37"/>
        <v>Offensive</v>
      </c>
      <c r="BA68" s="6">
        <f t="shared" ref="BA68:BA131" si="56">IF(OR(L68="Zone_Entry",L68="Zone_Exit"),BA67+1,BA67)</f>
        <v>15</v>
      </c>
      <c r="BB68">
        <f t="shared" ref="BB68:BB131" si="57">BB67</f>
        <v>18981</v>
      </c>
      <c r="BC68" t="str">
        <f t="shared" ref="BC68:BC131" si="58">BC67</f>
        <v>Nelson</v>
      </c>
      <c r="BD68" t="str">
        <f t="shared" ref="BD68:BD131" si="59">BD67</f>
        <v>Velodrome</v>
      </c>
      <c r="BE68" t="s">
        <v>13</v>
      </c>
      <c r="BF68" t="s">
        <v>756</v>
      </c>
      <c r="BG68" t="s">
        <v>756</v>
      </c>
      <c r="BI68" cm="1">
        <f t="array" ref="BI68">IFERROR(_xlfn._xlws.FILTER(shifts!A:A,(shifts!B:B=events!AD68)*(shifts!AG:AG&gt;=events!BK68)*(shifts!AH:AH&lt;=events!BL68)),BI67)</f>
        <v>1</v>
      </c>
      <c r="BJ68" s="15">
        <f t="shared" ref="BJ68:BJ131" si="60">IF(AND(AG68="",AH68=""),0,((AE68*60)+AF68)-((AG68*60)+AH68))</f>
        <v>2</v>
      </c>
      <c r="BK68">
        <f t="shared" si="38"/>
        <v>1041</v>
      </c>
      <c r="BL68">
        <f t="shared" si="39"/>
        <v>1039</v>
      </c>
      <c r="BM68" s="15">
        <f>SUMIFS(BJ$2:BJ68,K$2:K68,"=Intermission")+SUMIFS(BJ$2:BJ68,K$2:K68,"=Timeout")</f>
        <v>0</v>
      </c>
      <c r="BN68">
        <f t="shared" si="40"/>
        <v>0</v>
      </c>
      <c r="BO68" s="19">
        <f t="shared" si="41"/>
        <v>39</v>
      </c>
      <c r="BP68">
        <f t="shared" si="42"/>
        <v>34</v>
      </c>
      <c r="BQ68" s="17">
        <f t="shared" si="43"/>
        <v>41</v>
      </c>
      <c r="BR68" t="str">
        <f t="shared" si="44"/>
        <v>event_team_player_1</v>
      </c>
      <c r="BS68">
        <f>COUNTIFS(S$3:S68,"="&amp;S68,AI$3:AI68,"="&amp;AI68)</f>
        <v>1</v>
      </c>
      <c r="BT68" t="str">
        <f>IFERROR(VLOOKUP(BB68&amp;BU68&amp;X68,game_rosters!U:W,3,FALSE),"")</f>
        <v>P100159</v>
      </c>
      <c r="BU68" t="str">
        <f t="shared" si="45"/>
        <v>Velodrome</v>
      </c>
    </row>
    <row r="69" spans="1:73" x14ac:dyDescent="0.2">
      <c r="A69">
        <f t="shared" ref="A69:A132" si="61">IF(K69&lt;&gt;"",1,IF(D69="x","x",""))</f>
        <v>1</v>
      </c>
      <c r="E69" s="4"/>
      <c r="F69" s="43"/>
      <c r="G69" s="4"/>
      <c r="H69" s="46"/>
      <c r="J69" s="44" t="str">
        <f t="shared" si="46"/>
        <v/>
      </c>
      <c r="K69" t="s">
        <v>13</v>
      </c>
      <c r="L69" t="s">
        <v>756</v>
      </c>
      <c r="M69" t="s">
        <v>756</v>
      </c>
      <c r="N69" t="str">
        <f t="shared" si="48"/>
        <v/>
      </c>
      <c r="Q69" t="str">
        <f t="shared" si="47"/>
        <v/>
      </c>
      <c r="S69">
        <v>30</v>
      </c>
      <c r="U69" t="str">
        <f>IF(B69=1,MAX($U$2:$U68)+1,IF(AND($T69&lt;&gt;"",$T69=$T68),$U68,IF(B69="x",U68,"")))</f>
        <v/>
      </c>
      <c r="V69" t="str">
        <f>IF(C69=1,MAX($V$2:$V68)+1,IF(AND($T69&lt;&gt;"",$T69=$T68),$U68,IF(C69="x",V68,"")))</f>
        <v/>
      </c>
      <c r="W69" t="str">
        <f t="shared" si="50"/>
        <v>a</v>
      </c>
      <c r="X69">
        <v>15</v>
      </c>
      <c r="Y69" t="b">
        <f>IF(X69&lt;&gt;"",VLOOKUP(X69,game_rosters!$C$43:$E$64,3,FALSE))</f>
        <v>0</v>
      </c>
      <c r="Z69" t="str" cm="1">
        <f t="array" ref="Z69">IFERROR(IF(_xlfn._xlws.FILTER(game_rosters!$J:$J,(game_rosters!$G:$G=events!$AN69)*(game_rosters!$J:$J=events!$X69))&gt;0,1,""),"")</f>
        <v/>
      </c>
      <c r="AA69">
        <f t="shared" si="51"/>
        <v>1030</v>
      </c>
      <c r="AB69" t="str">
        <f t="shared" si="52"/>
        <v/>
      </c>
      <c r="AC69">
        <f t="shared" si="49"/>
        <v>1030</v>
      </c>
      <c r="AD69" s="6">
        <v>1</v>
      </c>
      <c r="AE69" t="s">
        <v>732</v>
      </c>
      <c r="AF69" t="s">
        <v>741</v>
      </c>
      <c r="AG69" t="s">
        <v>732</v>
      </c>
      <c r="AH69" t="s">
        <v>908</v>
      </c>
      <c r="AI69" t="s">
        <v>368</v>
      </c>
      <c r="AJ69" t="str">
        <f t="shared" si="53"/>
        <v/>
      </c>
      <c r="AK69" t="str">
        <f t="shared" si="53"/>
        <v/>
      </c>
      <c r="AL69" t="str">
        <f t="shared" si="54"/>
        <v/>
      </c>
      <c r="AN69" t="s">
        <v>862</v>
      </c>
      <c r="AO69" t="str">
        <f t="shared" si="55"/>
        <v>a</v>
      </c>
      <c r="AP69" t="str">
        <f t="shared" ref="AP69:AP132" si="62">IF(AL69&lt;&gt;"",AL69,IF($AC69=$AC68,AP68,""))</f>
        <v/>
      </c>
      <c r="AQ69" t="str">
        <f t="shared" ref="AQ69:AQ132" si="63">IF(AM69&lt;&gt;"",AM69,IF($AC69=$AC68,AQ68,""))</f>
        <v/>
      </c>
      <c r="AR69" t="str">
        <f t="shared" ref="AR69:AR132" si="64">IF(AN69&lt;&gt;"",AN69,IF($AC69=$AC68,AR68,""))</f>
        <v>Away</v>
      </c>
      <c r="AS69" t="str">
        <f t="shared" ref="AS69:AS132" si="65">IF(AO69&lt;&gt;"",AO69,IF($AC69=$AC68,AS68,""))</f>
        <v>a</v>
      </c>
      <c r="AT69" t="str">
        <f t="shared" ref="AT69:AT132" si="66">IF(AND(AI69="e",OR(BE69="Save",BF69="Turnover_Takeaway",BF69="Play_Defensive")),"Defensive",IF(AND(AI69="o",OR(BE69="Save",BF69="Turnover_Takeaway",BF69="Play_Defensive")),"Offensive",IF(OR(BE69="Deadice",BE69="Stoppage",BE69="Intermission"),"",IF(AI69="e","Offensive",IF(AI69="o","Defensive","")))))</f>
        <v>Defensive</v>
      </c>
      <c r="BA69" s="6">
        <f t="shared" si="56"/>
        <v>15</v>
      </c>
      <c r="BB69">
        <f t="shared" si="57"/>
        <v>18981</v>
      </c>
      <c r="BC69" t="str">
        <f t="shared" si="58"/>
        <v>Nelson</v>
      </c>
      <c r="BD69" t="str">
        <f t="shared" si="59"/>
        <v>Velodrome</v>
      </c>
      <c r="BE69" t="s">
        <v>13</v>
      </c>
      <c r="BF69" t="s">
        <v>756</v>
      </c>
      <c r="BG69" t="s">
        <v>756</v>
      </c>
      <c r="BI69" cm="1">
        <f t="array" ref="BI69">IFERROR(_xlfn._xlws.FILTER(shifts!A:A,(shifts!B:B=events!AD69)*(shifts!AG:AG&gt;=events!BK69)*(shifts!AH:AH&lt;=events!BL69)),BI68)</f>
        <v>1</v>
      </c>
      <c r="BJ69" s="15">
        <f t="shared" si="60"/>
        <v>2</v>
      </c>
      <c r="BK69">
        <f t="shared" ref="BK69:BK132" si="67">(AE69*60)+AF69</f>
        <v>1041</v>
      </c>
      <c r="BL69">
        <f t="shared" ref="BL69:BL132" si="68">IF(AND(AG69="",AH69=""),BK69,((AG69*60)+AH69))</f>
        <v>1039</v>
      </c>
      <c r="BM69" s="15">
        <f>SUMIFS(BJ$2:BJ69,K$2:K69,"=Intermission")+SUMIFS(BJ$2:BJ69,K$2:K69,"=Timeout")</f>
        <v>0</v>
      </c>
      <c r="BN69">
        <f t="shared" ref="BN69:BN132" si="69">IF(AD69=1,0,IF(AD69=2,1080+BM69,IF(AD69=3,(1080*2)+BM69,0)))</f>
        <v>0</v>
      </c>
      <c r="BO69" s="19">
        <f t="shared" ref="BO69:BO132" si="70">IF(K69="Intermission",BO68,((1080)-((AE69*60)+AF69))+BN69)</f>
        <v>39</v>
      </c>
      <c r="BP69">
        <f t="shared" ref="BP69:BP132" si="71">IF(BO69&lt;5,0,BO69-5)</f>
        <v>34</v>
      </c>
      <c r="BQ69" s="17">
        <f t="shared" ref="BQ69:BQ132" si="72">BP69+BJ69+5</f>
        <v>41</v>
      </c>
      <c r="BR69" t="str">
        <f t="shared" ref="BR69:BR132" si="73">IF(AI69="e","event_team_player_"&amp;BS69,IF(AI69="o","opp_team_player_"&amp;BS69,""))</f>
        <v>opp_team_player_1</v>
      </c>
      <c r="BS69">
        <f>COUNTIFS(S$3:S69,"="&amp;S69,AI$3:AI69,"="&amp;AI69)</f>
        <v>1</v>
      </c>
      <c r="BT69" t="str">
        <f>IFERROR(VLOOKUP(BB69&amp;BU69&amp;X69,game_rosters!U:W,3,FALSE),"")</f>
        <v>P100071</v>
      </c>
      <c r="BU69" t="str">
        <f t="shared" ref="BU69:BU132" si="74">IF(AR69="","",IF(AND(AR69="Away",AI69="e"),BD69,IF(AND(AR69="Home",AI69="e"),BC69,IF(AND(AR69="Away",AI69="o"),BC69,IF(AND(AR69="Home",AI69="o"),BD69)))))</f>
        <v>Nelson</v>
      </c>
    </row>
    <row r="70" spans="1:73" x14ac:dyDescent="0.2">
      <c r="A70">
        <f t="shared" si="61"/>
        <v>1</v>
      </c>
      <c r="E70" s="4"/>
      <c r="F70" s="43"/>
      <c r="G70" s="4"/>
      <c r="H70" s="46"/>
      <c r="J70" s="44" t="str">
        <f t="shared" ref="J70:J133" si="75">IF(OR(K70="Goal",K70="Shot",L70="Zone_Entry",M70="Stoppage-Goal",M69="Stoppage-Goal"),"o",IF(OR(K70="Save",K70="Rebound",L70="Zone_Exit",M70="Stoppage-GoalieStoppage",M69="Stoppage-GoalieStoppage"),"d",IF(OR(L70="Faceoff_AfterGoal",L70="Faceoff_PeriodStart",698="Faceoff_GameStart",M69="Stoppage-Goal"),"n","")))</f>
        <v/>
      </c>
      <c r="K70" t="s">
        <v>7</v>
      </c>
      <c r="L70" t="s">
        <v>192</v>
      </c>
      <c r="M70" t="s">
        <v>68</v>
      </c>
      <c r="N70" t="str">
        <f t="shared" si="48"/>
        <v>u</v>
      </c>
      <c r="Q70" t="str">
        <f t="shared" si="47"/>
        <v/>
      </c>
      <c r="S70">
        <v>31</v>
      </c>
      <c r="U70" t="str">
        <f>IF(B70=1,MAX($U$2:$U69)+1,IF(AND($T70&lt;&gt;"",$T70=$T69),$U69,IF(B70="x",U69,"")))</f>
        <v/>
      </c>
      <c r="V70" t="str">
        <f>IF(C70=1,MAX($V$2:$V69)+1,IF(AND($T70&lt;&gt;"",$T70=$T69),$U69,IF(C70="x",V69,"")))</f>
        <v/>
      </c>
      <c r="W70" t="str">
        <f t="shared" si="50"/>
        <v>a</v>
      </c>
      <c r="X70">
        <v>87</v>
      </c>
      <c r="Y70" t="e">
        <f>IF(X70&lt;&gt;"",VLOOKUP(X70,game_rosters!$C$43:$E$64,3,FALSE))</f>
        <v>#N/A</v>
      </c>
      <c r="Z70" cm="1">
        <f t="array" ref="Z70">IFERROR(IF(_xlfn._xlws.FILTER(game_rosters!$J:$J,(game_rosters!$G:$G=events!$AN70)*(game_rosters!$J:$J=events!$X70))&gt;0,1,""),"")</f>
        <v>1</v>
      </c>
      <c r="AA70">
        <f t="shared" si="51"/>
        <v>1031</v>
      </c>
      <c r="AB70" t="str">
        <f t="shared" si="52"/>
        <v/>
      </c>
      <c r="AC70">
        <f t="shared" si="49"/>
        <v>1031</v>
      </c>
      <c r="AD70" s="6">
        <v>1</v>
      </c>
      <c r="AE70" t="s">
        <v>732</v>
      </c>
      <c r="AF70" t="s">
        <v>908</v>
      </c>
      <c r="AG70" t="s">
        <v>756</v>
      </c>
      <c r="AH70" t="s">
        <v>756</v>
      </c>
      <c r="AI70" t="s">
        <v>367</v>
      </c>
      <c r="AJ70" t="str">
        <f t="shared" si="53"/>
        <v/>
      </c>
      <c r="AK70" t="str">
        <f t="shared" si="53"/>
        <v/>
      </c>
      <c r="AL70" t="str">
        <f t="shared" si="54"/>
        <v/>
      </c>
      <c r="AN70" t="s">
        <v>862</v>
      </c>
      <c r="AO70" t="str">
        <f t="shared" si="55"/>
        <v>a</v>
      </c>
      <c r="AP70" t="str">
        <f t="shared" si="62"/>
        <v/>
      </c>
      <c r="AQ70" t="str">
        <f t="shared" si="63"/>
        <v/>
      </c>
      <c r="AR70" t="str">
        <f t="shared" si="64"/>
        <v>Away</v>
      </c>
      <c r="AS70" t="str">
        <f t="shared" si="65"/>
        <v>a</v>
      </c>
      <c r="AT70" t="str">
        <f t="shared" si="66"/>
        <v>Offensive</v>
      </c>
      <c r="BA70" s="6">
        <f t="shared" si="56"/>
        <v>15</v>
      </c>
      <c r="BB70">
        <f t="shared" si="57"/>
        <v>18981</v>
      </c>
      <c r="BC70" t="str">
        <f t="shared" si="58"/>
        <v>Nelson</v>
      </c>
      <c r="BD70" t="str">
        <f t="shared" si="59"/>
        <v>Velodrome</v>
      </c>
      <c r="BE70" t="s">
        <v>7</v>
      </c>
      <c r="BF70" t="s">
        <v>192</v>
      </c>
      <c r="BG70" t="s">
        <v>68</v>
      </c>
      <c r="BI70" cm="1">
        <f t="array" ref="BI70">IFERROR(_xlfn._xlws.FILTER(shifts!A:A,(shifts!B:B=events!AD70)*(shifts!AG:AG&gt;=events!BK70)*(shifts!AH:AH&lt;=events!BL70)),BI69)</f>
        <v>1</v>
      </c>
      <c r="BJ70" s="15">
        <f t="shared" si="60"/>
        <v>0</v>
      </c>
      <c r="BK70">
        <f t="shared" si="67"/>
        <v>1039</v>
      </c>
      <c r="BL70">
        <f t="shared" si="68"/>
        <v>1039</v>
      </c>
      <c r="BM70" s="15">
        <f>SUMIFS(BJ$2:BJ70,K$2:K70,"=Intermission")+SUMIFS(BJ$2:BJ70,K$2:K70,"=Timeout")</f>
        <v>0</v>
      </c>
      <c r="BN70">
        <f t="shared" si="69"/>
        <v>0</v>
      </c>
      <c r="BO70" s="19">
        <f t="shared" si="70"/>
        <v>41</v>
      </c>
      <c r="BP70">
        <f t="shared" si="71"/>
        <v>36</v>
      </c>
      <c r="BQ70" s="17">
        <f t="shared" si="72"/>
        <v>41</v>
      </c>
      <c r="BR70" t="str">
        <f t="shared" si="73"/>
        <v>event_team_player_1</v>
      </c>
      <c r="BS70">
        <f>COUNTIFS(S$3:S70,"="&amp;S70,AI$3:AI70,"="&amp;AI70)</f>
        <v>1</v>
      </c>
      <c r="BT70" t="str">
        <f>IFERROR(VLOOKUP(BB70&amp;BU70&amp;X70,game_rosters!U:W,3,FALSE),"")</f>
        <v>P100159</v>
      </c>
      <c r="BU70" t="str">
        <f t="shared" si="74"/>
        <v>Velodrome</v>
      </c>
    </row>
    <row r="71" spans="1:73" x14ac:dyDescent="0.2">
      <c r="A71">
        <f t="shared" si="61"/>
        <v>1</v>
      </c>
      <c r="E71" s="4"/>
      <c r="F71" s="43"/>
      <c r="G71" s="4"/>
      <c r="H71" s="46"/>
      <c r="J71" s="44" t="str">
        <f t="shared" si="75"/>
        <v/>
      </c>
      <c r="K71" t="s">
        <v>7</v>
      </c>
      <c r="L71" t="s">
        <v>192</v>
      </c>
      <c r="M71" t="s">
        <v>68</v>
      </c>
      <c r="N71" t="str">
        <f t="shared" si="48"/>
        <v>u</v>
      </c>
      <c r="Q71" t="str">
        <f t="shared" si="47"/>
        <v/>
      </c>
      <c r="S71">
        <v>31</v>
      </c>
      <c r="U71" t="str">
        <f>IF(B71=1,MAX($U$2:$U70)+1,IF(AND($T71&lt;&gt;"",$T71=$T70),$U70,IF(B71="x",U70,"")))</f>
        <v/>
      </c>
      <c r="V71" t="str">
        <f>IF(C71=1,MAX($V$2:$V70)+1,IF(AND($T71&lt;&gt;"",$T71=$T70),$U70,IF(C71="x",V70,"")))</f>
        <v/>
      </c>
      <c r="W71" t="str">
        <f t="shared" si="50"/>
        <v>a</v>
      </c>
      <c r="X71">
        <v>15</v>
      </c>
      <c r="Y71" t="b">
        <f>IF(X71&lt;&gt;"",VLOOKUP(X71,game_rosters!$C$43:$E$64,3,FALSE))</f>
        <v>0</v>
      </c>
      <c r="Z71" t="str" cm="1">
        <f t="array" ref="Z71">IFERROR(IF(_xlfn._xlws.FILTER(game_rosters!$J:$J,(game_rosters!$G:$G=events!$AN71)*(game_rosters!$J:$J=events!$X71))&gt;0,1,""),"")</f>
        <v/>
      </c>
      <c r="AA71">
        <f t="shared" si="51"/>
        <v>1031</v>
      </c>
      <c r="AB71" t="str">
        <f t="shared" si="52"/>
        <v/>
      </c>
      <c r="AC71">
        <f t="shared" si="49"/>
        <v>1031</v>
      </c>
      <c r="AD71" s="6">
        <v>1</v>
      </c>
      <c r="AE71" t="s">
        <v>732</v>
      </c>
      <c r="AF71" t="s">
        <v>908</v>
      </c>
      <c r="AG71" t="s">
        <v>756</v>
      </c>
      <c r="AH71" t="s">
        <v>756</v>
      </c>
      <c r="AI71" t="s">
        <v>368</v>
      </c>
      <c r="AJ71" t="str">
        <f t="shared" si="53"/>
        <v/>
      </c>
      <c r="AK71" t="str">
        <f t="shared" si="53"/>
        <v/>
      </c>
      <c r="AL71" t="str">
        <f t="shared" si="54"/>
        <v/>
      </c>
      <c r="AN71" t="s">
        <v>862</v>
      </c>
      <c r="AO71" t="str">
        <f t="shared" si="55"/>
        <v>a</v>
      </c>
      <c r="AP71" t="str">
        <f t="shared" si="62"/>
        <v/>
      </c>
      <c r="AQ71" t="str">
        <f t="shared" si="63"/>
        <v/>
      </c>
      <c r="AR71" t="str">
        <f t="shared" si="64"/>
        <v>Away</v>
      </c>
      <c r="AS71" t="str">
        <f t="shared" si="65"/>
        <v>a</v>
      </c>
      <c r="AT71" t="str">
        <f t="shared" si="66"/>
        <v>Defensive</v>
      </c>
      <c r="BA71" s="6">
        <f t="shared" si="56"/>
        <v>15</v>
      </c>
      <c r="BB71">
        <f t="shared" si="57"/>
        <v>18981</v>
      </c>
      <c r="BC71" t="str">
        <f t="shared" si="58"/>
        <v>Nelson</v>
      </c>
      <c r="BD71" t="str">
        <f t="shared" si="59"/>
        <v>Velodrome</v>
      </c>
      <c r="BE71" t="s">
        <v>7</v>
      </c>
      <c r="BF71" t="s">
        <v>192</v>
      </c>
      <c r="BG71" t="s">
        <v>68</v>
      </c>
      <c r="BI71" cm="1">
        <f t="array" ref="BI71">IFERROR(_xlfn._xlws.FILTER(shifts!A:A,(shifts!B:B=events!AD71)*(shifts!AG:AG&gt;=events!BK71)*(shifts!AH:AH&lt;=events!BL71)),BI70)</f>
        <v>1</v>
      </c>
      <c r="BJ71" s="15">
        <f t="shared" si="60"/>
        <v>0</v>
      </c>
      <c r="BK71">
        <f t="shared" si="67"/>
        <v>1039</v>
      </c>
      <c r="BL71">
        <f t="shared" si="68"/>
        <v>1039</v>
      </c>
      <c r="BM71" s="15">
        <f>SUMIFS(BJ$2:BJ71,K$2:K71,"=Intermission")+SUMIFS(BJ$2:BJ71,K$2:K71,"=Timeout")</f>
        <v>0</v>
      </c>
      <c r="BN71">
        <f t="shared" si="69"/>
        <v>0</v>
      </c>
      <c r="BO71" s="19">
        <f t="shared" si="70"/>
        <v>41</v>
      </c>
      <c r="BP71">
        <f t="shared" si="71"/>
        <v>36</v>
      </c>
      <c r="BQ71" s="17">
        <f t="shared" si="72"/>
        <v>41</v>
      </c>
      <c r="BR71" t="str">
        <f t="shared" si="73"/>
        <v>opp_team_player_1</v>
      </c>
      <c r="BS71">
        <f>COUNTIFS(S$3:S71,"="&amp;S71,AI$3:AI71,"="&amp;AI71)</f>
        <v>1</v>
      </c>
      <c r="BT71" t="str">
        <f>IFERROR(VLOOKUP(BB71&amp;BU71&amp;X71,game_rosters!U:W,3,FALSE),"")</f>
        <v>P100071</v>
      </c>
      <c r="BU71" t="str">
        <f t="shared" si="74"/>
        <v>Nelson</v>
      </c>
    </row>
    <row r="72" spans="1:73" x14ac:dyDescent="0.2">
      <c r="A72">
        <f t="shared" si="61"/>
        <v>1</v>
      </c>
      <c r="E72" s="4"/>
      <c r="F72" s="43"/>
      <c r="G72" s="4"/>
      <c r="H72" s="46"/>
      <c r="J72" s="44" t="str">
        <f t="shared" si="75"/>
        <v/>
      </c>
      <c r="K72" t="s">
        <v>238</v>
      </c>
      <c r="L72" t="s">
        <v>193</v>
      </c>
      <c r="M72" t="s">
        <v>91</v>
      </c>
      <c r="N72" t="str">
        <f t="shared" si="48"/>
        <v>s</v>
      </c>
      <c r="Q72" t="str">
        <f t="shared" si="47"/>
        <v/>
      </c>
      <c r="S72">
        <v>32</v>
      </c>
      <c r="U72" t="str">
        <f>IF(B72=1,MAX($U$2:$U71)+1,IF(AND($T72&lt;&gt;"",$T72=$T71),$U71,IF(B72="x",U71,"")))</f>
        <v/>
      </c>
      <c r="V72" t="str">
        <f>IF(C72=1,MAX($V$2:$V71)+1,IF(AND($T72&lt;&gt;"",$T72=$T71),$U71,IF(C72="x",V71,"")))</f>
        <v/>
      </c>
      <c r="W72" t="str">
        <f t="shared" si="50"/>
        <v>a</v>
      </c>
      <c r="X72">
        <v>84</v>
      </c>
      <c r="Y72" t="e">
        <f>IF(X72&lt;&gt;"",VLOOKUP(X72,game_rosters!$C$43:$E$64,3,FALSE))</f>
        <v>#N/A</v>
      </c>
      <c r="Z72" cm="1">
        <f t="array" ref="Z72">IFERROR(IF(_xlfn._xlws.FILTER(game_rosters!$J:$J,(game_rosters!$G:$G=events!$AN72)*(game_rosters!$J:$J=events!$X72))&gt;0,1,""),"")</f>
        <v>1</v>
      </c>
      <c r="AA72">
        <f t="shared" si="51"/>
        <v>1032</v>
      </c>
      <c r="AB72" t="str">
        <f t="shared" si="52"/>
        <v/>
      </c>
      <c r="AC72">
        <f t="shared" si="49"/>
        <v>1032</v>
      </c>
      <c r="AD72" s="6">
        <v>1</v>
      </c>
      <c r="AE72" t="s">
        <v>732</v>
      </c>
      <c r="AF72" t="s">
        <v>732</v>
      </c>
      <c r="AG72" t="s">
        <v>756</v>
      </c>
      <c r="AH72" t="s">
        <v>756</v>
      </c>
      <c r="AI72" t="s">
        <v>367</v>
      </c>
      <c r="AJ72" t="str">
        <f t="shared" si="53"/>
        <v/>
      </c>
      <c r="AK72" t="str">
        <f t="shared" si="53"/>
        <v/>
      </c>
      <c r="AL72" t="str">
        <f t="shared" si="54"/>
        <v/>
      </c>
      <c r="AN72" t="s">
        <v>862</v>
      </c>
      <c r="AO72" t="str">
        <f t="shared" si="55"/>
        <v>a</v>
      </c>
      <c r="AP72" t="str">
        <f t="shared" si="62"/>
        <v/>
      </c>
      <c r="AQ72" t="str">
        <f t="shared" si="63"/>
        <v/>
      </c>
      <c r="AR72" t="str">
        <f t="shared" si="64"/>
        <v>Away</v>
      </c>
      <c r="AS72" t="str">
        <f t="shared" si="65"/>
        <v>a</v>
      </c>
      <c r="AT72" t="str">
        <f t="shared" si="66"/>
        <v>Offensive</v>
      </c>
      <c r="BA72" s="6">
        <f t="shared" si="56"/>
        <v>15</v>
      </c>
      <c r="BB72">
        <f t="shared" si="57"/>
        <v>18981</v>
      </c>
      <c r="BC72" t="str">
        <f t="shared" si="58"/>
        <v>Nelson</v>
      </c>
      <c r="BD72" t="str">
        <f t="shared" si="59"/>
        <v>Velodrome</v>
      </c>
      <c r="BE72" t="s">
        <v>238</v>
      </c>
      <c r="BF72" t="s">
        <v>193</v>
      </c>
      <c r="BG72" t="s">
        <v>91</v>
      </c>
      <c r="BI72" cm="1">
        <f t="array" ref="BI72">IFERROR(_xlfn._xlws.FILTER(shifts!A:A,(shifts!B:B=events!AD72)*(shifts!AG:AG&gt;=events!BK72)*(shifts!AH:AH&lt;=events!BL72)),BI71)</f>
        <v>1</v>
      </c>
      <c r="BJ72" s="15">
        <f t="shared" si="60"/>
        <v>0</v>
      </c>
      <c r="BK72">
        <f t="shared" si="67"/>
        <v>1037</v>
      </c>
      <c r="BL72">
        <f t="shared" si="68"/>
        <v>1037</v>
      </c>
      <c r="BM72" s="15">
        <f>SUMIFS(BJ$2:BJ72,K$2:K72,"=Intermission")+SUMIFS(BJ$2:BJ72,K$2:K72,"=Timeout")</f>
        <v>0</v>
      </c>
      <c r="BN72">
        <f t="shared" si="69"/>
        <v>0</v>
      </c>
      <c r="BO72" s="19">
        <f t="shared" si="70"/>
        <v>43</v>
      </c>
      <c r="BP72">
        <f t="shared" si="71"/>
        <v>38</v>
      </c>
      <c r="BQ72" s="17">
        <f t="shared" si="72"/>
        <v>43</v>
      </c>
      <c r="BR72" t="str">
        <f t="shared" si="73"/>
        <v>event_team_player_1</v>
      </c>
      <c r="BS72">
        <f>COUNTIFS(S$3:S72,"="&amp;S72,AI$3:AI72,"="&amp;AI72)</f>
        <v>1</v>
      </c>
      <c r="BT72" t="str">
        <f>IFERROR(VLOOKUP(BB72&amp;BU72&amp;X72,game_rosters!U:W,3,FALSE),"")</f>
        <v>P100198</v>
      </c>
      <c r="BU72" t="str">
        <f t="shared" si="74"/>
        <v>Velodrome</v>
      </c>
    </row>
    <row r="73" spans="1:73" x14ac:dyDescent="0.2">
      <c r="A73">
        <f t="shared" si="61"/>
        <v>1</v>
      </c>
      <c r="E73" s="4"/>
      <c r="F73" s="43"/>
      <c r="G73" s="4"/>
      <c r="H73" s="46"/>
      <c r="J73" s="44" t="str">
        <f t="shared" si="75"/>
        <v/>
      </c>
      <c r="K73" t="s">
        <v>238</v>
      </c>
      <c r="L73" t="s">
        <v>193</v>
      </c>
      <c r="M73" t="s">
        <v>91</v>
      </c>
      <c r="N73" t="str">
        <f t="shared" si="48"/>
        <v>s</v>
      </c>
      <c r="Q73" t="str">
        <f t="shared" si="47"/>
        <v/>
      </c>
      <c r="S73">
        <v>32</v>
      </c>
      <c r="U73" t="str">
        <f>IF(B73=1,MAX($U$2:$U72)+1,IF(AND($T73&lt;&gt;"",$T73=$T72),$U72,IF(B73="x",U72,"")))</f>
        <v/>
      </c>
      <c r="V73" t="str">
        <f>IF(C73=1,MAX($V$2:$V72)+1,IF(AND($T73&lt;&gt;"",$T73=$T72),$U72,IF(C73="x",V72,"")))</f>
        <v/>
      </c>
      <c r="W73" t="str">
        <f t="shared" si="50"/>
        <v>a</v>
      </c>
      <c r="X73">
        <v>16</v>
      </c>
      <c r="Y73" t="b">
        <f>IF(X73&lt;&gt;"",VLOOKUP(X73,game_rosters!$C$43:$E$64,3,FALSE))</f>
        <v>0</v>
      </c>
      <c r="Z73" t="str" cm="1">
        <f t="array" ref="Z73">IFERROR(IF(_xlfn._xlws.FILTER(game_rosters!$J:$J,(game_rosters!$G:$G=events!$AN73)*(game_rosters!$J:$J=events!$X73))&gt;0,1,""),"")</f>
        <v/>
      </c>
      <c r="AA73">
        <f t="shared" si="51"/>
        <v>1032</v>
      </c>
      <c r="AB73" t="str">
        <f t="shared" si="52"/>
        <v/>
      </c>
      <c r="AC73">
        <f t="shared" si="49"/>
        <v>1032</v>
      </c>
      <c r="AD73" s="6">
        <v>1</v>
      </c>
      <c r="AE73" t="s">
        <v>732</v>
      </c>
      <c r="AF73" t="s">
        <v>732</v>
      </c>
      <c r="AG73" t="s">
        <v>756</v>
      </c>
      <c r="AH73" t="s">
        <v>756</v>
      </c>
      <c r="AI73" t="s">
        <v>368</v>
      </c>
      <c r="AJ73" t="str">
        <f t="shared" si="53"/>
        <v/>
      </c>
      <c r="AK73" t="str">
        <f t="shared" si="53"/>
        <v/>
      </c>
      <c r="AL73" t="str">
        <f t="shared" si="54"/>
        <v/>
      </c>
      <c r="AN73" t="s">
        <v>862</v>
      </c>
      <c r="AO73" t="str">
        <f t="shared" si="55"/>
        <v>a</v>
      </c>
      <c r="AP73" t="str">
        <f t="shared" si="62"/>
        <v/>
      </c>
      <c r="AQ73" t="str">
        <f t="shared" si="63"/>
        <v/>
      </c>
      <c r="AR73" t="str">
        <f t="shared" si="64"/>
        <v>Away</v>
      </c>
      <c r="AS73" t="str">
        <f t="shared" si="65"/>
        <v>a</v>
      </c>
      <c r="AT73" t="str">
        <f t="shared" si="66"/>
        <v>Defensive</v>
      </c>
      <c r="BA73" s="6">
        <f t="shared" si="56"/>
        <v>15</v>
      </c>
      <c r="BB73">
        <f t="shared" si="57"/>
        <v>18981</v>
      </c>
      <c r="BC73" t="str">
        <f t="shared" si="58"/>
        <v>Nelson</v>
      </c>
      <c r="BD73" t="str">
        <f t="shared" si="59"/>
        <v>Velodrome</v>
      </c>
      <c r="BE73" t="s">
        <v>238</v>
      </c>
      <c r="BF73" t="s">
        <v>193</v>
      </c>
      <c r="BG73" t="s">
        <v>91</v>
      </c>
      <c r="BI73" cm="1">
        <f t="array" ref="BI73">IFERROR(_xlfn._xlws.FILTER(shifts!A:A,(shifts!B:B=events!AD73)*(shifts!AG:AG&gt;=events!BK73)*(shifts!AH:AH&lt;=events!BL73)),BI72)</f>
        <v>1</v>
      </c>
      <c r="BJ73" s="15">
        <f t="shared" si="60"/>
        <v>0</v>
      </c>
      <c r="BK73">
        <f t="shared" si="67"/>
        <v>1037</v>
      </c>
      <c r="BL73">
        <f t="shared" si="68"/>
        <v>1037</v>
      </c>
      <c r="BM73" s="15">
        <f>SUMIFS(BJ$2:BJ73,K$2:K73,"=Intermission")+SUMIFS(BJ$2:BJ73,K$2:K73,"=Timeout")</f>
        <v>0</v>
      </c>
      <c r="BN73">
        <f t="shared" si="69"/>
        <v>0</v>
      </c>
      <c r="BO73" s="19">
        <f t="shared" si="70"/>
        <v>43</v>
      </c>
      <c r="BP73">
        <f t="shared" si="71"/>
        <v>38</v>
      </c>
      <c r="BQ73" s="17">
        <f t="shared" si="72"/>
        <v>43</v>
      </c>
      <c r="BR73" t="str">
        <f t="shared" si="73"/>
        <v>opp_team_player_1</v>
      </c>
      <c r="BS73">
        <f>COUNTIFS(S$3:S73,"="&amp;S73,AI$3:AI73,"="&amp;AI73)</f>
        <v>1</v>
      </c>
      <c r="BT73" t="str">
        <f>IFERROR(VLOOKUP(BB73&amp;BU73&amp;X73,game_rosters!U:W,3,FALSE),"")</f>
        <v>P100164</v>
      </c>
      <c r="BU73" t="str">
        <f t="shared" si="74"/>
        <v>Nelson</v>
      </c>
    </row>
    <row r="74" spans="1:73" x14ac:dyDescent="0.2">
      <c r="A74">
        <f t="shared" si="61"/>
        <v>1</v>
      </c>
      <c r="E74" s="4"/>
      <c r="F74" s="43"/>
      <c r="G74" s="4"/>
      <c r="H74" s="46"/>
      <c r="J74" s="44" t="str">
        <f t="shared" si="75"/>
        <v>d</v>
      </c>
      <c r="K74" t="s">
        <v>238</v>
      </c>
      <c r="L74" t="s">
        <v>184</v>
      </c>
      <c r="M74" t="s">
        <v>90</v>
      </c>
      <c r="N74" t="str">
        <f t="shared" si="48"/>
        <v>s</v>
      </c>
      <c r="Q74" t="str">
        <f t="shared" si="47"/>
        <v/>
      </c>
      <c r="S74">
        <v>33</v>
      </c>
      <c r="U74" t="str">
        <f>IF(B74=1,MAX($U$2:$U73)+1,IF(AND($T74&lt;&gt;"",$T74=$T73),$U73,IF(B74="x",U73,"")))</f>
        <v/>
      </c>
      <c r="V74" t="str">
        <f>IF(C74=1,MAX($V$2:$V73)+1,IF(AND($T74&lt;&gt;"",$T74=$T73),$U73,IF(C74="x",V73,"")))</f>
        <v/>
      </c>
      <c r="W74" t="str">
        <f t="shared" si="50"/>
        <v>h</v>
      </c>
      <c r="X74">
        <v>15</v>
      </c>
      <c r="Y74" t="b">
        <f>IF(X74&lt;&gt;"",VLOOKUP(X74,game_rosters!$C$43:$E$64,3,FALSE))</f>
        <v>0</v>
      </c>
      <c r="Z74" cm="1">
        <f t="array" ref="Z74">IFERROR(IF(_xlfn._xlws.FILTER(game_rosters!$J:$J,(game_rosters!$G:$G=events!$AN74)*(game_rosters!$J:$J=events!$X74))&gt;0,1,""),"")</f>
        <v>1</v>
      </c>
      <c r="AA74">
        <f t="shared" si="51"/>
        <v>1033</v>
      </c>
      <c r="AB74" t="str">
        <f t="shared" si="52"/>
        <v/>
      </c>
      <c r="AC74">
        <f t="shared" si="49"/>
        <v>1033</v>
      </c>
      <c r="AD74" s="6">
        <v>1</v>
      </c>
      <c r="AE74" t="s">
        <v>732</v>
      </c>
      <c r="AF74" t="s">
        <v>909</v>
      </c>
      <c r="AG74" t="s">
        <v>756</v>
      </c>
      <c r="AH74" t="s">
        <v>756</v>
      </c>
      <c r="AI74" t="s">
        <v>367</v>
      </c>
      <c r="AJ74" t="str">
        <f t="shared" si="53"/>
        <v>d</v>
      </c>
      <c r="AK74" t="str">
        <f t="shared" si="53"/>
        <v>d</v>
      </c>
      <c r="AL74" t="str">
        <f t="shared" si="54"/>
        <v>d</v>
      </c>
      <c r="AN74" t="s">
        <v>861</v>
      </c>
      <c r="AO74" t="str">
        <f t="shared" si="55"/>
        <v>h</v>
      </c>
      <c r="AP74" t="str">
        <f t="shared" si="62"/>
        <v>d</v>
      </c>
      <c r="AQ74" t="str">
        <f t="shared" si="63"/>
        <v/>
      </c>
      <c r="AR74" t="str">
        <f t="shared" si="64"/>
        <v>Home</v>
      </c>
      <c r="AS74" t="str">
        <f t="shared" si="65"/>
        <v>h</v>
      </c>
      <c r="AT74" t="str">
        <f t="shared" si="66"/>
        <v>Offensive</v>
      </c>
      <c r="BA74" s="6">
        <f t="shared" si="56"/>
        <v>16</v>
      </c>
      <c r="BB74">
        <f t="shared" si="57"/>
        <v>18981</v>
      </c>
      <c r="BC74" t="str">
        <f t="shared" si="58"/>
        <v>Nelson</v>
      </c>
      <c r="BD74" t="str">
        <f t="shared" si="59"/>
        <v>Velodrome</v>
      </c>
      <c r="BE74" t="s">
        <v>238</v>
      </c>
      <c r="BF74" t="s">
        <v>184</v>
      </c>
      <c r="BG74" t="s">
        <v>90</v>
      </c>
      <c r="BI74" cm="1">
        <f t="array" ref="BI74">IFERROR(_xlfn._xlws.FILTER(shifts!A:A,(shifts!B:B=events!AD74)*(shifts!AG:AG&gt;=events!BK74)*(shifts!AH:AH&lt;=events!BL74)),BI73)</f>
        <v>1</v>
      </c>
      <c r="BJ74" s="15">
        <f t="shared" si="60"/>
        <v>0</v>
      </c>
      <c r="BK74">
        <f t="shared" si="67"/>
        <v>1036</v>
      </c>
      <c r="BL74">
        <f t="shared" si="68"/>
        <v>1036</v>
      </c>
      <c r="BM74" s="15">
        <f>SUMIFS(BJ$2:BJ74,K$2:K74,"=Intermission")+SUMIFS(BJ$2:BJ74,K$2:K74,"=Timeout")</f>
        <v>0</v>
      </c>
      <c r="BN74">
        <f t="shared" si="69"/>
        <v>0</v>
      </c>
      <c r="BO74" s="19">
        <f t="shared" si="70"/>
        <v>44</v>
      </c>
      <c r="BP74">
        <f t="shared" si="71"/>
        <v>39</v>
      </c>
      <c r="BQ74" s="17">
        <f t="shared" si="72"/>
        <v>44</v>
      </c>
      <c r="BR74" t="str">
        <f t="shared" si="73"/>
        <v>event_team_player_1</v>
      </c>
      <c r="BS74">
        <f>COUNTIFS(S$3:S74,"="&amp;S74,AI$3:AI74,"="&amp;AI74)</f>
        <v>1</v>
      </c>
      <c r="BT74" t="str">
        <f>IFERROR(VLOOKUP(BB74&amp;BU74&amp;X74,game_rosters!U:W,3,FALSE),"")</f>
        <v>P100071</v>
      </c>
      <c r="BU74" t="str">
        <f t="shared" si="74"/>
        <v>Nelson</v>
      </c>
    </row>
    <row r="75" spans="1:73" x14ac:dyDescent="0.2">
      <c r="A75">
        <f t="shared" si="61"/>
        <v>1</v>
      </c>
      <c r="E75" s="4"/>
      <c r="F75" s="43"/>
      <c r="G75" s="4"/>
      <c r="H75" s="46"/>
      <c r="J75" s="44" t="str">
        <f t="shared" si="75"/>
        <v>d</v>
      </c>
      <c r="K75" t="s">
        <v>238</v>
      </c>
      <c r="L75" t="s">
        <v>184</v>
      </c>
      <c r="M75" t="s">
        <v>90</v>
      </c>
      <c r="N75" t="str">
        <f t="shared" si="48"/>
        <v>s</v>
      </c>
      <c r="Q75" t="str">
        <f t="shared" si="47"/>
        <v/>
      </c>
      <c r="S75">
        <v>33</v>
      </c>
      <c r="U75" t="str">
        <f>IF(B75=1,MAX($U$2:$U74)+1,IF(AND($T75&lt;&gt;"",$T75=$T74),$U74,IF(B75="x",U74,"")))</f>
        <v/>
      </c>
      <c r="V75" t="str">
        <f>IF(C75=1,MAX($V$2:$V74)+1,IF(AND($T75&lt;&gt;"",$T75=$T74),$U74,IF(C75="x",V74,"")))</f>
        <v/>
      </c>
      <c r="W75" t="str">
        <f t="shared" si="50"/>
        <v>h</v>
      </c>
      <c r="X75">
        <v>84</v>
      </c>
      <c r="Y75" t="e">
        <f>IF(X75&lt;&gt;"",VLOOKUP(X75,game_rosters!$C$43:$E$64,3,FALSE))</f>
        <v>#N/A</v>
      </c>
      <c r="Z75" t="str" cm="1">
        <f t="array" ref="Z75">IFERROR(IF(_xlfn._xlws.FILTER(game_rosters!$J:$J,(game_rosters!$G:$G=events!$AN75)*(game_rosters!$J:$J=events!$X75))&gt;0,1,""),"")</f>
        <v/>
      </c>
      <c r="AA75">
        <f t="shared" si="51"/>
        <v>1033</v>
      </c>
      <c r="AB75" t="str">
        <f t="shared" si="52"/>
        <v/>
      </c>
      <c r="AC75">
        <f t="shared" si="49"/>
        <v>1033</v>
      </c>
      <c r="AD75" s="6">
        <v>1</v>
      </c>
      <c r="AE75" t="s">
        <v>732</v>
      </c>
      <c r="AF75" t="s">
        <v>909</v>
      </c>
      <c r="AG75" t="s">
        <v>756</v>
      </c>
      <c r="AH75" t="s">
        <v>756</v>
      </c>
      <c r="AI75" t="s">
        <v>368</v>
      </c>
      <c r="AJ75" t="str">
        <f t="shared" si="53"/>
        <v>d</v>
      </c>
      <c r="AK75" t="str">
        <f t="shared" si="53"/>
        <v>d</v>
      </c>
      <c r="AL75" t="str">
        <f t="shared" si="54"/>
        <v>d</v>
      </c>
      <c r="AN75" t="s">
        <v>861</v>
      </c>
      <c r="AO75" t="str">
        <f t="shared" si="55"/>
        <v>h</v>
      </c>
      <c r="AP75" t="str">
        <f t="shared" si="62"/>
        <v>d</v>
      </c>
      <c r="AQ75" t="str">
        <f t="shared" si="63"/>
        <v/>
      </c>
      <c r="AR75" t="str">
        <f t="shared" si="64"/>
        <v>Home</v>
      </c>
      <c r="AS75" t="str">
        <f t="shared" si="65"/>
        <v>h</v>
      </c>
      <c r="AT75" t="str">
        <f t="shared" si="66"/>
        <v>Defensive</v>
      </c>
      <c r="BA75" s="6">
        <f t="shared" si="56"/>
        <v>17</v>
      </c>
      <c r="BB75">
        <f t="shared" si="57"/>
        <v>18981</v>
      </c>
      <c r="BC75" t="str">
        <f t="shared" si="58"/>
        <v>Nelson</v>
      </c>
      <c r="BD75" t="str">
        <f t="shared" si="59"/>
        <v>Velodrome</v>
      </c>
      <c r="BE75" t="s">
        <v>238</v>
      </c>
      <c r="BF75" t="s">
        <v>184</v>
      </c>
      <c r="BG75" t="s">
        <v>90</v>
      </c>
      <c r="BI75" cm="1">
        <f t="array" ref="BI75">IFERROR(_xlfn._xlws.FILTER(shifts!A:A,(shifts!B:B=events!AD75)*(shifts!AG:AG&gt;=events!BK75)*(shifts!AH:AH&lt;=events!BL75)),BI74)</f>
        <v>1</v>
      </c>
      <c r="BJ75" s="15">
        <f t="shared" si="60"/>
        <v>0</v>
      </c>
      <c r="BK75">
        <f t="shared" si="67"/>
        <v>1036</v>
      </c>
      <c r="BL75">
        <f t="shared" si="68"/>
        <v>1036</v>
      </c>
      <c r="BM75" s="15">
        <f>SUMIFS(BJ$2:BJ75,K$2:K75,"=Intermission")+SUMIFS(BJ$2:BJ75,K$2:K75,"=Timeout")</f>
        <v>0</v>
      </c>
      <c r="BN75">
        <f t="shared" si="69"/>
        <v>0</v>
      </c>
      <c r="BO75" s="19">
        <f t="shared" si="70"/>
        <v>44</v>
      </c>
      <c r="BP75">
        <f t="shared" si="71"/>
        <v>39</v>
      </c>
      <c r="BQ75" s="17">
        <f t="shared" si="72"/>
        <v>44</v>
      </c>
      <c r="BR75" t="str">
        <f t="shared" si="73"/>
        <v>opp_team_player_1</v>
      </c>
      <c r="BS75">
        <f>COUNTIFS(S$3:S75,"="&amp;S75,AI$3:AI75,"="&amp;AI75)</f>
        <v>1</v>
      </c>
      <c r="BT75" t="str">
        <f>IFERROR(VLOOKUP(BB75&amp;BU75&amp;X75,game_rosters!U:W,3,FALSE),"")</f>
        <v>P100198</v>
      </c>
      <c r="BU75" t="str">
        <f t="shared" si="74"/>
        <v>Velodrome</v>
      </c>
    </row>
    <row r="76" spans="1:73" x14ac:dyDescent="0.2">
      <c r="A76">
        <f t="shared" si="61"/>
        <v>1</v>
      </c>
      <c r="E76" s="4"/>
      <c r="F76" s="43"/>
      <c r="G76" s="4"/>
      <c r="H76" s="46"/>
      <c r="J76" s="44" t="str">
        <f t="shared" si="75"/>
        <v>o</v>
      </c>
      <c r="K76" t="s">
        <v>238</v>
      </c>
      <c r="L76" t="s">
        <v>174</v>
      </c>
      <c r="M76" t="s">
        <v>375</v>
      </c>
      <c r="N76" t="str">
        <f t="shared" si="48"/>
        <v>u</v>
      </c>
      <c r="Q76" t="str">
        <f t="shared" si="47"/>
        <v/>
      </c>
      <c r="S76">
        <v>34</v>
      </c>
      <c r="U76" t="str">
        <f>IF(B76=1,MAX($U$2:$U75)+1,IF(AND($T76&lt;&gt;"",$T76=$T75),$U75,IF(B76="x",U75,"")))</f>
        <v/>
      </c>
      <c r="V76" t="str">
        <f>IF(C76=1,MAX($V$2:$V75)+1,IF(AND($T76&lt;&gt;"",$T76=$T75),$U75,IF(C76="x",V75,"")))</f>
        <v/>
      </c>
      <c r="W76" t="str">
        <f t="shared" si="50"/>
        <v>h</v>
      </c>
      <c r="X76">
        <v>15</v>
      </c>
      <c r="Y76" t="b">
        <f>IF(X76&lt;&gt;"",VLOOKUP(X76,game_rosters!$C$43:$E$64,3,FALSE))</f>
        <v>0</v>
      </c>
      <c r="Z76" cm="1">
        <f t="array" ref="Z76">IFERROR(IF(_xlfn._xlws.FILTER(game_rosters!$J:$J,(game_rosters!$G:$G=events!$AN76)*(game_rosters!$J:$J=events!$X76))&gt;0,1,""),"")</f>
        <v>1</v>
      </c>
      <c r="AA76">
        <f t="shared" si="51"/>
        <v>1034</v>
      </c>
      <c r="AB76" t="str">
        <f t="shared" si="52"/>
        <v/>
      </c>
      <c r="AC76">
        <f t="shared" si="49"/>
        <v>1034</v>
      </c>
      <c r="AD76" s="6">
        <v>1</v>
      </c>
      <c r="AE76" t="s">
        <v>732</v>
      </c>
      <c r="AF76" t="s">
        <v>746</v>
      </c>
      <c r="AG76" t="s">
        <v>756</v>
      </c>
      <c r="AH76" t="s">
        <v>756</v>
      </c>
      <c r="AI76" t="s">
        <v>367</v>
      </c>
      <c r="AJ76" t="str">
        <f t="shared" si="53"/>
        <v>o</v>
      </c>
      <c r="AK76" t="str">
        <f t="shared" si="53"/>
        <v>o</v>
      </c>
      <c r="AL76" t="str">
        <f t="shared" si="54"/>
        <v>o</v>
      </c>
      <c r="AN76" t="s">
        <v>861</v>
      </c>
      <c r="AO76" t="str">
        <f t="shared" si="55"/>
        <v>h</v>
      </c>
      <c r="AP76" t="str">
        <f t="shared" si="62"/>
        <v>o</v>
      </c>
      <c r="AQ76" t="str">
        <f t="shared" si="63"/>
        <v/>
      </c>
      <c r="AR76" t="str">
        <f t="shared" si="64"/>
        <v>Home</v>
      </c>
      <c r="AS76" t="str">
        <f t="shared" si="65"/>
        <v>h</v>
      </c>
      <c r="AT76" t="str">
        <f t="shared" si="66"/>
        <v>Offensive</v>
      </c>
      <c r="BA76" s="6">
        <f t="shared" si="56"/>
        <v>18</v>
      </c>
      <c r="BB76">
        <f t="shared" si="57"/>
        <v>18981</v>
      </c>
      <c r="BC76" t="str">
        <f t="shared" si="58"/>
        <v>Nelson</v>
      </c>
      <c r="BD76" t="str">
        <f t="shared" si="59"/>
        <v>Velodrome</v>
      </c>
      <c r="BE76" t="s">
        <v>238</v>
      </c>
      <c r="BF76" t="s">
        <v>174</v>
      </c>
      <c r="BG76" t="s">
        <v>375</v>
      </c>
      <c r="BI76" cm="1">
        <f t="array" ref="BI76">IFERROR(_xlfn._xlws.FILTER(shifts!A:A,(shifts!B:B=events!AD76)*(shifts!AG:AG&gt;=events!BK76)*(shifts!AH:AH&lt;=events!BL76)),BI75)</f>
        <v>2</v>
      </c>
      <c r="BJ76" s="15">
        <f t="shared" si="60"/>
        <v>0</v>
      </c>
      <c r="BK76">
        <f t="shared" si="67"/>
        <v>1032</v>
      </c>
      <c r="BL76">
        <f t="shared" si="68"/>
        <v>1032</v>
      </c>
      <c r="BM76" s="15">
        <f>SUMIFS(BJ$2:BJ76,K$2:K76,"=Intermission")+SUMIFS(BJ$2:BJ76,K$2:K76,"=Timeout")</f>
        <v>0</v>
      </c>
      <c r="BN76">
        <f t="shared" si="69"/>
        <v>0</v>
      </c>
      <c r="BO76" s="19">
        <f t="shared" si="70"/>
        <v>48</v>
      </c>
      <c r="BP76">
        <f t="shared" si="71"/>
        <v>43</v>
      </c>
      <c r="BQ76" s="17">
        <f t="shared" si="72"/>
        <v>48</v>
      </c>
      <c r="BR76" t="str">
        <f t="shared" si="73"/>
        <v>event_team_player_1</v>
      </c>
      <c r="BS76">
        <f>COUNTIFS(S$3:S76,"="&amp;S76,AI$3:AI76,"="&amp;AI76)</f>
        <v>1</v>
      </c>
      <c r="BT76" t="str">
        <f>IFERROR(VLOOKUP(BB76&amp;BU76&amp;X76,game_rosters!U:W,3,FALSE),"")</f>
        <v>P100071</v>
      </c>
      <c r="BU76" t="str">
        <f t="shared" si="74"/>
        <v>Nelson</v>
      </c>
    </row>
    <row r="77" spans="1:73" x14ac:dyDescent="0.2">
      <c r="A77">
        <f t="shared" si="61"/>
        <v>1</v>
      </c>
      <c r="E77" s="4"/>
      <c r="F77" s="43"/>
      <c r="G77" s="4"/>
      <c r="H77" s="46"/>
      <c r="J77" s="44" t="str">
        <f t="shared" si="75"/>
        <v/>
      </c>
      <c r="K77" t="s">
        <v>9</v>
      </c>
      <c r="L77" t="s">
        <v>173</v>
      </c>
      <c r="M77" t="s">
        <v>354</v>
      </c>
      <c r="N77" t="str">
        <f t="shared" si="48"/>
        <v>u</v>
      </c>
      <c r="Q77" t="str">
        <f t="shared" si="47"/>
        <v/>
      </c>
      <c r="S77">
        <v>35</v>
      </c>
      <c r="U77" t="str">
        <f>IF(B77=1,MAX($U$2:$U76)+1,IF(AND($T77&lt;&gt;"",$T77=$T76),$U76,IF(B77="x",U76,"")))</f>
        <v/>
      </c>
      <c r="V77" t="str">
        <f>IF(C77=1,MAX($V$2:$V76)+1,IF(AND($T77&lt;&gt;"",$T77=$T76),$U76,IF(C77="x",V76,"")))</f>
        <v/>
      </c>
      <c r="W77" t="str">
        <f t="shared" si="50"/>
        <v>h</v>
      </c>
      <c r="X77">
        <v>15</v>
      </c>
      <c r="Y77" t="b">
        <f>IF(X77&lt;&gt;"",VLOOKUP(X77,game_rosters!$C$43:$E$64,3,FALSE))</f>
        <v>0</v>
      </c>
      <c r="Z77" cm="1">
        <f t="array" ref="Z77">IFERROR(IF(_xlfn._xlws.FILTER(game_rosters!$J:$J,(game_rosters!$G:$G=events!$AN77)*(game_rosters!$J:$J=events!$X77))&gt;0,1,""),"")</f>
        <v>1</v>
      </c>
      <c r="AA77">
        <f t="shared" si="51"/>
        <v>1035</v>
      </c>
      <c r="AB77" t="str">
        <f t="shared" si="52"/>
        <v/>
      </c>
      <c r="AC77">
        <f t="shared" si="49"/>
        <v>1035</v>
      </c>
      <c r="AD77" s="6">
        <v>1</v>
      </c>
      <c r="AE77" t="s">
        <v>732</v>
      </c>
      <c r="AF77" t="s">
        <v>910</v>
      </c>
      <c r="AG77" t="s">
        <v>756</v>
      </c>
      <c r="AH77" t="s">
        <v>756</v>
      </c>
      <c r="AI77" t="s">
        <v>367</v>
      </c>
      <c r="AJ77" t="str">
        <f t="shared" si="53"/>
        <v/>
      </c>
      <c r="AK77" t="str">
        <f t="shared" si="53"/>
        <v/>
      </c>
      <c r="AL77" t="str">
        <f t="shared" si="54"/>
        <v/>
      </c>
      <c r="AN77" t="s">
        <v>861</v>
      </c>
      <c r="AO77" t="str">
        <f t="shared" si="55"/>
        <v>h</v>
      </c>
      <c r="AP77" t="str">
        <f t="shared" si="62"/>
        <v/>
      </c>
      <c r="AQ77" t="str">
        <f t="shared" si="63"/>
        <v/>
      </c>
      <c r="AR77" t="str">
        <f t="shared" si="64"/>
        <v>Home</v>
      </c>
      <c r="AS77" t="str">
        <f t="shared" si="65"/>
        <v>h</v>
      </c>
      <c r="AT77" t="str">
        <f t="shared" si="66"/>
        <v>Offensive</v>
      </c>
      <c r="BA77" s="6">
        <f t="shared" si="56"/>
        <v>18</v>
      </c>
      <c r="BB77">
        <f t="shared" si="57"/>
        <v>18981</v>
      </c>
      <c r="BC77" t="str">
        <f t="shared" si="58"/>
        <v>Nelson</v>
      </c>
      <c r="BD77" t="str">
        <f t="shared" si="59"/>
        <v>Velodrome</v>
      </c>
      <c r="BE77" t="s">
        <v>9</v>
      </c>
      <c r="BF77" t="s">
        <v>173</v>
      </c>
      <c r="BG77" t="s">
        <v>354</v>
      </c>
      <c r="BI77" cm="1">
        <f t="array" ref="BI77">IFERROR(_xlfn._xlws.FILTER(shifts!A:A,(shifts!B:B=events!AD77)*(shifts!AG:AG&gt;=events!BK77)*(shifts!AH:AH&lt;=events!BL77)),BI76)</f>
        <v>2</v>
      </c>
      <c r="BJ77" s="15">
        <f t="shared" si="60"/>
        <v>0</v>
      </c>
      <c r="BK77">
        <f t="shared" si="67"/>
        <v>1030</v>
      </c>
      <c r="BL77">
        <f t="shared" si="68"/>
        <v>1030</v>
      </c>
      <c r="BM77" s="15">
        <f>SUMIFS(BJ$2:BJ77,K$2:K77,"=Intermission")+SUMIFS(BJ$2:BJ77,K$2:K77,"=Timeout")</f>
        <v>0</v>
      </c>
      <c r="BN77">
        <f t="shared" si="69"/>
        <v>0</v>
      </c>
      <c r="BO77" s="19">
        <f t="shared" si="70"/>
        <v>50</v>
      </c>
      <c r="BP77">
        <f t="shared" si="71"/>
        <v>45</v>
      </c>
      <c r="BQ77" s="17">
        <f t="shared" si="72"/>
        <v>50</v>
      </c>
      <c r="BR77" t="str">
        <f t="shared" si="73"/>
        <v>event_team_player_1</v>
      </c>
      <c r="BS77">
        <f>COUNTIFS(S$3:S77,"="&amp;S77,AI$3:AI77,"="&amp;AI77)</f>
        <v>1</v>
      </c>
      <c r="BT77" t="str">
        <f>IFERROR(VLOOKUP(BB77&amp;BU77&amp;X77,game_rosters!U:W,3,FALSE),"")</f>
        <v>P100071</v>
      </c>
      <c r="BU77" t="str">
        <f t="shared" si="74"/>
        <v>Nelson</v>
      </c>
    </row>
    <row r="78" spans="1:73" x14ac:dyDescent="0.2">
      <c r="A78">
        <f t="shared" si="61"/>
        <v>1</v>
      </c>
      <c r="E78" s="4"/>
      <c r="F78" s="43"/>
      <c r="G78" s="4"/>
      <c r="H78" s="46"/>
      <c r="J78" s="44" t="str">
        <f t="shared" si="75"/>
        <v/>
      </c>
      <c r="K78" t="s">
        <v>13</v>
      </c>
      <c r="L78" t="s">
        <v>756</v>
      </c>
      <c r="M78" t="s">
        <v>756</v>
      </c>
      <c r="N78" t="str">
        <f t="shared" si="48"/>
        <v/>
      </c>
      <c r="Q78" t="str">
        <f t="shared" si="47"/>
        <v/>
      </c>
      <c r="S78">
        <v>36</v>
      </c>
      <c r="U78" t="str">
        <f>IF(B78=1,MAX($U$2:$U77)+1,IF(AND($T78&lt;&gt;"",$T78=$T77),$U77,IF(B78="x",U77,"")))</f>
        <v/>
      </c>
      <c r="V78" t="str">
        <f>IF(C78=1,MAX($V$2:$V77)+1,IF(AND($T78&lt;&gt;"",$T78=$T77),$U77,IF(C78="x",V77,"")))</f>
        <v/>
      </c>
      <c r="W78" t="str">
        <f t="shared" si="50"/>
        <v>a</v>
      </c>
      <c r="X78">
        <v>70</v>
      </c>
      <c r="Y78" t="e">
        <f>IF(X78&lt;&gt;"",VLOOKUP(X78,game_rosters!$C$43:$E$64,3,FALSE))</f>
        <v>#N/A</v>
      </c>
      <c r="Z78" cm="1">
        <f t="array" ref="Z78">IFERROR(IF(_xlfn._xlws.FILTER(game_rosters!$J:$J,(game_rosters!$G:$G=events!$AN78)*(game_rosters!$J:$J=events!$X78))&gt;0,1,""),"")</f>
        <v>1</v>
      </c>
      <c r="AA78">
        <f t="shared" si="51"/>
        <v>1036</v>
      </c>
      <c r="AB78" t="str">
        <f t="shared" si="52"/>
        <v/>
      </c>
      <c r="AC78">
        <f t="shared" si="49"/>
        <v>1036</v>
      </c>
      <c r="AD78" s="6">
        <v>1</v>
      </c>
      <c r="AE78" t="s">
        <v>732</v>
      </c>
      <c r="AF78" t="s">
        <v>910</v>
      </c>
      <c r="AG78" t="s">
        <v>732</v>
      </c>
      <c r="AH78" t="s">
        <v>911</v>
      </c>
      <c r="AI78" t="s">
        <v>367</v>
      </c>
      <c r="AJ78" t="str">
        <f t="shared" si="53"/>
        <v/>
      </c>
      <c r="AK78" t="str">
        <f t="shared" si="53"/>
        <v/>
      </c>
      <c r="AL78" t="str">
        <f t="shared" si="54"/>
        <v/>
      </c>
      <c r="AN78" t="s">
        <v>862</v>
      </c>
      <c r="AO78" t="str">
        <f t="shared" si="55"/>
        <v>a</v>
      </c>
      <c r="AP78" t="str">
        <f t="shared" si="62"/>
        <v/>
      </c>
      <c r="AQ78" t="str">
        <f t="shared" si="63"/>
        <v/>
      </c>
      <c r="AR78" t="str">
        <f t="shared" si="64"/>
        <v>Away</v>
      </c>
      <c r="AS78" t="str">
        <f t="shared" si="65"/>
        <v>a</v>
      </c>
      <c r="AT78" t="str">
        <f t="shared" si="66"/>
        <v>Offensive</v>
      </c>
      <c r="BA78" s="6">
        <f t="shared" si="56"/>
        <v>18</v>
      </c>
      <c r="BB78">
        <f t="shared" si="57"/>
        <v>18981</v>
      </c>
      <c r="BC78" t="str">
        <f t="shared" si="58"/>
        <v>Nelson</v>
      </c>
      <c r="BD78" t="str">
        <f t="shared" si="59"/>
        <v>Velodrome</v>
      </c>
      <c r="BE78" t="s">
        <v>13</v>
      </c>
      <c r="BF78" t="s">
        <v>756</v>
      </c>
      <c r="BG78" t="s">
        <v>756</v>
      </c>
      <c r="BI78" cm="1">
        <f t="array" ref="BI78">IFERROR(_xlfn._xlws.FILTER(shifts!A:A,(shifts!B:B=events!AD78)*(shifts!AG:AG&gt;=events!BK78)*(shifts!AH:AH&lt;=events!BL78)),BI77)</f>
        <v>2</v>
      </c>
      <c r="BJ78" s="15">
        <f t="shared" si="60"/>
        <v>4</v>
      </c>
      <c r="BK78">
        <f t="shared" si="67"/>
        <v>1030</v>
      </c>
      <c r="BL78">
        <f t="shared" si="68"/>
        <v>1026</v>
      </c>
      <c r="BM78" s="15">
        <f>SUMIFS(BJ$2:BJ78,K$2:K78,"=Intermission")+SUMIFS(BJ$2:BJ78,K$2:K78,"=Timeout")</f>
        <v>0</v>
      </c>
      <c r="BN78">
        <f t="shared" si="69"/>
        <v>0</v>
      </c>
      <c r="BO78" s="19">
        <f t="shared" si="70"/>
        <v>50</v>
      </c>
      <c r="BP78">
        <f t="shared" si="71"/>
        <v>45</v>
      </c>
      <c r="BQ78" s="17">
        <f t="shared" si="72"/>
        <v>54</v>
      </c>
      <c r="BR78" t="str">
        <f t="shared" si="73"/>
        <v>event_team_player_1</v>
      </c>
      <c r="BS78">
        <f>COUNTIFS(S$3:S78,"="&amp;S78,AI$3:AI78,"="&amp;AI78)</f>
        <v>1</v>
      </c>
      <c r="BT78" t="str">
        <f>IFERROR(VLOOKUP(BB78&amp;BU78&amp;X78,game_rosters!U:W,3,FALSE),"")</f>
        <v>P100001</v>
      </c>
      <c r="BU78" t="str">
        <f t="shared" si="74"/>
        <v>Velodrome</v>
      </c>
    </row>
    <row r="79" spans="1:73" x14ac:dyDescent="0.2">
      <c r="A79">
        <f t="shared" si="61"/>
        <v>1</v>
      </c>
      <c r="E79" s="4"/>
      <c r="F79" s="43"/>
      <c r="G79" s="4"/>
      <c r="H79" s="46"/>
      <c r="J79" s="44" t="str">
        <f t="shared" si="75"/>
        <v>d</v>
      </c>
      <c r="K79" t="s">
        <v>238</v>
      </c>
      <c r="L79" t="s">
        <v>184</v>
      </c>
      <c r="M79" t="s">
        <v>380</v>
      </c>
      <c r="N79" t="str">
        <f t="shared" si="48"/>
        <v>s</v>
      </c>
      <c r="Q79" t="str">
        <f t="shared" si="47"/>
        <v/>
      </c>
      <c r="S79">
        <v>37</v>
      </c>
      <c r="U79" t="str">
        <f>IF(B79=1,MAX($U$2:$U78)+1,IF(AND($T79&lt;&gt;"",$T79=$T78),$U78,IF(B79="x",U78,"")))</f>
        <v/>
      </c>
      <c r="V79" t="str">
        <f>IF(C79=1,MAX($V$2:$V78)+1,IF(AND($T79&lt;&gt;"",$T79=$T78),$U78,IF(C79="x",V78,"")))</f>
        <v/>
      </c>
      <c r="W79" t="str">
        <f t="shared" si="50"/>
        <v>a</v>
      </c>
      <c r="X79">
        <v>70</v>
      </c>
      <c r="Y79" t="e">
        <f>IF(X79&lt;&gt;"",VLOOKUP(X79,game_rosters!$C$43:$E$64,3,FALSE))</f>
        <v>#N/A</v>
      </c>
      <c r="Z79" cm="1">
        <f t="array" ref="Z79">IFERROR(IF(_xlfn._xlws.FILTER(game_rosters!$J:$J,(game_rosters!$G:$G=events!$AN79)*(game_rosters!$J:$J=events!$X79))&gt;0,1,""),"")</f>
        <v>1</v>
      </c>
      <c r="AA79">
        <f t="shared" si="51"/>
        <v>1037</v>
      </c>
      <c r="AB79" t="str">
        <f t="shared" si="52"/>
        <v/>
      </c>
      <c r="AC79">
        <f t="shared" si="49"/>
        <v>1037</v>
      </c>
      <c r="AD79" s="6">
        <v>1</v>
      </c>
      <c r="AE79" t="s">
        <v>732</v>
      </c>
      <c r="AF79" t="s">
        <v>911</v>
      </c>
      <c r="AG79" t="s">
        <v>756</v>
      </c>
      <c r="AH79" t="s">
        <v>756</v>
      </c>
      <c r="AI79" t="s">
        <v>367</v>
      </c>
      <c r="AJ79" t="str">
        <f t="shared" si="53"/>
        <v>d</v>
      </c>
      <c r="AK79" t="str">
        <f t="shared" si="53"/>
        <v>d</v>
      </c>
      <c r="AL79" t="str">
        <f t="shared" si="54"/>
        <v>o</v>
      </c>
      <c r="AN79" t="s">
        <v>862</v>
      </c>
      <c r="AO79" t="str">
        <f t="shared" si="55"/>
        <v>a</v>
      </c>
      <c r="AP79" t="str">
        <f t="shared" si="62"/>
        <v>o</v>
      </c>
      <c r="AQ79" t="str">
        <f t="shared" si="63"/>
        <v/>
      </c>
      <c r="AR79" t="str">
        <f t="shared" si="64"/>
        <v>Away</v>
      </c>
      <c r="AS79" t="str">
        <f t="shared" si="65"/>
        <v>a</v>
      </c>
      <c r="AT79" t="str">
        <f t="shared" si="66"/>
        <v>Offensive</v>
      </c>
      <c r="BA79" s="6">
        <f t="shared" si="56"/>
        <v>19</v>
      </c>
      <c r="BB79">
        <f t="shared" si="57"/>
        <v>18981</v>
      </c>
      <c r="BC79" t="str">
        <f t="shared" si="58"/>
        <v>Nelson</v>
      </c>
      <c r="BD79" t="str">
        <f t="shared" si="59"/>
        <v>Velodrome</v>
      </c>
      <c r="BE79" t="s">
        <v>238</v>
      </c>
      <c r="BF79" t="s">
        <v>184</v>
      </c>
      <c r="BG79" t="s">
        <v>380</v>
      </c>
      <c r="BI79" cm="1">
        <f t="array" ref="BI79">IFERROR(_xlfn._xlws.FILTER(shifts!A:A,(shifts!B:B=events!AD79)*(shifts!AG:AG&gt;=events!BK79)*(shifts!AH:AH&lt;=events!BL79)),BI78)</f>
        <v>3</v>
      </c>
      <c r="BJ79" s="15">
        <f t="shared" si="60"/>
        <v>0</v>
      </c>
      <c r="BK79">
        <f t="shared" si="67"/>
        <v>1026</v>
      </c>
      <c r="BL79">
        <f t="shared" si="68"/>
        <v>1026</v>
      </c>
      <c r="BM79" s="15">
        <f>SUMIFS(BJ$2:BJ79,K$2:K79,"=Intermission")+SUMIFS(BJ$2:BJ79,K$2:K79,"=Timeout")</f>
        <v>0</v>
      </c>
      <c r="BN79">
        <f t="shared" si="69"/>
        <v>0</v>
      </c>
      <c r="BO79" s="19">
        <f t="shared" si="70"/>
        <v>54</v>
      </c>
      <c r="BP79">
        <f t="shared" si="71"/>
        <v>49</v>
      </c>
      <c r="BQ79" s="17">
        <f t="shared" si="72"/>
        <v>54</v>
      </c>
      <c r="BR79" t="str">
        <f t="shared" si="73"/>
        <v>event_team_player_1</v>
      </c>
      <c r="BS79">
        <f>COUNTIFS(S$3:S79,"="&amp;S79,AI$3:AI79,"="&amp;AI79)</f>
        <v>1</v>
      </c>
      <c r="BT79" t="str">
        <f>IFERROR(VLOOKUP(BB79&amp;BU79&amp;X79,game_rosters!U:W,3,FALSE),"")</f>
        <v>P100001</v>
      </c>
      <c r="BU79" t="str">
        <f t="shared" si="74"/>
        <v>Velodrome</v>
      </c>
    </row>
    <row r="80" spans="1:73" x14ac:dyDescent="0.2">
      <c r="A80">
        <f t="shared" si="61"/>
        <v>1</v>
      </c>
      <c r="E80" s="4"/>
      <c r="F80" s="43"/>
      <c r="G80" s="4"/>
      <c r="H80" s="46"/>
      <c r="J80" s="44" t="str">
        <f t="shared" si="75"/>
        <v>o</v>
      </c>
      <c r="K80" t="s">
        <v>238</v>
      </c>
      <c r="L80" t="s">
        <v>174</v>
      </c>
      <c r="M80" t="s">
        <v>375</v>
      </c>
      <c r="N80" t="str">
        <f t="shared" si="48"/>
        <v>u</v>
      </c>
      <c r="Q80" t="str">
        <f t="shared" ref="Q80:Q143" si="76">IF(O80="","",IF(AND(N80&lt;&gt;"",OR(O80&lt;&gt;"",P80&lt;&gt;"")),N80,IF(OR(ISNUMBER(SEARCH("attemp",O80)),ISNUMBER(SEARCH("beat",O80)),ISNUMBER(SEARCH("mis",O80)),ISNUMBER(SEARCH("fail",O80)),ISNUMBER(SEARCH("loss",O80)),ISNUMBER(SEARCH("lost",O80)),ISNUMBER(SEARCH("attemp",P80)),ISNUMBER(SEARCH("mis",P80)),ISNUMBER(SEARCH("fail",P80)),ISNUMBER(SEARCH("loss",P80)),ISNUMBER(SEARCH("beat",P80)),ISNUMBER(SEARCH("lost",P80))),"u","")))</f>
        <v/>
      </c>
      <c r="S80">
        <v>38</v>
      </c>
      <c r="U80" t="str">
        <f>IF(B80=1,MAX($U$2:$U79)+1,IF(AND($T80&lt;&gt;"",$T80=$T79),$U79,IF(B80="x",U79,"")))</f>
        <v/>
      </c>
      <c r="V80" t="str">
        <f>IF(C80=1,MAX($V$2:$V79)+1,IF(AND($T80&lt;&gt;"",$T80=$T79),$U79,IF(C80="x",V79,"")))</f>
        <v/>
      </c>
      <c r="W80" t="str">
        <f t="shared" si="50"/>
        <v>a</v>
      </c>
      <c r="X80">
        <v>70</v>
      </c>
      <c r="Y80" t="e">
        <f>IF(X80&lt;&gt;"",VLOOKUP(X80,game_rosters!$C$43:$E$64,3,FALSE))</f>
        <v>#N/A</v>
      </c>
      <c r="Z80" cm="1">
        <f t="array" ref="Z80">IFERROR(IF(_xlfn._xlws.FILTER(game_rosters!$J:$J,(game_rosters!$G:$G=events!$AN80)*(game_rosters!$J:$J=events!$X80))&gt;0,1,""),"")</f>
        <v>1</v>
      </c>
      <c r="AA80">
        <f t="shared" si="51"/>
        <v>1038</v>
      </c>
      <c r="AB80" t="str">
        <f t="shared" si="52"/>
        <v/>
      </c>
      <c r="AC80">
        <f t="shared" si="49"/>
        <v>1038</v>
      </c>
      <c r="AD80" s="6">
        <v>1</v>
      </c>
      <c r="AE80" t="s">
        <v>732</v>
      </c>
      <c r="AF80" t="s">
        <v>912</v>
      </c>
      <c r="AG80" t="s">
        <v>756</v>
      </c>
      <c r="AH80" t="s">
        <v>756</v>
      </c>
      <c r="AI80" t="s">
        <v>367</v>
      </c>
      <c r="AJ80" t="str">
        <f t="shared" si="53"/>
        <v>o</v>
      </c>
      <c r="AK80" t="str">
        <f t="shared" si="53"/>
        <v>o</v>
      </c>
      <c r="AL80" t="str">
        <f t="shared" si="54"/>
        <v>d</v>
      </c>
      <c r="AN80" t="s">
        <v>862</v>
      </c>
      <c r="AO80" t="str">
        <f t="shared" si="55"/>
        <v>a</v>
      </c>
      <c r="AP80" t="str">
        <f t="shared" si="62"/>
        <v>d</v>
      </c>
      <c r="AQ80" t="str">
        <f t="shared" si="63"/>
        <v/>
      </c>
      <c r="AR80" t="str">
        <f t="shared" si="64"/>
        <v>Away</v>
      </c>
      <c r="AS80" t="str">
        <f t="shared" si="65"/>
        <v>a</v>
      </c>
      <c r="AT80" t="str">
        <f t="shared" si="66"/>
        <v>Offensive</v>
      </c>
      <c r="BA80" s="6">
        <f t="shared" si="56"/>
        <v>20</v>
      </c>
      <c r="BB80">
        <f t="shared" si="57"/>
        <v>18981</v>
      </c>
      <c r="BC80" t="str">
        <f t="shared" si="58"/>
        <v>Nelson</v>
      </c>
      <c r="BD80" t="str">
        <f t="shared" si="59"/>
        <v>Velodrome</v>
      </c>
      <c r="BE80" t="s">
        <v>238</v>
      </c>
      <c r="BF80" t="s">
        <v>174</v>
      </c>
      <c r="BG80" t="s">
        <v>375</v>
      </c>
      <c r="BI80" cm="1">
        <f t="array" ref="BI80">IFERROR(_xlfn._xlws.FILTER(shifts!A:A,(shifts!B:B=events!AD80)*(shifts!AG:AG&gt;=events!BK80)*(shifts!AH:AH&lt;=events!BL80)),BI79)</f>
        <v>3</v>
      </c>
      <c r="BJ80" s="15">
        <f t="shared" si="60"/>
        <v>0</v>
      </c>
      <c r="BK80">
        <f t="shared" si="67"/>
        <v>1025</v>
      </c>
      <c r="BL80">
        <f t="shared" si="68"/>
        <v>1025</v>
      </c>
      <c r="BM80" s="15">
        <f>SUMIFS(BJ$2:BJ80,K$2:K80,"=Intermission")+SUMIFS(BJ$2:BJ80,K$2:K80,"=Timeout")</f>
        <v>0</v>
      </c>
      <c r="BN80">
        <f t="shared" si="69"/>
        <v>0</v>
      </c>
      <c r="BO80" s="19">
        <f t="shared" si="70"/>
        <v>55</v>
      </c>
      <c r="BP80">
        <f t="shared" si="71"/>
        <v>50</v>
      </c>
      <c r="BQ80" s="17">
        <f t="shared" si="72"/>
        <v>55</v>
      </c>
      <c r="BR80" t="str">
        <f t="shared" si="73"/>
        <v>event_team_player_1</v>
      </c>
      <c r="BS80">
        <f>COUNTIFS(S$3:S80,"="&amp;S80,AI$3:AI80,"="&amp;AI80)</f>
        <v>1</v>
      </c>
      <c r="BT80" t="str">
        <f>IFERROR(VLOOKUP(BB80&amp;BU80&amp;X80,game_rosters!U:W,3,FALSE),"")</f>
        <v>P100001</v>
      </c>
      <c r="BU80" t="str">
        <f t="shared" si="74"/>
        <v>Velodrome</v>
      </c>
    </row>
    <row r="81" spans="1:73" x14ac:dyDescent="0.2">
      <c r="A81">
        <f t="shared" si="61"/>
        <v>1</v>
      </c>
      <c r="E81" s="4"/>
      <c r="F81" s="43"/>
      <c r="G81" s="4"/>
      <c r="H81" s="46"/>
      <c r="J81" s="44" t="str">
        <f t="shared" si="75"/>
        <v/>
      </c>
      <c r="K81" t="s">
        <v>11</v>
      </c>
      <c r="L81" t="s">
        <v>187</v>
      </c>
      <c r="M81" t="s">
        <v>106</v>
      </c>
      <c r="N81" t="str">
        <f t="shared" si="48"/>
        <v/>
      </c>
      <c r="Q81" t="str">
        <f t="shared" si="76"/>
        <v/>
      </c>
      <c r="S81">
        <v>39</v>
      </c>
      <c r="U81" t="str">
        <f>IF(B81=1,MAX($U$2:$U80)+1,IF(AND($T81&lt;&gt;"",$T81=$T80),$U80,IF(B81="x",U80,"")))</f>
        <v/>
      </c>
      <c r="V81" t="str">
        <f>IF(C81=1,MAX($V$2:$V80)+1,IF(AND($T81&lt;&gt;"",$T81=$T80),$U80,IF(C81="x",V80,"")))</f>
        <v/>
      </c>
      <c r="W81" t="str">
        <f t="shared" si="50"/>
        <v>a</v>
      </c>
      <c r="X81">
        <v>70</v>
      </c>
      <c r="Y81" t="e">
        <f>IF(X81&lt;&gt;"",VLOOKUP(X81,game_rosters!$C$43:$E$64,3,FALSE))</f>
        <v>#N/A</v>
      </c>
      <c r="Z81" cm="1">
        <f t="array" ref="Z81">IFERROR(IF(_xlfn._xlws.FILTER(game_rosters!$J:$J,(game_rosters!$G:$G=events!$AN81)*(game_rosters!$J:$J=events!$X81))&gt;0,1,""),"")</f>
        <v>1</v>
      </c>
      <c r="AA81">
        <f t="shared" si="51"/>
        <v>1039</v>
      </c>
      <c r="AB81" t="str">
        <f t="shared" si="52"/>
        <v/>
      </c>
      <c r="AC81">
        <f t="shared" si="49"/>
        <v>1039</v>
      </c>
      <c r="AD81" s="6">
        <v>1</v>
      </c>
      <c r="AE81" t="s">
        <v>732</v>
      </c>
      <c r="AF81" t="s">
        <v>913</v>
      </c>
      <c r="AG81" t="s">
        <v>756</v>
      </c>
      <c r="AH81" t="s">
        <v>756</v>
      </c>
      <c r="AI81" t="s">
        <v>367</v>
      </c>
      <c r="AJ81" t="str">
        <f t="shared" si="53"/>
        <v/>
      </c>
      <c r="AK81" t="str">
        <f t="shared" si="53"/>
        <v/>
      </c>
      <c r="AL81" t="str">
        <f t="shared" si="54"/>
        <v/>
      </c>
      <c r="AN81" t="s">
        <v>862</v>
      </c>
      <c r="AO81" t="str">
        <f t="shared" si="55"/>
        <v>a</v>
      </c>
      <c r="AP81" t="str">
        <f t="shared" si="62"/>
        <v/>
      </c>
      <c r="AQ81" t="str">
        <f t="shared" si="63"/>
        <v/>
      </c>
      <c r="AR81" t="str">
        <f t="shared" si="64"/>
        <v>Away</v>
      </c>
      <c r="AS81" t="str">
        <f t="shared" si="65"/>
        <v>a</v>
      </c>
      <c r="AT81" t="str">
        <f t="shared" si="66"/>
        <v/>
      </c>
      <c r="BA81" s="6">
        <f t="shared" si="56"/>
        <v>20</v>
      </c>
      <c r="BB81">
        <f t="shared" si="57"/>
        <v>18981</v>
      </c>
      <c r="BC81" t="str">
        <f t="shared" si="58"/>
        <v>Nelson</v>
      </c>
      <c r="BD81" t="str">
        <f t="shared" si="59"/>
        <v>Velodrome</v>
      </c>
      <c r="BE81" t="s">
        <v>11</v>
      </c>
      <c r="BF81" t="s">
        <v>187</v>
      </c>
      <c r="BG81" t="s">
        <v>106</v>
      </c>
      <c r="BI81">
        <v>3</v>
      </c>
      <c r="BJ81" s="15">
        <f t="shared" si="60"/>
        <v>0</v>
      </c>
      <c r="BK81">
        <f t="shared" si="67"/>
        <v>1022</v>
      </c>
      <c r="BL81">
        <f t="shared" si="68"/>
        <v>1022</v>
      </c>
      <c r="BM81" s="15">
        <f>SUMIFS(BJ$2:BJ81,K$2:K81,"=Intermission")+SUMIFS(BJ$2:BJ81,K$2:K81,"=Timeout")</f>
        <v>0</v>
      </c>
      <c r="BN81">
        <f t="shared" si="69"/>
        <v>0</v>
      </c>
      <c r="BO81" s="19">
        <f t="shared" si="70"/>
        <v>58</v>
      </c>
      <c r="BP81">
        <f t="shared" si="71"/>
        <v>53</v>
      </c>
      <c r="BQ81" s="17">
        <f t="shared" si="72"/>
        <v>58</v>
      </c>
      <c r="BR81" t="str">
        <f t="shared" si="73"/>
        <v>event_team_player_1</v>
      </c>
      <c r="BS81">
        <f>COUNTIFS(S$3:S81,"="&amp;S81,AI$3:AI81,"="&amp;AI81)</f>
        <v>1</v>
      </c>
      <c r="BT81" t="str">
        <f>IFERROR(VLOOKUP(BB81&amp;BU81&amp;X81,game_rosters!U:W,3,FALSE),"")</f>
        <v>P100001</v>
      </c>
      <c r="BU81" t="str">
        <f t="shared" si="74"/>
        <v>Velodrome</v>
      </c>
    </row>
    <row r="82" spans="1:73" x14ac:dyDescent="0.2">
      <c r="A82">
        <f t="shared" si="61"/>
        <v>1</v>
      </c>
      <c r="E82" s="4"/>
      <c r="F82" s="43"/>
      <c r="G82" s="4"/>
      <c r="H82" s="46"/>
      <c r="J82" s="44" t="str">
        <f t="shared" si="75"/>
        <v/>
      </c>
      <c r="K82" t="s">
        <v>241</v>
      </c>
      <c r="L82" t="s">
        <v>756</v>
      </c>
      <c r="M82" t="s">
        <v>756</v>
      </c>
      <c r="N82" t="str">
        <f t="shared" si="48"/>
        <v/>
      </c>
      <c r="Q82" t="str">
        <f t="shared" si="76"/>
        <v/>
      </c>
      <c r="S82">
        <v>40</v>
      </c>
      <c r="U82" t="str">
        <f>IF(B82=1,MAX($U$2:$U81)+1,IF(AND($T82&lt;&gt;"",$T82=$T81),$U81,IF(B82="x",U81,"")))</f>
        <v/>
      </c>
      <c r="V82" t="str">
        <f>IF(C82=1,MAX($V$2:$V81)+1,IF(AND($T82&lt;&gt;"",$T82=$T81),$U81,IF(C82="x",V81,"")))</f>
        <v/>
      </c>
      <c r="W82" t="str">
        <f t="shared" si="50"/>
        <v>a</v>
      </c>
      <c r="X82">
        <v>70</v>
      </c>
      <c r="Y82" t="e">
        <f>IF(X82&lt;&gt;"",VLOOKUP(X82,game_rosters!$C$43:$E$64,3,FALSE))</f>
        <v>#N/A</v>
      </c>
      <c r="Z82" cm="1">
        <f t="array" ref="Z82">IFERROR(IF(_xlfn._xlws.FILTER(game_rosters!$J:$J,(game_rosters!$G:$G=events!$AN82)*(game_rosters!$J:$J=events!$X82))&gt;0,1,""),"")</f>
        <v>1</v>
      </c>
      <c r="AA82">
        <f t="shared" si="51"/>
        <v>1040</v>
      </c>
      <c r="AB82" t="str">
        <f t="shared" si="52"/>
        <v/>
      </c>
      <c r="AC82">
        <f t="shared" si="49"/>
        <v>1040</v>
      </c>
      <c r="AD82" s="6">
        <v>1</v>
      </c>
      <c r="AE82" t="s">
        <v>732</v>
      </c>
      <c r="AF82" t="s">
        <v>913</v>
      </c>
      <c r="AG82" t="s">
        <v>909</v>
      </c>
      <c r="AH82" t="s">
        <v>902</v>
      </c>
      <c r="AI82" t="s">
        <v>367</v>
      </c>
      <c r="AJ82" t="str">
        <f t="shared" si="53"/>
        <v/>
      </c>
      <c r="AK82" t="str">
        <f t="shared" si="53"/>
        <v/>
      </c>
      <c r="AL82" t="str">
        <f t="shared" si="54"/>
        <v/>
      </c>
      <c r="AN82" t="s">
        <v>862</v>
      </c>
      <c r="AO82" t="str">
        <f t="shared" si="55"/>
        <v>a</v>
      </c>
      <c r="AP82" t="str">
        <f t="shared" si="62"/>
        <v/>
      </c>
      <c r="AQ82" t="str">
        <f t="shared" si="63"/>
        <v/>
      </c>
      <c r="AR82" t="str">
        <f t="shared" si="64"/>
        <v>Away</v>
      </c>
      <c r="AS82" t="str">
        <f t="shared" si="65"/>
        <v>a</v>
      </c>
      <c r="AT82" t="str">
        <f t="shared" si="66"/>
        <v/>
      </c>
      <c r="BA82" s="6">
        <f t="shared" si="56"/>
        <v>20</v>
      </c>
      <c r="BB82">
        <f t="shared" si="57"/>
        <v>18981</v>
      </c>
      <c r="BC82" t="str">
        <f t="shared" si="58"/>
        <v>Nelson</v>
      </c>
      <c r="BD82" t="str">
        <f t="shared" si="59"/>
        <v>Velodrome</v>
      </c>
      <c r="BE82" t="s">
        <v>241</v>
      </c>
      <c r="BF82" t="s">
        <v>756</v>
      </c>
      <c r="BG82" t="s">
        <v>756</v>
      </c>
      <c r="BI82" cm="1">
        <f t="array" ref="BI82">IFERROR(_xlfn._xlws.FILTER(shifts!A:A,(shifts!B:B=events!AD82)*(shifts!AG:AG&gt;=events!BK82)*(shifts!AH:AH&lt;=events!BL82)),BI81)</f>
        <v>4</v>
      </c>
      <c r="BJ82" s="15">
        <f t="shared" si="60"/>
        <v>20</v>
      </c>
      <c r="BK82">
        <f t="shared" si="67"/>
        <v>1022</v>
      </c>
      <c r="BL82">
        <f t="shared" si="68"/>
        <v>1002</v>
      </c>
      <c r="BM82" s="15">
        <f>SUMIFS(BJ$2:BJ82,K$2:K82,"=Intermission")+SUMIFS(BJ$2:BJ82,K$2:K82,"=Timeout")</f>
        <v>0</v>
      </c>
      <c r="BN82">
        <f t="shared" si="69"/>
        <v>0</v>
      </c>
      <c r="BO82" s="19">
        <f t="shared" si="70"/>
        <v>58</v>
      </c>
      <c r="BP82">
        <f t="shared" si="71"/>
        <v>53</v>
      </c>
      <c r="BQ82" s="17">
        <f t="shared" si="72"/>
        <v>78</v>
      </c>
      <c r="BR82" t="str">
        <f t="shared" si="73"/>
        <v>event_team_player_1</v>
      </c>
      <c r="BS82">
        <f>COUNTIFS(S$3:S82,"="&amp;S82,AI$3:AI82,"="&amp;AI82)</f>
        <v>1</v>
      </c>
      <c r="BT82" t="str">
        <f>IFERROR(VLOOKUP(BB82&amp;BU82&amp;X82,game_rosters!U:W,3,FALSE),"")</f>
        <v>P100001</v>
      </c>
      <c r="BU82" t="str">
        <f t="shared" si="74"/>
        <v>Velodrome</v>
      </c>
    </row>
    <row r="83" spans="1:73" x14ac:dyDescent="0.2">
      <c r="A83">
        <f t="shared" si="61"/>
        <v>1</v>
      </c>
      <c r="E83" s="4"/>
      <c r="F83" s="43"/>
      <c r="G83" s="4"/>
      <c r="H83" s="46"/>
      <c r="J83" s="44" t="str">
        <f t="shared" si="75"/>
        <v/>
      </c>
      <c r="K83" t="s">
        <v>5</v>
      </c>
      <c r="L83" t="s">
        <v>236</v>
      </c>
      <c r="M83" t="s">
        <v>756</v>
      </c>
      <c r="N83" t="str">
        <f t="shared" si="48"/>
        <v/>
      </c>
      <c r="Q83" t="str">
        <f t="shared" si="76"/>
        <v/>
      </c>
      <c r="S83">
        <v>41</v>
      </c>
      <c r="U83" t="str">
        <f>IF(B83=1,MAX($U$2:$U82)+1,IF(AND($T83&lt;&gt;"",$T83=$T82),$U82,IF(B83="x",U82,"")))</f>
        <v/>
      </c>
      <c r="V83" t="str">
        <f>IF(C83=1,MAX($V$2:$V82)+1,IF(AND($T83&lt;&gt;"",$T83=$T82),$U82,IF(C83="x",V82,"")))</f>
        <v/>
      </c>
      <c r="W83" t="str">
        <f t="shared" si="50"/>
        <v>a</v>
      </c>
      <c r="X83">
        <v>42</v>
      </c>
      <c r="Y83" t="e">
        <f>IF(X83&lt;&gt;"",VLOOKUP(X83,game_rosters!$C$43:$E$64,3,FALSE))</f>
        <v>#N/A</v>
      </c>
      <c r="Z83" cm="1">
        <f t="array" ref="Z83">IFERROR(IF(_xlfn._xlws.FILTER(game_rosters!$J:$J,(game_rosters!$G:$G=events!$AN83)*(game_rosters!$J:$J=events!$X83))&gt;0,1,""),"")</f>
        <v>1</v>
      </c>
      <c r="AA83">
        <f t="shared" si="51"/>
        <v>1041</v>
      </c>
      <c r="AB83" t="str">
        <f t="shared" si="52"/>
        <v/>
      </c>
      <c r="AC83">
        <f t="shared" si="49"/>
        <v>1041</v>
      </c>
      <c r="AD83" s="6">
        <v>1</v>
      </c>
      <c r="AE83" t="s">
        <v>909</v>
      </c>
      <c r="AF83" t="s">
        <v>902</v>
      </c>
      <c r="AG83" t="s">
        <v>756</v>
      </c>
      <c r="AH83" t="s">
        <v>756</v>
      </c>
      <c r="AI83" t="s">
        <v>367</v>
      </c>
      <c r="AJ83" t="str">
        <f t="shared" si="53"/>
        <v/>
      </c>
      <c r="AK83" t="str">
        <f t="shared" si="53"/>
        <v/>
      </c>
      <c r="AL83" t="str">
        <f t="shared" si="54"/>
        <v/>
      </c>
      <c r="AN83" t="s">
        <v>862</v>
      </c>
      <c r="AO83" t="str">
        <f t="shared" si="55"/>
        <v>a</v>
      </c>
      <c r="AP83" t="str">
        <f t="shared" si="62"/>
        <v/>
      </c>
      <c r="AQ83" t="str">
        <f t="shared" si="63"/>
        <v/>
      </c>
      <c r="AR83" t="str">
        <f t="shared" si="64"/>
        <v>Away</v>
      </c>
      <c r="AS83" t="str">
        <f t="shared" si="65"/>
        <v>a</v>
      </c>
      <c r="AT83" t="str">
        <f t="shared" si="66"/>
        <v>Offensive</v>
      </c>
      <c r="BA83" s="6">
        <f t="shared" si="56"/>
        <v>20</v>
      </c>
      <c r="BB83">
        <f t="shared" si="57"/>
        <v>18981</v>
      </c>
      <c r="BC83" t="str">
        <f t="shared" si="58"/>
        <v>Nelson</v>
      </c>
      <c r="BD83" t="str">
        <f t="shared" si="59"/>
        <v>Velodrome</v>
      </c>
      <c r="BE83" t="s">
        <v>5</v>
      </c>
      <c r="BF83" t="s">
        <v>236</v>
      </c>
      <c r="BG83" t="s">
        <v>756</v>
      </c>
      <c r="BI83" cm="1">
        <f t="array" ref="BI83">IFERROR(_xlfn._xlws.FILTER(shifts!A:A,(shifts!B:B=events!AD83)*(shifts!AG:AG&gt;=events!BK83)*(shifts!AH:AH&lt;=events!BL83)),BI82)</f>
        <v>4</v>
      </c>
      <c r="BJ83" s="15">
        <f t="shared" si="60"/>
        <v>0</v>
      </c>
      <c r="BK83">
        <f t="shared" si="67"/>
        <v>1002</v>
      </c>
      <c r="BL83">
        <f t="shared" si="68"/>
        <v>1002</v>
      </c>
      <c r="BM83" s="15">
        <f>SUMIFS(BJ$2:BJ83,K$2:K83,"=Intermission")+SUMIFS(BJ$2:BJ83,K$2:K83,"=Timeout")</f>
        <v>0</v>
      </c>
      <c r="BN83">
        <f t="shared" si="69"/>
        <v>0</v>
      </c>
      <c r="BO83" s="19">
        <f t="shared" si="70"/>
        <v>78</v>
      </c>
      <c r="BP83">
        <f t="shared" si="71"/>
        <v>73</v>
      </c>
      <c r="BQ83" s="17">
        <f t="shared" si="72"/>
        <v>78</v>
      </c>
      <c r="BR83" t="str">
        <f t="shared" si="73"/>
        <v>event_team_player_1</v>
      </c>
      <c r="BS83">
        <f>COUNTIFS(S$3:S83,"="&amp;S83,AI$3:AI83,"="&amp;AI83)</f>
        <v>1</v>
      </c>
      <c r="BT83" t="str">
        <f>IFERROR(VLOOKUP(BB83&amp;BU83&amp;X83,game_rosters!U:W,3,FALSE),"")</f>
        <v>P100201</v>
      </c>
      <c r="BU83" t="str">
        <f t="shared" si="74"/>
        <v>Velodrome</v>
      </c>
    </row>
    <row r="84" spans="1:73" x14ac:dyDescent="0.2">
      <c r="A84">
        <f t="shared" si="61"/>
        <v>1</v>
      </c>
      <c r="E84" s="4"/>
      <c r="F84" s="43"/>
      <c r="G84" s="4"/>
      <c r="H84" s="46"/>
      <c r="J84" s="44" t="str">
        <f t="shared" si="75"/>
        <v/>
      </c>
      <c r="K84" t="s">
        <v>5</v>
      </c>
      <c r="L84" t="s">
        <v>236</v>
      </c>
      <c r="M84" t="s">
        <v>756</v>
      </c>
      <c r="N84" t="str">
        <f t="shared" si="48"/>
        <v/>
      </c>
      <c r="Q84" t="str">
        <f t="shared" si="76"/>
        <v/>
      </c>
      <c r="S84">
        <v>41</v>
      </c>
      <c r="U84" t="str">
        <f>IF(B84=1,MAX($U$2:$U83)+1,IF(AND($T84&lt;&gt;"",$T84=$T83),$U83,IF(B84="x",U83,"")))</f>
        <v/>
      </c>
      <c r="V84" t="str">
        <f>IF(C84=1,MAX($V$2:$V83)+1,IF(AND($T84&lt;&gt;"",$T84=$T83),$U83,IF(C84="x",V83,"")))</f>
        <v/>
      </c>
      <c r="W84" t="str">
        <f t="shared" si="50"/>
        <v>a</v>
      </c>
      <c r="X84">
        <v>79</v>
      </c>
      <c r="Y84" t="b">
        <f>IF(X84&lt;&gt;"",VLOOKUP(X84,game_rosters!$C$43:$E$64,3,FALSE))</f>
        <v>0</v>
      </c>
      <c r="Z84" t="str" cm="1">
        <f t="array" ref="Z84">IFERROR(IF(_xlfn._xlws.FILTER(game_rosters!$J:$J,(game_rosters!$G:$G=events!$AN84)*(game_rosters!$J:$J=events!$X84))&gt;0,1,""),"")</f>
        <v/>
      </c>
      <c r="AA84">
        <f t="shared" si="51"/>
        <v>1041</v>
      </c>
      <c r="AB84" t="str">
        <f t="shared" si="52"/>
        <v/>
      </c>
      <c r="AC84">
        <f t="shared" si="49"/>
        <v>1041</v>
      </c>
      <c r="AD84" s="6">
        <v>1</v>
      </c>
      <c r="AE84" t="s">
        <v>909</v>
      </c>
      <c r="AF84" t="s">
        <v>902</v>
      </c>
      <c r="AG84" t="s">
        <v>756</v>
      </c>
      <c r="AH84" t="s">
        <v>756</v>
      </c>
      <c r="AI84" t="s">
        <v>368</v>
      </c>
      <c r="AJ84" t="str">
        <f t="shared" ref="AJ84:AK99" si="77">IF($J84&lt;&gt;"",$J84,IF($AC84=$AC83,AJ83,""))</f>
        <v/>
      </c>
      <c r="AK84" t="str">
        <f t="shared" si="77"/>
        <v/>
      </c>
      <c r="AL84" t="str">
        <f t="shared" si="54"/>
        <v/>
      </c>
      <c r="AN84" t="s">
        <v>862</v>
      </c>
      <c r="AO84" t="str">
        <f t="shared" si="55"/>
        <v>a</v>
      </c>
      <c r="AP84" t="str">
        <f t="shared" si="62"/>
        <v/>
      </c>
      <c r="AQ84" t="str">
        <f t="shared" si="63"/>
        <v/>
      </c>
      <c r="AR84" t="str">
        <f t="shared" si="64"/>
        <v>Away</v>
      </c>
      <c r="AS84" t="str">
        <f t="shared" si="65"/>
        <v>a</v>
      </c>
      <c r="AT84" t="str">
        <f t="shared" si="66"/>
        <v>Defensive</v>
      </c>
      <c r="BA84" s="6">
        <f t="shared" si="56"/>
        <v>20</v>
      </c>
      <c r="BB84">
        <f t="shared" si="57"/>
        <v>18981</v>
      </c>
      <c r="BC84" t="str">
        <f t="shared" si="58"/>
        <v>Nelson</v>
      </c>
      <c r="BD84" t="str">
        <f t="shared" si="59"/>
        <v>Velodrome</v>
      </c>
      <c r="BE84" t="s">
        <v>5</v>
      </c>
      <c r="BF84" t="s">
        <v>236</v>
      </c>
      <c r="BG84" t="s">
        <v>756</v>
      </c>
      <c r="BI84" cm="1">
        <f t="array" ref="BI84">IFERROR(_xlfn._xlws.FILTER(shifts!A:A,(shifts!B:B=events!AD84)*(shifts!AG:AG&gt;=events!BK84)*(shifts!AH:AH&lt;=events!BL84)),BI83)</f>
        <v>4</v>
      </c>
      <c r="BJ84" s="15">
        <f t="shared" si="60"/>
        <v>0</v>
      </c>
      <c r="BK84">
        <f t="shared" si="67"/>
        <v>1002</v>
      </c>
      <c r="BL84">
        <f t="shared" si="68"/>
        <v>1002</v>
      </c>
      <c r="BM84" s="15">
        <f>SUMIFS(BJ$2:BJ84,K$2:K84,"=Intermission")+SUMIFS(BJ$2:BJ84,K$2:K84,"=Timeout")</f>
        <v>0</v>
      </c>
      <c r="BN84">
        <f t="shared" si="69"/>
        <v>0</v>
      </c>
      <c r="BO84" s="19">
        <f t="shared" si="70"/>
        <v>78</v>
      </c>
      <c r="BP84">
        <f t="shared" si="71"/>
        <v>73</v>
      </c>
      <c r="BQ84" s="17">
        <f t="shared" si="72"/>
        <v>78</v>
      </c>
      <c r="BR84" t="str">
        <f t="shared" si="73"/>
        <v>opp_team_player_1</v>
      </c>
      <c r="BS84">
        <f>COUNTIFS(S$3:S84,"="&amp;S84,AI$3:AI84,"="&amp;AI84)</f>
        <v>1</v>
      </c>
      <c r="BT84" t="str">
        <f>IFERROR(VLOOKUP(BB84&amp;BU84&amp;X84,game_rosters!U:W,3,FALSE),"")</f>
        <v>P100066</v>
      </c>
      <c r="BU84" t="str">
        <f t="shared" si="74"/>
        <v>Nelson</v>
      </c>
    </row>
    <row r="85" spans="1:73" x14ac:dyDescent="0.2">
      <c r="A85">
        <f t="shared" si="61"/>
        <v>1</v>
      </c>
      <c r="E85" s="4"/>
      <c r="F85" s="43"/>
      <c r="G85" s="4"/>
      <c r="H85" s="46"/>
      <c r="J85" s="44" t="str">
        <f t="shared" si="75"/>
        <v/>
      </c>
      <c r="K85" t="s">
        <v>13</v>
      </c>
      <c r="L85" t="s">
        <v>756</v>
      </c>
      <c r="M85" t="s">
        <v>756</v>
      </c>
      <c r="N85" t="str">
        <f t="shared" ref="N85:N148" si="78">IF(K85="","",IF(K85="Goal","s",IF(AND(K85="Zone_Entry_Exit",OR(ISNUMBER(SEARCH("fail",L85)),ISNUMBER(SEARCH("FromExitClear",M85)),ISNUMBER(SEARCH("miss",M85)))),"u",IF(AND(K85="Zone_Entry_Exit",OR(NOT(ISNUMBER(SEARCH("fail",L85))),NOT(ISNUMBER(SEARCH("FromExitClear",M85))),NOT(ISNUMBER(SEARCH("miss",M85))))),"s",IF(AND(OR(K85="Shot",K85="Pass"),OR(ISNUMBER(SEARCH("complete",L85)),ISNUMBER(SEARCH("goal",L85)),ISNUMBER(SEARCH("OnNet",L85)))),"s",IF(L85="Turnover_Giveaway","u",IF(AND(OR(K85="Shot",K85="Pass"),OR(ISNUMBER(SEARCH("fail",L85)),NOT(ISNUMBER(SEARCH("complete",L85))),NOT(ISNUMBER(SEARCH("OnNet",L85))))),"u","")))))))</f>
        <v/>
      </c>
      <c r="Q85" t="str">
        <f t="shared" si="76"/>
        <v/>
      </c>
      <c r="S85">
        <v>42</v>
      </c>
      <c r="U85" t="str">
        <f>IF(B85=1,MAX($U$2:$U84)+1,IF(AND($T85&lt;&gt;"",$T85=$T84),$U84,IF(B85="x",U84,"")))</f>
        <v/>
      </c>
      <c r="V85" t="str">
        <f>IF(C85=1,MAX($V$2:$V84)+1,IF(AND($T85&lt;&gt;"",$T85=$T84),$U84,IF(C85="x",V84,"")))</f>
        <v/>
      </c>
      <c r="W85" t="str">
        <f t="shared" si="50"/>
        <v>a</v>
      </c>
      <c r="X85">
        <v>93</v>
      </c>
      <c r="Y85" t="e">
        <f>IF(X85&lt;&gt;"",VLOOKUP(X85,game_rosters!$C$43:$E$64,3,FALSE))</f>
        <v>#N/A</v>
      </c>
      <c r="Z85" cm="1">
        <f t="array" ref="Z85">IFERROR(IF(_xlfn._xlws.FILTER(game_rosters!$J:$J,(game_rosters!$G:$G=events!$AN85)*(game_rosters!$J:$J=events!$X85))&gt;0,1,""),"")</f>
        <v>1</v>
      </c>
      <c r="AA85">
        <f t="shared" si="51"/>
        <v>1042</v>
      </c>
      <c r="AB85" t="str">
        <f t="shared" si="52"/>
        <v/>
      </c>
      <c r="AC85">
        <f t="shared" si="49"/>
        <v>1042</v>
      </c>
      <c r="AD85" s="6">
        <v>1</v>
      </c>
      <c r="AE85" t="s">
        <v>909</v>
      </c>
      <c r="AF85" t="s">
        <v>750</v>
      </c>
      <c r="AG85" t="s">
        <v>909</v>
      </c>
      <c r="AH85" t="s">
        <v>914</v>
      </c>
      <c r="AI85" t="s">
        <v>367</v>
      </c>
      <c r="AJ85" t="str">
        <f t="shared" si="77"/>
        <v/>
      </c>
      <c r="AK85" t="str">
        <f t="shared" si="77"/>
        <v/>
      </c>
      <c r="AL85" t="str">
        <f t="shared" si="54"/>
        <v/>
      </c>
      <c r="AN85" t="s">
        <v>862</v>
      </c>
      <c r="AO85" t="str">
        <f t="shared" si="55"/>
        <v>a</v>
      </c>
      <c r="AP85" t="str">
        <f t="shared" si="62"/>
        <v/>
      </c>
      <c r="AQ85" t="str">
        <f t="shared" si="63"/>
        <v/>
      </c>
      <c r="AR85" t="str">
        <f t="shared" si="64"/>
        <v>Away</v>
      </c>
      <c r="AS85" t="str">
        <f t="shared" si="65"/>
        <v>a</v>
      </c>
      <c r="AT85" t="str">
        <f t="shared" si="66"/>
        <v>Offensive</v>
      </c>
      <c r="BA85" s="6">
        <f t="shared" si="56"/>
        <v>20</v>
      </c>
      <c r="BB85">
        <f t="shared" si="57"/>
        <v>18981</v>
      </c>
      <c r="BC85" t="str">
        <f t="shared" si="58"/>
        <v>Nelson</v>
      </c>
      <c r="BD85" t="str">
        <f t="shared" si="59"/>
        <v>Velodrome</v>
      </c>
      <c r="BE85" t="s">
        <v>13</v>
      </c>
      <c r="BF85" t="s">
        <v>756</v>
      </c>
      <c r="BG85" t="s">
        <v>756</v>
      </c>
      <c r="BI85" cm="1">
        <f t="array" ref="BI85">IFERROR(_xlfn._xlws.FILTER(shifts!A:A,(shifts!B:B=events!AD85)*(shifts!AG:AG&gt;=events!BK85)*(shifts!AH:AH&lt;=events!BL85)),BI84)</f>
        <v>4</v>
      </c>
      <c r="BJ85" s="15">
        <f t="shared" si="60"/>
        <v>2</v>
      </c>
      <c r="BK85">
        <f t="shared" si="67"/>
        <v>995</v>
      </c>
      <c r="BL85">
        <f t="shared" si="68"/>
        <v>993</v>
      </c>
      <c r="BM85" s="15">
        <f>SUMIFS(BJ$2:BJ85,K$2:K85,"=Intermission")+SUMIFS(BJ$2:BJ85,K$2:K85,"=Timeout")</f>
        <v>0</v>
      </c>
      <c r="BN85">
        <f t="shared" si="69"/>
        <v>0</v>
      </c>
      <c r="BO85" s="19">
        <f t="shared" si="70"/>
        <v>85</v>
      </c>
      <c r="BP85">
        <f t="shared" si="71"/>
        <v>80</v>
      </c>
      <c r="BQ85" s="17">
        <f t="shared" si="72"/>
        <v>87</v>
      </c>
      <c r="BR85" t="str">
        <f t="shared" si="73"/>
        <v>event_team_player_1</v>
      </c>
      <c r="BS85">
        <f>COUNTIFS(S$3:S85,"="&amp;S85,AI$3:AI85,"="&amp;AI85)</f>
        <v>1</v>
      </c>
      <c r="BT85" t="str">
        <f>IFERROR(VLOOKUP(BB85&amp;BU85&amp;X85,game_rosters!U:W,3,FALSE),"")</f>
        <v>P100093</v>
      </c>
      <c r="BU85" t="str">
        <f t="shared" si="74"/>
        <v>Velodrome</v>
      </c>
    </row>
    <row r="86" spans="1:73" x14ac:dyDescent="0.2">
      <c r="A86">
        <f t="shared" si="61"/>
        <v>1</v>
      </c>
      <c r="E86" s="4"/>
      <c r="F86" s="43"/>
      <c r="G86" s="4"/>
      <c r="H86" s="46"/>
      <c r="J86" s="44" t="str">
        <f t="shared" si="75"/>
        <v/>
      </c>
      <c r="K86" t="s">
        <v>13</v>
      </c>
      <c r="L86" t="s">
        <v>756</v>
      </c>
      <c r="M86" t="s">
        <v>756</v>
      </c>
      <c r="N86" t="str">
        <f t="shared" si="78"/>
        <v/>
      </c>
      <c r="Q86" t="str">
        <f t="shared" si="76"/>
        <v/>
      </c>
      <c r="S86">
        <v>42</v>
      </c>
      <c r="U86" t="str">
        <f>IF(B86=1,MAX($U$2:$U85)+1,IF(AND($T86&lt;&gt;"",$T86=$T85),$U85,IF(B86="x",U85,"")))</f>
        <v/>
      </c>
      <c r="V86" t="str">
        <f>IF(C86=1,MAX($V$2:$V85)+1,IF(AND($T86&lt;&gt;"",$T86=$T85),$U85,IF(C86="x",V85,"")))</f>
        <v/>
      </c>
      <c r="W86" t="str">
        <f t="shared" si="50"/>
        <v>a</v>
      </c>
      <c r="X86">
        <v>44</v>
      </c>
      <c r="Y86" t="b">
        <f>IF(X86&lt;&gt;"",VLOOKUP(X86,game_rosters!$C$43:$E$64,3,FALSE))</f>
        <v>0</v>
      </c>
      <c r="Z86" t="str" cm="1">
        <f t="array" ref="Z86">IFERROR(IF(_xlfn._xlws.FILTER(game_rosters!$J:$J,(game_rosters!$G:$G=events!$AN86)*(game_rosters!$J:$J=events!$X86))&gt;0,1,""),"")</f>
        <v/>
      </c>
      <c r="AA86">
        <f t="shared" si="51"/>
        <v>1042</v>
      </c>
      <c r="AB86" t="str">
        <f t="shared" si="52"/>
        <v/>
      </c>
      <c r="AC86">
        <f t="shared" si="49"/>
        <v>1042</v>
      </c>
      <c r="AD86" s="6">
        <v>1</v>
      </c>
      <c r="AE86" t="s">
        <v>909</v>
      </c>
      <c r="AF86" t="s">
        <v>750</v>
      </c>
      <c r="AG86" t="s">
        <v>909</v>
      </c>
      <c r="AH86" t="s">
        <v>914</v>
      </c>
      <c r="AI86" t="s">
        <v>368</v>
      </c>
      <c r="AJ86" t="str">
        <f t="shared" si="77"/>
        <v/>
      </c>
      <c r="AK86" t="str">
        <f t="shared" si="77"/>
        <v/>
      </c>
      <c r="AL86" t="str">
        <f t="shared" si="54"/>
        <v/>
      </c>
      <c r="AN86" t="s">
        <v>862</v>
      </c>
      <c r="AO86" t="str">
        <f t="shared" si="55"/>
        <v>a</v>
      </c>
      <c r="AP86" t="str">
        <f t="shared" si="62"/>
        <v/>
      </c>
      <c r="AQ86" t="str">
        <f t="shared" si="63"/>
        <v/>
      </c>
      <c r="AR86" t="str">
        <f t="shared" si="64"/>
        <v>Away</v>
      </c>
      <c r="AS86" t="str">
        <f t="shared" si="65"/>
        <v>a</v>
      </c>
      <c r="AT86" t="str">
        <f t="shared" si="66"/>
        <v>Defensive</v>
      </c>
      <c r="BA86" s="6">
        <f t="shared" si="56"/>
        <v>20</v>
      </c>
      <c r="BB86">
        <f t="shared" si="57"/>
        <v>18981</v>
      </c>
      <c r="BC86" t="str">
        <f t="shared" si="58"/>
        <v>Nelson</v>
      </c>
      <c r="BD86" t="str">
        <f t="shared" si="59"/>
        <v>Velodrome</v>
      </c>
      <c r="BE86" t="s">
        <v>13</v>
      </c>
      <c r="BF86" t="s">
        <v>756</v>
      </c>
      <c r="BG86" t="s">
        <v>756</v>
      </c>
      <c r="BI86" cm="1">
        <f t="array" ref="BI86">IFERROR(_xlfn._xlws.FILTER(shifts!A:A,(shifts!B:B=events!AD86)*(shifts!AG:AG&gt;=events!BK86)*(shifts!AH:AH&lt;=events!BL86)),BI85)</f>
        <v>4</v>
      </c>
      <c r="BJ86" s="15">
        <f t="shared" si="60"/>
        <v>2</v>
      </c>
      <c r="BK86">
        <f t="shared" si="67"/>
        <v>995</v>
      </c>
      <c r="BL86">
        <f t="shared" si="68"/>
        <v>993</v>
      </c>
      <c r="BM86" s="15">
        <f>SUMIFS(BJ$2:BJ86,K$2:K86,"=Intermission")+SUMIFS(BJ$2:BJ86,K$2:K86,"=Timeout")</f>
        <v>0</v>
      </c>
      <c r="BN86">
        <f t="shared" si="69"/>
        <v>0</v>
      </c>
      <c r="BO86" s="19">
        <f t="shared" si="70"/>
        <v>85</v>
      </c>
      <c r="BP86">
        <f t="shared" si="71"/>
        <v>80</v>
      </c>
      <c r="BQ86" s="17">
        <f t="shared" si="72"/>
        <v>87</v>
      </c>
      <c r="BR86" t="str">
        <f t="shared" si="73"/>
        <v>opp_team_player_1</v>
      </c>
      <c r="BS86">
        <f>COUNTIFS(S$3:S86,"="&amp;S86,AI$3:AI86,"="&amp;AI86)</f>
        <v>1</v>
      </c>
      <c r="BT86" t="str">
        <f>IFERROR(VLOOKUP(BB86&amp;BU86&amp;X86,game_rosters!U:W,3,FALSE),"")</f>
        <v>P100079</v>
      </c>
      <c r="BU86" t="str">
        <f t="shared" si="74"/>
        <v>Nelson</v>
      </c>
    </row>
    <row r="87" spans="1:73" x14ac:dyDescent="0.2">
      <c r="A87">
        <f t="shared" si="61"/>
        <v>1</v>
      </c>
      <c r="E87" s="4"/>
      <c r="F87" s="43"/>
      <c r="G87" s="4"/>
      <c r="H87" s="46"/>
      <c r="J87" s="44" t="str">
        <f t="shared" si="75"/>
        <v/>
      </c>
      <c r="K87" t="s">
        <v>7</v>
      </c>
      <c r="L87" t="s">
        <v>172</v>
      </c>
      <c r="M87" t="s">
        <v>66</v>
      </c>
      <c r="N87" t="str">
        <f t="shared" si="78"/>
        <v>s</v>
      </c>
      <c r="Q87" t="str">
        <f t="shared" si="76"/>
        <v/>
      </c>
      <c r="S87">
        <v>43</v>
      </c>
      <c r="U87" t="str">
        <f>IF(B87=1,MAX($U$2:$U86)+1,IF(AND($T87&lt;&gt;"",$T87=$T86),$U86,IF(B87="x",U86,"")))</f>
        <v/>
      </c>
      <c r="V87" t="str">
        <f>IF(C87=1,MAX($V$2:$V86)+1,IF(AND($T87&lt;&gt;"",$T87=$T86),$U86,IF(C87="x",V86,"")))</f>
        <v/>
      </c>
      <c r="W87" t="str">
        <f t="shared" si="50"/>
        <v>a</v>
      </c>
      <c r="X87">
        <v>93</v>
      </c>
      <c r="Y87" t="e">
        <f>IF(X87&lt;&gt;"",VLOOKUP(X87,game_rosters!$C$43:$E$64,3,FALSE))</f>
        <v>#N/A</v>
      </c>
      <c r="Z87" cm="1">
        <f t="array" ref="Z87">IFERROR(IF(_xlfn._xlws.FILTER(game_rosters!$J:$J,(game_rosters!$G:$G=events!$AN87)*(game_rosters!$J:$J=events!$X87))&gt;0,1,""),"")</f>
        <v>1</v>
      </c>
      <c r="AA87">
        <f t="shared" si="51"/>
        <v>1043</v>
      </c>
      <c r="AB87" t="str">
        <f t="shared" si="52"/>
        <v/>
      </c>
      <c r="AC87">
        <f t="shared" si="49"/>
        <v>1043</v>
      </c>
      <c r="AD87" s="6">
        <v>1</v>
      </c>
      <c r="AE87" t="s">
        <v>909</v>
      </c>
      <c r="AF87" t="s">
        <v>914</v>
      </c>
      <c r="AG87" t="s">
        <v>756</v>
      </c>
      <c r="AH87" t="s">
        <v>756</v>
      </c>
      <c r="AI87" t="s">
        <v>367</v>
      </c>
      <c r="AJ87" t="str">
        <f t="shared" si="77"/>
        <v/>
      </c>
      <c r="AK87" t="str">
        <f t="shared" si="77"/>
        <v/>
      </c>
      <c r="AL87" t="str">
        <f t="shared" si="54"/>
        <v/>
      </c>
      <c r="AN87" t="s">
        <v>862</v>
      </c>
      <c r="AO87" t="str">
        <f t="shared" si="55"/>
        <v>a</v>
      </c>
      <c r="AP87" t="str">
        <f t="shared" si="62"/>
        <v/>
      </c>
      <c r="AQ87" t="str">
        <f t="shared" si="63"/>
        <v/>
      </c>
      <c r="AR87" t="str">
        <f t="shared" si="64"/>
        <v>Away</v>
      </c>
      <c r="AS87" t="str">
        <f t="shared" si="65"/>
        <v>a</v>
      </c>
      <c r="AT87" t="str">
        <f t="shared" si="66"/>
        <v>Offensive</v>
      </c>
      <c r="BA87" s="6">
        <f t="shared" si="56"/>
        <v>20</v>
      </c>
      <c r="BB87">
        <f t="shared" si="57"/>
        <v>18981</v>
      </c>
      <c r="BC87" t="str">
        <f t="shared" si="58"/>
        <v>Nelson</v>
      </c>
      <c r="BD87" t="str">
        <f t="shared" si="59"/>
        <v>Velodrome</v>
      </c>
      <c r="BE87" t="s">
        <v>7</v>
      </c>
      <c r="BF87" t="s">
        <v>172</v>
      </c>
      <c r="BG87" t="s">
        <v>66</v>
      </c>
      <c r="BI87" cm="1">
        <f t="array" ref="BI87">IFERROR(_xlfn._xlws.FILTER(shifts!A:A,(shifts!B:B=events!AD87)*(shifts!AG:AG&gt;=events!BK87)*(shifts!AH:AH&lt;=events!BL87)),BI86)</f>
        <v>4</v>
      </c>
      <c r="BJ87" s="15">
        <f t="shared" si="60"/>
        <v>0</v>
      </c>
      <c r="BK87">
        <f t="shared" si="67"/>
        <v>993</v>
      </c>
      <c r="BL87">
        <f t="shared" si="68"/>
        <v>993</v>
      </c>
      <c r="BM87" s="15">
        <f>SUMIFS(BJ$2:BJ87,K$2:K87,"=Intermission")+SUMIFS(BJ$2:BJ87,K$2:K87,"=Timeout")</f>
        <v>0</v>
      </c>
      <c r="BN87">
        <f t="shared" si="69"/>
        <v>0</v>
      </c>
      <c r="BO87" s="19">
        <f t="shared" si="70"/>
        <v>87</v>
      </c>
      <c r="BP87">
        <f t="shared" si="71"/>
        <v>82</v>
      </c>
      <c r="BQ87" s="17">
        <f t="shared" si="72"/>
        <v>87</v>
      </c>
      <c r="BR87" t="str">
        <f t="shared" si="73"/>
        <v>event_team_player_1</v>
      </c>
      <c r="BS87">
        <f>COUNTIFS(S$3:S87,"="&amp;S87,AI$3:AI87,"="&amp;AI87)</f>
        <v>1</v>
      </c>
      <c r="BT87" t="str">
        <f>IFERROR(VLOOKUP(BB87&amp;BU87&amp;X87,game_rosters!U:W,3,FALSE),"")</f>
        <v>P100093</v>
      </c>
      <c r="BU87" t="str">
        <f t="shared" si="74"/>
        <v>Velodrome</v>
      </c>
    </row>
    <row r="88" spans="1:73" x14ac:dyDescent="0.2">
      <c r="A88">
        <f t="shared" si="61"/>
        <v>1</v>
      </c>
      <c r="E88" s="4"/>
      <c r="F88" s="43"/>
      <c r="G88" s="4"/>
      <c r="H88" s="46"/>
      <c r="J88" s="44" t="str">
        <f t="shared" si="75"/>
        <v/>
      </c>
      <c r="K88" t="s">
        <v>7</v>
      </c>
      <c r="L88" t="s">
        <v>172</v>
      </c>
      <c r="M88" t="s">
        <v>66</v>
      </c>
      <c r="N88" t="str">
        <f t="shared" si="78"/>
        <v>s</v>
      </c>
      <c r="Q88" t="str">
        <f t="shared" si="76"/>
        <v/>
      </c>
      <c r="S88">
        <v>43</v>
      </c>
      <c r="U88" t="str">
        <f>IF(B88=1,MAX($U$2:$U87)+1,IF(AND($T88&lt;&gt;"",$T88=$T87),$U87,IF(B88="x",U87,"")))</f>
        <v/>
      </c>
      <c r="V88" t="str">
        <f>IF(C88=1,MAX($V$2:$V87)+1,IF(AND($T88&lt;&gt;"",$T88=$T87),$U87,IF(C88="x",V87,"")))</f>
        <v/>
      </c>
      <c r="W88" t="str">
        <f t="shared" si="50"/>
        <v>a</v>
      </c>
      <c r="X88">
        <v>91</v>
      </c>
      <c r="Y88" t="e">
        <f>IF(X88&lt;&gt;"",VLOOKUP(X88,game_rosters!$C$43:$E$64,3,FALSE))</f>
        <v>#N/A</v>
      </c>
      <c r="Z88" cm="1">
        <f t="array" ref="Z88">IFERROR(IF(_xlfn._xlws.FILTER(game_rosters!$J:$J,(game_rosters!$G:$G=events!$AN88)*(game_rosters!$J:$J=events!$X88))&gt;0,1,""),"")</f>
        <v>1</v>
      </c>
      <c r="AA88">
        <f t="shared" si="51"/>
        <v>1043</v>
      </c>
      <c r="AB88" t="str">
        <f t="shared" si="52"/>
        <v/>
      </c>
      <c r="AC88">
        <f t="shared" si="49"/>
        <v>1043</v>
      </c>
      <c r="AD88" s="6">
        <v>1</v>
      </c>
      <c r="AE88" t="s">
        <v>909</v>
      </c>
      <c r="AF88" t="s">
        <v>914</v>
      </c>
      <c r="AG88" t="s">
        <v>756</v>
      </c>
      <c r="AH88" t="s">
        <v>756</v>
      </c>
      <c r="AI88" t="s">
        <v>367</v>
      </c>
      <c r="AJ88" t="str">
        <f t="shared" si="77"/>
        <v/>
      </c>
      <c r="AK88" t="str">
        <f t="shared" si="77"/>
        <v/>
      </c>
      <c r="AL88" t="str">
        <f t="shared" si="54"/>
        <v/>
      </c>
      <c r="AN88" t="s">
        <v>862</v>
      </c>
      <c r="AO88" t="str">
        <f t="shared" si="55"/>
        <v>a</v>
      </c>
      <c r="AP88" t="str">
        <f t="shared" si="62"/>
        <v/>
      </c>
      <c r="AQ88" t="str">
        <f t="shared" si="63"/>
        <v/>
      </c>
      <c r="AR88" t="str">
        <f t="shared" si="64"/>
        <v>Away</v>
      </c>
      <c r="AS88" t="str">
        <f t="shared" si="65"/>
        <v>a</v>
      </c>
      <c r="AT88" t="str">
        <f t="shared" si="66"/>
        <v>Offensive</v>
      </c>
      <c r="BA88" s="6">
        <f t="shared" si="56"/>
        <v>20</v>
      </c>
      <c r="BB88">
        <f t="shared" si="57"/>
        <v>18981</v>
      </c>
      <c r="BC88" t="str">
        <f t="shared" si="58"/>
        <v>Nelson</v>
      </c>
      <c r="BD88" t="str">
        <f t="shared" si="59"/>
        <v>Velodrome</v>
      </c>
      <c r="BE88" t="s">
        <v>7</v>
      </c>
      <c r="BF88" t="s">
        <v>172</v>
      </c>
      <c r="BG88" t="s">
        <v>66</v>
      </c>
      <c r="BI88" cm="1">
        <f t="array" ref="BI88">IFERROR(_xlfn._xlws.FILTER(shifts!A:A,(shifts!B:B=events!AD88)*(shifts!AG:AG&gt;=events!BK88)*(shifts!AH:AH&lt;=events!BL88)),BI87)</f>
        <v>4</v>
      </c>
      <c r="BJ88" s="15">
        <f t="shared" si="60"/>
        <v>0</v>
      </c>
      <c r="BK88">
        <f t="shared" si="67"/>
        <v>993</v>
      </c>
      <c r="BL88">
        <f t="shared" si="68"/>
        <v>993</v>
      </c>
      <c r="BM88" s="15">
        <f>SUMIFS(BJ$2:BJ88,K$2:K88,"=Intermission")+SUMIFS(BJ$2:BJ88,K$2:K88,"=Timeout")</f>
        <v>0</v>
      </c>
      <c r="BN88">
        <f t="shared" si="69"/>
        <v>0</v>
      </c>
      <c r="BO88" s="19">
        <f t="shared" si="70"/>
        <v>87</v>
      </c>
      <c r="BP88">
        <f t="shared" si="71"/>
        <v>82</v>
      </c>
      <c r="BQ88" s="17">
        <f t="shared" si="72"/>
        <v>87</v>
      </c>
      <c r="BR88" t="str">
        <f t="shared" si="73"/>
        <v>event_team_player_2</v>
      </c>
      <c r="BS88">
        <f>COUNTIFS(S$3:S88,"="&amp;S88,AI$3:AI88,"="&amp;AI88)</f>
        <v>2</v>
      </c>
      <c r="BT88" t="str">
        <f>IFERROR(VLOOKUP(BB88&amp;BU88&amp;X88,game_rosters!U:W,3,FALSE),"")</f>
        <v>P100002</v>
      </c>
      <c r="BU88" t="str">
        <f t="shared" si="74"/>
        <v>Velodrome</v>
      </c>
    </row>
    <row r="89" spans="1:73" x14ac:dyDescent="0.2">
      <c r="A89">
        <f t="shared" si="61"/>
        <v>1</v>
      </c>
      <c r="E89" s="4"/>
      <c r="F89" s="43"/>
      <c r="G89" s="4"/>
      <c r="H89" s="46"/>
      <c r="J89" s="44" t="str">
        <f t="shared" si="75"/>
        <v/>
      </c>
      <c r="K89" t="s">
        <v>13</v>
      </c>
      <c r="L89" t="s">
        <v>756</v>
      </c>
      <c r="M89" t="s">
        <v>756</v>
      </c>
      <c r="N89" t="str">
        <f t="shared" si="78"/>
        <v/>
      </c>
      <c r="Q89" t="str">
        <f t="shared" si="76"/>
        <v/>
      </c>
      <c r="S89">
        <v>44</v>
      </c>
      <c r="U89" t="str">
        <f>IF(B89=1,MAX($U$2:$U88)+1,IF(AND($T89&lt;&gt;"",$T89=$T88),$U88,IF(B89="x",U88,"")))</f>
        <v/>
      </c>
      <c r="V89" t="str">
        <f>IF(C89=1,MAX($V$2:$V88)+1,IF(AND($T89&lt;&gt;"",$T89=$T88),$U88,IF(C89="x",V88,"")))</f>
        <v/>
      </c>
      <c r="W89" t="str">
        <f t="shared" si="50"/>
        <v>a</v>
      </c>
      <c r="X89">
        <v>91</v>
      </c>
      <c r="Y89" t="e">
        <f>IF(X89&lt;&gt;"",VLOOKUP(X89,game_rosters!$C$43:$E$64,3,FALSE))</f>
        <v>#N/A</v>
      </c>
      <c r="Z89" cm="1">
        <f t="array" ref="Z89">IFERROR(IF(_xlfn._xlws.FILTER(game_rosters!$J:$J,(game_rosters!$G:$G=events!$AN89)*(game_rosters!$J:$J=events!$X89))&gt;0,1,""),"")</f>
        <v>1</v>
      </c>
      <c r="AA89">
        <f t="shared" si="51"/>
        <v>1044</v>
      </c>
      <c r="AB89" t="str">
        <f t="shared" si="52"/>
        <v/>
      </c>
      <c r="AC89">
        <f t="shared" si="49"/>
        <v>1044</v>
      </c>
      <c r="AD89" s="6">
        <v>1</v>
      </c>
      <c r="AE89" t="s">
        <v>909</v>
      </c>
      <c r="AF89" t="s">
        <v>905</v>
      </c>
      <c r="AG89" t="s">
        <v>909</v>
      </c>
      <c r="AH89" t="s">
        <v>915</v>
      </c>
      <c r="AI89" t="s">
        <v>367</v>
      </c>
      <c r="AJ89" t="str">
        <f t="shared" si="77"/>
        <v/>
      </c>
      <c r="AK89" t="str">
        <f t="shared" si="77"/>
        <v/>
      </c>
      <c r="AL89" t="str">
        <f t="shared" si="54"/>
        <v/>
      </c>
      <c r="AN89" t="s">
        <v>862</v>
      </c>
      <c r="AO89" t="str">
        <f t="shared" si="55"/>
        <v>a</v>
      </c>
      <c r="AP89" t="str">
        <f t="shared" si="62"/>
        <v/>
      </c>
      <c r="AQ89" t="str">
        <f t="shared" si="63"/>
        <v/>
      </c>
      <c r="AR89" t="str">
        <f t="shared" si="64"/>
        <v>Away</v>
      </c>
      <c r="AS89" t="str">
        <f t="shared" si="65"/>
        <v>a</v>
      </c>
      <c r="AT89" t="str">
        <f t="shared" si="66"/>
        <v>Offensive</v>
      </c>
      <c r="BA89" s="6">
        <f t="shared" si="56"/>
        <v>20</v>
      </c>
      <c r="BB89">
        <f t="shared" si="57"/>
        <v>18981</v>
      </c>
      <c r="BC89" t="str">
        <f t="shared" si="58"/>
        <v>Nelson</v>
      </c>
      <c r="BD89" t="str">
        <f t="shared" si="59"/>
        <v>Velodrome</v>
      </c>
      <c r="BE89" t="s">
        <v>13</v>
      </c>
      <c r="BF89" t="s">
        <v>756</v>
      </c>
      <c r="BG89" t="s">
        <v>756</v>
      </c>
      <c r="BI89" cm="1">
        <f t="array" ref="BI89">IFERROR(_xlfn._xlws.FILTER(shifts!A:A,(shifts!B:B=events!AD89)*(shifts!AG:AG&gt;=events!BK89)*(shifts!AH:AH&lt;=events!BL89)),BI88)</f>
        <v>4</v>
      </c>
      <c r="BJ89" s="15">
        <f t="shared" si="60"/>
        <v>2</v>
      </c>
      <c r="BK89">
        <f t="shared" si="67"/>
        <v>992</v>
      </c>
      <c r="BL89">
        <f t="shared" si="68"/>
        <v>990</v>
      </c>
      <c r="BM89" s="15">
        <f>SUMIFS(BJ$2:BJ89,K$2:K89,"=Intermission")+SUMIFS(BJ$2:BJ89,K$2:K89,"=Timeout")</f>
        <v>0</v>
      </c>
      <c r="BN89">
        <f t="shared" si="69"/>
        <v>0</v>
      </c>
      <c r="BO89" s="19">
        <f t="shared" si="70"/>
        <v>88</v>
      </c>
      <c r="BP89">
        <f t="shared" si="71"/>
        <v>83</v>
      </c>
      <c r="BQ89" s="17">
        <f t="shared" si="72"/>
        <v>90</v>
      </c>
      <c r="BR89" t="str">
        <f t="shared" si="73"/>
        <v>event_team_player_1</v>
      </c>
      <c r="BS89">
        <f>COUNTIFS(S$3:S89,"="&amp;S89,AI$3:AI89,"="&amp;AI89)</f>
        <v>1</v>
      </c>
      <c r="BT89" t="str">
        <f>IFERROR(VLOOKUP(BB89&amp;BU89&amp;X89,game_rosters!U:W,3,FALSE),"")</f>
        <v>P100002</v>
      </c>
      <c r="BU89" t="str">
        <f t="shared" si="74"/>
        <v>Velodrome</v>
      </c>
    </row>
    <row r="90" spans="1:73" x14ac:dyDescent="0.2">
      <c r="A90">
        <f t="shared" si="61"/>
        <v>1</v>
      </c>
      <c r="E90" s="4"/>
      <c r="F90" s="43"/>
      <c r="G90" s="4"/>
      <c r="H90" s="46"/>
      <c r="J90" s="44" t="str">
        <f t="shared" si="75"/>
        <v/>
      </c>
      <c r="K90" t="s">
        <v>13</v>
      </c>
      <c r="L90" t="s">
        <v>756</v>
      </c>
      <c r="M90" t="s">
        <v>756</v>
      </c>
      <c r="N90" t="str">
        <f t="shared" si="78"/>
        <v/>
      </c>
      <c r="Q90" t="str">
        <f t="shared" si="76"/>
        <v/>
      </c>
      <c r="S90">
        <v>44</v>
      </c>
      <c r="U90" t="str">
        <f>IF(B90=1,MAX($U$2:$U89)+1,IF(AND($T90&lt;&gt;"",$T90=$T89),$U89,IF(B90="x",U89,"")))</f>
        <v/>
      </c>
      <c r="V90" t="str">
        <f>IF(C90=1,MAX($V$2:$V89)+1,IF(AND($T90&lt;&gt;"",$T90=$T89),$U89,IF(C90="x",V89,"")))</f>
        <v/>
      </c>
      <c r="W90" t="str">
        <f t="shared" si="50"/>
        <v>a</v>
      </c>
      <c r="X90">
        <v>44</v>
      </c>
      <c r="Y90" t="b">
        <f>IF(X90&lt;&gt;"",VLOOKUP(X90,game_rosters!$C$43:$E$64,3,FALSE))</f>
        <v>0</v>
      </c>
      <c r="Z90" t="str" cm="1">
        <f t="array" ref="Z90">IFERROR(IF(_xlfn._xlws.FILTER(game_rosters!$J:$J,(game_rosters!$G:$G=events!$AN90)*(game_rosters!$J:$J=events!$X90))&gt;0,1,""),"")</f>
        <v/>
      </c>
      <c r="AA90">
        <f t="shared" si="51"/>
        <v>1044</v>
      </c>
      <c r="AB90" t="str">
        <f t="shared" si="52"/>
        <v/>
      </c>
      <c r="AC90">
        <f t="shared" si="49"/>
        <v>1044</v>
      </c>
      <c r="AD90" s="6">
        <v>1</v>
      </c>
      <c r="AE90" t="s">
        <v>909</v>
      </c>
      <c r="AF90" t="s">
        <v>905</v>
      </c>
      <c r="AG90" t="s">
        <v>909</v>
      </c>
      <c r="AH90" t="s">
        <v>915</v>
      </c>
      <c r="AI90" t="s">
        <v>368</v>
      </c>
      <c r="AJ90" t="str">
        <f t="shared" si="77"/>
        <v/>
      </c>
      <c r="AK90" t="str">
        <f t="shared" si="77"/>
        <v/>
      </c>
      <c r="AL90" t="str">
        <f t="shared" si="54"/>
        <v/>
      </c>
      <c r="AN90" t="s">
        <v>862</v>
      </c>
      <c r="AO90" t="str">
        <f t="shared" si="55"/>
        <v>a</v>
      </c>
      <c r="AP90" t="str">
        <f t="shared" si="62"/>
        <v/>
      </c>
      <c r="AQ90" t="str">
        <f t="shared" si="63"/>
        <v/>
      </c>
      <c r="AR90" t="str">
        <f t="shared" si="64"/>
        <v>Away</v>
      </c>
      <c r="AS90" t="str">
        <f t="shared" si="65"/>
        <v>a</v>
      </c>
      <c r="AT90" t="str">
        <f t="shared" si="66"/>
        <v>Defensive</v>
      </c>
      <c r="BA90" s="6">
        <f t="shared" si="56"/>
        <v>20</v>
      </c>
      <c r="BB90">
        <f t="shared" si="57"/>
        <v>18981</v>
      </c>
      <c r="BC90" t="str">
        <f t="shared" si="58"/>
        <v>Nelson</v>
      </c>
      <c r="BD90" t="str">
        <f t="shared" si="59"/>
        <v>Velodrome</v>
      </c>
      <c r="BE90" t="s">
        <v>13</v>
      </c>
      <c r="BF90" t="s">
        <v>756</v>
      </c>
      <c r="BG90" t="s">
        <v>756</v>
      </c>
      <c r="BI90" cm="1">
        <f t="array" ref="BI90">IFERROR(_xlfn._xlws.FILTER(shifts!A:A,(shifts!B:B=events!AD90)*(shifts!AG:AG&gt;=events!BK90)*(shifts!AH:AH&lt;=events!BL90)),BI89)</f>
        <v>4</v>
      </c>
      <c r="BJ90" s="15">
        <f t="shared" si="60"/>
        <v>2</v>
      </c>
      <c r="BK90">
        <f t="shared" si="67"/>
        <v>992</v>
      </c>
      <c r="BL90">
        <f t="shared" si="68"/>
        <v>990</v>
      </c>
      <c r="BM90" s="15">
        <f>SUMIFS(BJ$2:BJ90,K$2:K90,"=Intermission")+SUMIFS(BJ$2:BJ90,K$2:K90,"=Timeout")</f>
        <v>0</v>
      </c>
      <c r="BN90">
        <f t="shared" si="69"/>
        <v>0</v>
      </c>
      <c r="BO90" s="19">
        <f t="shared" si="70"/>
        <v>88</v>
      </c>
      <c r="BP90">
        <f t="shared" si="71"/>
        <v>83</v>
      </c>
      <c r="BQ90" s="17">
        <f t="shared" si="72"/>
        <v>90</v>
      </c>
      <c r="BR90" t="str">
        <f t="shared" si="73"/>
        <v>opp_team_player_1</v>
      </c>
      <c r="BS90">
        <f>COUNTIFS(S$3:S90,"="&amp;S90,AI$3:AI90,"="&amp;AI90)</f>
        <v>1</v>
      </c>
      <c r="BT90" t="str">
        <f>IFERROR(VLOOKUP(BB90&amp;BU90&amp;X90,game_rosters!U:W,3,FALSE),"")</f>
        <v>P100079</v>
      </c>
      <c r="BU90" t="str">
        <f t="shared" si="74"/>
        <v>Nelson</v>
      </c>
    </row>
    <row r="91" spans="1:73" x14ac:dyDescent="0.2">
      <c r="A91">
        <f t="shared" si="61"/>
        <v>1</v>
      </c>
      <c r="E91" s="4"/>
      <c r="F91" s="43"/>
      <c r="G91" s="4"/>
      <c r="H91" s="46"/>
      <c r="J91" s="44" t="str">
        <f t="shared" si="75"/>
        <v/>
      </c>
      <c r="K91" t="s">
        <v>7</v>
      </c>
      <c r="L91" t="s">
        <v>182</v>
      </c>
      <c r="M91" t="s">
        <v>66</v>
      </c>
      <c r="N91" t="str">
        <f t="shared" si="78"/>
        <v>u</v>
      </c>
      <c r="Q91" t="str">
        <f t="shared" si="76"/>
        <v/>
      </c>
      <c r="S91">
        <v>45</v>
      </c>
      <c r="U91" t="str">
        <f>IF(B91=1,MAX($U$2:$U90)+1,IF(AND($T91&lt;&gt;"",$T91=$T90),$U90,IF(B91="x",U90,"")))</f>
        <v/>
      </c>
      <c r="V91" t="str">
        <f>IF(C91=1,MAX($V$2:$V90)+1,IF(AND($T91&lt;&gt;"",$T91=$T90),$U90,IF(C91="x",V90,"")))</f>
        <v/>
      </c>
      <c r="W91" t="str">
        <f t="shared" si="50"/>
        <v>a</v>
      </c>
      <c r="X91">
        <v>91</v>
      </c>
      <c r="Y91" t="e">
        <f>IF(X91&lt;&gt;"",VLOOKUP(X91,game_rosters!$C$43:$E$64,3,FALSE))</f>
        <v>#N/A</v>
      </c>
      <c r="Z91" cm="1">
        <f t="array" ref="Z91">IFERROR(IF(_xlfn._xlws.FILTER(game_rosters!$J:$J,(game_rosters!$G:$G=events!$AN91)*(game_rosters!$J:$J=events!$X91))&gt;0,1,""),"")</f>
        <v>1</v>
      </c>
      <c r="AA91">
        <f t="shared" si="51"/>
        <v>1045</v>
      </c>
      <c r="AB91" t="str">
        <f t="shared" si="52"/>
        <v/>
      </c>
      <c r="AC91">
        <f t="shared" si="49"/>
        <v>1045</v>
      </c>
      <c r="AD91" s="6">
        <v>1</v>
      </c>
      <c r="AE91" t="s">
        <v>909</v>
      </c>
      <c r="AF91" t="s">
        <v>915</v>
      </c>
      <c r="AG91" t="s">
        <v>756</v>
      </c>
      <c r="AH91" t="s">
        <v>756</v>
      </c>
      <c r="AI91" t="s">
        <v>367</v>
      </c>
      <c r="AJ91" t="str">
        <f t="shared" si="77"/>
        <v/>
      </c>
      <c r="AK91" t="str">
        <f t="shared" si="77"/>
        <v/>
      </c>
      <c r="AL91" t="str">
        <f t="shared" si="54"/>
        <v/>
      </c>
      <c r="AN91" t="s">
        <v>862</v>
      </c>
      <c r="AO91" t="str">
        <f t="shared" si="55"/>
        <v>a</v>
      </c>
      <c r="AP91" t="str">
        <f t="shared" si="62"/>
        <v/>
      </c>
      <c r="AQ91" t="str">
        <f t="shared" si="63"/>
        <v/>
      </c>
      <c r="AR91" t="str">
        <f t="shared" si="64"/>
        <v>Away</v>
      </c>
      <c r="AS91" t="str">
        <f t="shared" si="65"/>
        <v>a</v>
      </c>
      <c r="AT91" t="str">
        <f t="shared" si="66"/>
        <v>Offensive</v>
      </c>
      <c r="BA91" s="6">
        <f t="shared" si="56"/>
        <v>20</v>
      </c>
      <c r="BB91">
        <f t="shared" si="57"/>
        <v>18981</v>
      </c>
      <c r="BC91" t="str">
        <f t="shared" si="58"/>
        <v>Nelson</v>
      </c>
      <c r="BD91" t="str">
        <f t="shared" si="59"/>
        <v>Velodrome</v>
      </c>
      <c r="BE91" t="s">
        <v>7</v>
      </c>
      <c r="BF91" t="s">
        <v>182</v>
      </c>
      <c r="BG91" t="s">
        <v>66</v>
      </c>
      <c r="BI91" cm="1">
        <f t="array" ref="BI91">IFERROR(_xlfn._xlws.FILTER(shifts!A:A,(shifts!B:B=events!AD91)*(shifts!AG:AG&gt;=events!BK91)*(shifts!AH:AH&lt;=events!BL91)),BI90)</f>
        <v>4</v>
      </c>
      <c r="BJ91" s="15">
        <f t="shared" si="60"/>
        <v>0</v>
      </c>
      <c r="BK91">
        <f t="shared" si="67"/>
        <v>990</v>
      </c>
      <c r="BL91">
        <f t="shared" si="68"/>
        <v>990</v>
      </c>
      <c r="BM91" s="15">
        <f>SUMIFS(BJ$2:BJ91,K$2:K91,"=Intermission")+SUMIFS(BJ$2:BJ91,K$2:K91,"=Timeout")</f>
        <v>0</v>
      </c>
      <c r="BN91">
        <f t="shared" si="69"/>
        <v>0</v>
      </c>
      <c r="BO91" s="19">
        <f t="shared" si="70"/>
        <v>90</v>
      </c>
      <c r="BP91">
        <f t="shared" si="71"/>
        <v>85</v>
      </c>
      <c r="BQ91" s="17">
        <f t="shared" si="72"/>
        <v>90</v>
      </c>
      <c r="BR91" t="str">
        <f t="shared" si="73"/>
        <v>event_team_player_1</v>
      </c>
      <c r="BS91">
        <f>COUNTIFS(S$3:S91,"="&amp;S91,AI$3:AI91,"="&amp;AI91)</f>
        <v>1</v>
      </c>
      <c r="BT91" t="str">
        <f>IFERROR(VLOOKUP(BB91&amp;BU91&amp;X91,game_rosters!U:W,3,FALSE),"")</f>
        <v>P100002</v>
      </c>
      <c r="BU91" t="str">
        <f t="shared" si="74"/>
        <v>Velodrome</v>
      </c>
    </row>
    <row r="92" spans="1:73" x14ac:dyDescent="0.2">
      <c r="A92">
        <f t="shared" si="61"/>
        <v>1</v>
      </c>
      <c r="E92" s="4"/>
      <c r="F92" s="43"/>
      <c r="G92" s="4"/>
      <c r="H92" s="46"/>
      <c r="J92" s="44" t="str">
        <f t="shared" si="75"/>
        <v/>
      </c>
      <c r="K92" t="s">
        <v>238</v>
      </c>
      <c r="L92" t="s">
        <v>193</v>
      </c>
      <c r="M92" t="s">
        <v>91</v>
      </c>
      <c r="N92" t="str">
        <f t="shared" si="78"/>
        <v>s</v>
      </c>
      <c r="Q92" t="str">
        <f t="shared" si="76"/>
        <v/>
      </c>
      <c r="S92">
        <v>46</v>
      </c>
      <c r="U92" t="str">
        <f>IF(B92=1,MAX($U$2:$U91)+1,IF(AND($T92&lt;&gt;"",$T92=$T91),$U91,IF(B92="x",U91,"")))</f>
        <v/>
      </c>
      <c r="V92" t="str">
        <f>IF(C92=1,MAX($V$2:$V91)+1,IF(AND($T92&lt;&gt;"",$T92=$T91),$U91,IF(C92="x",V91,"")))</f>
        <v/>
      </c>
      <c r="W92" t="str">
        <f t="shared" si="50"/>
        <v>h</v>
      </c>
      <c r="X92">
        <v>80</v>
      </c>
      <c r="Y92" t="b">
        <f>IF(X92&lt;&gt;"",VLOOKUP(X92,game_rosters!$C$43:$E$64,3,FALSE))</f>
        <v>0</v>
      </c>
      <c r="Z92" cm="1">
        <f t="array" ref="Z92">IFERROR(IF(_xlfn._xlws.FILTER(game_rosters!$J:$J,(game_rosters!$G:$G=events!$AN92)*(game_rosters!$J:$J=events!$X92))&gt;0,1,""),"")</f>
        <v>1</v>
      </c>
      <c r="AA92">
        <f t="shared" si="51"/>
        <v>1046</v>
      </c>
      <c r="AB92" t="str">
        <f t="shared" si="52"/>
        <v/>
      </c>
      <c r="AC92">
        <f t="shared" si="49"/>
        <v>1046</v>
      </c>
      <c r="AD92" s="6">
        <v>1</v>
      </c>
      <c r="AE92" t="s">
        <v>909</v>
      </c>
      <c r="AF92" t="s">
        <v>916</v>
      </c>
      <c r="AG92" t="s">
        <v>756</v>
      </c>
      <c r="AH92" t="s">
        <v>756</v>
      </c>
      <c r="AI92" t="s">
        <v>367</v>
      </c>
      <c r="AJ92" t="str">
        <f t="shared" si="77"/>
        <v/>
      </c>
      <c r="AK92" t="str">
        <f t="shared" si="77"/>
        <v/>
      </c>
      <c r="AL92" t="str">
        <f t="shared" si="54"/>
        <v/>
      </c>
      <c r="AN92" t="s">
        <v>861</v>
      </c>
      <c r="AO92" t="str">
        <f t="shared" si="55"/>
        <v>h</v>
      </c>
      <c r="AP92" t="str">
        <f t="shared" si="62"/>
        <v/>
      </c>
      <c r="AQ92" t="str">
        <f t="shared" si="63"/>
        <v/>
      </c>
      <c r="AR92" t="str">
        <f t="shared" si="64"/>
        <v>Home</v>
      </c>
      <c r="AS92" t="str">
        <f t="shared" si="65"/>
        <v>h</v>
      </c>
      <c r="AT92" t="str">
        <f t="shared" si="66"/>
        <v>Offensive</v>
      </c>
      <c r="BA92" s="6">
        <f t="shared" si="56"/>
        <v>20</v>
      </c>
      <c r="BB92">
        <f t="shared" si="57"/>
        <v>18981</v>
      </c>
      <c r="BC92" t="str">
        <f t="shared" si="58"/>
        <v>Nelson</v>
      </c>
      <c r="BD92" t="str">
        <f t="shared" si="59"/>
        <v>Velodrome</v>
      </c>
      <c r="BE92" t="s">
        <v>238</v>
      </c>
      <c r="BF92" t="s">
        <v>193</v>
      </c>
      <c r="BG92" t="s">
        <v>91</v>
      </c>
      <c r="BI92" cm="1">
        <f t="array" ref="BI92">IFERROR(_xlfn._xlws.FILTER(shifts!A:A,(shifts!B:B=events!AD92)*(shifts!AG:AG&gt;=events!BK92)*(shifts!AH:AH&lt;=events!BL92)),BI91)</f>
        <v>4</v>
      </c>
      <c r="BJ92" s="15">
        <f t="shared" si="60"/>
        <v>0</v>
      </c>
      <c r="BK92">
        <f t="shared" si="67"/>
        <v>987</v>
      </c>
      <c r="BL92">
        <f t="shared" si="68"/>
        <v>987</v>
      </c>
      <c r="BM92" s="15">
        <f>SUMIFS(BJ$2:BJ92,K$2:K92,"=Intermission")+SUMIFS(BJ$2:BJ92,K$2:K92,"=Timeout")</f>
        <v>0</v>
      </c>
      <c r="BN92">
        <f t="shared" si="69"/>
        <v>0</v>
      </c>
      <c r="BO92" s="19">
        <f t="shared" si="70"/>
        <v>93</v>
      </c>
      <c r="BP92">
        <f t="shared" si="71"/>
        <v>88</v>
      </c>
      <c r="BQ92" s="17">
        <f t="shared" si="72"/>
        <v>93</v>
      </c>
      <c r="BR92" t="str">
        <f t="shared" si="73"/>
        <v>event_team_player_1</v>
      </c>
      <c r="BS92">
        <f>COUNTIFS(S$3:S92,"="&amp;S92,AI$3:AI92,"="&amp;AI92)</f>
        <v>1</v>
      </c>
      <c r="BT92" t="str">
        <f>IFERROR(VLOOKUP(BB92&amp;BU92&amp;X92,game_rosters!U:W,3,FALSE),"")</f>
        <v>P100197</v>
      </c>
      <c r="BU92" t="str">
        <f t="shared" si="74"/>
        <v>Nelson</v>
      </c>
    </row>
    <row r="93" spans="1:73" x14ac:dyDescent="0.2">
      <c r="A93">
        <f t="shared" si="61"/>
        <v>1</v>
      </c>
      <c r="E93" s="4"/>
      <c r="F93" s="43"/>
      <c r="G93" s="4"/>
      <c r="H93" s="46"/>
      <c r="J93" s="44" t="str">
        <f t="shared" si="75"/>
        <v/>
      </c>
      <c r="K93" t="s">
        <v>13</v>
      </c>
      <c r="L93" t="s">
        <v>756</v>
      </c>
      <c r="M93" t="s">
        <v>756</v>
      </c>
      <c r="N93" t="str">
        <f t="shared" si="78"/>
        <v/>
      </c>
      <c r="Q93" t="str">
        <f t="shared" si="76"/>
        <v/>
      </c>
      <c r="S93">
        <v>47</v>
      </c>
      <c r="U93" t="str">
        <f>IF(B93=1,MAX($U$2:$U92)+1,IF(AND($T93&lt;&gt;"",$T93=$T92),$U92,IF(B93="x",U92,"")))</f>
        <v/>
      </c>
      <c r="V93" t="str">
        <f>IF(C93=1,MAX($V$2:$V92)+1,IF(AND($T93&lt;&gt;"",$T93=$T92),$U92,IF(C93="x",V92,"")))</f>
        <v/>
      </c>
      <c r="W93" t="str">
        <f t="shared" si="50"/>
        <v>a</v>
      </c>
      <c r="X93">
        <v>52</v>
      </c>
      <c r="Y93" t="e">
        <f>IF(X93&lt;&gt;"",VLOOKUP(X93,game_rosters!$C$43:$E$64,3,FALSE))</f>
        <v>#N/A</v>
      </c>
      <c r="Z93" cm="1">
        <f t="array" ref="Z93">IFERROR(IF(_xlfn._xlws.FILTER(game_rosters!$J:$J,(game_rosters!$G:$G=events!$AN93)*(game_rosters!$J:$J=events!$X93))&gt;0,1,""),"")</f>
        <v>1</v>
      </c>
      <c r="AA93">
        <f t="shared" si="51"/>
        <v>1047</v>
      </c>
      <c r="AB93" t="str">
        <f t="shared" si="52"/>
        <v/>
      </c>
      <c r="AC93">
        <f t="shared" si="49"/>
        <v>1047</v>
      </c>
      <c r="AD93" s="6">
        <v>1</v>
      </c>
      <c r="AE93" t="s">
        <v>909</v>
      </c>
      <c r="AF93" t="s">
        <v>740</v>
      </c>
      <c r="AG93" t="s">
        <v>909</v>
      </c>
      <c r="AH93" t="s">
        <v>917</v>
      </c>
      <c r="AI93" t="s">
        <v>367</v>
      </c>
      <c r="AJ93" t="str">
        <f t="shared" si="77"/>
        <v/>
      </c>
      <c r="AK93" t="str">
        <f t="shared" si="77"/>
        <v/>
      </c>
      <c r="AL93" t="str">
        <f t="shared" si="54"/>
        <v/>
      </c>
      <c r="AN93" t="s">
        <v>862</v>
      </c>
      <c r="AO93" t="str">
        <f t="shared" si="55"/>
        <v>a</v>
      </c>
      <c r="AP93" t="str">
        <f t="shared" si="62"/>
        <v/>
      </c>
      <c r="AQ93" t="str">
        <f t="shared" si="63"/>
        <v/>
      </c>
      <c r="AR93" t="str">
        <f t="shared" si="64"/>
        <v>Away</v>
      </c>
      <c r="AS93" t="str">
        <f t="shared" si="65"/>
        <v>a</v>
      </c>
      <c r="AT93" t="str">
        <f t="shared" si="66"/>
        <v>Offensive</v>
      </c>
      <c r="BA93" s="6">
        <f t="shared" si="56"/>
        <v>20</v>
      </c>
      <c r="BB93">
        <f t="shared" si="57"/>
        <v>18981</v>
      </c>
      <c r="BC93" t="str">
        <f t="shared" si="58"/>
        <v>Nelson</v>
      </c>
      <c r="BD93" t="str">
        <f t="shared" si="59"/>
        <v>Velodrome</v>
      </c>
      <c r="BE93" t="s">
        <v>13</v>
      </c>
      <c r="BF93" t="s">
        <v>756</v>
      </c>
      <c r="BG93" t="s">
        <v>756</v>
      </c>
      <c r="BI93" cm="1">
        <f t="array" ref="BI93">IFERROR(_xlfn._xlws.FILTER(shifts!A:A,(shifts!B:B=events!AD93)*(shifts!AG:AG&gt;=events!BK93)*(shifts!AH:AH&lt;=events!BL93)),BI92)</f>
        <v>4</v>
      </c>
      <c r="BJ93" s="15">
        <f t="shared" si="60"/>
        <v>2</v>
      </c>
      <c r="BK93">
        <f t="shared" si="67"/>
        <v>985</v>
      </c>
      <c r="BL93">
        <f t="shared" si="68"/>
        <v>983</v>
      </c>
      <c r="BM93" s="15">
        <f>SUMIFS(BJ$2:BJ93,K$2:K93,"=Intermission")+SUMIFS(BJ$2:BJ93,K$2:K93,"=Timeout")</f>
        <v>0</v>
      </c>
      <c r="BN93">
        <f t="shared" si="69"/>
        <v>0</v>
      </c>
      <c r="BO93" s="19">
        <f t="shared" si="70"/>
        <v>95</v>
      </c>
      <c r="BP93">
        <f t="shared" si="71"/>
        <v>90</v>
      </c>
      <c r="BQ93" s="17">
        <f t="shared" si="72"/>
        <v>97</v>
      </c>
      <c r="BR93" t="str">
        <f t="shared" si="73"/>
        <v>event_team_player_1</v>
      </c>
      <c r="BS93">
        <f>COUNTIFS(S$3:S93,"="&amp;S93,AI$3:AI93,"="&amp;AI93)</f>
        <v>1</v>
      </c>
      <c r="BT93" t="str">
        <f>IFERROR(VLOOKUP(BB93&amp;BU93&amp;X93,game_rosters!U:W,3,FALSE),"")</f>
        <v>P100070</v>
      </c>
      <c r="BU93" t="str">
        <f t="shared" si="74"/>
        <v>Velodrome</v>
      </c>
    </row>
    <row r="94" spans="1:73" x14ac:dyDescent="0.2">
      <c r="A94">
        <f t="shared" si="61"/>
        <v>1</v>
      </c>
      <c r="E94" s="4"/>
      <c r="F94" s="43"/>
      <c r="G94" s="4"/>
      <c r="H94" s="46"/>
      <c r="J94" s="44" t="str">
        <f t="shared" si="75"/>
        <v/>
      </c>
      <c r="K94" t="s">
        <v>7</v>
      </c>
      <c r="L94" t="s">
        <v>172</v>
      </c>
      <c r="M94" t="s">
        <v>65</v>
      </c>
      <c r="N94" t="str">
        <f t="shared" si="78"/>
        <v>s</v>
      </c>
      <c r="Q94" t="str">
        <f t="shared" si="76"/>
        <v/>
      </c>
      <c r="S94">
        <v>48</v>
      </c>
      <c r="U94" t="str">
        <f>IF(B94=1,MAX($U$2:$U93)+1,IF(AND($T94&lt;&gt;"",$T94=$T93),$U93,IF(B94="x",U93,"")))</f>
        <v/>
      </c>
      <c r="V94" t="str">
        <f>IF(C94=1,MAX($V$2:$V93)+1,IF(AND($T94&lt;&gt;"",$T94=$T93),$U93,IF(C94="x",V93,"")))</f>
        <v/>
      </c>
      <c r="W94" t="str">
        <f t="shared" si="50"/>
        <v>a</v>
      </c>
      <c r="X94">
        <v>52</v>
      </c>
      <c r="Y94" t="e">
        <f>IF(X94&lt;&gt;"",VLOOKUP(X94,game_rosters!$C$43:$E$64,3,FALSE))</f>
        <v>#N/A</v>
      </c>
      <c r="Z94" cm="1">
        <f t="array" ref="Z94">IFERROR(IF(_xlfn._xlws.FILTER(game_rosters!$J:$J,(game_rosters!$G:$G=events!$AN94)*(game_rosters!$J:$J=events!$X94))&gt;0,1,""),"")</f>
        <v>1</v>
      </c>
      <c r="AA94">
        <f t="shared" si="51"/>
        <v>1048</v>
      </c>
      <c r="AB94" t="str">
        <f t="shared" si="52"/>
        <v/>
      </c>
      <c r="AC94">
        <f t="shared" si="49"/>
        <v>1048</v>
      </c>
      <c r="AD94" s="6">
        <v>1</v>
      </c>
      <c r="AE94" t="s">
        <v>909</v>
      </c>
      <c r="AF94" t="s">
        <v>917</v>
      </c>
      <c r="AG94" t="s">
        <v>756</v>
      </c>
      <c r="AH94" t="s">
        <v>756</v>
      </c>
      <c r="AI94" t="s">
        <v>367</v>
      </c>
      <c r="AJ94" t="str">
        <f t="shared" si="77"/>
        <v/>
      </c>
      <c r="AK94" t="str">
        <f t="shared" si="77"/>
        <v/>
      </c>
      <c r="AL94" t="str">
        <f t="shared" si="54"/>
        <v/>
      </c>
      <c r="AN94" t="s">
        <v>862</v>
      </c>
      <c r="AO94" t="str">
        <f t="shared" si="55"/>
        <v>a</v>
      </c>
      <c r="AP94" t="str">
        <f t="shared" si="62"/>
        <v/>
      </c>
      <c r="AQ94" t="str">
        <f t="shared" si="63"/>
        <v/>
      </c>
      <c r="AR94" t="str">
        <f t="shared" si="64"/>
        <v>Away</v>
      </c>
      <c r="AS94" t="str">
        <f t="shared" si="65"/>
        <v>a</v>
      </c>
      <c r="AT94" t="str">
        <f t="shared" si="66"/>
        <v>Offensive</v>
      </c>
      <c r="BA94" s="6">
        <f t="shared" si="56"/>
        <v>20</v>
      </c>
      <c r="BB94">
        <f t="shared" si="57"/>
        <v>18981</v>
      </c>
      <c r="BC94" t="str">
        <f t="shared" si="58"/>
        <v>Nelson</v>
      </c>
      <c r="BD94" t="str">
        <f t="shared" si="59"/>
        <v>Velodrome</v>
      </c>
      <c r="BE94" t="s">
        <v>7</v>
      </c>
      <c r="BF94" t="s">
        <v>172</v>
      </c>
      <c r="BG94" t="s">
        <v>65</v>
      </c>
      <c r="BI94" cm="1">
        <f t="array" ref="BI94">IFERROR(_xlfn._xlws.FILTER(shifts!A:A,(shifts!B:B=events!AD94)*(shifts!AG:AG&gt;=events!BK94)*(shifts!AH:AH&lt;=events!BL94)),BI93)</f>
        <v>4</v>
      </c>
      <c r="BJ94" s="15">
        <f t="shared" si="60"/>
        <v>0</v>
      </c>
      <c r="BK94">
        <f t="shared" si="67"/>
        <v>983</v>
      </c>
      <c r="BL94">
        <f t="shared" si="68"/>
        <v>983</v>
      </c>
      <c r="BM94" s="15">
        <f>SUMIFS(BJ$2:BJ94,K$2:K94,"=Intermission")+SUMIFS(BJ$2:BJ94,K$2:K94,"=Timeout")</f>
        <v>0</v>
      </c>
      <c r="BN94">
        <f t="shared" si="69"/>
        <v>0</v>
      </c>
      <c r="BO94" s="19">
        <f t="shared" si="70"/>
        <v>97</v>
      </c>
      <c r="BP94">
        <f t="shared" si="71"/>
        <v>92</v>
      </c>
      <c r="BQ94" s="17">
        <f t="shared" si="72"/>
        <v>97</v>
      </c>
      <c r="BR94" t="str">
        <f t="shared" si="73"/>
        <v>event_team_player_1</v>
      </c>
      <c r="BS94">
        <f>COUNTIFS(S$3:S94,"="&amp;S94,AI$3:AI94,"="&amp;AI94)</f>
        <v>1</v>
      </c>
      <c r="BT94" t="str">
        <f>IFERROR(VLOOKUP(BB94&amp;BU94&amp;X94,game_rosters!U:W,3,FALSE),"")</f>
        <v>P100070</v>
      </c>
      <c r="BU94" t="str">
        <f t="shared" si="74"/>
        <v>Velodrome</v>
      </c>
    </row>
    <row r="95" spans="1:73" x14ac:dyDescent="0.2">
      <c r="A95">
        <f t="shared" si="61"/>
        <v>1</v>
      </c>
      <c r="E95" s="4"/>
      <c r="F95" s="43"/>
      <c r="G95" s="4"/>
      <c r="H95" s="46"/>
      <c r="J95" s="44" t="str">
        <f t="shared" si="75"/>
        <v/>
      </c>
      <c r="K95" t="s">
        <v>7</v>
      </c>
      <c r="L95" t="s">
        <v>172</v>
      </c>
      <c r="M95" t="s">
        <v>65</v>
      </c>
      <c r="N95" t="str">
        <f t="shared" si="78"/>
        <v>s</v>
      </c>
      <c r="Q95" t="str">
        <f t="shared" si="76"/>
        <v/>
      </c>
      <c r="S95">
        <v>48</v>
      </c>
      <c r="U95" t="str">
        <f>IF(B95=1,MAX($U$2:$U94)+1,IF(AND($T95&lt;&gt;"",$T95=$T94),$U94,IF(B95="x",U94,"")))</f>
        <v/>
      </c>
      <c r="V95" t="str">
        <f>IF(C95=1,MAX($V$2:$V94)+1,IF(AND($T95&lt;&gt;"",$T95=$T94),$U94,IF(C95="x",V94,"")))</f>
        <v/>
      </c>
      <c r="W95" t="str">
        <f t="shared" si="50"/>
        <v>a</v>
      </c>
      <c r="X95">
        <v>91</v>
      </c>
      <c r="Y95" t="e">
        <f>IF(X95&lt;&gt;"",VLOOKUP(X95,game_rosters!$C$43:$E$64,3,FALSE))</f>
        <v>#N/A</v>
      </c>
      <c r="Z95" cm="1">
        <f t="array" ref="Z95">IFERROR(IF(_xlfn._xlws.FILTER(game_rosters!$J:$J,(game_rosters!$G:$G=events!$AN95)*(game_rosters!$J:$J=events!$X95))&gt;0,1,""),"")</f>
        <v>1</v>
      </c>
      <c r="AA95">
        <f t="shared" si="51"/>
        <v>1048</v>
      </c>
      <c r="AB95" t="str">
        <f t="shared" si="52"/>
        <v/>
      </c>
      <c r="AC95">
        <f t="shared" si="49"/>
        <v>1048</v>
      </c>
      <c r="AD95" s="6">
        <v>1</v>
      </c>
      <c r="AE95" t="s">
        <v>909</v>
      </c>
      <c r="AF95" t="s">
        <v>917</v>
      </c>
      <c r="AG95" t="s">
        <v>756</v>
      </c>
      <c r="AH95" t="s">
        <v>756</v>
      </c>
      <c r="AI95" t="s">
        <v>367</v>
      </c>
      <c r="AJ95" t="str">
        <f t="shared" si="77"/>
        <v/>
      </c>
      <c r="AK95" t="str">
        <f t="shared" si="77"/>
        <v/>
      </c>
      <c r="AL95" t="str">
        <f t="shared" si="54"/>
        <v/>
      </c>
      <c r="AN95" t="s">
        <v>862</v>
      </c>
      <c r="AO95" t="str">
        <f t="shared" si="55"/>
        <v>a</v>
      </c>
      <c r="AP95" t="str">
        <f t="shared" si="62"/>
        <v/>
      </c>
      <c r="AQ95" t="str">
        <f t="shared" si="63"/>
        <v/>
      </c>
      <c r="AR95" t="str">
        <f t="shared" si="64"/>
        <v>Away</v>
      </c>
      <c r="AS95" t="str">
        <f t="shared" si="65"/>
        <v>a</v>
      </c>
      <c r="AT95" t="str">
        <f t="shared" si="66"/>
        <v>Offensive</v>
      </c>
      <c r="BA95" s="6">
        <f t="shared" si="56"/>
        <v>20</v>
      </c>
      <c r="BB95">
        <f t="shared" si="57"/>
        <v>18981</v>
      </c>
      <c r="BC95" t="str">
        <f t="shared" si="58"/>
        <v>Nelson</v>
      </c>
      <c r="BD95" t="str">
        <f t="shared" si="59"/>
        <v>Velodrome</v>
      </c>
      <c r="BE95" t="s">
        <v>7</v>
      </c>
      <c r="BF95" t="s">
        <v>172</v>
      </c>
      <c r="BG95" t="s">
        <v>65</v>
      </c>
      <c r="BI95" cm="1">
        <f t="array" ref="BI95">IFERROR(_xlfn._xlws.FILTER(shifts!A:A,(shifts!B:B=events!AD95)*(shifts!AG:AG&gt;=events!BK95)*(shifts!AH:AH&lt;=events!BL95)),BI94)</f>
        <v>4</v>
      </c>
      <c r="BJ95" s="15">
        <f t="shared" si="60"/>
        <v>0</v>
      </c>
      <c r="BK95">
        <f t="shared" si="67"/>
        <v>983</v>
      </c>
      <c r="BL95">
        <f t="shared" si="68"/>
        <v>983</v>
      </c>
      <c r="BM95" s="15">
        <f>SUMIFS(BJ$2:BJ95,K$2:K95,"=Intermission")+SUMIFS(BJ$2:BJ95,K$2:K95,"=Timeout")</f>
        <v>0</v>
      </c>
      <c r="BN95">
        <f t="shared" si="69"/>
        <v>0</v>
      </c>
      <c r="BO95" s="19">
        <f t="shared" si="70"/>
        <v>97</v>
      </c>
      <c r="BP95">
        <f t="shared" si="71"/>
        <v>92</v>
      </c>
      <c r="BQ95" s="17">
        <f t="shared" si="72"/>
        <v>97</v>
      </c>
      <c r="BR95" t="str">
        <f t="shared" si="73"/>
        <v>event_team_player_2</v>
      </c>
      <c r="BS95">
        <f>COUNTIFS(S$3:S95,"="&amp;S95,AI$3:AI95,"="&amp;AI95)</f>
        <v>2</v>
      </c>
      <c r="BT95" t="str">
        <f>IFERROR(VLOOKUP(BB95&amp;BU95&amp;X95,game_rosters!U:W,3,FALSE),"")</f>
        <v>P100002</v>
      </c>
      <c r="BU95" t="str">
        <f t="shared" si="74"/>
        <v>Velodrome</v>
      </c>
    </row>
    <row r="96" spans="1:73" x14ac:dyDescent="0.2">
      <c r="A96">
        <f t="shared" si="61"/>
        <v>1</v>
      </c>
      <c r="E96" s="4"/>
      <c r="F96" s="43"/>
      <c r="G96" s="4"/>
      <c r="H96" s="46"/>
      <c r="J96" s="44" t="str">
        <f t="shared" si="75"/>
        <v>d</v>
      </c>
      <c r="K96" t="s">
        <v>238</v>
      </c>
      <c r="L96" t="s">
        <v>184</v>
      </c>
      <c r="M96" t="s">
        <v>89</v>
      </c>
      <c r="N96" t="str">
        <f t="shared" si="78"/>
        <v>s</v>
      </c>
      <c r="Q96" t="str">
        <f t="shared" si="76"/>
        <v/>
      </c>
      <c r="S96">
        <v>49</v>
      </c>
      <c r="U96" t="str">
        <f>IF(B96=1,MAX($U$2:$U95)+1,IF(AND($T96&lt;&gt;"",$T96=$T95),$U95,IF(B96="x",U95,"")))</f>
        <v/>
      </c>
      <c r="V96" t="str">
        <f>IF(C96=1,MAX($V$2:$V95)+1,IF(AND($T96&lt;&gt;"",$T96=$T95),$U95,IF(C96="x",V95,"")))</f>
        <v/>
      </c>
      <c r="W96" t="str">
        <f t="shared" si="50"/>
        <v>a</v>
      </c>
      <c r="X96">
        <v>52</v>
      </c>
      <c r="Y96" t="e">
        <f>IF(X96&lt;&gt;"",VLOOKUP(X96,game_rosters!$C$43:$E$64,3,FALSE))</f>
        <v>#N/A</v>
      </c>
      <c r="Z96" cm="1">
        <f t="array" ref="Z96">IFERROR(IF(_xlfn._xlws.FILTER(game_rosters!$J:$J,(game_rosters!$G:$G=events!$AN96)*(game_rosters!$J:$J=events!$X96))&gt;0,1,""),"")</f>
        <v>1</v>
      </c>
      <c r="AA96">
        <f t="shared" si="51"/>
        <v>1049</v>
      </c>
      <c r="AB96" t="str">
        <f t="shared" si="52"/>
        <v/>
      </c>
      <c r="AC96">
        <f t="shared" si="49"/>
        <v>1049</v>
      </c>
      <c r="AD96" s="6">
        <v>1</v>
      </c>
      <c r="AE96" t="s">
        <v>909</v>
      </c>
      <c r="AF96" t="s">
        <v>917</v>
      </c>
      <c r="AG96" t="s">
        <v>756</v>
      </c>
      <c r="AH96" t="s">
        <v>756</v>
      </c>
      <c r="AI96" t="s">
        <v>367</v>
      </c>
      <c r="AJ96" t="str">
        <f t="shared" si="77"/>
        <v>d</v>
      </c>
      <c r="AK96" t="str">
        <f t="shared" si="77"/>
        <v>d</v>
      </c>
      <c r="AL96" t="str">
        <f t="shared" si="54"/>
        <v>o</v>
      </c>
      <c r="AN96" t="s">
        <v>862</v>
      </c>
      <c r="AO96" t="str">
        <f t="shared" si="55"/>
        <v>a</v>
      </c>
      <c r="AP96" t="str">
        <f t="shared" si="62"/>
        <v>o</v>
      </c>
      <c r="AQ96" t="str">
        <f t="shared" si="63"/>
        <v/>
      </c>
      <c r="AR96" t="str">
        <f t="shared" si="64"/>
        <v>Away</v>
      </c>
      <c r="AS96" t="str">
        <f t="shared" si="65"/>
        <v>a</v>
      </c>
      <c r="AT96" t="str">
        <f t="shared" si="66"/>
        <v>Offensive</v>
      </c>
      <c r="BA96" s="6">
        <f t="shared" si="56"/>
        <v>21</v>
      </c>
      <c r="BB96">
        <f t="shared" si="57"/>
        <v>18981</v>
      </c>
      <c r="BC96" t="str">
        <f t="shared" si="58"/>
        <v>Nelson</v>
      </c>
      <c r="BD96" t="str">
        <f t="shared" si="59"/>
        <v>Velodrome</v>
      </c>
      <c r="BE96" t="s">
        <v>238</v>
      </c>
      <c r="BF96" t="s">
        <v>184</v>
      </c>
      <c r="BG96" t="s">
        <v>89</v>
      </c>
      <c r="BI96" cm="1">
        <f t="array" ref="BI96">IFERROR(_xlfn._xlws.FILTER(shifts!A:A,(shifts!B:B=events!AD96)*(shifts!AG:AG&gt;=events!BK96)*(shifts!AH:AH&lt;=events!BL96)),BI95)</f>
        <v>4</v>
      </c>
      <c r="BJ96" s="15">
        <f t="shared" si="60"/>
        <v>0</v>
      </c>
      <c r="BK96">
        <f t="shared" si="67"/>
        <v>983</v>
      </c>
      <c r="BL96">
        <f t="shared" si="68"/>
        <v>983</v>
      </c>
      <c r="BM96" s="15">
        <f>SUMIFS(BJ$2:BJ96,K$2:K96,"=Intermission")+SUMIFS(BJ$2:BJ96,K$2:K96,"=Timeout")</f>
        <v>0</v>
      </c>
      <c r="BN96">
        <f t="shared" si="69"/>
        <v>0</v>
      </c>
      <c r="BO96" s="19">
        <f t="shared" si="70"/>
        <v>97</v>
      </c>
      <c r="BP96">
        <f t="shared" si="71"/>
        <v>92</v>
      </c>
      <c r="BQ96" s="17">
        <f t="shared" si="72"/>
        <v>97</v>
      </c>
      <c r="BR96" t="str">
        <f t="shared" si="73"/>
        <v>event_team_player_1</v>
      </c>
      <c r="BS96">
        <f>COUNTIFS(S$3:S96,"="&amp;S96,AI$3:AI96,"="&amp;AI96)</f>
        <v>1</v>
      </c>
      <c r="BT96" t="str">
        <f>IFERROR(VLOOKUP(BB96&amp;BU96&amp;X96,game_rosters!U:W,3,FALSE),"")</f>
        <v>P100070</v>
      </c>
      <c r="BU96" t="str">
        <f t="shared" si="74"/>
        <v>Velodrome</v>
      </c>
    </row>
    <row r="97" spans="1:73" x14ac:dyDescent="0.2">
      <c r="A97">
        <f t="shared" si="61"/>
        <v>1</v>
      </c>
      <c r="E97" s="4"/>
      <c r="F97" s="43"/>
      <c r="G97" s="4"/>
      <c r="H97" s="46"/>
      <c r="J97" s="44" t="str">
        <f t="shared" si="75"/>
        <v>d</v>
      </c>
      <c r="K97" t="s">
        <v>238</v>
      </c>
      <c r="L97" t="s">
        <v>184</v>
      </c>
      <c r="M97" t="s">
        <v>89</v>
      </c>
      <c r="N97" t="str">
        <f t="shared" si="78"/>
        <v>s</v>
      </c>
      <c r="Q97" t="str">
        <f t="shared" si="76"/>
        <v/>
      </c>
      <c r="S97">
        <v>49</v>
      </c>
      <c r="U97" t="str">
        <f>IF(B97=1,MAX($U$2:$U96)+1,IF(AND($T97&lt;&gt;"",$T97=$T96),$U96,IF(B97="x",U96,"")))</f>
        <v/>
      </c>
      <c r="V97" t="str">
        <f>IF(C97=1,MAX($V$2:$V96)+1,IF(AND($T97&lt;&gt;"",$T97=$T96),$U96,IF(C97="x",V96,"")))</f>
        <v/>
      </c>
      <c r="W97" t="str">
        <f t="shared" si="50"/>
        <v>a</v>
      </c>
      <c r="X97">
        <v>91</v>
      </c>
      <c r="Y97" t="e">
        <f>IF(X97&lt;&gt;"",VLOOKUP(X97,game_rosters!$C$43:$E$64,3,FALSE))</f>
        <v>#N/A</v>
      </c>
      <c r="Z97" cm="1">
        <f t="array" ref="Z97">IFERROR(IF(_xlfn._xlws.FILTER(game_rosters!$J:$J,(game_rosters!$G:$G=events!$AN97)*(game_rosters!$J:$J=events!$X97))&gt;0,1,""),"")</f>
        <v>1</v>
      </c>
      <c r="AA97">
        <f t="shared" si="51"/>
        <v>1049</v>
      </c>
      <c r="AB97" t="str">
        <f t="shared" si="52"/>
        <v/>
      </c>
      <c r="AC97">
        <f t="shared" si="49"/>
        <v>1049</v>
      </c>
      <c r="AD97" s="6">
        <v>1</v>
      </c>
      <c r="AE97" t="s">
        <v>909</v>
      </c>
      <c r="AF97" t="s">
        <v>917</v>
      </c>
      <c r="AG97" t="s">
        <v>756</v>
      </c>
      <c r="AH97" t="s">
        <v>756</v>
      </c>
      <c r="AI97" t="s">
        <v>367</v>
      </c>
      <c r="AJ97" t="str">
        <f t="shared" si="77"/>
        <v>d</v>
      </c>
      <c r="AK97" t="str">
        <f t="shared" si="77"/>
        <v>d</v>
      </c>
      <c r="AL97" t="str">
        <f t="shared" si="54"/>
        <v>o</v>
      </c>
      <c r="AN97" t="s">
        <v>862</v>
      </c>
      <c r="AO97" t="str">
        <f t="shared" si="55"/>
        <v>a</v>
      </c>
      <c r="AP97" t="str">
        <f t="shared" si="62"/>
        <v>o</v>
      </c>
      <c r="AQ97" t="str">
        <f t="shared" si="63"/>
        <v/>
      </c>
      <c r="AR97" t="str">
        <f t="shared" si="64"/>
        <v>Away</v>
      </c>
      <c r="AS97" t="str">
        <f t="shared" si="65"/>
        <v>a</v>
      </c>
      <c r="AT97" t="str">
        <f t="shared" si="66"/>
        <v>Offensive</v>
      </c>
      <c r="BA97" s="6">
        <f t="shared" si="56"/>
        <v>22</v>
      </c>
      <c r="BB97">
        <f t="shared" si="57"/>
        <v>18981</v>
      </c>
      <c r="BC97" t="str">
        <f t="shared" si="58"/>
        <v>Nelson</v>
      </c>
      <c r="BD97" t="str">
        <f t="shared" si="59"/>
        <v>Velodrome</v>
      </c>
      <c r="BE97" t="s">
        <v>238</v>
      </c>
      <c r="BF97" t="s">
        <v>184</v>
      </c>
      <c r="BG97" t="s">
        <v>89</v>
      </c>
      <c r="BI97" cm="1">
        <f t="array" ref="BI97">IFERROR(_xlfn._xlws.FILTER(shifts!A:A,(shifts!B:B=events!AD97)*(shifts!AG:AG&gt;=events!BK97)*(shifts!AH:AH&lt;=events!BL97)),BI96)</f>
        <v>4</v>
      </c>
      <c r="BJ97" s="15">
        <f t="shared" si="60"/>
        <v>0</v>
      </c>
      <c r="BK97">
        <f t="shared" si="67"/>
        <v>983</v>
      </c>
      <c r="BL97">
        <f t="shared" si="68"/>
        <v>983</v>
      </c>
      <c r="BM97" s="15">
        <f>SUMIFS(BJ$2:BJ97,K$2:K97,"=Intermission")+SUMIFS(BJ$2:BJ97,K$2:K97,"=Timeout")</f>
        <v>0</v>
      </c>
      <c r="BN97">
        <f t="shared" si="69"/>
        <v>0</v>
      </c>
      <c r="BO97" s="19">
        <f t="shared" si="70"/>
        <v>97</v>
      </c>
      <c r="BP97">
        <f t="shared" si="71"/>
        <v>92</v>
      </c>
      <c r="BQ97" s="17">
        <f t="shared" si="72"/>
        <v>97</v>
      </c>
      <c r="BR97" t="str">
        <f t="shared" si="73"/>
        <v>event_team_player_2</v>
      </c>
      <c r="BS97">
        <f>COUNTIFS(S$3:S97,"="&amp;S97,AI$3:AI97,"="&amp;AI97)</f>
        <v>2</v>
      </c>
      <c r="BT97" t="str">
        <f>IFERROR(VLOOKUP(BB97&amp;BU97&amp;X97,game_rosters!U:W,3,FALSE),"")</f>
        <v>P100002</v>
      </c>
      <c r="BU97" t="str">
        <f t="shared" si="74"/>
        <v>Velodrome</v>
      </c>
    </row>
    <row r="98" spans="1:73" x14ac:dyDescent="0.2">
      <c r="A98">
        <f t="shared" si="61"/>
        <v>1</v>
      </c>
      <c r="E98" s="4"/>
      <c r="F98" s="43"/>
      <c r="G98" s="4"/>
      <c r="H98" s="46"/>
      <c r="J98" s="44" t="str">
        <f t="shared" si="75"/>
        <v>o</v>
      </c>
      <c r="K98" t="s">
        <v>238</v>
      </c>
      <c r="L98" t="s">
        <v>174</v>
      </c>
      <c r="M98" t="s">
        <v>85</v>
      </c>
      <c r="N98" t="str">
        <f t="shared" si="78"/>
        <v>s</v>
      </c>
      <c r="Q98" t="str">
        <f t="shared" si="76"/>
        <v/>
      </c>
      <c r="S98">
        <v>50</v>
      </c>
      <c r="U98" t="str">
        <f>IF(B98=1,MAX($U$2:$U97)+1,IF(AND($T98&lt;&gt;"",$T98=$T97),$U97,IF(B98="x",U97,"")))</f>
        <v/>
      </c>
      <c r="V98" t="str">
        <f>IF(C98=1,MAX($V$2:$V97)+1,IF(AND($T98&lt;&gt;"",$T98=$T97),$U97,IF(C98="x",V97,"")))</f>
        <v/>
      </c>
      <c r="W98" t="str">
        <f t="shared" si="50"/>
        <v>a</v>
      </c>
      <c r="X98">
        <v>91</v>
      </c>
      <c r="Y98" t="e">
        <f>IF(X98&lt;&gt;"",VLOOKUP(X98,game_rosters!$C$43:$E$64,3,FALSE))</f>
        <v>#N/A</v>
      </c>
      <c r="Z98" cm="1">
        <f t="array" ref="Z98">IFERROR(IF(_xlfn._xlws.FILTER(game_rosters!$J:$J,(game_rosters!$G:$G=events!$AN98)*(game_rosters!$J:$J=events!$X98))&gt;0,1,""),"")</f>
        <v>1</v>
      </c>
      <c r="AA98">
        <f t="shared" si="51"/>
        <v>1050</v>
      </c>
      <c r="AB98" t="str">
        <f t="shared" si="52"/>
        <v/>
      </c>
      <c r="AC98">
        <f t="shared" si="49"/>
        <v>1050</v>
      </c>
      <c r="AD98" s="6">
        <v>1</v>
      </c>
      <c r="AE98" t="s">
        <v>909</v>
      </c>
      <c r="AF98" t="s">
        <v>918</v>
      </c>
      <c r="AG98" t="s">
        <v>909</v>
      </c>
      <c r="AH98" t="s">
        <v>919</v>
      </c>
      <c r="AI98" t="s">
        <v>367</v>
      </c>
      <c r="AJ98" t="str">
        <f t="shared" si="77"/>
        <v>o</v>
      </c>
      <c r="AK98" t="str">
        <f t="shared" si="77"/>
        <v>o</v>
      </c>
      <c r="AL98" t="str">
        <f t="shared" si="54"/>
        <v>d</v>
      </c>
      <c r="AN98" t="s">
        <v>862</v>
      </c>
      <c r="AO98" t="str">
        <f t="shared" si="55"/>
        <v>a</v>
      </c>
      <c r="AP98" t="str">
        <f t="shared" si="62"/>
        <v>d</v>
      </c>
      <c r="AQ98" t="str">
        <f t="shared" si="63"/>
        <v/>
      </c>
      <c r="AR98" t="str">
        <f t="shared" si="64"/>
        <v>Away</v>
      </c>
      <c r="AS98" t="str">
        <f t="shared" si="65"/>
        <v>a</v>
      </c>
      <c r="AT98" t="str">
        <f t="shared" si="66"/>
        <v>Offensive</v>
      </c>
      <c r="BA98" s="6">
        <f t="shared" si="56"/>
        <v>23</v>
      </c>
      <c r="BB98">
        <f t="shared" si="57"/>
        <v>18981</v>
      </c>
      <c r="BC98" t="str">
        <f t="shared" si="58"/>
        <v>Nelson</v>
      </c>
      <c r="BD98" t="str">
        <f t="shared" si="59"/>
        <v>Velodrome</v>
      </c>
      <c r="BE98" t="s">
        <v>238</v>
      </c>
      <c r="BF98" t="s">
        <v>174</v>
      </c>
      <c r="BG98" t="s">
        <v>85</v>
      </c>
      <c r="BI98" cm="1">
        <f t="array" ref="BI98">IFERROR(_xlfn._xlws.FILTER(shifts!A:A,(shifts!B:B=events!AD98)*(shifts!AG:AG&gt;=events!BK98)*(shifts!AH:AH&lt;=events!BL98)),BI97)</f>
        <v>4</v>
      </c>
      <c r="BJ98" s="15">
        <f t="shared" si="60"/>
        <v>2</v>
      </c>
      <c r="BK98">
        <f t="shared" si="67"/>
        <v>982</v>
      </c>
      <c r="BL98">
        <f t="shared" si="68"/>
        <v>980</v>
      </c>
      <c r="BM98" s="15">
        <f>SUMIFS(BJ$2:BJ98,K$2:K98,"=Intermission")+SUMIFS(BJ$2:BJ98,K$2:K98,"=Timeout")</f>
        <v>0</v>
      </c>
      <c r="BN98">
        <f t="shared" si="69"/>
        <v>0</v>
      </c>
      <c r="BO98" s="19">
        <f t="shared" si="70"/>
        <v>98</v>
      </c>
      <c r="BP98">
        <f t="shared" si="71"/>
        <v>93</v>
      </c>
      <c r="BQ98" s="17">
        <f t="shared" si="72"/>
        <v>100</v>
      </c>
      <c r="BR98" t="str">
        <f t="shared" si="73"/>
        <v>event_team_player_1</v>
      </c>
      <c r="BS98">
        <f>COUNTIFS(S$3:S98,"="&amp;S98,AI$3:AI98,"="&amp;AI98)</f>
        <v>1</v>
      </c>
      <c r="BT98" t="str">
        <f>IFERROR(VLOOKUP(BB98&amp;BU98&amp;X98,game_rosters!U:W,3,FALSE),"")</f>
        <v>P100002</v>
      </c>
      <c r="BU98" t="str">
        <f t="shared" si="74"/>
        <v>Velodrome</v>
      </c>
    </row>
    <row r="99" spans="1:73" x14ac:dyDescent="0.2">
      <c r="A99">
        <f t="shared" si="61"/>
        <v>1</v>
      </c>
      <c r="E99" s="4"/>
      <c r="F99" s="43"/>
      <c r="G99" s="4"/>
      <c r="H99" s="46"/>
      <c r="J99" s="44" t="str">
        <f t="shared" si="75"/>
        <v>o</v>
      </c>
      <c r="K99" t="s">
        <v>238</v>
      </c>
      <c r="L99" t="s">
        <v>174</v>
      </c>
      <c r="M99" t="s">
        <v>85</v>
      </c>
      <c r="N99" t="str">
        <f t="shared" si="78"/>
        <v>s</v>
      </c>
      <c r="Q99" t="str">
        <f t="shared" si="76"/>
        <v/>
      </c>
      <c r="S99">
        <v>50</v>
      </c>
      <c r="U99" t="str">
        <f>IF(B99=1,MAX($U$2:$U98)+1,IF(AND($T99&lt;&gt;"",$T99=$T98),$U98,IF(B99="x",U98,"")))</f>
        <v/>
      </c>
      <c r="V99" t="str">
        <f>IF(C99=1,MAX($V$2:$V98)+1,IF(AND($T99&lt;&gt;"",$T99=$T98),$U98,IF(C99="x",V98,"")))</f>
        <v/>
      </c>
      <c r="W99" t="str">
        <f t="shared" si="50"/>
        <v>a</v>
      </c>
      <c r="X99">
        <v>8</v>
      </c>
      <c r="Y99" t="b">
        <f>IF(X99&lt;&gt;"",VLOOKUP(X99,game_rosters!$C$43:$E$64,3,FALSE))</f>
        <v>0</v>
      </c>
      <c r="Z99" t="str" cm="1">
        <f t="array" ref="Z99">IFERROR(IF(_xlfn._xlws.FILTER(game_rosters!$J:$J,(game_rosters!$G:$G=events!$AN99)*(game_rosters!$J:$J=events!$X99))&gt;0,1,""),"")</f>
        <v/>
      </c>
      <c r="AA99">
        <f t="shared" si="51"/>
        <v>1050</v>
      </c>
      <c r="AB99" t="str">
        <f t="shared" si="52"/>
        <v/>
      </c>
      <c r="AC99">
        <f t="shared" si="49"/>
        <v>1050</v>
      </c>
      <c r="AD99" s="6">
        <v>1</v>
      </c>
      <c r="AE99" t="s">
        <v>909</v>
      </c>
      <c r="AF99" t="s">
        <v>918</v>
      </c>
      <c r="AG99" t="s">
        <v>909</v>
      </c>
      <c r="AH99" t="s">
        <v>919</v>
      </c>
      <c r="AI99" t="s">
        <v>368</v>
      </c>
      <c r="AJ99" t="str">
        <f t="shared" si="77"/>
        <v>o</v>
      </c>
      <c r="AK99" t="str">
        <f t="shared" si="77"/>
        <v>o</v>
      </c>
      <c r="AL99" t="str">
        <f t="shared" si="54"/>
        <v>d</v>
      </c>
      <c r="AN99" t="s">
        <v>862</v>
      </c>
      <c r="AO99" t="str">
        <f t="shared" si="55"/>
        <v>a</v>
      </c>
      <c r="AP99" t="str">
        <f t="shared" si="62"/>
        <v>d</v>
      </c>
      <c r="AQ99" t="str">
        <f t="shared" si="63"/>
        <v/>
      </c>
      <c r="AR99" t="str">
        <f t="shared" si="64"/>
        <v>Away</v>
      </c>
      <c r="AS99" t="str">
        <f t="shared" si="65"/>
        <v>a</v>
      </c>
      <c r="AT99" t="str">
        <f t="shared" si="66"/>
        <v>Defensive</v>
      </c>
      <c r="BA99" s="6">
        <f t="shared" si="56"/>
        <v>24</v>
      </c>
      <c r="BB99">
        <f t="shared" si="57"/>
        <v>18981</v>
      </c>
      <c r="BC99" t="str">
        <f t="shared" si="58"/>
        <v>Nelson</v>
      </c>
      <c r="BD99" t="str">
        <f t="shared" si="59"/>
        <v>Velodrome</v>
      </c>
      <c r="BE99" t="s">
        <v>238</v>
      </c>
      <c r="BF99" t="s">
        <v>174</v>
      </c>
      <c r="BG99" t="s">
        <v>85</v>
      </c>
      <c r="BI99" cm="1">
        <f t="array" ref="BI99">IFERROR(_xlfn._xlws.FILTER(shifts!A:A,(shifts!B:B=events!AD99)*(shifts!AG:AG&gt;=events!BK99)*(shifts!AH:AH&lt;=events!BL99)),BI98)</f>
        <v>4</v>
      </c>
      <c r="BJ99" s="15">
        <f t="shared" si="60"/>
        <v>2</v>
      </c>
      <c r="BK99">
        <f t="shared" si="67"/>
        <v>982</v>
      </c>
      <c r="BL99">
        <f t="shared" si="68"/>
        <v>980</v>
      </c>
      <c r="BM99" s="15">
        <f>SUMIFS(BJ$2:BJ99,K$2:K99,"=Intermission")+SUMIFS(BJ$2:BJ99,K$2:K99,"=Timeout")</f>
        <v>0</v>
      </c>
      <c r="BN99">
        <f t="shared" si="69"/>
        <v>0</v>
      </c>
      <c r="BO99" s="19">
        <f t="shared" si="70"/>
        <v>98</v>
      </c>
      <c r="BP99">
        <f t="shared" si="71"/>
        <v>93</v>
      </c>
      <c r="BQ99" s="17">
        <f t="shared" si="72"/>
        <v>100</v>
      </c>
      <c r="BR99" t="str">
        <f t="shared" si="73"/>
        <v>opp_team_player_1</v>
      </c>
      <c r="BS99">
        <f>COUNTIFS(S$3:S99,"="&amp;S99,AI$3:AI99,"="&amp;AI99)</f>
        <v>1</v>
      </c>
      <c r="BT99" t="str">
        <f>IFERROR(VLOOKUP(BB99&amp;BU99&amp;X99,game_rosters!U:W,3,FALSE),"")</f>
        <v>P100074</v>
      </c>
      <c r="BU99" t="str">
        <f t="shared" si="74"/>
        <v>Nelson</v>
      </c>
    </row>
    <row r="100" spans="1:73" x14ac:dyDescent="0.2">
      <c r="A100">
        <f t="shared" si="61"/>
        <v>1</v>
      </c>
      <c r="E100" s="4"/>
      <c r="F100" s="43"/>
      <c r="G100" s="4"/>
      <c r="H100" s="46"/>
      <c r="J100" s="44" t="str">
        <f t="shared" si="75"/>
        <v/>
      </c>
      <c r="K100" t="s">
        <v>13</v>
      </c>
      <c r="L100" t="s">
        <v>756</v>
      </c>
      <c r="M100" t="s">
        <v>756</v>
      </c>
      <c r="N100" t="str">
        <f t="shared" si="78"/>
        <v/>
      </c>
      <c r="Q100" t="str">
        <f t="shared" si="76"/>
        <v/>
      </c>
      <c r="S100">
        <v>51</v>
      </c>
      <c r="U100" t="str">
        <f>IF(B100=1,MAX($U$2:$U99)+1,IF(AND($T100&lt;&gt;"",$T100=$T99),$U99,IF(B100="x",U99,"")))</f>
        <v/>
      </c>
      <c r="V100" t="str">
        <f>IF(C100=1,MAX($V$2:$V99)+1,IF(AND($T100&lt;&gt;"",$T100=$T99),$U99,IF(C100="x",V99,"")))</f>
        <v/>
      </c>
      <c r="W100" t="str">
        <f t="shared" si="50"/>
        <v>a</v>
      </c>
      <c r="X100">
        <v>91</v>
      </c>
      <c r="Y100" t="e">
        <f>IF(X100&lt;&gt;"",VLOOKUP(X100,game_rosters!$C$43:$E$64,3,FALSE))</f>
        <v>#N/A</v>
      </c>
      <c r="Z100" cm="1">
        <f t="array" ref="Z100">IFERROR(IF(_xlfn._xlws.FILTER(game_rosters!$J:$J,(game_rosters!$G:$G=events!$AN100)*(game_rosters!$J:$J=events!$X100))&gt;0,1,""),"")</f>
        <v>1</v>
      </c>
      <c r="AA100">
        <f t="shared" si="51"/>
        <v>1051</v>
      </c>
      <c r="AB100" t="str">
        <f t="shared" si="52"/>
        <v/>
      </c>
      <c r="AC100">
        <f t="shared" si="49"/>
        <v>1051</v>
      </c>
      <c r="AD100" s="6">
        <v>1</v>
      </c>
      <c r="AE100" t="s">
        <v>909</v>
      </c>
      <c r="AF100" t="s">
        <v>919</v>
      </c>
      <c r="AG100" t="s">
        <v>909</v>
      </c>
      <c r="AH100" t="s">
        <v>743</v>
      </c>
      <c r="AI100" t="s">
        <v>367</v>
      </c>
      <c r="AJ100" t="str">
        <f t="shared" ref="AJ100:AK115" si="79">IF($J100&lt;&gt;"",$J100,IF($AC100=$AC99,AJ99,""))</f>
        <v/>
      </c>
      <c r="AK100" t="str">
        <f t="shared" si="79"/>
        <v/>
      </c>
      <c r="AL100" t="str">
        <f t="shared" si="54"/>
        <v/>
      </c>
      <c r="AN100" t="s">
        <v>862</v>
      </c>
      <c r="AO100" t="str">
        <f t="shared" si="55"/>
        <v>a</v>
      </c>
      <c r="AP100" t="str">
        <f t="shared" si="62"/>
        <v/>
      </c>
      <c r="AQ100" t="str">
        <f t="shared" si="63"/>
        <v/>
      </c>
      <c r="AR100" t="str">
        <f t="shared" si="64"/>
        <v>Away</v>
      </c>
      <c r="AS100" t="str">
        <f t="shared" si="65"/>
        <v>a</v>
      </c>
      <c r="AT100" t="str">
        <f t="shared" si="66"/>
        <v>Offensive</v>
      </c>
      <c r="BA100" s="6">
        <f t="shared" si="56"/>
        <v>24</v>
      </c>
      <c r="BB100">
        <f t="shared" si="57"/>
        <v>18981</v>
      </c>
      <c r="BC100" t="str">
        <f t="shared" si="58"/>
        <v>Nelson</v>
      </c>
      <c r="BD100" t="str">
        <f t="shared" si="59"/>
        <v>Velodrome</v>
      </c>
      <c r="BE100" t="s">
        <v>13</v>
      </c>
      <c r="BF100" t="s">
        <v>756</v>
      </c>
      <c r="BG100" t="s">
        <v>756</v>
      </c>
      <c r="BI100" cm="1">
        <f t="array" ref="BI100">IFERROR(_xlfn._xlws.FILTER(shifts!A:A,(shifts!B:B=events!AD100)*(shifts!AG:AG&gt;=events!BK100)*(shifts!AH:AH&lt;=events!BL100)),BI99)</f>
        <v>4</v>
      </c>
      <c r="BJ100" s="15">
        <f t="shared" si="60"/>
        <v>2</v>
      </c>
      <c r="BK100">
        <f t="shared" si="67"/>
        <v>980</v>
      </c>
      <c r="BL100">
        <f t="shared" si="68"/>
        <v>978</v>
      </c>
      <c r="BM100" s="15">
        <f>SUMIFS(BJ$2:BJ100,K$2:K100,"=Intermission")+SUMIFS(BJ$2:BJ100,K$2:K100,"=Timeout")</f>
        <v>0</v>
      </c>
      <c r="BN100">
        <f t="shared" si="69"/>
        <v>0</v>
      </c>
      <c r="BO100" s="19">
        <f t="shared" si="70"/>
        <v>100</v>
      </c>
      <c r="BP100">
        <f t="shared" si="71"/>
        <v>95</v>
      </c>
      <c r="BQ100" s="17">
        <f t="shared" si="72"/>
        <v>102</v>
      </c>
      <c r="BR100" t="str">
        <f t="shared" si="73"/>
        <v>event_team_player_1</v>
      </c>
      <c r="BS100">
        <f>COUNTIFS(S$3:S100,"="&amp;S100,AI$3:AI100,"="&amp;AI100)</f>
        <v>1</v>
      </c>
      <c r="BT100" t="str">
        <f>IFERROR(VLOOKUP(BB100&amp;BU100&amp;X100,game_rosters!U:W,3,FALSE),"")</f>
        <v>P100002</v>
      </c>
      <c r="BU100" t="str">
        <f t="shared" si="74"/>
        <v>Velodrome</v>
      </c>
    </row>
    <row r="101" spans="1:73" x14ac:dyDescent="0.2">
      <c r="A101">
        <f t="shared" si="61"/>
        <v>1</v>
      </c>
      <c r="E101" s="4"/>
      <c r="F101" s="43"/>
      <c r="G101" s="4"/>
      <c r="H101" s="46"/>
      <c r="J101" s="44" t="str">
        <f t="shared" si="75"/>
        <v/>
      </c>
      <c r="K101" t="s">
        <v>13</v>
      </c>
      <c r="L101" t="s">
        <v>756</v>
      </c>
      <c r="M101" t="s">
        <v>756</v>
      </c>
      <c r="N101" t="str">
        <f t="shared" si="78"/>
        <v/>
      </c>
      <c r="Q101" t="str">
        <f t="shared" si="76"/>
        <v/>
      </c>
      <c r="S101">
        <v>51</v>
      </c>
      <c r="U101" t="str">
        <f>IF(B101=1,MAX($U$2:$U100)+1,IF(AND($T101&lt;&gt;"",$T101=$T100),$U100,IF(B101="x",U100,"")))</f>
        <v/>
      </c>
      <c r="V101" t="str">
        <f>IF(C101=1,MAX($V$2:$V100)+1,IF(AND($T101&lt;&gt;"",$T101=$T100),$U100,IF(C101="x",V100,"")))</f>
        <v/>
      </c>
      <c r="W101" t="str">
        <f t="shared" si="50"/>
        <v>a</v>
      </c>
      <c r="X101">
        <v>8</v>
      </c>
      <c r="Y101" t="b">
        <f>IF(X101&lt;&gt;"",VLOOKUP(X101,game_rosters!$C$43:$E$64,3,FALSE))</f>
        <v>0</v>
      </c>
      <c r="Z101" t="str" cm="1">
        <f t="array" ref="Z101">IFERROR(IF(_xlfn._xlws.FILTER(game_rosters!$J:$J,(game_rosters!$G:$G=events!$AN101)*(game_rosters!$J:$J=events!$X101))&gt;0,1,""),"")</f>
        <v/>
      </c>
      <c r="AA101">
        <f t="shared" si="51"/>
        <v>1051</v>
      </c>
      <c r="AB101" t="str">
        <f t="shared" si="52"/>
        <v/>
      </c>
      <c r="AC101">
        <f t="shared" si="49"/>
        <v>1051</v>
      </c>
      <c r="AD101" s="6">
        <v>1</v>
      </c>
      <c r="AE101" t="s">
        <v>909</v>
      </c>
      <c r="AF101" t="s">
        <v>919</v>
      </c>
      <c r="AG101" t="s">
        <v>909</v>
      </c>
      <c r="AH101" t="s">
        <v>743</v>
      </c>
      <c r="AI101" t="s">
        <v>368</v>
      </c>
      <c r="AJ101" t="str">
        <f t="shared" si="79"/>
        <v/>
      </c>
      <c r="AK101" t="str">
        <f t="shared" si="79"/>
        <v/>
      </c>
      <c r="AL101" t="str">
        <f t="shared" si="54"/>
        <v/>
      </c>
      <c r="AN101" t="s">
        <v>862</v>
      </c>
      <c r="AO101" t="str">
        <f t="shared" si="55"/>
        <v>a</v>
      </c>
      <c r="AP101" t="str">
        <f t="shared" si="62"/>
        <v/>
      </c>
      <c r="AQ101" t="str">
        <f t="shared" si="63"/>
        <v/>
      </c>
      <c r="AR101" t="str">
        <f t="shared" si="64"/>
        <v>Away</v>
      </c>
      <c r="AS101" t="str">
        <f t="shared" si="65"/>
        <v>a</v>
      </c>
      <c r="AT101" t="str">
        <f t="shared" si="66"/>
        <v>Defensive</v>
      </c>
      <c r="BA101" s="6">
        <f t="shared" si="56"/>
        <v>24</v>
      </c>
      <c r="BB101">
        <f t="shared" si="57"/>
        <v>18981</v>
      </c>
      <c r="BC101" t="str">
        <f t="shared" si="58"/>
        <v>Nelson</v>
      </c>
      <c r="BD101" t="str">
        <f t="shared" si="59"/>
        <v>Velodrome</v>
      </c>
      <c r="BE101" t="s">
        <v>13</v>
      </c>
      <c r="BF101" t="s">
        <v>756</v>
      </c>
      <c r="BG101" t="s">
        <v>756</v>
      </c>
      <c r="BI101" cm="1">
        <f t="array" ref="BI101">IFERROR(_xlfn._xlws.FILTER(shifts!A:A,(shifts!B:B=events!AD101)*(shifts!AG:AG&gt;=events!BK101)*(shifts!AH:AH&lt;=events!BL101)),BI100)</f>
        <v>4</v>
      </c>
      <c r="BJ101" s="15">
        <f t="shared" si="60"/>
        <v>2</v>
      </c>
      <c r="BK101">
        <f t="shared" si="67"/>
        <v>980</v>
      </c>
      <c r="BL101">
        <f t="shared" si="68"/>
        <v>978</v>
      </c>
      <c r="BM101" s="15">
        <f>SUMIFS(BJ$2:BJ101,K$2:K101,"=Intermission")+SUMIFS(BJ$2:BJ101,K$2:K101,"=Timeout")</f>
        <v>0</v>
      </c>
      <c r="BN101">
        <f t="shared" si="69"/>
        <v>0</v>
      </c>
      <c r="BO101" s="19">
        <f t="shared" si="70"/>
        <v>100</v>
      </c>
      <c r="BP101">
        <f t="shared" si="71"/>
        <v>95</v>
      </c>
      <c r="BQ101" s="17">
        <f t="shared" si="72"/>
        <v>102</v>
      </c>
      <c r="BR101" t="str">
        <f t="shared" si="73"/>
        <v>opp_team_player_1</v>
      </c>
      <c r="BS101">
        <f>COUNTIFS(S$3:S101,"="&amp;S101,AI$3:AI101,"="&amp;AI101)</f>
        <v>1</v>
      </c>
      <c r="BT101" t="str">
        <f>IFERROR(VLOOKUP(BB101&amp;BU101&amp;X101,game_rosters!U:W,3,FALSE),"")</f>
        <v>P100074</v>
      </c>
      <c r="BU101" t="str">
        <f t="shared" si="74"/>
        <v>Nelson</v>
      </c>
    </row>
    <row r="102" spans="1:73" x14ac:dyDescent="0.2">
      <c r="A102">
        <f t="shared" si="61"/>
        <v>1</v>
      </c>
      <c r="E102" s="4"/>
      <c r="F102" s="43"/>
      <c r="G102" s="4"/>
      <c r="H102" s="46"/>
      <c r="J102" s="44" t="str">
        <f t="shared" si="75"/>
        <v/>
      </c>
      <c r="K102" t="s">
        <v>13</v>
      </c>
      <c r="L102" t="s">
        <v>756</v>
      </c>
      <c r="M102" t="s">
        <v>756</v>
      </c>
      <c r="N102" t="str">
        <f t="shared" si="78"/>
        <v/>
      </c>
      <c r="Q102" t="str">
        <f t="shared" si="76"/>
        <v/>
      </c>
      <c r="S102">
        <v>51</v>
      </c>
      <c r="U102" t="str">
        <f>IF(B102=1,MAX($U$2:$U101)+1,IF(AND($T102&lt;&gt;"",$T102=$T101),$U101,IF(B102="x",U101,"")))</f>
        <v/>
      </c>
      <c r="V102" t="str">
        <f>IF(C102=1,MAX($V$2:$V101)+1,IF(AND($T102&lt;&gt;"",$T102=$T101),$U101,IF(C102="x",V101,"")))</f>
        <v/>
      </c>
      <c r="W102" t="str">
        <f t="shared" si="50"/>
        <v>a</v>
      </c>
      <c r="X102">
        <v>79</v>
      </c>
      <c r="Y102" t="b">
        <f>IF(X102&lt;&gt;"",VLOOKUP(X102,game_rosters!$C$43:$E$64,3,FALSE))</f>
        <v>0</v>
      </c>
      <c r="Z102" t="str" cm="1">
        <f t="array" ref="Z102">IFERROR(IF(_xlfn._xlws.FILTER(game_rosters!$J:$J,(game_rosters!$G:$G=events!$AN102)*(game_rosters!$J:$J=events!$X102))&gt;0,1,""),"")</f>
        <v/>
      </c>
      <c r="AA102">
        <f t="shared" si="51"/>
        <v>1051</v>
      </c>
      <c r="AB102" t="str">
        <f t="shared" si="52"/>
        <v/>
      </c>
      <c r="AC102">
        <f t="shared" si="49"/>
        <v>1051</v>
      </c>
      <c r="AD102" s="6">
        <v>1</v>
      </c>
      <c r="AE102" t="s">
        <v>909</v>
      </c>
      <c r="AF102" t="s">
        <v>919</v>
      </c>
      <c r="AG102" t="s">
        <v>909</v>
      </c>
      <c r="AH102" t="s">
        <v>743</v>
      </c>
      <c r="AI102" t="s">
        <v>368</v>
      </c>
      <c r="AJ102" t="str">
        <f t="shared" si="79"/>
        <v/>
      </c>
      <c r="AK102" t="str">
        <f t="shared" si="79"/>
        <v/>
      </c>
      <c r="AL102" t="str">
        <f t="shared" si="54"/>
        <v/>
      </c>
      <c r="AN102" t="s">
        <v>862</v>
      </c>
      <c r="AO102" t="str">
        <f t="shared" si="55"/>
        <v>a</v>
      </c>
      <c r="AP102" t="str">
        <f t="shared" si="62"/>
        <v/>
      </c>
      <c r="AQ102" t="str">
        <f t="shared" si="63"/>
        <v/>
      </c>
      <c r="AR102" t="str">
        <f t="shared" si="64"/>
        <v>Away</v>
      </c>
      <c r="AS102" t="str">
        <f t="shared" si="65"/>
        <v>a</v>
      </c>
      <c r="AT102" t="str">
        <f t="shared" si="66"/>
        <v>Defensive</v>
      </c>
      <c r="BA102" s="6">
        <f t="shared" si="56"/>
        <v>24</v>
      </c>
      <c r="BB102">
        <f t="shared" si="57"/>
        <v>18981</v>
      </c>
      <c r="BC102" t="str">
        <f t="shared" si="58"/>
        <v>Nelson</v>
      </c>
      <c r="BD102" t="str">
        <f t="shared" si="59"/>
        <v>Velodrome</v>
      </c>
      <c r="BE102" t="s">
        <v>13</v>
      </c>
      <c r="BF102" t="s">
        <v>756</v>
      </c>
      <c r="BG102" t="s">
        <v>756</v>
      </c>
      <c r="BI102" cm="1">
        <f t="array" ref="BI102">IFERROR(_xlfn._xlws.FILTER(shifts!A:A,(shifts!B:B=events!AD102)*(shifts!AG:AG&gt;=events!BK102)*(shifts!AH:AH&lt;=events!BL102)),BI101)</f>
        <v>4</v>
      </c>
      <c r="BJ102" s="15">
        <f t="shared" si="60"/>
        <v>2</v>
      </c>
      <c r="BK102">
        <f t="shared" si="67"/>
        <v>980</v>
      </c>
      <c r="BL102">
        <f t="shared" si="68"/>
        <v>978</v>
      </c>
      <c r="BM102" s="15">
        <f>SUMIFS(BJ$2:BJ102,K$2:K102,"=Intermission")+SUMIFS(BJ$2:BJ102,K$2:K102,"=Timeout")</f>
        <v>0</v>
      </c>
      <c r="BN102">
        <f t="shared" si="69"/>
        <v>0</v>
      </c>
      <c r="BO102" s="19">
        <f t="shared" si="70"/>
        <v>100</v>
      </c>
      <c r="BP102">
        <f t="shared" si="71"/>
        <v>95</v>
      </c>
      <c r="BQ102" s="17">
        <f t="shared" si="72"/>
        <v>102</v>
      </c>
      <c r="BR102" t="str">
        <f t="shared" si="73"/>
        <v>opp_team_player_2</v>
      </c>
      <c r="BS102">
        <f>COUNTIFS(S$3:S102,"="&amp;S102,AI$3:AI102,"="&amp;AI102)</f>
        <v>2</v>
      </c>
      <c r="BT102" t="str">
        <f>IFERROR(VLOOKUP(BB102&amp;BU102&amp;X102,game_rosters!U:W,3,FALSE),"")</f>
        <v>P100066</v>
      </c>
      <c r="BU102" t="str">
        <f t="shared" si="74"/>
        <v>Nelson</v>
      </c>
    </row>
    <row r="103" spans="1:73" x14ac:dyDescent="0.2">
      <c r="A103">
        <f t="shared" si="61"/>
        <v>1</v>
      </c>
      <c r="E103" s="4"/>
      <c r="F103" s="43"/>
      <c r="G103" s="4"/>
      <c r="H103" s="46"/>
      <c r="J103" s="44" t="str">
        <f t="shared" si="75"/>
        <v/>
      </c>
      <c r="K103" t="s">
        <v>9</v>
      </c>
      <c r="L103" t="s">
        <v>183</v>
      </c>
      <c r="M103" t="s">
        <v>80</v>
      </c>
      <c r="N103" t="str">
        <f t="shared" si="78"/>
        <v/>
      </c>
      <c r="Q103" t="str">
        <f t="shared" si="76"/>
        <v/>
      </c>
      <c r="S103">
        <v>52</v>
      </c>
      <c r="U103" t="str">
        <f>IF(B103=1,MAX($U$2:$U102)+1,IF(AND($T103&lt;&gt;"",$T103=$T102),$U102,IF(B103="x",U102,"")))</f>
        <v/>
      </c>
      <c r="V103" t="str">
        <f>IF(C103=1,MAX($V$2:$V102)+1,IF(AND($T103&lt;&gt;"",$T103=$T102),$U102,IF(C103="x",V102,"")))</f>
        <v/>
      </c>
      <c r="W103" t="str">
        <f t="shared" si="50"/>
        <v>h</v>
      </c>
      <c r="X103">
        <v>8</v>
      </c>
      <c r="Y103" t="b">
        <f>IF(X103&lt;&gt;"",VLOOKUP(X103,game_rosters!$C$43:$E$64,3,FALSE))</f>
        <v>0</v>
      </c>
      <c r="Z103" cm="1">
        <f t="array" ref="Z103">IFERROR(IF(_xlfn._xlws.FILTER(game_rosters!$J:$J,(game_rosters!$G:$G=events!$AN103)*(game_rosters!$J:$J=events!$X103))&gt;0,1,""),"")</f>
        <v>1</v>
      </c>
      <c r="AA103">
        <f t="shared" si="51"/>
        <v>1052</v>
      </c>
      <c r="AB103" t="str">
        <f t="shared" si="52"/>
        <v/>
      </c>
      <c r="AC103">
        <f t="shared" si="49"/>
        <v>1052</v>
      </c>
      <c r="AD103" s="6">
        <v>1</v>
      </c>
      <c r="AE103" t="s">
        <v>909</v>
      </c>
      <c r="AF103" t="s">
        <v>743</v>
      </c>
      <c r="AG103" t="s">
        <v>756</v>
      </c>
      <c r="AH103" t="s">
        <v>756</v>
      </c>
      <c r="AI103" t="s">
        <v>367</v>
      </c>
      <c r="AJ103" t="str">
        <f t="shared" si="79"/>
        <v/>
      </c>
      <c r="AK103" t="str">
        <f t="shared" si="79"/>
        <v/>
      </c>
      <c r="AL103" t="str">
        <f t="shared" si="54"/>
        <v/>
      </c>
      <c r="AN103" t="s">
        <v>861</v>
      </c>
      <c r="AO103" t="str">
        <f t="shared" si="55"/>
        <v>h</v>
      </c>
      <c r="AP103" t="str">
        <f t="shared" si="62"/>
        <v/>
      </c>
      <c r="AQ103" t="str">
        <f t="shared" si="63"/>
        <v/>
      </c>
      <c r="AR103" t="str">
        <f t="shared" si="64"/>
        <v>Home</v>
      </c>
      <c r="AS103" t="str">
        <f t="shared" si="65"/>
        <v>h</v>
      </c>
      <c r="AT103" t="str">
        <f t="shared" si="66"/>
        <v>Defensive</v>
      </c>
      <c r="BA103" s="6">
        <f t="shared" si="56"/>
        <v>24</v>
      </c>
      <c r="BB103">
        <f t="shared" si="57"/>
        <v>18981</v>
      </c>
      <c r="BC103" t="str">
        <f t="shared" si="58"/>
        <v>Nelson</v>
      </c>
      <c r="BD103" t="str">
        <f t="shared" si="59"/>
        <v>Velodrome</v>
      </c>
      <c r="BE103" t="s">
        <v>9</v>
      </c>
      <c r="BF103" t="s">
        <v>183</v>
      </c>
      <c r="BG103" t="s">
        <v>80</v>
      </c>
      <c r="BI103" cm="1">
        <f t="array" ref="BI103">IFERROR(_xlfn._xlws.FILTER(shifts!A:A,(shifts!B:B=events!AD103)*(shifts!AG:AG&gt;=events!BK103)*(shifts!AH:AH&lt;=events!BL103)),BI102)</f>
        <v>4</v>
      </c>
      <c r="BJ103" s="15">
        <f t="shared" si="60"/>
        <v>0</v>
      </c>
      <c r="BK103">
        <f t="shared" si="67"/>
        <v>978</v>
      </c>
      <c r="BL103">
        <f t="shared" si="68"/>
        <v>978</v>
      </c>
      <c r="BM103" s="15">
        <f>SUMIFS(BJ$2:BJ103,K$2:K103,"=Intermission")+SUMIFS(BJ$2:BJ103,K$2:K103,"=Timeout")</f>
        <v>0</v>
      </c>
      <c r="BN103">
        <f t="shared" si="69"/>
        <v>0</v>
      </c>
      <c r="BO103" s="19">
        <f t="shared" si="70"/>
        <v>102</v>
      </c>
      <c r="BP103">
        <f t="shared" si="71"/>
        <v>97</v>
      </c>
      <c r="BQ103" s="17">
        <f t="shared" si="72"/>
        <v>102</v>
      </c>
      <c r="BR103" t="str">
        <f t="shared" si="73"/>
        <v>event_team_player_1</v>
      </c>
      <c r="BS103">
        <f>COUNTIFS(S$3:S103,"="&amp;S103,AI$3:AI103,"="&amp;AI103)</f>
        <v>1</v>
      </c>
      <c r="BT103" t="str">
        <f>IFERROR(VLOOKUP(BB103&amp;BU103&amp;X103,game_rosters!U:W,3,FALSE),"")</f>
        <v>P100074</v>
      </c>
      <c r="BU103" t="str">
        <f t="shared" si="74"/>
        <v>Nelson</v>
      </c>
    </row>
    <row r="104" spans="1:73" x14ac:dyDescent="0.2">
      <c r="A104">
        <f t="shared" si="61"/>
        <v>1</v>
      </c>
      <c r="E104" s="4"/>
      <c r="F104" s="43"/>
      <c r="G104" s="4"/>
      <c r="H104" s="46"/>
      <c r="J104" s="44" t="str">
        <f t="shared" si="75"/>
        <v/>
      </c>
      <c r="K104" t="s">
        <v>9</v>
      </c>
      <c r="L104" t="s">
        <v>183</v>
      </c>
      <c r="M104" t="s">
        <v>80</v>
      </c>
      <c r="N104" t="str">
        <f t="shared" si="78"/>
        <v/>
      </c>
      <c r="Q104" t="str">
        <f t="shared" si="76"/>
        <v/>
      </c>
      <c r="S104">
        <v>52</v>
      </c>
      <c r="U104" t="str">
        <f>IF(B104=1,MAX($U$2:$U103)+1,IF(AND($T104&lt;&gt;"",$T104=$T103),$U103,IF(B104="x",U103,"")))</f>
        <v/>
      </c>
      <c r="V104" t="str">
        <f>IF(C104=1,MAX($V$2:$V103)+1,IF(AND($T104&lt;&gt;"",$T104=$T103),$U103,IF(C104="x",V103,"")))</f>
        <v/>
      </c>
      <c r="W104" t="str">
        <f t="shared" si="50"/>
        <v>h</v>
      </c>
      <c r="X104">
        <v>91</v>
      </c>
      <c r="Y104" t="e">
        <f>IF(X104&lt;&gt;"",VLOOKUP(X104,game_rosters!$C$43:$E$64,3,FALSE))</f>
        <v>#N/A</v>
      </c>
      <c r="Z104" t="str" cm="1">
        <f t="array" ref="Z104">IFERROR(IF(_xlfn._xlws.FILTER(game_rosters!$J:$J,(game_rosters!$G:$G=events!$AN104)*(game_rosters!$J:$J=events!$X104))&gt;0,1,""),"")</f>
        <v/>
      </c>
      <c r="AA104">
        <f t="shared" si="51"/>
        <v>1052</v>
      </c>
      <c r="AB104" t="str">
        <f t="shared" si="52"/>
        <v/>
      </c>
      <c r="AC104">
        <f t="shared" si="49"/>
        <v>1052</v>
      </c>
      <c r="AD104" s="6">
        <v>1</v>
      </c>
      <c r="AE104" t="s">
        <v>909</v>
      </c>
      <c r="AF104" t="s">
        <v>743</v>
      </c>
      <c r="AG104" t="s">
        <v>756</v>
      </c>
      <c r="AH104" t="s">
        <v>756</v>
      </c>
      <c r="AI104" t="s">
        <v>368</v>
      </c>
      <c r="AJ104" t="str">
        <f t="shared" si="79"/>
        <v/>
      </c>
      <c r="AK104" t="str">
        <f t="shared" si="79"/>
        <v/>
      </c>
      <c r="AL104" t="str">
        <f t="shared" si="54"/>
        <v/>
      </c>
      <c r="AN104" t="s">
        <v>861</v>
      </c>
      <c r="AO104" t="str">
        <f t="shared" si="55"/>
        <v>h</v>
      </c>
      <c r="AP104" t="str">
        <f t="shared" si="62"/>
        <v/>
      </c>
      <c r="AQ104" t="str">
        <f t="shared" si="63"/>
        <v/>
      </c>
      <c r="AR104" t="str">
        <f t="shared" si="64"/>
        <v>Home</v>
      </c>
      <c r="AS104" t="str">
        <f t="shared" si="65"/>
        <v>h</v>
      </c>
      <c r="AT104" t="str">
        <f t="shared" si="66"/>
        <v>Offensive</v>
      </c>
      <c r="BA104" s="6">
        <f t="shared" si="56"/>
        <v>24</v>
      </c>
      <c r="BB104">
        <f t="shared" si="57"/>
        <v>18981</v>
      </c>
      <c r="BC104" t="str">
        <f t="shared" si="58"/>
        <v>Nelson</v>
      </c>
      <c r="BD104" t="str">
        <f t="shared" si="59"/>
        <v>Velodrome</v>
      </c>
      <c r="BE104" t="s">
        <v>9</v>
      </c>
      <c r="BF104" t="s">
        <v>183</v>
      </c>
      <c r="BG104" t="s">
        <v>80</v>
      </c>
      <c r="BI104" cm="1">
        <f t="array" ref="BI104">IFERROR(_xlfn._xlws.FILTER(shifts!A:A,(shifts!B:B=events!AD104)*(shifts!AG:AG&gt;=events!BK104)*(shifts!AH:AH&lt;=events!BL104)),BI103)</f>
        <v>4</v>
      </c>
      <c r="BJ104" s="15">
        <f t="shared" si="60"/>
        <v>0</v>
      </c>
      <c r="BK104">
        <f t="shared" si="67"/>
        <v>978</v>
      </c>
      <c r="BL104">
        <f t="shared" si="68"/>
        <v>978</v>
      </c>
      <c r="BM104" s="15">
        <f>SUMIFS(BJ$2:BJ104,K$2:K104,"=Intermission")+SUMIFS(BJ$2:BJ104,K$2:K104,"=Timeout")</f>
        <v>0</v>
      </c>
      <c r="BN104">
        <f t="shared" si="69"/>
        <v>0</v>
      </c>
      <c r="BO104" s="19">
        <f t="shared" si="70"/>
        <v>102</v>
      </c>
      <c r="BP104">
        <f t="shared" si="71"/>
        <v>97</v>
      </c>
      <c r="BQ104" s="17">
        <f t="shared" si="72"/>
        <v>102</v>
      </c>
      <c r="BR104" t="str">
        <f t="shared" si="73"/>
        <v>opp_team_player_1</v>
      </c>
      <c r="BS104">
        <f>COUNTIFS(S$3:S104,"="&amp;S104,AI$3:AI104,"="&amp;AI104)</f>
        <v>1</v>
      </c>
      <c r="BT104" t="str">
        <f>IFERROR(VLOOKUP(BB104&amp;BU104&amp;X104,game_rosters!U:W,3,FALSE),"")</f>
        <v>P100002</v>
      </c>
      <c r="BU104" t="str">
        <f t="shared" si="74"/>
        <v>Velodrome</v>
      </c>
    </row>
    <row r="105" spans="1:73" x14ac:dyDescent="0.2">
      <c r="A105">
        <f t="shared" si="61"/>
        <v>1</v>
      </c>
      <c r="E105" s="4"/>
      <c r="F105" s="43"/>
      <c r="G105" s="4"/>
      <c r="H105" s="46"/>
      <c r="J105" s="44" t="str">
        <f t="shared" si="75"/>
        <v/>
      </c>
      <c r="K105" t="s">
        <v>13</v>
      </c>
      <c r="L105" t="s">
        <v>756</v>
      </c>
      <c r="M105" t="s">
        <v>756</v>
      </c>
      <c r="N105" t="str">
        <f t="shared" si="78"/>
        <v/>
      </c>
      <c r="Q105" t="str">
        <f t="shared" si="76"/>
        <v/>
      </c>
      <c r="S105">
        <v>53</v>
      </c>
      <c r="U105" t="str">
        <f>IF(B105=1,MAX($U$2:$U104)+1,IF(AND($T105&lt;&gt;"",$T105=$T104),$U104,IF(B105="x",U104,"")))</f>
        <v/>
      </c>
      <c r="V105" t="str">
        <f>IF(C105=1,MAX($V$2:$V104)+1,IF(AND($T105&lt;&gt;"",$T105=$T104),$U104,IF(C105="x",V104,"")))</f>
        <v/>
      </c>
      <c r="W105" t="str">
        <f t="shared" si="50"/>
        <v>h</v>
      </c>
      <c r="X105">
        <v>44</v>
      </c>
      <c r="Y105" t="b">
        <f>IF(X105&lt;&gt;"",VLOOKUP(X105,game_rosters!$C$43:$E$64,3,FALSE))</f>
        <v>0</v>
      </c>
      <c r="Z105" cm="1">
        <f t="array" ref="Z105">IFERROR(IF(_xlfn._xlws.FILTER(game_rosters!$J:$J,(game_rosters!$G:$G=events!$AN105)*(game_rosters!$J:$J=events!$X105))&gt;0,1,""),"")</f>
        <v>1</v>
      </c>
      <c r="AA105">
        <f t="shared" si="51"/>
        <v>1053</v>
      </c>
      <c r="AB105" t="str">
        <f t="shared" si="52"/>
        <v/>
      </c>
      <c r="AC105">
        <f t="shared" si="49"/>
        <v>1053</v>
      </c>
      <c r="AD105" s="6">
        <v>1</v>
      </c>
      <c r="AE105" t="s">
        <v>909</v>
      </c>
      <c r="AF105" t="s">
        <v>745</v>
      </c>
      <c r="AG105" t="s">
        <v>909</v>
      </c>
      <c r="AH105" t="s">
        <v>754</v>
      </c>
      <c r="AI105" t="s">
        <v>367</v>
      </c>
      <c r="AJ105" t="str">
        <f t="shared" si="79"/>
        <v/>
      </c>
      <c r="AK105" t="str">
        <f t="shared" si="79"/>
        <v/>
      </c>
      <c r="AL105" t="str">
        <f t="shared" si="54"/>
        <v/>
      </c>
      <c r="AN105" t="s">
        <v>861</v>
      </c>
      <c r="AO105" t="str">
        <f t="shared" si="55"/>
        <v>h</v>
      </c>
      <c r="AP105" t="str">
        <f t="shared" si="62"/>
        <v/>
      </c>
      <c r="AQ105" t="str">
        <f t="shared" si="63"/>
        <v/>
      </c>
      <c r="AR105" t="str">
        <f t="shared" si="64"/>
        <v>Home</v>
      </c>
      <c r="AS105" t="str">
        <f t="shared" si="65"/>
        <v>h</v>
      </c>
      <c r="AT105" t="str">
        <f t="shared" si="66"/>
        <v>Offensive</v>
      </c>
      <c r="BA105" s="6">
        <f t="shared" si="56"/>
        <v>24</v>
      </c>
      <c r="BB105">
        <f t="shared" si="57"/>
        <v>18981</v>
      </c>
      <c r="BC105" t="str">
        <f t="shared" si="58"/>
        <v>Nelson</v>
      </c>
      <c r="BD105" t="str">
        <f t="shared" si="59"/>
        <v>Velodrome</v>
      </c>
      <c r="BE105" t="s">
        <v>13</v>
      </c>
      <c r="BF105" t="s">
        <v>756</v>
      </c>
      <c r="BG105" t="s">
        <v>756</v>
      </c>
      <c r="BI105" cm="1">
        <f t="array" ref="BI105">IFERROR(_xlfn._xlws.FILTER(shifts!A:A,(shifts!B:B=events!AD105)*(shifts!AG:AG&gt;=events!BK105)*(shifts!AH:AH&lt;=events!BL105)),BI104)</f>
        <v>4</v>
      </c>
      <c r="BJ105" s="15">
        <f t="shared" si="60"/>
        <v>3</v>
      </c>
      <c r="BK105">
        <f t="shared" si="67"/>
        <v>974</v>
      </c>
      <c r="BL105">
        <f t="shared" si="68"/>
        <v>971</v>
      </c>
      <c r="BM105" s="15">
        <f>SUMIFS(BJ$2:BJ105,K$2:K105,"=Intermission")+SUMIFS(BJ$2:BJ105,K$2:K105,"=Timeout")</f>
        <v>0</v>
      </c>
      <c r="BN105">
        <f t="shared" si="69"/>
        <v>0</v>
      </c>
      <c r="BO105" s="19">
        <f t="shared" si="70"/>
        <v>106</v>
      </c>
      <c r="BP105">
        <f t="shared" si="71"/>
        <v>101</v>
      </c>
      <c r="BQ105" s="17">
        <f t="shared" si="72"/>
        <v>109</v>
      </c>
      <c r="BR105" t="str">
        <f t="shared" si="73"/>
        <v>event_team_player_1</v>
      </c>
      <c r="BS105">
        <f>COUNTIFS(S$3:S105,"="&amp;S105,AI$3:AI105,"="&amp;AI105)</f>
        <v>1</v>
      </c>
      <c r="BT105" t="str">
        <f>IFERROR(VLOOKUP(BB105&amp;BU105&amp;X105,game_rosters!U:W,3,FALSE),"")</f>
        <v>P100079</v>
      </c>
      <c r="BU105" t="str">
        <f t="shared" si="74"/>
        <v>Nelson</v>
      </c>
    </row>
    <row r="106" spans="1:73" x14ac:dyDescent="0.2">
      <c r="A106">
        <f t="shared" si="61"/>
        <v>1</v>
      </c>
      <c r="E106" s="4"/>
      <c r="F106" s="43"/>
      <c r="G106" s="4"/>
      <c r="H106" s="46"/>
      <c r="J106" s="44" t="str">
        <f t="shared" si="75"/>
        <v/>
      </c>
      <c r="K106" t="s">
        <v>13</v>
      </c>
      <c r="L106" t="s">
        <v>756</v>
      </c>
      <c r="M106" t="s">
        <v>756</v>
      </c>
      <c r="N106" t="str">
        <f t="shared" si="78"/>
        <v/>
      </c>
      <c r="Q106" t="str">
        <f t="shared" si="76"/>
        <v/>
      </c>
      <c r="S106">
        <v>53</v>
      </c>
      <c r="U106" t="str">
        <f>IF(B106=1,MAX($U$2:$U105)+1,IF(AND($T106&lt;&gt;"",$T106=$T105),$U105,IF(B106="x",U105,"")))</f>
        <v/>
      </c>
      <c r="V106" t="str">
        <f>IF(C106=1,MAX($V$2:$V105)+1,IF(AND($T106&lt;&gt;"",$T106=$T105),$U105,IF(C106="x",V105,"")))</f>
        <v/>
      </c>
      <c r="W106" t="str">
        <f t="shared" si="50"/>
        <v>h</v>
      </c>
      <c r="X106">
        <v>42</v>
      </c>
      <c r="Y106" t="e">
        <f>IF(X106&lt;&gt;"",VLOOKUP(X106,game_rosters!$C$43:$E$64,3,FALSE))</f>
        <v>#N/A</v>
      </c>
      <c r="Z106" t="str" cm="1">
        <f t="array" ref="Z106">IFERROR(IF(_xlfn._xlws.FILTER(game_rosters!$J:$J,(game_rosters!$G:$G=events!$AN106)*(game_rosters!$J:$J=events!$X106))&gt;0,1,""),"")</f>
        <v/>
      </c>
      <c r="AA106">
        <f t="shared" si="51"/>
        <v>1053</v>
      </c>
      <c r="AB106" t="str">
        <f t="shared" si="52"/>
        <v/>
      </c>
      <c r="AC106">
        <f t="shared" si="49"/>
        <v>1053</v>
      </c>
      <c r="AD106" s="6">
        <v>1</v>
      </c>
      <c r="AE106" t="s">
        <v>909</v>
      </c>
      <c r="AF106" t="s">
        <v>745</v>
      </c>
      <c r="AG106" t="s">
        <v>909</v>
      </c>
      <c r="AH106" t="s">
        <v>754</v>
      </c>
      <c r="AI106" t="s">
        <v>368</v>
      </c>
      <c r="AJ106" t="str">
        <f t="shared" si="79"/>
        <v/>
      </c>
      <c r="AK106" t="str">
        <f t="shared" si="79"/>
        <v/>
      </c>
      <c r="AL106" t="str">
        <f t="shared" si="54"/>
        <v/>
      </c>
      <c r="AN106" t="s">
        <v>861</v>
      </c>
      <c r="AO106" t="str">
        <f t="shared" si="55"/>
        <v>h</v>
      </c>
      <c r="AP106" t="str">
        <f t="shared" si="62"/>
        <v/>
      </c>
      <c r="AQ106" t="str">
        <f t="shared" si="63"/>
        <v/>
      </c>
      <c r="AR106" t="str">
        <f t="shared" si="64"/>
        <v>Home</v>
      </c>
      <c r="AS106" t="str">
        <f t="shared" si="65"/>
        <v>h</v>
      </c>
      <c r="AT106" t="str">
        <f t="shared" si="66"/>
        <v>Defensive</v>
      </c>
      <c r="BA106" s="6">
        <f t="shared" si="56"/>
        <v>24</v>
      </c>
      <c r="BB106">
        <f t="shared" si="57"/>
        <v>18981</v>
      </c>
      <c r="BC106" t="str">
        <f t="shared" si="58"/>
        <v>Nelson</v>
      </c>
      <c r="BD106" t="str">
        <f t="shared" si="59"/>
        <v>Velodrome</v>
      </c>
      <c r="BE106" t="s">
        <v>13</v>
      </c>
      <c r="BF106" t="s">
        <v>756</v>
      </c>
      <c r="BG106" t="s">
        <v>756</v>
      </c>
      <c r="BI106" cm="1">
        <f t="array" ref="BI106">IFERROR(_xlfn._xlws.FILTER(shifts!A:A,(shifts!B:B=events!AD106)*(shifts!AG:AG&gt;=events!BK106)*(shifts!AH:AH&lt;=events!BL106)),BI105)</f>
        <v>4</v>
      </c>
      <c r="BJ106" s="15">
        <f t="shared" si="60"/>
        <v>3</v>
      </c>
      <c r="BK106">
        <f t="shared" si="67"/>
        <v>974</v>
      </c>
      <c r="BL106">
        <f t="shared" si="68"/>
        <v>971</v>
      </c>
      <c r="BM106" s="15">
        <f>SUMIFS(BJ$2:BJ106,K$2:K106,"=Intermission")+SUMIFS(BJ$2:BJ106,K$2:K106,"=Timeout")</f>
        <v>0</v>
      </c>
      <c r="BN106">
        <f t="shared" si="69"/>
        <v>0</v>
      </c>
      <c r="BO106" s="19">
        <f t="shared" si="70"/>
        <v>106</v>
      </c>
      <c r="BP106">
        <f t="shared" si="71"/>
        <v>101</v>
      </c>
      <c r="BQ106" s="17">
        <f t="shared" si="72"/>
        <v>109</v>
      </c>
      <c r="BR106" t="str">
        <f t="shared" si="73"/>
        <v>opp_team_player_1</v>
      </c>
      <c r="BS106">
        <f>COUNTIFS(S$3:S106,"="&amp;S106,AI$3:AI106,"="&amp;AI106)</f>
        <v>1</v>
      </c>
      <c r="BT106" t="str">
        <f>IFERROR(VLOOKUP(BB106&amp;BU106&amp;X106,game_rosters!U:W,3,FALSE),"")</f>
        <v>P100201</v>
      </c>
      <c r="BU106" t="str">
        <f t="shared" si="74"/>
        <v>Velodrome</v>
      </c>
    </row>
    <row r="107" spans="1:73" x14ac:dyDescent="0.2">
      <c r="A107">
        <f t="shared" si="61"/>
        <v>1</v>
      </c>
      <c r="E107" s="4"/>
      <c r="F107" s="43"/>
      <c r="G107" s="4"/>
      <c r="H107" s="46"/>
      <c r="J107" s="44" t="str">
        <f t="shared" si="75"/>
        <v/>
      </c>
      <c r="K107" t="s">
        <v>13</v>
      </c>
      <c r="L107" t="s">
        <v>756</v>
      </c>
      <c r="M107" t="s">
        <v>756</v>
      </c>
      <c r="N107" t="str">
        <f t="shared" si="78"/>
        <v/>
      </c>
      <c r="Q107" t="str">
        <f t="shared" si="76"/>
        <v/>
      </c>
      <c r="S107">
        <v>53</v>
      </c>
      <c r="U107" t="str">
        <f>IF(B107=1,MAX($U$2:$U106)+1,IF(AND($T107&lt;&gt;"",$T107=$T106),$U106,IF(B107="x",U106,"")))</f>
        <v/>
      </c>
      <c r="V107" t="str">
        <f>IF(C107=1,MAX($V$2:$V106)+1,IF(AND($T107&lt;&gt;"",$T107=$T106),$U106,IF(C107="x",V106,"")))</f>
        <v/>
      </c>
      <c r="W107" t="str">
        <f t="shared" si="50"/>
        <v>h</v>
      </c>
      <c r="X107">
        <v>24</v>
      </c>
      <c r="Y107" t="e">
        <f>IF(X107&lt;&gt;"",VLOOKUP(X107,game_rosters!$C$43:$E$64,3,FALSE))</f>
        <v>#N/A</v>
      </c>
      <c r="Z107" t="str" cm="1">
        <f t="array" ref="Z107">IFERROR(IF(_xlfn._xlws.FILTER(game_rosters!$J:$J,(game_rosters!$G:$G=events!$AN107)*(game_rosters!$J:$J=events!$X107))&gt;0,1,""),"")</f>
        <v/>
      </c>
      <c r="AA107">
        <f t="shared" si="51"/>
        <v>1053</v>
      </c>
      <c r="AB107" t="str">
        <f t="shared" si="52"/>
        <v/>
      </c>
      <c r="AC107">
        <f t="shared" si="49"/>
        <v>1053</v>
      </c>
      <c r="AD107" s="6">
        <v>1</v>
      </c>
      <c r="AE107" t="s">
        <v>909</v>
      </c>
      <c r="AF107" t="s">
        <v>745</v>
      </c>
      <c r="AG107" t="s">
        <v>909</v>
      </c>
      <c r="AH107" t="s">
        <v>754</v>
      </c>
      <c r="AI107" t="s">
        <v>368</v>
      </c>
      <c r="AJ107" t="str">
        <f t="shared" si="79"/>
        <v/>
      </c>
      <c r="AK107" t="str">
        <f t="shared" si="79"/>
        <v/>
      </c>
      <c r="AL107" t="str">
        <f t="shared" si="54"/>
        <v/>
      </c>
      <c r="AN107" t="s">
        <v>861</v>
      </c>
      <c r="AO107" t="str">
        <f t="shared" si="55"/>
        <v>h</v>
      </c>
      <c r="AP107" t="str">
        <f t="shared" si="62"/>
        <v/>
      </c>
      <c r="AQ107" t="str">
        <f t="shared" si="63"/>
        <v/>
      </c>
      <c r="AR107" t="str">
        <f t="shared" si="64"/>
        <v>Home</v>
      </c>
      <c r="AS107" t="str">
        <f t="shared" si="65"/>
        <v>h</v>
      </c>
      <c r="AT107" t="str">
        <f t="shared" si="66"/>
        <v>Defensive</v>
      </c>
      <c r="BA107" s="6">
        <f t="shared" si="56"/>
        <v>24</v>
      </c>
      <c r="BB107">
        <f t="shared" si="57"/>
        <v>18981</v>
      </c>
      <c r="BC107" t="str">
        <f t="shared" si="58"/>
        <v>Nelson</v>
      </c>
      <c r="BD107" t="str">
        <f t="shared" si="59"/>
        <v>Velodrome</v>
      </c>
      <c r="BE107" t="s">
        <v>13</v>
      </c>
      <c r="BF107" t="s">
        <v>756</v>
      </c>
      <c r="BG107" t="s">
        <v>756</v>
      </c>
      <c r="BI107" cm="1">
        <f t="array" ref="BI107">IFERROR(_xlfn._xlws.FILTER(shifts!A:A,(shifts!B:B=events!AD107)*(shifts!AG:AG&gt;=events!BK107)*(shifts!AH:AH&lt;=events!BL107)),BI106)</f>
        <v>4</v>
      </c>
      <c r="BJ107" s="15">
        <f t="shared" si="60"/>
        <v>3</v>
      </c>
      <c r="BK107">
        <f t="shared" si="67"/>
        <v>974</v>
      </c>
      <c r="BL107">
        <f t="shared" si="68"/>
        <v>971</v>
      </c>
      <c r="BM107" s="15">
        <f>SUMIFS(BJ$2:BJ107,K$2:K107,"=Intermission")+SUMIFS(BJ$2:BJ107,K$2:K107,"=Timeout")</f>
        <v>0</v>
      </c>
      <c r="BN107">
        <f t="shared" si="69"/>
        <v>0</v>
      </c>
      <c r="BO107" s="19">
        <f t="shared" si="70"/>
        <v>106</v>
      </c>
      <c r="BP107">
        <f t="shared" si="71"/>
        <v>101</v>
      </c>
      <c r="BQ107" s="17">
        <f t="shared" si="72"/>
        <v>109</v>
      </c>
      <c r="BR107" t="str">
        <f t="shared" si="73"/>
        <v>opp_team_player_2</v>
      </c>
      <c r="BS107">
        <f>COUNTIFS(S$3:S107,"="&amp;S107,AI$3:AI107,"="&amp;AI107)</f>
        <v>2</v>
      </c>
      <c r="BT107" t="str">
        <f>IFERROR(VLOOKUP(BB107&amp;BU107&amp;X107,game_rosters!U:W,3,FALSE),"")</f>
        <v>P100230</v>
      </c>
      <c r="BU107" t="str">
        <f t="shared" si="74"/>
        <v>Velodrome</v>
      </c>
    </row>
    <row r="108" spans="1:73" x14ac:dyDescent="0.2">
      <c r="A108">
        <f t="shared" si="61"/>
        <v>1</v>
      </c>
      <c r="E108" s="4"/>
      <c r="F108" s="43"/>
      <c r="G108" s="4"/>
      <c r="H108" s="46"/>
      <c r="J108" s="44" t="str">
        <f t="shared" si="75"/>
        <v>d</v>
      </c>
      <c r="K108" t="s">
        <v>238</v>
      </c>
      <c r="L108" t="s">
        <v>184</v>
      </c>
      <c r="M108" t="s">
        <v>376</v>
      </c>
      <c r="N108" t="str">
        <f t="shared" si="78"/>
        <v>u</v>
      </c>
      <c r="Q108" t="str">
        <f t="shared" si="76"/>
        <v/>
      </c>
      <c r="S108">
        <v>54</v>
      </c>
      <c r="U108" t="str">
        <f>IF(B108=1,MAX($U$2:$U107)+1,IF(AND($T108&lt;&gt;"",$T108=$T107),$U107,IF(B108="x",U107,"")))</f>
        <v/>
      </c>
      <c r="V108" t="str">
        <f>IF(C108=1,MAX($V$2:$V107)+1,IF(AND($T108&lt;&gt;"",$T108=$T107),$U107,IF(C108="x",V107,"")))</f>
        <v/>
      </c>
      <c r="W108" t="str">
        <f t="shared" si="50"/>
        <v>h</v>
      </c>
      <c r="X108">
        <v>44</v>
      </c>
      <c r="Y108" t="b">
        <f>IF(X108&lt;&gt;"",VLOOKUP(X108,game_rosters!$C$43:$E$64,3,FALSE))</f>
        <v>0</v>
      </c>
      <c r="Z108" cm="1">
        <f t="array" ref="Z108">IFERROR(IF(_xlfn._xlws.FILTER(game_rosters!$J:$J,(game_rosters!$G:$G=events!$AN108)*(game_rosters!$J:$J=events!$X108))&gt;0,1,""),"")</f>
        <v>1</v>
      </c>
      <c r="AA108">
        <f t="shared" si="51"/>
        <v>1054</v>
      </c>
      <c r="AB108" t="str">
        <f t="shared" si="52"/>
        <v/>
      </c>
      <c r="AC108">
        <f t="shared" si="49"/>
        <v>1054</v>
      </c>
      <c r="AD108" s="6">
        <v>1</v>
      </c>
      <c r="AE108" t="s">
        <v>909</v>
      </c>
      <c r="AF108" t="s">
        <v>920</v>
      </c>
      <c r="AG108" t="s">
        <v>756</v>
      </c>
      <c r="AH108" t="s">
        <v>756</v>
      </c>
      <c r="AI108" t="s">
        <v>367</v>
      </c>
      <c r="AJ108" t="str">
        <f t="shared" si="79"/>
        <v>d</v>
      </c>
      <c r="AK108" t="str">
        <f t="shared" si="79"/>
        <v>d</v>
      </c>
      <c r="AL108" t="str">
        <f t="shared" si="54"/>
        <v>d</v>
      </c>
      <c r="AN108" t="s">
        <v>861</v>
      </c>
      <c r="AO108" t="str">
        <f t="shared" si="55"/>
        <v>h</v>
      </c>
      <c r="AP108" t="str">
        <f t="shared" si="62"/>
        <v>d</v>
      </c>
      <c r="AQ108" t="str">
        <f t="shared" si="63"/>
        <v/>
      </c>
      <c r="AR108" t="str">
        <f t="shared" si="64"/>
        <v>Home</v>
      </c>
      <c r="AS108" t="str">
        <f t="shared" si="65"/>
        <v>h</v>
      </c>
      <c r="AT108" t="str">
        <f t="shared" si="66"/>
        <v>Offensive</v>
      </c>
      <c r="BA108" s="6">
        <f t="shared" si="56"/>
        <v>25</v>
      </c>
      <c r="BB108">
        <f t="shared" si="57"/>
        <v>18981</v>
      </c>
      <c r="BC108" t="str">
        <f t="shared" si="58"/>
        <v>Nelson</v>
      </c>
      <c r="BD108" t="str">
        <f t="shared" si="59"/>
        <v>Velodrome</v>
      </c>
      <c r="BE108" t="s">
        <v>238</v>
      </c>
      <c r="BF108" t="s">
        <v>184</v>
      </c>
      <c r="BG108" t="s">
        <v>376</v>
      </c>
      <c r="BI108" cm="1">
        <f t="array" ref="BI108">IFERROR(_xlfn._xlws.FILTER(shifts!A:A,(shifts!B:B=events!AD108)*(shifts!AG:AG&gt;=events!BK108)*(shifts!AH:AH&lt;=events!BL108)),BI107)</f>
        <v>4</v>
      </c>
      <c r="BJ108" s="15">
        <f t="shared" si="60"/>
        <v>0</v>
      </c>
      <c r="BK108">
        <f t="shared" si="67"/>
        <v>969</v>
      </c>
      <c r="BL108">
        <f t="shared" si="68"/>
        <v>969</v>
      </c>
      <c r="BM108" s="15">
        <f>SUMIFS(BJ$2:BJ108,K$2:K108,"=Intermission")+SUMIFS(BJ$2:BJ108,K$2:K108,"=Timeout")</f>
        <v>0</v>
      </c>
      <c r="BN108">
        <f t="shared" si="69"/>
        <v>0</v>
      </c>
      <c r="BO108" s="19">
        <f t="shared" si="70"/>
        <v>111</v>
      </c>
      <c r="BP108">
        <f t="shared" si="71"/>
        <v>106</v>
      </c>
      <c r="BQ108" s="17">
        <f t="shared" si="72"/>
        <v>111</v>
      </c>
      <c r="BR108" t="str">
        <f t="shared" si="73"/>
        <v>event_team_player_1</v>
      </c>
      <c r="BS108">
        <f>COUNTIFS(S$3:S108,"="&amp;S108,AI$3:AI108,"="&amp;AI108)</f>
        <v>1</v>
      </c>
      <c r="BT108" t="str">
        <f>IFERROR(VLOOKUP(BB108&amp;BU108&amp;X108,game_rosters!U:W,3,FALSE),"")</f>
        <v>P100079</v>
      </c>
      <c r="BU108" t="str">
        <f t="shared" si="74"/>
        <v>Nelson</v>
      </c>
    </row>
    <row r="109" spans="1:73" x14ac:dyDescent="0.2">
      <c r="A109">
        <f t="shared" si="61"/>
        <v>1</v>
      </c>
      <c r="E109" s="4"/>
      <c r="F109" s="43"/>
      <c r="G109" s="4"/>
      <c r="H109" s="46"/>
      <c r="J109" s="44" t="str">
        <f t="shared" si="75"/>
        <v>d</v>
      </c>
      <c r="K109" t="s">
        <v>238</v>
      </c>
      <c r="L109" t="s">
        <v>184</v>
      </c>
      <c r="M109" t="s">
        <v>376</v>
      </c>
      <c r="N109" t="str">
        <f t="shared" si="78"/>
        <v>u</v>
      </c>
      <c r="Q109" t="str">
        <f t="shared" si="76"/>
        <v/>
      </c>
      <c r="S109">
        <v>54</v>
      </c>
      <c r="U109" t="str">
        <f>IF(B109=1,MAX($U$2:$U108)+1,IF(AND($T109&lt;&gt;"",$T109=$T108),$U108,IF(B109="x",U108,"")))</f>
        <v/>
      </c>
      <c r="V109" t="str">
        <f>IF(C109=1,MAX($V$2:$V108)+1,IF(AND($T109&lt;&gt;"",$T109=$T108),$U108,IF(C109="x",V108,"")))</f>
        <v/>
      </c>
      <c r="W109" t="str">
        <f t="shared" si="50"/>
        <v>h</v>
      </c>
      <c r="X109">
        <v>42</v>
      </c>
      <c r="Y109" t="e">
        <f>IF(X109&lt;&gt;"",VLOOKUP(X109,game_rosters!$C$43:$E$64,3,FALSE))</f>
        <v>#N/A</v>
      </c>
      <c r="Z109" t="str" cm="1">
        <f t="array" ref="Z109">IFERROR(IF(_xlfn._xlws.FILTER(game_rosters!$J:$J,(game_rosters!$G:$G=events!$AN109)*(game_rosters!$J:$J=events!$X109))&gt;0,1,""),"")</f>
        <v/>
      </c>
      <c r="AA109">
        <f t="shared" si="51"/>
        <v>1054</v>
      </c>
      <c r="AB109" t="str">
        <f t="shared" si="52"/>
        <v/>
      </c>
      <c r="AC109">
        <f t="shared" si="49"/>
        <v>1054</v>
      </c>
      <c r="AD109" s="6">
        <v>1</v>
      </c>
      <c r="AE109" t="s">
        <v>909</v>
      </c>
      <c r="AF109" t="s">
        <v>920</v>
      </c>
      <c r="AG109" t="s">
        <v>756</v>
      </c>
      <c r="AH109" t="s">
        <v>756</v>
      </c>
      <c r="AI109" t="s">
        <v>368</v>
      </c>
      <c r="AJ109" t="str">
        <f t="shared" si="79"/>
        <v>d</v>
      </c>
      <c r="AK109" t="str">
        <f t="shared" si="79"/>
        <v>d</v>
      </c>
      <c r="AL109" t="str">
        <f t="shared" si="54"/>
        <v>d</v>
      </c>
      <c r="AN109" t="s">
        <v>861</v>
      </c>
      <c r="AO109" t="str">
        <f t="shared" si="55"/>
        <v>h</v>
      </c>
      <c r="AP109" t="str">
        <f t="shared" si="62"/>
        <v>d</v>
      </c>
      <c r="AQ109" t="str">
        <f t="shared" si="63"/>
        <v/>
      </c>
      <c r="AR109" t="str">
        <f t="shared" si="64"/>
        <v>Home</v>
      </c>
      <c r="AS109" t="str">
        <f t="shared" si="65"/>
        <v>h</v>
      </c>
      <c r="AT109" t="str">
        <f t="shared" si="66"/>
        <v>Defensive</v>
      </c>
      <c r="BA109" s="6">
        <f t="shared" si="56"/>
        <v>26</v>
      </c>
      <c r="BB109">
        <f t="shared" si="57"/>
        <v>18981</v>
      </c>
      <c r="BC109" t="str">
        <f t="shared" si="58"/>
        <v>Nelson</v>
      </c>
      <c r="BD109" t="str">
        <f t="shared" si="59"/>
        <v>Velodrome</v>
      </c>
      <c r="BE109" t="s">
        <v>238</v>
      </c>
      <c r="BF109" t="s">
        <v>184</v>
      </c>
      <c r="BG109" t="s">
        <v>376</v>
      </c>
      <c r="BI109" cm="1">
        <f t="array" ref="BI109">IFERROR(_xlfn._xlws.FILTER(shifts!A:A,(shifts!B:B=events!AD109)*(shifts!AG:AG&gt;=events!BK109)*(shifts!AH:AH&lt;=events!BL109)),BI108)</f>
        <v>4</v>
      </c>
      <c r="BJ109" s="15">
        <f t="shared" si="60"/>
        <v>0</v>
      </c>
      <c r="BK109">
        <f t="shared" si="67"/>
        <v>969</v>
      </c>
      <c r="BL109">
        <f t="shared" si="68"/>
        <v>969</v>
      </c>
      <c r="BM109" s="15">
        <f>SUMIFS(BJ$2:BJ109,K$2:K109,"=Intermission")+SUMIFS(BJ$2:BJ109,K$2:K109,"=Timeout")</f>
        <v>0</v>
      </c>
      <c r="BN109">
        <f t="shared" si="69"/>
        <v>0</v>
      </c>
      <c r="BO109" s="19">
        <f t="shared" si="70"/>
        <v>111</v>
      </c>
      <c r="BP109">
        <f t="shared" si="71"/>
        <v>106</v>
      </c>
      <c r="BQ109" s="17">
        <f t="shared" si="72"/>
        <v>111</v>
      </c>
      <c r="BR109" t="str">
        <f t="shared" si="73"/>
        <v>opp_team_player_1</v>
      </c>
      <c r="BS109">
        <f>COUNTIFS(S$3:S109,"="&amp;S109,AI$3:AI109,"="&amp;AI109)</f>
        <v>1</v>
      </c>
      <c r="BT109" t="str">
        <f>IFERROR(VLOOKUP(BB109&amp;BU109&amp;X109,game_rosters!U:W,3,FALSE),"")</f>
        <v>P100201</v>
      </c>
      <c r="BU109" t="str">
        <f t="shared" si="74"/>
        <v>Velodrome</v>
      </c>
    </row>
    <row r="110" spans="1:73" x14ac:dyDescent="0.2">
      <c r="A110">
        <f t="shared" si="61"/>
        <v>1</v>
      </c>
      <c r="E110" s="4"/>
      <c r="F110" s="43"/>
      <c r="G110" s="4"/>
      <c r="H110" s="46"/>
      <c r="J110" s="44" t="str">
        <f t="shared" si="75"/>
        <v>o</v>
      </c>
      <c r="K110" t="s">
        <v>238</v>
      </c>
      <c r="L110" t="s">
        <v>174</v>
      </c>
      <c r="M110" t="s">
        <v>87</v>
      </c>
      <c r="N110" t="str">
        <f t="shared" si="78"/>
        <v>s</v>
      </c>
      <c r="Q110" t="str">
        <f t="shared" si="76"/>
        <v/>
      </c>
      <c r="S110">
        <v>55</v>
      </c>
      <c r="U110" t="str">
        <f>IF(B110=1,MAX($U$2:$U109)+1,IF(AND($T110&lt;&gt;"",$T110=$T109),$U109,IF(B110="x",U109,"")))</f>
        <v/>
      </c>
      <c r="V110" t="str">
        <f>IF(C110=1,MAX($V$2:$V109)+1,IF(AND($T110&lt;&gt;"",$T110=$T109),$U109,IF(C110="x",V109,"")))</f>
        <v/>
      </c>
      <c r="W110" t="str">
        <f t="shared" si="50"/>
        <v>h</v>
      </c>
      <c r="X110">
        <v>44</v>
      </c>
      <c r="Y110" t="b">
        <f>IF(X110&lt;&gt;"",VLOOKUP(X110,game_rosters!$C$43:$E$64,3,FALSE))</f>
        <v>0</v>
      </c>
      <c r="Z110" cm="1">
        <f t="array" ref="Z110">IFERROR(IF(_xlfn._xlws.FILTER(game_rosters!$J:$J,(game_rosters!$G:$G=events!$AN110)*(game_rosters!$J:$J=events!$X110))&gt;0,1,""),"")</f>
        <v>1</v>
      </c>
      <c r="AA110">
        <f t="shared" si="51"/>
        <v>1055</v>
      </c>
      <c r="AB110" t="str">
        <f t="shared" si="52"/>
        <v/>
      </c>
      <c r="AC110">
        <f t="shared" si="49"/>
        <v>1055</v>
      </c>
      <c r="AD110" s="6">
        <v>1</v>
      </c>
      <c r="AE110" t="s">
        <v>909</v>
      </c>
      <c r="AF110" t="s">
        <v>747</v>
      </c>
      <c r="AG110" t="s">
        <v>756</v>
      </c>
      <c r="AH110" t="s">
        <v>756</v>
      </c>
      <c r="AI110" t="s">
        <v>367</v>
      </c>
      <c r="AJ110" t="str">
        <f t="shared" si="79"/>
        <v>o</v>
      </c>
      <c r="AK110" t="str">
        <f t="shared" si="79"/>
        <v>o</v>
      </c>
      <c r="AL110" t="str">
        <f t="shared" si="54"/>
        <v>o</v>
      </c>
      <c r="AN110" t="s">
        <v>861</v>
      </c>
      <c r="AO110" t="str">
        <f t="shared" si="55"/>
        <v>h</v>
      </c>
      <c r="AP110" t="str">
        <f t="shared" si="62"/>
        <v>o</v>
      </c>
      <c r="AQ110" t="str">
        <f t="shared" si="63"/>
        <v/>
      </c>
      <c r="AR110" t="str">
        <f t="shared" si="64"/>
        <v>Home</v>
      </c>
      <c r="AS110" t="str">
        <f t="shared" si="65"/>
        <v>h</v>
      </c>
      <c r="AT110" t="str">
        <f t="shared" si="66"/>
        <v>Offensive</v>
      </c>
      <c r="BA110" s="6">
        <f t="shared" si="56"/>
        <v>27</v>
      </c>
      <c r="BB110">
        <f t="shared" si="57"/>
        <v>18981</v>
      </c>
      <c r="BC110" t="str">
        <f t="shared" si="58"/>
        <v>Nelson</v>
      </c>
      <c r="BD110" t="str">
        <f t="shared" si="59"/>
        <v>Velodrome</v>
      </c>
      <c r="BE110" t="s">
        <v>238</v>
      </c>
      <c r="BF110" t="s">
        <v>174</v>
      </c>
      <c r="BG110" t="s">
        <v>87</v>
      </c>
      <c r="BI110" cm="1">
        <f t="array" ref="BI110">IFERROR(_xlfn._xlws.FILTER(shifts!A:A,(shifts!B:B=events!AD110)*(shifts!AG:AG&gt;=events!BK110)*(shifts!AH:AH&lt;=events!BL110)),BI109)</f>
        <v>4</v>
      </c>
      <c r="BJ110" s="15">
        <f t="shared" si="60"/>
        <v>0</v>
      </c>
      <c r="BK110">
        <f t="shared" si="67"/>
        <v>967</v>
      </c>
      <c r="BL110">
        <f t="shared" si="68"/>
        <v>967</v>
      </c>
      <c r="BM110" s="15">
        <f>SUMIFS(BJ$2:BJ110,K$2:K110,"=Intermission")+SUMIFS(BJ$2:BJ110,K$2:K110,"=Timeout")</f>
        <v>0</v>
      </c>
      <c r="BN110">
        <f t="shared" si="69"/>
        <v>0</v>
      </c>
      <c r="BO110" s="19">
        <f t="shared" si="70"/>
        <v>113</v>
      </c>
      <c r="BP110">
        <f t="shared" si="71"/>
        <v>108</v>
      </c>
      <c r="BQ110" s="17">
        <f t="shared" si="72"/>
        <v>113</v>
      </c>
      <c r="BR110" t="str">
        <f t="shared" si="73"/>
        <v>event_team_player_1</v>
      </c>
      <c r="BS110">
        <f>COUNTIFS(S$3:S110,"="&amp;S110,AI$3:AI110,"="&amp;AI110)</f>
        <v>1</v>
      </c>
      <c r="BT110" t="str">
        <f>IFERROR(VLOOKUP(BB110&amp;BU110&amp;X110,game_rosters!U:W,3,FALSE),"")</f>
        <v>P100079</v>
      </c>
      <c r="BU110" t="str">
        <f t="shared" si="74"/>
        <v>Nelson</v>
      </c>
    </row>
    <row r="111" spans="1:73" x14ac:dyDescent="0.2">
      <c r="A111">
        <f t="shared" si="61"/>
        <v>1</v>
      </c>
      <c r="E111" s="4"/>
      <c r="F111" s="43"/>
      <c r="G111" s="4"/>
      <c r="H111" s="46"/>
      <c r="J111" s="44" t="str">
        <f t="shared" si="75"/>
        <v>o</v>
      </c>
      <c r="K111" t="s">
        <v>238</v>
      </c>
      <c r="L111" t="s">
        <v>174</v>
      </c>
      <c r="M111" t="s">
        <v>87</v>
      </c>
      <c r="N111" t="str">
        <f t="shared" si="78"/>
        <v>s</v>
      </c>
      <c r="Q111" t="str">
        <f t="shared" si="76"/>
        <v/>
      </c>
      <c r="S111">
        <v>55</v>
      </c>
      <c r="U111" t="str">
        <f>IF(B111=1,MAX($U$2:$U110)+1,IF(AND($T111&lt;&gt;"",$T111=$T110),$U110,IF(B111="x",U110,"")))</f>
        <v/>
      </c>
      <c r="V111" t="str">
        <f>IF(C111=1,MAX($V$2:$V110)+1,IF(AND($T111&lt;&gt;"",$T111=$T110),$U110,IF(C111="x",V110,"")))</f>
        <v/>
      </c>
      <c r="W111" t="str">
        <f t="shared" si="50"/>
        <v>h</v>
      </c>
      <c r="X111">
        <v>42</v>
      </c>
      <c r="Y111" t="e">
        <f>IF(X111&lt;&gt;"",VLOOKUP(X111,game_rosters!$C$43:$E$64,3,FALSE))</f>
        <v>#N/A</v>
      </c>
      <c r="Z111" t="str" cm="1">
        <f t="array" ref="Z111">IFERROR(IF(_xlfn._xlws.FILTER(game_rosters!$J:$J,(game_rosters!$G:$G=events!$AN111)*(game_rosters!$J:$J=events!$X111))&gt;0,1,""),"")</f>
        <v/>
      </c>
      <c r="AA111">
        <f t="shared" si="51"/>
        <v>1055</v>
      </c>
      <c r="AB111" t="str">
        <f t="shared" si="52"/>
        <v/>
      </c>
      <c r="AC111">
        <f t="shared" si="49"/>
        <v>1055</v>
      </c>
      <c r="AD111" s="6">
        <v>1</v>
      </c>
      <c r="AE111" t="s">
        <v>909</v>
      </c>
      <c r="AF111" t="s">
        <v>747</v>
      </c>
      <c r="AG111" t="s">
        <v>756</v>
      </c>
      <c r="AH111" t="s">
        <v>756</v>
      </c>
      <c r="AI111" t="s">
        <v>368</v>
      </c>
      <c r="AJ111" t="str">
        <f t="shared" si="79"/>
        <v>o</v>
      </c>
      <c r="AK111" t="str">
        <f t="shared" si="79"/>
        <v>o</v>
      </c>
      <c r="AL111" t="str">
        <f t="shared" si="54"/>
        <v>o</v>
      </c>
      <c r="AN111" t="s">
        <v>861</v>
      </c>
      <c r="AO111" t="str">
        <f t="shared" si="55"/>
        <v>h</v>
      </c>
      <c r="AP111" t="str">
        <f t="shared" si="62"/>
        <v>o</v>
      </c>
      <c r="AQ111" t="str">
        <f t="shared" si="63"/>
        <v/>
      </c>
      <c r="AR111" t="str">
        <f t="shared" si="64"/>
        <v>Home</v>
      </c>
      <c r="AS111" t="str">
        <f t="shared" si="65"/>
        <v>h</v>
      </c>
      <c r="AT111" t="str">
        <f t="shared" si="66"/>
        <v>Defensive</v>
      </c>
      <c r="BA111" s="6">
        <f t="shared" si="56"/>
        <v>28</v>
      </c>
      <c r="BB111">
        <f t="shared" si="57"/>
        <v>18981</v>
      </c>
      <c r="BC111" t="str">
        <f t="shared" si="58"/>
        <v>Nelson</v>
      </c>
      <c r="BD111" t="str">
        <f t="shared" si="59"/>
        <v>Velodrome</v>
      </c>
      <c r="BE111" t="s">
        <v>238</v>
      </c>
      <c r="BF111" t="s">
        <v>174</v>
      </c>
      <c r="BG111" t="s">
        <v>87</v>
      </c>
      <c r="BI111" cm="1">
        <f t="array" ref="BI111">IFERROR(_xlfn._xlws.FILTER(shifts!A:A,(shifts!B:B=events!AD111)*(shifts!AG:AG&gt;=events!BK111)*(shifts!AH:AH&lt;=events!BL111)),BI110)</f>
        <v>4</v>
      </c>
      <c r="BJ111" s="15">
        <f t="shared" si="60"/>
        <v>0</v>
      </c>
      <c r="BK111">
        <f t="shared" si="67"/>
        <v>967</v>
      </c>
      <c r="BL111">
        <f t="shared" si="68"/>
        <v>967</v>
      </c>
      <c r="BM111" s="15">
        <f>SUMIFS(BJ$2:BJ111,K$2:K111,"=Intermission")+SUMIFS(BJ$2:BJ111,K$2:K111,"=Timeout")</f>
        <v>0</v>
      </c>
      <c r="BN111">
        <f t="shared" si="69"/>
        <v>0</v>
      </c>
      <c r="BO111" s="19">
        <f t="shared" si="70"/>
        <v>113</v>
      </c>
      <c r="BP111">
        <f t="shared" si="71"/>
        <v>108</v>
      </c>
      <c r="BQ111" s="17">
        <f t="shared" si="72"/>
        <v>113</v>
      </c>
      <c r="BR111" t="str">
        <f t="shared" si="73"/>
        <v>opp_team_player_1</v>
      </c>
      <c r="BS111">
        <f>COUNTIFS(S$3:S111,"="&amp;S111,AI$3:AI111,"="&amp;AI111)</f>
        <v>1</v>
      </c>
      <c r="BT111" t="str">
        <f>IFERROR(VLOOKUP(BB111&amp;BU111&amp;X111,game_rosters!U:W,3,FALSE),"")</f>
        <v>P100201</v>
      </c>
      <c r="BU111" t="str">
        <f t="shared" si="74"/>
        <v>Velodrome</v>
      </c>
    </row>
    <row r="112" spans="1:73" x14ac:dyDescent="0.2">
      <c r="A112">
        <f t="shared" si="61"/>
        <v>1</v>
      </c>
      <c r="E112" s="4"/>
      <c r="F112" s="43"/>
      <c r="G112" s="4"/>
      <c r="H112" s="46"/>
      <c r="J112" s="44" t="str">
        <f t="shared" si="75"/>
        <v/>
      </c>
      <c r="K112" t="s">
        <v>9</v>
      </c>
      <c r="L112" t="s">
        <v>173</v>
      </c>
      <c r="M112" t="s">
        <v>354</v>
      </c>
      <c r="N112" t="str">
        <f t="shared" si="78"/>
        <v>u</v>
      </c>
      <c r="Q112" t="str">
        <f t="shared" si="76"/>
        <v/>
      </c>
      <c r="S112">
        <v>56</v>
      </c>
      <c r="U112" t="str">
        <f>IF(B112=1,MAX($U$2:$U111)+1,IF(AND($T112&lt;&gt;"",$T112=$T111),$U111,IF(B112="x",U111,"")))</f>
        <v/>
      </c>
      <c r="V112" t="str">
        <f>IF(C112=1,MAX($V$2:$V111)+1,IF(AND($T112&lt;&gt;"",$T112=$T111),$U111,IF(C112="x",V111,"")))</f>
        <v/>
      </c>
      <c r="W112" t="str">
        <f t="shared" si="50"/>
        <v>h</v>
      </c>
      <c r="X112">
        <v>44</v>
      </c>
      <c r="Y112" t="b">
        <f>IF(X112&lt;&gt;"",VLOOKUP(X112,game_rosters!$C$43:$E$64,3,FALSE))</f>
        <v>0</v>
      </c>
      <c r="Z112" cm="1">
        <f t="array" ref="Z112">IFERROR(IF(_xlfn._xlws.FILTER(game_rosters!$J:$J,(game_rosters!$G:$G=events!$AN112)*(game_rosters!$J:$J=events!$X112))&gt;0,1,""),"")</f>
        <v>1</v>
      </c>
      <c r="AA112">
        <f t="shared" si="51"/>
        <v>1056</v>
      </c>
      <c r="AB112" t="str">
        <f t="shared" si="52"/>
        <v/>
      </c>
      <c r="AC112">
        <f t="shared" si="49"/>
        <v>1056</v>
      </c>
      <c r="AD112" s="6">
        <v>1</v>
      </c>
      <c r="AE112" t="s">
        <v>909</v>
      </c>
      <c r="AF112" t="s">
        <v>747</v>
      </c>
      <c r="AG112" t="s">
        <v>756</v>
      </c>
      <c r="AH112" t="s">
        <v>756</v>
      </c>
      <c r="AI112" t="s">
        <v>367</v>
      </c>
      <c r="AJ112" t="str">
        <f t="shared" si="79"/>
        <v/>
      </c>
      <c r="AK112" t="str">
        <f t="shared" si="79"/>
        <v/>
      </c>
      <c r="AL112" t="str">
        <f t="shared" si="54"/>
        <v/>
      </c>
      <c r="AN112" t="s">
        <v>861</v>
      </c>
      <c r="AO112" t="str">
        <f t="shared" si="55"/>
        <v>h</v>
      </c>
      <c r="AP112" t="str">
        <f t="shared" si="62"/>
        <v/>
      </c>
      <c r="AQ112" t="str">
        <f t="shared" si="63"/>
        <v/>
      </c>
      <c r="AR112" t="str">
        <f t="shared" si="64"/>
        <v>Home</v>
      </c>
      <c r="AS112" t="str">
        <f t="shared" si="65"/>
        <v>h</v>
      </c>
      <c r="AT112" t="str">
        <f t="shared" si="66"/>
        <v>Offensive</v>
      </c>
      <c r="BA112" s="6">
        <f t="shared" si="56"/>
        <v>28</v>
      </c>
      <c r="BB112">
        <f t="shared" si="57"/>
        <v>18981</v>
      </c>
      <c r="BC112" t="str">
        <f t="shared" si="58"/>
        <v>Nelson</v>
      </c>
      <c r="BD112" t="str">
        <f t="shared" si="59"/>
        <v>Velodrome</v>
      </c>
      <c r="BE112" t="s">
        <v>9</v>
      </c>
      <c r="BF112" t="s">
        <v>173</v>
      </c>
      <c r="BG112" t="s">
        <v>354</v>
      </c>
      <c r="BI112" cm="1">
        <f t="array" ref="BI112">IFERROR(_xlfn._xlws.FILTER(shifts!A:A,(shifts!B:B=events!AD112)*(shifts!AG:AG&gt;=events!BK112)*(shifts!AH:AH&lt;=events!BL112)),BI111)</f>
        <v>4</v>
      </c>
      <c r="BJ112" s="15">
        <f t="shared" si="60"/>
        <v>0</v>
      </c>
      <c r="BK112">
        <f t="shared" si="67"/>
        <v>967</v>
      </c>
      <c r="BL112">
        <f t="shared" si="68"/>
        <v>967</v>
      </c>
      <c r="BM112" s="15">
        <f>SUMIFS(BJ$2:BJ112,K$2:K112,"=Intermission")+SUMIFS(BJ$2:BJ112,K$2:K112,"=Timeout")</f>
        <v>0</v>
      </c>
      <c r="BN112">
        <f t="shared" si="69"/>
        <v>0</v>
      </c>
      <c r="BO112" s="19">
        <f t="shared" si="70"/>
        <v>113</v>
      </c>
      <c r="BP112">
        <f t="shared" si="71"/>
        <v>108</v>
      </c>
      <c r="BQ112" s="17">
        <f t="shared" si="72"/>
        <v>113</v>
      </c>
      <c r="BR112" t="str">
        <f t="shared" si="73"/>
        <v>event_team_player_1</v>
      </c>
      <c r="BS112">
        <f>COUNTIFS(S$3:S112,"="&amp;S112,AI$3:AI112,"="&amp;AI112)</f>
        <v>1</v>
      </c>
      <c r="BT112" t="str">
        <f>IFERROR(VLOOKUP(BB112&amp;BU112&amp;X112,game_rosters!U:W,3,FALSE),"")</f>
        <v>P100079</v>
      </c>
      <c r="BU112" t="str">
        <f t="shared" si="74"/>
        <v>Nelson</v>
      </c>
    </row>
    <row r="113" spans="1:73" x14ac:dyDescent="0.2">
      <c r="A113">
        <f t="shared" si="61"/>
        <v>1</v>
      </c>
      <c r="E113" s="4"/>
      <c r="F113" s="43"/>
      <c r="G113" s="4"/>
      <c r="H113" s="46"/>
      <c r="J113" s="44" t="str">
        <f t="shared" si="75"/>
        <v/>
      </c>
      <c r="K113" t="s">
        <v>9</v>
      </c>
      <c r="L113" t="s">
        <v>173</v>
      </c>
      <c r="M113" t="s">
        <v>354</v>
      </c>
      <c r="N113" t="str">
        <f t="shared" si="78"/>
        <v>u</v>
      </c>
      <c r="Q113" t="str">
        <f t="shared" si="76"/>
        <v/>
      </c>
      <c r="S113">
        <v>56</v>
      </c>
      <c r="U113" t="str">
        <f>IF(B113=1,MAX($U$2:$U112)+1,IF(AND($T113&lt;&gt;"",$T113=$T112),$U112,IF(B113="x",U112,"")))</f>
        <v/>
      </c>
      <c r="V113" t="str">
        <f>IF(C113=1,MAX($V$2:$V112)+1,IF(AND($T113&lt;&gt;"",$T113=$T112),$U112,IF(C113="x",V112,"")))</f>
        <v/>
      </c>
      <c r="W113" t="str">
        <f t="shared" si="50"/>
        <v>h</v>
      </c>
      <c r="X113">
        <v>42</v>
      </c>
      <c r="Y113" t="e">
        <f>IF(X113&lt;&gt;"",VLOOKUP(X113,game_rosters!$C$43:$E$64,3,FALSE))</f>
        <v>#N/A</v>
      </c>
      <c r="Z113" t="str" cm="1">
        <f t="array" ref="Z113">IFERROR(IF(_xlfn._xlws.FILTER(game_rosters!$J:$J,(game_rosters!$G:$G=events!$AN113)*(game_rosters!$J:$J=events!$X113))&gt;0,1,""),"")</f>
        <v/>
      </c>
      <c r="AA113">
        <f t="shared" si="51"/>
        <v>1056</v>
      </c>
      <c r="AB113" t="str">
        <f t="shared" si="52"/>
        <v/>
      </c>
      <c r="AC113">
        <f t="shared" si="49"/>
        <v>1056</v>
      </c>
      <c r="AD113" s="6">
        <v>1</v>
      </c>
      <c r="AE113" t="s">
        <v>909</v>
      </c>
      <c r="AF113" t="s">
        <v>747</v>
      </c>
      <c r="AG113" t="s">
        <v>756</v>
      </c>
      <c r="AH113" t="s">
        <v>756</v>
      </c>
      <c r="AI113" t="s">
        <v>368</v>
      </c>
      <c r="AJ113" t="str">
        <f t="shared" si="79"/>
        <v/>
      </c>
      <c r="AK113" t="str">
        <f t="shared" si="79"/>
        <v/>
      </c>
      <c r="AL113" t="str">
        <f t="shared" si="54"/>
        <v/>
      </c>
      <c r="AN113" t="s">
        <v>861</v>
      </c>
      <c r="AO113" t="str">
        <f t="shared" si="55"/>
        <v>h</v>
      </c>
      <c r="AP113" t="str">
        <f t="shared" si="62"/>
        <v/>
      </c>
      <c r="AQ113" t="str">
        <f t="shared" si="63"/>
        <v/>
      </c>
      <c r="AR113" t="str">
        <f t="shared" si="64"/>
        <v>Home</v>
      </c>
      <c r="AS113" t="str">
        <f t="shared" si="65"/>
        <v>h</v>
      </c>
      <c r="AT113" t="str">
        <f t="shared" si="66"/>
        <v>Defensive</v>
      </c>
      <c r="BA113" s="6">
        <f t="shared" si="56"/>
        <v>28</v>
      </c>
      <c r="BB113">
        <f t="shared" si="57"/>
        <v>18981</v>
      </c>
      <c r="BC113" t="str">
        <f t="shared" si="58"/>
        <v>Nelson</v>
      </c>
      <c r="BD113" t="str">
        <f t="shared" si="59"/>
        <v>Velodrome</v>
      </c>
      <c r="BE113" t="s">
        <v>9</v>
      </c>
      <c r="BF113" t="s">
        <v>173</v>
      </c>
      <c r="BG113" t="s">
        <v>354</v>
      </c>
      <c r="BI113" cm="1">
        <f t="array" ref="BI113">IFERROR(_xlfn._xlws.FILTER(shifts!A:A,(shifts!B:B=events!AD113)*(shifts!AG:AG&gt;=events!BK113)*(shifts!AH:AH&lt;=events!BL113)),BI112)</f>
        <v>4</v>
      </c>
      <c r="BJ113" s="15">
        <f t="shared" si="60"/>
        <v>0</v>
      </c>
      <c r="BK113">
        <f t="shared" si="67"/>
        <v>967</v>
      </c>
      <c r="BL113">
        <f t="shared" si="68"/>
        <v>967</v>
      </c>
      <c r="BM113" s="15">
        <f>SUMIFS(BJ$2:BJ113,K$2:K113,"=Intermission")+SUMIFS(BJ$2:BJ113,K$2:K113,"=Timeout")</f>
        <v>0</v>
      </c>
      <c r="BN113">
        <f t="shared" si="69"/>
        <v>0</v>
      </c>
      <c r="BO113" s="19">
        <f t="shared" si="70"/>
        <v>113</v>
      </c>
      <c r="BP113">
        <f t="shared" si="71"/>
        <v>108</v>
      </c>
      <c r="BQ113" s="17">
        <f t="shared" si="72"/>
        <v>113</v>
      </c>
      <c r="BR113" t="str">
        <f t="shared" si="73"/>
        <v>opp_team_player_1</v>
      </c>
      <c r="BS113">
        <f>COUNTIFS(S$3:S113,"="&amp;S113,AI$3:AI113,"="&amp;AI113)</f>
        <v>1</v>
      </c>
      <c r="BT113" t="str">
        <f>IFERROR(VLOOKUP(BB113&amp;BU113&amp;X113,game_rosters!U:W,3,FALSE),"")</f>
        <v>P100201</v>
      </c>
      <c r="BU113" t="str">
        <f t="shared" si="74"/>
        <v>Velodrome</v>
      </c>
    </row>
    <row r="114" spans="1:73" x14ac:dyDescent="0.2">
      <c r="A114">
        <f t="shared" si="61"/>
        <v>1</v>
      </c>
      <c r="E114" s="4"/>
      <c r="F114" s="43"/>
      <c r="G114" s="4"/>
      <c r="H114" s="46"/>
      <c r="J114" s="44" t="str">
        <f t="shared" si="75"/>
        <v/>
      </c>
      <c r="K114" t="s">
        <v>13</v>
      </c>
      <c r="L114" t="s">
        <v>756</v>
      </c>
      <c r="M114" t="s">
        <v>756</v>
      </c>
      <c r="N114" t="str">
        <f t="shared" si="78"/>
        <v/>
      </c>
      <c r="Q114" t="str">
        <f t="shared" si="76"/>
        <v/>
      </c>
      <c r="S114">
        <v>57</v>
      </c>
      <c r="U114" t="str">
        <f>IF(B114=1,MAX($U$2:$U113)+1,IF(AND($T114&lt;&gt;"",$T114=$T113),$U113,IF(B114="x",U113,"")))</f>
        <v/>
      </c>
      <c r="V114" t="str">
        <f>IF(C114=1,MAX($V$2:$V113)+1,IF(AND($T114&lt;&gt;"",$T114=$T113),$U113,IF(C114="x",V113,"")))</f>
        <v/>
      </c>
      <c r="W114" t="str">
        <f t="shared" si="50"/>
        <v>a</v>
      </c>
      <c r="X114">
        <v>93</v>
      </c>
      <c r="Y114" t="e">
        <f>IF(X114&lt;&gt;"",VLOOKUP(X114,game_rosters!$C$43:$E$64,3,FALSE))</f>
        <v>#N/A</v>
      </c>
      <c r="Z114" cm="1">
        <f t="array" ref="Z114">IFERROR(IF(_xlfn._xlws.FILTER(game_rosters!$J:$J,(game_rosters!$G:$G=events!$AN114)*(game_rosters!$J:$J=events!$X114))&gt;0,1,""),"")</f>
        <v>1</v>
      </c>
      <c r="AA114">
        <f t="shared" si="51"/>
        <v>1057</v>
      </c>
      <c r="AB114" t="str">
        <f t="shared" si="52"/>
        <v/>
      </c>
      <c r="AC114">
        <f t="shared" si="49"/>
        <v>1057</v>
      </c>
      <c r="AD114" s="6">
        <v>1</v>
      </c>
      <c r="AE114" t="s">
        <v>909</v>
      </c>
      <c r="AF114" t="s">
        <v>912</v>
      </c>
      <c r="AG114" t="s">
        <v>909</v>
      </c>
      <c r="AH114" t="s">
        <v>913</v>
      </c>
      <c r="AI114" t="s">
        <v>367</v>
      </c>
      <c r="AJ114" t="str">
        <f t="shared" si="79"/>
        <v/>
      </c>
      <c r="AK114" t="str">
        <f t="shared" si="79"/>
        <v/>
      </c>
      <c r="AL114" t="str">
        <f t="shared" si="54"/>
        <v/>
      </c>
      <c r="AN114" t="s">
        <v>862</v>
      </c>
      <c r="AO114" t="str">
        <f t="shared" si="55"/>
        <v>a</v>
      </c>
      <c r="AP114" t="str">
        <f t="shared" si="62"/>
        <v/>
      </c>
      <c r="AQ114" t="str">
        <f t="shared" si="63"/>
        <v/>
      </c>
      <c r="AR114" t="str">
        <f t="shared" si="64"/>
        <v>Away</v>
      </c>
      <c r="AS114" t="str">
        <f t="shared" si="65"/>
        <v>a</v>
      </c>
      <c r="AT114" t="str">
        <f t="shared" si="66"/>
        <v>Offensive</v>
      </c>
      <c r="BA114" s="6">
        <f t="shared" si="56"/>
        <v>28</v>
      </c>
      <c r="BB114">
        <f t="shared" si="57"/>
        <v>18981</v>
      </c>
      <c r="BC114" t="str">
        <f t="shared" si="58"/>
        <v>Nelson</v>
      </c>
      <c r="BD114" t="str">
        <f t="shared" si="59"/>
        <v>Velodrome</v>
      </c>
      <c r="BE114" t="s">
        <v>13</v>
      </c>
      <c r="BF114" t="s">
        <v>756</v>
      </c>
      <c r="BG114" t="s">
        <v>756</v>
      </c>
      <c r="BI114" cm="1">
        <f t="array" ref="BI114">IFERROR(_xlfn._xlws.FILTER(shifts!A:A,(shifts!B:B=events!AD114)*(shifts!AG:AG&gt;=events!BK114)*(shifts!AH:AH&lt;=events!BL114)),BI113)</f>
        <v>4</v>
      </c>
      <c r="BJ114" s="15">
        <f t="shared" si="60"/>
        <v>3</v>
      </c>
      <c r="BK114">
        <f t="shared" si="67"/>
        <v>965</v>
      </c>
      <c r="BL114">
        <f t="shared" si="68"/>
        <v>962</v>
      </c>
      <c r="BM114" s="15">
        <f>SUMIFS(BJ$2:BJ114,K$2:K114,"=Intermission")+SUMIFS(BJ$2:BJ114,K$2:K114,"=Timeout")</f>
        <v>0</v>
      </c>
      <c r="BN114">
        <f t="shared" si="69"/>
        <v>0</v>
      </c>
      <c r="BO114" s="19">
        <f t="shared" si="70"/>
        <v>115</v>
      </c>
      <c r="BP114">
        <f t="shared" si="71"/>
        <v>110</v>
      </c>
      <c r="BQ114" s="17">
        <f t="shared" si="72"/>
        <v>118</v>
      </c>
      <c r="BR114" t="str">
        <f t="shared" si="73"/>
        <v>event_team_player_1</v>
      </c>
      <c r="BS114">
        <f>COUNTIFS(S$3:S114,"="&amp;S114,AI$3:AI114,"="&amp;AI114)</f>
        <v>1</v>
      </c>
      <c r="BT114" t="str">
        <f>IFERROR(VLOOKUP(BB114&amp;BU114&amp;X114,game_rosters!U:W,3,FALSE),"")</f>
        <v>P100093</v>
      </c>
      <c r="BU114" t="str">
        <f t="shared" si="74"/>
        <v>Velodrome</v>
      </c>
    </row>
    <row r="115" spans="1:73" x14ac:dyDescent="0.2">
      <c r="A115">
        <f t="shared" si="61"/>
        <v>1</v>
      </c>
      <c r="E115" s="4"/>
      <c r="F115" s="43"/>
      <c r="G115" s="4"/>
      <c r="H115" s="46"/>
      <c r="J115" s="44" t="str">
        <f t="shared" si="75"/>
        <v/>
      </c>
      <c r="K115" t="s">
        <v>13</v>
      </c>
      <c r="L115" t="s">
        <v>756</v>
      </c>
      <c r="M115" t="s">
        <v>756</v>
      </c>
      <c r="N115" t="str">
        <f t="shared" si="78"/>
        <v/>
      </c>
      <c r="Q115" t="str">
        <f t="shared" si="76"/>
        <v/>
      </c>
      <c r="S115">
        <v>58</v>
      </c>
      <c r="U115" t="str">
        <f>IF(B115=1,MAX($U$2:$U114)+1,IF(AND($T115&lt;&gt;"",$T115=$T114),$U114,IF(B115="x",U114,"")))</f>
        <v/>
      </c>
      <c r="V115" t="str">
        <f>IF(C115=1,MAX($V$2:$V114)+1,IF(AND($T115&lt;&gt;"",$T115=$T114),$U114,IF(C115="x",V114,"")))</f>
        <v/>
      </c>
      <c r="W115" t="str">
        <f t="shared" si="50"/>
        <v>a</v>
      </c>
      <c r="X115">
        <v>93</v>
      </c>
      <c r="Y115" t="e">
        <f>IF(X115&lt;&gt;"",VLOOKUP(X115,game_rosters!$C$43:$E$64,3,FALSE))</f>
        <v>#N/A</v>
      </c>
      <c r="Z115" cm="1">
        <f t="array" ref="Z115">IFERROR(IF(_xlfn._xlws.FILTER(game_rosters!$J:$J,(game_rosters!$G:$G=events!$AN115)*(game_rosters!$J:$J=events!$X115))&gt;0,1,""),"")</f>
        <v>1</v>
      </c>
      <c r="AA115">
        <f t="shared" si="51"/>
        <v>1058</v>
      </c>
      <c r="AB115" t="str">
        <f t="shared" si="52"/>
        <v/>
      </c>
      <c r="AC115">
        <f t="shared" si="49"/>
        <v>1058</v>
      </c>
      <c r="AD115" s="6">
        <v>1</v>
      </c>
      <c r="AE115" t="s">
        <v>909</v>
      </c>
      <c r="AF115" t="s">
        <v>913</v>
      </c>
      <c r="AG115" t="s">
        <v>909</v>
      </c>
      <c r="AH115" t="s">
        <v>748</v>
      </c>
      <c r="AI115" t="s">
        <v>367</v>
      </c>
      <c r="AJ115" t="str">
        <f t="shared" si="79"/>
        <v/>
      </c>
      <c r="AK115" t="str">
        <f t="shared" si="79"/>
        <v/>
      </c>
      <c r="AL115" t="str">
        <f t="shared" si="54"/>
        <v/>
      </c>
      <c r="AN115" t="s">
        <v>862</v>
      </c>
      <c r="AO115" t="str">
        <f t="shared" si="55"/>
        <v>a</v>
      </c>
      <c r="AP115" t="str">
        <f t="shared" si="62"/>
        <v/>
      </c>
      <c r="AQ115" t="str">
        <f t="shared" si="63"/>
        <v/>
      </c>
      <c r="AR115" t="str">
        <f t="shared" si="64"/>
        <v>Away</v>
      </c>
      <c r="AS115" t="str">
        <f t="shared" si="65"/>
        <v>a</v>
      </c>
      <c r="AT115" t="str">
        <f t="shared" si="66"/>
        <v>Offensive</v>
      </c>
      <c r="BA115" s="6">
        <f t="shared" si="56"/>
        <v>28</v>
      </c>
      <c r="BB115">
        <f t="shared" si="57"/>
        <v>18981</v>
      </c>
      <c r="BC115" t="str">
        <f t="shared" si="58"/>
        <v>Nelson</v>
      </c>
      <c r="BD115" t="str">
        <f t="shared" si="59"/>
        <v>Velodrome</v>
      </c>
      <c r="BE115" t="s">
        <v>13</v>
      </c>
      <c r="BF115" t="s">
        <v>756</v>
      </c>
      <c r="BG115" t="s">
        <v>756</v>
      </c>
      <c r="BI115" cm="1">
        <f t="array" ref="BI115">IFERROR(_xlfn._xlws.FILTER(shifts!A:A,(shifts!B:B=events!AD115)*(shifts!AG:AG&gt;=events!BK115)*(shifts!AH:AH&lt;=events!BL115)),BI114)</f>
        <v>4</v>
      </c>
      <c r="BJ115" s="15">
        <f t="shared" si="60"/>
        <v>1</v>
      </c>
      <c r="BK115">
        <f t="shared" si="67"/>
        <v>962</v>
      </c>
      <c r="BL115">
        <f t="shared" si="68"/>
        <v>961</v>
      </c>
      <c r="BM115" s="15">
        <f>SUMIFS(BJ$2:BJ115,K$2:K115,"=Intermission")+SUMIFS(BJ$2:BJ115,K$2:K115,"=Timeout")</f>
        <v>0</v>
      </c>
      <c r="BN115">
        <f t="shared" si="69"/>
        <v>0</v>
      </c>
      <c r="BO115" s="19">
        <f t="shared" si="70"/>
        <v>118</v>
      </c>
      <c r="BP115">
        <f t="shared" si="71"/>
        <v>113</v>
      </c>
      <c r="BQ115" s="17">
        <f t="shared" si="72"/>
        <v>119</v>
      </c>
      <c r="BR115" t="str">
        <f t="shared" si="73"/>
        <v>event_team_player_1</v>
      </c>
      <c r="BS115">
        <f>COUNTIFS(S$3:S115,"="&amp;S115,AI$3:AI115,"="&amp;AI115)</f>
        <v>1</v>
      </c>
      <c r="BT115" t="str">
        <f>IFERROR(VLOOKUP(BB115&amp;BU115&amp;X115,game_rosters!U:W,3,FALSE),"")</f>
        <v>P100093</v>
      </c>
      <c r="BU115" t="str">
        <f t="shared" si="74"/>
        <v>Velodrome</v>
      </c>
    </row>
    <row r="116" spans="1:73" x14ac:dyDescent="0.2">
      <c r="A116">
        <f t="shared" si="61"/>
        <v>1</v>
      </c>
      <c r="E116" s="4"/>
      <c r="F116" s="43"/>
      <c r="G116" s="4"/>
      <c r="H116" s="46"/>
      <c r="J116" s="44" t="str">
        <f t="shared" si="75"/>
        <v/>
      </c>
      <c r="K116" t="s">
        <v>9</v>
      </c>
      <c r="L116" t="s">
        <v>173</v>
      </c>
      <c r="M116" t="s">
        <v>71</v>
      </c>
      <c r="N116" t="str">
        <f t="shared" si="78"/>
        <v>u</v>
      </c>
      <c r="Q116" t="str">
        <f t="shared" si="76"/>
        <v/>
      </c>
      <c r="S116">
        <v>59</v>
      </c>
      <c r="U116" t="str">
        <f>IF(B116=1,MAX($U$2:$U115)+1,IF(AND($T116&lt;&gt;"",$T116=$T115),$U115,IF(B116="x",U115,"")))</f>
        <v/>
      </c>
      <c r="V116" t="str">
        <f>IF(C116=1,MAX($V$2:$V115)+1,IF(AND($T116&lt;&gt;"",$T116=$T115),$U115,IF(C116="x",V115,"")))</f>
        <v/>
      </c>
      <c r="W116" t="str">
        <f t="shared" si="50"/>
        <v>a</v>
      </c>
      <c r="X116">
        <v>93</v>
      </c>
      <c r="Y116" t="e">
        <f>IF(X116&lt;&gt;"",VLOOKUP(X116,game_rosters!$C$43:$E$64,3,FALSE))</f>
        <v>#N/A</v>
      </c>
      <c r="Z116" cm="1">
        <f t="array" ref="Z116">IFERROR(IF(_xlfn._xlws.FILTER(game_rosters!$J:$J,(game_rosters!$G:$G=events!$AN116)*(game_rosters!$J:$J=events!$X116))&gt;0,1,""),"")</f>
        <v>1</v>
      </c>
      <c r="AA116">
        <f t="shared" si="51"/>
        <v>1059</v>
      </c>
      <c r="AB116" t="str">
        <f t="shared" si="52"/>
        <v/>
      </c>
      <c r="AC116">
        <f t="shared" si="49"/>
        <v>1059</v>
      </c>
      <c r="AD116" s="6">
        <v>1</v>
      </c>
      <c r="AE116" t="s">
        <v>909</v>
      </c>
      <c r="AF116" t="s">
        <v>748</v>
      </c>
      <c r="AG116" t="s">
        <v>756</v>
      </c>
      <c r="AH116" t="s">
        <v>756</v>
      </c>
      <c r="AI116" t="s">
        <v>367</v>
      </c>
      <c r="AJ116" t="str">
        <f t="shared" ref="AJ116:AK131" si="80">IF($J116&lt;&gt;"",$J116,IF($AC116=$AC115,AJ115,""))</f>
        <v/>
      </c>
      <c r="AK116" t="str">
        <f t="shared" si="80"/>
        <v/>
      </c>
      <c r="AL116" t="str">
        <f t="shared" si="54"/>
        <v/>
      </c>
      <c r="AN116" t="s">
        <v>862</v>
      </c>
      <c r="AO116" t="str">
        <f t="shared" si="55"/>
        <v>a</v>
      </c>
      <c r="AP116" t="str">
        <f t="shared" si="62"/>
        <v/>
      </c>
      <c r="AQ116" t="str">
        <f t="shared" si="63"/>
        <v/>
      </c>
      <c r="AR116" t="str">
        <f t="shared" si="64"/>
        <v>Away</v>
      </c>
      <c r="AS116" t="str">
        <f t="shared" si="65"/>
        <v>a</v>
      </c>
      <c r="AT116" t="str">
        <f t="shared" si="66"/>
        <v>Offensive</v>
      </c>
      <c r="BA116" s="6">
        <f t="shared" si="56"/>
        <v>28</v>
      </c>
      <c r="BB116">
        <f t="shared" si="57"/>
        <v>18981</v>
      </c>
      <c r="BC116" t="str">
        <f t="shared" si="58"/>
        <v>Nelson</v>
      </c>
      <c r="BD116" t="str">
        <f t="shared" si="59"/>
        <v>Velodrome</v>
      </c>
      <c r="BE116" t="s">
        <v>9</v>
      </c>
      <c r="BF116" t="s">
        <v>173</v>
      </c>
      <c r="BG116" t="s">
        <v>71</v>
      </c>
      <c r="BI116" cm="1">
        <f t="array" ref="BI116">IFERROR(_xlfn._xlws.FILTER(shifts!A:A,(shifts!B:B=events!AD116)*(shifts!AG:AG&gt;=events!BK116)*(shifts!AH:AH&lt;=events!BL116)),BI115)</f>
        <v>4</v>
      </c>
      <c r="BJ116" s="15">
        <f t="shared" si="60"/>
        <v>0</v>
      </c>
      <c r="BK116">
        <f t="shared" si="67"/>
        <v>961</v>
      </c>
      <c r="BL116">
        <f t="shared" si="68"/>
        <v>961</v>
      </c>
      <c r="BM116" s="15">
        <f>SUMIFS(BJ$2:BJ116,K$2:K116,"=Intermission")+SUMIFS(BJ$2:BJ116,K$2:K116,"=Timeout")</f>
        <v>0</v>
      </c>
      <c r="BN116">
        <f t="shared" si="69"/>
        <v>0</v>
      </c>
      <c r="BO116" s="19">
        <f t="shared" si="70"/>
        <v>119</v>
      </c>
      <c r="BP116">
        <f t="shared" si="71"/>
        <v>114</v>
      </c>
      <c r="BQ116" s="17">
        <f t="shared" si="72"/>
        <v>119</v>
      </c>
      <c r="BR116" t="str">
        <f t="shared" si="73"/>
        <v>event_team_player_1</v>
      </c>
      <c r="BS116">
        <f>COUNTIFS(S$3:S116,"="&amp;S116,AI$3:AI116,"="&amp;AI116)</f>
        <v>1</v>
      </c>
      <c r="BT116" t="str">
        <f>IFERROR(VLOOKUP(BB116&amp;BU116&amp;X116,game_rosters!U:W,3,FALSE),"")</f>
        <v>P100093</v>
      </c>
      <c r="BU116" t="str">
        <f t="shared" si="74"/>
        <v>Velodrome</v>
      </c>
    </row>
    <row r="117" spans="1:73" x14ac:dyDescent="0.2">
      <c r="A117">
        <f t="shared" si="61"/>
        <v>1</v>
      </c>
      <c r="E117" s="4"/>
      <c r="F117" s="43"/>
      <c r="G117" s="4"/>
      <c r="H117" s="46"/>
      <c r="J117" s="44" t="str">
        <f t="shared" si="75"/>
        <v/>
      </c>
      <c r="K117" t="s">
        <v>13</v>
      </c>
      <c r="L117" t="s">
        <v>756</v>
      </c>
      <c r="M117" t="s">
        <v>756</v>
      </c>
      <c r="N117" t="str">
        <f t="shared" si="78"/>
        <v/>
      </c>
      <c r="Q117" t="str">
        <f t="shared" si="76"/>
        <v/>
      </c>
      <c r="S117">
        <v>60</v>
      </c>
      <c r="U117" t="str">
        <f>IF(B117=1,MAX($U$2:$U116)+1,IF(AND($T117&lt;&gt;"",$T117=$T116),$U116,IF(B117="x",U116,"")))</f>
        <v/>
      </c>
      <c r="V117" t="str">
        <f>IF(C117=1,MAX($V$2:$V116)+1,IF(AND($T117&lt;&gt;"",$T117=$T116),$U116,IF(C117="x",V116,"")))</f>
        <v/>
      </c>
      <c r="W117" t="str">
        <f t="shared" si="50"/>
        <v>h</v>
      </c>
      <c r="X117">
        <v>44</v>
      </c>
      <c r="Y117" t="b">
        <f>IF(X117&lt;&gt;"",VLOOKUP(X117,game_rosters!$C$43:$E$64,3,FALSE))</f>
        <v>0</v>
      </c>
      <c r="Z117" cm="1">
        <f t="array" ref="Z117">IFERROR(IF(_xlfn._xlws.FILTER(game_rosters!$J:$J,(game_rosters!$G:$G=events!$AN117)*(game_rosters!$J:$J=events!$X117))&gt;0,1,""),"")</f>
        <v>1</v>
      </c>
      <c r="AA117">
        <f t="shared" si="51"/>
        <v>1060</v>
      </c>
      <c r="AB117" t="str">
        <f t="shared" si="52"/>
        <v/>
      </c>
      <c r="AC117">
        <f t="shared" si="49"/>
        <v>1060</v>
      </c>
      <c r="AD117" s="6">
        <v>1</v>
      </c>
      <c r="AE117" t="s">
        <v>909</v>
      </c>
      <c r="AF117" t="s">
        <v>748</v>
      </c>
      <c r="AG117" t="s">
        <v>744</v>
      </c>
      <c r="AH117" t="s">
        <v>896</v>
      </c>
      <c r="AI117" t="s">
        <v>367</v>
      </c>
      <c r="AJ117" t="str">
        <f t="shared" si="80"/>
        <v/>
      </c>
      <c r="AK117" t="str">
        <f t="shared" si="80"/>
        <v/>
      </c>
      <c r="AL117" t="str">
        <f t="shared" si="54"/>
        <v/>
      </c>
      <c r="AN117" t="s">
        <v>861</v>
      </c>
      <c r="AO117" t="str">
        <f t="shared" si="55"/>
        <v>h</v>
      </c>
      <c r="AP117" t="str">
        <f t="shared" si="62"/>
        <v/>
      </c>
      <c r="AQ117" t="str">
        <f t="shared" si="63"/>
        <v/>
      </c>
      <c r="AR117" t="str">
        <f t="shared" si="64"/>
        <v>Home</v>
      </c>
      <c r="AS117" t="str">
        <f t="shared" si="65"/>
        <v>h</v>
      </c>
      <c r="AT117" t="str">
        <f t="shared" si="66"/>
        <v>Offensive</v>
      </c>
      <c r="BA117" s="6">
        <f t="shared" si="56"/>
        <v>28</v>
      </c>
      <c r="BB117">
        <f t="shared" si="57"/>
        <v>18981</v>
      </c>
      <c r="BC117" t="str">
        <f t="shared" si="58"/>
        <v>Nelson</v>
      </c>
      <c r="BD117" t="str">
        <f t="shared" si="59"/>
        <v>Velodrome</v>
      </c>
      <c r="BE117" t="s">
        <v>13</v>
      </c>
      <c r="BF117" t="s">
        <v>756</v>
      </c>
      <c r="BG117" t="s">
        <v>756</v>
      </c>
      <c r="BI117" cm="1">
        <f t="array" ref="BI117">IFERROR(_xlfn._xlws.FILTER(shifts!A:A,(shifts!B:B=events!AD117)*(shifts!AG:AG&gt;=events!BK117)*(shifts!AH:AH&lt;=events!BL117)),BI116)</f>
        <v>4</v>
      </c>
      <c r="BJ117" s="15">
        <f t="shared" si="60"/>
        <v>2</v>
      </c>
      <c r="BK117">
        <f t="shared" si="67"/>
        <v>961</v>
      </c>
      <c r="BL117">
        <f t="shared" si="68"/>
        <v>959</v>
      </c>
      <c r="BM117" s="15">
        <f>SUMIFS(BJ$2:BJ117,K$2:K117,"=Intermission")+SUMIFS(BJ$2:BJ117,K$2:K117,"=Timeout")</f>
        <v>0</v>
      </c>
      <c r="BN117">
        <f t="shared" si="69"/>
        <v>0</v>
      </c>
      <c r="BO117" s="19">
        <f t="shared" si="70"/>
        <v>119</v>
      </c>
      <c r="BP117">
        <f t="shared" si="71"/>
        <v>114</v>
      </c>
      <c r="BQ117" s="17">
        <f t="shared" si="72"/>
        <v>121</v>
      </c>
      <c r="BR117" t="str">
        <f t="shared" si="73"/>
        <v>event_team_player_1</v>
      </c>
      <c r="BS117">
        <f>COUNTIFS(S$3:S117,"="&amp;S117,AI$3:AI117,"="&amp;AI117)</f>
        <v>1</v>
      </c>
      <c r="BT117" t="str">
        <f>IFERROR(VLOOKUP(BB117&amp;BU117&amp;X117,game_rosters!U:W,3,FALSE),"")</f>
        <v>P100079</v>
      </c>
      <c r="BU117" t="str">
        <f t="shared" si="74"/>
        <v>Nelson</v>
      </c>
    </row>
    <row r="118" spans="1:73" x14ac:dyDescent="0.2">
      <c r="A118">
        <f t="shared" si="61"/>
        <v>1</v>
      </c>
      <c r="E118" s="4"/>
      <c r="F118" s="43"/>
      <c r="G118" s="4"/>
      <c r="H118" s="46"/>
      <c r="J118" s="44" t="str">
        <f t="shared" si="75"/>
        <v/>
      </c>
      <c r="K118" t="s">
        <v>7</v>
      </c>
      <c r="L118" t="s">
        <v>192</v>
      </c>
      <c r="M118" t="s">
        <v>67</v>
      </c>
      <c r="N118" t="str">
        <f t="shared" si="78"/>
        <v>u</v>
      </c>
      <c r="Q118" t="str">
        <f t="shared" si="76"/>
        <v/>
      </c>
      <c r="S118">
        <v>61</v>
      </c>
      <c r="U118" t="str">
        <f>IF(B118=1,MAX($U$2:$U117)+1,IF(AND($T118&lt;&gt;"",$T118=$T117),$U117,IF(B118="x",U117,"")))</f>
        <v/>
      </c>
      <c r="V118" t="str">
        <f>IF(C118=1,MAX($V$2:$V117)+1,IF(AND($T118&lt;&gt;"",$T118=$T117),$U117,IF(C118="x",V117,"")))</f>
        <v/>
      </c>
      <c r="W118" t="str">
        <f t="shared" si="50"/>
        <v>h</v>
      </c>
      <c r="X118">
        <v>44</v>
      </c>
      <c r="Y118" t="b">
        <f>IF(X118&lt;&gt;"",VLOOKUP(X118,game_rosters!$C$43:$E$64,3,FALSE))</f>
        <v>0</v>
      </c>
      <c r="Z118" cm="1">
        <f t="array" ref="Z118">IFERROR(IF(_xlfn._xlws.FILTER(game_rosters!$J:$J,(game_rosters!$G:$G=events!$AN118)*(game_rosters!$J:$J=events!$X118))&gt;0,1,""),"")</f>
        <v>1</v>
      </c>
      <c r="AA118">
        <f t="shared" si="51"/>
        <v>1061</v>
      </c>
      <c r="AB118" t="str">
        <f t="shared" si="52"/>
        <v/>
      </c>
      <c r="AC118">
        <f t="shared" si="49"/>
        <v>1061</v>
      </c>
      <c r="AD118" s="6">
        <v>1</v>
      </c>
      <c r="AE118" t="s">
        <v>744</v>
      </c>
      <c r="AF118" t="s">
        <v>896</v>
      </c>
      <c r="AG118" t="s">
        <v>756</v>
      </c>
      <c r="AH118" t="s">
        <v>756</v>
      </c>
      <c r="AI118" t="s">
        <v>367</v>
      </c>
      <c r="AJ118" t="str">
        <f t="shared" si="80"/>
        <v/>
      </c>
      <c r="AK118" t="str">
        <f t="shared" si="80"/>
        <v/>
      </c>
      <c r="AL118" t="str">
        <f t="shared" si="54"/>
        <v/>
      </c>
      <c r="AN118" t="s">
        <v>861</v>
      </c>
      <c r="AO118" t="str">
        <f t="shared" si="55"/>
        <v>h</v>
      </c>
      <c r="AP118" t="str">
        <f t="shared" si="62"/>
        <v/>
      </c>
      <c r="AQ118" t="str">
        <f t="shared" si="63"/>
        <v/>
      </c>
      <c r="AR118" t="str">
        <f t="shared" si="64"/>
        <v>Home</v>
      </c>
      <c r="AS118" t="str">
        <f t="shared" si="65"/>
        <v>h</v>
      </c>
      <c r="AT118" t="str">
        <f t="shared" si="66"/>
        <v>Offensive</v>
      </c>
      <c r="BA118" s="6">
        <f t="shared" si="56"/>
        <v>28</v>
      </c>
      <c r="BB118">
        <f t="shared" si="57"/>
        <v>18981</v>
      </c>
      <c r="BC118" t="str">
        <f t="shared" si="58"/>
        <v>Nelson</v>
      </c>
      <c r="BD118" t="str">
        <f t="shared" si="59"/>
        <v>Velodrome</v>
      </c>
      <c r="BE118" t="s">
        <v>7</v>
      </c>
      <c r="BF118" t="s">
        <v>192</v>
      </c>
      <c r="BG118" t="s">
        <v>67</v>
      </c>
      <c r="BI118" cm="1">
        <f t="array" ref="BI118">IFERROR(_xlfn._xlws.FILTER(shifts!A:A,(shifts!B:B=events!AD118)*(shifts!AG:AG&gt;=events!BK118)*(shifts!AH:AH&lt;=events!BL118)),BI117)</f>
        <v>4</v>
      </c>
      <c r="BJ118" s="15">
        <f t="shared" si="60"/>
        <v>0</v>
      </c>
      <c r="BK118">
        <f t="shared" si="67"/>
        <v>959</v>
      </c>
      <c r="BL118">
        <f t="shared" si="68"/>
        <v>959</v>
      </c>
      <c r="BM118" s="15">
        <f>SUMIFS(BJ$2:BJ118,K$2:K118,"=Intermission")+SUMIFS(BJ$2:BJ118,K$2:K118,"=Timeout")</f>
        <v>0</v>
      </c>
      <c r="BN118">
        <f t="shared" si="69"/>
        <v>0</v>
      </c>
      <c r="BO118" s="19">
        <f t="shared" si="70"/>
        <v>121</v>
      </c>
      <c r="BP118">
        <f t="shared" si="71"/>
        <v>116</v>
      </c>
      <c r="BQ118" s="17">
        <f t="shared" si="72"/>
        <v>121</v>
      </c>
      <c r="BR118" t="str">
        <f t="shared" si="73"/>
        <v>event_team_player_1</v>
      </c>
      <c r="BS118">
        <f>COUNTIFS(S$3:S118,"="&amp;S118,AI$3:AI118,"="&amp;AI118)</f>
        <v>1</v>
      </c>
      <c r="BT118" t="str">
        <f>IFERROR(VLOOKUP(BB118&amp;BU118&amp;X118,game_rosters!U:W,3,FALSE),"")</f>
        <v>P100079</v>
      </c>
      <c r="BU118" t="str">
        <f t="shared" si="74"/>
        <v>Nelson</v>
      </c>
    </row>
    <row r="119" spans="1:73" x14ac:dyDescent="0.2">
      <c r="A119">
        <f t="shared" si="61"/>
        <v>1</v>
      </c>
      <c r="E119" s="4"/>
      <c r="F119" s="43"/>
      <c r="G119" s="4"/>
      <c r="H119" s="46"/>
      <c r="J119" s="44" t="str">
        <f t="shared" si="75"/>
        <v/>
      </c>
      <c r="K119" t="s">
        <v>7</v>
      </c>
      <c r="L119" t="s">
        <v>192</v>
      </c>
      <c r="M119" t="s">
        <v>67</v>
      </c>
      <c r="N119" t="str">
        <f t="shared" si="78"/>
        <v>u</v>
      </c>
      <c r="Q119" t="str">
        <f t="shared" si="76"/>
        <v/>
      </c>
      <c r="S119">
        <v>61</v>
      </c>
      <c r="U119" t="str">
        <f>IF(B119=1,MAX($U$2:$U118)+1,IF(AND($T119&lt;&gt;"",$T119=$T118),$U118,IF(B119="x",U118,"")))</f>
        <v/>
      </c>
      <c r="V119" t="str">
        <f>IF(C119=1,MAX($V$2:$V118)+1,IF(AND($T119&lt;&gt;"",$T119=$T118),$U118,IF(C119="x",V118,"")))</f>
        <v/>
      </c>
      <c r="W119" t="str">
        <f t="shared" si="50"/>
        <v>h</v>
      </c>
      <c r="X119">
        <v>52</v>
      </c>
      <c r="Y119" t="e">
        <f>IF(X119&lt;&gt;"",VLOOKUP(X119,game_rosters!$C$43:$E$64,3,FALSE))</f>
        <v>#N/A</v>
      </c>
      <c r="Z119" t="str" cm="1">
        <f t="array" ref="Z119">IFERROR(IF(_xlfn._xlws.FILTER(game_rosters!$J:$J,(game_rosters!$G:$G=events!$AN119)*(game_rosters!$J:$J=events!$X119))&gt;0,1,""),"")</f>
        <v/>
      </c>
      <c r="AA119">
        <f t="shared" si="51"/>
        <v>1061</v>
      </c>
      <c r="AB119" t="str">
        <f t="shared" si="52"/>
        <v/>
      </c>
      <c r="AC119">
        <f t="shared" si="49"/>
        <v>1061</v>
      </c>
      <c r="AD119" s="6">
        <v>1</v>
      </c>
      <c r="AE119" t="s">
        <v>744</v>
      </c>
      <c r="AF119" t="s">
        <v>896</v>
      </c>
      <c r="AG119" t="s">
        <v>756</v>
      </c>
      <c r="AH119" t="s">
        <v>756</v>
      </c>
      <c r="AI119" t="s">
        <v>368</v>
      </c>
      <c r="AJ119" t="str">
        <f t="shared" si="80"/>
        <v/>
      </c>
      <c r="AK119" t="str">
        <f t="shared" si="80"/>
        <v/>
      </c>
      <c r="AL119" t="str">
        <f t="shared" si="54"/>
        <v/>
      </c>
      <c r="AN119" t="s">
        <v>861</v>
      </c>
      <c r="AO119" t="str">
        <f t="shared" si="55"/>
        <v>h</v>
      </c>
      <c r="AP119" t="str">
        <f t="shared" si="62"/>
        <v/>
      </c>
      <c r="AQ119" t="str">
        <f t="shared" si="63"/>
        <v/>
      </c>
      <c r="AR119" t="str">
        <f t="shared" si="64"/>
        <v>Home</v>
      </c>
      <c r="AS119" t="str">
        <f t="shared" si="65"/>
        <v>h</v>
      </c>
      <c r="AT119" t="str">
        <f t="shared" si="66"/>
        <v>Defensive</v>
      </c>
      <c r="BA119" s="6">
        <f t="shared" si="56"/>
        <v>28</v>
      </c>
      <c r="BB119">
        <f t="shared" si="57"/>
        <v>18981</v>
      </c>
      <c r="BC119" t="str">
        <f t="shared" si="58"/>
        <v>Nelson</v>
      </c>
      <c r="BD119" t="str">
        <f t="shared" si="59"/>
        <v>Velodrome</v>
      </c>
      <c r="BE119" t="s">
        <v>7</v>
      </c>
      <c r="BF119" t="s">
        <v>192</v>
      </c>
      <c r="BG119" t="s">
        <v>67</v>
      </c>
      <c r="BI119" cm="1">
        <f t="array" ref="BI119">IFERROR(_xlfn._xlws.FILTER(shifts!A:A,(shifts!B:B=events!AD119)*(shifts!AG:AG&gt;=events!BK119)*(shifts!AH:AH&lt;=events!BL119)),BI118)</f>
        <v>4</v>
      </c>
      <c r="BJ119" s="15">
        <f t="shared" si="60"/>
        <v>0</v>
      </c>
      <c r="BK119">
        <f t="shared" si="67"/>
        <v>959</v>
      </c>
      <c r="BL119">
        <f t="shared" si="68"/>
        <v>959</v>
      </c>
      <c r="BM119" s="15">
        <f>SUMIFS(BJ$2:BJ119,K$2:K119,"=Intermission")+SUMIFS(BJ$2:BJ119,K$2:K119,"=Timeout")</f>
        <v>0</v>
      </c>
      <c r="BN119">
        <f t="shared" si="69"/>
        <v>0</v>
      </c>
      <c r="BO119" s="19">
        <f t="shared" si="70"/>
        <v>121</v>
      </c>
      <c r="BP119">
        <f t="shared" si="71"/>
        <v>116</v>
      </c>
      <c r="BQ119" s="17">
        <f t="shared" si="72"/>
        <v>121</v>
      </c>
      <c r="BR119" t="str">
        <f t="shared" si="73"/>
        <v>opp_team_player_1</v>
      </c>
      <c r="BS119">
        <f>COUNTIFS(S$3:S119,"="&amp;S119,AI$3:AI119,"="&amp;AI119)</f>
        <v>1</v>
      </c>
      <c r="BT119" t="str">
        <f>IFERROR(VLOOKUP(BB119&amp;BU119&amp;X119,game_rosters!U:W,3,FALSE),"")</f>
        <v>P100070</v>
      </c>
      <c r="BU119" t="str">
        <f t="shared" si="74"/>
        <v>Velodrome</v>
      </c>
    </row>
    <row r="120" spans="1:73" x14ac:dyDescent="0.2">
      <c r="A120">
        <f t="shared" si="61"/>
        <v>1</v>
      </c>
      <c r="E120" s="4"/>
      <c r="F120" s="43"/>
      <c r="G120" s="4"/>
      <c r="H120" s="46"/>
      <c r="J120" s="44" t="str">
        <f t="shared" si="75"/>
        <v/>
      </c>
      <c r="K120" t="s">
        <v>13</v>
      </c>
      <c r="L120" t="s">
        <v>756</v>
      </c>
      <c r="M120" t="s">
        <v>756</v>
      </c>
      <c r="N120" t="str">
        <f t="shared" si="78"/>
        <v/>
      </c>
      <c r="Q120" t="str">
        <f t="shared" si="76"/>
        <v/>
      </c>
      <c r="S120">
        <v>62</v>
      </c>
      <c r="U120" t="str">
        <f>IF(B120=1,MAX($U$2:$U119)+1,IF(AND($T120&lt;&gt;"",$T120=$T119),$U119,IF(B120="x",U119,"")))</f>
        <v/>
      </c>
      <c r="V120" t="str">
        <f>IF(C120=1,MAX($V$2:$V119)+1,IF(AND($T120&lt;&gt;"",$T120=$T119),$U119,IF(C120="x",V119,"")))</f>
        <v/>
      </c>
      <c r="W120" t="str">
        <f t="shared" si="50"/>
        <v>h</v>
      </c>
      <c r="X120">
        <v>80</v>
      </c>
      <c r="Y120" t="b">
        <f>IF(X120&lt;&gt;"",VLOOKUP(X120,game_rosters!$C$43:$E$64,3,FALSE))</f>
        <v>0</v>
      </c>
      <c r="Z120" cm="1">
        <f t="array" ref="Z120">IFERROR(IF(_xlfn._xlws.FILTER(game_rosters!$J:$J,(game_rosters!$G:$G=events!$AN120)*(game_rosters!$J:$J=events!$X120))&gt;0,1,""),"")</f>
        <v>1</v>
      </c>
      <c r="AA120">
        <f t="shared" si="51"/>
        <v>1062</v>
      </c>
      <c r="AB120" t="str">
        <f t="shared" si="52"/>
        <v/>
      </c>
      <c r="AC120">
        <f t="shared" si="49"/>
        <v>1062</v>
      </c>
      <c r="AD120" s="6">
        <v>1</v>
      </c>
      <c r="AE120" t="s">
        <v>744</v>
      </c>
      <c r="AF120" t="s">
        <v>733</v>
      </c>
      <c r="AG120" t="s">
        <v>744</v>
      </c>
      <c r="AH120" t="s">
        <v>753</v>
      </c>
      <c r="AI120" t="s">
        <v>367</v>
      </c>
      <c r="AJ120" t="str">
        <f t="shared" si="80"/>
        <v/>
      </c>
      <c r="AK120" t="str">
        <f t="shared" si="80"/>
        <v/>
      </c>
      <c r="AL120" t="str">
        <f t="shared" si="54"/>
        <v/>
      </c>
      <c r="AN120" t="s">
        <v>861</v>
      </c>
      <c r="AO120" t="str">
        <f t="shared" si="55"/>
        <v>h</v>
      </c>
      <c r="AP120" t="str">
        <f t="shared" si="62"/>
        <v/>
      </c>
      <c r="AQ120" t="str">
        <f t="shared" si="63"/>
        <v/>
      </c>
      <c r="AR120" t="str">
        <f t="shared" si="64"/>
        <v>Home</v>
      </c>
      <c r="AS120" t="str">
        <f t="shared" si="65"/>
        <v>h</v>
      </c>
      <c r="AT120" t="str">
        <f t="shared" si="66"/>
        <v>Offensive</v>
      </c>
      <c r="BA120" s="6">
        <f t="shared" si="56"/>
        <v>28</v>
      </c>
      <c r="BB120">
        <f t="shared" si="57"/>
        <v>18981</v>
      </c>
      <c r="BC120" t="str">
        <f t="shared" si="58"/>
        <v>Nelson</v>
      </c>
      <c r="BD120" t="str">
        <f t="shared" si="59"/>
        <v>Velodrome</v>
      </c>
      <c r="BE120" t="s">
        <v>13</v>
      </c>
      <c r="BF120" t="s">
        <v>756</v>
      </c>
      <c r="BG120" t="s">
        <v>756</v>
      </c>
      <c r="BI120" cm="1">
        <f t="array" ref="BI120">IFERROR(_xlfn._xlws.FILTER(shifts!A:A,(shifts!B:B=events!AD120)*(shifts!AG:AG&gt;=events!BK120)*(shifts!AH:AH&lt;=events!BL120)),BI119)</f>
        <v>4</v>
      </c>
      <c r="BJ120" s="15">
        <f t="shared" si="60"/>
        <v>1</v>
      </c>
      <c r="BK120">
        <f t="shared" si="67"/>
        <v>956</v>
      </c>
      <c r="BL120">
        <f t="shared" si="68"/>
        <v>955</v>
      </c>
      <c r="BM120" s="15">
        <f>SUMIFS(BJ$2:BJ120,K$2:K120,"=Intermission")+SUMIFS(BJ$2:BJ120,K$2:K120,"=Timeout")</f>
        <v>0</v>
      </c>
      <c r="BN120">
        <f t="shared" si="69"/>
        <v>0</v>
      </c>
      <c r="BO120" s="19">
        <f t="shared" si="70"/>
        <v>124</v>
      </c>
      <c r="BP120">
        <f t="shared" si="71"/>
        <v>119</v>
      </c>
      <c r="BQ120" s="17">
        <f t="shared" si="72"/>
        <v>125</v>
      </c>
      <c r="BR120" t="str">
        <f t="shared" si="73"/>
        <v>event_team_player_1</v>
      </c>
      <c r="BS120">
        <f>COUNTIFS(S$3:S120,"="&amp;S120,AI$3:AI120,"="&amp;AI120)</f>
        <v>1</v>
      </c>
      <c r="BT120" t="str">
        <f>IFERROR(VLOOKUP(BB120&amp;BU120&amp;X120,game_rosters!U:W,3,FALSE),"")</f>
        <v>P100197</v>
      </c>
      <c r="BU120" t="str">
        <f t="shared" si="74"/>
        <v>Nelson</v>
      </c>
    </row>
    <row r="121" spans="1:73" x14ac:dyDescent="0.2">
      <c r="A121">
        <f t="shared" si="61"/>
        <v>1</v>
      </c>
      <c r="E121" s="4"/>
      <c r="F121" s="43"/>
      <c r="G121" s="4"/>
      <c r="H121" s="46"/>
      <c r="J121" s="44" t="str">
        <f t="shared" si="75"/>
        <v/>
      </c>
      <c r="K121" t="s">
        <v>13</v>
      </c>
      <c r="L121" t="s">
        <v>756</v>
      </c>
      <c r="M121" t="s">
        <v>756</v>
      </c>
      <c r="N121" t="str">
        <f t="shared" si="78"/>
        <v/>
      </c>
      <c r="Q121" t="str">
        <f t="shared" si="76"/>
        <v/>
      </c>
      <c r="S121">
        <v>62</v>
      </c>
      <c r="U121" t="str">
        <f>IF(B121=1,MAX($U$2:$U120)+1,IF(AND($T121&lt;&gt;"",$T121=$T120),$U120,IF(B121="x",U120,"")))</f>
        <v/>
      </c>
      <c r="V121" t="str">
        <f>IF(C121=1,MAX($V$2:$V120)+1,IF(AND($T121&lt;&gt;"",$T121=$T120),$U120,IF(C121="x",V120,"")))</f>
        <v/>
      </c>
      <c r="W121" t="str">
        <f t="shared" si="50"/>
        <v>h</v>
      </c>
      <c r="X121">
        <v>42</v>
      </c>
      <c r="Y121" t="e">
        <f>IF(X121&lt;&gt;"",VLOOKUP(X121,game_rosters!$C$43:$E$64,3,FALSE))</f>
        <v>#N/A</v>
      </c>
      <c r="Z121" t="str" cm="1">
        <f t="array" ref="Z121">IFERROR(IF(_xlfn._xlws.FILTER(game_rosters!$J:$J,(game_rosters!$G:$G=events!$AN121)*(game_rosters!$J:$J=events!$X121))&gt;0,1,""),"")</f>
        <v/>
      </c>
      <c r="AA121">
        <f t="shared" si="51"/>
        <v>1062</v>
      </c>
      <c r="AB121" t="str">
        <f t="shared" si="52"/>
        <v/>
      </c>
      <c r="AC121">
        <f t="shared" si="49"/>
        <v>1062</v>
      </c>
      <c r="AD121" s="6">
        <v>1</v>
      </c>
      <c r="AE121" t="s">
        <v>744</v>
      </c>
      <c r="AF121" t="s">
        <v>733</v>
      </c>
      <c r="AG121" t="s">
        <v>744</v>
      </c>
      <c r="AH121" t="s">
        <v>753</v>
      </c>
      <c r="AI121" t="s">
        <v>368</v>
      </c>
      <c r="AJ121" t="str">
        <f t="shared" si="80"/>
        <v/>
      </c>
      <c r="AK121" t="str">
        <f t="shared" si="80"/>
        <v/>
      </c>
      <c r="AL121" t="str">
        <f t="shared" si="54"/>
        <v/>
      </c>
      <c r="AN121" t="s">
        <v>861</v>
      </c>
      <c r="AO121" t="str">
        <f t="shared" si="55"/>
        <v>h</v>
      </c>
      <c r="AP121" t="str">
        <f t="shared" si="62"/>
        <v/>
      </c>
      <c r="AQ121" t="str">
        <f t="shared" si="63"/>
        <v/>
      </c>
      <c r="AR121" t="str">
        <f t="shared" si="64"/>
        <v>Home</v>
      </c>
      <c r="AS121" t="str">
        <f t="shared" si="65"/>
        <v>h</v>
      </c>
      <c r="AT121" t="str">
        <f t="shared" si="66"/>
        <v>Defensive</v>
      </c>
      <c r="BA121" s="6">
        <f t="shared" si="56"/>
        <v>28</v>
      </c>
      <c r="BB121">
        <f t="shared" si="57"/>
        <v>18981</v>
      </c>
      <c r="BC121" t="str">
        <f t="shared" si="58"/>
        <v>Nelson</v>
      </c>
      <c r="BD121" t="str">
        <f t="shared" si="59"/>
        <v>Velodrome</v>
      </c>
      <c r="BE121" t="s">
        <v>13</v>
      </c>
      <c r="BF121" t="s">
        <v>756</v>
      </c>
      <c r="BG121" t="s">
        <v>756</v>
      </c>
      <c r="BI121" cm="1">
        <f t="array" ref="BI121">IFERROR(_xlfn._xlws.FILTER(shifts!A:A,(shifts!B:B=events!AD121)*(shifts!AG:AG&gt;=events!BK121)*(shifts!AH:AH&lt;=events!BL121)),BI120)</f>
        <v>4</v>
      </c>
      <c r="BJ121" s="15">
        <f t="shared" si="60"/>
        <v>1</v>
      </c>
      <c r="BK121">
        <f t="shared" si="67"/>
        <v>956</v>
      </c>
      <c r="BL121">
        <f t="shared" si="68"/>
        <v>955</v>
      </c>
      <c r="BM121" s="15">
        <f>SUMIFS(BJ$2:BJ121,K$2:K121,"=Intermission")+SUMIFS(BJ$2:BJ121,K$2:K121,"=Timeout")</f>
        <v>0</v>
      </c>
      <c r="BN121">
        <f t="shared" si="69"/>
        <v>0</v>
      </c>
      <c r="BO121" s="19">
        <f t="shared" si="70"/>
        <v>124</v>
      </c>
      <c r="BP121">
        <f t="shared" si="71"/>
        <v>119</v>
      </c>
      <c r="BQ121" s="17">
        <f t="shared" si="72"/>
        <v>125</v>
      </c>
      <c r="BR121" t="str">
        <f t="shared" si="73"/>
        <v>opp_team_player_1</v>
      </c>
      <c r="BS121">
        <f>COUNTIFS(S$3:S121,"="&amp;S121,AI$3:AI121,"="&amp;AI121)</f>
        <v>1</v>
      </c>
      <c r="BT121" t="str">
        <f>IFERROR(VLOOKUP(BB121&amp;BU121&amp;X121,game_rosters!U:W,3,FALSE),"")</f>
        <v>P100201</v>
      </c>
      <c r="BU121" t="str">
        <f t="shared" si="74"/>
        <v>Velodrome</v>
      </c>
    </row>
    <row r="122" spans="1:73" x14ac:dyDescent="0.2">
      <c r="A122">
        <f t="shared" si="61"/>
        <v>1</v>
      </c>
      <c r="E122" s="4"/>
      <c r="F122" s="43"/>
      <c r="G122" s="4"/>
      <c r="H122" s="46"/>
      <c r="J122" s="44" t="str">
        <f t="shared" si="75"/>
        <v/>
      </c>
      <c r="K122" t="s">
        <v>9</v>
      </c>
      <c r="L122" t="s">
        <v>173</v>
      </c>
      <c r="M122" t="s">
        <v>71</v>
      </c>
      <c r="N122" t="str">
        <f t="shared" si="78"/>
        <v>u</v>
      </c>
      <c r="Q122" t="str">
        <f t="shared" si="76"/>
        <v/>
      </c>
      <c r="S122">
        <v>63</v>
      </c>
      <c r="U122" t="str">
        <f>IF(B122=1,MAX($U$2:$U121)+1,IF(AND($T122&lt;&gt;"",$T122=$T121),$U121,IF(B122="x",U121,"")))</f>
        <v/>
      </c>
      <c r="V122" t="str">
        <f>IF(C122=1,MAX($V$2:$V121)+1,IF(AND($T122&lt;&gt;"",$T122=$T121),$U121,IF(C122="x",V121,"")))</f>
        <v/>
      </c>
      <c r="W122" t="str">
        <f t="shared" si="50"/>
        <v>h</v>
      </c>
      <c r="X122">
        <v>80</v>
      </c>
      <c r="Y122" t="b">
        <f>IF(X122&lt;&gt;"",VLOOKUP(X122,game_rosters!$C$43:$E$64,3,FALSE))</f>
        <v>0</v>
      </c>
      <c r="Z122" cm="1">
        <f t="array" ref="Z122">IFERROR(IF(_xlfn._xlws.FILTER(game_rosters!$J:$J,(game_rosters!$G:$G=events!$AN122)*(game_rosters!$J:$J=events!$X122))&gt;0,1,""),"")</f>
        <v>1</v>
      </c>
      <c r="AA122">
        <f t="shared" si="51"/>
        <v>1063</v>
      </c>
      <c r="AB122" t="str">
        <f t="shared" si="52"/>
        <v/>
      </c>
      <c r="AC122">
        <f t="shared" si="49"/>
        <v>1063</v>
      </c>
      <c r="AD122" s="6">
        <v>1</v>
      </c>
      <c r="AE122" t="s">
        <v>744</v>
      </c>
      <c r="AF122" t="s">
        <v>753</v>
      </c>
      <c r="AG122" t="s">
        <v>756</v>
      </c>
      <c r="AH122" t="s">
        <v>756</v>
      </c>
      <c r="AI122" t="s">
        <v>367</v>
      </c>
      <c r="AJ122" t="str">
        <f t="shared" si="80"/>
        <v/>
      </c>
      <c r="AK122" t="str">
        <f t="shared" si="80"/>
        <v/>
      </c>
      <c r="AL122" t="str">
        <f t="shared" si="54"/>
        <v/>
      </c>
      <c r="AN122" t="s">
        <v>861</v>
      </c>
      <c r="AO122" t="str">
        <f t="shared" si="55"/>
        <v>h</v>
      </c>
      <c r="AP122" t="str">
        <f t="shared" si="62"/>
        <v/>
      </c>
      <c r="AQ122" t="str">
        <f t="shared" si="63"/>
        <v/>
      </c>
      <c r="AR122" t="str">
        <f t="shared" si="64"/>
        <v>Home</v>
      </c>
      <c r="AS122" t="str">
        <f t="shared" si="65"/>
        <v>h</v>
      </c>
      <c r="AT122" t="str">
        <f t="shared" si="66"/>
        <v>Offensive</v>
      </c>
      <c r="BA122" s="6">
        <f t="shared" si="56"/>
        <v>28</v>
      </c>
      <c r="BB122">
        <f t="shared" si="57"/>
        <v>18981</v>
      </c>
      <c r="BC122" t="str">
        <f t="shared" si="58"/>
        <v>Nelson</v>
      </c>
      <c r="BD122" t="str">
        <f t="shared" si="59"/>
        <v>Velodrome</v>
      </c>
      <c r="BE122" t="s">
        <v>9</v>
      </c>
      <c r="BF122" t="s">
        <v>173</v>
      </c>
      <c r="BG122" t="s">
        <v>71</v>
      </c>
      <c r="BI122" cm="1">
        <f t="array" ref="BI122">IFERROR(_xlfn._xlws.FILTER(shifts!A:A,(shifts!B:B=events!AD122)*(shifts!AG:AG&gt;=events!BK122)*(shifts!AH:AH&lt;=events!BL122)),BI121)</f>
        <v>4</v>
      </c>
      <c r="BJ122" s="15">
        <f t="shared" si="60"/>
        <v>0</v>
      </c>
      <c r="BK122">
        <f t="shared" si="67"/>
        <v>955</v>
      </c>
      <c r="BL122">
        <f t="shared" si="68"/>
        <v>955</v>
      </c>
      <c r="BM122" s="15">
        <f>SUMIFS(BJ$2:BJ122,K$2:K122,"=Intermission")+SUMIFS(BJ$2:BJ122,K$2:K122,"=Timeout")</f>
        <v>0</v>
      </c>
      <c r="BN122">
        <f t="shared" si="69"/>
        <v>0</v>
      </c>
      <c r="BO122" s="19">
        <f t="shared" si="70"/>
        <v>125</v>
      </c>
      <c r="BP122">
        <f t="shared" si="71"/>
        <v>120</v>
      </c>
      <c r="BQ122" s="17">
        <f t="shared" si="72"/>
        <v>125</v>
      </c>
      <c r="BR122" t="str">
        <f t="shared" si="73"/>
        <v>event_team_player_1</v>
      </c>
      <c r="BS122">
        <f>COUNTIFS(S$3:S122,"="&amp;S122,AI$3:AI122,"="&amp;AI122)</f>
        <v>1</v>
      </c>
      <c r="BT122" t="str">
        <f>IFERROR(VLOOKUP(BB122&amp;BU122&amp;X122,game_rosters!U:W,3,FALSE),"")</f>
        <v>P100197</v>
      </c>
      <c r="BU122" t="str">
        <f t="shared" si="74"/>
        <v>Nelson</v>
      </c>
    </row>
    <row r="123" spans="1:73" x14ac:dyDescent="0.2">
      <c r="A123">
        <f t="shared" si="61"/>
        <v>1</v>
      </c>
      <c r="E123" s="4"/>
      <c r="F123" s="43"/>
      <c r="G123" s="4"/>
      <c r="H123" s="46"/>
      <c r="J123" s="44" t="str">
        <f t="shared" si="75"/>
        <v/>
      </c>
      <c r="K123" t="s">
        <v>13</v>
      </c>
      <c r="L123" t="s">
        <v>756</v>
      </c>
      <c r="M123" t="s">
        <v>756</v>
      </c>
      <c r="N123" t="str">
        <f t="shared" si="78"/>
        <v/>
      </c>
      <c r="Q123" t="str">
        <f t="shared" si="76"/>
        <v/>
      </c>
      <c r="S123">
        <v>64</v>
      </c>
      <c r="U123" t="str">
        <f>IF(B123=1,MAX($U$2:$U122)+1,IF(AND($T123&lt;&gt;"",$T123=$T122),$U122,IF(B123="x",U122,"")))</f>
        <v/>
      </c>
      <c r="V123" t="str">
        <f>IF(C123=1,MAX($V$2:$V122)+1,IF(AND($T123&lt;&gt;"",$T123=$T122),$U122,IF(C123="x",V122,"")))</f>
        <v/>
      </c>
      <c r="W123" t="str">
        <f t="shared" si="50"/>
        <v>a</v>
      </c>
      <c r="X123">
        <v>52</v>
      </c>
      <c r="Y123" t="e">
        <f>IF(X123&lt;&gt;"",VLOOKUP(X123,game_rosters!$C$43:$E$64,3,FALSE))</f>
        <v>#N/A</v>
      </c>
      <c r="Z123" cm="1">
        <f t="array" ref="Z123">IFERROR(IF(_xlfn._xlws.FILTER(game_rosters!$J:$J,(game_rosters!$G:$G=events!$AN123)*(game_rosters!$J:$J=events!$X123))&gt;0,1,""),"")</f>
        <v>1</v>
      </c>
      <c r="AA123">
        <f t="shared" si="51"/>
        <v>1064</v>
      </c>
      <c r="AB123" t="str">
        <f t="shared" si="52"/>
        <v/>
      </c>
      <c r="AC123">
        <f t="shared" si="49"/>
        <v>1064</v>
      </c>
      <c r="AD123" s="6">
        <v>1</v>
      </c>
      <c r="AE123" t="s">
        <v>744</v>
      </c>
      <c r="AF123" t="s">
        <v>921</v>
      </c>
      <c r="AG123" t="s">
        <v>744</v>
      </c>
      <c r="AH123" t="s">
        <v>898</v>
      </c>
      <c r="AI123" t="s">
        <v>367</v>
      </c>
      <c r="AJ123" t="str">
        <f t="shared" si="80"/>
        <v/>
      </c>
      <c r="AK123" t="str">
        <f t="shared" si="80"/>
        <v/>
      </c>
      <c r="AL123" t="str">
        <f t="shared" si="54"/>
        <v/>
      </c>
      <c r="AN123" t="s">
        <v>862</v>
      </c>
      <c r="AO123" t="str">
        <f t="shared" si="55"/>
        <v>a</v>
      </c>
      <c r="AP123" t="str">
        <f t="shared" si="62"/>
        <v/>
      </c>
      <c r="AQ123" t="str">
        <f t="shared" si="63"/>
        <v/>
      </c>
      <c r="AR123" t="str">
        <f t="shared" si="64"/>
        <v>Away</v>
      </c>
      <c r="AS123" t="str">
        <f t="shared" si="65"/>
        <v>a</v>
      </c>
      <c r="AT123" t="str">
        <f t="shared" si="66"/>
        <v>Offensive</v>
      </c>
      <c r="BA123" s="6">
        <f t="shared" si="56"/>
        <v>28</v>
      </c>
      <c r="BB123">
        <f t="shared" si="57"/>
        <v>18981</v>
      </c>
      <c r="BC123" t="str">
        <f t="shared" si="58"/>
        <v>Nelson</v>
      </c>
      <c r="BD123" t="str">
        <f t="shared" si="59"/>
        <v>Velodrome</v>
      </c>
      <c r="BE123" t="s">
        <v>13</v>
      </c>
      <c r="BF123" t="s">
        <v>756</v>
      </c>
      <c r="BG123" t="s">
        <v>756</v>
      </c>
      <c r="BI123" cm="1">
        <f t="array" ref="BI123">IFERROR(_xlfn._xlws.FILTER(shifts!A:A,(shifts!B:B=events!AD123)*(shifts!AG:AG&gt;=events!BK123)*(shifts!AH:AH&lt;=events!BL123)),BI122)</f>
        <v>4</v>
      </c>
      <c r="BJ123" s="15">
        <f t="shared" si="60"/>
        <v>2</v>
      </c>
      <c r="BK123">
        <f t="shared" si="67"/>
        <v>953</v>
      </c>
      <c r="BL123">
        <f t="shared" si="68"/>
        <v>951</v>
      </c>
      <c r="BM123" s="15">
        <f>SUMIFS(BJ$2:BJ123,K$2:K123,"=Intermission")+SUMIFS(BJ$2:BJ123,K$2:K123,"=Timeout")</f>
        <v>0</v>
      </c>
      <c r="BN123">
        <f t="shared" si="69"/>
        <v>0</v>
      </c>
      <c r="BO123" s="19">
        <f t="shared" si="70"/>
        <v>127</v>
      </c>
      <c r="BP123">
        <f t="shared" si="71"/>
        <v>122</v>
      </c>
      <c r="BQ123" s="17">
        <f t="shared" si="72"/>
        <v>129</v>
      </c>
      <c r="BR123" t="str">
        <f t="shared" si="73"/>
        <v>event_team_player_1</v>
      </c>
      <c r="BS123">
        <f>COUNTIFS(S$3:S123,"="&amp;S123,AI$3:AI123,"="&amp;AI123)</f>
        <v>1</v>
      </c>
      <c r="BT123" t="str">
        <f>IFERROR(VLOOKUP(BB123&amp;BU123&amp;X123,game_rosters!U:W,3,FALSE),"")</f>
        <v>P100070</v>
      </c>
      <c r="BU123" t="str">
        <f t="shared" si="74"/>
        <v>Velodrome</v>
      </c>
    </row>
    <row r="124" spans="1:73" x14ac:dyDescent="0.2">
      <c r="A124">
        <f t="shared" si="61"/>
        <v>1</v>
      </c>
      <c r="E124" s="4"/>
      <c r="F124" s="43"/>
      <c r="G124" s="4"/>
      <c r="H124" s="46"/>
      <c r="J124" s="44" t="str">
        <f t="shared" si="75"/>
        <v/>
      </c>
      <c r="K124" t="s">
        <v>7</v>
      </c>
      <c r="L124" t="s">
        <v>172</v>
      </c>
      <c r="M124" t="s">
        <v>68</v>
      </c>
      <c r="N124" t="str">
        <f t="shared" si="78"/>
        <v>s</v>
      </c>
      <c r="Q124" t="str">
        <f t="shared" si="76"/>
        <v/>
      </c>
      <c r="S124">
        <v>65</v>
      </c>
      <c r="U124" t="str">
        <f>IF(B124=1,MAX($U$2:$U123)+1,IF(AND($T124&lt;&gt;"",$T124=$T123),$U123,IF(B124="x",U123,"")))</f>
        <v/>
      </c>
      <c r="V124" t="str">
        <f>IF(C124=1,MAX($V$2:$V123)+1,IF(AND($T124&lt;&gt;"",$T124=$T123),$U123,IF(C124="x",V123,"")))</f>
        <v/>
      </c>
      <c r="W124" t="str">
        <f t="shared" si="50"/>
        <v>a</v>
      </c>
      <c r="X124">
        <v>52</v>
      </c>
      <c r="Y124" t="e">
        <f>IF(X124&lt;&gt;"",VLOOKUP(X124,game_rosters!$C$43:$E$64,3,FALSE))</f>
        <v>#N/A</v>
      </c>
      <c r="Z124" cm="1">
        <f t="array" ref="Z124">IFERROR(IF(_xlfn._xlws.FILTER(game_rosters!$J:$J,(game_rosters!$G:$G=events!$AN124)*(game_rosters!$J:$J=events!$X124))&gt;0,1,""),"")</f>
        <v>1</v>
      </c>
      <c r="AA124">
        <f t="shared" si="51"/>
        <v>1065</v>
      </c>
      <c r="AB124" t="str">
        <f t="shared" si="52"/>
        <v/>
      </c>
      <c r="AC124">
        <f t="shared" si="49"/>
        <v>1065</v>
      </c>
      <c r="AD124" s="6">
        <v>1</v>
      </c>
      <c r="AE124" t="s">
        <v>744</v>
      </c>
      <c r="AF124" t="s">
        <v>898</v>
      </c>
      <c r="AG124" t="s">
        <v>756</v>
      </c>
      <c r="AH124" t="s">
        <v>756</v>
      </c>
      <c r="AI124" t="s">
        <v>367</v>
      </c>
      <c r="AJ124" t="str">
        <f t="shared" si="80"/>
        <v/>
      </c>
      <c r="AK124" t="str">
        <f t="shared" si="80"/>
        <v/>
      </c>
      <c r="AL124" t="str">
        <f t="shared" si="54"/>
        <v/>
      </c>
      <c r="AN124" t="s">
        <v>862</v>
      </c>
      <c r="AO124" t="str">
        <f t="shared" si="55"/>
        <v>a</v>
      </c>
      <c r="AP124" t="str">
        <f t="shared" si="62"/>
        <v/>
      </c>
      <c r="AQ124" t="str">
        <f t="shared" si="63"/>
        <v/>
      </c>
      <c r="AR124" t="str">
        <f t="shared" si="64"/>
        <v>Away</v>
      </c>
      <c r="AS124" t="str">
        <f t="shared" si="65"/>
        <v>a</v>
      </c>
      <c r="AT124" t="str">
        <f t="shared" si="66"/>
        <v>Offensive</v>
      </c>
      <c r="BA124" s="6">
        <f t="shared" si="56"/>
        <v>28</v>
      </c>
      <c r="BB124">
        <f t="shared" si="57"/>
        <v>18981</v>
      </c>
      <c r="BC124" t="str">
        <f t="shared" si="58"/>
        <v>Nelson</v>
      </c>
      <c r="BD124" t="str">
        <f t="shared" si="59"/>
        <v>Velodrome</v>
      </c>
      <c r="BE124" t="s">
        <v>7</v>
      </c>
      <c r="BF124" t="s">
        <v>172</v>
      </c>
      <c r="BG124" t="s">
        <v>68</v>
      </c>
      <c r="BI124" cm="1">
        <f t="array" ref="BI124">IFERROR(_xlfn._xlws.FILTER(shifts!A:A,(shifts!B:B=events!AD124)*(shifts!AG:AG&gt;=events!BK124)*(shifts!AH:AH&lt;=events!BL124)),BI123)</f>
        <v>4</v>
      </c>
      <c r="BJ124" s="15">
        <f t="shared" si="60"/>
        <v>0</v>
      </c>
      <c r="BK124">
        <f t="shared" si="67"/>
        <v>951</v>
      </c>
      <c r="BL124">
        <f t="shared" si="68"/>
        <v>951</v>
      </c>
      <c r="BM124" s="15">
        <f>SUMIFS(BJ$2:BJ124,K$2:K124,"=Intermission")+SUMIFS(BJ$2:BJ124,K$2:K124,"=Timeout")</f>
        <v>0</v>
      </c>
      <c r="BN124">
        <f t="shared" si="69"/>
        <v>0</v>
      </c>
      <c r="BO124" s="19">
        <f t="shared" si="70"/>
        <v>129</v>
      </c>
      <c r="BP124">
        <f t="shared" si="71"/>
        <v>124</v>
      </c>
      <c r="BQ124" s="17">
        <f t="shared" si="72"/>
        <v>129</v>
      </c>
      <c r="BR124" t="str">
        <f t="shared" si="73"/>
        <v>event_team_player_1</v>
      </c>
      <c r="BS124">
        <f>COUNTIFS(S$3:S124,"="&amp;S124,AI$3:AI124,"="&amp;AI124)</f>
        <v>1</v>
      </c>
      <c r="BT124" t="str">
        <f>IFERROR(VLOOKUP(BB124&amp;BU124&amp;X124,game_rosters!U:W,3,FALSE),"")</f>
        <v>P100070</v>
      </c>
      <c r="BU124" t="str">
        <f t="shared" si="74"/>
        <v>Velodrome</v>
      </c>
    </row>
    <row r="125" spans="1:73" x14ac:dyDescent="0.2">
      <c r="A125">
        <f t="shared" si="61"/>
        <v>1</v>
      </c>
      <c r="E125" s="4"/>
      <c r="F125" s="43"/>
      <c r="G125" s="4"/>
      <c r="H125" s="46"/>
      <c r="J125" s="44" t="str">
        <f t="shared" si="75"/>
        <v/>
      </c>
      <c r="K125" t="s">
        <v>7</v>
      </c>
      <c r="L125" t="s">
        <v>172</v>
      </c>
      <c r="M125" t="s">
        <v>68</v>
      </c>
      <c r="N125" t="str">
        <f t="shared" si="78"/>
        <v>s</v>
      </c>
      <c r="Q125" t="str">
        <f t="shared" si="76"/>
        <v/>
      </c>
      <c r="S125">
        <v>65</v>
      </c>
      <c r="U125" t="str">
        <f>IF(B125=1,MAX($U$2:$U124)+1,IF(AND($T125&lt;&gt;"",$T125=$T124),$U124,IF(B125="x",U124,"")))</f>
        <v/>
      </c>
      <c r="V125" t="str">
        <f>IF(C125=1,MAX($V$2:$V124)+1,IF(AND($T125&lt;&gt;"",$T125=$T124),$U124,IF(C125="x",V124,"")))</f>
        <v/>
      </c>
      <c r="W125" t="str">
        <f t="shared" si="50"/>
        <v>a</v>
      </c>
      <c r="X125">
        <v>91</v>
      </c>
      <c r="Y125" t="e">
        <f>IF(X125&lt;&gt;"",VLOOKUP(X125,game_rosters!$C$43:$E$64,3,FALSE))</f>
        <v>#N/A</v>
      </c>
      <c r="Z125" cm="1">
        <f t="array" ref="Z125">IFERROR(IF(_xlfn._xlws.FILTER(game_rosters!$J:$J,(game_rosters!$G:$G=events!$AN125)*(game_rosters!$J:$J=events!$X125))&gt;0,1,""),"")</f>
        <v>1</v>
      </c>
      <c r="AA125">
        <f t="shared" si="51"/>
        <v>1065</v>
      </c>
      <c r="AB125" t="str">
        <f t="shared" si="52"/>
        <v/>
      </c>
      <c r="AC125">
        <f t="shared" si="49"/>
        <v>1065</v>
      </c>
      <c r="AD125" s="6">
        <v>1</v>
      </c>
      <c r="AE125" t="s">
        <v>744</v>
      </c>
      <c r="AF125" t="s">
        <v>898</v>
      </c>
      <c r="AG125" t="s">
        <v>756</v>
      </c>
      <c r="AH125" t="s">
        <v>756</v>
      </c>
      <c r="AI125" t="s">
        <v>367</v>
      </c>
      <c r="AJ125" t="str">
        <f t="shared" si="80"/>
        <v/>
      </c>
      <c r="AK125" t="str">
        <f t="shared" si="80"/>
        <v/>
      </c>
      <c r="AL125" t="str">
        <f t="shared" si="54"/>
        <v/>
      </c>
      <c r="AN125" t="s">
        <v>862</v>
      </c>
      <c r="AO125" t="str">
        <f t="shared" si="55"/>
        <v>a</v>
      </c>
      <c r="AP125" t="str">
        <f t="shared" si="62"/>
        <v/>
      </c>
      <c r="AQ125" t="str">
        <f t="shared" si="63"/>
        <v/>
      </c>
      <c r="AR125" t="str">
        <f t="shared" si="64"/>
        <v>Away</v>
      </c>
      <c r="AS125" t="str">
        <f t="shared" si="65"/>
        <v>a</v>
      </c>
      <c r="AT125" t="str">
        <f t="shared" si="66"/>
        <v>Offensive</v>
      </c>
      <c r="BA125" s="6">
        <f t="shared" si="56"/>
        <v>28</v>
      </c>
      <c r="BB125">
        <f t="shared" si="57"/>
        <v>18981</v>
      </c>
      <c r="BC125" t="str">
        <f t="shared" si="58"/>
        <v>Nelson</v>
      </c>
      <c r="BD125" t="str">
        <f t="shared" si="59"/>
        <v>Velodrome</v>
      </c>
      <c r="BE125" t="s">
        <v>7</v>
      </c>
      <c r="BF125" t="s">
        <v>172</v>
      </c>
      <c r="BG125" t="s">
        <v>68</v>
      </c>
      <c r="BI125" cm="1">
        <f t="array" ref="BI125">IFERROR(_xlfn._xlws.FILTER(shifts!A:A,(shifts!B:B=events!AD125)*(shifts!AG:AG&gt;=events!BK125)*(shifts!AH:AH&lt;=events!BL125)),BI124)</f>
        <v>4</v>
      </c>
      <c r="BJ125" s="15">
        <f t="shared" si="60"/>
        <v>0</v>
      </c>
      <c r="BK125">
        <f t="shared" si="67"/>
        <v>951</v>
      </c>
      <c r="BL125">
        <f t="shared" si="68"/>
        <v>951</v>
      </c>
      <c r="BM125" s="15">
        <f>SUMIFS(BJ$2:BJ125,K$2:K125,"=Intermission")+SUMIFS(BJ$2:BJ125,K$2:K125,"=Timeout")</f>
        <v>0</v>
      </c>
      <c r="BN125">
        <f t="shared" si="69"/>
        <v>0</v>
      </c>
      <c r="BO125" s="19">
        <f t="shared" si="70"/>
        <v>129</v>
      </c>
      <c r="BP125">
        <f t="shared" si="71"/>
        <v>124</v>
      </c>
      <c r="BQ125" s="17">
        <f t="shared" si="72"/>
        <v>129</v>
      </c>
      <c r="BR125" t="str">
        <f t="shared" si="73"/>
        <v>event_team_player_2</v>
      </c>
      <c r="BS125">
        <f>COUNTIFS(S$3:S125,"="&amp;S125,AI$3:AI125,"="&amp;AI125)</f>
        <v>2</v>
      </c>
      <c r="BT125" t="str">
        <f>IFERROR(VLOOKUP(BB125&amp;BU125&amp;X125,game_rosters!U:W,3,FALSE),"")</f>
        <v>P100002</v>
      </c>
      <c r="BU125" t="str">
        <f t="shared" si="74"/>
        <v>Velodrome</v>
      </c>
    </row>
    <row r="126" spans="1:73" x14ac:dyDescent="0.2">
      <c r="A126">
        <f t="shared" si="61"/>
        <v>1</v>
      </c>
      <c r="E126" s="4"/>
      <c r="F126" s="43"/>
      <c r="G126" s="4"/>
      <c r="H126" s="46"/>
      <c r="J126" s="44" t="str">
        <f t="shared" si="75"/>
        <v/>
      </c>
      <c r="K126" t="s">
        <v>13</v>
      </c>
      <c r="L126" t="s">
        <v>756</v>
      </c>
      <c r="M126" t="s">
        <v>756</v>
      </c>
      <c r="N126" t="str">
        <f t="shared" si="78"/>
        <v/>
      </c>
      <c r="Q126" t="str">
        <f t="shared" si="76"/>
        <v/>
      </c>
      <c r="S126">
        <v>66</v>
      </c>
      <c r="U126" t="str">
        <f>IF(B126=1,MAX($U$2:$U125)+1,IF(AND($T126&lt;&gt;"",$T126=$T125),$U125,IF(B126="x",U125,"")))</f>
        <v/>
      </c>
      <c r="V126" t="str">
        <f>IF(C126=1,MAX($V$2:$V125)+1,IF(AND($T126&lt;&gt;"",$T126=$T125),$U125,IF(C126="x",V125,"")))</f>
        <v/>
      </c>
      <c r="W126" t="str">
        <f t="shared" si="50"/>
        <v>a</v>
      </c>
      <c r="X126">
        <v>91</v>
      </c>
      <c r="Y126" t="e">
        <f>IF(X126&lt;&gt;"",VLOOKUP(X126,game_rosters!$C$43:$E$64,3,FALSE))</f>
        <v>#N/A</v>
      </c>
      <c r="Z126" cm="1">
        <f t="array" ref="Z126">IFERROR(IF(_xlfn._xlws.FILTER(game_rosters!$J:$J,(game_rosters!$G:$G=events!$AN126)*(game_rosters!$J:$J=events!$X126))&gt;0,1,""),"")</f>
        <v>1</v>
      </c>
      <c r="AA126">
        <f t="shared" si="51"/>
        <v>1066</v>
      </c>
      <c r="AB126" t="str">
        <f t="shared" si="52"/>
        <v/>
      </c>
      <c r="AC126">
        <f t="shared" si="49"/>
        <v>1066</v>
      </c>
      <c r="AD126" s="6">
        <v>1</v>
      </c>
      <c r="AE126" t="s">
        <v>744</v>
      </c>
      <c r="AF126" t="s">
        <v>922</v>
      </c>
      <c r="AG126" t="s">
        <v>744</v>
      </c>
      <c r="AH126" t="s">
        <v>900</v>
      </c>
      <c r="AI126" t="s">
        <v>367</v>
      </c>
      <c r="AJ126" t="str">
        <f t="shared" si="80"/>
        <v/>
      </c>
      <c r="AK126" t="str">
        <f t="shared" si="80"/>
        <v/>
      </c>
      <c r="AL126" t="str">
        <f t="shared" si="54"/>
        <v/>
      </c>
      <c r="AN126" t="s">
        <v>862</v>
      </c>
      <c r="AO126" t="str">
        <f t="shared" si="55"/>
        <v>a</v>
      </c>
      <c r="AP126" t="str">
        <f t="shared" si="62"/>
        <v/>
      </c>
      <c r="AQ126" t="str">
        <f t="shared" si="63"/>
        <v/>
      </c>
      <c r="AR126" t="str">
        <f t="shared" si="64"/>
        <v>Away</v>
      </c>
      <c r="AS126" t="str">
        <f t="shared" si="65"/>
        <v>a</v>
      </c>
      <c r="AT126" t="str">
        <f t="shared" si="66"/>
        <v>Offensive</v>
      </c>
      <c r="BA126" s="6">
        <f t="shared" si="56"/>
        <v>28</v>
      </c>
      <c r="BB126">
        <f t="shared" si="57"/>
        <v>18981</v>
      </c>
      <c r="BC126" t="str">
        <f t="shared" si="58"/>
        <v>Nelson</v>
      </c>
      <c r="BD126" t="str">
        <f t="shared" si="59"/>
        <v>Velodrome</v>
      </c>
      <c r="BE126" t="s">
        <v>13</v>
      </c>
      <c r="BF126" t="s">
        <v>756</v>
      </c>
      <c r="BG126" t="s">
        <v>756</v>
      </c>
      <c r="BI126" cm="1">
        <f t="array" ref="BI126">IFERROR(_xlfn._xlws.FILTER(shifts!A:A,(shifts!B:B=events!AD126)*(shifts!AG:AG&gt;=events!BK126)*(shifts!AH:AH&lt;=events!BL126)),BI125)</f>
        <v>4</v>
      </c>
      <c r="BJ126" s="15">
        <f t="shared" si="60"/>
        <v>3</v>
      </c>
      <c r="BK126">
        <f t="shared" si="67"/>
        <v>950</v>
      </c>
      <c r="BL126">
        <f t="shared" si="68"/>
        <v>947</v>
      </c>
      <c r="BM126" s="15">
        <f>SUMIFS(BJ$2:BJ126,K$2:K126,"=Intermission")+SUMIFS(BJ$2:BJ126,K$2:K126,"=Timeout")</f>
        <v>0</v>
      </c>
      <c r="BN126">
        <f t="shared" si="69"/>
        <v>0</v>
      </c>
      <c r="BO126" s="19">
        <f t="shared" si="70"/>
        <v>130</v>
      </c>
      <c r="BP126">
        <f t="shared" si="71"/>
        <v>125</v>
      </c>
      <c r="BQ126" s="17">
        <f t="shared" si="72"/>
        <v>133</v>
      </c>
      <c r="BR126" t="str">
        <f t="shared" si="73"/>
        <v>event_team_player_1</v>
      </c>
      <c r="BS126">
        <f>COUNTIFS(S$3:S126,"="&amp;S126,AI$3:AI126,"="&amp;AI126)</f>
        <v>1</v>
      </c>
      <c r="BT126" t="str">
        <f>IFERROR(VLOOKUP(BB126&amp;BU126&amp;X126,game_rosters!U:W,3,FALSE),"")</f>
        <v>P100002</v>
      </c>
      <c r="BU126" t="str">
        <f t="shared" si="74"/>
        <v>Velodrome</v>
      </c>
    </row>
    <row r="127" spans="1:73" x14ac:dyDescent="0.2">
      <c r="A127">
        <f t="shared" si="61"/>
        <v>1</v>
      </c>
      <c r="E127" s="4"/>
      <c r="F127" s="43"/>
      <c r="G127" s="4"/>
      <c r="H127" s="46"/>
      <c r="J127" s="44" t="str">
        <f t="shared" si="75"/>
        <v/>
      </c>
      <c r="K127" t="s">
        <v>7</v>
      </c>
      <c r="L127" t="s">
        <v>182</v>
      </c>
      <c r="M127" t="s">
        <v>68</v>
      </c>
      <c r="N127" t="str">
        <f t="shared" si="78"/>
        <v>u</v>
      </c>
      <c r="Q127" t="str">
        <f t="shared" si="76"/>
        <v/>
      </c>
      <c r="S127">
        <v>67</v>
      </c>
      <c r="U127" t="str">
        <f>IF(B127=1,MAX($U$2:$U126)+1,IF(AND($T127&lt;&gt;"",$T127=$T126),$U126,IF(B127="x",U126,"")))</f>
        <v/>
      </c>
      <c r="V127" t="str">
        <f>IF(C127=1,MAX($V$2:$V126)+1,IF(AND($T127&lt;&gt;"",$T127=$T126),$U126,IF(C127="x",V126,"")))</f>
        <v/>
      </c>
      <c r="W127" t="str">
        <f t="shared" si="50"/>
        <v>a</v>
      </c>
      <c r="X127">
        <v>91</v>
      </c>
      <c r="Y127" t="e">
        <f>IF(X127&lt;&gt;"",VLOOKUP(X127,game_rosters!$C$43:$E$64,3,FALSE))</f>
        <v>#N/A</v>
      </c>
      <c r="Z127" cm="1">
        <f t="array" ref="Z127">IFERROR(IF(_xlfn._xlws.FILTER(game_rosters!$J:$J,(game_rosters!$G:$G=events!$AN127)*(game_rosters!$J:$J=events!$X127))&gt;0,1,""),"")</f>
        <v>1</v>
      </c>
      <c r="AA127">
        <f t="shared" si="51"/>
        <v>1067</v>
      </c>
      <c r="AB127" t="str">
        <f t="shared" si="52"/>
        <v/>
      </c>
      <c r="AC127">
        <f t="shared" si="49"/>
        <v>1067</v>
      </c>
      <c r="AD127" s="6">
        <v>1</v>
      </c>
      <c r="AE127" t="s">
        <v>744</v>
      </c>
      <c r="AF127" t="s">
        <v>900</v>
      </c>
      <c r="AG127" t="s">
        <v>756</v>
      </c>
      <c r="AH127" t="s">
        <v>756</v>
      </c>
      <c r="AI127" t="s">
        <v>367</v>
      </c>
      <c r="AJ127" t="str">
        <f t="shared" si="80"/>
        <v/>
      </c>
      <c r="AK127" t="str">
        <f t="shared" si="80"/>
        <v/>
      </c>
      <c r="AL127" t="str">
        <f t="shared" si="54"/>
        <v/>
      </c>
      <c r="AN127" t="s">
        <v>862</v>
      </c>
      <c r="AO127" t="str">
        <f t="shared" si="55"/>
        <v>a</v>
      </c>
      <c r="AP127" t="str">
        <f t="shared" si="62"/>
        <v/>
      </c>
      <c r="AQ127" t="str">
        <f t="shared" si="63"/>
        <v/>
      </c>
      <c r="AR127" t="str">
        <f t="shared" si="64"/>
        <v>Away</v>
      </c>
      <c r="AS127" t="str">
        <f t="shared" si="65"/>
        <v>a</v>
      </c>
      <c r="AT127" t="str">
        <f t="shared" si="66"/>
        <v>Offensive</v>
      </c>
      <c r="BA127" s="6">
        <f t="shared" si="56"/>
        <v>28</v>
      </c>
      <c r="BB127">
        <f t="shared" si="57"/>
        <v>18981</v>
      </c>
      <c r="BC127" t="str">
        <f t="shared" si="58"/>
        <v>Nelson</v>
      </c>
      <c r="BD127" t="str">
        <f t="shared" si="59"/>
        <v>Velodrome</v>
      </c>
      <c r="BE127" t="s">
        <v>7</v>
      </c>
      <c r="BF127" t="s">
        <v>182</v>
      </c>
      <c r="BG127" t="s">
        <v>68</v>
      </c>
      <c r="BI127" cm="1">
        <f t="array" ref="BI127">IFERROR(_xlfn._xlws.FILTER(shifts!A:A,(shifts!B:B=events!AD127)*(shifts!AG:AG&gt;=events!BK127)*(shifts!AH:AH&lt;=events!BL127)),BI126)</f>
        <v>4</v>
      </c>
      <c r="BJ127" s="15">
        <f t="shared" si="60"/>
        <v>0</v>
      </c>
      <c r="BK127">
        <f t="shared" si="67"/>
        <v>947</v>
      </c>
      <c r="BL127">
        <f t="shared" si="68"/>
        <v>947</v>
      </c>
      <c r="BM127" s="15">
        <f>SUMIFS(BJ$2:BJ127,K$2:K127,"=Intermission")+SUMIFS(BJ$2:BJ127,K$2:K127,"=Timeout")</f>
        <v>0</v>
      </c>
      <c r="BN127">
        <f t="shared" si="69"/>
        <v>0</v>
      </c>
      <c r="BO127" s="19">
        <f t="shared" si="70"/>
        <v>133</v>
      </c>
      <c r="BP127">
        <f t="shared" si="71"/>
        <v>128</v>
      </c>
      <c r="BQ127" s="17">
        <f t="shared" si="72"/>
        <v>133</v>
      </c>
      <c r="BR127" t="str">
        <f t="shared" si="73"/>
        <v>event_team_player_1</v>
      </c>
      <c r="BS127">
        <f>COUNTIFS(S$3:S127,"="&amp;S127,AI$3:AI127,"="&amp;AI127)</f>
        <v>1</v>
      </c>
      <c r="BT127" t="str">
        <f>IFERROR(VLOOKUP(BB127&amp;BU127&amp;X127,game_rosters!U:W,3,FALSE),"")</f>
        <v>P100002</v>
      </c>
      <c r="BU127" t="str">
        <f t="shared" si="74"/>
        <v>Velodrome</v>
      </c>
    </row>
    <row r="128" spans="1:73" x14ac:dyDescent="0.2">
      <c r="A128">
        <f t="shared" si="61"/>
        <v>1</v>
      </c>
      <c r="E128" s="4"/>
      <c r="F128" s="43"/>
      <c r="G128" s="4"/>
      <c r="H128" s="46"/>
      <c r="J128" s="44" t="str">
        <f t="shared" si="75"/>
        <v/>
      </c>
      <c r="K128" t="s">
        <v>7</v>
      </c>
      <c r="L128" t="s">
        <v>182</v>
      </c>
      <c r="M128" t="s">
        <v>68</v>
      </c>
      <c r="N128" t="str">
        <f t="shared" si="78"/>
        <v>u</v>
      </c>
      <c r="Q128" t="str">
        <f t="shared" si="76"/>
        <v/>
      </c>
      <c r="S128">
        <v>67</v>
      </c>
      <c r="U128" t="str">
        <f>IF(B128=1,MAX($U$2:$U127)+1,IF(AND($T128&lt;&gt;"",$T128=$T127),$U127,IF(B128="x",U127,"")))</f>
        <v/>
      </c>
      <c r="V128" t="str">
        <f>IF(C128=1,MAX($V$2:$V127)+1,IF(AND($T128&lt;&gt;"",$T128=$T127),$U127,IF(C128="x",V127,"")))</f>
        <v/>
      </c>
      <c r="W128" t="str">
        <f t="shared" si="50"/>
        <v>a</v>
      </c>
      <c r="X128">
        <v>42</v>
      </c>
      <c r="Y128" t="e">
        <f>IF(X128&lt;&gt;"",VLOOKUP(X128,game_rosters!$C$43:$E$64,3,FALSE))</f>
        <v>#N/A</v>
      </c>
      <c r="Z128" cm="1">
        <f t="array" ref="Z128">IFERROR(IF(_xlfn._xlws.FILTER(game_rosters!$J:$J,(game_rosters!$G:$G=events!$AN128)*(game_rosters!$J:$J=events!$X128))&gt;0,1,""),"")</f>
        <v>1</v>
      </c>
      <c r="AA128">
        <f t="shared" si="51"/>
        <v>1067</v>
      </c>
      <c r="AB128" t="str">
        <f t="shared" si="52"/>
        <v/>
      </c>
      <c r="AC128">
        <f t="shared" si="49"/>
        <v>1067</v>
      </c>
      <c r="AD128" s="6">
        <v>1</v>
      </c>
      <c r="AE128" t="s">
        <v>744</v>
      </c>
      <c r="AF128" t="s">
        <v>900</v>
      </c>
      <c r="AG128" t="s">
        <v>756</v>
      </c>
      <c r="AH128" t="s">
        <v>756</v>
      </c>
      <c r="AI128" t="s">
        <v>367</v>
      </c>
      <c r="AJ128" t="str">
        <f t="shared" si="80"/>
        <v/>
      </c>
      <c r="AK128" t="str">
        <f t="shared" si="80"/>
        <v/>
      </c>
      <c r="AL128" t="str">
        <f t="shared" si="54"/>
        <v/>
      </c>
      <c r="AN128" t="s">
        <v>862</v>
      </c>
      <c r="AO128" t="str">
        <f t="shared" si="55"/>
        <v>a</v>
      </c>
      <c r="AP128" t="str">
        <f t="shared" si="62"/>
        <v/>
      </c>
      <c r="AQ128" t="str">
        <f t="shared" si="63"/>
        <v/>
      </c>
      <c r="AR128" t="str">
        <f t="shared" si="64"/>
        <v>Away</v>
      </c>
      <c r="AS128" t="str">
        <f t="shared" si="65"/>
        <v>a</v>
      </c>
      <c r="AT128" t="str">
        <f t="shared" si="66"/>
        <v>Offensive</v>
      </c>
      <c r="BA128" s="6">
        <f t="shared" si="56"/>
        <v>28</v>
      </c>
      <c r="BB128">
        <f t="shared" si="57"/>
        <v>18981</v>
      </c>
      <c r="BC128" t="str">
        <f t="shared" si="58"/>
        <v>Nelson</v>
      </c>
      <c r="BD128" t="str">
        <f t="shared" si="59"/>
        <v>Velodrome</v>
      </c>
      <c r="BE128" t="s">
        <v>7</v>
      </c>
      <c r="BF128" t="s">
        <v>182</v>
      </c>
      <c r="BG128" t="s">
        <v>68</v>
      </c>
      <c r="BI128" cm="1">
        <f t="array" ref="BI128">IFERROR(_xlfn._xlws.FILTER(shifts!A:A,(shifts!B:B=events!AD128)*(shifts!AG:AG&gt;=events!BK128)*(shifts!AH:AH&lt;=events!BL128)),BI127)</f>
        <v>4</v>
      </c>
      <c r="BJ128" s="15">
        <f t="shared" si="60"/>
        <v>0</v>
      </c>
      <c r="BK128">
        <f t="shared" si="67"/>
        <v>947</v>
      </c>
      <c r="BL128">
        <f t="shared" si="68"/>
        <v>947</v>
      </c>
      <c r="BM128" s="15">
        <f>SUMIFS(BJ$2:BJ128,K$2:K128,"=Intermission")+SUMIFS(BJ$2:BJ128,K$2:K128,"=Timeout")</f>
        <v>0</v>
      </c>
      <c r="BN128">
        <f t="shared" si="69"/>
        <v>0</v>
      </c>
      <c r="BO128" s="19">
        <f t="shared" si="70"/>
        <v>133</v>
      </c>
      <c r="BP128">
        <f t="shared" si="71"/>
        <v>128</v>
      </c>
      <c r="BQ128" s="17">
        <f t="shared" si="72"/>
        <v>133</v>
      </c>
      <c r="BR128" t="str">
        <f t="shared" si="73"/>
        <v>event_team_player_2</v>
      </c>
      <c r="BS128">
        <f>COUNTIFS(S$3:S128,"="&amp;S128,AI$3:AI128,"="&amp;AI128)</f>
        <v>2</v>
      </c>
      <c r="BT128" t="str">
        <f>IFERROR(VLOOKUP(BB128&amp;BU128&amp;X128,game_rosters!U:W,3,FALSE),"")</f>
        <v>P100201</v>
      </c>
      <c r="BU128" t="str">
        <f t="shared" si="74"/>
        <v>Velodrome</v>
      </c>
    </row>
    <row r="129" spans="1:73" x14ac:dyDescent="0.2">
      <c r="A129">
        <f t="shared" si="61"/>
        <v>1</v>
      </c>
      <c r="E129" s="4"/>
      <c r="F129" s="43"/>
      <c r="G129" s="4"/>
      <c r="H129" s="46"/>
      <c r="J129" s="44" t="str">
        <f t="shared" si="75"/>
        <v>d</v>
      </c>
      <c r="K129" t="s">
        <v>238</v>
      </c>
      <c r="L129" t="s">
        <v>184</v>
      </c>
      <c r="M129" t="s">
        <v>376</v>
      </c>
      <c r="N129" t="str">
        <f t="shared" si="78"/>
        <v>u</v>
      </c>
      <c r="Q129" t="str">
        <f t="shared" si="76"/>
        <v/>
      </c>
      <c r="S129">
        <v>68</v>
      </c>
      <c r="U129" t="str">
        <f>IF(B129=1,MAX($U$2:$U128)+1,IF(AND($T129&lt;&gt;"",$T129=$T128),$U128,IF(B129="x",U128,"")))</f>
        <v/>
      </c>
      <c r="V129" t="str">
        <f>IF(C129=1,MAX($V$2:$V128)+1,IF(AND($T129&lt;&gt;"",$T129=$T128),$U128,IF(C129="x",V128,"")))</f>
        <v/>
      </c>
      <c r="W129" t="str">
        <f t="shared" si="50"/>
        <v>a</v>
      </c>
      <c r="X129">
        <v>91</v>
      </c>
      <c r="Y129" t="e">
        <f>IF(X129&lt;&gt;"",VLOOKUP(X129,game_rosters!$C$43:$E$64,3,FALSE))</f>
        <v>#N/A</v>
      </c>
      <c r="Z129" cm="1">
        <f t="array" ref="Z129">IFERROR(IF(_xlfn._xlws.FILTER(game_rosters!$J:$J,(game_rosters!$G:$G=events!$AN129)*(game_rosters!$J:$J=events!$X129))&gt;0,1,""),"")</f>
        <v>1</v>
      </c>
      <c r="AA129">
        <f t="shared" si="51"/>
        <v>1068</v>
      </c>
      <c r="AB129" t="str">
        <f t="shared" si="52"/>
        <v/>
      </c>
      <c r="AC129">
        <f t="shared" si="49"/>
        <v>1068</v>
      </c>
      <c r="AD129" s="6">
        <v>1</v>
      </c>
      <c r="AE129" t="s">
        <v>744</v>
      </c>
      <c r="AF129" t="s">
        <v>900</v>
      </c>
      <c r="AG129" t="s">
        <v>756</v>
      </c>
      <c r="AH129" t="s">
        <v>756</v>
      </c>
      <c r="AI129" t="s">
        <v>367</v>
      </c>
      <c r="AJ129" t="str">
        <f t="shared" si="80"/>
        <v>d</v>
      </c>
      <c r="AK129" t="str">
        <f t="shared" si="80"/>
        <v>d</v>
      </c>
      <c r="AL129" t="str">
        <f t="shared" si="54"/>
        <v>o</v>
      </c>
      <c r="AN129" t="s">
        <v>862</v>
      </c>
      <c r="AO129" t="str">
        <f t="shared" si="55"/>
        <v>a</v>
      </c>
      <c r="AP129" t="str">
        <f t="shared" si="62"/>
        <v>o</v>
      </c>
      <c r="AQ129" t="str">
        <f t="shared" si="63"/>
        <v/>
      </c>
      <c r="AR129" t="str">
        <f t="shared" si="64"/>
        <v>Away</v>
      </c>
      <c r="AS129" t="str">
        <f t="shared" si="65"/>
        <v>a</v>
      </c>
      <c r="AT129" t="str">
        <f t="shared" si="66"/>
        <v>Offensive</v>
      </c>
      <c r="BA129" s="6">
        <f t="shared" si="56"/>
        <v>29</v>
      </c>
      <c r="BB129">
        <f t="shared" si="57"/>
        <v>18981</v>
      </c>
      <c r="BC129" t="str">
        <f t="shared" si="58"/>
        <v>Nelson</v>
      </c>
      <c r="BD129" t="str">
        <f t="shared" si="59"/>
        <v>Velodrome</v>
      </c>
      <c r="BE129" t="s">
        <v>238</v>
      </c>
      <c r="BF129" t="s">
        <v>184</v>
      </c>
      <c r="BG129" t="s">
        <v>376</v>
      </c>
      <c r="BI129" cm="1">
        <f t="array" ref="BI129">IFERROR(_xlfn._xlws.FILTER(shifts!A:A,(shifts!B:B=events!AD129)*(shifts!AG:AG&gt;=events!BK129)*(shifts!AH:AH&lt;=events!BL129)),BI128)</f>
        <v>4</v>
      </c>
      <c r="BJ129" s="15">
        <f t="shared" si="60"/>
        <v>0</v>
      </c>
      <c r="BK129">
        <f t="shared" si="67"/>
        <v>947</v>
      </c>
      <c r="BL129">
        <f t="shared" si="68"/>
        <v>947</v>
      </c>
      <c r="BM129" s="15">
        <f>SUMIFS(BJ$2:BJ129,K$2:K129,"=Intermission")+SUMIFS(BJ$2:BJ129,K$2:K129,"=Timeout")</f>
        <v>0</v>
      </c>
      <c r="BN129">
        <f t="shared" si="69"/>
        <v>0</v>
      </c>
      <c r="BO129" s="19">
        <f t="shared" si="70"/>
        <v>133</v>
      </c>
      <c r="BP129">
        <f t="shared" si="71"/>
        <v>128</v>
      </c>
      <c r="BQ129" s="17">
        <f t="shared" si="72"/>
        <v>133</v>
      </c>
      <c r="BR129" t="str">
        <f t="shared" si="73"/>
        <v>event_team_player_1</v>
      </c>
      <c r="BS129">
        <f>COUNTIFS(S$3:S129,"="&amp;S129,AI$3:AI129,"="&amp;AI129)</f>
        <v>1</v>
      </c>
      <c r="BT129" t="str">
        <f>IFERROR(VLOOKUP(BB129&amp;BU129&amp;X129,game_rosters!U:W,3,FALSE),"")</f>
        <v>P100002</v>
      </c>
      <c r="BU129" t="str">
        <f t="shared" si="74"/>
        <v>Velodrome</v>
      </c>
    </row>
    <row r="130" spans="1:73" x14ac:dyDescent="0.2">
      <c r="A130">
        <f t="shared" si="61"/>
        <v>1</v>
      </c>
      <c r="E130" s="4"/>
      <c r="F130" s="43"/>
      <c r="G130" s="4"/>
      <c r="H130" s="46"/>
      <c r="J130" s="44" t="str">
        <f t="shared" si="75"/>
        <v>d</v>
      </c>
      <c r="K130" t="s">
        <v>238</v>
      </c>
      <c r="L130" t="s">
        <v>184</v>
      </c>
      <c r="M130" t="s">
        <v>376</v>
      </c>
      <c r="N130" t="str">
        <f t="shared" si="78"/>
        <v>u</v>
      </c>
      <c r="Q130" t="str">
        <f t="shared" si="76"/>
        <v/>
      </c>
      <c r="S130">
        <v>68</v>
      </c>
      <c r="U130" t="str">
        <f>IF(B130=1,MAX($U$2:$U129)+1,IF(AND($T130&lt;&gt;"",$T130=$T129),$U129,IF(B130="x",U129,"")))</f>
        <v/>
      </c>
      <c r="V130" t="str">
        <f>IF(C130=1,MAX($V$2:$V129)+1,IF(AND($T130&lt;&gt;"",$T130=$T129),$U129,IF(C130="x",V129,"")))</f>
        <v/>
      </c>
      <c r="W130" t="str">
        <f t="shared" si="50"/>
        <v>a</v>
      </c>
      <c r="X130">
        <v>42</v>
      </c>
      <c r="Y130" t="e">
        <f>IF(X130&lt;&gt;"",VLOOKUP(X130,game_rosters!$C$43:$E$64,3,FALSE))</f>
        <v>#N/A</v>
      </c>
      <c r="Z130" cm="1">
        <f t="array" ref="Z130">IFERROR(IF(_xlfn._xlws.FILTER(game_rosters!$J:$J,(game_rosters!$G:$G=events!$AN130)*(game_rosters!$J:$J=events!$X130))&gt;0,1,""),"")</f>
        <v>1</v>
      </c>
      <c r="AA130">
        <f t="shared" si="51"/>
        <v>1068</v>
      </c>
      <c r="AB130" t="str">
        <f t="shared" si="52"/>
        <v/>
      </c>
      <c r="AC130">
        <f t="shared" ref="AC130:AC193" si="81">IF(AB130&lt;&gt;"",AB130,S130+1000)</f>
        <v>1068</v>
      </c>
      <c r="AD130" s="6">
        <v>1</v>
      </c>
      <c r="AE130" t="s">
        <v>744</v>
      </c>
      <c r="AF130" t="s">
        <v>900</v>
      </c>
      <c r="AG130" t="s">
        <v>756</v>
      </c>
      <c r="AH130" t="s">
        <v>756</v>
      </c>
      <c r="AI130" t="s">
        <v>367</v>
      </c>
      <c r="AJ130" t="str">
        <f t="shared" si="80"/>
        <v>d</v>
      </c>
      <c r="AK130" t="str">
        <f t="shared" si="80"/>
        <v>d</v>
      </c>
      <c r="AL130" t="str">
        <f t="shared" si="54"/>
        <v>o</v>
      </c>
      <c r="AN130" t="s">
        <v>862</v>
      </c>
      <c r="AO130" t="str">
        <f t="shared" si="55"/>
        <v>a</v>
      </c>
      <c r="AP130" t="str">
        <f t="shared" si="62"/>
        <v>o</v>
      </c>
      <c r="AQ130" t="str">
        <f t="shared" si="63"/>
        <v/>
      </c>
      <c r="AR130" t="str">
        <f t="shared" si="64"/>
        <v>Away</v>
      </c>
      <c r="AS130" t="str">
        <f t="shared" si="65"/>
        <v>a</v>
      </c>
      <c r="AT130" t="str">
        <f t="shared" si="66"/>
        <v>Offensive</v>
      </c>
      <c r="BA130" s="6">
        <f t="shared" si="56"/>
        <v>30</v>
      </c>
      <c r="BB130">
        <f t="shared" si="57"/>
        <v>18981</v>
      </c>
      <c r="BC130" t="str">
        <f t="shared" si="58"/>
        <v>Nelson</v>
      </c>
      <c r="BD130" t="str">
        <f t="shared" si="59"/>
        <v>Velodrome</v>
      </c>
      <c r="BE130" t="s">
        <v>238</v>
      </c>
      <c r="BF130" t="s">
        <v>184</v>
      </c>
      <c r="BG130" t="s">
        <v>376</v>
      </c>
      <c r="BI130" cm="1">
        <f t="array" ref="BI130">IFERROR(_xlfn._xlws.FILTER(shifts!A:A,(shifts!B:B=events!AD130)*(shifts!AG:AG&gt;=events!BK130)*(shifts!AH:AH&lt;=events!BL130)),BI129)</f>
        <v>4</v>
      </c>
      <c r="BJ130" s="15">
        <f t="shared" si="60"/>
        <v>0</v>
      </c>
      <c r="BK130">
        <f t="shared" si="67"/>
        <v>947</v>
      </c>
      <c r="BL130">
        <f t="shared" si="68"/>
        <v>947</v>
      </c>
      <c r="BM130" s="15">
        <f>SUMIFS(BJ$2:BJ130,K$2:K130,"=Intermission")+SUMIFS(BJ$2:BJ130,K$2:K130,"=Timeout")</f>
        <v>0</v>
      </c>
      <c r="BN130">
        <f t="shared" si="69"/>
        <v>0</v>
      </c>
      <c r="BO130" s="19">
        <f t="shared" si="70"/>
        <v>133</v>
      </c>
      <c r="BP130">
        <f t="shared" si="71"/>
        <v>128</v>
      </c>
      <c r="BQ130" s="17">
        <f t="shared" si="72"/>
        <v>133</v>
      </c>
      <c r="BR130" t="str">
        <f t="shared" si="73"/>
        <v>event_team_player_2</v>
      </c>
      <c r="BS130">
        <f>COUNTIFS(S$3:S130,"="&amp;S130,AI$3:AI130,"="&amp;AI130)</f>
        <v>2</v>
      </c>
      <c r="BT130" t="str">
        <f>IFERROR(VLOOKUP(BB130&amp;BU130&amp;X130,game_rosters!U:W,3,FALSE),"")</f>
        <v>P100201</v>
      </c>
      <c r="BU130" t="str">
        <f t="shared" si="74"/>
        <v>Velodrome</v>
      </c>
    </row>
    <row r="131" spans="1:73" x14ac:dyDescent="0.2">
      <c r="A131">
        <f t="shared" si="61"/>
        <v>1</v>
      </c>
      <c r="E131" s="4"/>
      <c r="F131" s="43"/>
      <c r="G131" s="4"/>
      <c r="H131" s="46"/>
      <c r="J131" s="44" t="str">
        <f t="shared" si="75"/>
        <v/>
      </c>
      <c r="K131" t="s">
        <v>13</v>
      </c>
      <c r="L131" t="s">
        <v>756</v>
      </c>
      <c r="M131" t="s">
        <v>756</v>
      </c>
      <c r="N131" t="str">
        <f t="shared" si="78"/>
        <v/>
      </c>
      <c r="Q131" t="str">
        <f t="shared" si="76"/>
        <v/>
      </c>
      <c r="S131">
        <v>69</v>
      </c>
      <c r="U131" t="str">
        <f>IF(B131=1,MAX($U$2:$U130)+1,IF(AND($T131&lt;&gt;"",$T131=$T130),$U130,IF(B131="x",U130,"")))</f>
        <v/>
      </c>
      <c r="V131" t="str">
        <f>IF(C131=1,MAX($V$2:$V130)+1,IF(AND($T131&lt;&gt;"",$T131=$T130),$U130,IF(C131="x",V130,"")))</f>
        <v/>
      </c>
      <c r="W131" t="str">
        <f t="shared" si="50"/>
        <v>h</v>
      </c>
      <c r="X131">
        <v>80</v>
      </c>
      <c r="Y131" t="b">
        <f>IF(X131&lt;&gt;"",VLOOKUP(X131,game_rosters!$C$43:$E$64,3,FALSE))</f>
        <v>0</v>
      </c>
      <c r="Z131" cm="1">
        <f t="array" ref="Z131">IFERROR(IF(_xlfn._xlws.FILTER(game_rosters!$J:$J,(game_rosters!$G:$G=events!$AN131)*(game_rosters!$J:$J=events!$X131))&gt;0,1,""),"")</f>
        <v>1</v>
      </c>
      <c r="AA131">
        <f t="shared" si="51"/>
        <v>1069</v>
      </c>
      <c r="AB131" t="str">
        <f t="shared" si="52"/>
        <v/>
      </c>
      <c r="AC131">
        <f t="shared" si="81"/>
        <v>1069</v>
      </c>
      <c r="AD131" s="6">
        <v>1</v>
      </c>
      <c r="AE131" t="s">
        <v>744</v>
      </c>
      <c r="AF131" t="s">
        <v>923</v>
      </c>
      <c r="AG131" t="s">
        <v>744</v>
      </c>
      <c r="AH131" t="s">
        <v>924</v>
      </c>
      <c r="AI131" t="s">
        <v>367</v>
      </c>
      <c r="AJ131" t="str">
        <f t="shared" si="80"/>
        <v/>
      </c>
      <c r="AK131" t="str">
        <f t="shared" si="80"/>
        <v/>
      </c>
      <c r="AL131" t="str">
        <f t="shared" si="54"/>
        <v/>
      </c>
      <c r="AN131" t="s">
        <v>861</v>
      </c>
      <c r="AO131" t="str">
        <f t="shared" si="55"/>
        <v>h</v>
      </c>
      <c r="AP131" t="str">
        <f t="shared" si="62"/>
        <v/>
      </c>
      <c r="AQ131" t="str">
        <f t="shared" si="63"/>
        <v/>
      </c>
      <c r="AR131" t="str">
        <f t="shared" si="64"/>
        <v>Home</v>
      </c>
      <c r="AS131" t="str">
        <f t="shared" si="65"/>
        <v>h</v>
      </c>
      <c r="AT131" t="str">
        <f t="shared" si="66"/>
        <v>Offensive</v>
      </c>
      <c r="BA131" s="6">
        <f t="shared" si="56"/>
        <v>30</v>
      </c>
      <c r="BB131">
        <f t="shared" si="57"/>
        <v>18981</v>
      </c>
      <c r="BC131" t="str">
        <f t="shared" si="58"/>
        <v>Nelson</v>
      </c>
      <c r="BD131" t="str">
        <f t="shared" si="59"/>
        <v>Velodrome</v>
      </c>
      <c r="BE131" t="s">
        <v>13</v>
      </c>
      <c r="BF131" t="s">
        <v>756</v>
      </c>
      <c r="BG131" t="s">
        <v>756</v>
      </c>
      <c r="BI131" cm="1">
        <f t="array" ref="BI131">IFERROR(_xlfn._xlws.FILTER(shifts!A:A,(shifts!B:B=events!AD131)*(shifts!AG:AG&gt;=events!BK131)*(shifts!AH:AH&lt;=events!BL131)),BI130)</f>
        <v>4</v>
      </c>
      <c r="BJ131" s="15">
        <f t="shared" si="60"/>
        <v>3</v>
      </c>
      <c r="BK131">
        <f t="shared" si="67"/>
        <v>944</v>
      </c>
      <c r="BL131">
        <f t="shared" si="68"/>
        <v>941</v>
      </c>
      <c r="BM131" s="15">
        <f>SUMIFS(BJ$2:BJ131,K$2:K131,"=Intermission")+SUMIFS(BJ$2:BJ131,K$2:K131,"=Timeout")</f>
        <v>0</v>
      </c>
      <c r="BN131">
        <f t="shared" si="69"/>
        <v>0</v>
      </c>
      <c r="BO131" s="19">
        <f t="shared" si="70"/>
        <v>136</v>
      </c>
      <c r="BP131">
        <f t="shared" si="71"/>
        <v>131</v>
      </c>
      <c r="BQ131" s="17">
        <f t="shared" si="72"/>
        <v>139</v>
      </c>
      <c r="BR131" t="str">
        <f t="shared" si="73"/>
        <v>event_team_player_1</v>
      </c>
      <c r="BS131">
        <f>COUNTIFS(S$3:S131,"="&amp;S131,AI$3:AI131,"="&amp;AI131)</f>
        <v>1</v>
      </c>
      <c r="BT131" t="str">
        <f>IFERROR(VLOOKUP(BB131&amp;BU131&amp;X131,game_rosters!U:W,3,FALSE),"")</f>
        <v>P100197</v>
      </c>
      <c r="BU131" t="str">
        <f t="shared" si="74"/>
        <v>Nelson</v>
      </c>
    </row>
    <row r="132" spans="1:73" x14ac:dyDescent="0.2">
      <c r="A132">
        <f t="shared" si="61"/>
        <v>1</v>
      </c>
      <c r="E132" s="4"/>
      <c r="F132" s="43"/>
      <c r="G132" s="4"/>
      <c r="H132" s="46"/>
      <c r="J132" s="44" t="str">
        <f t="shared" si="75"/>
        <v/>
      </c>
      <c r="K132" t="s">
        <v>13</v>
      </c>
      <c r="L132" t="s">
        <v>756</v>
      </c>
      <c r="M132" t="s">
        <v>756</v>
      </c>
      <c r="N132" t="str">
        <f t="shared" si="78"/>
        <v/>
      </c>
      <c r="Q132" t="str">
        <f t="shared" si="76"/>
        <v/>
      </c>
      <c r="S132">
        <v>69</v>
      </c>
      <c r="U132" t="str">
        <f>IF(B132=1,MAX($U$2:$U131)+1,IF(AND($T132&lt;&gt;"",$T132=$T131),$U131,IF(B132="x",U131,"")))</f>
        <v/>
      </c>
      <c r="V132" t="str">
        <f>IF(C132=1,MAX($V$2:$V131)+1,IF(AND($T132&lt;&gt;"",$T132=$T131),$U131,IF(C132="x",V131,"")))</f>
        <v/>
      </c>
      <c r="W132" t="str">
        <f t="shared" ref="W132:W195" si="82">IF(AN132="Away","a",IF(AN132="Home","h",""))</f>
        <v>h</v>
      </c>
      <c r="X132">
        <v>42</v>
      </c>
      <c r="Y132" t="e">
        <f>IF(X132&lt;&gt;"",VLOOKUP(X132,game_rosters!$C$43:$E$64,3,FALSE))</f>
        <v>#N/A</v>
      </c>
      <c r="Z132" t="str" cm="1">
        <f t="array" ref="Z132">IFERROR(IF(_xlfn._xlws.FILTER(game_rosters!$J:$J,(game_rosters!$G:$G=events!$AN132)*(game_rosters!$J:$J=events!$X132))&gt;0,1,""),"")</f>
        <v/>
      </c>
      <c r="AA132">
        <f t="shared" ref="AA132:AA195" si="83">S132+1000</f>
        <v>1069</v>
      </c>
      <c r="AB132" t="str">
        <f t="shared" ref="AB132:AB195" si="84">IF(T132&lt;&gt;"",9000+T132,"")</f>
        <v/>
      </c>
      <c r="AC132">
        <f t="shared" si="81"/>
        <v>1069</v>
      </c>
      <c r="AD132" s="6">
        <v>1</v>
      </c>
      <c r="AE132" t="s">
        <v>744</v>
      </c>
      <c r="AF132" t="s">
        <v>923</v>
      </c>
      <c r="AG132" t="s">
        <v>744</v>
      </c>
      <c r="AH132" t="s">
        <v>924</v>
      </c>
      <c r="AI132" t="s">
        <v>368</v>
      </c>
      <c r="AJ132" t="str">
        <f t="shared" ref="AJ132:AK147" si="85">IF($J132&lt;&gt;"",$J132,IF($AC132=$AC131,AJ131,""))</f>
        <v/>
      </c>
      <c r="AK132" t="str">
        <f t="shared" si="85"/>
        <v/>
      </c>
      <c r="AL132" t="str">
        <f t="shared" ref="AL132:AL195" si="86">IF($W132="","",IF($AJ132="","",IF($W132="h",$AJ132,IF($AJ132="n","n",IF(AND($W132="a",$AJ132="d"),"o",IF(AND($W132="a",$AJ132="o"),"d"))))))</f>
        <v/>
      </c>
      <c r="AN132" t="s">
        <v>861</v>
      </c>
      <c r="AO132" t="str">
        <f t="shared" ref="AO132:AO195" si="87">IF($W132&lt;&gt;"",$W132,IF($AC132=$AC131,AO131,""))</f>
        <v>h</v>
      </c>
      <c r="AP132" t="str">
        <f t="shared" si="62"/>
        <v/>
      </c>
      <c r="AQ132" t="str">
        <f t="shared" si="63"/>
        <v/>
      </c>
      <c r="AR132" t="str">
        <f t="shared" si="64"/>
        <v>Home</v>
      </c>
      <c r="AS132" t="str">
        <f t="shared" si="65"/>
        <v>h</v>
      </c>
      <c r="AT132" t="str">
        <f t="shared" si="66"/>
        <v>Defensive</v>
      </c>
      <c r="BA132" s="6">
        <f t="shared" ref="BA132:BA195" si="88">IF(OR(L132="Zone_Entry",L132="Zone_Exit"),BA131+1,BA131)</f>
        <v>30</v>
      </c>
      <c r="BB132">
        <f t="shared" ref="BB132:BB195" si="89">BB131</f>
        <v>18981</v>
      </c>
      <c r="BC132" t="str">
        <f t="shared" ref="BC132:BC195" si="90">BC131</f>
        <v>Nelson</v>
      </c>
      <c r="BD132" t="str">
        <f t="shared" ref="BD132:BD195" si="91">BD131</f>
        <v>Velodrome</v>
      </c>
      <c r="BE132" t="s">
        <v>13</v>
      </c>
      <c r="BF132" t="s">
        <v>756</v>
      </c>
      <c r="BG132" t="s">
        <v>756</v>
      </c>
      <c r="BI132" cm="1">
        <f t="array" ref="BI132">IFERROR(_xlfn._xlws.FILTER(shifts!A:A,(shifts!B:B=events!AD132)*(shifts!AG:AG&gt;=events!BK132)*(shifts!AH:AH&lt;=events!BL132)),BI131)</f>
        <v>4</v>
      </c>
      <c r="BJ132" s="15">
        <f t="shared" ref="BJ132:BJ195" si="92">IF(AND(AG132="",AH132=""),0,((AE132*60)+AF132)-((AG132*60)+AH132))</f>
        <v>3</v>
      </c>
      <c r="BK132">
        <f t="shared" si="67"/>
        <v>944</v>
      </c>
      <c r="BL132">
        <f t="shared" si="68"/>
        <v>941</v>
      </c>
      <c r="BM132" s="15">
        <f>SUMIFS(BJ$2:BJ132,K$2:K132,"=Intermission")+SUMIFS(BJ$2:BJ132,K$2:K132,"=Timeout")</f>
        <v>0</v>
      </c>
      <c r="BN132">
        <f t="shared" si="69"/>
        <v>0</v>
      </c>
      <c r="BO132" s="19">
        <f t="shared" si="70"/>
        <v>136</v>
      </c>
      <c r="BP132">
        <f t="shared" si="71"/>
        <v>131</v>
      </c>
      <c r="BQ132" s="17">
        <f t="shared" si="72"/>
        <v>139</v>
      </c>
      <c r="BR132" t="str">
        <f t="shared" si="73"/>
        <v>opp_team_player_1</v>
      </c>
      <c r="BS132">
        <f>COUNTIFS(S$3:S132,"="&amp;S132,AI$3:AI132,"="&amp;AI132)</f>
        <v>1</v>
      </c>
      <c r="BT132" t="str">
        <f>IFERROR(VLOOKUP(BB132&amp;BU132&amp;X132,game_rosters!U:W,3,FALSE),"")</f>
        <v>P100201</v>
      </c>
      <c r="BU132" t="str">
        <f t="shared" si="74"/>
        <v>Velodrome</v>
      </c>
    </row>
    <row r="133" spans="1:73" x14ac:dyDescent="0.2">
      <c r="A133">
        <f t="shared" ref="A133:A196" si="93">IF(K133&lt;&gt;"",1,IF(D133="x","x",""))</f>
        <v>1</v>
      </c>
      <c r="E133" s="4"/>
      <c r="F133" s="43"/>
      <c r="G133" s="4"/>
      <c r="H133" s="46"/>
      <c r="J133" s="44" t="str">
        <f t="shared" si="75"/>
        <v/>
      </c>
      <c r="K133" t="s">
        <v>13</v>
      </c>
      <c r="L133" t="s">
        <v>756</v>
      </c>
      <c r="M133" t="s">
        <v>756</v>
      </c>
      <c r="N133" t="str">
        <f t="shared" si="78"/>
        <v/>
      </c>
      <c r="Q133" t="str">
        <f t="shared" si="76"/>
        <v/>
      </c>
      <c r="S133">
        <v>69</v>
      </c>
      <c r="U133" t="str">
        <f>IF(B133=1,MAX($U$2:$U132)+1,IF(AND($T133&lt;&gt;"",$T133=$T132),$U132,IF(B133="x",U132,"")))</f>
        <v/>
      </c>
      <c r="V133" t="str">
        <f>IF(C133=1,MAX($V$2:$V132)+1,IF(AND($T133&lt;&gt;"",$T133=$T132),$U132,IF(C133="x",V132,"")))</f>
        <v/>
      </c>
      <c r="W133" t="str">
        <f t="shared" si="82"/>
        <v>h</v>
      </c>
      <c r="X133">
        <v>75</v>
      </c>
      <c r="Y133" t="e">
        <f>IF(X133&lt;&gt;"",VLOOKUP(X133,game_rosters!$C$43:$E$64,3,FALSE))</f>
        <v>#N/A</v>
      </c>
      <c r="Z133" t="str" cm="1">
        <f t="array" ref="Z133">IFERROR(IF(_xlfn._xlws.FILTER(game_rosters!$J:$J,(game_rosters!$G:$G=events!$AN133)*(game_rosters!$J:$J=events!$X133))&gt;0,1,""),"")</f>
        <v/>
      </c>
      <c r="AA133">
        <f t="shared" si="83"/>
        <v>1069</v>
      </c>
      <c r="AB133" t="str">
        <f t="shared" si="84"/>
        <v/>
      </c>
      <c r="AC133">
        <f t="shared" si="81"/>
        <v>1069</v>
      </c>
      <c r="AD133" s="6">
        <v>1</v>
      </c>
      <c r="AE133" t="s">
        <v>744</v>
      </c>
      <c r="AF133" t="s">
        <v>923</v>
      </c>
      <c r="AG133" t="s">
        <v>744</v>
      </c>
      <c r="AH133" t="s">
        <v>924</v>
      </c>
      <c r="AI133" t="s">
        <v>368</v>
      </c>
      <c r="AJ133" t="str">
        <f t="shared" si="85"/>
        <v/>
      </c>
      <c r="AK133" t="str">
        <f t="shared" si="85"/>
        <v/>
      </c>
      <c r="AL133" t="str">
        <f t="shared" si="86"/>
        <v/>
      </c>
      <c r="AN133" t="s">
        <v>861</v>
      </c>
      <c r="AO133" t="str">
        <f t="shared" si="87"/>
        <v>h</v>
      </c>
      <c r="AP133" t="str">
        <f t="shared" ref="AP133:AP196" si="94">IF(AL133&lt;&gt;"",AL133,IF($AC133=$AC132,AP132,""))</f>
        <v/>
      </c>
      <c r="AQ133" t="str">
        <f t="shared" ref="AQ133:AQ196" si="95">IF(AM133&lt;&gt;"",AM133,IF($AC133=$AC132,AQ132,""))</f>
        <v/>
      </c>
      <c r="AR133" t="str">
        <f t="shared" ref="AR133:AR196" si="96">IF(AN133&lt;&gt;"",AN133,IF($AC133=$AC132,AR132,""))</f>
        <v>Home</v>
      </c>
      <c r="AS133" t="str">
        <f t="shared" ref="AS133:AS196" si="97">IF(AO133&lt;&gt;"",AO133,IF($AC133=$AC132,AS132,""))</f>
        <v>h</v>
      </c>
      <c r="AT133" t="str">
        <f t="shared" ref="AT133:AT196" si="98">IF(AND(AI133="e",OR(BE133="Save",BF133="Turnover_Takeaway",BF133="Play_Defensive")),"Defensive",IF(AND(AI133="o",OR(BE133="Save",BF133="Turnover_Takeaway",BF133="Play_Defensive")),"Offensive",IF(OR(BE133="Deadice",BE133="Stoppage",BE133="Intermission"),"",IF(AI133="e","Offensive",IF(AI133="o","Defensive","")))))</f>
        <v>Defensive</v>
      </c>
      <c r="BA133" s="6">
        <f t="shared" si="88"/>
        <v>30</v>
      </c>
      <c r="BB133">
        <f t="shared" si="89"/>
        <v>18981</v>
      </c>
      <c r="BC133" t="str">
        <f t="shared" si="90"/>
        <v>Nelson</v>
      </c>
      <c r="BD133" t="str">
        <f t="shared" si="91"/>
        <v>Velodrome</v>
      </c>
      <c r="BE133" t="s">
        <v>13</v>
      </c>
      <c r="BF133" t="s">
        <v>756</v>
      </c>
      <c r="BG133" t="s">
        <v>756</v>
      </c>
      <c r="BI133" cm="1">
        <f t="array" ref="BI133">IFERROR(_xlfn._xlws.FILTER(shifts!A:A,(shifts!B:B=events!AD133)*(shifts!AG:AG&gt;=events!BK133)*(shifts!AH:AH&lt;=events!BL133)),BI132)</f>
        <v>4</v>
      </c>
      <c r="BJ133" s="15">
        <f t="shared" si="92"/>
        <v>3</v>
      </c>
      <c r="BK133">
        <f t="shared" ref="BK133:BK196" si="99">(AE133*60)+AF133</f>
        <v>944</v>
      </c>
      <c r="BL133">
        <f t="shared" ref="BL133:BL196" si="100">IF(AND(AG133="",AH133=""),BK133,((AG133*60)+AH133))</f>
        <v>941</v>
      </c>
      <c r="BM133" s="15">
        <f>SUMIFS(BJ$2:BJ133,K$2:K133,"=Intermission")+SUMIFS(BJ$2:BJ133,K$2:K133,"=Timeout")</f>
        <v>0</v>
      </c>
      <c r="BN133">
        <f t="shared" ref="BN133:BN196" si="101">IF(AD133=1,0,IF(AD133=2,1080+BM133,IF(AD133=3,(1080*2)+BM133,0)))</f>
        <v>0</v>
      </c>
      <c r="BO133" s="19">
        <f t="shared" ref="BO133:BO196" si="102">IF(K133="Intermission",BO132,((1080)-((AE133*60)+AF133))+BN133)</f>
        <v>136</v>
      </c>
      <c r="BP133">
        <f t="shared" ref="BP133:BP196" si="103">IF(BO133&lt;5,0,BO133-5)</f>
        <v>131</v>
      </c>
      <c r="BQ133" s="17">
        <f t="shared" ref="BQ133:BQ196" si="104">BP133+BJ133+5</f>
        <v>139</v>
      </c>
      <c r="BR133" t="str">
        <f t="shared" ref="BR133:BR196" si="105">IF(AI133="e","event_team_player_"&amp;BS133,IF(AI133="o","opp_team_player_"&amp;BS133,""))</f>
        <v>opp_team_player_2</v>
      </c>
      <c r="BS133">
        <f>COUNTIFS(S$3:S133,"="&amp;S133,AI$3:AI133,"="&amp;AI133)</f>
        <v>2</v>
      </c>
      <c r="BT133" t="str">
        <f>IFERROR(VLOOKUP(BB133&amp;BU133&amp;X133,game_rosters!U:W,3,FALSE),"")</f>
        <v>P100039</v>
      </c>
      <c r="BU133" t="str">
        <f t="shared" ref="BU133:BU196" si="106">IF(AR133="","",IF(AND(AR133="Away",AI133="e"),BD133,IF(AND(AR133="Home",AI133="e"),BC133,IF(AND(AR133="Away",AI133="o"),BC133,IF(AND(AR133="Home",AI133="o"),BD133)))))</f>
        <v>Velodrome</v>
      </c>
    </row>
    <row r="134" spans="1:73" x14ac:dyDescent="0.2">
      <c r="A134">
        <f t="shared" si="93"/>
        <v>1</v>
      </c>
      <c r="E134" s="4"/>
      <c r="F134" s="43"/>
      <c r="G134" s="4"/>
      <c r="H134" s="46"/>
      <c r="J134" s="44" t="str">
        <f t="shared" ref="J134:J197" si="107">IF(OR(K134="Goal",K134="Shot",L134="Zone_Entry",M134="Stoppage-Goal",M133="Stoppage-Goal"),"o",IF(OR(K134="Save",K134="Rebound",L134="Zone_Exit",M134="Stoppage-GoalieStoppage",M133="Stoppage-GoalieStoppage"),"d",IF(OR(L134="Faceoff_AfterGoal",L134="Faceoff_PeriodStart",698="Faceoff_GameStart",M133="Stoppage-Goal"),"n","")))</f>
        <v>o</v>
      </c>
      <c r="K134" t="s">
        <v>238</v>
      </c>
      <c r="L134" t="s">
        <v>174</v>
      </c>
      <c r="M134" t="s">
        <v>85</v>
      </c>
      <c r="N134" t="str">
        <f t="shared" si="78"/>
        <v>s</v>
      </c>
      <c r="Q134" t="str">
        <f t="shared" si="76"/>
        <v/>
      </c>
      <c r="S134">
        <v>70</v>
      </c>
      <c r="U134" t="str">
        <f>IF(B134=1,MAX($U$2:$U133)+1,IF(AND($T134&lt;&gt;"",$T134=$T133),$U133,IF(B134="x",U133,"")))</f>
        <v/>
      </c>
      <c r="V134" t="str">
        <f>IF(C134=1,MAX($V$2:$V133)+1,IF(AND($T134&lt;&gt;"",$T134=$T133),$U133,IF(C134="x",V133,"")))</f>
        <v/>
      </c>
      <c r="W134" t="str">
        <f t="shared" si="82"/>
        <v>h</v>
      </c>
      <c r="X134">
        <v>80</v>
      </c>
      <c r="Y134" t="b">
        <f>IF(X134&lt;&gt;"",VLOOKUP(X134,game_rosters!$C$43:$E$64,3,FALSE))</f>
        <v>0</v>
      </c>
      <c r="Z134" cm="1">
        <f t="array" ref="Z134">IFERROR(IF(_xlfn._xlws.FILTER(game_rosters!$J:$J,(game_rosters!$G:$G=events!$AN134)*(game_rosters!$J:$J=events!$X134))&gt;0,1,""),"")</f>
        <v>1</v>
      </c>
      <c r="AA134">
        <f t="shared" si="83"/>
        <v>1070</v>
      </c>
      <c r="AB134" t="str">
        <f t="shared" si="84"/>
        <v/>
      </c>
      <c r="AC134">
        <f t="shared" si="81"/>
        <v>1070</v>
      </c>
      <c r="AD134" s="6">
        <v>1</v>
      </c>
      <c r="AE134" t="s">
        <v>744</v>
      </c>
      <c r="AF134" t="s">
        <v>924</v>
      </c>
      <c r="AG134" t="s">
        <v>744</v>
      </c>
      <c r="AH134" t="s">
        <v>749</v>
      </c>
      <c r="AI134" t="s">
        <v>367</v>
      </c>
      <c r="AJ134" t="str">
        <f t="shared" si="85"/>
        <v>o</v>
      </c>
      <c r="AK134" t="str">
        <f t="shared" si="85"/>
        <v>o</v>
      </c>
      <c r="AL134" t="str">
        <f t="shared" si="86"/>
        <v>o</v>
      </c>
      <c r="AN134" t="s">
        <v>861</v>
      </c>
      <c r="AO134" t="str">
        <f t="shared" si="87"/>
        <v>h</v>
      </c>
      <c r="AP134" t="str">
        <f t="shared" si="94"/>
        <v>o</v>
      </c>
      <c r="AQ134" t="str">
        <f t="shared" si="95"/>
        <v/>
      </c>
      <c r="AR134" t="str">
        <f t="shared" si="96"/>
        <v>Home</v>
      </c>
      <c r="AS134" t="str">
        <f t="shared" si="97"/>
        <v>h</v>
      </c>
      <c r="AT134" t="str">
        <f t="shared" si="98"/>
        <v>Offensive</v>
      </c>
      <c r="BA134" s="6">
        <f t="shared" si="88"/>
        <v>31</v>
      </c>
      <c r="BB134">
        <f t="shared" si="89"/>
        <v>18981</v>
      </c>
      <c r="BC134" t="str">
        <f t="shared" si="90"/>
        <v>Nelson</v>
      </c>
      <c r="BD134" t="str">
        <f t="shared" si="91"/>
        <v>Velodrome</v>
      </c>
      <c r="BE134" t="s">
        <v>238</v>
      </c>
      <c r="BF134" t="s">
        <v>174</v>
      </c>
      <c r="BG134" t="s">
        <v>85</v>
      </c>
      <c r="BI134" cm="1">
        <f t="array" ref="BI134">IFERROR(_xlfn._xlws.FILTER(shifts!A:A,(shifts!B:B=events!AD134)*(shifts!AG:AG&gt;=events!BK134)*(shifts!AH:AH&lt;=events!BL134)),BI133)</f>
        <v>5</v>
      </c>
      <c r="BJ134" s="15">
        <f t="shared" si="92"/>
        <v>2</v>
      </c>
      <c r="BK134">
        <f t="shared" si="99"/>
        <v>941</v>
      </c>
      <c r="BL134">
        <f t="shared" si="100"/>
        <v>939</v>
      </c>
      <c r="BM134" s="15">
        <f>SUMIFS(BJ$2:BJ134,K$2:K134,"=Intermission")+SUMIFS(BJ$2:BJ134,K$2:K134,"=Timeout")</f>
        <v>0</v>
      </c>
      <c r="BN134">
        <f t="shared" si="101"/>
        <v>0</v>
      </c>
      <c r="BO134" s="19">
        <f t="shared" si="102"/>
        <v>139</v>
      </c>
      <c r="BP134">
        <f t="shared" si="103"/>
        <v>134</v>
      </c>
      <c r="BQ134" s="17">
        <f t="shared" si="104"/>
        <v>141</v>
      </c>
      <c r="BR134" t="str">
        <f t="shared" si="105"/>
        <v>event_team_player_1</v>
      </c>
      <c r="BS134">
        <f>COUNTIFS(S$3:S134,"="&amp;S134,AI$3:AI134,"="&amp;AI134)</f>
        <v>1</v>
      </c>
      <c r="BT134" t="str">
        <f>IFERROR(VLOOKUP(BB134&amp;BU134&amp;X134,game_rosters!U:W,3,FALSE),"")</f>
        <v>P100197</v>
      </c>
      <c r="BU134" t="str">
        <f t="shared" si="106"/>
        <v>Nelson</v>
      </c>
    </row>
    <row r="135" spans="1:73" x14ac:dyDescent="0.2">
      <c r="A135">
        <f t="shared" si="93"/>
        <v>1</v>
      </c>
      <c r="E135" s="4"/>
      <c r="F135" s="43"/>
      <c r="G135" s="4"/>
      <c r="H135" s="46"/>
      <c r="J135" s="44" t="str">
        <f t="shared" si="107"/>
        <v>o</v>
      </c>
      <c r="K135" t="s">
        <v>238</v>
      </c>
      <c r="L135" t="s">
        <v>174</v>
      </c>
      <c r="M135" t="s">
        <v>85</v>
      </c>
      <c r="N135" t="str">
        <f t="shared" si="78"/>
        <v>s</v>
      </c>
      <c r="Q135" t="str">
        <f t="shared" si="76"/>
        <v/>
      </c>
      <c r="S135">
        <v>70</v>
      </c>
      <c r="U135" t="str">
        <f>IF(B135=1,MAX($U$2:$U134)+1,IF(AND($T135&lt;&gt;"",$T135=$T134),$U134,IF(B135="x",U134,"")))</f>
        <v/>
      </c>
      <c r="V135" t="str">
        <f>IF(C135=1,MAX($V$2:$V134)+1,IF(AND($T135&lt;&gt;"",$T135=$T134),$U134,IF(C135="x",V134,"")))</f>
        <v/>
      </c>
      <c r="W135" t="str">
        <f t="shared" si="82"/>
        <v>h</v>
      </c>
      <c r="X135">
        <v>52</v>
      </c>
      <c r="Y135" t="e">
        <f>IF(X135&lt;&gt;"",VLOOKUP(X135,game_rosters!$C$43:$E$64,3,FALSE))</f>
        <v>#N/A</v>
      </c>
      <c r="Z135" t="str" cm="1">
        <f t="array" ref="Z135">IFERROR(IF(_xlfn._xlws.FILTER(game_rosters!$J:$J,(game_rosters!$G:$G=events!$AN135)*(game_rosters!$J:$J=events!$X135))&gt;0,1,""),"")</f>
        <v/>
      </c>
      <c r="AA135">
        <f t="shared" si="83"/>
        <v>1070</v>
      </c>
      <c r="AB135" t="str">
        <f t="shared" si="84"/>
        <v/>
      </c>
      <c r="AC135">
        <f t="shared" si="81"/>
        <v>1070</v>
      </c>
      <c r="AD135" s="6">
        <v>1</v>
      </c>
      <c r="AE135" t="s">
        <v>744</v>
      </c>
      <c r="AF135" t="s">
        <v>924</v>
      </c>
      <c r="AG135" t="s">
        <v>744</v>
      </c>
      <c r="AH135" t="s">
        <v>749</v>
      </c>
      <c r="AI135" t="s">
        <v>368</v>
      </c>
      <c r="AJ135" t="str">
        <f t="shared" si="85"/>
        <v>o</v>
      </c>
      <c r="AK135" t="str">
        <f t="shared" si="85"/>
        <v>o</v>
      </c>
      <c r="AL135" t="str">
        <f t="shared" si="86"/>
        <v>o</v>
      </c>
      <c r="AN135" t="s">
        <v>861</v>
      </c>
      <c r="AO135" t="str">
        <f t="shared" si="87"/>
        <v>h</v>
      </c>
      <c r="AP135" t="str">
        <f t="shared" si="94"/>
        <v>o</v>
      </c>
      <c r="AQ135" t="str">
        <f t="shared" si="95"/>
        <v/>
      </c>
      <c r="AR135" t="str">
        <f t="shared" si="96"/>
        <v>Home</v>
      </c>
      <c r="AS135" t="str">
        <f t="shared" si="97"/>
        <v>h</v>
      </c>
      <c r="AT135" t="str">
        <f t="shared" si="98"/>
        <v>Defensive</v>
      </c>
      <c r="BA135" s="6">
        <f t="shared" si="88"/>
        <v>32</v>
      </c>
      <c r="BB135">
        <f t="shared" si="89"/>
        <v>18981</v>
      </c>
      <c r="BC135" t="str">
        <f t="shared" si="90"/>
        <v>Nelson</v>
      </c>
      <c r="BD135" t="str">
        <f t="shared" si="91"/>
        <v>Velodrome</v>
      </c>
      <c r="BE135" t="s">
        <v>238</v>
      </c>
      <c r="BF135" t="s">
        <v>174</v>
      </c>
      <c r="BG135" t="s">
        <v>85</v>
      </c>
      <c r="BI135" cm="1">
        <f t="array" ref="BI135">IFERROR(_xlfn._xlws.FILTER(shifts!A:A,(shifts!B:B=events!AD135)*(shifts!AG:AG&gt;=events!BK135)*(shifts!AH:AH&lt;=events!BL135)),BI134)</f>
        <v>5</v>
      </c>
      <c r="BJ135" s="15">
        <f t="shared" si="92"/>
        <v>2</v>
      </c>
      <c r="BK135">
        <f t="shared" si="99"/>
        <v>941</v>
      </c>
      <c r="BL135">
        <f t="shared" si="100"/>
        <v>939</v>
      </c>
      <c r="BM135" s="15">
        <f>SUMIFS(BJ$2:BJ135,K$2:K135,"=Intermission")+SUMIFS(BJ$2:BJ135,K$2:K135,"=Timeout")</f>
        <v>0</v>
      </c>
      <c r="BN135">
        <f t="shared" si="101"/>
        <v>0</v>
      </c>
      <c r="BO135" s="19">
        <f t="shared" si="102"/>
        <v>139</v>
      </c>
      <c r="BP135">
        <f t="shared" si="103"/>
        <v>134</v>
      </c>
      <c r="BQ135" s="17">
        <f t="shared" si="104"/>
        <v>141</v>
      </c>
      <c r="BR135" t="str">
        <f t="shared" si="105"/>
        <v>opp_team_player_1</v>
      </c>
      <c r="BS135">
        <f>COUNTIFS(S$3:S135,"="&amp;S135,AI$3:AI135,"="&amp;AI135)</f>
        <v>1</v>
      </c>
      <c r="BT135" t="str">
        <f>IFERROR(VLOOKUP(BB135&amp;BU135&amp;X135,game_rosters!U:W,3,FALSE),"")</f>
        <v>P100070</v>
      </c>
      <c r="BU135" t="str">
        <f t="shared" si="106"/>
        <v>Velodrome</v>
      </c>
    </row>
    <row r="136" spans="1:73" x14ac:dyDescent="0.2">
      <c r="A136">
        <f t="shared" si="93"/>
        <v>1</v>
      </c>
      <c r="E136" s="4"/>
      <c r="F136" s="43"/>
      <c r="G136" s="4"/>
      <c r="H136" s="46"/>
      <c r="J136" s="44" t="str">
        <f t="shared" si="107"/>
        <v>o</v>
      </c>
      <c r="K136" t="s">
        <v>238</v>
      </c>
      <c r="L136" t="s">
        <v>174</v>
      </c>
      <c r="M136" t="s">
        <v>85</v>
      </c>
      <c r="N136" t="str">
        <f t="shared" si="78"/>
        <v>s</v>
      </c>
      <c r="Q136" t="str">
        <f t="shared" si="76"/>
        <v/>
      </c>
      <c r="S136">
        <v>70</v>
      </c>
      <c r="U136" t="str">
        <f>IF(B136=1,MAX($U$2:$U135)+1,IF(AND($T136&lt;&gt;"",$T136=$T135),$U135,IF(B136="x",U135,"")))</f>
        <v/>
      </c>
      <c r="V136" t="str">
        <f>IF(C136=1,MAX($V$2:$V135)+1,IF(AND($T136&lt;&gt;"",$T136=$T135),$U135,IF(C136="x",V135,"")))</f>
        <v/>
      </c>
      <c r="W136" t="str">
        <f t="shared" si="82"/>
        <v>h</v>
      </c>
      <c r="X136">
        <v>42</v>
      </c>
      <c r="Y136" t="e">
        <f>IF(X136&lt;&gt;"",VLOOKUP(X136,game_rosters!$C$43:$E$64,3,FALSE))</f>
        <v>#N/A</v>
      </c>
      <c r="Z136" t="str" cm="1">
        <f t="array" ref="Z136">IFERROR(IF(_xlfn._xlws.FILTER(game_rosters!$J:$J,(game_rosters!$G:$G=events!$AN136)*(game_rosters!$J:$J=events!$X136))&gt;0,1,""),"")</f>
        <v/>
      </c>
      <c r="AA136">
        <f t="shared" si="83"/>
        <v>1070</v>
      </c>
      <c r="AB136" t="str">
        <f t="shared" si="84"/>
        <v/>
      </c>
      <c r="AC136">
        <f t="shared" si="81"/>
        <v>1070</v>
      </c>
      <c r="AD136" s="6">
        <v>1</v>
      </c>
      <c r="AE136" t="s">
        <v>744</v>
      </c>
      <c r="AF136" t="s">
        <v>924</v>
      </c>
      <c r="AG136" t="s">
        <v>744</v>
      </c>
      <c r="AH136" t="s">
        <v>749</v>
      </c>
      <c r="AI136" t="s">
        <v>368</v>
      </c>
      <c r="AJ136" t="str">
        <f t="shared" si="85"/>
        <v>o</v>
      </c>
      <c r="AK136" t="str">
        <f t="shared" si="85"/>
        <v>o</v>
      </c>
      <c r="AL136" t="str">
        <f t="shared" si="86"/>
        <v>o</v>
      </c>
      <c r="AN136" t="s">
        <v>861</v>
      </c>
      <c r="AO136" t="str">
        <f t="shared" si="87"/>
        <v>h</v>
      </c>
      <c r="AP136" t="str">
        <f t="shared" si="94"/>
        <v>o</v>
      </c>
      <c r="AQ136" t="str">
        <f t="shared" si="95"/>
        <v/>
      </c>
      <c r="AR136" t="str">
        <f t="shared" si="96"/>
        <v>Home</v>
      </c>
      <c r="AS136" t="str">
        <f t="shared" si="97"/>
        <v>h</v>
      </c>
      <c r="AT136" t="str">
        <f t="shared" si="98"/>
        <v>Defensive</v>
      </c>
      <c r="BA136" s="6">
        <f t="shared" si="88"/>
        <v>33</v>
      </c>
      <c r="BB136">
        <f t="shared" si="89"/>
        <v>18981</v>
      </c>
      <c r="BC136" t="str">
        <f t="shared" si="90"/>
        <v>Nelson</v>
      </c>
      <c r="BD136" t="str">
        <f t="shared" si="91"/>
        <v>Velodrome</v>
      </c>
      <c r="BE136" t="s">
        <v>238</v>
      </c>
      <c r="BF136" t="s">
        <v>174</v>
      </c>
      <c r="BG136" t="s">
        <v>85</v>
      </c>
      <c r="BI136" cm="1">
        <f t="array" ref="BI136">IFERROR(_xlfn._xlws.FILTER(shifts!A:A,(shifts!B:B=events!AD136)*(shifts!AG:AG&gt;=events!BK136)*(shifts!AH:AH&lt;=events!BL136)),BI135)</f>
        <v>5</v>
      </c>
      <c r="BJ136" s="15">
        <f t="shared" si="92"/>
        <v>2</v>
      </c>
      <c r="BK136">
        <f t="shared" si="99"/>
        <v>941</v>
      </c>
      <c r="BL136">
        <f t="shared" si="100"/>
        <v>939</v>
      </c>
      <c r="BM136" s="15">
        <f>SUMIFS(BJ$2:BJ136,K$2:K136,"=Intermission")+SUMIFS(BJ$2:BJ136,K$2:K136,"=Timeout")</f>
        <v>0</v>
      </c>
      <c r="BN136">
        <f t="shared" si="101"/>
        <v>0</v>
      </c>
      <c r="BO136" s="19">
        <f t="shared" si="102"/>
        <v>139</v>
      </c>
      <c r="BP136">
        <f t="shared" si="103"/>
        <v>134</v>
      </c>
      <c r="BQ136" s="17">
        <f t="shared" si="104"/>
        <v>141</v>
      </c>
      <c r="BR136" t="str">
        <f t="shared" si="105"/>
        <v>opp_team_player_2</v>
      </c>
      <c r="BS136">
        <f>COUNTIFS(S$3:S136,"="&amp;S136,AI$3:AI136,"="&amp;AI136)</f>
        <v>2</v>
      </c>
      <c r="BT136" t="str">
        <f>IFERROR(VLOOKUP(BB136&amp;BU136&amp;X136,game_rosters!U:W,3,FALSE),"")</f>
        <v>P100201</v>
      </c>
      <c r="BU136" t="str">
        <f t="shared" si="106"/>
        <v>Velodrome</v>
      </c>
    </row>
    <row r="137" spans="1:73" x14ac:dyDescent="0.2">
      <c r="A137">
        <f t="shared" si="93"/>
        <v>1</v>
      </c>
      <c r="E137" s="4"/>
      <c r="F137" s="43"/>
      <c r="G137" s="4"/>
      <c r="H137" s="46"/>
      <c r="J137" s="44" t="str">
        <f t="shared" si="107"/>
        <v>o</v>
      </c>
      <c r="K137" t="s">
        <v>238</v>
      </c>
      <c r="L137" t="s">
        <v>174</v>
      </c>
      <c r="M137" t="s">
        <v>85</v>
      </c>
      <c r="N137" t="str">
        <f t="shared" si="78"/>
        <v>s</v>
      </c>
      <c r="Q137" t="str">
        <f t="shared" si="76"/>
        <v/>
      </c>
      <c r="S137">
        <v>70</v>
      </c>
      <c r="U137" t="str">
        <f>IF(B137=1,MAX($U$2:$U136)+1,IF(AND($T137&lt;&gt;"",$T137=$T136),$U136,IF(B137="x",U136,"")))</f>
        <v/>
      </c>
      <c r="V137" t="str">
        <f>IF(C137=1,MAX($V$2:$V136)+1,IF(AND($T137&lt;&gt;"",$T137=$T136),$U136,IF(C137="x",V136,"")))</f>
        <v/>
      </c>
      <c r="W137" t="str">
        <f t="shared" si="82"/>
        <v>h</v>
      </c>
      <c r="X137">
        <v>91</v>
      </c>
      <c r="Y137" t="e">
        <f>IF(X137&lt;&gt;"",VLOOKUP(X137,game_rosters!$C$43:$E$64,3,FALSE))</f>
        <v>#N/A</v>
      </c>
      <c r="Z137" t="str" cm="1">
        <f t="array" ref="Z137">IFERROR(IF(_xlfn._xlws.FILTER(game_rosters!$J:$J,(game_rosters!$G:$G=events!$AN137)*(game_rosters!$J:$J=events!$X137))&gt;0,1,""),"")</f>
        <v/>
      </c>
      <c r="AA137">
        <f t="shared" si="83"/>
        <v>1070</v>
      </c>
      <c r="AB137" t="str">
        <f t="shared" si="84"/>
        <v/>
      </c>
      <c r="AC137">
        <f t="shared" si="81"/>
        <v>1070</v>
      </c>
      <c r="AD137" s="6">
        <v>1</v>
      </c>
      <c r="AE137" t="s">
        <v>744</v>
      </c>
      <c r="AF137" t="s">
        <v>924</v>
      </c>
      <c r="AG137" t="s">
        <v>744</v>
      </c>
      <c r="AH137" t="s">
        <v>749</v>
      </c>
      <c r="AI137" t="s">
        <v>368</v>
      </c>
      <c r="AJ137" t="str">
        <f t="shared" si="85"/>
        <v>o</v>
      </c>
      <c r="AK137" t="str">
        <f t="shared" si="85"/>
        <v>o</v>
      </c>
      <c r="AL137" t="str">
        <f t="shared" si="86"/>
        <v>o</v>
      </c>
      <c r="AN137" t="s">
        <v>861</v>
      </c>
      <c r="AO137" t="str">
        <f t="shared" si="87"/>
        <v>h</v>
      </c>
      <c r="AP137" t="str">
        <f t="shared" si="94"/>
        <v>o</v>
      </c>
      <c r="AQ137" t="str">
        <f t="shared" si="95"/>
        <v/>
      </c>
      <c r="AR137" t="str">
        <f t="shared" si="96"/>
        <v>Home</v>
      </c>
      <c r="AS137" t="str">
        <f t="shared" si="97"/>
        <v>h</v>
      </c>
      <c r="AT137" t="str">
        <f t="shared" si="98"/>
        <v>Defensive</v>
      </c>
      <c r="BA137" s="6">
        <f t="shared" si="88"/>
        <v>34</v>
      </c>
      <c r="BB137">
        <f t="shared" si="89"/>
        <v>18981</v>
      </c>
      <c r="BC137" t="str">
        <f t="shared" si="90"/>
        <v>Nelson</v>
      </c>
      <c r="BD137" t="str">
        <f t="shared" si="91"/>
        <v>Velodrome</v>
      </c>
      <c r="BE137" t="s">
        <v>238</v>
      </c>
      <c r="BF137" t="s">
        <v>174</v>
      </c>
      <c r="BG137" t="s">
        <v>85</v>
      </c>
      <c r="BI137" cm="1">
        <f t="array" ref="BI137">IFERROR(_xlfn._xlws.FILTER(shifts!A:A,(shifts!B:B=events!AD137)*(shifts!AG:AG&gt;=events!BK137)*(shifts!AH:AH&lt;=events!BL137)),BI136)</f>
        <v>5</v>
      </c>
      <c r="BJ137" s="15">
        <f t="shared" si="92"/>
        <v>2</v>
      </c>
      <c r="BK137">
        <f t="shared" si="99"/>
        <v>941</v>
      </c>
      <c r="BL137">
        <f t="shared" si="100"/>
        <v>939</v>
      </c>
      <c r="BM137" s="15">
        <f>SUMIFS(BJ$2:BJ137,K$2:K137,"=Intermission")+SUMIFS(BJ$2:BJ137,K$2:K137,"=Timeout")</f>
        <v>0</v>
      </c>
      <c r="BN137">
        <f t="shared" si="101"/>
        <v>0</v>
      </c>
      <c r="BO137" s="19">
        <f t="shared" si="102"/>
        <v>139</v>
      </c>
      <c r="BP137">
        <f t="shared" si="103"/>
        <v>134</v>
      </c>
      <c r="BQ137" s="17">
        <f t="shared" si="104"/>
        <v>141</v>
      </c>
      <c r="BR137" t="str">
        <f t="shared" si="105"/>
        <v>opp_team_player_3</v>
      </c>
      <c r="BS137">
        <f>COUNTIFS(S$3:S137,"="&amp;S137,AI$3:AI137,"="&amp;AI137)</f>
        <v>3</v>
      </c>
      <c r="BT137" t="str">
        <f>IFERROR(VLOOKUP(BB137&amp;BU137&amp;X137,game_rosters!U:W,3,FALSE),"")</f>
        <v>P100002</v>
      </c>
      <c r="BU137" t="str">
        <f t="shared" si="106"/>
        <v>Velodrome</v>
      </c>
    </row>
    <row r="138" spans="1:73" x14ac:dyDescent="0.2">
      <c r="A138">
        <f t="shared" si="93"/>
        <v>1</v>
      </c>
      <c r="E138" s="4"/>
      <c r="F138" s="43"/>
      <c r="G138" s="4"/>
      <c r="H138" s="46"/>
      <c r="J138" s="44" t="str">
        <f t="shared" si="107"/>
        <v>o</v>
      </c>
      <c r="K138" t="s">
        <v>238</v>
      </c>
      <c r="L138" t="s">
        <v>174</v>
      </c>
      <c r="M138" t="s">
        <v>85</v>
      </c>
      <c r="N138" t="str">
        <f t="shared" si="78"/>
        <v>s</v>
      </c>
      <c r="Q138" t="str">
        <f t="shared" si="76"/>
        <v/>
      </c>
      <c r="S138">
        <v>70</v>
      </c>
      <c r="U138" t="str">
        <f>IF(B138=1,MAX($U$2:$U137)+1,IF(AND($T138&lt;&gt;"",$T138=$T137),$U137,IF(B138="x",U137,"")))</f>
        <v/>
      </c>
      <c r="V138" t="str">
        <f>IF(C138=1,MAX($V$2:$V137)+1,IF(AND($T138&lt;&gt;"",$T138=$T137),$U137,IF(C138="x",V137,"")))</f>
        <v/>
      </c>
      <c r="W138" t="str">
        <f t="shared" si="82"/>
        <v>h</v>
      </c>
      <c r="X138">
        <v>93</v>
      </c>
      <c r="Y138" t="e">
        <f>IF(X138&lt;&gt;"",VLOOKUP(X138,game_rosters!$C$43:$E$64,3,FALSE))</f>
        <v>#N/A</v>
      </c>
      <c r="Z138" t="str" cm="1">
        <f t="array" ref="Z138">IFERROR(IF(_xlfn._xlws.FILTER(game_rosters!$J:$J,(game_rosters!$G:$G=events!$AN138)*(game_rosters!$J:$J=events!$X138))&gt;0,1,""),"")</f>
        <v/>
      </c>
      <c r="AA138">
        <f t="shared" si="83"/>
        <v>1070</v>
      </c>
      <c r="AB138" t="str">
        <f t="shared" si="84"/>
        <v/>
      </c>
      <c r="AC138">
        <f t="shared" si="81"/>
        <v>1070</v>
      </c>
      <c r="AD138" s="6">
        <v>1</v>
      </c>
      <c r="AE138" t="s">
        <v>744</v>
      </c>
      <c r="AF138" t="s">
        <v>924</v>
      </c>
      <c r="AG138" t="s">
        <v>744</v>
      </c>
      <c r="AH138" t="s">
        <v>749</v>
      </c>
      <c r="AI138" t="s">
        <v>368</v>
      </c>
      <c r="AJ138" t="str">
        <f t="shared" si="85"/>
        <v>o</v>
      </c>
      <c r="AK138" t="str">
        <f t="shared" si="85"/>
        <v>o</v>
      </c>
      <c r="AL138" t="str">
        <f t="shared" si="86"/>
        <v>o</v>
      </c>
      <c r="AN138" t="s">
        <v>861</v>
      </c>
      <c r="AO138" t="str">
        <f t="shared" si="87"/>
        <v>h</v>
      </c>
      <c r="AP138" t="str">
        <f t="shared" si="94"/>
        <v>o</v>
      </c>
      <c r="AQ138" t="str">
        <f t="shared" si="95"/>
        <v/>
      </c>
      <c r="AR138" t="str">
        <f t="shared" si="96"/>
        <v>Home</v>
      </c>
      <c r="AS138" t="str">
        <f t="shared" si="97"/>
        <v>h</v>
      </c>
      <c r="AT138" t="str">
        <f t="shared" si="98"/>
        <v>Defensive</v>
      </c>
      <c r="BA138" s="6">
        <f t="shared" si="88"/>
        <v>35</v>
      </c>
      <c r="BB138">
        <f t="shared" si="89"/>
        <v>18981</v>
      </c>
      <c r="BC138" t="str">
        <f t="shared" si="90"/>
        <v>Nelson</v>
      </c>
      <c r="BD138" t="str">
        <f t="shared" si="91"/>
        <v>Velodrome</v>
      </c>
      <c r="BE138" t="s">
        <v>238</v>
      </c>
      <c r="BF138" t="s">
        <v>174</v>
      </c>
      <c r="BG138" t="s">
        <v>85</v>
      </c>
      <c r="BI138" cm="1">
        <f t="array" ref="BI138">IFERROR(_xlfn._xlws.FILTER(shifts!A:A,(shifts!B:B=events!AD138)*(shifts!AG:AG&gt;=events!BK138)*(shifts!AH:AH&lt;=events!BL138)),BI137)</f>
        <v>5</v>
      </c>
      <c r="BJ138" s="15">
        <f t="shared" si="92"/>
        <v>2</v>
      </c>
      <c r="BK138">
        <f t="shared" si="99"/>
        <v>941</v>
      </c>
      <c r="BL138">
        <f t="shared" si="100"/>
        <v>939</v>
      </c>
      <c r="BM138" s="15">
        <f>SUMIFS(BJ$2:BJ138,K$2:K138,"=Intermission")+SUMIFS(BJ$2:BJ138,K$2:K138,"=Timeout")</f>
        <v>0</v>
      </c>
      <c r="BN138">
        <f t="shared" si="101"/>
        <v>0</v>
      </c>
      <c r="BO138" s="19">
        <f t="shared" si="102"/>
        <v>139</v>
      </c>
      <c r="BP138">
        <f t="shared" si="103"/>
        <v>134</v>
      </c>
      <c r="BQ138" s="17">
        <f t="shared" si="104"/>
        <v>141</v>
      </c>
      <c r="BR138" t="str">
        <f t="shared" si="105"/>
        <v>opp_team_player_4</v>
      </c>
      <c r="BS138">
        <f>COUNTIFS(S$3:S138,"="&amp;S138,AI$3:AI138,"="&amp;AI138)</f>
        <v>4</v>
      </c>
      <c r="BT138" t="str">
        <f>IFERROR(VLOOKUP(BB138&amp;BU138&amp;X138,game_rosters!U:W,3,FALSE),"")</f>
        <v>P100093</v>
      </c>
      <c r="BU138" t="str">
        <f t="shared" si="106"/>
        <v>Velodrome</v>
      </c>
    </row>
    <row r="139" spans="1:73" x14ac:dyDescent="0.2">
      <c r="A139">
        <f t="shared" si="93"/>
        <v>1</v>
      </c>
      <c r="E139" s="4"/>
      <c r="F139" s="43"/>
      <c r="G139" s="4"/>
      <c r="H139" s="46"/>
      <c r="J139" s="44" t="str">
        <f t="shared" si="107"/>
        <v>o</v>
      </c>
      <c r="K139" t="s">
        <v>6</v>
      </c>
      <c r="L139" t="s">
        <v>205</v>
      </c>
      <c r="M139" t="s">
        <v>51</v>
      </c>
      <c r="N139" t="str">
        <f t="shared" si="78"/>
        <v>s</v>
      </c>
      <c r="Q139" t="str">
        <f t="shared" si="76"/>
        <v/>
      </c>
      <c r="S139">
        <v>71</v>
      </c>
      <c r="U139" t="str">
        <f>IF(B139=1,MAX($U$2:$U138)+1,IF(AND($T139&lt;&gt;"",$T139=$T138),$U138,IF(B139="x",U138,"")))</f>
        <v/>
      </c>
      <c r="V139" t="str">
        <f>IF(C139=1,MAX($V$2:$V138)+1,IF(AND($T139&lt;&gt;"",$T139=$T138),$U138,IF(C139="x",V138,"")))</f>
        <v/>
      </c>
      <c r="W139" t="str">
        <f t="shared" si="82"/>
        <v>h</v>
      </c>
      <c r="X139">
        <v>80</v>
      </c>
      <c r="Y139" t="b">
        <f>IF(X139&lt;&gt;"",VLOOKUP(X139,game_rosters!$C$43:$E$64,3,FALSE))</f>
        <v>0</v>
      </c>
      <c r="Z139" cm="1">
        <f t="array" ref="Z139">IFERROR(IF(_xlfn._xlws.FILTER(game_rosters!$J:$J,(game_rosters!$G:$G=events!$AN139)*(game_rosters!$J:$J=events!$X139))&gt;0,1,""),"")</f>
        <v>1</v>
      </c>
      <c r="AA139">
        <f t="shared" si="83"/>
        <v>1071</v>
      </c>
      <c r="AB139" t="str">
        <f t="shared" si="84"/>
        <v/>
      </c>
      <c r="AC139">
        <f t="shared" si="81"/>
        <v>1071</v>
      </c>
      <c r="AD139" s="6">
        <v>1</v>
      </c>
      <c r="AE139" t="s">
        <v>744</v>
      </c>
      <c r="AF139" t="s">
        <v>749</v>
      </c>
      <c r="AG139" t="s">
        <v>756</v>
      </c>
      <c r="AH139" t="s">
        <v>756</v>
      </c>
      <c r="AI139" t="s">
        <v>367</v>
      </c>
      <c r="AJ139" t="str">
        <f t="shared" si="85"/>
        <v>o</v>
      </c>
      <c r="AK139" t="str">
        <f t="shared" si="85"/>
        <v>o</v>
      </c>
      <c r="AL139" t="str">
        <f t="shared" si="86"/>
        <v>o</v>
      </c>
      <c r="AN139" t="s">
        <v>861</v>
      </c>
      <c r="AO139" t="str">
        <f t="shared" si="87"/>
        <v>h</v>
      </c>
      <c r="AP139" t="str">
        <f t="shared" si="94"/>
        <v>o</v>
      </c>
      <c r="AQ139" t="str">
        <f t="shared" si="95"/>
        <v/>
      </c>
      <c r="AR139" t="str">
        <f t="shared" si="96"/>
        <v>Home</v>
      </c>
      <c r="AS139" t="str">
        <f t="shared" si="97"/>
        <v>h</v>
      </c>
      <c r="AT139" t="str">
        <f t="shared" si="98"/>
        <v>Offensive</v>
      </c>
      <c r="BA139" s="6">
        <f t="shared" si="88"/>
        <v>35</v>
      </c>
      <c r="BB139">
        <f t="shared" si="89"/>
        <v>18981</v>
      </c>
      <c r="BC139" t="str">
        <f t="shared" si="90"/>
        <v>Nelson</v>
      </c>
      <c r="BD139" t="str">
        <f t="shared" si="91"/>
        <v>Velodrome</v>
      </c>
      <c r="BE139" t="s">
        <v>6</v>
      </c>
      <c r="BF139" t="s">
        <v>205</v>
      </c>
      <c r="BG139" t="s">
        <v>51</v>
      </c>
      <c r="BI139" cm="1">
        <f t="array" ref="BI139">IFERROR(_xlfn._xlws.FILTER(shifts!A:A,(shifts!B:B=events!AD139)*(shifts!AG:AG&gt;=events!BK139)*(shifts!AH:AH&lt;=events!BL139)),BI138)</f>
        <v>5</v>
      </c>
      <c r="BJ139" s="15">
        <f t="shared" si="92"/>
        <v>0</v>
      </c>
      <c r="BK139">
        <f t="shared" si="99"/>
        <v>939</v>
      </c>
      <c r="BL139">
        <f t="shared" si="100"/>
        <v>939</v>
      </c>
      <c r="BM139" s="15">
        <f>SUMIFS(BJ$2:BJ139,K$2:K139,"=Intermission")+SUMIFS(BJ$2:BJ139,K$2:K139,"=Timeout")</f>
        <v>0</v>
      </c>
      <c r="BN139">
        <f t="shared" si="101"/>
        <v>0</v>
      </c>
      <c r="BO139" s="19">
        <f t="shared" si="102"/>
        <v>141</v>
      </c>
      <c r="BP139">
        <f t="shared" si="103"/>
        <v>136</v>
      </c>
      <c r="BQ139" s="17">
        <f t="shared" si="104"/>
        <v>141</v>
      </c>
      <c r="BR139" t="str">
        <f t="shared" si="105"/>
        <v>event_team_player_1</v>
      </c>
      <c r="BS139">
        <f>COUNTIFS(S$3:S139,"="&amp;S139,AI$3:AI139,"="&amp;AI139)</f>
        <v>1</v>
      </c>
      <c r="BT139" t="str">
        <f>IFERROR(VLOOKUP(BB139&amp;BU139&amp;X139,game_rosters!U:W,3,FALSE),"")</f>
        <v>P100197</v>
      </c>
      <c r="BU139" t="str">
        <f t="shared" si="106"/>
        <v>Nelson</v>
      </c>
    </row>
    <row r="140" spans="1:73" x14ac:dyDescent="0.2">
      <c r="A140">
        <f t="shared" si="93"/>
        <v>1</v>
      </c>
      <c r="E140" s="4"/>
      <c r="F140" s="43"/>
      <c r="G140" s="4"/>
      <c r="H140" s="46"/>
      <c r="J140" s="44" t="str">
        <f t="shared" si="107"/>
        <v>o</v>
      </c>
      <c r="K140" t="s">
        <v>6</v>
      </c>
      <c r="L140" t="s">
        <v>205</v>
      </c>
      <c r="M140" t="s">
        <v>51</v>
      </c>
      <c r="N140" t="str">
        <f t="shared" si="78"/>
        <v>s</v>
      </c>
      <c r="Q140" t="str">
        <f t="shared" si="76"/>
        <v/>
      </c>
      <c r="S140">
        <v>71</v>
      </c>
      <c r="U140" t="str">
        <f>IF(B140=1,MAX($U$2:$U139)+1,IF(AND($T140&lt;&gt;"",$T140=$T139),$U139,IF(B140="x",U139,"")))</f>
        <v/>
      </c>
      <c r="V140" t="str">
        <f>IF(C140=1,MAX($V$2:$V139)+1,IF(AND($T140&lt;&gt;"",$T140=$T139),$U139,IF(C140="x",V139,"")))</f>
        <v/>
      </c>
      <c r="W140" t="str">
        <f t="shared" si="82"/>
        <v>h</v>
      </c>
      <c r="X140">
        <v>39</v>
      </c>
      <c r="Y140" t="e">
        <f>IF(X140&lt;&gt;"",VLOOKUP(X140,game_rosters!$C$43:$E$64,3,FALSE))</f>
        <v>#N/A</v>
      </c>
      <c r="Z140" t="str" cm="1">
        <f t="array" ref="Z140">IFERROR(IF(_xlfn._xlws.FILTER(game_rosters!$J:$J,(game_rosters!$G:$G=events!$AN140)*(game_rosters!$J:$J=events!$X140))&gt;0,1,""),"")</f>
        <v/>
      </c>
      <c r="AA140">
        <f t="shared" si="83"/>
        <v>1071</v>
      </c>
      <c r="AB140" t="str">
        <f t="shared" si="84"/>
        <v/>
      </c>
      <c r="AC140">
        <f t="shared" si="81"/>
        <v>1071</v>
      </c>
      <c r="AD140" s="6">
        <v>1</v>
      </c>
      <c r="AE140" t="s">
        <v>744</v>
      </c>
      <c r="AF140" t="s">
        <v>749</v>
      </c>
      <c r="AG140" t="s">
        <v>756</v>
      </c>
      <c r="AH140" t="s">
        <v>756</v>
      </c>
      <c r="AI140" t="s">
        <v>368</v>
      </c>
      <c r="AJ140" t="str">
        <f t="shared" si="85"/>
        <v>o</v>
      </c>
      <c r="AK140" t="str">
        <f t="shared" si="85"/>
        <v>o</v>
      </c>
      <c r="AL140" t="str">
        <f t="shared" si="86"/>
        <v>o</v>
      </c>
      <c r="AN140" t="s">
        <v>861</v>
      </c>
      <c r="AO140" t="str">
        <f t="shared" si="87"/>
        <v>h</v>
      </c>
      <c r="AP140" t="str">
        <f t="shared" si="94"/>
        <v>o</v>
      </c>
      <c r="AQ140" t="str">
        <f t="shared" si="95"/>
        <v/>
      </c>
      <c r="AR140" t="str">
        <f t="shared" si="96"/>
        <v>Home</v>
      </c>
      <c r="AS140" t="str">
        <f t="shared" si="97"/>
        <v>h</v>
      </c>
      <c r="AT140" t="str">
        <f t="shared" si="98"/>
        <v>Defensive</v>
      </c>
      <c r="BA140" s="6">
        <f t="shared" si="88"/>
        <v>35</v>
      </c>
      <c r="BB140">
        <f t="shared" si="89"/>
        <v>18981</v>
      </c>
      <c r="BC140" t="str">
        <f t="shared" si="90"/>
        <v>Nelson</v>
      </c>
      <c r="BD140" t="str">
        <f t="shared" si="91"/>
        <v>Velodrome</v>
      </c>
      <c r="BE140" t="s">
        <v>6</v>
      </c>
      <c r="BF140" t="s">
        <v>205</v>
      </c>
      <c r="BG140" t="s">
        <v>51</v>
      </c>
      <c r="BI140" cm="1">
        <f t="array" ref="BI140">IFERROR(_xlfn._xlws.FILTER(shifts!A:A,(shifts!B:B=events!AD140)*(shifts!AG:AG&gt;=events!BK140)*(shifts!AH:AH&lt;=events!BL140)),BI139)</f>
        <v>5</v>
      </c>
      <c r="BJ140" s="15">
        <f t="shared" si="92"/>
        <v>0</v>
      </c>
      <c r="BK140">
        <f t="shared" si="99"/>
        <v>939</v>
      </c>
      <c r="BL140">
        <f t="shared" si="100"/>
        <v>939</v>
      </c>
      <c r="BM140" s="15">
        <f>SUMIFS(BJ$2:BJ140,K$2:K140,"=Intermission")+SUMIFS(BJ$2:BJ140,K$2:K140,"=Timeout")</f>
        <v>0</v>
      </c>
      <c r="BN140">
        <f t="shared" si="101"/>
        <v>0</v>
      </c>
      <c r="BO140" s="19">
        <f t="shared" si="102"/>
        <v>141</v>
      </c>
      <c r="BP140">
        <f t="shared" si="103"/>
        <v>136</v>
      </c>
      <c r="BQ140" s="17">
        <f t="shared" si="104"/>
        <v>141</v>
      </c>
      <c r="BR140" t="str">
        <f t="shared" si="105"/>
        <v>opp_team_player_1</v>
      </c>
      <c r="BS140">
        <f>COUNTIFS(S$3:S140,"="&amp;S140,AI$3:AI140,"="&amp;AI140)</f>
        <v>1</v>
      </c>
      <c r="BT140" t="str">
        <f>IFERROR(VLOOKUP(BB140&amp;BU140&amp;X140,game_rosters!U:W,3,FALSE),"")</f>
        <v>P100016</v>
      </c>
      <c r="BU140" t="str">
        <f t="shared" si="106"/>
        <v>Velodrome</v>
      </c>
    </row>
    <row r="141" spans="1:73" x14ac:dyDescent="0.2">
      <c r="A141">
        <f t="shared" si="93"/>
        <v>1</v>
      </c>
      <c r="E141" s="4"/>
      <c r="F141" s="43"/>
      <c r="G141" s="4"/>
      <c r="H141" s="46"/>
      <c r="J141" s="44" t="str">
        <f t="shared" si="107"/>
        <v>d</v>
      </c>
      <c r="K141" t="s">
        <v>15</v>
      </c>
      <c r="L141" t="s">
        <v>189</v>
      </c>
      <c r="M141" t="s">
        <v>94</v>
      </c>
      <c r="N141" t="str">
        <f t="shared" si="78"/>
        <v/>
      </c>
      <c r="Q141" t="str">
        <f t="shared" si="76"/>
        <v/>
      </c>
      <c r="S141">
        <v>72</v>
      </c>
      <c r="U141" t="str">
        <f>IF(B141=1,MAX($U$2:$U140)+1,IF(AND($T141&lt;&gt;"",$T141=$T140),$U140,IF(B141="x",U140,"")))</f>
        <v/>
      </c>
      <c r="V141" t="str">
        <f>IF(C141=1,MAX($V$2:$V140)+1,IF(AND($T141&lt;&gt;"",$T141=$T140),$U140,IF(C141="x",V140,"")))</f>
        <v/>
      </c>
      <c r="W141" t="str">
        <f t="shared" si="82"/>
        <v>a</v>
      </c>
      <c r="X141">
        <v>39</v>
      </c>
      <c r="Y141" t="e">
        <f>IF(X141&lt;&gt;"",VLOOKUP(X141,game_rosters!$C$43:$E$64,3,FALSE))</f>
        <v>#N/A</v>
      </c>
      <c r="Z141" cm="1">
        <f t="array" ref="Z141">IFERROR(IF(_xlfn._xlws.FILTER(game_rosters!$J:$J,(game_rosters!$G:$G=events!$AN141)*(game_rosters!$J:$J=events!$X141))&gt;0,1,""),"")</f>
        <v>1</v>
      </c>
      <c r="AA141">
        <f t="shared" si="83"/>
        <v>1072</v>
      </c>
      <c r="AB141" t="str">
        <f t="shared" si="84"/>
        <v/>
      </c>
      <c r="AC141">
        <f t="shared" si="81"/>
        <v>1072</v>
      </c>
      <c r="AD141" s="6">
        <v>1</v>
      </c>
      <c r="AE141" t="s">
        <v>744</v>
      </c>
      <c r="AF141" t="s">
        <v>749</v>
      </c>
      <c r="AG141" t="s">
        <v>756</v>
      </c>
      <c r="AH141" t="s">
        <v>756</v>
      </c>
      <c r="AI141" t="s">
        <v>367</v>
      </c>
      <c r="AJ141" t="str">
        <f t="shared" si="85"/>
        <v>d</v>
      </c>
      <c r="AK141" t="str">
        <f t="shared" si="85"/>
        <v>d</v>
      </c>
      <c r="AL141" t="str">
        <f t="shared" si="86"/>
        <v>o</v>
      </c>
      <c r="AN141" t="s">
        <v>862</v>
      </c>
      <c r="AO141" t="str">
        <f t="shared" si="87"/>
        <v>a</v>
      </c>
      <c r="AP141" t="str">
        <f t="shared" si="94"/>
        <v>o</v>
      </c>
      <c r="AQ141" t="str">
        <f t="shared" si="95"/>
        <v/>
      </c>
      <c r="AR141" t="str">
        <f t="shared" si="96"/>
        <v>Away</v>
      </c>
      <c r="AS141" t="str">
        <f t="shared" si="97"/>
        <v>a</v>
      </c>
      <c r="AT141" t="str">
        <f t="shared" si="98"/>
        <v>Defensive</v>
      </c>
      <c r="BA141" s="6">
        <f t="shared" si="88"/>
        <v>35</v>
      </c>
      <c r="BB141">
        <f t="shared" si="89"/>
        <v>18981</v>
      </c>
      <c r="BC141" t="str">
        <f t="shared" si="90"/>
        <v>Nelson</v>
      </c>
      <c r="BD141" t="str">
        <f t="shared" si="91"/>
        <v>Velodrome</v>
      </c>
      <c r="BE141" t="s">
        <v>15</v>
      </c>
      <c r="BF141" t="s">
        <v>189</v>
      </c>
      <c r="BG141" t="s">
        <v>94</v>
      </c>
      <c r="BI141" cm="1">
        <f t="array" ref="BI141">IFERROR(_xlfn._xlws.FILTER(shifts!A:A,(shifts!B:B=events!AD141)*(shifts!AG:AG&gt;=events!BK141)*(shifts!AH:AH&lt;=events!BL141)),BI140)</f>
        <v>5</v>
      </c>
      <c r="BJ141" s="15">
        <f t="shared" si="92"/>
        <v>0</v>
      </c>
      <c r="BK141">
        <f t="shared" si="99"/>
        <v>939</v>
      </c>
      <c r="BL141">
        <f t="shared" si="100"/>
        <v>939</v>
      </c>
      <c r="BM141" s="15">
        <f>SUMIFS(BJ$2:BJ141,K$2:K141,"=Intermission")+SUMIFS(BJ$2:BJ141,K$2:K141,"=Timeout")</f>
        <v>0</v>
      </c>
      <c r="BN141">
        <f t="shared" si="101"/>
        <v>0</v>
      </c>
      <c r="BO141" s="19">
        <f t="shared" si="102"/>
        <v>141</v>
      </c>
      <c r="BP141">
        <f t="shared" si="103"/>
        <v>136</v>
      </c>
      <c r="BQ141" s="17">
        <f t="shared" si="104"/>
        <v>141</v>
      </c>
      <c r="BR141" t="str">
        <f t="shared" si="105"/>
        <v>event_team_player_1</v>
      </c>
      <c r="BS141">
        <f>COUNTIFS(S$3:S141,"="&amp;S141,AI$3:AI141,"="&amp;AI141)</f>
        <v>1</v>
      </c>
      <c r="BT141" t="str">
        <f>IFERROR(VLOOKUP(BB141&amp;BU141&amp;X141,game_rosters!U:W,3,FALSE),"")</f>
        <v>P100016</v>
      </c>
      <c r="BU141" t="str">
        <f t="shared" si="106"/>
        <v>Velodrome</v>
      </c>
    </row>
    <row r="142" spans="1:73" x14ac:dyDescent="0.2">
      <c r="A142">
        <f t="shared" si="93"/>
        <v>1</v>
      </c>
      <c r="E142" s="4"/>
      <c r="F142" s="43"/>
      <c r="G142" s="4"/>
      <c r="H142" s="46"/>
      <c r="J142" s="44" t="str">
        <f t="shared" si="107"/>
        <v>d</v>
      </c>
      <c r="K142" t="s">
        <v>15</v>
      </c>
      <c r="L142" t="s">
        <v>189</v>
      </c>
      <c r="M142" t="s">
        <v>94</v>
      </c>
      <c r="N142" t="str">
        <f t="shared" si="78"/>
        <v/>
      </c>
      <c r="Q142" t="str">
        <f t="shared" si="76"/>
        <v/>
      </c>
      <c r="S142">
        <v>72</v>
      </c>
      <c r="U142" t="str">
        <f>IF(B142=1,MAX($U$2:$U141)+1,IF(AND($T142&lt;&gt;"",$T142=$T141),$U141,IF(B142="x",U141,"")))</f>
        <v/>
      </c>
      <c r="V142" t="str">
        <f>IF(C142=1,MAX($V$2:$V141)+1,IF(AND($T142&lt;&gt;"",$T142=$T141),$U141,IF(C142="x",V141,"")))</f>
        <v/>
      </c>
      <c r="W142" t="str">
        <f t="shared" si="82"/>
        <v>a</v>
      </c>
      <c r="X142">
        <v>80</v>
      </c>
      <c r="Y142" t="b">
        <f>IF(X142&lt;&gt;"",VLOOKUP(X142,game_rosters!$C$43:$E$64,3,FALSE))</f>
        <v>0</v>
      </c>
      <c r="Z142" t="str" cm="1">
        <f t="array" ref="Z142">IFERROR(IF(_xlfn._xlws.FILTER(game_rosters!$J:$J,(game_rosters!$G:$G=events!$AN142)*(game_rosters!$J:$J=events!$X142))&gt;0,1,""),"")</f>
        <v/>
      </c>
      <c r="AA142">
        <f t="shared" si="83"/>
        <v>1072</v>
      </c>
      <c r="AB142" t="str">
        <f t="shared" si="84"/>
        <v/>
      </c>
      <c r="AC142">
        <f t="shared" si="81"/>
        <v>1072</v>
      </c>
      <c r="AD142" s="6">
        <v>1</v>
      </c>
      <c r="AE142" t="s">
        <v>744</v>
      </c>
      <c r="AF142" t="s">
        <v>749</v>
      </c>
      <c r="AG142" t="s">
        <v>756</v>
      </c>
      <c r="AH142" t="s">
        <v>756</v>
      </c>
      <c r="AI142" t="s">
        <v>368</v>
      </c>
      <c r="AJ142" t="str">
        <f t="shared" si="85"/>
        <v>d</v>
      </c>
      <c r="AK142" t="str">
        <f t="shared" si="85"/>
        <v>d</v>
      </c>
      <c r="AL142" t="str">
        <f t="shared" si="86"/>
        <v>o</v>
      </c>
      <c r="AN142" t="s">
        <v>862</v>
      </c>
      <c r="AO142" t="str">
        <f t="shared" si="87"/>
        <v>a</v>
      </c>
      <c r="AP142" t="str">
        <f t="shared" si="94"/>
        <v>o</v>
      </c>
      <c r="AQ142" t="str">
        <f t="shared" si="95"/>
        <v/>
      </c>
      <c r="AR142" t="str">
        <f t="shared" si="96"/>
        <v>Away</v>
      </c>
      <c r="AS142" t="str">
        <f t="shared" si="97"/>
        <v>a</v>
      </c>
      <c r="AT142" t="str">
        <f t="shared" si="98"/>
        <v>Offensive</v>
      </c>
      <c r="BA142" s="6">
        <f t="shared" si="88"/>
        <v>35</v>
      </c>
      <c r="BB142">
        <f t="shared" si="89"/>
        <v>18981</v>
      </c>
      <c r="BC142" t="str">
        <f t="shared" si="90"/>
        <v>Nelson</v>
      </c>
      <c r="BD142" t="str">
        <f t="shared" si="91"/>
        <v>Velodrome</v>
      </c>
      <c r="BE142" t="s">
        <v>15</v>
      </c>
      <c r="BF142" t="s">
        <v>189</v>
      </c>
      <c r="BG142" t="s">
        <v>94</v>
      </c>
      <c r="BI142" cm="1">
        <f t="array" ref="BI142">IFERROR(_xlfn._xlws.FILTER(shifts!A:A,(shifts!B:B=events!AD142)*(shifts!AG:AG&gt;=events!BK142)*(shifts!AH:AH&lt;=events!BL142)),BI141)</f>
        <v>5</v>
      </c>
      <c r="BJ142" s="15">
        <f t="shared" si="92"/>
        <v>0</v>
      </c>
      <c r="BK142">
        <f t="shared" si="99"/>
        <v>939</v>
      </c>
      <c r="BL142">
        <f t="shared" si="100"/>
        <v>939</v>
      </c>
      <c r="BM142" s="15">
        <f>SUMIFS(BJ$2:BJ142,K$2:K142,"=Intermission")+SUMIFS(BJ$2:BJ142,K$2:K142,"=Timeout")</f>
        <v>0</v>
      </c>
      <c r="BN142">
        <f t="shared" si="101"/>
        <v>0</v>
      </c>
      <c r="BO142" s="19">
        <f t="shared" si="102"/>
        <v>141</v>
      </c>
      <c r="BP142">
        <f t="shared" si="103"/>
        <v>136</v>
      </c>
      <c r="BQ142" s="17">
        <f t="shared" si="104"/>
        <v>141</v>
      </c>
      <c r="BR142" t="str">
        <f t="shared" si="105"/>
        <v>opp_team_player_1</v>
      </c>
      <c r="BS142">
        <f>COUNTIFS(S$3:S142,"="&amp;S142,AI$3:AI142,"="&amp;AI142)</f>
        <v>1</v>
      </c>
      <c r="BT142" t="str">
        <f>IFERROR(VLOOKUP(BB142&amp;BU142&amp;X142,game_rosters!U:W,3,FALSE),"")</f>
        <v>P100197</v>
      </c>
      <c r="BU142" t="str">
        <f t="shared" si="106"/>
        <v>Nelson</v>
      </c>
    </row>
    <row r="143" spans="1:73" x14ac:dyDescent="0.2">
      <c r="A143">
        <f t="shared" si="93"/>
        <v>1</v>
      </c>
      <c r="E143" s="4"/>
      <c r="F143" s="43"/>
      <c r="G143" s="4"/>
      <c r="H143" s="46"/>
      <c r="J143" s="44" t="str">
        <f t="shared" si="107"/>
        <v>d</v>
      </c>
      <c r="K143" t="s">
        <v>11</v>
      </c>
      <c r="L143" t="s">
        <v>187</v>
      </c>
      <c r="M143" t="s">
        <v>108</v>
      </c>
      <c r="N143" t="str">
        <f t="shared" si="78"/>
        <v/>
      </c>
      <c r="Q143" t="str">
        <f t="shared" si="76"/>
        <v/>
      </c>
      <c r="S143">
        <v>73</v>
      </c>
      <c r="U143" t="str">
        <f>IF(B143=1,MAX($U$2:$U142)+1,IF(AND($T143&lt;&gt;"",$T143=$T142),$U142,IF(B143="x",U142,"")))</f>
        <v/>
      </c>
      <c r="V143" t="str">
        <f>IF(C143=1,MAX($V$2:$V142)+1,IF(AND($T143&lt;&gt;"",$T143=$T142),$U142,IF(C143="x",V142,"")))</f>
        <v/>
      </c>
      <c r="W143" t="str">
        <f t="shared" si="82"/>
        <v>a</v>
      </c>
      <c r="X143">
        <v>39</v>
      </c>
      <c r="Y143" t="e">
        <f>IF(X143&lt;&gt;"",VLOOKUP(X143,game_rosters!$C$43:$E$64,3,FALSE))</f>
        <v>#N/A</v>
      </c>
      <c r="Z143" cm="1">
        <f t="array" ref="Z143">IFERROR(IF(_xlfn._xlws.FILTER(game_rosters!$J:$J,(game_rosters!$G:$G=events!$AN143)*(game_rosters!$J:$J=events!$X143))&gt;0,1,""),"")</f>
        <v>1</v>
      </c>
      <c r="AA143">
        <f t="shared" si="83"/>
        <v>1073</v>
      </c>
      <c r="AB143" t="str">
        <f t="shared" si="84"/>
        <v/>
      </c>
      <c r="AC143">
        <f t="shared" si="81"/>
        <v>1073</v>
      </c>
      <c r="AD143" s="6">
        <v>1</v>
      </c>
      <c r="AE143" t="s">
        <v>744</v>
      </c>
      <c r="AF143" t="s">
        <v>749</v>
      </c>
      <c r="AG143" t="s">
        <v>756</v>
      </c>
      <c r="AH143" t="s">
        <v>756</v>
      </c>
      <c r="AI143" t="s">
        <v>367</v>
      </c>
      <c r="AJ143" t="str">
        <f t="shared" si="85"/>
        <v>d</v>
      </c>
      <c r="AK143" t="str">
        <f t="shared" si="85"/>
        <v>d</v>
      </c>
      <c r="AL143" t="str">
        <f t="shared" si="86"/>
        <v>o</v>
      </c>
      <c r="AN143" t="s">
        <v>862</v>
      </c>
      <c r="AO143" t="str">
        <f t="shared" si="87"/>
        <v>a</v>
      </c>
      <c r="AP143" t="str">
        <f t="shared" si="94"/>
        <v>o</v>
      </c>
      <c r="AQ143" t="str">
        <f t="shared" si="95"/>
        <v/>
      </c>
      <c r="AR143" t="str">
        <f t="shared" si="96"/>
        <v>Away</v>
      </c>
      <c r="AS143" t="str">
        <f t="shared" si="97"/>
        <v>a</v>
      </c>
      <c r="AT143" t="str">
        <f t="shared" si="98"/>
        <v/>
      </c>
      <c r="BA143" s="6">
        <f t="shared" si="88"/>
        <v>35</v>
      </c>
      <c r="BB143">
        <f t="shared" si="89"/>
        <v>18981</v>
      </c>
      <c r="BC143" t="str">
        <f t="shared" si="90"/>
        <v>Nelson</v>
      </c>
      <c r="BD143" t="str">
        <f t="shared" si="91"/>
        <v>Velodrome</v>
      </c>
      <c r="BE143" t="s">
        <v>11</v>
      </c>
      <c r="BF143" t="s">
        <v>187</v>
      </c>
      <c r="BG143" t="s">
        <v>108</v>
      </c>
      <c r="BI143" cm="1">
        <f t="array" ref="BI143">IFERROR(_xlfn._xlws.FILTER(shifts!A:A,(shifts!B:B=events!AD143)*(shifts!AG:AG&gt;=events!BK143)*(shifts!AH:AH&lt;=events!BL143)),BI142)</f>
        <v>5</v>
      </c>
      <c r="BJ143" s="15">
        <f t="shared" si="92"/>
        <v>0</v>
      </c>
      <c r="BK143">
        <f t="shared" si="99"/>
        <v>939</v>
      </c>
      <c r="BL143">
        <f t="shared" si="100"/>
        <v>939</v>
      </c>
      <c r="BM143" s="15">
        <f>SUMIFS(BJ$2:BJ143,K$2:K143,"=Intermission")+SUMIFS(BJ$2:BJ143,K$2:K143,"=Timeout")</f>
        <v>0</v>
      </c>
      <c r="BN143">
        <f t="shared" si="101"/>
        <v>0</v>
      </c>
      <c r="BO143" s="19">
        <f t="shared" si="102"/>
        <v>141</v>
      </c>
      <c r="BP143">
        <f t="shared" si="103"/>
        <v>136</v>
      </c>
      <c r="BQ143" s="17">
        <f t="shared" si="104"/>
        <v>141</v>
      </c>
      <c r="BR143" t="str">
        <f t="shared" si="105"/>
        <v>event_team_player_1</v>
      </c>
      <c r="BS143">
        <f>COUNTIFS(S$3:S143,"="&amp;S143,AI$3:AI143,"="&amp;AI143)</f>
        <v>1</v>
      </c>
      <c r="BT143" t="str">
        <f>IFERROR(VLOOKUP(BB143&amp;BU143&amp;X143,game_rosters!U:W,3,FALSE),"")</f>
        <v>P100016</v>
      </c>
      <c r="BU143" t="str">
        <f t="shared" si="106"/>
        <v>Velodrome</v>
      </c>
    </row>
    <row r="144" spans="1:73" x14ac:dyDescent="0.2">
      <c r="A144">
        <f t="shared" si="93"/>
        <v>1</v>
      </c>
      <c r="E144" s="4"/>
      <c r="F144" s="43"/>
      <c r="G144" s="4"/>
      <c r="H144" s="46"/>
      <c r="J144" s="44" t="str">
        <f t="shared" si="107"/>
        <v>d</v>
      </c>
      <c r="K144" t="s">
        <v>241</v>
      </c>
      <c r="L144" t="s">
        <v>756</v>
      </c>
      <c r="M144" t="s">
        <v>756</v>
      </c>
      <c r="N144" t="str">
        <f t="shared" si="78"/>
        <v/>
      </c>
      <c r="Q144" t="str">
        <f t="shared" ref="Q144:Q207" si="108">IF(O144="","",IF(AND(N144&lt;&gt;"",OR(O144&lt;&gt;"",P144&lt;&gt;"")),N144,IF(OR(ISNUMBER(SEARCH("attemp",O144)),ISNUMBER(SEARCH("beat",O144)),ISNUMBER(SEARCH("mis",O144)),ISNUMBER(SEARCH("fail",O144)),ISNUMBER(SEARCH("loss",O144)),ISNUMBER(SEARCH("lost",O144)),ISNUMBER(SEARCH("attemp",P144)),ISNUMBER(SEARCH("mis",P144)),ISNUMBER(SEARCH("fail",P144)),ISNUMBER(SEARCH("loss",P144)),ISNUMBER(SEARCH("beat",P144)),ISNUMBER(SEARCH("lost",P144))),"u","")))</f>
        <v/>
      </c>
      <c r="S144">
        <v>74</v>
      </c>
      <c r="U144" t="str">
        <f>IF(B144=1,MAX($U$2:$U143)+1,IF(AND($T144&lt;&gt;"",$T144=$T143),$U143,IF(B144="x",U143,"")))</f>
        <v/>
      </c>
      <c r="V144" t="str">
        <f>IF(C144=1,MAX($V$2:$V143)+1,IF(AND($T144&lt;&gt;"",$T144=$T143),$U143,IF(C144="x",V143,"")))</f>
        <v/>
      </c>
      <c r="W144" t="str">
        <f t="shared" si="82"/>
        <v>a</v>
      </c>
      <c r="X144">
        <v>39</v>
      </c>
      <c r="Y144" t="e">
        <f>IF(X144&lt;&gt;"",VLOOKUP(X144,game_rosters!$C$43:$E$64,3,FALSE))</f>
        <v>#N/A</v>
      </c>
      <c r="Z144" cm="1">
        <f t="array" ref="Z144">IFERROR(IF(_xlfn._xlws.FILTER(game_rosters!$J:$J,(game_rosters!$G:$G=events!$AN144)*(game_rosters!$J:$J=events!$X144))&gt;0,1,""),"")</f>
        <v>1</v>
      </c>
      <c r="AA144">
        <f t="shared" si="83"/>
        <v>1074</v>
      </c>
      <c r="AB144" t="str">
        <f t="shared" si="84"/>
        <v/>
      </c>
      <c r="AC144">
        <f t="shared" si="81"/>
        <v>1074</v>
      </c>
      <c r="AD144" s="6">
        <v>1</v>
      </c>
      <c r="AE144" t="s">
        <v>744</v>
      </c>
      <c r="AF144" t="s">
        <v>749</v>
      </c>
      <c r="AG144" t="s">
        <v>744</v>
      </c>
      <c r="AH144" t="s">
        <v>909</v>
      </c>
      <c r="AI144" t="s">
        <v>367</v>
      </c>
      <c r="AJ144" t="str">
        <f t="shared" si="85"/>
        <v>d</v>
      </c>
      <c r="AK144" t="str">
        <f t="shared" si="85"/>
        <v>d</v>
      </c>
      <c r="AL144" t="str">
        <f t="shared" si="86"/>
        <v>o</v>
      </c>
      <c r="AN144" t="s">
        <v>862</v>
      </c>
      <c r="AO144" t="str">
        <f t="shared" si="87"/>
        <v>a</v>
      </c>
      <c r="AP144" t="str">
        <f t="shared" si="94"/>
        <v>o</v>
      </c>
      <c r="AQ144" t="str">
        <f t="shared" si="95"/>
        <v/>
      </c>
      <c r="AR144" t="str">
        <f t="shared" si="96"/>
        <v>Away</v>
      </c>
      <c r="AS144" t="str">
        <f t="shared" si="97"/>
        <v>a</v>
      </c>
      <c r="AT144" t="str">
        <f t="shared" si="98"/>
        <v/>
      </c>
      <c r="BA144" s="6">
        <f t="shared" si="88"/>
        <v>35</v>
      </c>
      <c r="BB144">
        <f t="shared" si="89"/>
        <v>18981</v>
      </c>
      <c r="BC144" t="str">
        <f t="shared" si="90"/>
        <v>Nelson</v>
      </c>
      <c r="BD144" t="str">
        <f t="shared" si="91"/>
        <v>Velodrome</v>
      </c>
      <c r="BE144" t="s">
        <v>241</v>
      </c>
      <c r="BF144" t="s">
        <v>756</v>
      </c>
      <c r="BG144" t="s">
        <v>756</v>
      </c>
      <c r="BI144" cm="1">
        <f t="array" ref="BI144">IFERROR(_xlfn._xlws.FILTER(shifts!A:A,(shifts!B:B=events!AD144)*(shifts!AG:AG&gt;=events!BK144)*(shifts!AH:AH&lt;=events!BL144)),BI143)</f>
        <v>5</v>
      </c>
      <c r="BJ144" s="15">
        <f t="shared" si="92"/>
        <v>23</v>
      </c>
      <c r="BK144">
        <f t="shared" si="99"/>
        <v>939</v>
      </c>
      <c r="BL144">
        <f t="shared" si="100"/>
        <v>916</v>
      </c>
      <c r="BM144" s="15">
        <f>SUMIFS(BJ$2:BJ144,K$2:K144,"=Intermission")+SUMIFS(BJ$2:BJ144,K$2:K144,"=Timeout")</f>
        <v>0</v>
      </c>
      <c r="BN144">
        <f t="shared" si="101"/>
        <v>0</v>
      </c>
      <c r="BO144" s="19">
        <f t="shared" si="102"/>
        <v>141</v>
      </c>
      <c r="BP144">
        <f t="shared" si="103"/>
        <v>136</v>
      </c>
      <c r="BQ144" s="17">
        <f t="shared" si="104"/>
        <v>164</v>
      </c>
      <c r="BR144" t="str">
        <f t="shared" si="105"/>
        <v>event_team_player_1</v>
      </c>
      <c r="BS144">
        <f>COUNTIFS(S$3:S144,"="&amp;S144,AI$3:AI144,"="&amp;AI144)</f>
        <v>1</v>
      </c>
      <c r="BT144" t="str">
        <f>IFERROR(VLOOKUP(BB144&amp;BU144&amp;X144,game_rosters!U:W,3,FALSE),"")</f>
        <v>P100016</v>
      </c>
      <c r="BU144" t="str">
        <f t="shared" si="106"/>
        <v>Velodrome</v>
      </c>
    </row>
    <row r="145" spans="1:73" x14ac:dyDescent="0.2">
      <c r="A145">
        <f t="shared" si="93"/>
        <v>1</v>
      </c>
      <c r="E145" s="4"/>
      <c r="F145" s="43"/>
      <c r="G145" s="4"/>
      <c r="H145" s="46"/>
      <c r="J145" s="44" t="str">
        <f t="shared" si="107"/>
        <v/>
      </c>
      <c r="K145" t="s">
        <v>5</v>
      </c>
      <c r="L145" t="s">
        <v>236</v>
      </c>
      <c r="M145" t="s">
        <v>756</v>
      </c>
      <c r="N145" t="str">
        <f t="shared" si="78"/>
        <v/>
      </c>
      <c r="Q145" t="str">
        <f t="shared" si="108"/>
        <v/>
      </c>
      <c r="S145">
        <v>75</v>
      </c>
      <c r="U145" t="str">
        <f>IF(B145=1,MAX($U$2:$U144)+1,IF(AND($T145&lt;&gt;"",$T145=$T144),$U144,IF(B145="x",U144,"")))</f>
        <v/>
      </c>
      <c r="V145" t="str">
        <f>IF(C145=1,MAX($V$2:$V144)+1,IF(AND($T145&lt;&gt;"",$T145=$T144),$U144,IF(C145="x",V144,"")))</f>
        <v/>
      </c>
      <c r="W145" t="str">
        <f t="shared" si="82"/>
        <v>a</v>
      </c>
      <c r="X145">
        <v>49</v>
      </c>
      <c r="Y145" t="e">
        <f>IF(X145&lt;&gt;"",VLOOKUP(X145,game_rosters!$C$43:$E$64,3,FALSE))</f>
        <v>#N/A</v>
      </c>
      <c r="Z145" cm="1">
        <f t="array" ref="Z145">IFERROR(IF(_xlfn._xlws.FILTER(game_rosters!$J:$J,(game_rosters!$G:$G=events!$AN145)*(game_rosters!$J:$J=events!$X145))&gt;0,1,""),"")</f>
        <v>1</v>
      </c>
      <c r="AA145">
        <f t="shared" si="83"/>
        <v>1075</v>
      </c>
      <c r="AB145" t="str">
        <f t="shared" si="84"/>
        <v/>
      </c>
      <c r="AC145">
        <f t="shared" si="81"/>
        <v>1075</v>
      </c>
      <c r="AD145" s="6">
        <v>1</v>
      </c>
      <c r="AE145" t="s">
        <v>744</v>
      </c>
      <c r="AF145" t="s">
        <v>909</v>
      </c>
      <c r="AG145" t="s">
        <v>756</v>
      </c>
      <c r="AH145" t="s">
        <v>756</v>
      </c>
      <c r="AI145" t="s">
        <v>367</v>
      </c>
      <c r="AJ145" t="str">
        <f t="shared" si="85"/>
        <v/>
      </c>
      <c r="AK145" t="str">
        <f t="shared" si="85"/>
        <v/>
      </c>
      <c r="AL145" t="str">
        <f t="shared" si="86"/>
        <v/>
      </c>
      <c r="AN145" t="s">
        <v>862</v>
      </c>
      <c r="AO145" t="str">
        <f t="shared" si="87"/>
        <v>a</v>
      </c>
      <c r="AP145" t="str">
        <f t="shared" si="94"/>
        <v/>
      </c>
      <c r="AQ145" t="str">
        <f t="shared" si="95"/>
        <v/>
      </c>
      <c r="AR145" t="str">
        <f t="shared" si="96"/>
        <v>Away</v>
      </c>
      <c r="AS145" t="str">
        <f t="shared" si="97"/>
        <v>a</v>
      </c>
      <c r="AT145" t="str">
        <f t="shared" si="98"/>
        <v>Offensive</v>
      </c>
      <c r="BA145" s="6">
        <f t="shared" si="88"/>
        <v>35</v>
      </c>
      <c r="BB145">
        <f t="shared" si="89"/>
        <v>18981</v>
      </c>
      <c r="BC145" t="str">
        <f t="shared" si="90"/>
        <v>Nelson</v>
      </c>
      <c r="BD145" t="str">
        <f t="shared" si="91"/>
        <v>Velodrome</v>
      </c>
      <c r="BE145" t="s">
        <v>5</v>
      </c>
      <c r="BF145" t="s">
        <v>236</v>
      </c>
      <c r="BG145" t="s">
        <v>756</v>
      </c>
      <c r="BI145" cm="1">
        <f t="array" ref="BI145">IFERROR(_xlfn._xlws.FILTER(shifts!A:A,(shifts!B:B=events!AD145)*(shifts!AG:AG&gt;=events!BK145)*(shifts!AH:AH&lt;=events!BL145)),BI144)</f>
        <v>6</v>
      </c>
      <c r="BJ145" s="15">
        <f t="shared" si="92"/>
        <v>0</v>
      </c>
      <c r="BK145">
        <f t="shared" si="99"/>
        <v>916</v>
      </c>
      <c r="BL145">
        <f t="shared" si="100"/>
        <v>916</v>
      </c>
      <c r="BM145" s="15">
        <f>SUMIFS(BJ$2:BJ145,K$2:K145,"=Intermission")+SUMIFS(BJ$2:BJ145,K$2:K145,"=Timeout")</f>
        <v>0</v>
      </c>
      <c r="BN145">
        <f t="shared" si="101"/>
        <v>0</v>
      </c>
      <c r="BO145" s="19">
        <f t="shared" si="102"/>
        <v>164</v>
      </c>
      <c r="BP145">
        <f t="shared" si="103"/>
        <v>159</v>
      </c>
      <c r="BQ145" s="17">
        <f t="shared" si="104"/>
        <v>164</v>
      </c>
      <c r="BR145" t="str">
        <f t="shared" si="105"/>
        <v>event_team_player_1</v>
      </c>
      <c r="BS145">
        <f>COUNTIFS(S$3:S145,"="&amp;S145,AI$3:AI145,"="&amp;AI145)</f>
        <v>1</v>
      </c>
      <c r="BT145" t="str">
        <f>IFERROR(VLOOKUP(BB145&amp;BU145&amp;X145,game_rosters!U:W,3,FALSE),"")</f>
        <v>P100161</v>
      </c>
      <c r="BU145" t="str">
        <f t="shared" si="106"/>
        <v>Velodrome</v>
      </c>
    </row>
    <row r="146" spans="1:73" x14ac:dyDescent="0.2">
      <c r="A146">
        <f t="shared" si="93"/>
        <v>1</v>
      </c>
      <c r="E146" s="4"/>
      <c r="F146" s="43"/>
      <c r="G146" s="4"/>
      <c r="H146" s="46"/>
      <c r="J146" s="44" t="str">
        <f t="shared" si="107"/>
        <v/>
      </c>
      <c r="K146" t="s">
        <v>5</v>
      </c>
      <c r="L146" t="s">
        <v>236</v>
      </c>
      <c r="M146" t="s">
        <v>756</v>
      </c>
      <c r="N146" t="str">
        <f t="shared" si="78"/>
        <v/>
      </c>
      <c r="Q146" t="str">
        <f t="shared" si="108"/>
        <v/>
      </c>
      <c r="S146">
        <v>75</v>
      </c>
      <c r="U146" t="str">
        <f>IF(B146=1,MAX($U$2:$U145)+1,IF(AND($T146&lt;&gt;"",$T146=$T145),$U145,IF(B146="x",U145,"")))</f>
        <v/>
      </c>
      <c r="V146" t="str">
        <f>IF(C146=1,MAX($V$2:$V145)+1,IF(AND($T146&lt;&gt;"",$T146=$T145),$U145,IF(C146="x",V145,"")))</f>
        <v/>
      </c>
      <c r="W146" t="str">
        <f t="shared" si="82"/>
        <v>a</v>
      </c>
      <c r="X146">
        <v>9</v>
      </c>
      <c r="Y146" t="e">
        <f>IF(X146&lt;&gt;"",VLOOKUP(X146,game_rosters!$C$43:$E$64,3,FALSE))</f>
        <v>#N/A</v>
      </c>
      <c r="Z146" cm="1">
        <f t="array" ref="Z146">IFERROR(IF(_xlfn._xlws.FILTER(game_rosters!$J:$J,(game_rosters!$G:$G=events!$AN146)*(game_rosters!$J:$J=events!$X146))&gt;0,1,""),"")</f>
        <v>1</v>
      </c>
      <c r="AA146">
        <f t="shared" si="83"/>
        <v>1075</v>
      </c>
      <c r="AB146" t="str">
        <f t="shared" si="84"/>
        <v/>
      </c>
      <c r="AC146">
        <f t="shared" si="81"/>
        <v>1075</v>
      </c>
      <c r="AD146" s="6">
        <v>1</v>
      </c>
      <c r="AE146" t="s">
        <v>744</v>
      </c>
      <c r="AF146" t="s">
        <v>909</v>
      </c>
      <c r="AG146" t="s">
        <v>756</v>
      </c>
      <c r="AH146" t="s">
        <v>756</v>
      </c>
      <c r="AI146" t="s">
        <v>367</v>
      </c>
      <c r="AJ146" t="str">
        <f t="shared" si="85"/>
        <v/>
      </c>
      <c r="AK146" t="str">
        <f t="shared" si="85"/>
        <v/>
      </c>
      <c r="AL146" t="str">
        <f t="shared" si="86"/>
        <v/>
      </c>
      <c r="AN146" t="s">
        <v>862</v>
      </c>
      <c r="AO146" t="str">
        <f t="shared" si="87"/>
        <v>a</v>
      </c>
      <c r="AP146" t="str">
        <f t="shared" si="94"/>
        <v/>
      </c>
      <c r="AQ146" t="str">
        <f t="shared" si="95"/>
        <v/>
      </c>
      <c r="AR146" t="str">
        <f t="shared" si="96"/>
        <v>Away</v>
      </c>
      <c r="AS146" t="str">
        <f t="shared" si="97"/>
        <v>a</v>
      </c>
      <c r="AT146" t="str">
        <f t="shared" si="98"/>
        <v>Offensive</v>
      </c>
      <c r="BA146" s="6">
        <f t="shared" si="88"/>
        <v>35</v>
      </c>
      <c r="BB146">
        <f t="shared" si="89"/>
        <v>18981</v>
      </c>
      <c r="BC146" t="str">
        <f t="shared" si="90"/>
        <v>Nelson</v>
      </c>
      <c r="BD146" t="str">
        <f t="shared" si="91"/>
        <v>Velodrome</v>
      </c>
      <c r="BE146" t="s">
        <v>5</v>
      </c>
      <c r="BF146" t="s">
        <v>236</v>
      </c>
      <c r="BG146" t="s">
        <v>756</v>
      </c>
      <c r="BI146" cm="1">
        <f t="array" ref="BI146">IFERROR(_xlfn._xlws.FILTER(shifts!A:A,(shifts!B:B=events!AD146)*(shifts!AG:AG&gt;=events!BK146)*(shifts!AH:AH&lt;=events!BL146)),BI145)</f>
        <v>6</v>
      </c>
      <c r="BJ146" s="15">
        <f t="shared" si="92"/>
        <v>0</v>
      </c>
      <c r="BK146">
        <f t="shared" si="99"/>
        <v>916</v>
      </c>
      <c r="BL146">
        <f t="shared" si="100"/>
        <v>916</v>
      </c>
      <c r="BM146" s="15">
        <f>SUMIFS(BJ$2:BJ146,K$2:K146,"=Intermission")+SUMIFS(BJ$2:BJ146,K$2:K146,"=Timeout")</f>
        <v>0</v>
      </c>
      <c r="BN146">
        <f t="shared" si="101"/>
        <v>0</v>
      </c>
      <c r="BO146" s="19">
        <f t="shared" si="102"/>
        <v>164</v>
      </c>
      <c r="BP146">
        <f t="shared" si="103"/>
        <v>159</v>
      </c>
      <c r="BQ146" s="17">
        <f t="shared" si="104"/>
        <v>164</v>
      </c>
      <c r="BR146" t="str">
        <f t="shared" si="105"/>
        <v>event_team_player_2</v>
      </c>
      <c r="BS146">
        <f>COUNTIFS(S$3:S146,"="&amp;S146,AI$3:AI146,"="&amp;AI146)</f>
        <v>2</v>
      </c>
      <c r="BT146" t="str">
        <f>IFERROR(VLOOKUP(BB146&amp;BU146&amp;X146,game_rosters!U:W,3,FALSE),"")</f>
        <v>P100105</v>
      </c>
      <c r="BU146" t="str">
        <f t="shared" si="106"/>
        <v>Velodrome</v>
      </c>
    </row>
    <row r="147" spans="1:73" x14ac:dyDescent="0.2">
      <c r="A147">
        <f t="shared" si="93"/>
        <v>1</v>
      </c>
      <c r="E147" s="4"/>
      <c r="F147" s="43"/>
      <c r="G147" s="4"/>
      <c r="H147" s="46"/>
      <c r="J147" s="44" t="str">
        <f t="shared" si="107"/>
        <v/>
      </c>
      <c r="K147" t="s">
        <v>5</v>
      </c>
      <c r="L147" t="s">
        <v>236</v>
      </c>
      <c r="M147" t="s">
        <v>756</v>
      </c>
      <c r="N147" t="str">
        <f t="shared" si="78"/>
        <v/>
      </c>
      <c r="Q147" t="str">
        <f t="shared" si="108"/>
        <v/>
      </c>
      <c r="S147">
        <v>75</v>
      </c>
      <c r="U147" t="str">
        <f>IF(B147=1,MAX($U$2:$U146)+1,IF(AND($T147&lt;&gt;"",$T147=$T146),$U146,IF(B147="x",U146,"")))</f>
        <v/>
      </c>
      <c r="V147" t="str">
        <f>IF(C147=1,MAX($V$2:$V146)+1,IF(AND($T147&lt;&gt;"",$T147=$T146),$U146,IF(C147="x",V146,"")))</f>
        <v/>
      </c>
      <c r="W147" t="str">
        <f t="shared" si="82"/>
        <v>a</v>
      </c>
      <c r="X147">
        <v>10</v>
      </c>
      <c r="Y147" t="b">
        <f>IF(X147&lt;&gt;"",VLOOKUP(X147,game_rosters!$C$43:$E$64,3,FALSE))</f>
        <v>0</v>
      </c>
      <c r="Z147" t="str" cm="1">
        <f t="array" ref="Z147">IFERROR(IF(_xlfn._xlws.FILTER(game_rosters!$J:$J,(game_rosters!$G:$G=events!$AN147)*(game_rosters!$J:$J=events!$X147))&gt;0,1,""),"")</f>
        <v/>
      </c>
      <c r="AA147">
        <f t="shared" si="83"/>
        <v>1075</v>
      </c>
      <c r="AB147" t="str">
        <f t="shared" si="84"/>
        <v/>
      </c>
      <c r="AC147">
        <f t="shared" si="81"/>
        <v>1075</v>
      </c>
      <c r="AD147" s="6">
        <v>1</v>
      </c>
      <c r="AE147" t="s">
        <v>744</v>
      </c>
      <c r="AF147" t="s">
        <v>909</v>
      </c>
      <c r="AG147" t="s">
        <v>756</v>
      </c>
      <c r="AH147" t="s">
        <v>756</v>
      </c>
      <c r="AI147" t="s">
        <v>368</v>
      </c>
      <c r="AJ147" t="str">
        <f t="shared" si="85"/>
        <v/>
      </c>
      <c r="AK147" t="str">
        <f t="shared" si="85"/>
        <v/>
      </c>
      <c r="AL147" t="str">
        <f t="shared" si="86"/>
        <v/>
      </c>
      <c r="AN147" t="s">
        <v>862</v>
      </c>
      <c r="AO147" t="str">
        <f t="shared" si="87"/>
        <v>a</v>
      </c>
      <c r="AP147" t="str">
        <f t="shared" si="94"/>
        <v/>
      </c>
      <c r="AQ147" t="str">
        <f t="shared" si="95"/>
        <v/>
      </c>
      <c r="AR147" t="str">
        <f t="shared" si="96"/>
        <v>Away</v>
      </c>
      <c r="AS147" t="str">
        <f t="shared" si="97"/>
        <v>a</v>
      </c>
      <c r="AT147" t="str">
        <f t="shared" si="98"/>
        <v>Defensive</v>
      </c>
      <c r="BA147" s="6">
        <f t="shared" si="88"/>
        <v>35</v>
      </c>
      <c r="BB147">
        <f t="shared" si="89"/>
        <v>18981</v>
      </c>
      <c r="BC147" t="str">
        <f t="shared" si="90"/>
        <v>Nelson</v>
      </c>
      <c r="BD147" t="str">
        <f t="shared" si="91"/>
        <v>Velodrome</v>
      </c>
      <c r="BE147" t="s">
        <v>5</v>
      </c>
      <c r="BF147" t="s">
        <v>236</v>
      </c>
      <c r="BG147" t="s">
        <v>756</v>
      </c>
      <c r="BI147" cm="1">
        <f t="array" ref="BI147">IFERROR(_xlfn._xlws.FILTER(shifts!A:A,(shifts!B:B=events!AD147)*(shifts!AG:AG&gt;=events!BK147)*(shifts!AH:AH&lt;=events!BL147)),BI146)</f>
        <v>6</v>
      </c>
      <c r="BJ147" s="15">
        <f t="shared" si="92"/>
        <v>0</v>
      </c>
      <c r="BK147">
        <f t="shared" si="99"/>
        <v>916</v>
      </c>
      <c r="BL147">
        <f t="shared" si="100"/>
        <v>916</v>
      </c>
      <c r="BM147" s="15">
        <f>SUMIFS(BJ$2:BJ147,K$2:K147,"=Intermission")+SUMIFS(BJ$2:BJ147,K$2:K147,"=Timeout")</f>
        <v>0</v>
      </c>
      <c r="BN147">
        <f t="shared" si="101"/>
        <v>0</v>
      </c>
      <c r="BO147" s="19">
        <f t="shared" si="102"/>
        <v>164</v>
      </c>
      <c r="BP147">
        <f t="shared" si="103"/>
        <v>159</v>
      </c>
      <c r="BQ147" s="17">
        <f t="shared" si="104"/>
        <v>164</v>
      </c>
      <c r="BR147" t="str">
        <f t="shared" si="105"/>
        <v>opp_team_player_1</v>
      </c>
      <c r="BS147">
        <f>COUNTIFS(S$3:S147,"="&amp;S147,AI$3:AI147,"="&amp;AI147)</f>
        <v>1</v>
      </c>
      <c r="BT147" t="str">
        <f>IFERROR(VLOOKUP(BB147&amp;BU147&amp;X147,game_rosters!U:W,3,FALSE),"")</f>
        <v>P100078</v>
      </c>
      <c r="BU147" t="str">
        <f t="shared" si="106"/>
        <v>Nelson</v>
      </c>
    </row>
    <row r="148" spans="1:73" x14ac:dyDescent="0.2">
      <c r="A148">
        <f t="shared" si="93"/>
        <v>1</v>
      </c>
      <c r="E148" s="4"/>
      <c r="F148" s="43"/>
      <c r="G148" s="4"/>
      <c r="H148" s="46"/>
      <c r="J148" s="44" t="str">
        <f t="shared" si="107"/>
        <v/>
      </c>
      <c r="K148" t="s">
        <v>9</v>
      </c>
      <c r="L148" t="s">
        <v>173</v>
      </c>
      <c r="M148" t="s">
        <v>365</v>
      </c>
      <c r="N148" t="str">
        <f t="shared" si="78"/>
        <v>u</v>
      </c>
      <c r="Q148" t="str">
        <f t="shared" si="108"/>
        <v/>
      </c>
      <c r="S148">
        <v>76</v>
      </c>
      <c r="U148" t="str">
        <f>IF(B148=1,MAX($U$2:$U147)+1,IF(AND($T148&lt;&gt;"",$T148=$T147),$U147,IF(B148="x",U147,"")))</f>
        <v/>
      </c>
      <c r="V148" t="str">
        <f>IF(C148=1,MAX($V$2:$V147)+1,IF(AND($T148&lt;&gt;"",$T148=$T147),$U147,IF(C148="x",V147,"")))</f>
        <v/>
      </c>
      <c r="W148" t="str">
        <f t="shared" si="82"/>
        <v>a</v>
      </c>
      <c r="X148">
        <v>9</v>
      </c>
      <c r="Y148" t="e">
        <f>IF(X148&lt;&gt;"",VLOOKUP(X148,game_rosters!$C$43:$E$64,3,FALSE))</f>
        <v>#N/A</v>
      </c>
      <c r="Z148" cm="1">
        <f t="array" ref="Z148">IFERROR(IF(_xlfn._xlws.FILTER(game_rosters!$J:$J,(game_rosters!$G:$G=events!$AN148)*(game_rosters!$J:$J=events!$X148))&gt;0,1,""),"")</f>
        <v>1</v>
      </c>
      <c r="AA148">
        <f t="shared" si="83"/>
        <v>1076</v>
      </c>
      <c r="AB148" t="str">
        <f t="shared" si="84"/>
        <v/>
      </c>
      <c r="AC148">
        <f t="shared" si="81"/>
        <v>1076</v>
      </c>
      <c r="AD148" s="6">
        <v>1</v>
      </c>
      <c r="AE148" t="s">
        <v>744</v>
      </c>
      <c r="AF148" t="s">
        <v>909</v>
      </c>
      <c r="AG148" t="s">
        <v>756</v>
      </c>
      <c r="AH148" t="s">
        <v>756</v>
      </c>
      <c r="AI148" t="s">
        <v>367</v>
      </c>
      <c r="AJ148" t="str">
        <f t="shared" ref="AJ148:AK163" si="109">IF($J148&lt;&gt;"",$J148,IF($AC148=$AC147,AJ147,""))</f>
        <v/>
      </c>
      <c r="AK148" t="str">
        <f t="shared" si="109"/>
        <v/>
      </c>
      <c r="AL148" t="str">
        <f t="shared" si="86"/>
        <v/>
      </c>
      <c r="AN148" t="s">
        <v>862</v>
      </c>
      <c r="AO148" t="str">
        <f t="shared" si="87"/>
        <v>a</v>
      </c>
      <c r="AP148" t="str">
        <f t="shared" si="94"/>
        <v/>
      </c>
      <c r="AQ148" t="str">
        <f t="shared" si="95"/>
        <v/>
      </c>
      <c r="AR148" t="str">
        <f t="shared" si="96"/>
        <v>Away</v>
      </c>
      <c r="AS148" t="str">
        <f t="shared" si="97"/>
        <v>a</v>
      </c>
      <c r="AT148" t="str">
        <f t="shared" si="98"/>
        <v>Offensive</v>
      </c>
      <c r="BA148" s="6">
        <f t="shared" si="88"/>
        <v>35</v>
      </c>
      <c r="BB148">
        <f t="shared" si="89"/>
        <v>18981</v>
      </c>
      <c r="BC148" t="str">
        <f t="shared" si="90"/>
        <v>Nelson</v>
      </c>
      <c r="BD148" t="str">
        <f t="shared" si="91"/>
        <v>Velodrome</v>
      </c>
      <c r="BE148" t="s">
        <v>9</v>
      </c>
      <c r="BF148" t="s">
        <v>173</v>
      </c>
      <c r="BG148" t="s">
        <v>365</v>
      </c>
      <c r="BI148" cm="1">
        <f t="array" ref="BI148">IFERROR(_xlfn._xlws.FILTER(shifts!A:A,(shifts!B:B=events!AD148)*(shifts!AG:AG&gt;=events!BK148)*(shifts!AH:AH&lt;=events!BL148)),BI147)</f>
        <v>6</v>
      </c>
      <c r="BJ148" s="15">
        <f t="shared" si="92"/>
        <v>0</v>
      </c>
      <c r="BK148">
        <f t="shared" si="99"/>
        <v>916</v>
      </c>
      <c r="BL148">
        <f t="shared" si="100"/>
        <v>916</v>
      </c>
      <c r="BM148" s="15">
        <f>SUMIFS(BJ$2:BJ148,K$2:K148,"=Intermission")+SUMIFS(BJ$2:BJ148,K$2:K148,"=Timeout")</f>
        <v>0</v>
      </c>
      <c r="BN148">
        <f t="shared" si="101"/>
        <v>0</v>
      </c>
      <c r="BO148" s="19">
        <f t="shared" si="102"/>
        <v>164</v>
      </c>
      <c r="BP148">
        <f t="shared" si="103"/>
        <v>159</v>
      </c>
      <c r="BQ148" s="17">
        <f t="shared" si="104"/>
        <v>164</v>
      </c>
      <c r="BR148" t="str">
        <f t="shared" si="105"/>
        <v>event_team_player_1</v>
      </c>
      <c r="BS148">
        <f>COUNTIFS(S$3:S148,"="&amp;S148,AI$3:AI148,"="&amp;AI148)</f>
        <v>1</v>
      </c>
      <c r="BT148" t="str">
        <f>IFERROR(VLOOKUP(BB148&amp;BU148&amp;X148,game_rosters!U:W,3,FALSE),"")</f>
        <v>P100105</v>
      </c>
      <c r="BU148" t="str">
        <f t="shared" si="106"/>
        <v>Velodrome</v>
      </c>
    </row>
    <row r="149" spans="1:73" x14ac:dyDescent="0.2">
      <c r="A149">
        <f t="shared" si="93"/>
        <v>1</v>
      </c>
      <c r="E149" s="4"/>
      <c r="F149" s="43"/>
      <c r="G149" s="4"/>
      <c r="H149" s="46"/>
      <c r="J149" s="44" t="str">
        <f t="shared" si="107"/>
        <v/>
      </c>
      <c r="K149" t="s">
        <v>238</v>
      </c>
      <c r="L149" t="s">
        <v>193</v>
      </c>
      <c r="M149" t="s">
        <v>91</v>
      </c>
      <c r="N149" t="str">
        <f t="shared" ref="N149:N212" si="110">IF(K149="","",IF(K149="Goal","s",IF(AND(K149="Zone_Entry_Exit",OR(ISNUMBER(SEARCH("fail",L149)),ISNUMBER(SEARCH("FromExitClear",M149)),ISNUMBER(SEARCH("miss",M149)))),"u",IF(AND(K149="Zone_Entry_Exit",OR(NOT(ISNUMBER(SEARCH("fail",L149))),NOT(ISNUMBER(SEARCH("FromExitClear",M149))),NOT(ISNUMBER(SEARCH("miss",M149))))),"s",IF(AND(OR(K149="Shot",K149="Pass"),OR(ISNUMBER(SEARCH("complete",L149)),ISNUMBER(SEARCH("goal",L149)),ISNUMBER(SEARCH("OnNet",L149)))),"s",IF(L149="Turnover_Giveaway","u",IF(AND(OR(K149="Shot",K149="Pass"),OR(ISNUMBER(SEARCH("fail",L149)),NOT(ISNUMBER(SEARCH("complete",L149))),NOT(ISNUMBER(SEARCH("OnNet",L149))))),"u","")))))))</f>
        <v>s</v>
      </c>
      <c r="Q149" t="str">
        <f t="shared" si="108"/>
        <v/>
      </c>
      <c r="S149">
        <v>77</v>
      </c>
      <c r="U149" t="str">
        <f>IF(B149=1,MAX($U$2:$U148)+1,IF(AND($T149&lt;&gt;"",$T149=$T148),$U148,IF(B149="x",U148,"")))</f>
        <v/>
      </c>
      <c r="V149" t="str">
        <f>IF(C149=1,MAX($V$2:$V148)+1,IF(AND($T149&lt;&gt;"",$T149=$T148),$U148,IF(C149="x",V148,"")))</f>
        <v/>
      </c>
      <c r="W149" t="str">
        <f t="shared" si="82"/>
        <v>h</v>
      </c>
      <c r="X149">
        <v>23</v>
      </c>
      <c r="Y149" t="b">
        <f>IF(X149&lt;&gt;"",VLOOKUP(X149,game_rosters!$C$43:$E$64,3,FALSE))</f>
        <v>0</v>
      </c>
      <c r="Z149" cm="1">
        <f t="array" ref="Z149">IFERROR(IF(_xlfn._xlws.FILTER(game_rosters!$J:$J,(game_rosters!$G:$G=events!$AN149)*(game_rosters!$J:$J=events!$X149))&gt;0,1,""),"")</f>
        <v>1</v>
      </c>
      <c r="AA149">
        <f t="shared" si="83"/>
        <v>1077</v>
      </c>
      <c r="AB149" t="str">
        <f t="shared" si="84"/>
        <v/>
      </c>
      <c r="AC149">
        <f t="shared" si="81"/>
        <v>1077</v>
      </c>
      <c r="AD149" s="6">
        <v>1</v>
      </c>
      <c r="AE149" t="s">
        <v>744</v>
      </c>
      <c r="AF149" t="s">
        <v>910</v>
      </c>
      <c r="AG149" t="s">
        <v>756</v>
      </c>
      <c r="AH149" t="s">
        <v>756</v>
      </c>
      <c r="AI149" t="s">
        <v>367</v>
      </c>
      <c r="AJ149" t="str">
        <f t="shared" si="109"/>
        <v/>
      </c>
      <c r="AK149" t="str">
        <f t="shared" si="109"/>
        <v/>
      </c>
      <c r="AL149" t="str">
        <f t="shared" si="86"/>
        <v/>
      </c>
      <c r="AN149" t="s">
        <v>861</v>
      </c>
      <c r="AO149" t="str">
        <f t="shared" si="87"/>
        <v>h</v>
      </c>
      <c r="AP149" t="str">
        <f t="shared" si="94"/>
        <v/>
      </c>
      <c r="AQ149" t="str">
        <f t="shared" si="95"/>
        <v/>
      </c>
      <c r="AR149" t="str">
        <f t="shared" si="96"/>
        <v>Home</v>
      </c>
      <c r="AS149" t="str">
        <f t="shared" si="97"/>
        <v>h</v>
      </c>
      <c r="AT149" t="str">
        <f t="shared" si="98"/>
        <v>Offensive</v>
      </c>
      <c r="BA149" s="6">
        <f t="shared" si="88"/>
        <v>35</v>
      </c>
      <c r="BB149">
        <f t="shared" si="89"/>
        <v>18981</v>
      </c>
      <c r="BC149" t="str">
        <f t="shared" si="90"/>
        <v>Nelson</v>
      </c>
      <c r="BD149" t="str">
        <f t="shared" si="91"/>
        <v>Velodrome</v>
      </c>
      <c r="BE149" t="s">
        <v>238</v>
      </c>
      <c r="BF149" t="s">
        <v>193</v>
      </c>
      <c r="BG149" t="s">
        <v>91</v>
      </c>
      <c r="BI149" cm="1">
        <f t="array" ref="BI149">IFERROR(_xlfn._xlws.FILTER(shifts!A:A,(shifts!B:B=events!AD149)*(shifts!AG:AG&gt;=events!BK149)*(shifts!AH:AH&lt;=events!BL149)),BI148)</f>
        <v>6</v>
      </c>
      <c r="BJ149" s="15">
        <f t="shared" si="92"/>
        <v>0</v>
      </c>
      <c r="BK149">
        <f t="shared" si="99"/>
        <v>910</v>
      </c>
      <c r="BL149">
        <f t="shared" si="100"/>
        <v>910</v>
      </c>
      <c r="BM149" s="15">
        <f>SUMIFS(BJ$2:BJ149,K$2:K149,"=Intermission")+SUMIFS(BJ$2:BJ149,K$2:K149,"=Timeout")</f>
        <v>0</v>
      </c>
      <c r="BN149">
        <f t="shared" si="101"/>
        <v>0</v>
      </c>
      <c r="BO149" s="19">
        <f t="shared" si="102"/>
        <v>170</v>
      </c>
      <c r="BP149">
        <f t="shared" si="103"/>
        <v>165</v>
      </c>
      <c r="BQ149" s="17">
        <f t="shared" si="104"/>
        <v>170</v>
      </c>
      <c r="BR149" t="str">
        <f t="shared" si="105"/>
        <v>event_team_player_1</v>
      </c>
      <c r="BS149">
        <f>COUNTIFS(S$3:S149,"="&amp;S149,AI$3:AI149,"="&amp;AI149)</f>
        <v>1</v>
      </c>
      <c r="BT149" t="str">
        <f>IFERROR(VLOOKUP(BB149&amp;BU149&amp;X149,game_rosters!U:W,3,FALSE),"")</f>
        <v>P100061</v>
      </c>
      <c r="BU149" t="str">
        <f t="shared" si="106"/>
        <v>Nelson</v>
      </c>
    </row>
    <row r="150" spans="1:73" x14ac:dyDescent="0.2">
      <c r="A150">
        <f t="shared" si="93"/>
        <v>1</v>
      </c>
      <c r="E150" s="4"/>
      <c r="F150" s="43"/>
      <c r="G150" s="4"/>
      <c r="H150" s="46"/>
      <c r="J150" s="44" t="str">
        <f t="shared" si="107"/>
        <v>o</v>
      </c>
      <c r="K150" t="s">
        <v>6</v>
      </c>
      <c r="L150" t="s">
        <v>191</v>
      </c>
      <c r="M150" t="s">
        <v>51</v>
      </c>
      <c r="N150" t="str">
        <f t="shared" si="110"/>
        <v>u</v>
      </c>
      <c r="Q150" t="str">
        <f t="shared" si="108"/>
        <v/>
      </c>
      <c r="S150">
        <v>78</v>
      </c>
      <c r="U150" t="str">
        <f>IF(B150=1,MAX($U$2:$U149)+1,IF(AND($T150&lt;&gt;"",$T150=$T149),$U149,IF(B150="x",U149,"")))</f>
        <v/>
      </c>
      <c r="V150" t="str">
        <f>IF(C150=1,MAX($V$2:$V149)+1,IF(AND($T150&lt;&gt;"",$T150=$T149),$U149,IF(C150="x",V149,"")))</f>
        <v/>
      </c>
      <c r="W150" t="str">
        <f t="shared" si="82"/>
        <v>h</v>
      </c>
      <c r="X150">
        <v>23</v>
      </c>
      <c r="Y150" t="b">
        <f>IF(X150&lt;&gt;"",VLOOKUP(X150,game_rosters!$C$43:$E$64,3,FALSE))</f>
        <v>0</v>
      </c>
      <c r="Z150" cm="1">
        <f t="array" ref="Z150">IFERROR(IF(_xlfn._xlws.FILTER(game_rosters!$J:$J,(game_rosters!$G:$G=events!$AN150)*(game_rosters!$J:$J=events!$X150))&gt;0,1,""),"")</f>
        <v>1</v>
      </c>
      <c r="AA150">
        <f t="shared" si="83"/>
        <v>1078</v>
      </c>
      <c r="AB150" t="str">
        <f t="shared" si="84"/>
        <v/>
      </c>
      <c r="AC150">
        <f t="shared" si="81"/>
        <v>1078</v>
      </c>
      <c r="AD150" s="6">
        <v>1</v>
      </c>
      <c r="AE150" t="s">
        <v>744</v>
      </c>
      <c r="AF150" t="s">
        <v>920</v>
      </c>
      <c r="AG150" t="s">
        <v>756</v>
      </c>
      <c r="AH150" t="s">
        <v>756</v>
      </c>
      <c r="AI150" t="s">
        <v>367</v>
      </c>
      <c r="AJ150" t="str">
        <f t="shared" si="109"/>
        <v>o</v>
      </c>
      <c r="AK150" t="str">
        <f t="shared" si="109"/>
        <v>o</v>
      </c>
      <c r="AL150" t="str">
        <f t="shared" si="86"/>
        <v>o</v>
      </c>
      <c r="AN150" t="s">
        <v>861</v>
      </c>
      <c r="AO150" t="str">
        <f t="shared" si="87"/>
        <v>h</v>
      </c>
      <c r="AP150" t="str">
        <f t="shared" si="94"/>
        <v>o</v>
      </c>
      <c r="AQ150" t="str">
        <f t="shared" si="95"/>
        <v/>
      </c>
      <c r="AR150" t="str">
        <f t="shared" si="96"/>
        <v>Home</v>
      </c>
      <c r="AS150" t="str">
        <f t="shared" si="97"/>
        <v>h</v>
      </c>
      <c r="AT150" t="str">
        <f t="shared" si="98"/>
        <v>Offensive</v>
      </c>
      <c r="BA150" s="6">
        <f t="shared" si="88"/>
        <v>35</v>
      </c>
      <c r="BB150">
        <f t="shared" si="89"/>
        <v>18981</v>
      </c>
      <c r="BC150" t="str">
        <f t="shared" si="90"/>
        <v>Nelson</v>
      </c>
      <c r="BD150" t="str">
        <f t="shared" si="91"/>
        <v>Velodrome</v>
      </c>
      <c r="BE150" t="s">
        <v>6</v>
      </c>
      <c r="BF150" t="s">
        <v>191</v>
      </c>
      <c r="BG150" t="s">
        <v>51</v>
      </c>
      <c r="BI150" cm="1">
        <f t="array" ref="BI150">IFERROR(_xlfn._xlws.FILTER(shifts!A:A,(shifts!B:B=events!AD150)*(shifts!AG:AG&gt;=events!BK150)*(shifts!AH:AH&lt;=events!BL150)),BI149)</f>
        <v>6</v>
      </c>
      <c r="BJ150" s="15">
        <f t="shared" si="92"/>
        <v>0</v>
      </c>
      <c r="BK150">
        <f t="shared" si="99"/>
        <v>909</v>
      </c>
      <c r="BL150">
        <f t="shared" si="100"/>
        <v>909</v>
      </c>
      <c r="BM150" s="15">
        <f>SUMIFS(BJ$2:BJ150,K$2:K150,"=Intermission")+SUMIFS(BJ$2:BJ150,K$2:K150,"=Timeout")</f>
        <v>0</v>
      </c>
      <c r="BN150">
        <f t="shared" si="101"/>
        <v>0</v>
      </c>
      <c r="BO150" s="19">
        <f t="shared" si="102"/>
        <v>171</v>
      </c>
      <c r="BP150">
        <f t="shared" si="103"/>
        <v>166</v>
      </c>
      <c r="BQ150" s="17">
        <f t="shared" si="104"/>
        <v>171</v>
      </c>
      <c r="BR150" t="str">
        <f t="shared" si="105"/>
        <v>event_team_player_1</v>
      </c>
      <c r="BS150">
        <f>COUNTIFS(S$3:S150,"="&amp;S150,AI$3:AI150,"="&amp;AI150)</f>
        <v>1</v>
      </c>
      <c r="BT150" t="str">
        <f>IFERROR(VLOOKUP(BB150&amp;BU150&amp;X150,game_rosters!U:W,3,FALSE),"")</f>
        <v>P100061</v>
      </c>
      <c r="BU150" t="str">
        <f t="shared" si="106"/>
        <v>Nelson</v>
      </c>
    </row>
    <row r="151" spans="1:73" x14ac:dyDescent="0.2">
      <c r="A151">
        <f t="shared" si="93"/>
        <v>1</v>
      </c>
      <c r="E151" s="4"/>
      <c r="F151" s="43"/>
      <c r="G151" s="4"/>
      <c r="H151" s="46"/>
      <c r="J151" s="44" t="str">
        <f t="shared" si="107"/>
        <v>o</v>
      </c>
      <c r="K151" t="s">
        <v>6</v>
      </c>
      <c r="L151" t="s">
        <v>191</v>
      </c>
      <c r="M151" t="s">
        <v>51</v>
      </c>
      <c r="N151" t="str">
        <f t="shared" si="110"/>
        <v>u</v>
      </c>
      <c r="Q151" t="str">
        <f t="shared" si="108"/>
        <v/>
      </c>
      <c r="S151">
        <v>78</v>
      </c>
      <c r="U151" t="str">
        <f>IF(B151=1,MAX($U$2:$U150)+1,IF(AND($T151&lt;&gt;"",$T151=$T150),$U150,IF(B151="x",U150,"")))</f>
        <v/>
      </c>
      <c r="V151" t="str">
        <f>IF(C151=1,MAX($V$2:$V150)+1,IF(AND($T151&lt;&gt;"",$T151=$T150),$U150,IF(C151="x",V150,"")))</f>
        <v/>
      </c>
      <c r="W151" t="str">
        <f t="shared" si="82"/>
        <v>h</v>
      </c>
      <c r="X151">
        <v>9</v>
      </c>
      <c r="Y151" t="e">
        <f>IF(X151&lt;&gt;"",VLOOKUP(X151,game_rosters!$C$43:$E$64,3,FALSE))</f>
        <v>#N/A</v>
      </c>
      <c r="Z151" t="str" cm="1">
        <f t="array" ref="Z151">IFERROR(IF(_xlfn._xlws.FILTER(game_rosters!$J:$J,(game_rosters!$G:$G=events!$AN151)*(game_rosters!$J:$J=events!$X151))&gt;0,1,""),"")</f>
        <v/>
      </c>
      <c r="AA151">
        <f t="shared" si="83"/>
        <v>1078</v>
      </c>
      <c r="AB151" t="str">
        <f t="shared" si="84"/>
        <v/>
      </c>
      <c r="AC151">
        <f t="shared" si="81"/>
        <v>1078</v>
      </c>
      <c r="AD151" s="6">
        <v>1</v>
      </c>
      <c r="AE151" t="s">
        <v>744</v>
      </c>
      <c r="AF151" t="s">
        <v>920</v>
      </c>
      <c r="AG151" t="s">
        <v>756</v>
      </c>
      <c r="AH151" t="s">
        <v>756</v>
      </c>
      <c r="AI151" t="s">
        <v>368</v>
      </c>
      <c r="AJ151" t="str">
        <f t="shared" si="109"/>
        <v>o</v>
      </c>
      <c r="AK151" t="str">
        <f t="shared" si="109"/>
        <v>o</v>
      </c>
      <c r="AL151" t="str">
        <f t="shared" si="86"/>
        <v>o</v>
      </c>
      <c r="AN151" t="s">
        <v>861</v>
      </c>
      <c r="AO151" t="str">
        <f t="shared" si="87"/>
        <v>h</v>
      </c>
      <c r="AP151" t="str">
        <f t="shared" si="94"/>
        <v>o</v>
      </c>
      <c r="AQ151" t="str">
        <f t="shared" si="95"/>
        <v/>
      </c>
      <c r="AR151" t="str">
        <f t="shared" si="96"/>
        <v>Home</v>
      </c>
      <c r="AS151" t="str">
        <f t="shared" si="97"/>
        <v>h</v>
      </c>
      <c r="AT151" t="str">
        <f t="shared" si="98"/>
        <v>Defensive</v>
      </c>
      <c r="BA151" s="6">
        <f t="shared" si="88"/>
        <v>35</v>
      </c>
      <c r="BB151">
        <f t="shared" si="89"/>
        <v>18981</v>
      </c>
      <c r="BC151" t="str">
        <f t="shared" si="90"/>
        <v>Nelson</v>
      </c>
      <c r="BD151" t="str">
        <f t="shared" si="91"/>
        <v>Velodrome</v>
      </c>
      <c r="BE151" t="s">
        <v>6</v>
      </c>
      <c r="BF151" t="s">
        <v>191</v>
      </c>
      <c r="BG151" t="s">
        <v>51</v>
      </c>
      <c r="BI151" cm="1">
        <f t="array" ref="BI151">IFERROR(_xlfn._xlws.FILTER(shifts!A:A,(shifts!B:B=events!AD151)*(shifts!AG:AG&gt;=events!BK151)*(shifts!AH:AH&lt;=events!BL151)),BI150)</f>
        <v>6</v>
      </c>
      <c r="BJ151" s="15">
        <f t="shared" si="92"/>
        <v>0</v>
      </c>
      <c r="BK151">
        <f t="shared" si="99"/>
        <v>909</v>
      </c>
      <c r="BL151">
        <f t="shared" si="100"/>
        <v>909</v>
      </c>
      <c r="BM151" s="15">
        <f>SUMIFS(BJ$2:BJ151,K$2:K151,"=Intermission")+SUMIFS(BJ$2:BJ151,K$2:K151,"=Timeout")</f>
        <v>0</v>
      </c>
      <c r="BN151">
        <f t="shared" si="101"/>
        <v>0</v>
      </c>
      <c r="BO151" s="19">
        <f t="shared" si="102"/>
        <v>171</v>
      </c>
      <c r="BP151">
        <f t="shared" si="103"/>
        <v>166</v>
      </c>
      <c r="BQ151" s="17">
        <f t="shared" si="104"/>
        <v>171</v>
      </c>
      <c r="BR151" t="str">
        <f t="shared" si="105"/>
        <v>opp_team_player_1</v>
      </c>
      <c r="BS151">
        <f>COUNTIFS(S$3:S151,"="&amp;S151,AI$3:AI151,"="&amp;AI151)</f>
        <v>1</v>
      </c>
      <c r="BT151" t="str">
        <f>IFERROR(VLOOKUP(BB151&amp;BU151&amp;X151,game_rosters!U:W,3,FALSE),"")</f>
        <v>P100105</v>
      </c>
      <c r="BU151" t="str">
        <f t="shared" si="106"/>
        <v>Velodrome</v>
      </c>
    </row>
    <row r="152" spans="1:73" x14ac:dyDescent="0.2">
      <c r="A152">
        <f t="shared" si="93"/>
        <v>1</v>
      </c>
      <c r="E152" s="4"/>
      <c r="F152" s="43"/>
      <c r="G152" s="4"/>
      <c r="H152" s="46"/>
      <c r="J152" s="44" t="str">
        <f t="shared" si="107"/>
        <v/>
      </c>
      <c r="K152" t="s">
        <v>13</v>
      </c>
      <c r="L152" t="s">
        <v>756</v>
      </c>
      <c r="M152" t="s">
        <v>756</v>
      </c>
      <c r="N152" t="str">
        <f t="shared" si="110"/>
        <v/>
      </c>
      <c r="Q152" t="str">
        <f t="shared" si="108"/>
        <v/>
      </c>
      <c r="S152">
        <v>79</v>
      </c>
      <c r="U152" t="str">
        <f>IF(B152=1,MAX($U$2:$U151)+1,IF(AND($T152&lt;&gt;"",$T152=$T151),$U151,IF(B152="x",U151,"")))</f>
        <v/>
      </c>
      <c r="V152" t="str">
        <f>IF(C152=1,MAX($V$2:$V151)+1,IF(AND($T152&lt;&gt;"",$T152=$T151),$U151,IF(C152="x",V151,"")))</f>
        <v/>
      </c>
      <c r="W152" t="str">
        <f t="shared" si="82"/>
        <v>a</v>
      </c>
      <c r="X152">
        <v>84</v>
      </c>
      <c r="Y152" t="e">
        <f>IF(X152&lt;&gt;"",VLOOKUP(X152,game_rosters!$C$43:$E$64,3,FALSE))</f>
        <v>#N/A</v>
      </c>
      <c r="Z152" cm="1">
        <f t="array" ref="Z152">IFERROR(IF(_xlfn._xlws.FILTER(game_rosters!$J:$J,(game_rosters!$G:$G=events!$AN152)*(game_rosters!$J:$J=events!$X152))&gt;0,1,""),"")</f>
        <v>1</v>
      </c>
      <c r="AA152">
        <f t="shared" si="83"/>
        <v>1079</v>
      </c>
      <c r="AB152" t="str">
        <f t="shared" si="84"/>
        <v/>
      </c>
      <c r="AC152">
        <f t="shared" si="81"/>
        <v>1079</v>
      </c>
      <c r="AD152" s="6">
        <v>1</v>
      </c>
      <c r="AE152" t="s">
        <v>744</v>
      </c>
      <c r="AF152" t="s">
        <v>925</v>
      </c>
      <c r="AG152" t="s">
        <v>744</v>
      </c>
      <c r="AH152" t="s">
        <v>413</v>
      </c>
      <c r="AI152" t="s">
        <v>367</v>
      </c>
      <c r="AJ152" t="str">
        <f t="shared" si="109"/>
        <v/>
      </c>
      <c r="AK152" t="str">
        <f t="shared" si="109"/>
        <v/>
      </c>
      <c r="AL152" t="str">
        <f t="shared" si="86"/>
        <v/>
      </c>
      <c r="AN152" t="s">
        <v>862</v>
      </c>
      <c r="AO152" t="str">
        <f t="shared" si="87"/>
        <v>a</v>
      </c>
      <c r="AP152" t="str">
        <f t="shared" si="94"/>
        <v/>
      </c>
      <c r="AQ152" t="str">
        <f t="shared" si="95"/>
        <v/>
      </c>
      <c r="AR152" t="str">
        <f t="shared" si="96"/>
        <v>Away</v>
      </c>
      <c r="AS152" t="str">
        <f t="shared" si="97"/>
        <v>a</v>
      </c>
      <c r="AT152" t="str">
        <f t="shared" si="98"/>
        <v>Offensive</v>
      </c>
      <c r="BA152" s="6">
        <f t="shared" si="88"/>
        <v>35</v>
      </c>
      <c r="BB152">
        <f t="shared" si="89"/>
        <v>18981</v>
      </c>
      <c r="BC152" t="str">
        <f t="shared" si="90"/>
        <v>Nelson</v>
      </c>
      <c r="BD152" t="str">
        <f t="shared" si="91"/>
        <v>Velodrome</v>
      </c>
      <c r="BE152" t="s">
        <v>13</v>
      </c>
      <c r="BF152" t="s">
        <v>756</v>
      </c>
      <c r="BG152" t="s">
        <v>756</v>
      </c>
      <c r="BI152" cm="1">
        <f t="array" ref="BI152">IFERROR(_xlfn._xlws.FILTER(shifts!A:A,(shifts!B:B=events!AD152)*(shifts!AG:AG&gt;=events!BK152)*(shifts!AH:AH&lt;=events!BL152)),BI151)</f>
        <v>6</v>
      </c>
      <c r="BJ152" s="15">
        <f t="shared" si="92"/>
        <v>3</v>
      </c>
      <c r="BK152">
        <f t="shared" si="99"/>
        <v>903</v>
      </c>
      <c r="BL152">
        <f t="shared" si="100"/>
        <v>900</v>
      </c>
      <c r="BM152" s="15">
        <f>SUMIFS(BJ$2:BJ152,K$2:K152,"=Intermission")+SUMIFS(BJ$2:BJ152,K$2:K152,"=Timeout")</f>
        <v>0</v>
      </c>
      <c r="BN152">
        <f t="shared" si="101"/>
        <v>0</v>
      </c>
      <c r="BO152" s="19">
        <f t="shared" si="102"/>
        <v>177</v>
      </c>
      <c r="BP152">
        <f t="shared" si="103"/>
        <v>172</v>
      </c>
      <c r="BQ152" s="17">
        <f t="shared" si="104"/>
        <v>180</v>
      </c>
      <c r="BR152" t="str">
        <f t="shared" si="105"/>
        <v>event_team_player_1</v>
      </c>
      <c r="BS152">
        <f>COUNTIFS(S$3:S152,"="&amp;S152,AI$3:AI152,"="&amp;AI152)</f>
        <v>1</v>
      </c>
      <c r="BT152" t="str">
        <f>IFERROR(VLOOKUP(BB152&amp;BU152&amp;X152,game_rosters!U:W,3,FALSE),"")</f>
        <v>P100198</v>
      </c>
      <c r="BU152" t="str">
        <f t="shared" si="106"/>
        <v>Velodrome</v>
      </c>
    </row>
    <row r="153" spans="1:73" x14ac:dyDescent="0.2">
      <c r="A153">
        <f t="shared" si="93"/>
        <v>1</v>
      </c>
      <c r="E153" s="4"/>
      <c r="F153" s="43"/>
      <c r="G153" s="4"/>
      <c r="H153" s="46"/>
      <c r="J153" s="44" t="str">
        <f t="shared" si="107"/>
        <v/>
      </c>
      <c r="K153" t="s">
        <v>13</v>
      </c>
      <c r="L153" t="s">
        <v>756</v>
      </c>
      <c r="M153" t="s">
        <v>756</v>
      </c>
      <c r="N153" t="str">
        <f t="shared" si="110"/>
        <v/>
      </c>
      <c r="Q153" t="str">
        <f t="shared" si="108"/>
        <v/>
      </c>
      <c r="S153">
        <v>79</v>
      </c>
      <c r="U153" t="str">
        <f>IF(B153=1,MAX($U$2:$U152)+1,IF(AND($T153&lt;&gt;"",$T153=$T152),$U152,IF(B153="x",U152,"")))</f>
        <v/>
      </c>
      <c r="V153" t="str">
        <f>IF(C153=1,MAX($V$2:$V152)+1,IF(AND($T153&lt;&gt;"",$T153=$T152),$U152,IF(C153="x",V152,"")))</f>
        <v/>
      </c>
      <c r="W153" t="str">
        <f t="shared" si="82"/>
        <v>a</v>
      </c>
      <c r="X153">
        <v>10</v>
      </c>
      <c r="Y153" t="b">
        <f>IF(X153&lt;&gt;"",VLOOKUP(X153,game_rosters!$C$43:$E$64,3,FALSE))</f>
        <v>0</v>
      </c>
      <c r="Z153" t="str" cm="1">
        <f t="array" ref="Z153">IFERROR(IF(_xlfn._xlws.FILTER(game_rosters!$J:$J,(game_rosters!$G:$G=events!$AN153)*(game_rosters!$J:$J=events!$X153))&gt;0,1,""),"")</f>
        <v/>
      </c>
      <c r="AA153">
        <f t="shared" si="83"/>
        <v>1079</v>
      </c>
      <c r="AB153" t="str">
        <f t="shared" si="84"/>
        <v/>
      </c>
      <c r="AC153">
        <f t="shared" si="81"/>
        <v>1079</v>
      </c>
      <c r="AD153" s="6">
        <v>1</v>
      </c>
      <c r="AE153" t="s">
        <v>744</v>
      </c>
      <c r="AF153" t="s">
        <v>925</v>
      </c>
      <c r="AG153" t="s">
        <v>744</v>
      </c>
      <c r="AH153" t="s">
        <v>413</v>
      </c>
      <c r="AI153" t="s">
        <v>368</v>
      </c>
      <c r="AJ153" t="str">
        <f t="shared" si="109"/>
        <v/>
      </c>
      <c r="AK153" t="str">
        <f t="shared" si="109"/>
        <v/>
      </c>
      <c r="AL153" t="str">
        <f t="shared" si="86"/>
        <v/>
      </c>
      <c r="AN153" t="s">
        <v>862</v>
      </c>
      <c r="AO153" t="str">
        <f t="shared" si="87"/>
        <v>a</v>
      </c>
      <c r="AP153" t="str">
        <f t="shared" si="94"/>
        <v/>
      </c>
      <c r="AQ153" t="str">
        <f t="shared" si="95"/>
        <v/>
      </c>
      <c r="AR153" t="str">
        <f t="shared" si="96"/>
        <v>Away</v>
      </c>
      <c r="AS153" t="str">
        <f t="shared" si="97"/>
        <v>a</v>
      </c>
      <c r="AT153" t="str">
        <f t="shared" si="98"/>
        <v>Defensive</v>
      </c>
      <c r="BA153" s="6">
        <f t="shared" si="88"/>
        <v>35</v>
      </c>
      <c r="BB153">
        <f t="shared" si="89"/>
        <v>18981</v>
      </c>
      <c r="BC153" t="str">
        <f t="shared" si="90"/>
        <v>Nelson</v>
      </c>
      <c r="BD153" t="str">
        <f t="shared" si="91"/>
        <v>Velodrome</v>
      </c>
      <c r="BE153" t="s">
        <v>13</v>
      </c>
      <c r="BF153" t="s">
        <v>756</v>
      </c>
      <c r="BG153" t="s">
        <v>756</v>
      </c>
      <c r="BI153" cm="1">
        <f t="array" ref="BI153">IFERROR(_xlfn._xlws.FILTER(shifts!A:A,(shifts!B:B=events!AD153)*(shifts!AG:AG&gt;=events!BK153)*(shifts!AH:AH&lt;=events!BL153)),BI152)</f>
        <v>6</v>
      </c>
      <c r="BJ153" s="15">
        <f t="shared" si="92"/>
        <v>3</v>
      </c>
      <c r="BK153">
        <f t="shared" si="99"/>
        <v>903</v>
      </c>
      <c r="BL153">
        <f t="shared" si="100"/>
        <v>900</v>
      </c>
      <c r="BM153" s="15">
        <f>SUMIFS(BJ$2:BJ153,K$2:K153,"=Intermission")+SUMIFS(BJ$2:BJ153,K$2:K153,"=Timeout")</f>
        <v>0</v>
      </c>
      <c r="BN153">
        <f t="shared" si="101"/>
        <v>0</v>
      </c>
      <c r="BO153" s="19">
        <f t="shared" si="102"/>
        <v>177</v>
      </c>
      <c r="BP153">
        <f t="shared" si="103"/>
        <v>172</v>
      </c>
      <c r="BQ153" s="17">
        <f t="shared" si="104"/>
        <v>180</v>
      </c>
      <c r="BR153" t="str">
        <f t="shared" si="105"/>
        <v>opp_team_player_1</v>
      </c>
      <c r="BS153">
        <f>COUNTIFS(S$3:S153,"="&amp;S153,AI$3:AI153,"="&amp;AI153)</f>
        <v>1</v>
      </c>
      <c r="BT153" t="str">
        <f>IFERROR(VLOOKUP(BB153&amp;BU153&amp;X153,game_rosters!U:W,3,FALSE),"")</f>
        <v>P100078</v>
      </c>
      <c r="BU153" t="str">
        <f t="shared" si="106"/>
        <v>Nelson</v>
      </c>
    </row>
    <row r="154" spans="1:73" x14ac:dyDescent="0.2">
      <c r="A154">
        <f t="shared" si="93"/>
        <v>1</v>
      </c>
      <c r="E154" s="4"/>
      <c r="F154" s="43"/>
      <c r="G154" s="4"/>
      <c r="H154" s="46"/>
      <c r="J154" s="44" t="str">
        <f t="shared" si="107"/>
        <v>d</v>
      </c>
      <c r="K154" t="s">
        <v>238</v>
      </c>
      <c r="L154" t="s">
        <v>184</v>
      </c>
      <c r="M154" t="s">
        <v>90</v>
      </c>
      <c r="N154" t="str">
        <f t="shared" si="110"/>
        <v>s</v>
      </c>
      <c r="Q154" t="str">
        <f t="shared" si="108"/>
        <v/>
      </c>
      <c r="S154">
        <v>80</v>
      </c>
      <c r="U154" t="str">
        <f>IF(B154=1,MAX($U$2:$U153)+1,IF(AND($T154&lt;&gt;"",$T154=$T153),$U153,IF(B154="x",U153,"")))</f>
        <v/>
      </c>
      <c r="V154" t="str">
        <f>IF(C154=1,MAX($V$2:$V153)+1,IF(AND($T154&lt;&gt;"",$T154=$T153),$U153,IF(C154="x",V153,"")))</f>
        <v/>
      </c>
      <c r="W154" t="str">
        <f t="shared" si="82"/>
        <v>a</v>
      </c>
      <c r="X154">
        <v>84</v>
      </c>
      <c r="Y154" t="e">
        <f>IF(X154&lt;&gt;"",VLOOKUP(X154,game_rosters!$C$43:$E$64,3,FALSE))</f>
        <v>#N/A</v>
      </c>
      <c r="Z154" cm="1">
        <f t="array" ref="Z154">IFERROR(IF(_xlfn._xlws.FILTER(game_rosters!$J:$J,(game_rosters!$G:$G=events!$AN154)*(game_rosters!$J:$J=events!$X154))&gt;0,1,""),"")</f>
        <v>1</v>
      </c>
      <c r="AA154">
        <f t="shared" si="83"/>
        <v>1080</v>
      </c>
      <c r="AB154" t="str">
        <f t="shared" si="84"/>
        <v/>
      </c>
      <c r="AC154">
        <f t="shared" si="81"/>
        <v>1080</v>
      </c>
      <c r="AD154" s="6">
        <v>1</v>
      </c>
      <c r="AE154" t="s">
        <v>744</v>
      </c>
      <c r="AF154" t="s">
        <v>413</v>
      </c>
      <c r="AG154" t="s">
        <v>756</v>
      </c>
      <c r="AH154" t="s">
        <v>756</v>
      </c>
      <c r="AI154" t="s">
        <v>367</v>
      </c>
      <c r="AJ154" t="str">
        <f t="shared" si="109"/>
        <v>d</v>
      </c>
      <c r="AK154" t="str">
        <f t="shared" si="109"/>
        <v>d</v>
      </c>
      <c r="AL154" t="str">
        <f t="shared" si="86"/>
        <v>o</v>
      </c>
      <c r="AN154" t="s">
        <v>862</v>
      </c>
      <c r="AO154" t="str">
        <f t="shared" si="87"/>
        <v>a</v>
      </c>
      <c r="AP154" t="str">
        <f t="shared" si="94"/>
        <v>o</v>
      </c>
      <c r="AQ154" t="str">
        <f t="shared" si="95"/>
        <v/>
      </c>
      <c r="AR154" t="str">
        <f t="shared" si="96"/>
        <v>Away</v>
      </c>
      <c r="AS154" t="str">
        <f t="shared" si="97"/>
        <v>a</v>
      </c>
      <c r="AT154" t="str">
        <f t="shared" si="98"/>
        <v>Offensive</v>
      </c>
      <c r="BA154" s="6">
        <f t="shared" si="88"/>
        <v>36</v>
      </c>
      <c r="BB154">
        <f t="shared" si="89"/>
        <v>18981</v>
      </c>
      <c r="BC154" t="str">
        <f t="shared" si="90"/>
        <v>Nelson</v>
      </c>
      <c r="BD154" t="str">
        <f t="shared" si="91"/>
        <v>Velodrome</v>
      </c>
      <c r="BE154" t="s">
        <v>238</v>
      </c>
      <c r="BF154" t="s">
        <v>184</v>
      </c>
      <c r="BG154" t="s">
        <v>90</v>
      </c>
      <c r="BI154" cm="1">
        <f t="array" ref="BI154">IFERROR(_xlfn._xlws.FILTER(shifts!A:A,(shifts!B:B=events!AD154)*(shifts!AG:AG&gt;=events!BK154)*(shifts!AH:AH&lt;=events!BL154)),BI153)</f>
        <v>6</v>
      </c>
      <c r="BJ154" s="15">
        <f t="shared" si="92"/>
        <v>0</v>
      </c>
      <c r="BK154">
        <f t="shared" si="99"/>
        <v>900</v>
      </c>
      <c r="BL154">
        <f t="shared" si="100"/>
        <v>900</v>
      </c>
      <c r="BM154" s="15">
        <f>SUMIFS(BJ$2:BJ154,K$2:K154,"=Intermission")+SUMIFS(BJ$2:BJ154,K$2:K154,"=Timeout")</f>
        <v>0</v>
      </c>
      <c r="BN154">
        <f t="shared" si="101"/>
        <v>0</v>
      </c>
      <c r="BO154" s="19">
        <f t="shared" si="102"/>
        <v>180</v>
      </c>
      <c r="BP154">
        <f t="shared" si="103"/>
        <v>175</v>
      </c>
      <c r="BQ154" s="17">
        <f t="shared" si="104"/>
        <v>180</v>
      </c>
      <c r="BR154" t="str">
        <f t="shared" si="105"/>
        <v>event_team_player_1</v>
      </c>
      <c r="BS154">
        <f>COUNTIFS(S$3:S154,"="&amp;S154,AI$3:AI154,"="&amp;AI154)</f>
        <v>1</v>
      </c>
      <c r="BT154" t="str">
        <f>IFERROR(VLOOKUP(BB154&amp;BU154&amp;X154,game_rosters!U:W,3,FALSE),"")</f>
        <v>P100198</v>
      </c>
      <c r="BU154" t="str">
        <f t="shared" si="106"/>
        <v>Velodrome</v>
      </c>
    </row>
    <row r="155" spans="1:73" x14ac:dyDescent="0.2">
      <c r="A155">
        <f t="shared" si="93"/>
        <v>1</v>
      </c>
      <c r="E155" s="4"/>
      <c r="F155" s="43"/>
      <c r="G155" s="4"/>
      <c r="H155" s="46"/>
      <c r="J155" s="44" t="str">
        <f t="shared" si="107"/>
        <v/>
      </c>
      <c r="K155" t="s">
        <v>9</v>
      </c>
      <c r="L155" t="s">
        <v>173</v>
      </c>
      <c r="M155" t="s">
        <v>354</v>
      </c>
      <c r="N155" t="str">
        <f t="shared" si="110"/>
        <v>u</v>
      </c>
      <c r="Q155" t="str">
        <f t="shared" si="108"/>
        <v/>
      </c>
      <c r="S155">
        <v>81</v>
      </c>
      <c r="U155" t="str">
        <f>IF(B155=1,MAX($U$2:$U154)+1,IF(AND($T155&lt;&gt;"",$T155=$T154),$U154,IF(B155="x",U154,"")))</f>
        <v/>
      </c>
      <c r="V155" t="str">
        <f>IF(C155=1,MAX($V$2:$V154)+1,IF(AND($T155&lt;&gt;"",$T155=$T154),$U154,IF(C155="x",V154,"")))</f>
        <v/>
      </c>
      <c r="W155" t="str">
        <f t="shared" si="82"/>
        <v>a</v>
      </c>
      <c r="X155">
        <v>84</v>
      </c>
      <c r="Y155" t="e">
        <f>IF(X155&lt;&gt;"",VLOOKUP(X155,game_rosters!$C$43:$E$64,3,FALSE))</f>
        <v>#N/A</v>
      </c>
      <c r="Z155" cm="1">
        <f t="array" ref="Z155">IFERROR(IF(_xlfn._xlws.FILTER(game_rosters!$J:$J,(game_rosters!$G:$G=events!$AN155)*(game_rosters!$J:$J=events!$X155))&gt;0,1,""),"")</f>
        <v>1</v>
      </c>
      <c r="AA155">
        <f t="shared" si="83"/>
        <v>1081</v>
      </c>
      <c r="AB155" t="str">
        <f t="shared" si="84"/>
        <v/>
      </c>
      <c r="AC155">
        <f t="shared" si="81"/>
        <v>1081</v>
      </c>
      <c r="AD155" s="6">
        <v>1</v>
      </c>
      <c r="AE155" t="s">
        <v>744</v>
      </c>
      <c r="AF155" t="s">
        <v>413</v>
      </c>
      <c r="AG155" t="s">
        <v>756</v>
      </c>
      <c r="AH155" t="s">
        <v>756</v>
      </c>
      <c r="AI155" t="s">
        <v>367</v>
      </c>
      <c r="AJ155" t="str">
        <f t="shared" si="109"/>
        <v/>
      </c>
      <c r="AK155" t="str">
        <f t="shared" si="109"/>
        <v/>
      </c>
      <c r="AL155" t="str">
        <f t="shared" si="86"/>
        <v/>
      </c>
      <c r="AN155" t="s">
        <v>862</v>
      </c>
      <c r="AO155" t="str">
        <f t="shared" si="87"/>
        <v>a</v>
      </c>
      <c r="AP155" t="str">
        <f t="shared" si="94"/>
        <v/>
      </c>
      <c r="AQ155" t="str">
        <f t="shared" si="95"/>
        <v/>
      </c>
      <c r="AR155" t="str">
        <f t="shared" si="96"/>
        <v>Away</v>
      </c>
      <c r="AS155" t="str">
        <f t="shared" si="97"/>
        <v>a</v>
      </c>
      <c r="AT155" t="str">
        <f t="shared" si="98"/>
        <v>Offensive</v>
      </c>
      <c r="BA155" s="6">
        <f t="shared" si="88"/>
        <v>36</v>
      </c>
      <c r="BB155">
        <f t="shared" si="89"/>
        <v>18981</v>
      </c>
      <c r="BC155" t="str">
        <f t="shared" si="90"/>
        <v>Nelson</v>
      </c>
      <c r="BD155" t="str">
        <f t="shared" si="91"/>
        <v>Velodrome</v>
      </c>
      <c r="BE155" t="s">
        <v>9</v>
      </c>
      <c r="BF155" t="s">
        <v>173</v>
      </c>
      <c r="BG155" t="s">
        <v>354</v>
      </c>
      <c r="BI155" cm="1">
        <f t="array" ref="BI155">IFERROR(_xlfn._xlws.FILTER(shifts!A:A,(shifts!B:B=events!AD155)*(shifts!AG:AG&gt;=events!BK155)*(shifts!AH:AH&lt;=events!BL155)),BI154)</f>
        <v>6</v>
      </c>
      <c r="BJ155" s="15">
        <f t="shared" si="92"/>
        <v>0</v>
      </c>
      <c r="BK155">
        <f t="shared" si="99"/>
        <v>900</v>
      </c>
      <c r="BL155">
        <f t="shared" si="100"/>
        <v>900</v>
      </c>
      <c r="BM155" s="15">
        <f>SUMIFS(BJ$2:BJ155,K$2:K155,"=Intermission")+SUMIFS(BJ$2:BJ155,K$2:K155,"=Timeout")</f>
        <v>0</v>
      </c>
      <c r="BN155">
        <f t="shared" si="101"/>
        <v>0</v>
      </c>
      <c r="BO155" s="19">
        <f t="shared" si="102"/>
        <v>180</v>
      </c>
      <c r="BP155">
        <f t="shared" si="103"/>
        <v>175</v>
      </c>
      <c r="BQ155" s="17">
        <f t="shared" si="104"/>
        <v>180</v>
      </c>
      <c r="BR155" t="str">
        <f t="shared" si="105"/>
        <v>event_team_player_1</v>
      </c>
      <c r="BS155">
        <f>COUNTIFS(S$3:S155,"="&amp;S155,AI$3:AI155,"="&amp;AI155)</f>
        <v>1</v>
      </c>
      <c r="BT155" t="str">
        <f>IFERROR(VLOOKUP(BB155&amp;BU155&amp;X155,game_rosters!U:W,3,FALSE),"")</f>
        <v>P100198</v>
      </c>
      <c r="BU155" t="str">
        <f t="shared" si="106"/>
        <v>Velodrome</v>
      </c>
    </row>
    <row r="156" spans="1:73" x14ac:dyDescent="0.2">
      <c r="A156">
        <f t="shared" si="93"/>
        <v>1</v>
      </c>
      <c r="E156" s="4"/>
      <c r="F156" s="43"/>
      <c r="G156" s="4"/>
      <c r="H156" s="46"/>
      <c r="J156" s="44" t="str">
        <f t="shared" si="107"/>
        <v/>
      </c>
      <c r="K156" t="s">
        <v>7</v>
      </c>
      <c r="L156" t="s">
        <v>172</v>
      </c>
      <c r="M156" t="s">
        <v>68</v>
      </c>
      <c r="N156" t="str">
        <f t="shared" si="110"/>
        <v>s</v>
      </c>
      <c r="Q156" t="str">
        <f t="shared" si="108"/>
        <v/>
      </c>
      <c r="S156">
        <v>82</v>
      </c>
      <c r="U156" t="str">
        <f>IF(B156=1,MAX($U$2:$U155)+1,IF(AND($T156&lt;&gt;"",$T156=$T155),$U155,IF(B156="x",U155,"")))</f>
        <v/>
      </c>
      <c r="V156" t="str">
        <f>IF(C156=1,MAX($V$2:$V155)+1,IF(AND($T156&lt;&gt;"",$T156=$T155),$U155,IF(C156="x",V155,"")))</f>
        <v/>
      </c>
      <c r="W156" t="str">
        <f t="shared" si="82"/>
        <v>h</v>
      </c>
      <c r="X156">
        <v>16</v>
      </c>
      <c r="Y156" t="b">
        <f>IF(X156&lt;&gt;"",VLOOKUP(X156,game_rosters!$C$43:$E$64,3,FALSE))</f>
        <v>0</v>
      </c>
      <c r="Z156" cm="1">
        <f t="array" ref="Z156">IFERROR(IF(_xlfn._xlws.FILTER(game_rosters!$J:$J,(game_rosters!$G:$G=events!$AN156)*(game_rosters!$J:$J=events!$X156))&gt;0,1,""),"")</f>
        <v>1</v>
      </c>
      <c r="AA156">
        <f t="shared" si="83"/>
        <v>1082</v>
      </c>
      <c r="AB156" t="str">
        <f t="shared" si="84"/>
        <v/>
      </c>
      <c r="AC156">
        <f t="shared" si="81"/>
        <v>1082</v>
      </c>
      <c r="AD156" s="6">
        <v>1</v>
      </c>
      <c r="AE156" t="s">
        <v>745</v>
      </c>
      <c r="AF156" t="s">
        <v>753</v>
      </c>
      <c r="AG156" t="s">
        <v>756</v>
      </c>
      <c r="AH156" t="s">
        <v>756</v>
      </c>
      <c r="AI156" t="s">
        <v>367</v>
      </c>
      <c r="AJ156" t="str">
        <f t="shared" si="109"/>
        <v/>
      </c>
      <c r="AK156" t="str">
        <f t="shared" si="109"/>
        <v/>
      </c>
      <c r="AL156" t="str">
        <f t="shared" si="86"/>
        <v/>
      </c>
      <c r="AN156" t="s">
        <v>861</v>
      </c>
      <c r="AO156" t="str">
        <f t="shared" si="87"/>
        <v>h</v>
      </c>
      <c r="AP156" t="str">
        <f t="shared" si="94"/>
        <v/>
      </c>
      <c r="AQ156" t="str">
        <f t="shared" si="95"/>
        <v/>
      </c>
      <c r="AR156" t="str">
        <f t="shared" si="96"/>
        <v>Home</v>
      </c>
      <c r="AS156" t="str">
        <f t="shared" si="97"/>
        <v>h</v>
      </c>
      <c r="AT156" t="str">
        <f t="shared" si="98"/>
        <v>Offensive</v>
      </c>
      <c r="BA156" s="6">
        <f t="shared" si="88"/>
        <v>36</v>
      </c>
      <c r="BB156">
        <f t="shared" si="89"/>
        <v>18981</v>
      </c>
      <c r="BC156" t="str">
        <f t="shared" si="90"/>
        <v>Nelson</v>
      </c>
      <c r="BD156" t="str">
        <f t="shared" si="91"/>
        <v>Velodrome</v>
      </c>
      <c r="BE156" t="s">
        <v>7</v>
      </c>
      <c r="BF156" t="s">
        <v>172</v>
      </c>
      <c r="BG156" t="s">
        <v>68</v>
      </c>
      <c r="BI156" cm="1">
        <f t="array" ref="BI156">IFERROR(_xlfn._xlws.FILTER(shifts!A:A,(shifts!B:B=events!AD156)*(shifts!AG:AG&gt;=events!BK156)*(shifts!AH:AH&lt;=events!BL156)),BI155)</f>
        <v>6</v>
      </c>
      <c r="BJ156" s="15">
        <f t="shared" si="92"/>
        <v>0</v>
      </c>
      <c r="BK156">
        <f t="shared" si="99"/>
        <v>895</v>
      </c>
      <c r="BL156">
        <f t="shared" si="100"/>
        <v>895</v>
      </c>
      <c r="BM156" s="15">
        <f>SUMIFS(BJ$2:BJ156,K$2:K156,"=Intermission")+SUMIFS(BJ$2:BJ156,K$2:K156,"=Timeout")</f>
        <v>0</v>
      </c>
      <c r="BN156">
        <f t="shared" si="101"/>
        <v>0</v>
      </c>
      <c r="BO156" s="19">
        <f t="shared" si="102"/>
        <v>185</v>
      </c>
      <c r="BP156">
        <f t="shared" si="103"/>
        <v>180</v>
      </c>
      <c r="BQ156" s="17">
        <f t="shared" si="104"/>
        <v>185</v>
      </c>
      <c r="BR156" t="str">
        <f t="shared" si="105"/>
        <v>event_team_player_1</v>
      </c>
      <c r="BS156">
        <f>COUNTIFS(S$3:S156,"="&amp;S156,AI$3:AI156,"="&amp;AI156)</f>
        <v>1</v>
      </c>
      <c r="BT156" t="str">
        <f>IFERROR(VLOOKUP(BB156&amp;BU156&amp;X156,game_rosters!U:W,3,FALSE),"")</f>
        <v>P100164</v>
      </c>
      <c r="BU156" t="str">
        <f t="shared" si="106"/>
        <v>Nelson</v>
      </c>
    </row>
    <row r="157" spans="1:73" x14ac:dyDescent="0.2">
      <c r="A157">
        <f t="shared" si="93"/>
        <v>1</v>
      </c>
      <c r="E157" s="4"/>
      <c r="F157" s="43"/>
      <c r="G157" s="4"/>
      <c r="H157" s="46"/>
      <c r="J157" s="44" t="str">
        <f t="shared" si="107"/>
        <v/>
      </c>
      <c r="K157" t="s">
        <v>7</v>
      </c>
      <c r="L157" t="s">
        <v>172</v>
      </c>
      <c r="M157" t="s">
        <v>68</v>
      </c>
      <c r="N157" t="str">
        <f t="shared" si="110"/>
        <v>s</v>
      </c>
      <c r="Q157" t="str">
        <f t="shared" si="108"/>
        <v/>
      </c>
      <c r="S157">
        <v>82</v>
      </c>
      <c r="U157" t="str">
        <f>IF(B157=1,MAX($U$2:$U156)+1,IF(AND($T157&lt;&gt;"",$T157=$T156),$U156,IF(B157="x",U156,"")))</f>
        <v/>
      </c>
      <c r="V157" t="str">
        <f>IF(C157=1,MAX($V$2:$V156)+1,IF(AND($T157&lt;&gt;"",$T157=$T156),$U156,IF(C157="x",V156,"")))</f>
        <v/>
      </c>
      <c r="W157" t="str">
        <f t="shared" si="82"/>
        <v>h</v>
      </c>
      <c r="X157">
        <v>37</v>
      </c>
      <c r="Y157" t="b">
        <f>IF(X157&lt;&gt;"",VLOOKUP(X157,game_rosters!$C$43:$E$64,3,FALSE))</f>
        <v>0</v>
      </c>
      <c r="Z157" cm="1">
        <f t="array" ref="Z157">IFERROR(IF(_xlfn._xlws.FILTER(game_rosters!$J:$J,(game_rosters!$G:$G=events!$AN157)*(game_rosters!$J:$J=events!$X157))&gt;0,1,""),"")</f>
        <v>1</v>
      </c>
      <c r="AA157">
        <f t="shared" si="83"/>
        <v>1082</v>
      </c>
      <c r="AB157" t="str">
        <f t="shared" si="84"/>
        <v/>
      </c>
      <c r="AC157">
        <f t="shared" si="81"/>
        <v>1082</v>
      </c>
      <c r="AD157" s="6">
        <v>1</v>
      </c>
      <c r="AE157" t="s">
        <v>745</v>
      </c>
      <c r="AF157" t="s">
        <v>753</v>
      </c>
      <c r="AG157" t="s">
        <v>756</v>
      </c>
      <c r="AH157" t="s">
        <v>756</v>
      </c>
      <c r="AI157" t="s">
        <v>367</v>
      </c>
      <c r="AJ157" t="str">
        <f t="shared" si="109"/>
        <v/>
      </c>
      <c r="AK157" t="str">
        <f t="shared" si="109"/>
        <v/>
      </c>
      <c r="AL157" t="str">
        <f t="shared" si="86"/>
        <v/>
      </c>
      <c r="AN157" t="s">
        <v>861</v>
      </c>
      <c r="AO157" t="str">
        <f t="shared" si="87"/>
        <v>h</v>
      </c>
      <c r="AP157" t="str">
        <f t="shared" si="94"/>
        <v/>
      </c>
      <c r="AQ157" t="str">
        <f t="shared" si="95"/>
        <v/>
      </c>
      <c r="AR157" t="str">
        <f t="shared" si="96"/>
        <v>Home</v>
      </c>
      <c r="AS157" t="str">
        <f t="shared" si="97"/>
        <v>h</v>
      </c>
      <c r="AT157" t="str">
        <f t="shared" si="98"/>
        <v>Offensive</v>
      </c>
      <c r="BA157" s="6">
        <f t="shared" si="88"/>
        <v>36</v>
      </c>
      <c r="BB157">
        <f t="shared" si="89"/>
        <v>18981</v>
      </c>
      <c r="BC157" t="str">
        <f t="shared" si="90"/>
        <v>Nelson</v>
      </c>
      <c r="BD157" t="str">
        <f t="shared" si="91"/>
        <v>Velodrome</v>
      </c>
      <c r="BE157" t="s">
        <v>7</v>
      </c>
      <c r="BF157" t="s">
        <v>172</v>
      </c>
      <c r="BG157" t="s">
        <v>68</v>
      </c>
      <c r="BI157" cm="1">
        <f t="array" ref="BI157">IFERROR(_xlfn._xlws.FILTER(shifts!A:A,(shifts!B:B=events!AD157)*(shifts!AG:AG&gt;=events!BK157)*(shifts!AH:AH&lt;=events!BL157)),BI156)</f>
        <v>6</v>
      </c>
      <c r="BJ157" s="15">
        <f t="shared" si="92"/>
        <v>0</v>
      </c>
      <c r="BK157">
        <f t="shared" si="99"/>
        <v>895</v>
      </c>
      <c r="BL157">
        <f t="shared" si="100"/>
        <v>895</v>
      </c>
      <c r="BM157" s="15">
        <f>SUMIFS(BJ$2:BJ157,K$2:K157,"=Intermission")+SUMIFS(BJ$2:BJ157,K$2:K157,"=Timeout")</f>
        <v>0</v>
      </c>
      <c r="BN157">
        <f t="shared" si="101"/>
        <v>0</v>
      </c>
      <c r="BO157" s="19">
        <f t="shared" si="102"/>
        <v>185</v>
      </c>
      <c r="BP157">
        <f t="shared" si="103"/>
        <v>180</v>
      </c>
      <c r="BQ157" s="17">
        <f t="shared" si="104"/>
        <v>185</v>
      </c>
      <c r="BR157" t="str">
        <f t="shared" si="105"/>
        <v>event_team_player_2</v>
      </c>
      <c r="BS157">
        <f>COUNTIFS(S$3:S157,"="&amp;S157,AI$3:AI157,"="&amp;AI157)</f>
        <v>2</v>
      </c>
      <c r="BT157" t="str">
        <f>IFERROR(VLOOKUP(BB157&amp;BU157&amp;X157,game_rosters!U:W,3,FALSE),"")</f>
        <v>P100119</v>
      </c>
      <c r="BU157" t="str">
        <f t="shared" si="106"/>
        <v>Nelson</v>
      </c>
    </row>
    <row r="158" spans="1:73" x14ac:dyDescent="0.2">
      <c r="A158">
        <f t="shared" si="93"/>
        <v>1</v>
      </c>
      <c r="E158" s="4"/>
      <c r="F158" s="43"/>
      <c r="G158" s="4"/>
      <c r="H158" s="46"/>
      <c r="J158" s="44" t="str">
        <f t="shared" si="107"/>
        <v/>
      </c>
      <c r="K158" t="s">
        <v>13</v>
      </c>
      <c r="L158" t="s">
        <v>756</v>
      </c>
      <c r="M158" t="s">
        <v>756</v>
      </c>
      <c r="N158" t="str">
        <f t="shared" si="110"/>
        <v/>
      </c>
      <c r="Q158" t="str">
        <f t="shared" si="108"/>
        <v/>
      </c>
      <c r="S158">
        <v>83</v>
      </c>
      <c r="U158" t="str">
        <f>IF(B158=1,MAX($U$2:$U157)+1,IF(AND($T158&lt;&gt;"",$T158=$T157),$U157,IF(B158="x",U157,"")))</f>
        <v/>
      </c>
      <c r="V158" t="str">
        <f>IF(C158=1,MAX($V$2:$V157)+1,IF(AND($T158&lt;&gt;"",$T158=$T157),$U157,IF(C158="x",V157,"")))</f>
        <v/>
      </c>
      <c r="W158" t="str">
        <f t="shared" si="82"/>
        <v>h</v>
      </c>
      <c r="X158">
        <v>37</v>
      </c>
      <c r="Y158" t="b">
        <f>IF(X158&lt;&gt;"",VLOOKUP(X158,game_rosters!$C$43:$E$64,3,FALSE))</f>
        <v>0</v>
      </c>
      <c r="Z158" cm="1">
        <f t="array" ref="Z158">IFERROR(IF(_xlfn._xlws.FILTER(game_rosters!$J:$J,(game_rosters!$G:$G=events!$AN158)*(game_rosters!$J:$J=events!$X158))&gt;0,1,""),"")</f>
        <v>1</v>
      </c>
      <c r="AA158">
        <f t="shared" si="83"/>
        <v>1083</v>
      </c>
      <c r="AB158" t="str">
        <f t="shared" si="84"/>
        <v/>
      </c>
      <c r="AC158">
        <f t="shared" si="81"/>
        <v>1083</v>
      </c>
      <c r="AD158" s="6">
        <v>1</v>
      </c>
      <c r="AE158" t="s">
        <v>745</v>
      </c>
      <c r="AF158" t="s">
        <v>753</v>
      </c>
      <c r="AG158" t="s">
        <v>745</v>
      </c>
      <c r="AH158" t="s">
        <v>897</v>
      </c>
      <c r="AI158" t="s">
        <v>367</v>
      </c>
      <c r="AJ158" t="str">
        <f t="shared" si="109"/>
        <v/>
      </c>
      <c r="AK158" t="str">
        <f t="shared" si="109"/>
        <v/>
      </c>
      <c r="AL158" t="str">
        <f t="shared" si="86"/>
        <v/>
      </c>
      <c r="AN158" t="s">
        <v>861</v>
      </c>
      <c r="AO158" t="str">
        <f t="shared" si="87"/>
        <v>h</v>
      </c>
      <c r="AP158" t="str">
        <f t="shared" si="94"/>
        <v/>
      </c>
      <c r="AQ158" t="str">
        <f t="shared" si="95"/>
        <v/>
      </c>
      <c r="AR158" t="str">
        <f t="shared" si="96"/>
        <v>Home</v>
      </c>
      <c r="AS158" t="str">
        <f t="shared" si="97"/>
        <v>h</v>
      </c>
      <c r="AT158" t="str">
        <f t="shared" si="98"/>
        <v>Offensive</v>
      </c>
      <c r="BA158" s="6">
        <f t="shared" si="88"/>
        <v>36</v>
      </c>
      <c r="BB158">
        <f t="shared" si="89"/>
        <v>18981</v>
      </c>
      <c r="BC158" t="str">
        <f t="shared" si="90"/>
        <v>Nelson</v>
      </c>
      <c r="BD158" t="str">
        <f t="shared" si="91"/>
        <v>Velodrome</v>
      </c>
      <c r="BE158" t="s">
        <v>13</v>
      </c>
      <c r="BF158" t="s">
        <v>756</v>
      </c>
      <c r="BG158" t="s">
        <v>756</v>
      </c>
      <c r="BI158" cm="1">
        <f t="array" ref="BI158">IFERROR(_xlfn._xlws.FILTER(shifts!A:A,(shifts!B:B=events!AD158)*(shifts!AG:AG&gt;=events!BK158)*(shifts!AH:AH&lt;=events!BL158)),BI157)</f>
        <v>6</v>
      </c>
      <c r="BJ158" s="15">
        <f t="shared" si="92"/>
        <v>3</v>
      </c>
      <c r="BK158">
        <f t="shared" si="99"/>
        <v>895</v>
      </c>
      <c r="BL158">
        <f t="shared" si="100"/>
        <v>892</v>
      </c>
      <c r="BM158" s="15">
        <f>SUMIFS(BJ$2:BJ158,K$2:K158,"=Intermission")+SUMIFS(BJ$2:BJ158,K$2:K158,"=Timeout")</f>
        <v>0</v>
      </c>
      <c r="BN158">
        <f t="shared" si="101"/>
        <v>0</v>
      </c>
      <c r="BO158" s="19">
        <f t="shared" si="102"/>
        <v>185</v>
      </c>
      <c r="BP158">
        <f t="shared" si="103"/>
        <v>180</v>
      </c>
      <c r="BQ158" s="17">
        <f t="shared" si="104"/>
        <v>188</v>
      </c>
      <c r="BR158" t="str">
        <f t="shared" si="105"/>
        <v>event_team_player_1</v>
      </c>
      <c r="BS158">
        <f>COUNTIFS(S$3:S158,"="&amp;S158,AI$3:AI158,"="&amp;AI158)</f>
        <v>1</v>
      </c>
      <c r="BT158" t="str">
        <f>IFERROR(VLOOKUP(BB158&amp;BU158&amp;X158,game_rosters!U:W,3,FALSE),"")</f>
        <v>P100119</v>
      </c>
      <c r="BU158" t="str">
        <f t="shared" si="106"/>
        <v>Nelson</v>
      </c>
    </row>
    <row r="159" spans="1:73" x14ac:dyDescent="0.2">
      <c r="A159">
        <f t="shared" si="93"/>
        <v>1</v>
      </c>
      <c r="E159" s="4"/>
      <c r="F159" s="43"/>
      <c r="G159" s="4"/>
      <c r="H159" s="46"/>
      <c r="J159" s="44" t="str">
        <f t="shared" si="107"/>
        <v/>
      </c>
      <c r="K159" t="s">
        <v>7</v>
      </c>
      <c r="L159" t="s">
        <v>172</v>
      </c>
      <c r="M159" t="s">
        <v>68</v>
      </c>
      <c r="N159" t="str">
        <f t="shared" si="110"/>
        <v>s</v>
      </c>
      <c r="Q159" t="str">
        <f t="shared" si="108"/>
        <v/>
      </c>
      <c r="S159">
        <v>84</v>
      </c>
      <c r="U159" t="str">
        <f>IF(B159=1,MAX($U$2:$U158)+1,IF(AND($T159&lt;&gt;"",$T159=$T158),$U158,IF(B159="x",U158,"")))</f>
        <v/>
      </c>
      <c r="V159" t="str">
        <f>IF(C159=1,MAX($V$2:$V158)+1,IF(AND($T159&lt;&gt;"",$T159=$T158),$U158,IF(C159="x",V158,"")))</f>
        <v/>
      </c>
      <c r="W159" t="str">
        <f t="shared" si="82"/>
        <v>h</v>
      </c>
      <c r="X159">
        <v>37</v>
      </c>
      <c r="Y159" t="b">
        <f>IF(X159&lt;&gt;"",VLOOKUP(X159,game_rosters!$C$43:$E$64,3,FALSE))</f>
        <v>0</v>
      </c>
      <c r="Z159" cm="1">
        <f t="array" ref="Z159">IFERROR(IF(_xlfn._xlws.FILTER(game_rosters!$J:$J,(game_rosters!$G:$G=events!$AN159)*(game_rosters!$J:$J=events!$X159))&gt;0,1,""),"")</f>
        <v>1</v>
      </c>
      <c r="AA159">
        <f t="shared" si="83"/>
        <v>1084</v>
      </c>
      <c r="AB159" t="str">
        <f t="shared" si="84"/>
        <v/>
      </c>
      <c r="AC159">
        <f t="shared" si="81"/>
        <v>1084</v>
      </c>
      <c r="AD159" s="6">
        <v>1</v>
      </c>
      <c r="AE159" t="s">
        <v>745</v>
      </c>
      <c r="AF159" t="s">
        <v>897</v>
      </c>
      <c r="AG159" t="s">
        <v>756</v>
      </c>
      <c r="AH159" t="s">
        <v>756</v>
      </c>
      <c r="AI159" t="s">
        <v>367</v>
      </c>
      <c r="AJ159" t="str">
        <f t="shared" si="109"/>
        <v/>
      </c>
      <c r="AK159" t="str">
        <f t="shared" si="109"/>
        <v/>
      </c>
      <c r="AL159" t="str">
        <f t="shared" si="86"/>
        <v/>
      </c>
      <c r="AN159" t="s">
        <v>861</v>
      </c>
      <c r="AO159" t="str">
        <f t="shared" si="87"/>
        <v>h</v>
      </c>
      <c r="AP159" t="str">
        <f t="shared" si="94"/>
        <v/>
      </c>
      <c r="AQ159" t="str">
        <f t="shared" si="95"/>
        <v/>
      </c>
      <c r="AR159" t="str">
        <f t="shared" si="96"/>
        <v>Home</v>
      </c>
      <c r="AS159" t="str">
        <f t="shared" si="97"/>
        <v>h</v>
      </c>
      <c r="AT159" t="str">
        <f t="shared" si="98"/>
        <v>Offensive</v>
      </c>
      <c r="BA159" s="6">
        <f t="shared" si="88"/>
        <v>36</v>
      </c>
      <c r="BB159">
        <f t="shared" si="89"/>
        <v>18981</v>
      </c>
      <c r="BC159" t="str">
        <f t="shared" si="90"/>
        <v>Nelson</v>
      </c>
      <c r="BD159" t="str">
        <f t="shared" si="91"/>
        <v>Velodrome</v>
      </c>
      <c r="BE159" t="s">
        <v>7</v>
      </c>
      <c r="BF159" t="s">
        <v>172</v>
      </c>
      <c r="BG159" t="s">
        <v>68</v>
      </c>
      <c r="BI159" cm="1">
        <f t="array" ref="BI159">IFERROR(_xlfn._xlws.FILTER(shifts!A:A,(shifts!B:B=events!AD159)*(shifts!AG:AG&gt;=events!BK159)*(shifts!AH:AH&lt;=events!BL159)),BI158)</f>
        <v>6</v>
      </c>
      <c r="BJ159" s="15">
        <f t="shared" si="92"/>
        <v>0</v>
      </c>
      <c r="BK159">
        <f t="shared" si="99"/>
        <v>892</v>
      </c>
      <c r="BL159">
        <f t="shared" si="100"/>
        <v>892</v>
      </c>
      <c r="BM159" s="15">
        <f>SUMIFS(BJ$2:BJ159,K$2:K159,"=Intermission")+SUMIFS(BJ$2:BJ159,K$2:K159,"=Timeout")</f>
        <v>0</v>
      </c>
      <c r="BN159">
        <f t="shared" si="101"/>
        <v>0</v>
      </c>
      <c r="BO159" s="19">
        <f t="shared" si="102"/>
        <v>188</v>
      </c>
      <c r="BP159">
        <f t="shared" si="103"/>
        <v>183</v>
      </c>
      <c r="BQ159" s="17">
        <f t="shared" si="104"/>
        <v>188</v>
      </c>
      <c r="BR159" t="str">
        <f t="shared" si="105"/>
        <v>event_team_player_1</v>
      </c>
      <c r="BS159">
        <f>COUNTIFS(S$3:S159,"="&amp;S159,AI$3:AI159,"="&amp;AI159)</f>
        <v>1</v>
      </c>
      <c r="BT159" t="str">
        <f>IFERROR(VLOOKUP(BB159&amp;BU159&amp;X159,game_rosters!U:W,3,FALSE),"")</f>
        <v>P100119</v>
      </c>
      <c r="BU159" t="str">
        <f t="shared" si="106"/>
        <v>Nelson</v>
      </c>
    </row>
    <row r="160" spans="1:73" x14ac:dyDescent="0.2">
      <c r="A160">
        <f t="shared" si="93"/>
        <v>1</v>
      </c>
      <c r="E160" s="4"/>
      <c r="F160" s="43"/>
      <c r="G160" s="4"/>
      <c r="H160" s="46"/>
      <c r="J160" s="44" t="str">
        <f t="shared" si="107"/>
        <v/>
      </c>
      <c r="K160" t="s">
        <v>7</v>
      </c>
      <c r="L160" t="s">
        <v>172</v>
      </c>
      <c r="M160" t="s">
        <v>68</v>
      </c>
      <c r="N160" t="str">
        <f t="shared" si="110"/>
        <v>s</v>
      </c>
      <c r="Q160" t="str">
        <f t="shared" si="108"/>
        <v/>
      </c>
      <c r="S160">
        <v>84</v>
      </c>
      <c r="U160" t="str">
        <f>IF(B160=1,MAX($U$2:$U159)+1,IF(AND($T160&lt;&gt;"",$T160=$T159),$U159,IF(B160="x",U159,"")))</f>
        <v/>
      </c>
      <c r="V160" t="str">
        <f>IF(C160=1,MAX($V$2:$V159)+1,IF(AND($T160&lt;&gt;"",$T160=$T159),$U159,IF(C160="x",V159,"")))</f>
        <v/>
      </c>
      <c r="W160" t="str">
        <f t="shared" si="82"/>
        <v>h</v>
      </c>
      <c r="X160">
        <v>16</v>
      </c>
      <c r="Y160" t="b">
        <f>IF(X160&lt;&gt;"",VLOOKUP(X160,game_rosters!$C$43:$E$64,3,FALSE))</f>
        <v>0</v>
      </c>
      <c r="Z160" cm="1">
        <f t="array" ref="Z160">IFERROR(IF(_xlfn._xlws.FILTER(game_rosters!$J:$J,(game_rosters!$G:$G=events!$AN160)*(game_rosters!$J:$J=events!$X160))&gt;0,1,""),"")</f>
        <v>1</v>
      </c>
      <c r="AA160">
        <f t="shared" si="83"/>
        <v>1084</v>
      </c>
      <c r="AB160" t="str">
        <f t="shared" si="84"/>
        <v/>
      </c>
      <c r="AC160">
        <f t="shared" si="81"/>
        <v>1084</v>
      </c>
      <c r="AD160" s="6">
        <v>1</v>
      </c>
      <c r="AE160" t="s">
        <v>745</v>
      </c>
      <c r="AF160" t="s">
        <v>897</v>
      </c>
      <c r="AG160" t="s">
        <v>756</v>
      </c>
      <c r="AH160" t="s">
        <v>756</v>
      </c>
      <c r="AI160" t="s">
        <v>367</v>
      </c>
      <c r="AJ160" t="str">
        <f t="shared" si="109"/>
        <v/>
      </c>
      <c r="AK160" t="str">
        <f t="shared" si="109"/>
        <v/>
      </c>
      <c r="AL160" t="str">
        <f t="shared" si="86"/>
        <v/>
      </c>
      <c r="AN160" t="s">
        <v>861</v>
      </c>
      <c r="AO160" t="str">
        <f t="shared" si="87"/>
        <v>h</v>
      </c>
      <c r="AP160" t="str">
        <f t="shared" si="94"/>
        <v/>
      </c>
      <c r="AQ160" t="str">
        <f t="shared" si="95"/>
        <v/>
      </c>
      <c r="AR160" t="str">
        <f t="shared" si="96"/>
        <v>Home</v>
      </c>
      <c r="AS160" t="str">
        <f t="shared" si="97"/>
        <v>h</v>
      </c>
      <c r="AT160" t="str">
        <f t="shared" si="98"/>
        <v>Offensive</v>
      </c>
      <c r="BA160" s="6">
        <f t="shared" si="88"/>
        <v>36</v>
      </c>
      <c r="BB160">
        <f t="shared" si="89"/>
        <v>18981</v>
      </c>
      <c r="BC160" t="str">
        <f t="shared" si="90"/>
        <v>Nelson</v>
      </c>
      <c r="BD160" t="str">
        <f t="shared" si="91"/>
        <v>Velodrome</v>
      </c>
      <c r="BE160" t="s">
        <v>7</v>
      </c>
      <c r="BF160" t="s">
        <v>172</v>
      </c>
      <c r="BG160" t="s">
        <v>68</v>
      </c>
      <c r="BI160" cm="1">
        <f t="array" ref="BI160">IFERROR(_xlfn._xlws.FILTER(shifts!A:A,(shifts!B:B=events!AD160)*(shifts!AG:AG&gt;=events!BK160)*(shifts!AH:AH&lt;=events!BL160)),BI159)</f>
        <v>6</v>
      </c>
      <c r="BJ160" s="15">
        <f t="shared" si="92"/>
        <v>0</v>
      </c>
      <c r="BK160">
        <f t="shared" si="99"/>
        <v>892</v>
      </c>
      <c r="BL160">
        <f t="shared" si="100"/>
        <v>892</v>
      </c>
      <c r="BM160" s="15">
        <f>SUMIFS(BJ$2:BJ160,K$2:K160,"=Intermission")+SUMIFS(BJ$2:BJ160,K$2:K160,"=Timeout")</f>
        <v>0</v>
      </c>
      <c r="BN160">
        <f t="shared" si="101"/>
        <v>0</v>
      </c>
      <c r="BO160" s="19">
        <f t="shared" si="102"/>
        <v>188</v>
      </c>
      <c r="BP160">
        <f t="shared" si="103"/>
        <v>183</v>
      </c>
      <c r="BQ160" s="17">
        <f t="shared" si="104"/>
        <v>188</v>
      </c>
      <c r="BR160" t="str">
        <f t="shared" si="105"/>
        <v>event_team_player_2</v>
      </c>
      <c r="BS160">
        <f>COUNTIFS(S$3:S160,"="&amp;S160,AI$3:AI160,"="&amp;AI160)</f>
        <v>2</v>
      </c>
      <c r="BT160" t="str">
        <f>IFERROR(VLOOKUP(BB160&amp;BU160&amp;X160,game_rosters!U:W,3,FALSE),"")</f>
        <v>P100164</v>
      </c>
      <c r="BU160" t="str">
        <f t="shared" si="106"/>
        <v>Nelson</v>
      </c>
    </row>
    <row r="161" spans="1:73" x14ac:dyDescent="0.2">
      <c r="A161">
        <f t="shared" si="93"/>
        <v>1</v>
      </c>
      <c r="E161" s="4"/>
      <c r="F161" s="43"/>
      <c r="G161" s="4"/>
      <c r="H161" s="46"/>
      <c r="J161" s="44" t="str">
        <f t="shared" si="107"/>
        <v/>
      </c>
      <c r="K161" t="s">
        <v>13</v>
      </c>
      <c r="L161" t="s">
        <v>756</v>
      </c>
      <c r="M161" t="s">
        <v>756</v>
      </c>
      <c r="N161" t="str">
        <f t="shared" si="110"/>
        <v/>
      </c>
      <c r="Q161" t="str">
        <f t="shared" si="108"/>
        <v/>
      </c>
      <c r="S161">
        <v>85</v>
      </c>
      <c r="U161" t="str">
        <f>IF(B161=1,MAX($U$2:$U160)+1,IF(AND($T161&lt;&gt;"",$T161=$T160),$U160,IF(B161="x",U160,"")))</f>
        <v/>
      </c>
      <c r="V161" t="str">
        <f>IF(C161=1,MAX($V$2:$V160)+1,IF(AND($T161&lt;&gt;"",$T161=$T160),$U160,IF(C161="x",V160,"")))</f>
        <v/>
      </c>
      <c r="W161" t="str">
        <f t="shared" si="82"/>
        <v>h</v>
      </c>
      <c r="X161">
        <v>16</v>
      </c>
      <c r="Y161" t="b">
        <f>IF(X161&lt;&gt;"",VLOOKUP(X161,game_rosters!$C$43:$E$64,3,FALSE))</f>
        <v>0</v>
      </c>
      <c r="Z161" cm="1">
        <f t="array" ref="Z161">IFERROR(IF(_xlfn._xlws.FILTER(game_rosters!$J:$J,(game_rosters!$G:$G=events!$AN161)*(game_rosters!$J:$J=events!$X161))&gt;0,1,""),"")</f>
        <v>1</v>
      </c>
      <c r="AA161">
        <f t="shared" si="83"/>
        <v>1085</v>
      </c>
      <c r="AB161" t="str">
        <f t="shared" si="84"/>
        <v/>
      </c>
      <c r="AC161">
        <f t="shared" si="81"/>
        <v>1085</v>
      </c>
      <c r="AD161" s="6">
        <v>1</v>
      </c>
      <c r="AE161" t="s">
        <v>745</v>
      </c>
      <c r="AF161" t="s">
        <v>897</v>
      </c>
      <c r="AG161" t="s">
        <v>745</v>
      </c>
      <c r="AH161" t="s">
        <v>751</v>
      </c>
      <c r="AI161" t="s">
        <v>367</v>
      </c>
      <c r="AJ161" t="str">
        <f t="shared" si="109"/>
        <v/>
      </c>
      <c r="AK161" t="str">
        <f t="shared" si="109"/>
        <v/>
      </c>
      <c r="AL161" t="str">
        <f t="shared" si="86"/>
        <v/>
      </c>
      <c r="AN161" t="s">
        <v>861</v>
      </c>
      <c r="AO161" t="str">
        <f t="shared" si="87"/>
        <v>h</v>
      </c>
      <c r="AP161" t="str">
        <f t="shared" si="94"/>
        <v/>
      </c>
      <c r="AQ161" t="str">
        <f t="shared" si="95"/>
        <v/>
      </c>
      <c r="AR161" t="str">
        <f t="shared" si="96"/>
        <v>Home</v>
      </c>
      <c r="AS161" t="str">
        <f t="shared" si="97"/>
        <v>h</v>
      </c>
      <c r="AT161" t="str">
        <f t="shared" si="98"/>
        <v>Offensive</v>
      </c>
      <c r="BA161" s="6">
        <f t="shared" si="88"/>
        <v>36</v>
      </c>
      <c r="BB161">
        <f t="shared" si="89"/>
        <v>18981</v>
      </c>
      <c r="BC161" t="str">
        <f t="shared" si="90"/>
        <v>Nelson</v>
      </c>
      <c r="BD161" t="str">
        <f t="shared" si="91"/>
        <v>Velodrome</v>
      </c>
      <c r="BE161" t="s">
        <v>13</v>
      </c>
      <c r="BF161" t="s">
        <v>756</v>
      </c>
      <c r="BG161" t="s">
        <v>756</v>
      </c>
      <c r="BI161" cm="1">
        <f t="array" ref="BI161">IFERROR(_xlfn._xlws.FILTER(shifts!A:A,(shifts!B:B=events!AD161)*(shifts!AG:AG&gt;=events!BK161)*(shifts!AH:AH&lt;=events!BL161)),BI160)</f>
        <v>6</v>
      </c>
      <c r="BJ161" s="15">
        <f t="shared" si="92"/>
        <v>3</v>
      </c>
      <c r="BK161">
        <f t="shared" si="99"/>
        <v>892</v>
      </c>
      <c r="BL161">
        <f t="shared" si="100"/>
        <v>889</v>
      </c>
      <c r="BM161" s="15">
        <f>SUMIFS(BJ$2:BJ161,K$2:K161,"=Intermission")+SUMIFS(BJ$2:BJ161,K$2:K161,"=Timeout")</f>
        <v>0</v>
      </c>
      <c r="BN161">
        <f t="shared" si="101"/>
        <v>0</v>
      </c>
      <c r="BO161" s="19">
        <f t="shared" si="102"/>
        <v>188</v>
      </c>
      <c r="BP161">
        <f t="shared" si="103"/>
        <v>183</v>
      </c>
      <c r="BQ161" s="17">
        <f t="shared" si="104"/>
        <v>191</v>
      </c>
      <c r="BR161" t="str">
        <f t="shared" si="105"/>
        <v>event_team_player_1</v>
      </c>
      <c r="BS161">
        <f>COUNTIFS(S$3:S161,"="&amp;S161,AI$3:AI161,"="&amp;AI161)</f>
        <v>1</v>
      </c>
      <c r="BT161" t="str">
        <f>IFERROR(VLOOKUP(BB161&amp;BU161&amp;X161,game_rosters!U:W,3,FALSE),"")</f>
        <v>P100164</v>
      </c>
      <c r="BU161" t="str">
        <f t="shared" si="106"/>
        <v>Nelson</v>
      </c>
    </row>
    <row r="162" spans="1:73" x14ac:dyDescent="0.2">
      <c r="A162">
        <f t="shared" si="93"/>
        <v>1</v>
      </c>
      <c r="E162" s="4"/>
      <c r="F162" s="43"/>
      <c r="G162" s="4"/>
      <c r="H162" s="46"/>
      <c r="J162" s="44" t="str">
        <f t="shared" si="107"/>
        <v>o</v>
      </c>
      <c r="K162" t="s">
        <v>238</v>
      </c>
      <c r="L162" t="s">
        <v>174</v>
      </c>
      <c r="M162" t="s">
        <v>85</v>
      </c>
      <c r="N162" t="str">
        <f t="shared" si="110"/>
        <v>s</v>
      </c>
      <c r="Q162" t="str">
        <f t="shared" si="108"/>
        <v/>
      </c>
      <c r="S162">
        <v>86</v>
      </c>
      <c r="U162" t="str">
        <f>IF(B162=1,MAX($U$2:$U161)+1,IF(AND($T162&lt;&gt;"",$T162=$T161),$U161,IF(B162="x",U161,"")))</f>
        <v/>
      </c>
      <c r="V162" t="str">
        <f>IF(C162=1,MAX($V$2:$V161)+1,IF(AND($T162&lt;&gt;"",$T162=$T161),$U161,IF(C162="x",V161,"")))</f>
        <v/>
      </c>
      <c r="W162" t="str">
        <f t="shared" si="82"/>
        <v>h</v>
      </c>
      <c r="X162">
        <v>16</v>
      </c>
      <c r="Y162" t="b">
        <f>IF(X162&lt;&gt;"",VLOOKUP(X162,game_rosters!$C$43:$E$64,3,FALSE))</f>
        <v>0</v>
      </c>
      <c r="Z162" cm="1">
        <f t="array" ref="Z162">IFERROR(IF(_xlfn._xlws.FILTER(game_rosters!$J:$J,(game_rosters!$G:$G=events!$AN162)*(game_rosters!$J:$J=events!$X162))&gt;0,1,""),"")</f>
        <v>1</v>
      </c>
      <c r="AA162">
        <f t="shared" si="83"/>
        <v>1086</v>
      </c>
      <c r="AB162" t="str">
        <f t="shared" si="84"/>
        <v/>
      </c>
      <c r="AC162">
        <f t="shared" si="81"/>
        <v>1086</v>
      </c>
      <c r="AD162" s="6">
        <v>1</v>
      </c>
      <c r="AE162" t="s">
        <v>745</v>
      </c>
      <c r="AF162" t="s">
        <v>751</v>
      </c>
      <c r="AG162" t="s">
        <v>745</v>
      </c>
      <c r="AH162" t="s">
        <v>900</v>
      </c>
      <c r="AI162" t="s">
        <v>367</v>
      </c>
      <c r="AJ162" t="str">
        <f t="shared" si="109"/>
        <v>o</v>
      </c>
      <c r="AK162" t="str">
        <f t="shared" si="109"/>
        <v>o</v>
      </c>
      <c r="AL162" t="str">
        <f t="shared" si="86"/>
        <v>o</v>
      </c>
      <c r="AN162" t="s">
        <v>861</v>
      </c>
      <c r="AO162" t="str">
        <f t="shared" si="87"/>
        <v>h</v>
      </c>
      <c r="AP162" t="str">
        <f t="shared" si="94"/>
        <v>o</v>
      </c>
      <c r="AQ162" t="str">
        <f t="shared" si="95"/>
        <v/>
      </c>
      <c r="AR162" t="str">
        <f t="shared" si="96"/>
        <v>Home</v>
      </c>
      <c r="AS162" t="str">
        <f t="shared" si="97"/>
        <v>h</v>
      </c>
      <c r="AT162" t="str">
        <f t="shared" si="98"/>
        <v>Offensive</v>
      </c>
      <c r="BA162" s="6">
        <f t="shared" si="88"/>
        <v>37</v>
      </c>
      <c r="BB162">
        <f t="shared" si="89"/>
        <v>18981</v>
      </c>
      <c r="BC162" t="str">
        <f t="shared" si="90"/>
        <v>Nelson</v>
      </c>
      <c r="BD162" t="str">
        <f t="shared" si="91"/>
        <v>Velodrome</v>
      </c>
      <c r="BE162" t="s">
        <v>238</v>
      </c>
      <c r="BF162" t="s">
        <v>174</v>
      </c>
      <c r="BG162" t="s">
        <v>85</v>
      </c>
      <c r="BI162" cm="1">
        <f t="array" ref="BI162">IFERROR(_xlfn._xlws.FILTER(shifts!A:A,(shifts!B:B=events!AD162)*(shifts!AG:AG&gt;=events!BK162)*(shifts!AH:AH&lt;=events!BL162)),BI161)</f>
        <v>6</v>
      </c>
      <c r="BJ162" s="15">
        <f t="shared" si="92"/>
        <v>2</v>
      </c>
      <c r="BK162">
        <f t="shared" si="99"/>
        <v>889</v>
      </c>
      <c r="BL162">
        <f t="shared" si="100"/>
        <v>887</v>
      </c>
      <c r="BM162" s="15">
        <f>SUMIFS(BJ$2:BJ162,K$2:K162,"=Intermission")+SUMIFS(BJ$2:BJ162,K$2:K162,"=Timeout")</f>
        <v>0</v>
      </c>
      <c r="BN162">
        <f t="shared" si="101"/>
        <v>0</v>
      </c>
      <c r="BO162" s="19">
        <f t="shared" si="102"/>
        <v>191</v>
      </c>
      <c r="BP162">
        <f t="shared" si="103"/>
        <v>186</v>
      </c>
      <c r="BQ162" s="17">
        <f t="shared" si="104"/>
        <v>193</v>
      </c>
      <c r="BR162" t="str">
        <f t="shared" si="105"/>
        <v>event_team_player_1</v>
      </c>
      <c r="BS162">
        <f>COUNTIFS(S$3:S162,"="&amp;S162,AI$3:AI162,"="&amp;AI162)</f>
        <v>1</v>
      </c>
      <c r="BT162" t="str">
        <f>IFERROR(VLOOKUP(BB162&amp;BU162&amp;X162,game_rosters!U:W,3,FALSE),"")</f>
        <v>P100164</v>
      </c>
      <c r="BU162" t="str">
        <f t="shared" si="106"/>
        <v>Nelson</v>
      </c>
    </row>
    <row r="163" spans="1:73" x14ac:dyDescent="0.2">
      <c r="A163">
        <f t="shared" si="93"/>
        <v>1</v>
      </c>
      <c r="E163" s="4"/>
      <c r="F163" s="43"/>
      <c r="G163" s="4"/>
      <c r="H163" s="46"/>
      <c r="J163" s="44" t="str">
        <f t="shared" si="107"/>
        <v>o</v>
      </c>
      <c r="K163" t="s">
        <v>238</v>
      </c>
      <c r="L163" t="s">
        <v>174</v>
      </c>
      <c r="M163" t="s">
        <v>85</v>
      </c>
      <c r="N163" t="str">
        <f t="shared" si="110"/>
        <v>s</v>
      </c>
      <c r="Q163" t="str">
        <f t="shared" si="108"/>
        <v/>
      </c>
      <c r="S163">
        <v>86</v>
      </c>
      <c r="U163" t="str">
        <f>IF(B163=1,MAX($U$2:$U162)+1,IF(AND($T163&lt;&gt;"",$T163=$T162),$U162,IF(B163="x",U162,"")))</f>
        <v/>
      </c>
      <c r="V163" t="str">
        <f>IF(C163=1,MAX($V$2:$V162)+1,IF(AND($T163&lt;&gt;"",$T163=$T162),$U162,IF(C163="x",V162,"")))</f>
        <v/>
      </c>
      <c r="W163" t="str">
        <f t="shared" si="82"/>
        <v>h</v>
      </c>
      <c r="X163">
        <v>7</v>
      </c>
      <c r="Y163" t="b">
        <f>IF(X163&lt;&gt;"",VLOOKUP(X163,game_rosters!$C$43:$E$64,3,FALSE))</f>
        <v>0</v>
      </c>
      <c r="Z163" cm="1">
        <f t="array" ref="Z163">IFERROR(IF(_xlfn._xlws.FILTER(game_rosters!$J:$J,(game_rosters!$G:$G=events!$AN163)*(game_rosters!$J:$J=events!$X163))&gt;0,1,""),"")</f>
        <v>1</v>
      </c>
      <c r="AA163">
        <f t="shared" si="83"/>
        <v>1086</v>
      </c>
      <c r="AB163" t="str">
        <f t="shared" si="84"/>
        <v/>
      </c>
      <c r="AC163">
        <f t="shared" si="81"/>
        <v>1086</v>
      </c>
      <c r="AD163" s="6">
        <v>1</v>
      </c>
      <c r="AE163" t="s">
        <v>745</v>
      </c>
      <c r="AF163" t="s">
        <v>751</v>
      </c>
      <c r="AG163" t="s">
        <v>745</v>
      </c>
      <c r="AH163" t="s">
        <v>900</v>
      </c>
      <c r="AI163" t="s">
        <v>367</v>
      </c>
      <c r="AJ163" t="str">
        <f t="shared" si="109"/>
        <v>o</v>
      </c>
      <c r="AK163" t="str">
        <f t="shared" si="109"/>
        <v>o</v>
      </c>
      <c r="AL163" t="str">
        <f t="shared" si="86"/>
        <v>o</v>
      </c>
      <c r="AN163" t="s">
        <v>861</v>
      </c>
      <c r="AO163" t="str">
        <f t="shared" si="87"/>
        <v>h</v>
      </c>
      <c r="AP163" t="str">
        <f t="shared" si="94"/>
        <v>o</v>
      </c>
      <c r="AQ163" t="str">
        <f t="shared" si="95"/>
        <v/>
      </c>
      <c r="AR163" t="str">
        <f t="shared" si="96"/>
        <v>Home</v>
      </c>
      <c r="AS163" t="str">
        <f t="shared" si="97"/>
        <v>h</v>
      </c>
      <c r="AT163" t="str">
        <f t="shared" si="98"/>
        <v>Offensive</v>
      </c>
      <c r="BA163" s="6">
        <f t="shared" si="88"/>
        <v>38</v>
      </c>
      <c r="BB163">
        <f t="shared" si="89"/>
        <v>18981</v>
      </c>
      <c r="BC163" t="str">
        <f t="shared" si="90"/>
        <v>Nelson</v>
      </c>
      <c r="BD163" t="str">
        <f t="shared" si="91"/>
        <v>Velodrome</v>
      </c>
      <c r="BE163" t="s">
        <v>238</v>
      </c>
      <c r="BF163" t="s">
        <v>174</v>
      </c>
      <c r="BG163" t="s">
        <v>85</v>
      </c>
      <c r="BI163" cm="1">
        <f t="array" ref="BI163">IFERROR(_xlfn._xlws.FILTER(shifts!A:A,(shifts!B:B=events!AD163)*(shifts!AG:AG&gt;=events!BK163)*(shifts!AH:AH&lt;=events!BL163)),BI162)</f>
        <v>6</v>
      </c>
      <c r="BJ163" s="15">
        <f t="shared" si="92"/>
        <v>2</v>
      </c>
      <c r="BK163">
        <f t="shared" si="99"/>
        <v>889</v>
      </c>
      <c r="BL163">
        <f t="shared" si="100"/>
        <v>887</v>
      </c>
      <c r="BM163" s="15">
        <f>SUMIFS(BJ$2:BJ163,K$2:K163,"=Intermission")+SUMIFS(BJ$2:BJ163,K$2:K163,"=Timeout")</f>
        <v>0</v>
      </c>
      <c r="BN163">
        <f t="shared" si="101"/>
        <v>0</v>
      </c>
      <c r="BO163" s="19">
        <f t="shared" si="102"/>
        <v>191</v>
      </c>
      <c r="BP163">
        <f t="shared" si="103"/>
        <v>186</v>
      </c>
      <c r="BQ163" s="17">
        <f t="shared" si="104"/>
        <v>193</v>
      </c>
      <c r="BR163" t="str">
        <f t="shared" si="105"/>
        <v>event_team_player_2</v>
      </c>
      <c r="BS163">
        <f>COUNTIFS(S$3:S163,"="&amp;S163,AI$3:AI163,"="&amp;AI163)</f>
        <v>2</v>
      </c>
      <c r="BT163" t="str">
        <f>IFERROR(VLOOKUP(BB163&amp;BU163&amp;X163,game_rosters!U:W,3,FALSE),"")</f>
        <v>P100072</v>
      </c>
      <c r="BU163" t="str">
        <f t="shared" si="106"/>
        <v>Nelson</v>
      </c>
    </row>
    <row r="164" spans="1:73" x14ac:dyDescent="0.2">
      <c r="A164">
        <f t="shared" si="93"/>
        <v>1</v>
      </c>
      <c r="E164" s="4"/>
      <c r="F164" s="43"/>
      <c r="G164" s="4"/>
      <c r="H164" s="46"/>
      <c r="J164" s="44" t="str">
        <f t="shared" si="107"/>
        <v>o</v>
      </c>
      <c r="K164" t="s">
        <v>238</v>
      </c>
      <c r="L164" t="s">
        <v>174</v>
      </c>
      <c r="M164" t="s">
        <v>85</v>
      </c>
      <c r="N164" t="str">
        <f t="shared" si="110"/>
        <v>s</v>
      </c>
      <c r="Q164" t="str">
        <f t="shared" si="108"/>
        <v/>
      </c>
      <c r="S164">
        <v>86</v>
      </c>
      <c r="U164" t="str">
        <f>IF(B164=1,MAX($U$2:$U163)+1,IF(AND($T164&lt;&gt;"",$T164=$T163),$U163,IF(B164="x",U163,"")))</f>
        <v/>
      </c>
      <c r="V164" t="str">
        <f>IF(C164=1,MAX($V$2:$V163)+1,IF(AND($T164&lt;&gt;"",$T164=$T163),$U163,IF(C164="x",V163,"")))</f>
        <v/>
      </c>
      <c r="W164" t="str">
        <f t="shared" si="82"/>
        <v>h</v>
      </c>
      <c r="X164">
        <v>10</v>
      </c>
      <c r="Y164" t="b">
        <f>IF(X164&lt;&gt;"",VLOOKUP(X164,game_rosters!$C$43:$E$64,3,FALSE))</f>
        <v>0</v>
      </c>
      <c r="Z164" cm="1">
        <f t="array" ref="Z164">IFERROR(IF(_xlfn._xlws.FILTER(game_rosters!$J:$J,(game_rosters!$G:$G=events!$AN164)*(game_rosters!$J:$J=events!$X164))&gt;0,1,""),"")</f>
        <v>1</v>
      </c>
      <c r="AA164">
        <f t="shared" si="83"/>
        <v>1086</v>
      </c>
      <c r="AB164" t="str">
        <f t="shared" si="84"/>
        <v/>
      </c>
      <c r="AC164">
        <f t="shared" si="81"/>
        <v>1086</v>
      </c>
      <c r="AD164" s="6">
        <v>1</v>
      </c>
      <c r="AE164" t="s">
        <v>745</v>
      </c>
      <c r="AF164" t="s">
        <v>751</v>
      </c>
      <c r="AG164" t="s">
        <v>745</v>
      </c>
      <c r="AH164" t="s">
        <v>900</v>
      </c>
      <c r="AI164" t="s">
        <v>367</v>
      </c>
      <c r="AJ164" t="str">
        <f t="shared" ref="AJ164:AK179" si="111">IF($J164&lt;&gt;"",$J164,IF($AC164=$AC163,AJ163,""))</f>
        <v>o</v>
      </c>
      <c r="AK164" t="str">
        <f t="shared" si="111"/>
        <v>o</v>
      </c>
      <c r="AL164" t="str">
        <f t="shared" si="86"/>
        <v>o</v>
      </c>
      <c r="AN164" t="s">
        <v>861</v>
      </c>
      <c r="AO164" t="str">
        <f t="shared" si="87"/>
        <v>h</v>
      </c>
      <c r="AP164" t="str">
        <f t="shared" si="94"/>
        <v>o</v>
      </c>
      <c r="AQ164" t="str">
        <f t="shared" si="95"/>
        <v/>
      </c>
      <c r="AR164" t="str">
        <f t="shared" si="96"/>
        <v>Home</v>
      </c>
      <c r="AS164" t="str">
        <f t="shared" si="97"/>
        <v>h</v>
      </c>
      <c r="AT164" t="str">
        <f t="shared" si="98"/>
        <v>Offensive</v>
      </c>
      <c r="BA164" s="6">
        <f t="shared" si="88"/>
        <v>39</v>
      </c>
      <c r="BB164">
        <f t="shared" si="89"/>
        <v>18981</v>
      </c>
      <c r="BC164" t="str">
        <f t="shared" si="90"/>
        <v>Nelson</v>
      </c>
      <c r="BD164" t="str">
        <f t="shared" si="91"/>
        <v>Velodrome</v>
      </c>
      <c r="BE164" t="s">
        <v>238</v>
      </c>
      <c r="BF164" t="s">
        <v>174</v>
      </c>
      <c r="BG164" t="s">
        <v>85</v>
      </c>
      <c r="BI164" cm="1">
        <f t="array" ref="BI164">IFERROR(_xlfn._xlws.FILTER(shifts!A:A,(shifts!B:B=events!AD164)*(shifts!AG:AG&gt;=events!BK164)*(shifts!AH:AH&lt;=events!BL164)),BI163)</f>
        <v>6</v>
      </c>
      <c r="BJ164" s="15">
        <f t="shared" si="92"/>
        <v>2</v>
      </c>
      <c r="BK164">
        <f t="shared" si="99"/>
        <v>889</v>
      </c>
      <c r="BL164">
        <f t="shared" si="100"/>
        <v>887</v>
      </c>
      <c r="BM164" s="15">
        <f>SUMIFS(BJ$2:BJ164,K$2:K164,"=Intermission")+SUMIFS(BJ$2:BJ164,K$2:K164,"=Timeout")</f>
        <v>0</v>
      </c>
      <c r="BN164">
        <f t="shared" si="101"/>
        <v>0</v>
      </c>
      <c r="BO164" s="19">
        <f t="shared" si="102"/>
        <v>191</v>
      </c>
      <c r="BP164">
        <f t="shared" si="103"/>
        <v>186</v>
      </c>
      <c r="BQ164" s="17">
        <f t="shared" si="104"/>
        <v>193</v>
      </c>
      <c r="BR164" t="str">
        <f t="shared" si="105"/>
        <v>event_team_player_3</v>
      </c>
      <c r="BS164">
        <f>COUNTIFS(S$3:S164,"="&amp;S164,AI$3:AI164,"="&amp;AI164)</f>
        <v>3</v>
      </c>
      <c r="BT164" t="str">
        <f>IFERROR(VLOOKUP(BB164&amp;BU164&amp;X164,game_rosters!U:W,3,FALSE),"")</f>
        <v>P100078</v>
      </c>
      <c r="BU164" t="str">
        <f t="shared" si="106"/>
        <v>Nelson</v>
      </c>
    </row>
    <row r="165" spans="1:73" x14ac:dyDescent="0.2">
      <c r="A165">
        <f t="shared" si="93"/>
        <v>1</v>
      </c>
      <c r="E165" s="4"/>
      <c r="F165" s="43"/>
      <c r="G165" s="4"/>
      <c r="H165" s="46"/>
      <c r="J165" s="44" t="str">
        <f t="shared" si="107"/>
        <v>o</v>
      </c>
      <c r="K165" t="s">
        <v>238</v>
      </c>
      <c r="L165" t="s">
        <v>174</v>
      </c>
      <c r="M165" t="s">
        <v>85</v>
      </c>
      <c r="N165" t="str">
        <f t="shared" si="110"/>
        <v>s</v>
      </c>
      <c r="Q165" t="str">
        <f t="shared" si="108"/>
        <v/>
      </c>
      <c r="S165">
        <v>86</v>
      </c>
      <c r="U165" t="str">
        <f>IF(B165=1,MAX($U$2:$U164)+1,IF(AND($T165&lt;&gt;"",$T165=$T164),$U164,IF(B165="x",U164,"")))</f>
        <v/>
      </c>
      <c r="V165" t="str">
        <f>IF(C165=1,MAX($V$2:$V164)+1,IF(AND($T165&lt;&gt;"",$T165=$T164),$U164,IF(C165="x",V164,"")))</f>
        <v/>
      </c>
      <c r="W165" t="str">
        <f t="shared" si="82"/>
        <v>h</v>
      </c>
      <c r="X165">
        <v>9</v>
      </c>
      <c r="Y165" t="e">
        <f>IF(X165&lt;&gt;"",VLOOKUP(X165,game_rosters!$C$43:$E$64,3,FALSE))</f>
        <v>#N/A</v>
      </c>
      <c r="Z165" t="str" cm="1">
        <f t="array" ref="Z165">IFERROR(IF(_xlfn._xlws.FILTER(game_rosters!$J:$J,(game_rosters!$G:$G=events!$AN165)*(game_rosters!$J:$J=events!$X165))&gt;0,1,""),"")</f>
        <v/>
      </c>
      <c r="AA165">
        <f t="shared" si="83"/>
        <v>1086</v>
      </c>
      <c r="AB165" t="str">
        <f t="shared" si="84"/>
        <v/>
      </c>
      <c r="AC165">
        <f t="shared" si="81"/>
        <v>1086</v>
      </c>
      <c r="AD165" s="6">
        <v>1</v>
      </c>
      <c r="AE165" t="s">
        <v>745</v>
      </c>
      <c r="AF165" t="s">
        <v>751</v>
      </c>
      <c r="AG165" t="s">
        <v>745</v>
      </c>
      <c r="AH165" t="s">
        <v>900</v>
      </c>
      <c r="AI165" t="s">
        <v>368</v>
      </c>
      <c r="AJ165" t="str">
        <f t="shared" si="111"/>
        <v>o</v>
      </c>
      <c r="AK165" t="str">
        <f t="shared" si="111"/>
        <v>o</v>
      </c>
      <c r="AL165" t="str">
        <f t="shared" si="86"/>
        <v>o</v>
      </c>
      <c r="AN165" t="s">
        <v>861</v>
      </c>
      <c r="AO165" t="str">
        <f t="shared" si="87"/>
        <v>h</v>
      </c>
      <c r="AP165" t="str">
        <f t="shared" si="94"/>
        <v>o</v>
      </c>
      <c r="AQ165" t="str">
        <f t="shared" si="95"/>
        <v/>
      </c>
      <c r="AR165" t="str">
        <f t="shared" si="96"/>
        <v>Home</v>
      </c>
      <c r="AS165" t="str">
        <f t="shared" si="97"/>
        <v>h</v>
      </c>
      <c r="AT165" t="str">
        <f t="shared" si="98"/>
        <v>Defensive</v>
      </c>
      <c r="BA165" s="6">
        <f t="shared" si="88"/>
        <v>40</v>
      </c>
      <c r="BB165">
        <f t="shared" si="89"/>
        <v>18981</v>
      </c>
      <c r="BC165" t="str">
        <f t="shared" si="90"/>
        <v>Nelson</v>
      </c>
      <c r="BD165" t="str">
        <f t="shared" si="91"/>
        <v>Velodrome</v>
      </c>
      <c r="BE165" t="s">
        <v>238</v>
      </c>
      <c r="BF165" t="s">
        <v>174</v>
      </c>
      <c r="BG165" t="s">
        <v>85</v>
      </c>
      <c r="BI165" cm="1">
        <f t="array" ref="BI165">IFERROR(_xlfn._xlws.FILTER(shifts!A:A,(shifts!B:B=events!AD165)*(shifts!AG:AG&gt;=events!BK165)*(shifts!AH:AH&lt;=events!BL165)),BI164)</f>
        <v>6</v>
      </c>
      <c r="BJ165" s="15">
        <f t="shared" si="92"/>
        <v>2</v>
      </c>
      <c r="BK165">
        <f t="shared" si="99"/>
        <v>889</v>
      </c>
      <c r="BL165">
        <f t="shared" si="100"/>
        <v>887</v>
      </c>
      <c r="BM165" s="15">
        <f>SUMIFS(BJ$2:BJ165,K$2:K165,"=Intermission")+SUMIFS(BJ$2:BJ165,K$2:K165,"=Timeout")</f>
        <v>0</v>
      </c>
      <c r="BN165">
        <f t="shared" si="101"/>
        <v>0</v>
      </c>
      <c r="BO165" s="19">
        <f t="shared" si="102"/>
        <v>191</v>
      </c>
      <c r="BP165">
        <f t="shared" si="103"/>
        <v>186</v>
      </c>
      <c r="BQ165" s="17">
        <f t="shared" si="104"/>
        <v>193</v>
      </c>
      <c r="BR165" t="str">
        <f t="shared" si="105"/>
        <v>opp_team_player_1</v>
      </c>
      <c r="BS165">
        <f>COUNTIFS(S$3:S165,"="&amp;S165,AI$3:AI165,"="&amp;AI165)</f>
        <v>1</v>
      </c>
      <c r="BT165" t="str">
        <f>IFERROR(VLOOKUP(BB165&amp;BU165&amp;X165,game_rosters!U:W,3,FALSE),"")</f>
        <v>P100105</v>
      </c>
      <c r="BU165" t="str">
        <f t="shared" si="106"/>
        <v>Velodrome</v>
      </c>
    </row>
    <row r="166" spans="1:73" x14ac:dyDescent="0.2">
      <c r="A166">
        <f t="shared" si="93"/>
        <v>1</v>
      </c>
      <c r="E166" s="4"/>
      <c r="F166" s="43"/>
      <c r="G166" s="4"/>
      <c r="H166" s="46"/>
      <c r="J166" s="44" t="str">
        <f t="shared" si="107"/>
        <v>o</v>
      </c>
      <c r="K166" t="s">
        <v>238</v>
      </c>
      <c r="L166" t="s">
        <v>174</v>
      </c>
      <c r="M166" t="s">
        <v>85</v>
      </c>
      <c r="N166" t="str">
        <f t="shared" si="110"/>
        <v>s</v>
      </c>
      <c r="Q166" t="str">
        <f t="shared" si="108"/>
        <v/>
      </c>
      <c r="S166">
        <v>86</v>
      </c>
      <c r="U166" t="str">
        <f>IF(B166=1,MAX($U$2:$U165)+1,IF(AND($T166&lt;&gt;"",$T166=$T165),$U165,IF(B166="x",U165,"")))</f>
        <v/>
      </c>
      <c r="V166" t="str">
        <f>IF(C166=1,MAX($V$2:$V165)+1,IF(AND($T166&lt;&gt;"",$T166=$T165),$U165,IF(C166="x",V165,"")))</f>
        <v/>
      </c>
      <c r="W166" t="str">
        <f t="shared" si="82"/>
        <v>h</v>
      </c>
      <c r="X166">
        <v>84</v>
      </c>
      <c r="Y166" t="e">
        <f>IF(X166&lt;&gt;"",VLOOKUP(X166,game_rosters!$C$43:$E$64,3,FALSE))</f>
        <v>#N/A</v>
      </c>
      <c r="Z166" t="str" cm="1">
        <f t="array" ref="Z166">IFERROR(IF(_xlfn._xlws.FILTER(game_rosters!$J:$J,(game_rosters!$G:$G=events!$AN166)*(game_rosters!$J:$J=events!$X166))&gt;0,1,""),"")</f>
        <v/>
      </c>
      <c r="AA166">
        <f t="shared" si="83"/>
        <v>1086</v>
      </c>
      <c r="AB166" t="str">
        <f t="shared" si="84"/>
        <v/>
      </c>
      <c r="AC166">
        <f t="shared" si="81"/>
        <v>1086</v>
      </c>
      <c r="AD166" s="6">
        <v>1</v>
      </c>
      <c r="AE166" t="s">
        <v>745</v>
      </c>
      <c r="AF166" t="s">
        <v>751</v>
      </c>
      <c r="AG166" t="s">
        <v>745</v>
      </c>
      <c r="AH166" t="s">
        <v>900</v>
      </c>
      <c r="AI166" t="s">
        <v>368</v>
      </c>
      <c r="AJ166" t="str">
        <f t="shared" si="111"/>
        <v>o</v>
      </c>
      <c r="AK166" t="str">
        <f t="shared" si="111"/>
        <v>o</v>
      </c>
      <c r="AL166" t="str">
        <f t="shared" si="86"/>
        <v>o</v>
      </c>
      <c r="AN166" t="s">
        <v>861</v>
      </c>
      <c r="AO166" t="str">
        <f t="shared" si="87"/>
        <v>h</v>
      </c>
      <c r="AP166" t="str">
        <f t="shared" si="94"/>
        <v>o</v>
      </c>
      <c r="AQ166" t="str">
        <f t="shared" si="95"/>
        <v/>
      </c>
      <c r="AR166" t="str">
        <f t="shared" si="96"/>
        <v>Home</v>
      </c>
      <c r="AS166" t="str">
        <f t="shared" si="97"/>
        <v>h</v>
      </c>
      <c r="AT166" t="str">
        <f t="shared" si="98"/>
        <v>Defensive</v>
      </c>
      <c r="BA166" s="6">
        <f t="shared" si="88"/>
        <v>41</v>
      </c>
      <c r="BB166">
        <f t="shared" si="89"/>
        <v>18981</v>
      </c>
      <c r="BC166" t="str">
        <f t="shared" si="90"/>
        <v>Nelson</v>
      </c>
      <c r="BD166" t="str">
        <f t="shared" si="91"/>
        <v>Velodrome</v>
      </c>
      <c r="BE166" t="s">
        <v>238</v>
      </c>
      <c r="BF166" t="s">
        <v>174</v>
      </c>
      <c r="BG166" t="s">
        <v>85</v>
      </c>
      <c r="BI166" cm="1">
        <f t="array" ref="BI166">IFERROR(_xlfn._xlws.FILTER(shifts!A:A,(shifts!B:B=events!AD166)*(shifts!AG:AG&gt;=events!BK166)*(shifts!AH:AH&lt;=events!BL166)),BI165)</f>
        <v>6</v>
      </c>
      <c r="BJ166" s="15">
        <f t="shared" si="92"/>
        <v>2</v>
      </c>
      <c r="BK166">
        <f t="shared" si="99"/>
        <v>889</v>
      </c>
      <c r="BL166">
        <f t="shared" si="100"/>
        <v>887</v>
      </c>
      <c r="BM166" s="15">
        <f>SUMIFS(BJ$2:BJ166,K$2:K166,"=Intermission")+SUMIFS(BJ$2:BJ166,K$2:K166,"=Timeout")</f>
        <v>0</v>
      </c>
      <c r="BN166">
        <f t="shared" si="101"/>
        <v>0</v>
      </c>
      <c r="BO166" s="19">
        <f t="shared" si="102"/>
        <v>191</v>
      </c>
      <c r="BP166">
        <f t="shared" si="103"/>
        <v>186</v>
      </c>
      <c r="BQ166" s="17">
        <f t="shared" si="104"/>
        <v>193</v>
      </c>
      <c r="BR166" t="str">
        <f t="shared" si="105"/>
        <v>opp_team_player_2</v>
      </c>
      <c r="BS166">
        <f>COUNTIFS(S$3:S166,"="&amp;S166,AI$3:AI166,"="&amp;AI166)</f>
        <v>2</v>
      </c>
      <c r="BT166" t="str">
        <f>IFERROR(VLOOKUP(BB166&amp;BU166&amp;X166,game_rosters!U:W,3,FALSE),"")</f>
        <v>P100198</v>
      </c>
      <c r="BU166" t="str">
        <f t="shared" si="106"/>
        <v>Velodrome</v>
      </c>
    </row>
    <row r="167" spans="1:73" x14ac:dyDescent="0.2">
      <c r="A167">
        <f t="shared" si="93"/>
        <v>1</v>
      </c>
      <c r="E167" s="4"/>
      <c r="F167" s="43"/>
      <c r="G167" s="4"/>
      <c r="H167" s="46"/>
      <c r="J167" s="44" t="str">
        <f t="shared" si="107"/>
        <v>o</v>
      </c>
      <c r="K167" t="s">
        <v>6</v>
      </c>
      <c r="L167" t="s">
        <v>205</v>
      </c>
      <c r="M167" t="s">
        <v>51</v>
      </c>
      <c r="N167" t="str">
        <f t="shared" si="110"/>
        <v>s</v>
      </c>
      <c r="Q167" t="str">
        <f t="shared" si="108"/>
        <v/>
      </c>
      <c r="S167">
        <v>87</v>
      </c>
      <c r="U167" t="str">
        <f>IF(B167=1,MAX($U$2:$U166)+1,IF(AND($T167&lt;&gt;"",$T167=$T166),$U166,IF(B167="x",U166,"")))</f>
        <v/>
      </c>
      <c r="V167" t="str">
        <f>IF(C167=1,MAX($V$2:$V166)+1,IF(AND($T167&lt;&gt;"",$T167=$T166),$U166,IF(C167="x",V166,"")))</f>
        <v/>
      </c>
      <c r="W167" t="str">
        <f t="shared" si="82"/>
        <v>h</v>
      </c>
      <c r="X167">
        <v>16</v>
      </c>
      <c r="Y167" t="b">
        <f>IF(X167&lt;&gt;"",VLOOKUP(X167,game_rosters!$C$43:$E$64,3,FALSE))</f>
        <v>0</v>
      </c>
      <c r="Z167" cm="1">
        <f t="array" ref="Z167">IFERROR(IF(_xlfn._xlws.FILTER(game_rosters!$J:$J,(game_rosters!$G:$G=events!$AN167)*(game_rosters!$J:$J=events!$X167))&gt;0,1,""),"")</f>
        <v>1</v>
      </c>
      <c r="AA167">
        <f t="shared" si="83"/>
        <v>1087</v>
      </c>
      <c r="AB167" t="str">
        <f t="shared" si="84"/>
        <v/>
      </c>
      <c r="AC167">
        <f t="shared" si="81"/>
        <v>1087</v>
      </c>
      <c r="AD167" s="6">
        <v>1</v>
      </c>
      <c r="AE167" t="s">
        <v>745</v>
      </c>
      <c r="AF167" t="s">
        <v>900</v>
      </c>
      <c r="AG167" t="s">
        <v>756</v>
      </c>
      <c r="AH167" t="s">
        <v>756</v>
      </c>
      <c r="AI167" t="s">
        <v>367</v>
      </c>
      <c r="AJ167" t="str">
        <f t="shared" si="111"/>
        <v>o</v>
      </c>
      <c r="AK167" t="str">
        <f t="shared" si="111"/>
        <v>o</v>
      </c>
      <c r="AL167" t="str">
        <f t="shared" si="86"/>
        <v>o</v>
      </c>
      <c r="AN167" t="s">
        <v>861</v>
      </c>
      <c r="AO167" t="str">
        <f t="shared" si="87"/>
        <v>h</v>
      </c>
      <c r="AP167" t="str">
        <f t="shared" si="94"/>
        <v>o</v>
      </c>
      <c r="AQ167" t="str">
        <f t="shared" si="95"/>
        <v/>
      </c>
      <c r="AR167" t="str">
        <f t="shared" si="96"/>
        <v>Home</v>
      </c>
      <c r="AS167" t="str">
        <f t="shared" si="97"/>
        <v>h</v>
      </c>
      <c r="AT167" t="str">
        <f t="shared" si="98"/>
        <v>Offensive</v>
      </c>
      <c r="BA167" s="6">
        <f t="shared" si="88"/>
        <v>41</v>
      </c>
      <c r="BB167">
        <f t="shared" si="89"/>
        <v>18981</v>
      </c>
      <c r="BC167" t="str">
        <f t="shared" si="90"/>
        <v>Nelson</v>
      </c>
      <c r="BD167" t="str">
        <f t="shared" si="91"/>
        <v>Velodrome</v>
      </c>
      <c r="BE167" t="s">
        <v>6</v>
      </c>
      <c r="BF167" t="s">
        <v>205</v>
      </c>
      <c r="BG167" t="s">
        <v>51</v>
      </c>
      <c r="BI167" cm="1">
        <f t="array" ref="BI167">IFERROR(_xlfn._xlws.FILTER(shifts!A:A,(shifts!B:B=events!AD167)*(shifts!AG:AG&gt;=events!BK167)*(shifts!AH:AH&lt;=events!BL167)),BI166)</f>
        <v>6</v>
      </c>
      <c r="BJ167" s="15">
        <f t="shared" si="92"/>
        <v>0</v>
      </c>
      <c r="BK167">
        <f t="shared" si="99"/>
        <v>887</v>
      </c>
      <c r="BL167">
        <f t="shared" si="100"/>
        <v>887</v>
      </c>
      <c r="BM167" s="15">
        <f>SUMIFS(BJ$2:BJ167,K$2:K167,"=Intermission")+SUMIFS(BJ$2:BJ167,K$2:K167,"=Timeout")</f>
        <v>0</v>
      </c>
      <c r="BN167">
        <f t="shared" si="101"/>
        <v>0</v>
      </c>
      <c r="BO167" s="19">
        <f t="shared" si="102"/>
        <v>193</v>
      </c>
      <c r="BP167">
        <f t="shared" si="103"/>
        <v>188</v>
      </c>
      <c r="BQ167" s="17">
        <f t="shared" si="104"/>
        <v>193</v>
      </c>
      <c r="BR167" t="str">
        <f t="shared" si="105"/>
        <v>event_team_player_1</v>
      </c>
      <c r="BS167">
        <f>COUNTIFS(S$3:S167,"="&amp;S167,AI$3:AI167,"="&amp;AI167)</f>
        <v>1</v>
      </c>
      <c r="BT167" t="str">
        <f>IFERROR(VLOOKUP(BB167&amp;BU167&amp;X167,game_rosters!U:W,3,FALSE),"")</f>
        <v>P100164</v>
      </c>
      <c r="BU167" t="str">
        <f t="shared" si="106"/>
        <v>Nelson</v>
      </c>
    </row>
    <row r="168" spans="1:73" x14ac:dyDescent="0.2">
      <c r="A168">
        <f t="shared" si="93"/>
        <v>1</v>
      </c>
      <c r="E168" s="4"/>
      <c r="F168" s="43"/>
      <c r="G168" s="4"/>
      <c r="H168" s="46"/>
      <c r="J168" s="44" t="str">
        <f t="shared" si="107"/>
        <v>o</v>
      </c>
      <c r="K168" t="s">
        <v>6</v>
      </c>
      <c r="L168" t="s">
        <v>205</v>
      </c>
      <c r="M168" t="s">
        <v>51</v>
      </c>
      <c r="N168" t="str">
        <f t="shared" si="110"/>
        <v>s</v>
      </c>
      <c r="Q168" t="str">
        <f t="shared" si="108"/>
        <v/>
      </c>
      <c r="S168">
        <v>87</v>
      </c>
      <c r="U168" t="str">
        <f>IF(B168=1,MAX($U$2:$U167)+1,IF(AND($T168&lt;&gt;"",$T168=$T167),$U167,IF(B168="x",U167,"")))</f>
        <v/>
      </c>
      <c r="V168" t="str">
        <f>IF(C168=1,MAX($V$2:$V167)+1,IF(AND($T168&lt;&gt;"",$T168=$T167),$U167,IF(C168="x",V167,"")))</f>
        <v/>
      </c>
      <c r="W168" t="str">
        <f t="shared" si="82"/>
        <v>h</v>
      </c>
      <c r="X168">
        <v>39</v>
      </c>
      <c r="Y168" t="e">
        <f>IF(X168&lt;&gt;"",VLOOKUP(X168,game_rosters!$C$43:$E$64,3,FALSE))</f>
        <v>#N/A</v>
      </c>
      <c r="Z168" t="str" cm="1">
        <f t="array" ref="Z168">IFERROR(IF(_xlfn._xlws.FILTER(game_rosters!$J:$J,(game_rosters!$G:$G=events!$AN168)*(game_rosters!$J:$J=events!$X168))&gt;0,1,""),"")</f>
        <v/>
      </c>
      <c r="AA168">
        <f t="shared" si="83"/>
        <v>1087</v>
      </c>
      <c r="AB168" t="str">
        <f t="shared" si="84"/>
        <v/>
      </c>
      <c r="AC168">
        <f t="shared" si="81"/>
        <v>1087</v>
      </c>
      <c r="AD168" s="6">
        <v>1</v>
      </c>
      <c r="AE168" t="s">
        <v>745</v>
      </c>
      <c r="AF168" t="s">
        <v>900</v>
      </c>
      <c r="AG168" t="s">
        <v>756</v>
      </c>
      <c r="AH168" t="s">
        <v>756</v>
      </c>
      <c r="AI168" t="s">
        <v>368</v>
      </c>
      <c r="AJ168" t="str">
        <f t="shared" si="111"/>
        <v>o</v>
      </c>
      <c r="AK168" t="str">
        <f t="shared" si="111"/>
        <v>o</v>
      </c>
      <c r="AL168" t="str">
        <f t="shared" si="86"/>
        <v>o</v>
      </c>
      <c r="AN168" t="s">
        <v>861</v>
      </c>
      <c r="AO168" t="str">
        <f t="shared" si="87"/>
        <v>h</v>
      </c>
      <c r="AP168" t="str">
        <f t="shared" si="94"/>
        <v>o</v>
      </c>
      <c r="AQ168" t="str">
        <f t="shared" si="95"/>
        <v/>
      </c>
      <c r="AR168" t="str">
        <f t="shared" si="96"/>
        <v>Home</v>
      </c>
      <c r="AS168" t="str">
        <f t="shared" si="97"/>
        <v>h</v>
      </c>
      <c r="AT168" t="str">
        <f t="shared" si="98"/>
        <v>Defensive</v>
      </c>
      <c r="BA168" s="6">
        <f t="shared" si="88"/>
        <v>41</v>
      </c>
      <c r="BB168">
        <f t="shared" si="89"/>
        <v>18981</v>
      </c>
      <c r="BC168" t="str">
        <f t="shared" si="90"/>
        <v>Nelson</v>
      </c>
      <c r="BD168" t="str">
        <f t="shared" si="91"/>
        <v>Velodrome</v>
      </c>
      <c r="BE168" t="s">
        <v>6</v>
      </c>
      <c r="BF168" t="s">
        <v>205</v>
      </c>
      <c r="BG168" t="s">
        <v>51</v>
      </c>
      <c r="BI168" cm="1">
        <f t="array" ref="BI168">IFERROR(_xlfn._xlws.FILTER(shifts!A:A,(shifts!B:B=events!AD168)*(shifts!AG:AG&gt;=events!BK168)*(shifts!AH:AH&lt;=events!BL168)),BI167)</f>
        <v>6</v>
      </c>
      <c r="BJ168" s="15">
        <f t="shared" si="92"/>
        <v>0</v>
      </c>
      <c r="BK168">
        <f t="shared" si="99"/>
        <v>887</v>
      </c>
      <c r="BL168">
        <f t="shared" si="100"/>
        <v>887</v>
      </c>
      <c r="BM168" s="15">
        <f>SUMIFS(BJ$2:BJ168,K$2:K168,"=Intermission")+SUMIFS(BJ$2:BJ168,K$2:K168,"=Timeout")</f>
        <v>0</v>
      </c>
      <c r="BN168">
        <f t="shared" si="101"/>
        <v>0</v>
      </c>
      <c r="BO168" s="19">
        <f t="shared" si="102"/>
        <v>193</v>
      </c>
      <c r="BP168">
        <f t="shared" si="103"/>
        <v>188</v>
      </c>
      <c r="BQ168" s="17">
        <f t="shared" si="104"/>
        <v>193</v>
      </c>
      <c r="BR168" t="str">
        <f t="shared" si="105"/>
        <v>opp_team_player_1</v>
      </c>
      <c r="BS168">
        <f>COUNTIFS(S$3:S168,"="&amp;S168,AI$3:AI168,"="&amp;AI168)</f>
        <v>1</v>
      </c>
      <c r="BT168" t="str">
        <f>IFERROR(VLOOKUP(BB168&amp;BU168&amp;X168,game_rosters!U:W,3,FALSE),"")</f>
        <v>P100016</v>
      </c>
      <c r="BU168" t="str">
        <f t="shared" si="106"/>
        <v>Velodrome</v>
      </c>
    </row>
    <row r="169" spans="1:73" x14ac:dyDescent="0.2">
      <c r="A169">
        <f t="shared" si="93"/>
        <v>1</v>
      </c>
      <c r="E169" s="4"/>
      <c r="F169" s="43"/>
      <c r="G169" s="4"/>
      <c r="H169" s="46"/>
      <c r="J169" s="44" t="str">
        <f t="shared" si="107"/>
        <v>o</v>
      </c>
      <c r="K169" t="s">
        <v>6</v>
      </c>
      <c r="L169" t="s">
        <v>205</v>
      </c>
      <c r="M169" t="s">
        <v>51</v>
      </c>
      <c r="N169" t="str">
        <f t="shared" si="110"/>
        <v>s</v>
      </c>
      <c r="Q169" t="str">
        <f t="shared" si="108"/>
        <v/>
      </c>
      <c r="S169">
        <v>87</v>
      </c>
      <c r="U169" t="str">
        <f>IF(B169=1,MAX($U$2:$U168)+1,IF(AND($T169&lt;&gt;"",$T169=$T168),$U168,IF(B169="x",U168,"")))</f>
        <v/>
      </c>
      <c r="V169" t="str">
        <f>IF(C169=1,MAX($V$2:$V168)+1,IF(AND($T169&lt;&gt;"",$T169=$T168),$U168,IF(C169="x",V168,"")))</f>
        <v/>
      </c>
      <c r="W169" t="str">
        <f t="shared" si="82"/>
        <v>h</v>
      </c>
      <c r="X169">
        <v>9</v>
      </c>
      <c r="Y169" t="e">
        <f>IF(X169&lt;&gt;"",VLOOKUP(X169,game_rosters!$C$43:$E$64,3,FALSE))</f>
        <v>#N/A</v>
      </c>
      <c r="Z169" t="str" cm="1">
        <f t="array" ref="Z169">IFERROR(IF(_xlfn._xlws.FILTER(game_rosters!$J:$J,(game_rosters!$G:$G=events!$AN169)*(game_rosters!$J:$J=events!$X169))&gt;0,1,""),"")</f>
        <v/>
      </c>
      <c r="AA169">
        <f t="shared" si="83"/>
        <v>1087</v>
      </c>
      <c r="AB169" t="str">
        <f t="shared" si="84"/>
        <v/>
      </c>
      <c r="AC169">
        <f t="shared" si="81"/>
        <v>1087</v>
      </c>
      <c r="AD169" s="6">
        <v>1</v>
      </c>
      <c r="AE169" t="s">
        <v>745</v>
      </c>
      <c r="AF169" t="s">
        <v>900</v>
      </c>
      <c r="AG169" t="s">
        <v>756</v>
      </c>
      <c r="AH169" t="s">
        <v>756</v>
      </c>
      <c r="AI169" t="s">
        <v>368</v>
      </c>
      <c r="AJ169" t="str">
        <f t="shared" si="111"/>
        <v>o</v>
      </c>
      <c r="AK169" t="str">
        <f t="shared" si="111"/>
        <v>o</v>
      </c>
      <c r="AL169" t="str">
        <f t="shared" si="86"/>
        <v>o</v>
      </c>
      <c r="AN169" t="s">
        <v>861</v>
      </c>
      <c r="AO169" t="str">
        <f t="shared" si="87"/>
        <v>h</v>
      </c>
      <c r="AP169" t="str">
        <f t="shared" si="94"/>
        <v>o</v>
      </c>
      <c r="AQ169" t="str">
        <f t="shared" si="95"/>
        <v/>
      </c>
      <c r="AR169" t="str">
        <f t="shared" si="96"/>
        <v>Home</v>
      </c>
      <c r="AS169" t="str">
        <f t="shared" si="97"/>
        <v>h</v>
      </c>
      <c r="AT169" t="str">
        <f t="shared" si="98"/>
        <v>Defensive</v>
      </c>
      <c r="BA169" s="6">
        <f t="shared" si="88"/>
        <v>41</v>
      </c>
      <c r="BB169">
        <f t="shared" si="89"/>
        <v>18981</v>
      </c>
      <c r="BC169" t="str">
        <f t="shared" si="90"/>
        <v>Nelson</v>
      </c>
      <c r="BD169" t="str">
        <f t="shared" si="91"/>
        <v>Velodrome</v>
      </c>
      <c r="BE169" t="s">
        <v>6</v>
      </c>
      <c r="BF169" t="s">
        <v>205</v>
      </c>
      <c r="BG169" t="s">
        <v>51</v>
      </c>
      <c r="BI169" cm="1">
        <f t="array" ref="BI169">IFERROR(_xlfn._xlws.FILTER(shifts!A:A,(shifts!B:B=events!AD169)*(shifts!AG:AG&gt;=events!BK169)*(shifts!AH:AH&lt;=events!BL169)),BI168)</f>
        <v>6</v>
      </c>
      <c r="BJ169" s="15">
        <f t="shared" si="92"/>
        <v>0</v>
      </c>
      <c r="BK169">
        <f t="shared" si="99"/>
        <v>887</v>
      </c>
      <c r="BL169">
        <f t="shared" si="100"/>
        <v>887</v>
      </c>
      <c r="BM169" s="15">
        <f>SUMIFS(BJ$2:BJ169,K$2:K169,"=Intermission")+SUMIFS(BJ$2:BJ169,K$2:K169,"=Timeout")</f>
        <v>0</v>
      </c>
      <c r="BN169">
        <f t="shared" si="101"/>
        <v>0</v>
      </c>
      <c r="BO169" s="19">
        <f t="shared" si="102"/>
        <v>193</v>
      </c>
      <c r="BP169">
        <f t="shared" si="103"/>
        <v>188</v>
      </c>
      <c r="BQ169" s="17">
        <f t="shared" si="104"/>
        <v>193</v>
      </c>
      <c r="BR169" t="str">
        <f t="shared" si="105"/>
        <v>opp_team_player_2</v>
      </c>
      <c r="BS169">
        <f>COUNTIFS(S$3:S169,"="&amp;S169,AI$3:AI169,"="&amp;AI169)</f>
        <v>2</v>
      </c>
      <c r="BT169" t="str">
        <f>IFERROR(VLOOKUP(BB169&amp;BU169&amp;X169,game_rosters!U:W,3,FALSE),"")</f>
        <v>P100105</v>
      </c>
      <c r="BU169" t="str">
        <f t="shared" si="106"/>
        <v>Velodrome</v>
      </c>
    </row>
    <row r="170" spans="1:73" x14ac:dyDescent="0.2">
      <c r="A170">
        <f t="shared" si="93"/>
        <v>1</v>
      </c>
      <c r="E170" s="4"/>
      <c r="F170" s="43"/>
      <c r="G170" s="4"/>
      <c r="H170" s="46"/>
      <c r="J170" s="44" t="str">
        <f t="shared" si="107"/>
        <v>d</v>
      </c>
      <c r="K170" t="s">
        <v>15</v>
      </c>
      <c r="L170" t="s">
        <v>189</v>
      </c>
      <c r="M170" t="s">
        <v>94</v>
      </c>
      <c r="N170" t="str">
        <f t="shared" si="110"/>
        <v/>
      </c>
      <c r="Q170" t="str">
        <f t="shared" si="108"/>
        <v/>
      </c>
      <c r="S170">
        <v>88</v>
      </c>
      <c r="U170" t="str">
        <f>IF(B170=1,MAX($U$2:$U169)+1,IF(AND($T170&lt;&gt;"",$T170=$T169),$U169,IF(B170="x",U169,"")))</f>
        <v/>
      </c>
      <c r="V170" t="str">
        <f>IF(C170=1,MAX($V$2:$V169)+1,IF(AND($T170&lt;&gt;"",$T170=$T169),$U169,IF(C170="x",V169,"")))</f>
        <v/>
      </c>
      <c r="W170" t="str">
        <f t="shared" si="82"/>
        <v>a</v>
      </c>
      <c r="X170">
        <v>39</v>
      </c>
      <c r="Y170" t="e">
        <f>IF(X170&lt;&gt;"",VLOOKUP(X170,game_rosters!$C$43:$E$64,3,FALSE))</f>
        <v>#N/A</v>
      </c>
      <c r="Z170" cm="1">
        <f t="array" ref="Z170">IFERROR(IF(_xlfn._xlws.FILTER(game_rosters!$J:$J,(game_rosters!$G:$G=events!$AN170)*(game_rosters!$J:$J=events!$X170))&gt;0,1,""),"")</f>
        <v>1</v>
      </c>
      <c r="AA170">
        <f t="shared" si="83"/>
        <v>1088</v>
      </c>
      <c r="AB170" t="str">
        <f t="shared" si="84"/>
        <v/>
      </c>
      <c r="AC170">
        <f t="shared" si="81"/>
        <v>1088</v>
      </c>
      <c r="AD170" s="6">
        <v>1</v>
      </c>
      <c r="AE170" t="s">
        <v>745</v>
      </c>
      <c r="AF170" t="s">
        <v>900</v>
      </c>
      <c r="AG170" t="s">
        <v>756</v>
      </c>
      <c r="AH170" t="s">
        <v>756</v>
      </c>
      <c r="AI170" t="s">
        <v>367</v>
      </c>
      <c r="AJ170" t="str">
        <f t="shared" si="111"/>
        <v>d</v>
      </c>
      <c r="AK170" t="str">
        <f t="shared" si="111"/>
        <v>d</v>
      </c>
      <c r="AL170" t="str">
        <f t="shared" si="86"/>
        <v>o</v>
      </c>
      <c r="AN170" t="s">
        <v>862</v>
      </c>
      <c r="AO170" t="str">
        <f t="shared" si="87"/>
        <v>a</v>
      </c>
      <c r="AP170" t="str">
        <f t="shared" si="94"/>
        <v>o</v>
      </c>
      <c r="AQ170" t="str">
        <f t="shared" si="95"/>
        <v/>
      </c>
      <c r="AR170" t="str">
        <f t="shared" si="96"/>
        <v>Away</v>
      </c>
      <c r="AS170" t="str">
        <f t="shared" si="97"/>
        <v>a</v>
      </c>
      <c r="AT170" t="str">
        <f t="shared" si="98"/>
        <v>Defensive</v>
      </c>
      <c r="BA170" s="6">
        <f t="shared" si="88"/>
        <v>41</v>
      </c>
      <c r="BB170">
        <f t="shared" si="89"/>
        <v>18981</v>
      </c>
      <c r="BC170" t="str">
        <f t="shared" si="90"/>
        <v>Nelson</v>
      </c>
      <c r="BD170" t="str">
        <f t="shared" si="91"/>
        <v>Velodrome</v>
      </c>
      <c r="BE170" t="s">
        <v>15</v>
      </c>
      <c r="BF170" t="s">
        <v>189</v>
      </c>
      <c r="BG170" t="s">
        <v>94</v>
      </c>
      <c r="BI170" cm="1">
        <f t="array" ref="BI170">IFERROR(_xlfn._xlws.FILTER(shifts!A:A,(shifts!B:B=events!AD170)*(shifts!AG:AG&gt;=events!BK170)*(shifts!AH:AH&lt;=events!BL170)),BI169)</f>
        <v>6</v>
      </c>
      <c r="BJ170" s="15">
        <f t="shared" si="92"/>
        <v>0</v>
      </c>
      <c r="BK170">
        <f t="shared" si="99"/>
        <v>887</v>
      </c>
      <c r="BL170">
        <f t="shared" si="100"/>
        <v>887</v>
      </c>
      <c r="BM170" s="15">
        <f>SUMIFS(BJ$2:BJ170,K$2:K170,"=Intermission")+SUMIFS(BJ$2:BJ170,K$2:K170,"=Timeout")</f>
        <v>0</v>
      </c>
      <c r="BN170">
        <f t="shared" si="101"/>
        <v>0</v>
      </c>
      <c r="BO170" s="19">
        <f t="shared" si="102"/>
        <v>193</v>
      </c>
      <c r="BP170">
        <f t="shared" si="103"/>
        <v>188</v>
      </c>
      <c r="BQ170" s="17">
        <f t="shared" si="104"/>
        <v>193</v>
      </c>
      <c r="BR170" t="str">
        <f t="shared" si="105"/>
        <v>event_team_player_1</v>
      </c>
      <c r="BS170">
        <f>COUNTIFS(S$3:S170,"="&amp;S170,AI$3:AI170,"="&amp;AI170)</f>
        <v>1</v>
      </c>
      <c r="BT170" t="str">
        <f>IFERROR(VLOOKUP(BB170&amp;BU170&amp;X170,game_rosters!U:W,3,FALSE),"")</f>
        <v>P100016</v>
      </c>
      <c r="BU170" t="str">
        <f t="shared" si="106"/>
        <v>Velodrome</v>
      </c>
    </row>
    <row r="171" spans="1:73" x14ac:dyDescent="0.2">
      <c r="A171">
        <f t="shared" si="93"/>
        <v>1</v>
      </c>
      <c r="E171" s="4"/>
      <c r="F171" s="43"/>
      <c r="G171" s="4"/>
      <c r="H171" s="46"/>
      <c r="J171" s="44" t="str">
        <f t="shared" si="107"/>
        <v>d</v>
      </c>
      <c r="K171" t="s">
        <v>15</v>
      </c>
      <c r="L171" t="s">
        <v>189</v>
      </c>
      <c r="M171" t="s">
        <v>94</v>
      </c>
      <c r="N171" t="str">
        <f t="shared" si="110"/>
        <v/>
      </c>
      <c r="Q171" t="str">
        <f t="shared" si="108"/>
        <v/>
      </c>
      <c r="S171">
        <v>88</v>
      </c>
      <c r="U171" t="str">
        <f>IF(B171=1,MAX($U$2:$U170)+1,IF(AND($T171&lt;&gt;"",$T171=$T170),$U170,IF(B171="x",U170,"")))</f>
        <v/>
      </c>
      <c r="V171" t="str">
        <f>IF(C171=1,MAX($V$2:$V170)+1,IF(AND($T171&lt;&gt;"",$T171=$T170),$U170,IF(C171="x",V170,"")))</f>
        <v/>
      </c>
      <c r="W171" t="str">
        <f t="shared" si="82"/>
        <v>a</v>
      </c>
      <c r="X171">
        <v>9</v>
      </c>
      <c r="Y171" t="e">
        <f>IF(X171&lt;&gt;"",VLOOKUP(X171,game_rosters!$C$43:$E$64,3,FALSE))</f>
        <v>#N/A</v>
      </c>
      <c r="Z171" cm="1">
        <f t="array" ref="Z171">IFERROR(IF(_xlfn._xlws.FILTER(game_rosters!$J:$J,(game_rosters!$G:$G=events!$AN171)*(game_rosters!$J:$J=events!$X171))&gt;0,1,""),"")</f>
        <v>1</v>
      </c>
      <c r="AA171">
        <f t="shared" si="83"/>
        <v>1088</v>
      </c>
      <c r="AB171" t="str">
        <f t="shared" si="84"/>
        <v/>
      </c>
      <c r="AC171">
        <f t="shared" si="81"/>
        <v>1088</v>
      </c>
      <c r="AD171" s="6">
        <v>1</v>
      </c>
      <c r="AE171" t="s">
        <v>745</v>
      </c>
      <c r="AF171" t="s">
        <v>900</v>
      </c>
      <c r="AG171" t="s">
        <v>756</v>
      </c>
      <c r="AH171" t="s">
        <v>756</v>
      </c>
      <c r="AI171" t="s">
        <v>367</v>
      </c>
      <c r="AJ171" t="str">
        <f t="shared" si="111"/>
        <v>d</v>
      </c>
      <c r="AK171" t="str">
        <f t="shared" si="111"/>
        <v>d</v>
      </c>
      <c r="AL171" t="str">
        <f t="shared" si="86"/>
        <v>o</v>
      </c>
      <c r="AN171" t="s">
        <v>862</v>
      </c>
      <c r="AO171" t="str">
        <f t="shared" si="87"/>
        <v>a</v>
      </c>
      <c r="AP171" t="str">
        <f t="shared" si="94"/>
        <v>o</v>
      </c>
      <c r="AQ171" t="str">
        <f t="shared" si="95"/>
        <v/>
      </c>
      <c r="AR171" t="str">
        <f t="shared" si="96"/>
        <v>Away</v>
      </c>
      <c r="AS171" t="str">
        <f t="shared" si="97"/>
        <v>a</v>
      </c>
      <c r="AT171" t="str">
        <f t="shared" si="98"/>
        <v>Defensive</v>
      </c>
      <c r="BA171" s="6">
        <f t="shared" si="88"/>
        <v>41</v>
      </c>
      <c r="BB171">
        <f t="shared" si="89"/>
        <v>18981</v>
      </c>
      <c r="BC171" t="str">
        <f t="shared" si="90"/>
        <v>Nelson</v>
      </c>
      <c r="BD171" t="str">
        <f t="shared" si="91"/>
        <v>Velodrome</v>
      </c>
      <c r="BE171" t="s">
        <v>15</v>
      </c>
      <c r="BF171" t="s">
        <v>189</v>
      </c>
      <c r="BG171" t="s">
        <v>94</v>
      </c>
      <c r="BI171" cm="1">
        <f t="array" ref="BI171">IFERROR(_xlfn._xlws.FILTER(shifts!A:A,(shifts!B:B=events!AD171)*(shifts!AG:AG&gt;=events!BK171)*(shifts!AH:AH&lt;=events!BL171)),BI170)</f>
        <v>6</v>
      </c>
      <c r="BJ171" s="15">
        <f t="shared" si="92"/>
        <v>0</v>
      </c>
      <c r="BK171">
        <f t="shared" si="99"/>
        <v>887</v>
      </c>
      <c r="BL171">
        <f t="shared" si="100"/>
        <v>887</v>
      </c>
      <c r="BM171" s="15">
        <f>SUMIFS(BJ$2:BJ171,K$2:K171,"=Intermission")+SUMIFS(BJ$2:BJ171,K$2:K171,"=Timeout")</f>
        <v>0</v>
      </c>
      <c r="BN171">
        <f t="shared" si="101"/>
        <v>0</v>
      </c>
      <c r="BO171" s="19">
        <f t="shared" si="102"/>
        <v>193</v>
      </c>
      <c r="BP171">
        <f t="shared" si="103"/>
        <v>188</v>
      </c>
      <c r="BQ171" s="17">
        <f t="shared" si="104"/>
        <v>193</v>
      </c>
      <c r="BR171" t="str">
        <f t="shared" si="105"/>
        <v>event_team_player_2</v>
      </c>
      <c r="BS171">
        <f>COUNTIFS(S$3:S171,"="&amp;S171,AI$3:AI171,"="&amp;AI171)</f>
        <v>2</v>
      </c>
      <c r="BT171" t="str">
        <f>IFERROR(VLOOKUP(BB171&amp;BU171&amp;X171,game_rosters!U:W,3,FALSE),"")</f>
        <v>P100105</v>
      </c>
      <c r="BU171" t="str">
        <f t="shared" si="106"/>
        <v>Velodrome</v>
      </c>
    </row>
    <row r="172" spans="1:73" x14ac:dyDescent="0.2">
      <c r="A172">
        <f t="shared" si="93"/>
        <v>1</v>
      </c>
      <c r="E172" s="4"/>
      <c r="F172" s="43"/>
      <c r="G172" s="4"/>
      <c r="H172" s="46"/>
      <c r="J172" s="44" t="str">
        <f t="shared" si="107"/>
        <v>d</v>
      </c>
      <c r="K172" t="s">
        <v>15</v>
      </c>
      <c r="L172" t="s">
        <v>189</v>
      </c>
      <c r="M172" t="s">
        <v>94</v>
      </c>
      <c r="N172" t="str">
        <f t="shared" si="110"/>
        <v/>
      </c>
      <c r="Q172" t="str">
        <f t="shared" si="108"/>
        <v/>
      </c>
      <c r="S172">
        <v>88</v>
      </c>
      <c r="U172" t="str">
        <f>IF(B172=1,MAX($U$2:$U171)+1,IF(AND($T172&lt;&gt;"",$T172=$T171),$U171,IF(B172="x",U171,"")))</f>
        <v/>
      </c>
      <c r="V172" t="str">
        <f>IF(C172=1,MAX($V$2:$V171)+1,IF(AND($T172&lt;&gt;"",$T172=$T171),$U171,IF(C172="x",V171,"")))</f>
        <v/>
      </c>
      <c r="W172" t="str">
        <f t="shared" si="82"/>
        <v>a</v>
      </c>
      <c r="X172">
        <v>16</v>
      </c>
      <c r="Y172" t="b">
        <f>IF(X172&lt;&gt;"",VLOOKUP(X172,game_rosters!$C$43:$E$64,3,FALSE))</f>
        <v>0</v>
      </c>
      <c r="Z172" t="str" cm="1">
        <f t="array" ref="Z172">IFERROR(IF(_xlfn._xlws.FILTER(game_rosters!$J:$J,(game_rosters!$G:$G=events!$AN172)*(game_rosters!$J:$J=events!$X172))&gt;0,1,""),"")</f>
        <v/>
      </c>
      <c r="AA172">
        <f t="shared" si="83"/>
        <v>1088</v>
      </c>
      <c r="AB172" t="str">
        <f t="shared" si="84"/>
        <v/>
      </c>
      <c r="AC172">
        <f t="shared" si="81"/>
        <v>1088</v>
      </c>
      <c r="AD172" s="6">
        <v>1</v>
      </c>
      <c r="AE172" t="s">
        <v>745</v>
      </c>
      <c r="AF172" t="s">
        <v>900</v>
      </c>
      <c r="AG172" t="s">
        <v>756</v>
      </c>
      <c r="AH172" t="s">
        <v>756</v>
      </c>
      <c r="AI172" t="s">
        <v>368</v>
      </c>
      <c r="AJ172" t="str">
        <f t="shared" si="111"/>
        <v>d</v>
      </c>
      <c r="AK172" t="str">
        <f t="shared" si="111"/>
        <v>d</v>
      </c>
      <c r="AL172" t="str">
        <f t="shared" si="86"/>
        <v>o</v>
      </c>
      <c r="AN172" t="s">
        <v>862</v>
      </c>
      <c r="AO172" t="str">
        <f t="shared" si="87"/>
        <v>a</v>
      </c>
      <c r="AP172" t="str">
        <f t="shared" si="94"/>
        <v>o</v>
      </c>
      <c r="AQ172" t="str">
        <f t="shared" si="95"/>
        <v/>
      </c>
      <c r="AR172" t="str">
        <f t="shared" si="96"/>
        <v>Away</v>
      </c>
      <c r="AS172" t="str">
        <f t="shared" si="97"/>
        <v>a</v>
      </c>
      <c r="AT172" t="str">
        <f t="shared" si="98"/>
        <v>Offensive</v>
      </c>
      <c r="BA172" s="6">
        <f t="shared" si="88"/>
        <v>41</v>
      </c>
      <c r="BB172">
        <f t="shared" si="89"/>
        <v>18981</v>
      </c>
      <c r="BC172" t="str">
        <f t="shared" si="90"/>
        <v>Nelson</v>
      </c>
      <c r="BD172" t="str">
        <f t="shared" si="91"/>
        <v>Velodrome</v>
      </c>
      <c r="BE172" t="s">
        <v>15</v>
      </c>
      <c r="BF172" t="s">
        <v>189</v>
      </c>
      <c r="BG172" t="s">
        <v>94</v>
      </c>
      <c r="BI172" cm="1">
        <f t="array" ref="BI172">IFERROR(_xlfn._xlws.FILTER(shifts!A:A,(shifts!B:B=events!AD172)*(shifts!AG:AG&gt;=events!BK172)*(shifts!AH:AH&lt;=events!BL172)),BI171)</f>
        <v>6</v>
      </c>
      <c r="BJ172" s="15">
        <f t="shared" si="92"/>
        <v>0</v>
      </c>
      <c r="BK172">
        <f t="shared" si="99"/>
        <v>887</v>
      </c>
      <c r="BL172">
        <f t="shared" si="100"/>
        <v>887</v>
      </c>
      <c r="BM172" s="15">
        <f>SUMIFS(BJ$2:BJ172,K$2:K172,"=Intermission")+SUMIFS(BJ$2:BJ172,K$2:K172,"=Timeout")</f>
        <v>0</v>
      </c>
      <c r="BN172">
        <f t="shared" si="101"/>
        <v>0</v>
      </c>
      <c r="BO172" s="19">
        <f t="shared" si="102"/>
        <v>193</v>
      </c>
      <c r="BP172">
        <f t="shared" si="103"/>
        <v>188</v>
      </c>
      <c r="BQ172" s="17">
        <f t="shared" si="104"/>
        <v>193</v>
      </c>
      <c r="BR172" t="str">
        <f t="shared" si="105"/>
        <v>opp_team_player_1</v>
      </c>
      <c r="BS172">
        <f>COUNTIFS(S$3:S172,"="&amp;S172,AI$3:AI172,"="&amp;AI172)</f>
        <v>1</v>
      </c>
      <c r="BT172" t="str">
        <f>IFERROR(VLOOKUP(BB172&amp;BU172&amp;X172,game_rosters!U:W,3,FALSE),"")</f>
        <v>P100164</v>
      </c>
      <c r="BU172" t="str">
        <f t="shared" si="106"/>
        <v>Nelson</v>
      </c>
    </row>
    <row r="173" spans="1:73" x14ac:dyDescent="0.2">
      <c r="A173">
        <f t="shared" si="93"/>
        <v>1</v>
      </c>
      <c r="E173" s="4"/>
      <c r="F173" s="43"/>
      <c r="G173" s="4"/>
      <c r="H173" s="46"/>
      <c r="J173" s="44" t="str">
        <f t="shared" si="107"/>
        <v>d</v>
      </c>
      <c r="K173" t="s">
        <v>11</v>
      </c>
      <c r="L173" t="s">
        <v>187</v>
      </c>
      <c r="M173" t="s">
        <v>108</v>
      </c>
      <c r="N173" t="str">
        <f t="shared" si="110"/>
        <v/>
      </c>
      <c r="Q173" t="str">
        <f t="shared" si="108"/>
        <v/>
      </c>
      <c r="S173">
        <v>89</v>
      </c>
      <c r="U173" t="str">
        <f>IF(B173=1,MAX($U$2:$U172)+1,IF(AND($T173&lt;&gt;"",$T173=$T172),$U172,IF(B173="x",U172,"")))</f>
        <v/>
      </c>
      <c r="V173" t="str">
        <f>IF(C173=1,MAX($V$2:$V172)+1,IF(AND($T173&lt;&gt;"",$T173=$T172),$U172,IF(C173="x",V172,"")))</f>
        <v/>
      </c>
      <c r="W173" t="str">
        <f t="shared" si="82"/>
        <v>a</v>
      </c>
      <c r="X173">
        <v>39</v>
      </c>
      <c r="Y173" t="e">
        <f>IF(X173&lt;&gt;"",VLOOKUP(X173,game_rosters!$C$43:$E$64,3,FALSE))</f>
        <v>#N/A</v>
      </c>
      <c r="Z173" cm="1">
        <f t="array" ref="Z173">IFERROR(IF(_xlfn._xlws.FILTER(game_rosters!$J:$J,(game_rosters!$G:$G=events!$AN173)*(game_rosters!$J:$J=events!$X173))&gt;0,1,""),"")</f>
        <v>1</v>
      </c>
      <c r="AA173">
        <f t="shared" si="83"/>
        <v>1089</v>
      </c>
      <c r="AB173" t="str">
        <f t="shared" si="84"/>
        <v/>
      </c>
      <c r="AC173">
        <f t="shared" si="81"/>
        <v>1089</v>
      </c>
      <c r="AD173" s="6">
        <v>1</v>
      </c>
      <c r="AE173" t="s">
        <v>745</v>
      </c>
      <c r="AF173" t="s">
        <v>900</v>
      </c>
      <c r="AG173" t="s">
        <v>756</v>
      </c>
      <c r="AH173" t="s">
        <v>756</v>
      </c>
      <c r="AI173" t="s">
        <v>367</v>
      </c>
      <c r="AJ173" t="str">
        <f t="shared" si="111"/>
        <v>d</v>
      </c>
      <c r="AK173" t="str">
        <f t="shared" si="111"/>
        <v>d</v>
      </c>
      <c r="AL173" t="str">
        <f t="shared" si="86"/>
        <v>o</v>
      </c>
      <c r="AN173" t="s">
        <v>862</v>
      </c>
      <c r="AO173" t="str">
        <f t="shared" si="87"/>
        <v>a</v>
      </c>
      <c r="AP173" t="str">
        <f t="shared" si="94"/>
        <v>o</v>
      </c>
      <c r="AQ173" t="str">
        <f t="shared" si="95"/>
        <v/>
      </c>
      <c r="AR173" t="str">
        <f t="shared" si="96"/>
        <v>Away</v>
      </c>
      <c r="AS173" t="str">
        <f t="shared" si="97"/>
        <v>a</v>
      </c>
      <c r="AT173" t="str">
        <f t="shared" si="98"/>
        <v/>
      </c>
      <c r="BA173" s="6">
        <f t="shared" si="88"/>
        <v>41</v>
      </c>
      <c r="BB173">
        <f t="shared" si="89"/>
        <v>18981</v>
      </c>
      <c r="BC173" t="str">
        <f t="shared" si="90"/>
        <v>Nelson</v>
      </c>
      <c r="BD173" t="str">
        <f t="shared" si="91"/>
        <v>Velodrome</v>
      </c>
      <c r="BE173" t="s">
        <v>11</v>
      </c>
      <c r="BF173" t="s">
        <v>187</v>
      </c>
      <c r="BG173" t="s">
        <v>108</v>
      </c>
      <c r="BI173" cm="1">
        <f t="array" ref="BI173">IFERROR(_xlfn._xlws.FILTER(shifts!A:A,(shifts!B:B=events!AD173)*(shifts!AG:AG&gt;=events!BK173)*(shifts!AH:AH&lt;=events!BL173)),BI172)</f>
        <v>6</v>
      </c>
      <c r="BJ173" s="15">
        <f t="shared" si="92"/>
        <v>0</v>
      </c>
      <c r="BK173">
        <f t="shared" si="99"/>
        <v>887</v>
      </c>
      <c r="BL173">
        <f t="shared" si="100"/>
        <v>887</v>
      </c>
      <c r="BM173" s="15">
        <f>SUMIFS(BJ$2:BJ173,K$2:K173,"=Intermission")+SUMIFS(BJ$2:BJ173,K$2:K173,"=Timeout")</f>
        <v>0</v>
      </c>
      <c r="BN173">
        <f t="shared" si="101"/>
        <v>0</v>
      </c>
      <c r="BO173" s="19">
        <f t="shared" si="102"/>
        <v>193</v>
      </c>
      <c r="BP173">
        <f t="shared" si="103"/>
        <v>188</v>
      </c>
      <c r="BQ173" s="17">
        <f t="shared" si="104"/>
        <v>193</v>
      </c>
      <c r="BR173" t="str">
        <f t="shared" si="105"/>
        <v>event_team_player_1</v>
      </c>
      <c r="BS173">
        <f>COUNTIFS(S$3:S173,"="&amp;S173,AI$3:AI173,"="&amp;AI173)</f>
        <v>1</v>
      </c>
      <c r="BT173" t="str">
        <f>IFERROR(VLOOKUP(BB173&amp;BU173&amp;X173,game_rosters!U:W,3,FALSE),"")</f>
        <v>P100016</v>
      </c>
      <c r="BU173" t="str">
        <f t="shared" si="106"/>
        <v>Velodrome</v>
      </c>
    </row>
    <row r="174" spans="1:73" x14ac:dyDescent="0.2">
      <c r="A174">
        <f t="shared" si="93"/>
        <v>1</v>
      </c>
      <c r="E174" s="4"/>
      <c r="F174" s="43"/>
      <c r="G174" s="4"/>
      <c r="H174" s="46"/>
      <c r="J174" s="44" t="str">
        <f t="shared" si="107"/>
        <v>d</v>
      </c>
      <c r="K174" t="s">
        <v>241</v>
      </c>
      <c r="L174" t="s">
        <v>756</v>
      </c>
      <c r="M174" t="s">
        <v>756</v>
      </c>
      <c r="N174" t="str">
        <f t="shared" si="110"/>
        <v/>
      </c>
      <c r="Q174" t="str">
        <f t="shared" si="108"/>
        <v/>
      </c>
      <c r="S174">
        <v>90</v>
      </c>
      <c r="U174" t="str">
        <f>IF(B174=1,MAX($U$2:$U173)+1,IF(AND($T174&lt;&gt;"",$T174=$T173),$U173,IF(B174="x",U173,"")))</f>
        <v/>
      </c>
      <c r="V174" t="str">
        <f>IF(C174=1,MAX($V$2:$V173)+1,IF(AND($T174&lt;&gt;"",$T174=$T173),$U173,IF(C174="x",V173,"")))</f>
        <v/>
      </c>
      <c r="W174" t="str">
        <f t="shared" si="82"/>
        <v>a</v>
      </c>
      <c r="X174">
        <v>39</v>
      </c>
      <c r="Y174" t="e">
        <f>IF(X174&lt;&gt;"",VLOOKUP(X174,game_rosters!$C$43:$E$64,3,FALSE))</f>
        <v>#N/A</v>
      </c>
      <c r="Z174" cm="1">
        <f t="array" ref="Z174">IFERROR(IF(_xlfn._xlws.FILTER(game_rosters!$J:$J,(game_rosters!$G:$G=events!$AN174)*(game_rosters!$J:$J=events!$X174))&gt;0,1,""),"")</f>
        <v>1</v>
      </c>
      <c r="AA174">
        <f t="shared" si="83"/>
        <v>1090</v>
      </c>
      <c r="AB174" t="str">
        <f t="shared" si="84"/>
        <v/>
      </c>
      <c r="AC174">
        <f t="shared" si="81"/>
        <v>1090</v>
      </c>
      <c r="AD174" s="6">
        <v>1</v>
      </c>
      <c r="AE174" t="s">
        <v>745</v>
      </c>
      <c r="AF174" t="s">
        <v>900</v>
      </c>
      <c r="AG174" t="s">
        <v>745</v>
      </c>
      <c r="AH174" t="s">
        <v>915</v>
      </c>
      <c r="AI174" t="s">
        <v>367</v>
      </c>
      <c r="AJ174" t="str">
        <f t="shared" si="111"/>
        <v>d</v>
      </c>
      <c r="AK174" t="str">
        <f t="shared" si="111"/>
        <v>d</v>
      </c>
      <c r="AL174" t="str">
        <f t="shared" si="86"/>
        <v>o</v>
      </c>
      <c r="AN174" t="s">
        <v>862</v>
      </c>
      <c r="AO174" t="str">
        <f t="shared" si="87"/>
        <v>a</v>
      </c>
      <c r="AP174" t="str">
        <f t="shared" si="94"/>
        <v>o</v>
      </c>
      <c r="AQ174" t="str">
        <f t="shared" si="95"/>
        <v/>
      </c>
      <c r="AR174" t="str">
        <f t="shared" si="96"/>
        <v>Away</v>
      </c>
      <c r="AS174" t="str">
        <f t="shared" si="97"/>
        <v>a</v>
      </c>
      <c r="AT174" t="str">
        <f t="shared" si="98"/>
        <v/>
      </c>
      <c r="BA174" s="6">
        <f t="shared" si="88"/>
        <v>41</v>
      </c>
      <c r="BB174">
        <f t="shared" si="89"/>
        <v>18981</v>
      </c>
      <c r="BC174" t="str">
        <f t="shared" si="90"/>
        <v>Nelson</v>
      </c>
      <c r="BD174" t="str">
        <f t="shared" si="91"/>
        <v>Velodrome</v>
      </c>
      <c r="BE174" t="s">
        <v>241</v>
      </c>
      <c r="BF174" t="s">
        <v>756</v>
      </c>
      <c r="BG174" t="s">
        <v>756</v>
      </c>
      <c r="BI174" cm="1">
        <f t="array" ref="BI174">IFERROR(_xlfn._xlws.FILTER(shifts!A:A,(shifts!B:B=events!AD174)*(shifts!AG:AG&gt;=events!BK174)*(shifts!AH:AH&lt;=events!BL174)),BI173)</f>
        <v>6</v>
      </c>
      <c r="BJ174" s="15">
        <f t="shared" si="92"/>
        <v>17</v>
      </c>
      <c r="BK174">
        <f t="shared" si="99"/>
        <v>887</v>
      </c>
      <c r="BL174">
        <f t="shared" si="100"/>
        <v>870</v>
      </c>
      <c r="BM174" s="15">
        <f>SUMIFS(BJ$2:BJ174,K$2:K174,"=Intermission")+SUMIFS(BJ$2:BJ174,K$2:K174,"=Timeout")</f>
        <v>0</v>
      </c>
      <c r="BN174">
        <f t="shared" si="101"/>
        <v>0</v>
      </c>
      <c r="BO174" s="19">
        <f t="shared" si="102"/>
        <v>193</v>
      </c>
      <c r="BP174">
        <f t="shared" si="103"/>
        <v>188</v>
      </c>
      <c r="BQ174" s="17">
        <f t="shared" si="104"/>
        <v>210</v>
      </c>
      <c r="BR174" t="str">
        <f t="shared" si="105"/>
        <v>event_team_player_1</v>
      </c>
      <c r="BS174">
        <f>COUNTIFS(S$3:S174,"="&amp;S174,AI$3:AI174,"="&amp;AI174)</f>
        <v>1</v>
      </c>
      <c r="BT174" t="str">
        <f>IFERROR(VLOOKUP(BB174&amp;BU174&amp;X174,game_rosters!U:W,3,FALSE),"")</f>
        <v>P100016</v>
      </c>
      <c r="BU174" t="str">
        <f t="shared" si="106"/>
        <v>Velodrome</v>
      </c>
    </row>
    <row r="175" spans="1:73" x14ac:dyDescent="0.2">
      <c r="A175">
        <f t="shared" si="93"/>
        <v>1</v>
      </c>
      <c r="E175" s="4"/>
      <c r="F175" s="43"/>
      <c r="G175" s="4"/>
      <c r="H175" s="46"/>
      <c r="J175" s="44" t="str">
        <f t="shared" si="107"/>
        <v/>
      </c>
      <c r="K175" t="s">
        <v>5</v>
      </c>
      <c r="L175" t="s">
        <v>236</v>
      </c>
      <c r="M175" t="s">
        <v>756</v>
      </c>
      <c r="N175" t="str">
        <f t="shared" si="110"/>
        <v/>
      </c>
      <c r="Q175" t="str">
        <f t="shared" si="108"/>
        <v/>
      </c>
      <c r="S175">
        <v>91</v>
      </c>
      <c r="U175" t="str">
        <f>IF(B175=1,MAX($U$2:$U174)+1,IF(AND($T175&lt;&gt;"",$T175=$T174),$U174,IF(B175="x",U174,"")))</f>
        <v/>
      </c>
      <c r="V175" t="str">
        <f>IF(C175=1,MAX($V$2:$V174)+1,IF(AND($T175&lt;&gt;"",$T175=$T174),$U174,IF(C175="x",V174,"")))</f>
        <v/>
      </c>
      <c r="W175" t="str">
        <f t="shared" si="82"/>
        <v>h</v>
      </c>
      <c r="X175">
        <v>10</v>
      </c>
      <c r="Y175" t="b">
        <f>IF(X175&lt;&gt;"",VLOOKUP(X175,game_rosters!$C$43:$E$64,3,FALSE))</f>
        <v>0</v>
      </c>
      <c r="Z175" cm="1">
        <f t="array" ref="Z175">IFERROR(IF(_xlfn._xlws.FILTER(game_rosters!$J:$J,(game_rosters!$G:$G=events!$AN175)*(game_rosters!$J:$J=events!$X175))&gt;0,1,""),"")</f>
        <v>1</v>
      </c>
      <c r="AA175">
        <f t="shared" si="83"/>
        <v>1091</v>
      </c>
      <c r="AB175" t="str">
        <f t="shared" si="84"/>
        <v/>
      </c>
      <c r="AC175">
        <f t="shared" si="81"/>
        <v>1091</v>
      </c>
      <c r="AD175" s="6">
        <v>1</v>
      </c>
      <c r="AE175" t="s">
        <v>745</v>
      </c>
      <c r="AF175" t="s">
        <v>915</v>
      </c>
      <c r="AG175" t="s">
        <v>756</v>
      </c>
      <c r="AH175" t="s">
        <v>756</v>
      </c>
      <c r="AI175" t="s">
        <v>367</v>
      </c>
      <c r="AJ175" t="str">
        <f t="shared" si="111"/>
        <v/>
      </c>
      <c r="AK175" t="str">
        <f t="shared" si="111"/>
        <v/>
      </c>
      <c r="AL175" t="str">
        <f t="shared" si="86"/>
        <v/>
      </c>
      <c r="AN175" t="s">
        <v>861</v>
      </c>
      <c r="AO175" t="str">
        <f t="shared" si="87"/>
        <v>h</v>
      </c>
      <c r="AP175" t="str">
        <f t="shared" si="94"/>
        <v/>
      </c>
      <c r="AQ175" t="str">
        <f t="shared" si="95"/>
        <v/>
      </c>
      <c r="AR175" t="str">
        <f t="shared" si="96"/>
        <v>Home</v>
      </c>
      <c r="AS175" t="str">
        <f t="shared" si="97"/>
        <v>h</v>
      </c>
      <c r="AT175" t="str">
        <f t="shared" si="98"/>
        <v>Offensive</v>
      </c>
      <c r="BA175" s="6">
        <f t="shared" si="88"/>
        <v>41</v>
      </c>
      <c r="BB175">
        <f t="shared" si="89"/>
        <v>18981</v>
      </c>
      <c r="BC175" t="str">
        <f t="shared" si="90"/>
        <v>Nelson</v>
      </c>
      <c r="BD175" t="str">
        <f t="shared" si="91"/>
        <v>Velodrome</v>
      </c>
      <c r="BE175" t="s">
        <v>5</v>
      </c>
      <c r="BF175" t="s">
        <v>236</v>
      </c>
      <c r="BG175" t="s">
        <v>756</v>
      </c>
      <c r="BI175" cm="1">
        <f t="array" ref="BI175">IFERROR(_xlfn._xlws.FILTER(shifts!A:A,(shifts!B:B=events!AD175)*(shifts!AG:AG&gt;=events!BK175)*(shifts!AH:AH&lt;=events!BL175)),BI174)</f>
        <v>6</v>
      </c>
      <c r="BJ175" s="15">
        <f t="shared" si="92"/>
        <v>0</v>
      </c>
      <c r="BK175">
        <f t="shared" si="99"/>
        <v>870</v>
      </c>
      <c r="BL175">
        <f t="shared" si="100"/>
        <v>870</v>
      </c>
      <c r="BM175" s="15">
        <f>SUMIFS(BJ$2:BJ175,K$2:K175,"=Intermission")+SUMIFS(BJ$2:BJ175,K$2:K175,"=Timeout")</f>
        <v>0</v>
      </c>
      <c r="BN175">
        <f t="shared" si="101"/>
        <v>0</v>
      </c>
      <c r="BO175" s="19">
        <f t="shared" si="102"/>
        <v>210</v>
      </c>
      <c r="BP175">
        <f t="shared" si="103"/>
        <v>205</v>
      </c>
      <c r="BQ175" s="17">
        <f t="shared" si="104"/>
        <v>210</v>
      </c>
      <c r="BR175" t="str">
        <f t="shared" si="105"/>
        <v>event_team_player_1</v>
      </c>
      <c r="BS175">
        <f>COUNTIFS(S$3:S175,"="&amp;S175,AI$3:AI175,"="&amp;AI175)</f>
        <v>1</v>
      </c>
      <c r="BT175" t="str">
        <f>IFERROR(VLOOKUP(BB175&amp;BU175&amp;X175,game_rosters!U:W,3,FALSE),"")</f>
        <v>P100078</v>
      </c>
      <c r="BU175" t="str">
        <f t="shared" si="106"/>
        <v>Nelson</v>
      </c>
    </row>
    <row r="176" spans="1:73" x14ac:dyDescent="0.2">
      <c r="A176">
        <f t="shared" si="93"/>
        <v>1</v>
      </c>
      <c r="E176" s="4"/>
      <c r="F176" s="43"/>
      <c r="G176" s="4"/>
      <c r="H176" s="46"/>
      <c r="J176" s="44" t="str">
        <f t="shared" si="107"/>
        <v/>
      </c>
      <c r="K176" t="s">
        <v>5</v>
      </c>
      <c r="L176" t="s">
        <v>236</v>
      </c>
      <c r="M176" t="s">
        <v>756</v>
      </c>
      <c r="N176" t="str">
        <f t="shared" si="110"/>
        <v/>
      </c>
      <c r="Q176" t="str">
        <f t="shared" si="108"/>
        <v/>
      </c>
      <c r="S176">
        <v>91</v>
      </c>
      <c r="U176" t="str">
        <f>IF(B176=1,MAX($U$2:$U175)+1,IF(AND($T176&lt;&gt;"",$T176=$T175),$U175,IF(B176="x",U175,"")))</f>
        <v/>
      </c>
      <c r="V176" t="str">
        <f>IF(C176=1,MAX($V$2:$V175)+1,IF(AND($T176&lt;&gt;"",$T176=$T175),$U175,IF(C176="x",V175,"")))</f>
        <v/>
      </c>
      <c r="W176" t="str">
        <f t="shared" si="82"/>
        <v>h</v>
      </c>
      <c r="X176">
        <v>37</v>
      </c>
      <c r="Y176" t="b">
        <f>IF(X176&lt;&gt;"",VLOOKUP(X176,game_rosters!$C$43:$E$64,3,FALSE))</f>
        <v>0</v>
      </c>
      <c r="Z176" cm="1">
        <f t="array" ref="Z176">IFERROR(IF(_xlfn._xlws.FILTER(game_rosters!$J:$J,(game_rosters!$G:$G=events!$AN176)*(game_rosters!$J:$J=events!$X176))&gt;0,1,""),"")</f>
        <v>1</v>
      </c>
      <c r="AA176">
        <f t="shared" si="83"/>
        <v>1091</v>
      </c>
      <c r="AB176" t="str">
        <f t="shared" si="84"/>
        <v/>
      </c>
      <c r="AC176">
        <f t="shared" si="81"/>
        <v>1091</v>
      </c>
      <c r="AD176" s="6">
        <v>1</v>
      </c>
      <c r="AE176" t="s">
        <v>745</v>
      </c>
      <c r="AF176" t="s">
        <v>915</v>
      </c>
      <c r="AG176" t="s">
        <v>756</v>
      </c>
      <c r="AH176" t="s">
        <v>756</v>
      </c>
      <c r="AI176" t="s">
        <v>367</v>
      </c>
      <c r="AJ176" t="str">
        <f t="shared" si="111"/>
        <v/>
      </c>
      <c r="AK176" t="str">
        <f t="shared" si="111"/>
        <v/>
      </c>
      <c r="AL176" t="str">
        <f t="shared" si="86"/>
        <v/>
      </c>
      <c r="AN176" t="s">
        <v>861</v>
      </c>
      <c r="AO176" t="str">
        <f t="shared" si="87"/>
        <v>h</v>
      </c>
      <c r="AP176" t="str">
        <f t="shared" si="94"/>
        <v/>
      </c>
      <c r="AQ176" t="str">
        <f t="shared" si="95"/>
        <v/>
      </c>
      <c r="AR176" t="str">
        <f t="shared" si="96"/>
        <v>Home</v>
      </c>
      <c r="AS176" t="str">
        <f t="shared" si="97"/>
        <v>h</v>
      </c>
      <c r="AT176" t="str">
        <f t="shared" si="98"/>
        <v>Offensive</v>
      </c>
      <c r="BA176" s="6">
        <f t="shared" si="88"/>
        <v>41</v>
      </c>
      <c r="BB176">
        <f t="shared" si="89"/>
        <v>18981</v>
      </c>
      <c r="BC176" t="str">
        <f t="shared" si="90"/>
        <v>Nelson</v>
      </c>
      <c r="BD176" t="str">
        <f t="shared" si="91"/>
        <v>Velodrome</v>
      </c>
      <c r="BE176" t="s">
        <v>5</v>
      </c>
      <c r="BF176" t="s">
        <v>236</v>
      </c>
      <c r="BG176" t="s">
        <v>756</v>
      </c>
      <c r="BI176" cm="1">
        <f t="array" ref="BI176">IFERROR(_xlfn._xlws.FILTER(shifts!A:A,(shifts!B:B=events!AD176)*(shifts!AG:AG&gt;=events!BK176)*(shifts!AH:AH&lt;=events!BL176)),BI175)</f>
        <v>6</v>
      </c>
      <c r="BJ176" s="15">
        <f t="shared" si="92"/>
        <v>0</v>
      </c>
      <c r="BK176">
        <f t="shared" si="99"/>
        <v>870</v>
      </c>
      <c r="BL176">
        <f t="shared" si="100"/>
        <v>870</v>
      </c>
      <c r="BM176" s="15">
        <f>SUMIFS(BJ$2:BJ176,K$2:K176,"=Intermission")+SUMIFS(BJ$2:BJ176,K$2:K176,"=Timeout")</f>
        <v>0</v>
      </c>
      <c r="BN176">
        <f t="shared" si="101"/>
        <v>0</v>
      </c>
      <c r="BO176" s="19">
        <f t="shared" si="102"/>
        <v>210</v>
      </c>
      <c r="BP176">
        <f t="shared" si="103"/>
        <v>205</v>
      </c>
      <c r="BQ176" s="17">
        <f t="shared" si="104"/>
        <v>210</v>
      </c>
      <c r="BR176" t="str">
        <f t="shared" si="105"/>
        <v>event_team_player_2</v>
      </c>
      <c r="BS176">
        <f>COUNTIFS(S$3:S176,"="&amp;S176,AI$3:AI176,"="&amp;AI176)</f>
        <v>2</v>
      </c>
      <c r="BT176" t="str">
        <f>IFERROR(VLOOKUP(BB176&amp;BU176&amp;X176,game_rosters!U:W,3,FALSE),"")</f>
        <v>P100119</v>
      </c>
      <c r="BU176" t="str">
        <f t="shared" si="106"/>
        <v>Nelson</v>
      </c>
    </row>
    <row r="177" spans="1:73" x14ac:dyDescent="0.2">
      <c r="A177">
        <f t="shared" si="93"/>
        <v>1</v>
      </c>
      <c r="E177" s="4"/>
      <c r="F177" s="43"/>
      <c r="G177" s="4"/>
      <c r="H177" s="46"/>
      <c r="J177" s="44" t="str">
        <f t="shared" si="107"/>
        <v/>
      </c>
      <c r="K177" t="s">
        <v>5</v>
      </c>
      <c r="L177" t="s">
        <v>236</v>
      </c>
      <c r="M177" t="s">
        <v>756</v>
      </c>
      <c r="N177" t="str">
        <f t="shared" si="110"/>
        <v/>
      </c>
      <c r="Q177" t="str">
        <f t="shared" si="108"/>
        <v/>
      </c>
      <c r="S177">
        <v>91</v>
      </c>
      <c r="U177" t="str">
        <f>IF(B177=1,MAX($U$2:$U176)+1,IF(AND($T177&lt;&gt;"",$T177=$T176),$U176,IF(B177="x",U176,"")))</f>
        <v/>
      </c>
      <c r="V177" t="str">
        <f>IF(C177=1,MAX($V$2:$V176)+1,IF(AND($T177&lt;&gt;"",$T177=$T176),$U176,IF(C177="x",V176,"")))</f>
        <v/>
      </c>
      <c r="W177" t="str">
        <f t="shared" si="82"/>
        <v>h</v>
      </c>
      <c r="X177">
        <v>49</v>
      </c>
      <c r="Y177" t="e">
        <f>IF(X177&lt;&gt;"",VLOOKUP(X177,game_rosters!$C$43:$E$64,3,FALSE))</f>
        <v>#N/A</v>
      </c>
      <c r="Z177" t="str" cm="1">
        <f t="array" ref="Z177">IFERROR(IF(_xlfn._xlws.FILTER(game_rosters!$J:$J,(game_rosters!$G:$G=events!$AN177)*(game_rosters!$J:$J=events!$X177))&gt;0,1,""),"")</f>
        <v/>
      </c>
      <c r="AA177">
        <f t="shared" si="83"/>
        <v>1091</v>
      </c>
      <c r="AB177" t="str">
        <f t="shared" si="84"/>
        <v/>
      </c>
      <c r="AC177">
        <f t="shared" si="81"/>
        <v>1091</v>
      </c>
      <c r="AD177" s="6">
        <v>1</v>
      </c>
      <c r="AE177" t="s">
        <v>745</v>
      </c>
      <c r="AF177" t="s">
        <v>915</v>
      </c>
      <c r="AG177" t="s">
        <v>756</v>
      </c>
      <c r="AH177" t="s">
        <v>756</v>
      </c>
      <c r="AI177" t="s">
        <v>368</v>
      </c>
      <c r="AJ177" t="str">
        <f t="shared" si="111"/>
        <v/>
      </c>
      <c r="AK177" t="str">
        <f t="shared" si="111"/>
        <v/>
      </c>
      <c r="AL177" t="str">
        <f t="shared" si="86"/>
        <v/>
      </c>
      <c r="AN177" t="s">
        <v>861</v>
      </c>
      <c r="AO177" t="str">
        <f t="shared" si="87"/>
        <v>h</v>
      </c>
      <c r="AP177" t="str">
        <f t="shared" si="94"/>
        <v/>
      </c>
      <c r="AQ177" t="str">
        <f t="shared" si="95"/>
        <v/>
      </c>
      <c r="AR177" t="str">
        <f t="shared" si="96"/>
        <v>Home</v>
      </c>
      <c r="AS177" t="str">
        <f t="shared" si="97"/>
        <v>h</v>
      </c>
      <c r="AT177" t="str">
        <f t="shared" si="98"/>
        <v>Defensive</v>
      </c>
      <c r="BA177" s="6">
        <f t="shared" si="88"/>
        <v>41</v>
      </c>
      <c r="BB177">
        <f t="shared" si="89"/>
        <v>18981</v>
      </c>
      <c r="BC177" t="str">
        <f t="shared" si="90"/>
        <v>Nelson</v>
      </c>
      <c r="BD177" t="str">
        <f t="shared" si="91"/>
        <v>Velodrome</v>
      </c>
      <c r="BE177" t="s">
        <v>5</v>
      </c>
      <c r="BF177" t="s">
        <v>236</v>
      </c>
      <c r="BG177" t="s">
        <v>756</v>
      </c>
      <c r="BI177" cm="1">
        <f t="array" ref="BI177">IFERROR(_xlfn._xlws.FILTER(shifts!A:A,(shifts!B:B=events!AD177)*(shifts!AG:AG&gt;=events!BK177)*(shifts!AH:AH&lt;=events!BL177)),BI176)</f>
        <v>6</v>
      </c>
      <c r="BJ177" s="15">
        <f t="shared" si="92"/>
        <v>0</v>
      </c>
      <c r="BK177">
        <f t="shared" si="99"/>
        <v>870</v>
      </c>
      <c r="BL177">
        <f t="shared" si="100"/>
        <v>870</v>
      </c>
      <c r="BM177" s="15">
        <f>SUMIFS(BJ$2:BJ177,K$2:K177,"=Intermission")+SUMIFS(BJ$2:BJ177,K$2:K177,"=Timeout")</f>
        <v>0</v>
      </c>
      <c r="BN177">
        <f t="shared" si="101"/>
        <v>0</v>
      </c>
      <c r="BO177" s="19">
        <f t="shared" si="102"/>
        <v>210</v>
      </c>
      <c r="BP177">
        <f t="shared" si="103"/>
        <v>205</v>
      </c>
      <c r="BQ177" s="17">
        <f t="shared" si="104"/>
        <v>210</v>
      </c>
      <c r="BR177" t="str">
        <f t="shared" si="105"/>
        <v>opp_team_player_1</v>
      </c>
      <c r="BS177">
        <f>COUNTIFS(S$3:S177,"="&amp;S177,AI$3:AI177,"="&amp;AI177)</f>
        <v>1</v>
      </c>
      <c r="BT177" t="str">
        <f>IFERROR(VLOOKUP(BB177&amp;BU177&amp;X177,game_rosters!U:W,3,FALSE),"")</f>
        <v>P100161</v>
      </c>
      <c r="BU177" t="str">
        <f t="shared" si="106"/>
        <v>Velodrome</v>
      </c>
    </row>
    <row r="178" spans="1:73" x14ac:dyDescent="0.2">
      <c r="A178">
        <f t="shared" si="93"/>
        <v>1</v>
      </c>
      <c r="E178" s="4"/>
      <c r="F178" s="43"/>
      <c r="G178" s="4"/>
      <c r="H178" s="46"/>
      <c r="J178" s="44" t="str">
        <f t="shared" si="107"/>
        <v>o</v>
      </c>
      <c r="K178" t="s">
        <v>6</v>
      </c>
      <c r="L178" t="s">
        <v>181</v>
      </c>
      <c r="M178" t="s">
        <v>51</v>
      </c>
      <c r="N178" t="str">
        <f t="shared" si="110"/>
        <v>u</v>
      </c>
      <c r="Q178" t="str">
        <f t="shared" si="108"/>
        <v/>
      </c>
      <c r="S178">
        <v>92</v>
      </c>
      <c r="U178" t="str">
        <f>IF(B178=1,MAX($U$2:$U177)+1,IF(AND($T178&lt;&gt;"",$T178=$T177),$U177,IF(B178="x",U177,"")))</f>
        <v/>
      </c>
      <c r="V178" t="str">
        <f>IF(C178=1,MAX($V$2:$V177)+1,IF(AND($T178&lt;&gt;"",$T178=$T177),$U177,IF(C178="x",V177,"")))</f>
        <v/>
      </c>
      <c r="W178" t="str">
        <f t="shared" si="82"/>
        <v>h</v>
      </c>
      <c r="X178">
        <v>37</v>
      </c>
      <c r="Y178" t="b">
        <f>IF(X178&lt;&gt;"",VLOOKUP(X178,game_rosters!$C$43:$E$64,3,FALSE))</f>
        <v>0</v>
      </c>
      <c r="Z178" cm="1">
        <f t="array" ref="Z178">IFERROR(IF(_xlfn._xlws.FILTER(game_rosters!$J:$J,(game_rosters!$G:$G=events!$AN178)*(game_rosters!$J:$J=events!$X178))&gt;0,1,""),"")</f>
        <v>1</v>
      </c>
      <c r="AA178">
        <f t="shared" si="83"/>
        <v>1092</v>
      </c>
      <c r="AB178" t="str">
        <f t="shared" si="84"/>
        <v/>
      </c>
      <c r="AC178">
        <f t="shared" si="81"/>
        <v>1092</v>
      </c>
      <c r="AD178" s="6">
        <v>1</v>
      </c>
      <c r="AE178" t="s">
        <v>745</v>
      </c>
      <c r="AF178" t="s">
        <v>906</v>
      </c>
      <c r="AG178" t="s">
        <v>756</v>
      </c>
      <c r="AH178" t="s">
        <v>756</v>
      </c>
      <c r="AI178" t="s">
        <v>367</v>
      </c>
      <c r="AJ178" t="str">
        <f t="shared" si="111"/>
        <v>o</v>
      </c>
      <c r="AK178" t="str">
        <f t="shared" si="111"/>
        <v>o</v>
      </c>
      <c r="AL178" t="str">
        <f t="shared" si="86"/>
        <v>o</v>
      </c>
      <c r="AN178" t="s">
        <v>861</v>
      </c>
      <c r="AO178" t="str">
        <f t="shared" si="87"/>
        <v>h</v>
      </c>
      <c r="AP178" t="str">
        <f t="shared" si="94"/>
        <v>o</v>
      </c>
      <c r="AQ178" t="str">
        <f t="shared" si="95"/>
        <v/>
      </c>
      <c r="AR178" t="str">
        <f t="shared" si="96"/>
        <v>Home</v>
      </c>
      <c r="AS178" t="str">
        <f t="shared" si="97"/>
        <v>h</v>
      </c>
      <c r="AT178" t="str">
        <f t="shared" si="98"/>
        <v>Offensive</v>
      </c>
      <c r="BA178" s="6">
        <f t="shared" si="88"/>
        <v>41</v>
      </c>
      <c r="BB178">
        <f t="shared" si="89"/>
        <v>18981</v>
      </c>
      <c r="BC178" t="str">
        <f t="shared" si="90"/>
        <v>Nelson</v>
      </c>
      <c r="BD178" t="str">
        <f t="shared" si="91"/>
        <v>Velodrome</v>
      </c>
      <c r="BE178" t="s">
        <v>6</v>
      </c>
      <c r="BF178" t="s">
        <v>181</v>
      </c>
      <c r="BG178" t="s">
        <v>51</v>
      </c>
      <c r="BI178" cm="1">
        <f t="array" ref="BI178">IFERROR(_xlfn._xlws.FILTER(shifts!A:A,(shifts!B:B=events!AD178)*(shifts!AG:AG&gt;=events!BK178)*(shifts!AH:AH&lt;=events!BL178)),BI177)</f>
        <v>6</v>
      </c>
      <c r="BJ178" s="15">
        <f t="shared" si="92"/>
        <v>0</v>
      </c>
      <c r="BK178">
        <f t="shared" si="99"/>
        <v>869</v>
      </c>
      <c r="BL178">
        <f t="shared" si="100"/>
        <v>869</v>
      </c>
      <c r="BM178" s="15">
        <f>SUMIFS(BJ$2:BJ178,K$2:K178,"=Intermission")+SUMIFS(BJ$2:BJ178,K$2:K178,"=Timeout")</f>
        <v>0</v>
      </c>
      <c r="BN178">
        <f t="shared" si="101"/>
        <v>0</v>
      </c>
      <c r="BO178" s="19">
        <f t="shared" si="102"/>
        <v>211</v>
      </c>
      <c r="BP178">
        <f t="shared" si="103"/>
        <v>206</v>
      </c>
      <c r="BQ178" s="17">
        <f t="shared" si="104"/>
        <v>211</v>
      </c>
      <c r="BR178" t="str">
        <f t="shared" si="105"/>
        <v>event_team_player_1</v>
      </c>
      <c r="BS178">
        <f>COUNTIFS(S$3:S178,"="&amp;S178,AI$3:AI178,"="&amp;AI178)</f>
        <v>1</v>
      </c>
      <c r="BT178" t="str">
        <f>IFERROR(VLOOKUP(BB178&amp;BU178&amp;X178,game_rosters!U:W,3,FALSE),"")</f>
        <v>P100119</v>
      </c>
      <c r="BU178" t="str">
        <f t="shared" si="106"/>
        <v>Nelson</v>
      </c>
    </row>
    <row r="179" spans="1:73" x14ac:dyDescent="0.2">
      <c r="A179">
        <f t="shared" si="93"/>
        <v>1</v>
      </c>
      <c r="E179" s="4"/>
      <c r="F179" s="43"/>
      <c r="G179" s="4"/>
      <c r="H179" s="46"/>
      <c r="J179" s="44" t="str">
        <f t="shared" si="107"/>
        <v>o</v>
      </c>
      <c r="K179" t="s">
        <v>6</v>
      </c>
      <c r="L179" t="s">
        <v>181</v>
      </c>
      <c r="M179" t="s">
        <v>51</v>
      </c>
      <c r="N179" t="str">
        <f t="shared" si="110"/>
        <v>u</v>
      </c>
      <c r="Q179" t="str">
        <f t="shared" si="108"/>
        <v/>
      </c>
      <c r="S179">
        <v>92</v>
      </c>
      <c r="U179" t="str">
        <f>IF(B179=1,MAX($U$2:$U178)+1,IF(AND($T179&lt;&gt;"",$T179=$T178),$U178,IF(B179="x",U178,"")))</f>
        <v/>
      </c>
      <c r="V179" t="str">
        <f>IF(C179=1,MAX($V$2:$V178)+1,IF(AND($T179&lt;&gt;"",$T179=$T178),$U178,IF(C179="x",V178,"")))</f>
        <v/>
      </c>
      <c r="W179" t="str">
        <f t="shared" si="82"/>
        <v>h</v>
      </c>
      <c r="X179">
        <v>49</v>
      </c>
      <c r="Y179" t="e">
        <f>IF(X179&lt;&gt;"",VLOOKUP(X179,game_rosters!$C$43:$E$64,3,FALSE))</f>
        <v>#N/A</v>
      </c>
      <c r="Z179" t="str" cm="1">
        <f t="array" ref="Z179">IFERROR(IF(_xlfn._xlws.FILTER(game_rosters!$J:$J,(game_rosters!$G:$G=events!$AN179)*(game_rosters!$J:$J=events!$X179))&gt;0,1,""),"")</f>
        <v/>
      </c>
      <c r="AA179">
        <f t="shared" si="83"/>
        <v>1092</v>
      </c>
      <c r="AB179" t="str">
        <f t="shared" si="84"/>
        <v/>
      </c>
      <c r="AC179">
        <f t="shared" si="81"/>
        <v>1092</v>
      </c>
      <c r="AD179" s="6">
        <v>1</v>
      </c>
      <c r="AE179" t="s">
        <v>745</v>
      </c>
      <c r="AF179" t="s">
        <v>906</v>
      </c>
      <c r="AG179" t="s">
        <v>756</v>
      </c>
      <c r="AH179" t="s">
        <v>756</v>
      </c>
      <c r="AI179" t="s">
        <v>368</v>
      </c>
      <c r="AJ179" t="str">
        <f t="shared" si="111"/>
        <v>o</v>
      </c>
      <c r="AK179" t="str">
        <f t="shared" si="111"/>
        <v>o</v>
      </c>
      <c r="AL179" t="str">
        <f t="shared" si="86"/>
        <v>o</v>
      </c>
      <c r="AN179" t="s">
        <v>861</v>
      </c>
      <c r="AO179" t="str">
        <f t="shared" si="87"/>
        <v>h</v>
      </c>
      <c r="AP179" t="str">
        <f t="shared" si="94"/>
        <v>o</v>
      </c>
      <c r="AQ179" t="str">
        <f t="shared" si="95"/>
        <v/>
      </c>
      <c r="AR179" t="str">
        <f t="shared" si="96"/>
        <v>Home</v>
      </c>
      <c r="AS179" t="str">
        <f t="shared" si="97"/>
        <v>h</v>
      </c>
      <c r="AT179" t="str">
        <f t="shared" si="98"/>
        <v>Defensive</v>
      </c>
      <c r="BA179" s="6">
        <f t="shared" si="88"/>
        <v>41</v>
      </c>
      <c r="BB179">
        <f t="shared" si="89"/>
        <v>18981</v>
      </c>
      <c r="BC179" t="str">
        <f t="shared" si="90"/>
        <v>Nelson</v>
      </c>
      <c r="BD179" t="str">
        <f t="shared" si="91"/>
        <v>Velodrome</v>
      </c>
      <c r="BE179" t="s">
        <v>6</v>
      </c>
      <c r="BF179" t="s">
        <v>181</v>
      </c>
      <c r="BG179" t="s">
        <v>51</v>
      </c>
      <c r="BI179" cm="1">
        <f t="array" ref="BI179">IFERROR(_xlfn._xlws.FILTER(shifts!A:A,(shifts!B:B=events!AD179)*(shifts!AG:AG&gt;=events!BK179)*(shifts!AH:AH&lt;=events!BL179)),BI178)</f>
        <v>6</v>
      </c>
      <c r="BJ179" s="15">
        <f t="shared" si="92"/>
        <v>0</v>
      </c>
      <c r="BK179">
        <f t="shared" si="99"/>
        <v>869</v>
      </c>
      <c r="BL179">
        <f t="shared" si="100"/>
        <v>869</v>
      </c>
      <c r="BM179" s="15">
        <f>SUMIFS(BJ$2:BJ179,K$2:K179,"=Intermission")+SUMIFS(BJ$2:BJ179,K$2:K179,"=Timeout")</f>
        <v>0</v>
      </c>
      <c r="BN179">
        <f t="shared" si="101"/>
        <v>0</v>
      </c>
      <c r="BO179" s="19">
        <f t="shared" si="102"/>
        <v>211</v>
      </c>
      <c r="BP179">
        <f t="shared" si="103"/>
        <v>206</v>
      </c>
      <c r="BQ179" s="17">
        <f t="shared" si="104"/>
        <v>211</v>
      </c>
      <c r="BR179" t="str">
        <f t="shared" si="105"/>
        <v>opp_team_player_1</v>
      </c>
      <c r="BS179">
        <f>COUNTIFS(S$3:S179,"="&amp;S179,AI$3:AI179,"="&amp;AI179)</f>
        <v>1</v>
      </c>
      <c r="BT179" t="str">
        <f>IFERROR(VLOOKUP(BB179&amp;BU179&amp;X179,game_rosters!U:W,3,FALSE),"")</f>
        <v>P100161</v>
      </c>
      <c r="BU179" t="str">
        <f t="shared" si="106"/>
        <v>Velodrome</v>
      </c>
    </row>
    <row r="180" spans="1:73" x14ac:dyDescent="0.2">
      <c r="A180">
        <f t="shared" si="93"/>
        <v>1</v>
      </c>
      <c r="E180" s="4"/>
      <c r="F180" s="43"/>
      <c r="G180" s="4"/>
      <c r="H180" s="46"/>
      <c r="J180" s="44" t="str">
        <f t="shared" si="107"/>
        <v/>
      </c>
      <c r="K180" t="s">
        <v>9</v>
      </c>
      <c r="L180" t="s">
        <v>173</v>
      </c>
      <c r="M180" t="s">
        <v>77</v>
      </c>
      <c r="N180" t="str">
        <f t="shared" si="110"/>
        <v>u</v>
      </c>
      <c r="Q180" t="str">
        <f t="shared" si="108"/>
        <v/>
      </c>
      <c r="S180">
        <v>93</v>
      </c>
      <c r="U180" t="str">
        <f>IF(B180=1,MAX($U$2:$U179)+1,IF(AND($T180&lt;&gt;"",$T180=$T179),$U179,IF(B180="x",U179,"")))</f>
        <v/>
      </c>
      <c r="V180" t="str">
        <f>IF(C180=1,MAX($V$2:$V179)+1,IF(AND($T180&lt;&gt;"",$T180=$T179),$U179,IF(C180="x",V179,"")))</f>
        <v/>
      </c>
      <c r="W180" t="str">
        <f t="shared" si="82"/>
        <v>h</v>
      </c>
      <c r="X180">
        <v>37</v>
      </c>
      <c r="Y180" t="b">
        <f>IF(X180&lt;&gt;"",VLOOKUP(X180,game_rosters!$C$43:$E$64,3,FALSE))</f>
        <v>0</v>
      </c>
      <c r="Z180" cm="1">
        <f t="array" ref="Z180">IFERROR(IF(_xlfn._xlws.FILTER(game_rosters!$J:$J,(game_rosters!$G:$G=events!$AN180)*(game_rosters!$J:$J=events!$X180))&gt;0,1,""),"")</f>
        <v>1</v>
      </c>
      <c r="AA180">
        <f t="shared" si="83"/>
        <v>1093</v>
      </c>
      <c r="AB180" t="str">
        <f t="shared" si="84"/>
        <v/>
      </c>
      <c r="AC180">
        <f t="shared" si="81"/>
        <v>1093</v>
      </c>
      <c r="AD180" s="6">
        <v>1</v>
      </c>
      <c r="AE180" t="s">
        <v>745</v>
      </c>
      <c r="AF180" t="s">
        <v>906</v>
      </c>
      <c r="AG180" t="s">
        <v>756</v>
      </c>
      <c r="AH180" t="s">
        <v>756</v>
      </c>
      <c r="AI180" t="s">
        <v>367</v>
      </c>
      <c r="AJ180" t="str">
        <f t="shared" ref="AJ180:AK195" si="112">IF($J180&lt;&gt;"",$J180,IF($AC180=$AC179,AJ179,""))</f>
        <v/>
      </c>
      <c r="AK180" t="str">
        <f t="shared" si="112"/>
        <v/>
      </c>
      <c r="AL180" t="str">
        <f t="shared" si="86"/>
        <v/>
      </c>
      <c r="AN180" t="s">
        <v>861</v>
      </c>
      <c r="AO180" t="str">
        <f t="shared" si="87"/>
        <v>h</v>
      </c>
      <c r="AP180" t="str">
        <f t="shared" si="94"/>
        <v/>
      </c>
      <c r="AQ180" t="str">
        <f t="shared" si="95"/>
        <v/>
      </c>
      <c r="AR180" t="str">
        <f t="shared" si="96"/>
        <v>Home</v>
      </c>
      <c r="AS180" t="str">
        <f t="shared" si="97"/>
        <v>h</v>
      </c>
      <c r="AT180" t="str">
        <f t="shared" si="98"/>
        <v>Offensive</v>
      </c>
      <c r="BA180" s="6">
        <f t="shared" si="88"/>
        <v>41</v>
      </c>
      <c r="BB180">
        <f t="shared" si="89"/>
        <v>18981</v>
      </c>
      <c r="BC180" t="str">
        <f t="shared" si="90"/>
        <v>Nelson</v>
      </c>
      <c r="BD180" t="str">
        <f t="shared" si="91"/>
        <v>Velodrome</v>
      </c>
      <c r="BE180" t="s">
        <v>9</v>
      </c>
      <c r="BF180" t="s">
        <v>173</v>
      </c>
      <c r="BG180" t="s">
        <v>77</v>
      </c>
      <c r="BI180" cm="1">
        <f t="array" ref="BI180">IFERROR(_xlfn._xlws.FILTER(shifts!A:A,(shifts!B:B=events!AD180)*(shifts!AG:AG&gt;=events!BK180)*(shifts!AH:AH&lt;=events!BL180)),BI179)</f>
        <v>6</v>
      </c>
      <c r="BJ180" s="15">
        <f t="shared" si="92"/>
        <v>0</v>
      </c>
      <c r="BK180">
        <f t="shared" si="99"/>
        <v>869</v>
      </c>
      <c r="BL180">
        <f t="shared" si="100"/>
        <v>869</v>
      </c>
      <c r="BM180" s="15">
        <f>SUMIFS(BJ$2:BJ180,K$2:K180,"=Intermission")+SUMIFS(BJ$2:BJ180,K$2:K180,"=Timeout")</f>
        <v>0</v>
      </c>
      <c r="BN180">
        <f t="shared" si="101"/>
        <v>0</v>
      </c>
      <c r="BO180" s="19">
        <f t="shared" si="102"/>
        <v>211</v>
      </c>
      <c r="BP180">
        <f t="shared" si="103"/>
        <v>206</v>
      </c>
      <c r="BQ180" s="17">
        <f t="shared" si="104"/>
        <v>211</v>
      </c>
      <c r="BR180" t="str">
        <f t="shared" si="105"/>
        <v>event_team_player_1</v>
      </c>
      <c r="BS180">
        <f>COUNTIFS(S$3:S180,"="&amp;S180,AI$3:AI180,"="&amp;AI180)</f>
        <v>1</v>
      </c>
      <c r="BT180" t="str">
        <f>IFERROR(VLOOKUP(BB180&amp;BU180&amp;X180,game_rosters!U:W,3,FALSE),"")</f>
        <v>P100119</v>
      </c>
      <c r="BU180" t="str">
        <f t="shared" si="106"/>
        <v>Nelson</v>
      </c>
    </row>
    <row r="181" spans="1:73" x14ac:dyDescent="0.2">
      <c r="A181">
        <f t="shared" si="93"/>
        <v>1</v>
      </c>
      <c r="E181" s="4"/>
      <c r="F181" s="43"/>
      <c r="G181" s="4"/>
      <c r="H181" s="46"/>
      <c r="J181" s="44" t="str">
        <f t="shared" si="107"/>
        <v/>
      </c>
      <c r="K181" t="s">
        <v>13</v>
      </c>
      <c r="L181" t="s">
        <v>756</v>
      </c>
      <c r="M181" t="s">
        <v>756</v>
      </c>
      <c r="N181" t="str">
        <f t="shared" si="110"/>
        <v/>
      </c>
      <c r="Q181" t="str">
        <f t="shared" si="108"/>
        <v/>
      </c>
      <c r="S181">
        <v>94</v>
      </c>
      <c r="U181" t="str">
        <f>IF(B181=1,MAX($U$2:$U180)+1,IF(AND($T181&lt;&gt;"",$T181=$T180),$U180,IF(B181="x",U180,"")))</f>
        <v/>
      </c>
      <c r="V181" t="str">
        <f>IF(C181=1,MAX($V$2:$V180)+1,IF(AND($T181&lt;&gt;"",$T181=$T180),$U180,IF(C181="x",V180,"")))</f>
        <v/>
      </c>
      <c r="W181" t="str">
        <f t="shared" si="82"/>
        <v>a</v>
      </c>
      <c r="X181">
        <v>14</v>
      </c>
      <c r="Y181" t="e">
        <f>IF(X181&lt;&gt;"",VLOOKUP(X181,game_rosters!$C$43:$E$64,3,FALSE))</f>
        <v>#N/A</v>
      </c>
      <c r="Z181" cm="1">
        <f t="array" ref="Z181">IFERROR(IF(_xlfn._xlws.FILTER(game_rosters!$J:$J,(game_rosters!$G:$G=events!$AN181)*(game_rosters!$J:$J=events!$X181))&gt;0,1,""),"")</f>
        <v>1</v>
      </c>
      <c r="AA181">
        <f t="shared" si="83"/>
        <v>1094</v>
      </c>
      <c r="AB181" t="str">
        <f t="shared" si="84"/>
        <v/>
      </c>
      <c r="AC181">
        <f t="shared" si="81"/>
        <v>1094</v>
      </c>
      <c r="AD181" s="6">
        <v>1</v>
      </c>
      <c r="AE181" t="s">
        <v>745</v>
      </c>
      <c r="AF181" t="s">
        <v>907</v>
      </c>
      <c r="AG181" t="s">
        <v>745</v>
      </c>
      <c r="AH181" t="s">
        <v>918</v>
      </c>
      <c r="AI181" t="s">
        <v>367</v>
      </c>
      <c r="AJ181" t="str">
        <f t="shared" si="112"/>
        <v/>
      </c>
      <c r="AK181" t="str">
        <f t="shared" si="112"/>
        <v/>
      </c>
      <c r="AL181" t="str">
        <f t="shared" si="86"/>
        <v/>
      </c>
      <c r="AN181" t="s">
        <v>862</v>
      </c>
      <c r="AO181" t="str">
        <f t="shared" si="87"/>
        <v>a</v>
      </c>
      <c r="AP181" t="str">
        <f t="shared" si="94"/>
        <v/>
      </c>
      <c r="AQ181" t="str">
        <f t="shared" si="95"/>
        <v/>
      </c>
      <c r="AR181" t="str">
        <f t="shared" si="96"/>
        <v>Away</v>
      </c>
      <c r="AS181" t="str">
        <f t="shared" si="97"/>
        <v>a</v>
      </c>
      <c r="AT181" t="str">
        <f t="shared" si="98"/>
        <v>Offensive</v>
      </c>
      <c r="BA181" s="6">
        <f t="shared" si="88"/>
        <v>41</v>
      </c>
      <c r="BB181">
        <f t="shared" si="89"/>
        <v>18981</v>
      </c>
      <c r="BC181" t="str">
        <f t="shared" si="90"/>
        <v>Nelson</v>
      </c>
      <c r="BD181" t="str">
        <f t="shared" si="91"/>
        <v>Velodrome</v>
      </c>
      <c r="BE181" t="s">
        <v>13</v>
      </c>
      <c r="BF181" t="s">
        <v>756</v>
      </c>
      <c r="BG181" t="s">
        <v>756</v>
      </c>
      <c r="BI181" cm="1">
        <f t="array" ref="BI181">IFERROR(_xlfn._xlws.FILTER(shifts!A:A,(shifts!B:B=events!AD181)*(shifts!AG:AG&gt;=events!BK181)*(shifts!AH:AH&lt;=events!BL181)),BI180)</f>
        <v>6</v>
      </c>
      <c r="BJ181" s="15">
        <f t="shared" si="92"/>
        <v>2</v>
      </c>
      <c r="BK181">
        <f t="shared" si="99"/>
        <v>864</v>
      </c>
      <c r="BL181">
        <f t="shared" si="100"/>
        <v>862</v>
      </c>
      <c r="BM181" s="15">
        <f>SUMIFS(BJ$2:BJ181,K$2:K181,"=Intermission")+SUMIFS(BJ$2:BJ181,K$2:K181,"=Timeout")</f>
        <v>0</v>
      </c>
      <c r="BN181">
        <f t="shared" si="101"/>
        <v>0</v>
      </c>
      <c r="BO181" s="19">
        <f t="shared" si="102"/>
        <v>216</v>
      </c>
      <c r="BP181">
        <f t="shared" si="103"/>
        <v>211</v>
      </c>
      <c r="BQ181" s="17">
        <f t="shared" si="104"/>
        <v>218</v>
      </c>
      <c r="BR181" t="str">
        <f t="shared" si="105"/>
        <v>event_team_player_1</v>
      </c>
      <c r="BS181">
        <f>COUNTIFS(S$3:S181,"="&amp;S181,AI$3:AI181,"="&amp;AI181)</f>
        <v>1</v>
      </c>
      <c r="BT181" t="str">
        <f>IFERROR(VLOOKUP(BB181&amp;BU181&amp;X181,game_rosters!U:W,3,FALSE),"")</f>
        <v>P100132</v>
      </c>
      <c r="BU181" t="str">
        <f t="shared" si="106"/>
        <v>Velodrome</v>
      </c>
    </row>
    <row r="182" spans="1:73" x14ac:dyDescent="0.2">
      <c r="A182">
        <f t="shared" si="93"/>
        <v>1</v>
      </c>
      <c r="E182" s="4"/>
      <c r="F182" s="43"/>
      <c r="G182" s="4"/>
      <c r="H182" s="46"/>
      <c r="J182" s="44" t="str">
        <f t="shared" si="107"/>
        <v/>
      </c>
      <c r="K182" t="s">
        <v>7</v>
      </c>
      <c r="L182" t="s">
        <v>172</v>
      </c>
      <c r="M182" t="s">
        <v>68</v>
      </c>
      <c r="N182" t="str">
        <f t="shared" si="110"/>
        <v>s</v>
      </c>
      <c r="Q182" t="str">
        <f t="shared" si="108"/>
        <v/>
      </c>
      <c r="S182">
        <v>95</v>
      </c>
      <c r="U182" t="str">
        <f>IF(B182=1,MAX($U$2:$U181)+1,IF(AND($T182&lt;&gt;"",$T182=$T181),$U181,IF(B182="x",U181,"")))</f>
        <v/>
      </c>
      <c r="V182" t="str">
        <f>IF(C182=1,MAX($V$2:$V181)+1,IF(AND($T182&lt;&gt;"",$T182=$T181),$U181,IF(C182="x",V181,"")))</f>
        <v/>
      </c>
      <c r="W182" t="str">
        <f t="shared" si="82"/>
        <v>a</v>
      </c>
      <c r="X182">
        <v>14</v>
      </c>
      <c r="Y182" t="e">
        <f>IF(X182&lt;&gt;"",VLOOKUP(X182,game_rosters!$C$43:$E$64,3,FALSE))</f>
        <v>#N/A</v>
      </c>
      <c r="Z182" cm="1">
        <f t="array" ref="Z182">IFERROR(IF(_xlfn._xlws.FILTER(game_rosters!$J:$J,(game_rosters!$G:$G=events!$AN182)*(game_rosters!$J:$J=events!$X182))&gt;0,1,""),"")</f>
        <v>1</v>
      </c>
      <c r="AA182">
        <f t="shared" si="83"/>
        <v>1095</v>
      </c>
      <c r="AB182" t="str">
        <f t="shared" si="84"/>
        <v/>
      </c>
      <c r="AC182">
        <f t="shared" si="81"/>
        <v>1095</v>
      </c>
      <c r="AD182" s="6">
        <v>1</v>
      </c>
      <c r="AE182" t="s">
        <v>745</v>
      </c>
      <c r="AF182" t="s">
        <v>918</v>
      </c>
      <c r="AG182" t="s">
        <v>756</v>
      </c>
      <c r="AH182" t="s">
        <v>756</v>
      </c>
      <c r="AI182" t="s">
        <v>367</v>
      </c>
      <c r="AJ182" t="str">
        <f t="shared" si="112"/>
        <v/>
      </c>
      <c r="AK182" t="str">
        <f t="shared" si="112"/>
        <v/>
      </c>
      <c r="AL182" t="str">
        <f t="shared" si="86"/>
        <v/>
      </c>
      <c r="AN182" t="s">
        <v>862</v>
      </c>
      <c r="AO182" t="str">
        <f t="shared" si="87"/>
        <v>a</v>
      </c>
      <c r="AP182" t="str">
        <f t="shared" si="94"/>
        <v/>
      </c>
      <c r="AQ182" t="str">
        <f t="shared" si="95"/>
        <v/>
      </c>
      <c r="AR182" t="str">
        <f t="shared" si="96"/>
        <v>Away</v>
      </c>
      <c r="AS182" t="str">
        <f t="shared" si="97"/>
        <v>a</v>
      </c>
      <c r="AT182" t="str">
        <f t="shared" si="98"/>
        <v>Offensive</v>
      </c>
      <c r="BA182" s="6">
        <f t="shared" si="88"/>
        <v>41</v>
      </c>
      <c r="BB182">
        <f t="shared" si="89"/>
        <v>18981</v>
      </c>
      <c r="BC182" t="str">
        <f t="shared" si="90"/>
        <v>Nelson</v>
      </c>
      <c r="BD182" t="str">
        <f t="shared" si="91"/>
        <v>Velodrome</v>
      </c>
      <c r="BE182" t="s">
        <v>7</v>
      </c>
      <c r="BF182" t="s">
        <v>172</v>
      </c>
      <c r="BG182" t="s">
        <v>68</v>
      </c>
      <c r="BI182" cm="1">
        <f t="array" ref="BI182">IFERROR(_xlfn._xlws.FILTER(shifts!A:A,(shifts!B:B=events!AD182)*(shifts!AG:AG&gt;=events!BK182)*(shifts!AH:AH&lt;=events!BL182)),BI181)</f>
        <v>6</v>
      </c>
      <c r="BJ182" s="15">
        <f t="shared" si="92"/>
        <v>0</v>
      </c>
      <c r="BK182">
        <f t="shared" si="99"/>
        <v>862</v>
      </c>
      <c r="BL182">
        <f t="shared" si="100"/>
        <v>862</v>
      </c>
      <c r="BM182" s="15">
        <f>SUMIFS(BJ$2:BJ182,K$2:K182,"=Intermission")+SUMIFS(BJ$2:BJ182,K$2:K182,"=Timeout")</f>
        <v>0</v>
      </c>
      <c r="BN182">
        <f t="shared" si="101"/>
        <v>0</v>
      </c>
      <c r="BO182" s="19">
        <f t="shared" si="102"/>
        <v>218</v>
      </c>
      <c r="BP182">
        <f t="shared" si="103"/>
        <v>213</v>
      </c>
      <c r="BQ182" s="17">
        <f t="shared" si="104"/>
        <v>218</v>
      </c>
      <c r="BR182" t="str">
        <f t="shared" si="105"/>
        <v>event_team_player_1</v>
      </c>
      <c r="BS182">
        <f>COUNTIFS(S$3:S182,"="&amp;S182,AI$3:AI182,"="&amp;AI182)</f>
        <v>1</v>
      </c>
      <c r="BT182" t="str">
        <f>IFERROR(VLOOKUP(BB182&amp;BU182&amp;X182,game_rosters!U:W,3,FALSE),"")</f>
        <v>P100132</v>
      </c>
      <c r="BU182" t="str">
        <f t="shared" si="106"/>
        <v>Velodrome</v>
      </c>
    </row>
    <row r="183" spans="1:73" x14ac:dyDescent="0.2">
      <c r="A183">
        <f t="shared" si="93"/>
        <v>1</v>
      </c>
      <c r="E183" s="4"/>
      <c r="F183" s="43"/>
      <c r="G183" s="4"/>
      <c r="H183" s="46"/>
      <c r="J183" s="44" t="str">
        <f t="shared" si="107"/>
        <v/>
      </c>
      <c r="K183" t="s">
        <v>7</v>
      </c>
      <c r="L183" t="s">
        <v>172</v>
      </c>
      <c r="M183" t="s">
        <v>68</v>
      </c>
      <c r="N183" t="str">
        <f t="shared" si="110"/>
        <v>s</v>
      </c>
      <c r="Q183" t="str">
        <f t="shared" si="108"/>
        <v/>
      </c>
      <c r="S183">
        <v>95</v>
      </c>
      <c r="U183" t="str">
        <f>IF(B183=1,MAX($U$2:$U182)+1,IF(AND($T183&lt;&gt;"",$T183=$T182),$U182,IF(B183="x",U182,"")))</f>
        <v/>
      </c>
      <c r="V183" t="str">
        <f>IF(C183=1,MAX($V$2:$V182)+1,IF(AND($T183&lt;&gt;"",$T183=$T182),$U182,IF(C183="x",V182,"")))</f>
        <v/>
      </c>
      <c r="W183" t="str">
        <f t="shared" si="82"/>
        <v>a</v>
      </c>
      <c r="X183">
        <v>9</v>
      </c>
      <c r="Y183" t="e">
        <f>IF(X183&lt;&gt;"",VLOOKUP(X183,game_rosters!$C$43:$E$64,3,FALSE))</f>
        <v>#N/A</v>
      </c>
      <c r="Z183" cm="1">
        <f t="array" ref="Z183">IFERROR(IF(_xlfn._xlws.FILTER(game_rosters!$J:$J,(game_rosters!$G:$G=events!$AN183)*(game_rosters!$J:$J=events!$X183))&gt;0,1,""),"")</f>
        <v>1</v>
      </c>
      <c r="AA183">
        <f t="shared" si="83"/>
        <v>1095</v>
      </c>
      <c r="AB183" t="str">
        <f t="shared" si="84"/>
        <v/>
      </c>
      <c r="AC183">
        <f t="shared" si="81"/>
        <v>1095</v>
      </c>
      <c r="AD183" s="6">
        <v>1</v>
      </c>
      <c r="AE183" t="s">
        <v>745</v>
      </c>
      <c r="AF183" t="s">
        <v>918</v>
      </c>
      <c r="AG183" t="s">
        <v>756</v>
      </c>
      <c r="AH183" t="s">
        <v>756</v>
      </c>
      <c r="AI183" t="s">
        <v>367</v>
      </c>
      <c r="AJ183" t="str">
        <f t="shared" si="112"/>
        <v/>
      </c>
      <c r="AK183" t="str">
        <f t="shared" si="112"/>
        <v/>
      </c>
      <c r="AL183" t="str">
        <f t="shared" si="86"/>
        <v/>
      </c>
      <c r="AN183" t="s">
        <v>862</v>
      </c>
      <c r="AO183" t="str">
        <f t="shared" si="87"/>
        <v>a</v>
      </c>
      <c r="AP183" t="str">
        <f t="shared" si="94"/>
        <v/>
      </c>
      <c r="AQ183" t="str">
        <f t="shared" si="95"/>
        <v/>
      </c>
      <c r="AR183" t="str">
        <f t="shared" si="96"/>
        <v>Away</v>
      </c>
      <c r="AS183" t="str">
        <f t="shared" si="97"/>
        <v>a</v>
      </c>
      <c r="AT183" t="str">
        <f t="shared" si="98"/>
        <v>Offensive</v>
      </c>
      <c r="BA183" s="6">
        <f t="shared" si="88"/>
        <v>41</v>
      </c>
      <c r="BB183">
        <f t="shared" si="89"/>
        <v>18981</v>
      </c>
      <c r="BC183" t="str">
        <f t="shared" si="90"/>
        <v>Nelson</v>
      </c>
      <c r="BD183" t="str">
        <f t="shared" si="91"/>
        <v>Velodrome</v>
      </c>
      <c r="BE183" t="s">
        <v>7</v>
      </c>
      <c r="BF183" t="s">
        <v>172</v>
      </c>
      <c r="BG183" t="s">
        <v>68</v>
      </c>
      <c r="BI183" cm="1">
        <f t="array" ref="BI183">IFERROR(_xlfn._xlws.FILTER(shifts!A:A,(shifts!B:B=events!AD183)*(shifts!AG:AG&gt;=events!BK183)*(shifts!AH:AH&lt;=events!BL183)),BI182)</f>
        <v>6</v>
      </c>
      <c r="BJ183" s="15">
        <f t="shared" si="92"/>
        <v>0</v>
      </c>
      <c r="BK183">
        <f t="shared" si="99"/>
        <v>862</v>
      </c>
      <c r="BL183">
        <f t="shared" si="100"/>
        <v>862</v>
      </c>
      <c r="BM183" s="15">
        <f>SUMIFS(BJ$2:BJ183,K$2:K183,"=Intermission")+SUMIFS(BJ$2:BJ183,K$2:K183,"=Timeout")</f>
        <v>0</v>
      </c>
      <c r="BN183">
        <f t="shared" si="101"/>
        <v>0</v>
      </c>
      <c r="BO183" s="19">
        <f t="shared" si="102"/>
        <v>218</v>
      </c>
      <c r="BP183">
        <f t="shared" si="103"/>
        <v>213</v>
      </c>
      <c r="BQ183" s="17">
        <f t="shared" si="104"/>
        <v>218</v>
      </c>
      <c r="BR183" t="str">
        <f t="shared" si="105"/>
        <v>event_team_player_2</v>
      </c>
      <c r="BS183">
        <f>COUNTIFS(S$3:S183,"="&amp;S183,AI$3:AI183,"="&amp;AI183)</f>
        <v>2</v>
      </c>
      <c r="BT183" t="str">
        <f>IFERROR(VLOOKUP(BB183&amp;BU183&amp;X183,game_rosters!U:W,3,FALSE),"")</f>
        <v>P100105</v>
      </c>
      <c r="BU183" t="str">
        <f t="shared" si="106"/>
        <v>Velodrome</v>
      </c>
    </row>
    <row r="184" spans="1:73" x14ac:dyDescent="0.2">
      <c r="A184">
        <f t="shared" si="93"/>
        <v>1</v>
      </c>
      <c r="E184" s="4"/>
      <c r="F184" s="43"/>
      <c r="G184" s="4"/>
      <c r="H184" s="46"/>
      <c r="J184" s="44" t="str">
        <f t="shared" si="107"/>
        <v/>
      </c>
      <c r="K184" t="s">
        <v>13</v>
      </c>
      <c r="L184" t="s">
        <v>756</v>
      </c>
      <c r="M184" t="s">
        <v>756</v>
      </c>
      <c r="N184" t="str">
        <f t="shared" si="110"/>
        <v/>
      </c>
      <c r="Q184" t="str">
        <f t="shared" si="108"/>
        <v/>
      </c>
      <c r="S184">
        <v>96</v>
      </c>
      <c r="U184" t="str">
        <f>IF(B184=1,MAX($U$2:$U183)+1,IF(AND($T184&lt;&gt;"",$T184=$T183),$U183,IF(B184="x",U183,"")))</f>
        <v/>
      </c>
      <c r="V184" t="str">
        <f>IF(C184=1,MAX($V$2:$V183)+1,IF(AND($T184&lt;&gt;"",$T184=$T183),$U183,IF(C184="x",V183,"")))</f>
        <v/>
      </c>
      <c r="W184" t="str">
        <f t="shared" si="82"/>
        <v>a</v>
      </c>
      <c r="X184">
        <v>9</v>
      </c>
      <c r="Y184" t="e">
        <f>IF(X184&lt;&gt;"",VLOOKUP(X184,game_rosters!$C$43:$E$64,3,FALSE))</f>
        <v>#N/A</v>
      </c>
      <c r="Z184" cm="1">
        <f t="array" ref="Z184">IFERROR(IF(_xlfn._xlws.FILTER(game_rosters!$J:$J,(game_rosters!$G:$G=events!$AN184)*(game_rosters!$J:$J=events!$X184))&gt;0,1,""),"")</f>
        <v>1</v>
      </c>
      <c r="AA184">
        <f t="shared" si="83"/>
        <v>1096</v>
      </c>
      <c r="AB184" t="str">
        <f t="shared" si="84"/>
        <v/>
      </c>
      <c r="AC184">
        <f t="shared" si="81"/>
        <v>1096</v>
      </c>
      <c r="AD184" s="6">
        <v>1</v>
      </c>
      <c r="AE184" t="s">
        <v>745</v>
      </c>
      <c r="AF184" t="s">
        <v>918</v>
      </c>
      <c r="AG184" t="s">
        <v>745</v>
      </c>
      <c r="AH184" t="s">
        <v>919</v>
      </c>
      <c r="AI184" t="s">
        <v>367</v>
      </c>
      <c r="AJ184" t="str">
        <f t="shared" si="112"/>
        <v/>
      </c>
      <c r="AK184" t="str">
        <f t="shared" si="112"/>
        <v/>
      </c>
      <c r="AL184" t="str">
        <f t="shared" si="86"/>
        <v/>
      </c>
      <c r="AN184" t="s">
        <v>862</v>
      </c>
      <c r="AO184" t="str">
        <f t="shared" si="87"/>
        <v>a</v>
      </c>
      <c r="AP184" t="str">
        <f t="shared" si="94"/>
        <v/>
      </c>
      <c r="AQ184" t="str">
        <f t="shared" si="95"/>
        <v/>
      </c>
      <c r="AR184" t="str">
        <f t="shared" si="96"/>
        <v>Away</v>
      </c>
      <c r="AS184" t="str">
        <f t="shared" si="97"/>
        <v>a</v>
      </c>
      <c r="AT184" t="str">
        <f t="shared" si="98"/>
        <v>Offensive</v>
      </c>
      <c r="BA184" s="6">
        <f t="shared" si="88"/>
        <v>41</v>
      </c>
      <c r="BB184">
        <f t="shared" si="89"/>
        <v>18981</v>
      </c>
      <c r="BC184" t="str">
        <f t="shared" si="90"/>
        <v>Nelson</v>
      </c>
      <c r="BD184" t="str">
        <f t="shared" si="91"/>
        <v>Velodrome</v>
      </c>
      <c r="BE184" t="s">
        <v>13</v>
      </c>
      <c r="BF184" t="s">
        <v>756</v>
      </c>
      <c r="BG184" t="s">
        <v>756</v>
      </c>
      <c r="BI184" cm="1">
        <f t="array" ref="BI184">IFERROR(_xlfn._xlws.FILTER(shifts!A:A,(shifts!B:B=events!AD184)*(shifts!AG:AG&gt;=events!BK184)*(shifts!AH:AH&lt;=events!BL184)),BI183)</f>
        <v>6</v>
      </c>
      <c r="BJ184" s="15">
        <f t="shared" si="92"/>
        <v>2</v>
      </c>
      <c r="BK184">
        <f t="shared" si="99"/>
        <v>862</v>
      </c>
      <c r="BL184">
        <f t="shared" si="100"/>
        <v>860</v>
      </c>
      <c r="BM184" s="15">
        <f>SUMIFS(BJ$2:BJ184,K$2:K184,"=Intermission")+SUMIFS(BJ$2:BJ184,K$2:K184,"=Timeout")</f>
        <v>0</v>
      </c>
      <c r="BN184">
        <f t="shared" si="101"/>
        <v>0</v>
      </c>
      <c r="BO184" s="19">
        <f t="shared" si="102"/>
        <v>218</v>
      </c>
      <c r="BP184">
        <f t="shared" si="103"/>
        <v>213</v>
      </c>
      <c r="BQ184" s="17">
        <f t="shared" si="104"/>
        <v>220</v>
      </c>
      <c r="BR184" t="str">
        <f t="shared" si="105"/>
        <v>event_team_player_1</v>
      </c>
      <c r="BS184">
        <f>COUNTIFS(S$3:S184,"="&amp;S184,AI$3:AI184,"="&amp;AI184)</f>
        <v>1</v>
      </c>
      <c r="BT184" t="str">
        <f>IFERROR(VLOOKUP(BB184&amp;BU184&amp;X184,game_rosters!U:W,3,FALSE),"")</f>
        <v>P100105</v>
      </c>
      <c r="BU184" t="str">
        <f t="shared" si="106"/>
        <v>Velodrome</v>
      </c>
    </row>
    <row r="185" spans="1:73" x14ac:dyDescent="0.2">
      <c r="A185">
        <f t="shared" si="93"/>
        <v>1</v>
      </c>
      <c r="E185" s="4"/>
      <c r="F185" s="43"/>
      <c r="G185" s="4"/>
      <c r="H185" s="46"/>
      <c r="J185" s="44" t="str">
        <f t="shared" si="107"/>
        <v>d</v>
      </c>
      <c r="K185" t="s">
        <v>238</v>
      </c>
      <c r="L185" t="s">
        <v>184</v>
      </c>
      <c r="M185" t="s">
        <v>90</v>
      </c>
      <c r="N185" t="str">
        <f t="shared" si="110"/>
        <v>s</v>
      </c>
      <c r="Q185" t="str">
        <f t="shared" si="108"/>
        <v/>
      </c>
      <c r="S185">
        <v>97</v>
      </c>
      <c r="U185" t="str">
        <f>IF(B185=1,MAX($U$2:$U184)+1,IF(AND($T185&lt;&gt;"",$T185=$T184),$U184,IF(B185="x",U184,"")))</f>
        <v/>
      </c>
      <c r="V185" t="str">
        <f>IF(C185=1,MAX($V$2:$V184)+1,IF(AND($T185&lt;&gt;"",$T185=$T184),$U184,IF(C185="x",V184,"")))</f>
        <v/>
      </c>
      <c r="W185" t="str">
        <f t="shared" si="82"/>
        <v>a</v>
      </c>
      <c r="X185">
        <v>9</v>
      </c>
      <c r="Y185" t="e">
        <f>IF(X185&lt;&gt;"",VLOOKUP(X185,game_rosters!$C$43:$E$64,3,FALSE))</f>
        <v>#N/A</v>
      </c>
      <c r="Z185" cm="1">
        <f t="array" ref="Z185">IFERROR(IF(_xlfn._xlws.FILTER(game_rosters!$J:$J,(game_rosters!$G:$G=events!$AN185)*(game_rosters!$J:$J=events!$X185))&gt;0,1,""),"")</f>
        <v>1</v>
      </c>
      <c r="AA185">
        <f t="shared" si="83"/>
        <v>1097</v>
      </c>
      <c r="AB185" t="str">
        <f t="shared" si="84"/>
        <v/>
      </c>
      <c r="AC185">
        <f t="shared" si="81"/>
        <v>1097</v>
      </c>
      <c r="AD185" s="6">
        <v>1</v>
      </c>
      <c r="AE185" t="s">
        <v>745</v>
      </c>
      <c r="AF185" t="s">
        <v>919</v>
      </c>
      <c r="AG185" t="s">
        <v>756</v>
      </c>
      <c r="AH185" t="s">
        <v>756</v>
      </c>
      <c r="AI185" t="s">
        <v>367</v>
      </c>
      <c r="AJ185" t="str">
        <f t="shared" si="112"/>
        <v>d</v>
      </c>
      <c r="AK185" t="str">
        <f t="shared" si="112"/>
        <v>d</v>
      </c>
      <c r="AL185" t="str">
        <f t="shared" si="86"/>
        <v>o</v>
      </c>
      <c r="AN185" t="s">
        <v>862</v>
      </c>
      <c r="AO185" t="str">
        <f t="shared" si="87"/>
        <v>a</v>
      </c>
      <c r="AP185" t="str">
        <f t="shared" si="94"/>
        <v>o</v>
      </c>
      <c r="AQ185" t="str">
        <f t="shared" si="95"/>
        <v/>
      </c>
      <c r="AR185" t="str">
        <f t="shared" si="96"/>
        <v>Away</v>
      </c>
      <c r="AS185" t="str">
        <f t="shared" si="97"/>
        <v>a</v>
      </c>
      <c r="AT185" t="str">
        <f t="shared" si="98"/>
        <v>Offensive</v>
      </c>
      <c r="BA185" s="6">
        <f t="shared" si="88"/>
        <v>42</v>
      </c>
      <c r="BB185">
        <f t="shared" si="89"/>
        <v>18981</v>
      </c>
      <c r="BC185" t="str">
        <f t="shared" si="90"/>
        <v>Nelson</v>
      </c>
      <c r="BD185" t="str">
        <f t="shared" si="91"/>
        <v>Velodrome</v>
      </c>
      <c r="BE185" t="s">
        <v>238</v>
      </c>
      <c r="BF185" t="s">
        <v>184</v>
      </c>
      <c r="BG185" t="s">
        <v>90</v>
      </c>
      <c r="BI185" cm="1">
        <f t="array" ref="BI185">IFERROR(_xlfn._xlws.FILTER(shifts!A:A,(shifts!B:B=events!AD185)*(shifts!AG:AG&gt;=events!BK185)*(shifts!AH:AH&lt;=events!BL185)),BI184)</f>
        <v>6</v>
      </c>
      <c r="BJ185" s="15">
        <f t="shared" si="92"/>
        <v>0</v>
      </c>
      <c r="BK185">
        <f t="shared" si="99"/>
        <v>860</v>
      </c>
      <c r="BL185">
        <f t="shared" si="100"/>
        <v>860</v>
      </c>
      <c r="BM185" s="15">
        <f>SUMIFS(BJ$2:BJ185,K$2:K185,"=Intermission")+SUMIFS(BJ$2:BJ185,K$2:K185,"=Timeout")</f>
        <v>0</v>
      </c>
      <c r="BN185">
        <f t="shared" si="101"/>
        <v>0</v>
      </c>
      <c r="BO185" s="19">
        <f t="shared" si="102"/>
        <v>220</v>
      </c>
      <c r="BP185">
        <f t="shared" si="103"/>
        <v>215</v>
      </c>
      <c r="BQ185" s="17">
        <f t="shared" si="104"/>
        <v>220</v>
      </c>
      <c r="BR185" t="str">
        <f t="shared" si="105"/>
        <v>event_team_player_1</v>
      </c>
      <c r="BS185">
        <f>COUNTIFS(S$3:S185,"="&amp;S185,AI$3:AI185,"="&amp;AI185)</f>
        <v>1</v>
      </c>
      <c r="BT185" t="str">
        <f>IFERROR(VLOOKUP(BB185&amp;BU185&amp;X185,game_rosters!U:W,3,FALSE),"")</f>
        <v>P100105</v>
      </c>
      <c r="BU185" t="str">
        <f t="shared" si="106"/>
        <v>Velodrome</v>
      </c>
    </row>
    <row r="186" spans="1:73" x14ac:dyDescent="0.2">
      <c r="A186">
        <f t="shared" si="93"/>
        <v>1</v>
      </c>
      <c r="E186" s="4"/>
      <c r="F186" s="43"/>
      <c r="G186" s="4"/>
      <c r="H186" s="46"/>
      <c r="J186" s="44" t="str">
        <f t="shared" si="107"/>
        <v>o</v>
      </c>
      <c r="K186" t="s">
        <v>238</v>
      </c>
      <c r="L186" t="s">
        <v>174</v>
      </c>
      <c r="M186" t="s">
        <v>375</v>
      </c>
      <c r="N186" t="str">
        <f t="shared" si="110"/>
        <v>u</v>
      </c>
      <c r="Q186" t="str">
        <f t="shared" si="108"/>
        <v/>
      </c>
      <c r="S186">
        <v>98</v>
      </c>
      <c r="U186" t="str">
        <f>IF(B186=1,MAX($U$2:$U185)+1,IF(AND($T186&lt;&gt;"",$T186=$T185),$U185,IF(B186="x",U185,"")))</f>
        <v/>
      </c>
      <c r="V186" t="str">
        <f>IF(C186=1,MAX($V$2:$V185)+1,IF(AND($T186&lt;&gt;"",$T186=$T185),$U185,IF(C186="x",V185,"")))</f>
        <v/>
      </c>
      <c r="W186" t="str">
        <f t="shared" si="82"/>
        <v>a</v>
      </c>
      <c r="X186">
        <v>9</v>
      </c>
      <c r="Y186" t="e">
        <f>IF(X186&lt;&gt;"",VLOOKUP(X186,game_rosters!$C$43:$E$64,3,FALSE))</f>
        <v>#N/A</v>
      </c>
      <c r="Z186" cm="1">
        <f t="array" ref="Z186">IFERROR(IF(_xlfn._xlws.FILTER(game_rosters!$J:$J,(game_rosters!$G:$G=events!$AN186)*(game_rosters!$J:$J=events!$X186))&gt;0,1,""),"")</f>
        <v>1</v>
      </c>
      <c r="AA186">
        <f t="shared" si="83"/>
        <v>1098</v>
      </c>
      <c r="AB186" t="str">
        <f t="shared" si="84"/>
        <v/>
      </c>
      <c r="AC186">
        <f t="shared" si="81"/>
        <v>1098</v>
      </c>
      <c r="AD186" s="6">
        <v>1</v>
      </c>
      <c r="AE186" t="s">
        <v>745</v>
      </c>
      <c r="AF186" t="s">
        <v>908</v>
      </c>
      <c r="AG186" t="s">
        <v>756</v>
      </c>
      <c r="AH186" t="s">
        <v>756</v>
      </c>
      <c r="AI186" t="s">
        <v>367</v>
      </c>
      <c r="AJ186" t="str">
        <f t="shared" si="112"/>
        <v>o</v>
      </c>
      <c r="AK186" t="str">
        <f t="shared" si="112"/>
        <v>o</v>
      </c>
      <c r="AL186" t="str">
        <f t="shared" si="86"/>
        <v>d</v>
      </c>
      <c r="AN186" t="s">
        <v>862</v>
      </c>
      <c r="AO186" t="str">
        <f t="shared" si="87"/>
        <v>a</v>
      </c>
      <c r="AP186" t="str">
        <f t="shared" si="94"/>
        <v>d</v>
      </c>
      <c r="AQ186" t="str">
        <f t="shared" si="95"/>
        <v/>
      </c>
      <c r="AR186" t="str">
        <f t="shared" si="96"/>
        <v>Away</v>
      </c>
      <c r="AS186" t="str">
        <f t="shared" si="97"/>
        <v>a</v>
      </c>
      <c r="AT186" t="str">
        <f t="shared" si="98"/>
        <v>Offensive</v>
      </c>
      <c r="BA186" s="6">
        <f t="shared" si="88"/>
        <v>43</v>
      </c>
      <c r="BB186">
        <f t="shared" si="89"/>
        <v>18981</v>
      </c>
      <c r="BC186" t="str">
        <f t="shared" si="90"/>
        <v>Nelson</v>
      </c>
      <c r="BD186" t="str">
        <f t="shared" si="91"/>
        <v>Velodrome</v>
      </c>
      <c r="BE186" t="s">
        <v>238</v>
      </c>
      <c r="BF186" t="s">
        <v>174</v>
      </c>
      <c r="BG186" t="s">
        <v>375</v>
      </c>
      <c r="BI186" cm="1">
        <f t="array" ref="BI186">IFERROR(_xlfn._xlws.FILTER(shifts!A:A,(shifts!B:B=events!AD186)*(shifts!AG:AG&gt;=events!BK186)*(shifts!AH:AH&lt;=events!BL186)),BI185)</f>
        <v>6</v>
      </c>
      <c r="BJ186" s="15">
        <f t="shared" si="92"/>
        <v>0</v>
      </c>
      <c r="BK186">
        <f t="shared" si="99"/>
        <v>859</v>
      </c>
      <c r="BL186">
        <f t="shared" si="100"/>
        <v>859</v>
      </c>
      <c r="BM186" s="15">
        <f>SUMIFS(BJ$2:BJ186,K$2:K186,"=Intermission")+SUMIFS(BJ$2:BJ186,K$2:K186,"=Timeout")</f>
        <v>0</v>
      </c>
      <c r="BN186">
        <f t="shared" si="101"/>
        <v>0</v>
      </c>
      <c r="BO186" s="19">
        <f t="shared" si="102"/>
        <v>221</v>
      </c>
      <c r="BP186">
        <f t="shared" si="103"/>
        <v>216</v>
      </c>
      <c r="BQ186" s="17">
        <f t="shared" si="104"/>
        <v>221</v>
      </c>
      <c r="BR186" t="str">
        <f t="shared" si="105"/>
        <v>event_team_player_1</v>
      </c>
      <c r="BS186">
        <f>COUNTIFS(S$3:S186,"="&amp;S186,AI$3:AI186,"="&amp;AI186)</f>
        <v>1</v>
      </c>
      <c r="BT186" t="str">
        <f>IFERROR(VLOOKUP(BB186&amp;BU186&amp;X186,game_rosters!U:W,3,FALSE),"")</f>
        <v>P100105</v>
      </c>
      <c r="BU186" t="str">
        <f t="shared" si="106"/>
        <v>Velodrome</v>
      </c>
    </row>
    <row r="187" spans="1:73" x14ac:dyDescent="0.2">
      <c r="A187">
        <f t="shared" si="93"/>
        <v>1</v>
      </c>
      <c r="E187" s="4"/>
      <c r="F187" s="43"/>
      <c r="G187" s="4"/>
      <c r="H187" s="46"/>
      <c r="J187" s="44" t="str">
        <f t="shared" si="107"/>
        <v/>
      </c>
      <c r="K187" t="s">
        <v>7</v>
      </c>
      <c r="L187" t="s">
        <v>199</v>
      </c>
      <c r="M187" t="s">
        <v>68</v>
      </c>
      <c r="N187" t="str">
        <f t="shared" si="110"/>
        <v>u</v>
      </c>
      <c r="Q187" t="str">
        <f t="shared" si="108"/>
        <v/>
      </c>
      <c r="S187">
        <v>99</v>
      </c>
      <c r="U187" t="str">
        <f>IF(B187=1,MAX($U$2:$U186)+1,IF(AND($T187&lt;&gt;"",$T187=$T186),$U186,IF(B187="x",U186,"")))</f>
        <v/>
      </c>
      <c r="V187" t="str">
        <f>IF(C187=1,MAX($V$2:$V186)+1,IF(AND($T187&lt;&gt;"",$T187=$T186),$U186,IF(C187="x",V186,"")))</f>
        <v/>
      </c>
      <c r="W187" t="str">
        <f t="shared" si="82"/>
        <v>a</v>
      </c>
      <c r="X187">
        <v>49</v>
      </c>
      <c r="Y187" t="e">
        <f>IF(X187&lt;&gt;"",VLOOKUP(X187,game_rosters!$C$43:$E$64,3,FALSE))</f>
        <v>#N/A</v>
      </c>
      <c r="Z187" cm="1">
        <f t="array" ref="Z187">IFERROR(IF(_xlfn._xlws.FILTER(game_rosters!$J:$J,(game_rosters!$G:$G=events!$AN187)*(game_rosters!$J:$J=events!$X187))&gt;0,1,""),"")</f>
        <v>1</v>
      </c>
      <c r="AA187">
        <f t="shared" si="83"/>
        <v>1099</v>
      </c>
      <c r="AB187" t="str">
        <f t="shared" si="84"/>
        <v/>
      </c>
      <c r="AC187">
        <f t="shared" si="81"/>
        <v>1099</v>
      </c>
      <c r="AD187" s="6">
        <v>1</v>
      </c>
      <c r="AE187" t="s">
        <v>745</v>
      </c>
      <c r="AF187" t="s">
        <v>744</v>
      </c>
      <c r="AG187" t="s">
        <v>756</v>
      </c>
      <c r="AH187" t="s">
        <v>756</v>
      </c>
      <c r="AI187" t="s">
        <v>367</v>
      </c>
      <c r="AJ187" t="str">
        <f t="shared" si="112"/>
        <v/>
      </c>
      <c r="AK187" t="str">
        <f t="shared" si="112"/>
        <v/>
      </c>
      <c r="AL187" t="str">
        <f t="shared" si="86"/>
        <v/>
      </c>
      <c r="AN187" t="s">
        <v>862</v>
      </c>
      <c r="AO187" t="str">
        <f t="shared" si="87"/>
        <v>a</v>
      </c>
      <c r="AP187" t="str">
        <f t="shared" si="94"/>
        <v/>
      </c>
      <c r="AQ187" t="str">
        <f t="shared" si="95"/>
        <v/>
      </c>
      <c r="AR187" t="str">
        <f t="shared" si="96"/>
        <v>Away</v>
      </c>
      <c r="AS187" t="str">
        <f t="shared" si="97"/>
        <v>a</v>
      </c>
      <c r="AT187" t="str">
        <f t="shared" si="98"/>
        <v>Offensive</v>
      </c>
      <c r="BA187" s="6">
        <f t="shared" si="88"/>
        <v>43</v>
      </c>
      <c r="BB187">
        <f t="shared" si="89"/>
        <v>18981</v>
      </c>
      <c r="BC187" t="str">
        <f t="shared" si="90"/>
        <v>Nelson</v>
      </c>
      <c r="BD187" t="str">
        <f t="shared" si="91"/>
        <v>Velodrome</v>
      </c>
      <c r="BE187" t="s">
        <v>7</v>
      </c>
      <c r="BF187" t="s">
        <v>199</v>
      </c>
      <c r="BG187" t="s">
        <v>68</v>
      </c>
      <c r="BI187" cm="1">
        <f t="array" ref="BI187">IFERROR(_xlfn._xlws.FILTER(shifts!A:A,(shifts!B:B=events!AD187)*(shifts!AG:AG&gt;=events!BK187)*(shifts!AH:AH&lt;=events!BL187)),BI186)</f>
        <v>6</v>
      </c>
      <c r="BJ187" s="15">
        <f t="shared" si="92"/>
        <v>0</v>
      </c>
      <c r="BK187">
        <f t="shared" si="99"/>
        <v>855</v>
      </c>
      <c r="BL187">
        <f t="shared" si="100"/>
        <v>855</v>
      </c>
      <c r="BM187" s="15">
        <f>SUMIFS(BJ$2:BJ187,K$2:K187,"=Intermission")+SUMIFS(BJ$2:BJ187,K$2:K187,"=Timeout")</f>
        <v>0</v>
      </c>
      <c r="BN187">
        <f t="shared" si="101"/>
        <v>0</v>
      </c>
      <c r="BO187" s="19">
        <f t="shared" si="102"/>
        <v>225</v>
      </c>
      <c r="BP187">
        <f t="shared" si="103"/>
        <v>220</v>
      </c>
      <c r="BQ187" s="17">
        <f t="shared" si="104"/>
        <v>225</v>
      </c>
      <c r="BR187" t="str">
        <f t="shared" si="105"/>
        <v>event_team_player_1</v>
      </c>
      <c r="BS187">
        <f>COUNTIFS(S$3:S187,"="&amp;S187,AI$3:AI187,"="&amp;AI187)</f>
        <v>1</v>
      </c>
      <c r="BT187" t="str">
        <f>IFERROR(VLOOKUP(BB187&amp;BU187&amp;X187,game_rosters!U:W,3,FALSE),"")</f>
        <v>P100161</v>
      </c>
      <c r="BU187" t="str">
        <f t="shared" si="106"/>
        <v>Velodrome</v>
      </c>
    </row>
    <row r="188" spans="1:73" x14ac:dyDescent="0.2">
      <c r="A188">
        <f t="shared" si="93"/>
        <v>1</v>
      </c>
      <c r="E188" s="4"/>
      <c r="F188" s="43"/>
      <c r="G188" s="4"/>
      <c r="H188" s="46"/>
      <c r="J188" s="44" t="str">
        <f t="shared" si="107"/>
        <v/>
      </c>
      <c r="K188" t="s">
        <v>7</v>
      </c>
      <c r="L188" t="s">
        <v>199</v>
      </c>
      <c r="M188" t="s">
        <v>68</v>
      </c>
      <c r="N188" t="str">
        <f t="shared" si="110"/>
        <v>u</v>
      </c>
      <c r="Q188" t="str">
        <f t="shared" si="108"/>
        <v/>
      </c>
      <c r="S188">
        <v>99</v>
      </c>
      <c r="U188" t="str">
        <f>IF(B188=1,MAX($U$2:$U187)+1,IF(AND($T188&lt;&gt;"",$T188=$T187),$U187,IF(B188="x",U187,"")))</f>
        <v/>
      </c>
      <c r="V188" t="str">
        <f>IF(C188=1,MAX($V$2:$V187)+1,IF(AND($T188&lt;&gt;"",$T188=$T187),$U187,IF(C188="x",V187,"")))</f>
        <v/>
      </c>
      <c r="W188" t="str">
        <f t="shared" si="82"/>
        <v>a</v>
      </c>
      <c r="X188">
        <v>23</v>
      </c>
      <c r="Y188" t="b">
        <f>IF(X188&lt;&gt;"",VLOOKUP(X188,game_rosters!$C$43:$E$64,3,FALSE))</f>
        <v>0</v>
      </c>
      <c r="Z188" t="str" cm="1">
        <f t="array" ref="Z188">IFERROR(IF(_xlfn._xlws.FILTER(game_rosters!$J:$J,(game_rosters!$G:$G=events!$AN188)*(game_rosters!$J:$J=events!$X188))&gt;0,1,""),"")</f>
        <v/>
      </c>
      <c r="AA188">
        <f t="shared" si="83"/>
        <v>1099</v>
      </c>
      <c r="AB188" t="str">
        <f t="shared" si="84"/>
        <v/>
      </c>
      <c r="AC188">
        <f t="shared" si="81"/>
        <v>1099</v>
      </c>
      <c r="AD188" s="6">
        <v>1</v>
      </c>
      <c r="AE188" t="s">
        <v>745</v>
      </c>
      <c r="AF188" t="s">
        <v>744</v>
      </c>
      <c r="AG188" t="s">
        <v>756</v>
      </c>
      <c r="AH188" t="s">
        <v>756</v>
      </c>
      <c r="AI188" t="s">
        <v>368</v>
      </c>
      <c r="AJ188" t="str">
        <f t="shared" si="112"/>
        <v/>
      </c>
      <c r="AK188" t="str">
        <f t="shared" si="112"/>
        <v/>
      </c>
      <c r="AL188" t="str">
        <f t="shared" si="86"/>
        <v/>
      </c>
      <c r="AN188" t="s">
        <v>862</v>
      </c>
      <c r="AO188" t="str">
        <f t="shared" si="87"/>
        <v>a</v>
      </c>
      <c r="AP188" t="str">
        <f t="shared" si="94"/>
        <v/>
      </c>
      <c r="AQ188" t="str">
        <f t="shared" si="95"/>
        <v/>
      </c>
      <c r="AR188" t="str">
        <f t="shared" si="96"/>
        <v>Away</v>
      </c>
      <c r="AS188" t="str">
        <f t="shared" si="97"/>
        <v>a</v>
      </c>
      <c r="AT188" t="str">
        <f t="shared" si="98"/>
        <v>Defensive</v>
      </c>
      <c r="BA188" s="6">
        <f t="shared" si="88"/>
        <v>43</v>
      </c>
      <c r="BB188">
        <f t="shared" si="89"/>
        <v>18981</v>
      </c>
      <c r="BC188" t="str">
        <f t="shared" si="90"/>
        <v>Nelson</v>
      </c>
      <c r="BD188" t="str">
        <f t="shared" si="91"/>
        <v>Velodrome</v>
      </c>
      <c r="BE188" t="s">
        <v>7</v>
      </c>
      <c r="BF188" t="s">
        <v>199</v>
      </c>
      <c r="BG188" t="s">
        <v>68</v>
      </c>
      <c r="BI188" cm="1">
        <f t="array" ref="BI188">IFERROR(_xlfn._xlws.FILTER(shifts!A:A,(shifts!B:B=events!AD188)*(shifts!AG:AG&gt;=events!BK188)*(shifts!AH:AH&lt;=events!BL188)),BI187)</f>
        <v>6</v>
      </c>
      <c r="BJ188" s="15">
        <f t="shared" si="92"/>
        <v>0</v>
      </c>
      <c r="BK188">
        <f t="shared" si="99"/>
        <v>855</v>
      </c>
      <c r="BL188">
        <f t="shared" si="100"/>
        <v>855</v>
      </c>
      <c r="BM188" s="15">
        <f>SUMIFS(BJ$2:BJ188,K$2:K188,"=Intermission")+SUMIFS(BJ$2:BJ188,K$2:K188,"=Timeout")</f>
        <v>0</v>
      </c>
      <c r="BN188">
        <f t="shared" si="101"/>
        <v>0</v>
      </c>
      <c r="BO188" s="19">
        <f t="shared" si="102"/>
        <v>225</v>
      </c>
      <c r="BP188">
        <f t="shared" si="103"/>
        <v>220</v>
      </c>
      <c r="BQ188" s="17">
        <f t="shared" si="104"/>
        <v>225</v>
      </c>
      <c r="BR188" t="str">
        <f t="shared" si="105"/>
        <v>opp_team_player_1</v>
      </c>
      <c r="BS188">
        <f>COUNTIFS(S$3:S188,"="&amp;S188,AI$3:AI188,"="&amp;AI188)</f>
        <v>1</v>
      </c>
      <c r="BT188" t="str">
        <f>IFERROR(VLOOKUP(BB188&amp;BU188&amp;X188,game_rosters!U:W,3,FALSE),"")</f>
        <v>P100061</v>
      </c>
      <c r="BU188" t="str">
        <f t="shared" si="106"/>
        <v>Nelson</v>
      </c>
    </row>
    <row r="189" spans="1:73" x14ac:dyDescent="0.2">
      <c r="A189">
        <f t="shared" si="93"/>
        <v>1</v>
      </c>
      <c r="E189" s="4"/>
      <c r="F189" s="43"/>
      <c r="G189" s="4"/>
      <c r="H189" s="46"/>
      <c r="J189" s="44" t="str">
        <f t="shared" si="107"/>
        <v/>
      </c>
      <c r="K189" t="s">
        <v>9</v>
      </c>
      <c r="L189" t="s">
        <v>173</v>
      </c>
      <c r="M189" t="s">
        <v>73</v>
      </c>
      <c r="N189" t="str">
        <f t="shared" si="110"/>
        <v>u</v>
      </c>
      <c r="Q189" t="str">
        <f t="shared" si="108"/>
        <v/>
      </c>
      <c r="S189">
        <v>100</v>
      </c>
      <c r="U189" t="str">
        <f>IF(B189=1,MAX($U$2:$U188)+1,IF(AND($T189&lt;&gt;"",$T189=$T188),$U188,IF(B189="x",U188,"")))</f>
        <v/>
      </c>
      <c r="V189" t="str">
        <f>IF(C189=1,MAX($V$2:$V188)+1,IF(AND($T189&lt;&gt;"",$T189=$T188),$U188,IF(C189="x",V188,"")))</f>
        <v/>
      </c>
      <c r="W189" t="str">
        <f t="shared" si="82"/>
        <v>a</v>
      </c>
      <c r="X189">
        <v>49</v>
      </c>
      <c r="Y189" t="e">
        <f>IF(X189&lt;&gt;"",VLOOKUP(X189,game_rosters!$C$43:$E$64,3,FALSE))</f>
        <v>#N/A</v>
      </c>
      <c r="Z189" cm="1">
        <f t="array" ref="Z189">IFERROR(IF(_xlfn._xlws.FILTER(game_rosters!$J:$J,(game_rosters!$G:$G=events!$AN189)*(game_rosters!$J:$J=events!$X189))&gt;0,1,""),"")</f>
        <v>1</v>
      </c>
      <c r="AA189">
        <f t="shared" si="83"/>
        <v>1100</v>
      </c>
      <c r="AB189" t="str">
        <f t="shared" si="84"/>
        <v/>
      </c>
      <c r="AC189">
        <f t="shared" si="81"/>
        <v>1100</v>
      </c>
      <c r="AD189" s="6">
        <v>1</v>
      </c>
      <c r="AE189" t="s">
        <v>745</v>
      </c>
      <c r="AF189" t="s">
        <v>744</v>
      </c>
      <c r="AG189" t="s">
        <v>756</v>
      </c>
      <c r="AH189" t="s">
        <v>756</v>
      </c>
      <c r="AI189" t="s">
        <v>367</v>
      </c>
      <c r="AJ189" t="str">
        <f t="shared" si="112"/>
        <v/>
      </c>
      <c r="AK189" t="str">
        <f t="shared" si="112"/>
        <v/>
      </c>
      <c r="AL189" t="str">
        <f t="shared" si="86"/>
        <v/>
      </c>
      <c r="AN189" t="s">
        <v>862</v>
      </c>
      <c r="AO189" t="str">
        <f t="shared" si="87"/>
        <v>a</v>
      </c>
      <c r="AP189" t="str">
        <f t="shared" si="94"/>
        <v/>
      </c>
      <c r="AQ189" t="str">
        <f t="shared" si="95"/>
        <v/>
      </c>
      <c r="AR189" t="str">
        <f t="shared" si="96"/>
        <v>Away</v>
      </c>
      <c r="AS189" t="str">
        <f t="shared" si="97"/>
        <v>a</v>
      </c>
      <c r="AT189" t="str">
        <f t="shared" si="98"/>
        <v>Offensive</v>
      </c>
      <c r="BA189" s="6">
        <f t="shared" si="88"/>
        <v>43</v>
      </c>
      <c r="BB189">
        <f t="shared" si="89"/>
        <v>18981</v>
      </c>
      <c r="BC189" t="str">
        <f t="shared" si="90"/>
        <v>Nelson</v>
      </c>
      <c r="BD189" t="str">
        <f t="shared" si="91"/>
        <v>Velodrome</v>
      </c>
      <c r="BE189" t="s">
        <v>9</v>
      </c>
      <c r="BF189" t="s">
        <v>173</v>
      </c>
      <c r="BG189" t="s">
        <v>73</v>
      </c>
      <c r="BI189" cm="1">
        <f t="array" ref="BI189">IFERROR(_xlfn._xlws.FILTER(shifts!A:A,(shifts!B:B=events!AD189)*(shifts!AG:AG&gt;=events!BK189)*(shifts!AH:AH&lt;=events!BL189)),BI188)</f>
        <v>6</v>
      </c>
      <c r="BJ189" s="15">
        <f t="shared" si="92"/>
        <v>0</v>
      </c>
      <c r="BK189">
        <f t="shared" si="99"/>
        <v>855</v>
      </c>
      <c r="BL189">
        <f t="shared" si="100"/>
        <v>855</v>
      </c>
      <c r="BM189" s="15">
        <f>SUMIFS(BJ$2:BJ189,K$2:K189,"=Intermission")+SUMIFS(BJ$2:BJ189,K$2:K189,"=Timeout")</f>
        <v>0</v>
      </c>
      <c r="BN189">
        <f t="shared" si="101"/>
        <v>0</v>
      </c>
      <c r="BO189" s="19">
        <f t="shared" si="102"/>
        <v>225</v>
      </c>
      <c r="BP189">
        <f t="shared" si="103"/>
        <v>220</v>
      </c>
      <c r="BQ189" s="17">
        <f t="shared" si="104"/>
        <v>225</v>
      </c>
      <c r="BR189" t="str">
        <f t="shared" si="105"/>
        <v>event_team_player_1</v>
      </c>
      <c r="BS189">
        <f>COUNTIFS(S$3:S189,"="&amp;S189,AI$3:AI189,"="&amp;AI189)</f>
        <v>1</v>
      </c>
      <c r="BT189" t="str">
        <f>IFERROR(VLOOKUP(BB189&amp;BU189&amp;X189,game_rosters!U:W,3,FALSE),"")</f>
        <v>P100161</v>
      </c>
      <c r="BU189" t="str">
        <f t="shared" si="106"/>
        <v>Velodrome</v>
      </c>
    </row>
    <row r="190" spans="1:73" x14ac:dyDescent="0.2">
      <c r="A190">
        <f t="shared" si="93"/>
        <v>1</v>
      </c>
      <c r="E190" s="4"/>
      <c r="F190" s="43"/>
      <c r="G190" s="4"/>
      <c r="H190" s="46"/>
      <c r="J190" s="44" t="str">
        <f t="shared" si="107"/>
        <v/>
      </c>
      <c r="K190" t="s">
        <v>9</v>
      </c>
      <c r="L190" t="s">
        <v>173</v>
      </c>
      <c r="M190" t="s">
        <v>73</v>
      </c>
      <c r="N190" t="str">
        <f t="shared" si="110"/>
        <v>u</v>
      </c>
      <c r="Q190" t="str">
        <f t="shared" si="108"/>
        <v/>
      </c>
      <c r="S190">
        <v>100</v>
      </c>
      <c r="U190" t="str">
        <f>IF(B190=1,MAX($U$2:$U189)+1,IF(AND($T190&lt;&gt;"",$T190=$T189),$U189,IF(B190="x",U189,"")))</f>
        <v/>
      </c>
      <c r="V190" t="str">
        <f>IF(C190=1,MAX($V$2:$V189)+1,IF(AND($T190&lt;&gt;"",$T190=$T189),$U189,IF(C190="x",V189,"")))</f>
        <v/>
      </c>
      <c r="W190" t="str">
        <f t="shared" si="82"/>
        <v>a</v>
      </c>
      <c r="X190">
        <v>23</v>
      </c>
      <c r="Y190" t="b">
        <f>IF(X190&lt;&gt;"",VLOOKUP(X190,game_rosters!$C$43:$E$64,3,FALSE))</f>
        <v>0</v>
      </c>
      <c r="Z190" t="str" cm="1">
        <f t="array" ref="Z190">IFERROR(IF(_xlfn._xlws.FILTER(game_rosters!$J:$J,(game_rosters!$G:$G=events!$AN190)*(game_rosters!$J:$J=events!$X190))&gt;0,1,""),"")</f>
        <v/>
      </c>
      <c r="AA190">
        <f t="shared" si="83"/>
        <v>1100</v>
      </c>
      <c r="AB190" t="str">
        <f t="shared" si="84"/>
        <v/>
      </c>
      <c r="AC190">
        <f t="shared" si="81"/>
        <v>1100</v>
      </c>
      <c r="AD190" s="6">
        <v>1</v>
      </c>
      <c r="AE190" t="s">
        <v>745</v>
      </c>
      <c r="AF190" t="s">
        <v>744</v>
      </c>
      <c r="AG190" t="s">
        <v>756</v>
      </c>
      <c r="AH190" t="s">
        <v>756</v>
      </c>
      <c r="AI190" t="s">
        <v>368</v>
      </c>
      <c r="AJ190" t="str">
        <f t="shared" si="112"/>
        <v/>
      </c>
      <c r="AK190" t="str">
        <f t="shared" si="112"/>
        <v/>
      </c>
      <c r="AL190" t="str">
        <f t="shared" si="86"/>
        <v/>
      </c>
      <c r="AN190" t="s">
        <v>862</v>
      </c>
      <c r="AO190" t="str">
        <f t="shared" si="87"/>
        <v>a</v>
      </c>
      <c r="AP190" t="str">
        <f t="shared" si="94"/>
        <v/>
      </c>
      <c r="AQ190" t="str">
        <f t="shared" si="95"/>
        <v/>
      </c>
      <c r="AR190" t="str">
        <f t="shared" si="96"/>
        <v>Away</v>
      </c>
      <c r="AS190" t="str">
        <f t="shared" si="97"/>
        <v>a</v>
      </c>
      <c r="AT190" t="str">
        <f t="shared" si="98"/>
        <v>Defensive</v>
      </c>
      <c r="BA190" s="6">
        <f t="shared" si="88"/>
        <v>43</v>
      </c>
      <c r="BB190">
        <f t="shared" si="89"/>
        <v>18981</v>
      </c>
      <c r="BC190" t="str">
        <f t="shared" si="90"/>
        <v>Nelson</v>
      </c>
      <c r="BD190" t="str">
        <f t="shared" si="91"/>
        <v>Velodrome</v>
      </c>
      <c r="BE190" t="s">
        <v>9</v>
      </c>
      <c r="BF190" t="s">
        <v>173</v>
      </c>
      <c r="BG190" t="s">
        <v>73</v>
      </c>
      <c r="BI190" cm="1">
        <f t="array" ref="BI190">IFERROR(_xlfn._xlws.FILTER(shifts!A:A,(shifts!B:B=events!AD190)*(shifts!AG:AG&gt;=events!BK190)*(shifts!AH:AH&lt;=events!BL190)),BI189)</f>
        <v>6</v>
      </c>
      <c r="BJ190" s="15">
        <f t="shared" si="92"/>
        <v>0</v>
      </c>
      <c r="BK190">
        <f t="shared" si="99"/>
        <v>855</v>
      </c>
      <c r="BL190">
        <f t="shared" si="100"/>
        <v>855</v>
      </c>
      <c r="BM190" s="15">
        <f>SUMIFS(BJ$2:BJ190,K$2:K190,"=Intermission")+SUMIFS(BJ$2:BJ190,K$2:K190,"=Timeout")</f>
        <v>0</v>
      </c>
      <c r="BN190">
        <f t="shared" si="101"/>
        <v>0</v>
      </c>
      <c r="BO190" s="19">
        <f t="shared" si="102"/>
        <v>225</v>
      </c>
      <c r="BP190">
        <f t="shared" si="103"/>
        <v>220</v>
      </c>
      <c r="BQ190" s="17">
        <f t="shared" si="104"/>
        <v>225</v>
      </c>
      <c r="BR190" t="str">
        <f t="shared" si="105"/>
        <v>opp_team_player_1</v>
      </c>
      <c r="BS190">
        <f>COUNTIFS(S$3:S190,"="&amp;S190,AI$3:AI190,"="&amp;AI190)</f>
        <v>1</v>
      </c>
      <c r="BT190" t="str">
        <f>IFERROR(VLOOKUP(BB190&amp;BU190&amp;X190,game_rosters!U:W,3,FALSE),"")</f>
        <v>P100061</v>
      </c>
      <c r="BU190" t="str">
        <f t="shared" si="106"/>
        <v>Nelson</v>
      </c>
    </row>
    <row r="191" spans="1:73" x14ac:dyDescent="0.2">
      <c r="A191">
        <f t="shared" si="93"/>
        <v>1</v>
      </c>
      <c r="E191" s="4"/>
      <c r="F191" s="43"/>
      <c r="G191" s="4"/>
      <c r="H191" s="46"/>
      <c r="J191" s="44" t="str">
        <f t="shared" si="107"/>
        <v/>
      </c>
      <c r="K191" t="s">
        <v>9</v>
      </c>
      <c r="L191" t="s">
        <v>173</v>
      </c>
      <c r="M191" t="s">
        <v>365</v>
      </c>
      <c r="N191" t="str">
        <f t="shared" si="110"/>
        <v>u</v>
      </c>
      <c r="Q191" t="str">
        <f t="shared" si="108"/>
        <v/>
      </c>
      <c r="S191">
        <v>101</v>
      </c>
      <c r="U191" t="str">
        <f>IF(B191=1,MAX($U$2:$U190)+1,IF(AND($T191&lt;&gt;"",$T191=$T190),$U190,IF(B191="x",U190,"")))</f>
        <v/>
      </c>
      <c r="V191" t="str">
        <f>IF(C191=1,MAX($V$2:$V190)+1,IF(AND($T191&lt;&gt;"",$T191=$T190),$U190,IF(C191="x",V190,"")))</f>
        <v/>
      </c>
      <c r="W191" t="str">
        <f t="shared" si="82"/>
        <v>h</v>
      </c>
      <c r="X191">
        <v>23</v>
      </c>
      <c r="Y191" t="b">
        <f>IF(X191&lt;&gt;"",VLOOKUP(X191,game_rosters!$C$43:$E$64,3,FALSE))</f>
        <v>0</v>
      </c>
      <c r="Z191" cm="1">
        <f t="array" ref="Z191">IFERROR(IF(_xlfn._xlws.FILTER(game_rosters!$J:$J,(game_rosters!$G:$G=events!$AN191)*(game_rosters!$J:$J=events!$X191))&gt;0,1,""),"")</f>
        <v>1</v>
      </c>
      <c r="AA191">
        <f t="shared" si="83"/>
        <v>1101</v>
      </c>
      <c r="AB191" t="str">
        <f t="shared" si="84"/>
        <v/>
      </c>
      <c r="AC191">
        <f t="shared" si="81"/>
        <v>1101</v>
      </c>
      <c r="AD191" s="6">
        <v>1</v>
      </c>
      <c r="AE191" t="s">
        <v>745</v>
      </c>
      <c r="AF191" t="s">
        <v>926</v>
      </c>
      <c r="AG191" t="s">
        <v>756</v>
      </c>
      <c r="AH191" t="s">
        <v>756</v>
      </c>
      <c r="AI191" t="s">
        <v>367</v>
      </c>
      <c r="AJ191" t="str">
        <f t="shared" si="112"/>
        <v/>
      </c>
      <c r="AK191" t="str">
        <f t="shared" si="112"/>
        <v/>
      </c>
      <c r="AL191" t="str">
        <f t="shared" si="86"/>
        <v/>
      </c>
      <c r="AN191" t="s">
        <v>861</v>
      </c>
      <c r="AO191" t="str">
        <f t="shared" si="87"/>
        <v>h</v>
      </c>
      <c r="AP191" t="str">
        <f t="shared" si="94"/>
        <v/>
      </c>
      <c r="AQ191" t="str">
        <f t="shared" si="95"/>
        <v/>
      </c>
      <c r="AR191" t="str">
        <f t="shared" si="96"/>
        <v>Home</v>
      </c>
      <c r="AS191" t="str">
        <f t="shared" si="97"/>
        <v>h</v>
      </c>
      <c r="AT191" t="str">
        <f t="shared" si="98"/>
        <v>Offensive</v>
      </c>
      <c r="BA191" s="6">
        <f t="shared" si="88"/>
        <v>43</v>
      </c>
      <c r="BB191">
        <f t="shared" si="89"/>
        <v>18981</v>
      </c>
      <c r="BC191" t="str">
        <f t="shared" si="90"/>
        <v>Nelson</v>
      </c>
      <c r="BD191" t="str">
        <f t="shared" si="91"/>
        <v>Velodrome</v>
      </c>
      <c r="BE191" t="s">
        <v>9</v>
      </c>
      <c r="BF191" t="s">
        <v>173</v>
      </c>
      <c r="BG191" t="s">
        <v>365</v>
      </c>
      <c r="BI191" cm="1">
        <f t="array" ref="BI191">IFERROR(_xlfn._xlws.FILTER(shifts!A:A,(shifts!B:B=events!AD191)*(shifts!AG:AG&gt;=events!BK191)*(shifts!AH:AH&lt;=events!BL191)),BI190)</f>
        <v>6</v>
      </c>
      <c r="BJ191" s="15">
        <f t="shared" si="92"/>
        <v>0</v>
      </c>
      <c r="BK191">
        <f t="shared" si="99"/>
        <v>853</v>
      </c>
      <c r="BL191">
        <f t="shared" si="100"/>
        <v>853</v>
      </c>
      <c r="BM191" s="15">
        <f>SUMIFS(BJ$2:BJ191,K$2:K191,"=Intermission")+SUMIFS(BJ$2:BJ191,K$2:K191,"=Timeout")</f>
        <v>0</v>
      </c>
      <c r="BN191">
        <f t="shared" si="101"/>
        <v>0</v>
      </c>
      <c r="BO191" s="19">
        <f t="shared" si="102"/>
        <v>227</v>
      </c>
      <c r="BP191">
        <f t="shared" si="103"/>
        <v>222</v>
      </c>
      <c r="BQ191" s="17">
        <f t="shared" si="104"/>
        <v>227</v>
      </c>
      <c r="BR191" t="str">
        <f t="shared" si="105"/>
        <v>event_team_player_1</v>
      </c>
      <c r="BS191">
        <f>COUNTIFS(S$3:S191,"="&amp;S191,AI$3:AI191,"="&amp;AI191)</f>
        <v>1</v>
      </c>
      <c r="BT191" t="str">
        <f>IFERROR(VLOOKUP(BB191&amp;BU191&amp;X191,game_rosters!U:W,3,FALSE),"")</f>
        <v>P100061</v>
      </c>
      <c r="BU191" t="str">
        <f t="shared" si="106"/>
        <v>Nelson</v>
      </c>
    </row>
    <row r="192" spans="1:73" x14ac:dyDescent="0.2">
      <c r="A192">
        <f t="shared" si="93"/>
        <v>1</v>
      </c>
      <c r="E192" s="4"/>
      <c r="F192" s="43"/>
      <c r="G192" s="4"/>
      <c r="H192" s="46"/>
      <c r="J192" s="44" t="str">
        <f t="shared" si="107"/>
        <v/>
      </c>
      <c r="K192" t="s">
        <v>238</v>
      </c>
      <c r="L192" t="s">
        <v>193</v>
      </c>
      <c r="M192" t="s">
        <v>91</v>
      </c>
      <c r="N192" t="str">
        <f t="shared" si="110"/>
        <v>s</v>
      </c>
      <c r="Q192" t="str">
        <f t="shared" si="108"/>
        <v/>
      </c>
      <c r="S192">
        <v>102</v>
      </c>
      <c r="U192" t="str">
        <f>IF(B192=1,MAX($U$2:$U191)+1,IF(AND($T192&lt;&gt;"",$T192=$T191),$U191,IF(B192="x",U191,"")))</f>
        <v/>
      </c>
      <c r="V192" t="str">
        <f>IF(C192=1,MAX($V$2:$V191)+1,IF(AND($T192&lt;&gt;"",$T192=$T191),$U191,IF(C192="x",V191,"")))</f>
        <v/>
      </c>
      <c r="W192" t="str">
        <f t="shared" si="82"/>
        <v>a</v>
      </c>
      <c r="X192">
        <v>61</v>
      </c>
      <c r="Y192" t="e">
        <f>IF(X192&lt;&gt;"",VLOOKUP(X192,game_rosters!$C$43:$E$64,3,FALSE))</f>
        <v>#N/A</v>
      </c>
      <c r="Z192" cm="1">
        <f t="array" ref="Z192">IFERROR(IF(_xlfn._xlws.FILTER(game_rosters!$J:$J,(game_rosters!$G:$G=events!$AN192)*(game_rosters!$J:$J=events!$X192))&gt;0,1,""),"")</f>
        <v>1</v>
      </c>
      <c r="AA192">
        <f t="shared" si="83"/>
        <v>1102</v>
      </c>
      <c r="AB192" t="str">
        <f t="shared" si="84"/>
        <v/>
      </c>
      <c r="AC192">
        <f t="shared" si="81"/>
        <v>1102</v>
      </c>
      <c r="AD192" s="6">
        <v>1</v>
      </c>
      <c r="AE192" t="s">
        <v>745</v>
      </c>
      <c r="AF192" t="s">
        <v>910</v>
      </c>
      <c r="AG192" t="s">
        <v>756</v>
      </c>
      <c r="AH192" t="s">
        <v>756</v>
      </c>
      <c r="AI192" t="s">
        <v>367</v>
      </c>
      <c r="AJ192" t="str">
        <f t="shared" si="112"/>
        <v/>
      </c>
      <c r="AK192" t="str">
        <f t="shared" si="112"/>
        <v/>
      </c>
      <c r="AL192" t="str">
        <f t="shared" si="86"/>
        <v/>
      </c>
      <c r="AN192" t="s">
        <v>862</v>
      </c>
      <c r="AO192" t="str">
        <f t="shared" si="87"/>
        <v>a</v>
      </c>
      <c r="AP192" t="str">
        <f t="shared" si="94"/>
        <v/>
      </c>
      <c r="AQ192" t="str">
        <f t="shared" si="95"/>
        <v/>
      </c>
      <c r="AR192" t="str">
        <f t="shared" si="96"/>
        <v>Away</v>
      </c>
      <c r="AS192" t="str">
        <f t="shared" si="97"/>
        <v>a</v>
      </c>
      <c r="AT192" t="str">
        <f t="shared" si="98"/>
        <v>Offensive</v>
      </c>
      <c r="BA192" s="6">
        <f t="shared" si="88"/>
        <v>43</v>
      </c>
      <c r="BB192">
        <f t="shared" si="89"/>
        <v>18981</v>
      </c>
      <c r="BC192" t="str">
        <f t="shared" si="90"/>
        <v>Nelson</v>
      </c>
      <c r="BD192" t="str">
        <f t="shared" si="91"/>
        <v>Velodrome</v>
      </c>
      <c r="BE192" t="s">
        <v>238</v>
      </c>
      <c r="BF192" t="s">
        <v>193</v>
      </c>
      <c r="BG192" t="s">
        <v>91</v>
      </c>
      <c r="BI192" cm="1">
        <f t="array" ref="BI192">IFERROR(_xlfn._xlws.FILTER(shifts!A:A,(shifts!B:B=events!AD192)*(shifts!AG:AG&gt;=events!BK192)*(shifts!AH:AH&lt;=events!BL192)),BI191)</f>
        <v>6</v>
      </c>
      <c r="BJ192" s="15">
        <f t="shared" si="92"/>
        <v>0</v>
      </c>
      <c r="BK192">
        <f t="shared" si="99"/>
        <v>850</v>
      </c>
      <c r="BL192">
        <f t="shared" si="100"/>
        <v>850</v>
      </c>
      <c r="BM192" s="15">
        <f>SUMIFS(BJ$2:BJ192,K$2:K192,"=Intermission")+SUMIFS(BJ$2:BJ192,K$2:K192,"=Timeout")</f>
        <v>0</v>
      </c>
      <c r="BN192">
        <f t="shared" si="101"/>
        <v>0</v>
      </c>
      <c r="BO192" s="19">
        <f t="shared" si="102"/>
        <v>230</v>
      </c>
      <c r="BP192">
        <f t="shared" si="103"/>
        <v>225</v>
      </c>
      <c r="BQ192" s="17">
        <f t="shared" si="104"/>
        <v>230</v>
      </c>
      <c r="BR192" t="str">
        <f t="shared" si="105"/>
        <v>event_team_player_1</v>
      </c>
      <c r="BS192">
        <f>COUNTIFS(S$3:S192,"="&amp;S192,AI$3:AI192,"="&amp;AI192)</f>
        <v>1</v>
      </c>
      <c r="BT192" t="str">
        <f>IFERROR(VLOOKUP(BB192&amp;BU192&amp;X192,game_rosters!U:W,3,FALSE),"")</f>
        <v>P100224</v>
      </c>
      <c r="BU192" t="str">
        <f t="shared" si="106"/>
        <v>Velodrome</v>
      </c>
    </row>
    <row r="193" spans="1:73" x14ac:dyDescent="0.2">
      <c r="A193">
        <f t="shared" si="93"/>
        <v>1</v>
      </c>
      <c r="E193" s="4"/>
      <c r="F193" s="43"/>
      <c r="G193" s="4"/>
      <c r="H193" s="46"/>
      <c r="J193" s="44" t="str">
        <f t="shared" si="107"/>
        <v/>
      </c>
      <c r="K193" t="s">
        <v>238</v>
      </c>
      <c r="L193" t="s">
        <v>193</v>
      </c>
      <c r="M193" t="s">
        <v>91</v>
      </c>
      <c r="N193" t="str">
        <f t="shared" si="110"/>
        <v>s</v>
      </c>
      <c r="Q193" t="str">
        <f t="shared" si="108"/>
        <v/>
      </c>
      <c r="S193">
        <v>102</v>
      </c>
      <c r="U193" t="str">
        <f>IF(B193=1,MAX($U$2:$U192)+1,IF(AND($T193&lt;&gt;"",$T193=$T192),$U192,IF(B193="x",U192,"")))</f>
        <v/>
      </c>
      <c r="V193" t="str">
        <f>IF(C193=1,MAX($V$2:$V192)+1,IF(AND($T193&lt;&gt;"",$T193=$T192),$U192,IF(C193="x",V192,"")))</f>
        <v/>
      </c>
      <c r="W193" t="str">
        <f t="shared" si="82"/>
        <v>a</v>
      </c>
      <c r="X193">
        <v>10</v>
      </c>
      <c r="Y193" t="b">
        <f>IF(X193&lt;&gt;"",VLOOKUP(X193,game_rosters!$C$43:$E$64,3,FALSE))</f>
        <v>0</v>
      </c>
      <c r="Z193" t="str" cm="1">
        <f t="array" ref="Z193">IFERROR(IF(_xlfn._xlws.FILTER(game_rosters!$J:$J,(game_rosters!$G:$G=events!$AN193)*(game_rosters!$J:$J=events!$X193))&gt;0,1,""),"")</f>
        <v/>
      </c>
      <c r="AA193">
        <f t="shared" si="83"/>
        <v>1102</v>
      </c>
      <c r="AB193" t="str">
        <f t="shared" si="84"/>
        <v/>
      </c>
      <c r="AC193">
        <f t="shared" si="81"/>
        <v>1102</v>
      </c>
      <c r="AD193" s="6">
        <v>1</v>
      </c>
      <c r="AE193" t="s">
        <v>745</v>
      </c>
      <c r="AF193" t="s">
        <v>910</v>
      </c>
      <c r="AG193" t="s">
        <v>756</v>
      </c>
      <c r="AH193" t="s">
        <v>756</v>
      </c>
      <c r="AI193" t="s">
        <v>368</v>
      </c>
      <c r="AJ193" t="str">
        <f t="shared" si="112"/>
        <v/>
      </c>
      <c r="AK193" t="str">
        <f t="shared" si="112"/>
        <v/>
      </c>
      <c r="AL193" t="str">
        <f t="shared" si="86"/>
        <v/>
      </c>
      <c r="AN193" t="s">
        <v>862</v>
      </c>
      <c r="AO193" t="str">
        <f t="shared" si="87"/>
        <v>a</v>
      </c>
      <c r="AP193" t="str">
        <f t="shared" si="94"/>
        <v/>
      </c>
      <c r="AQ193" t="str">
        <f t="shared" si="95"/>
        <v/>
      </c>
      <c r="AR193" t="str">
        <f t="shared" si="96"/>
        <v>Away</v>
      </c>
      <c r="AS193" t="str">
        <f t="shared" si="97"/>
        <v>a</v>
      </c>
      <c r="AT193" t="str">
        <f t="shared" si="98"/>
        <v>Defensive</v>
      </c>
      <c r="BA193" s="6">
        <f t="shared" si="88"/>
        <v>43</v>
      </c>
      <c r="BB193">
        <f t="shared" si="89"/>
        <v>18981</v>
      </c>
      <c r="BC193" t="str">
        <f t="shared" si="90"/>
        <v>Nelson</v>
      </c>
      <c r="BD193" t="str">
        <f t="shared" si="91"/>
        <v>Velodrome</v>
      </c>
      <c r="BE193" t="s">
        <v>238</v>
      </c>
      <c r="BF193" t="s">
        <v>193</v>
      </c>
      <c r="BG193" t="s">
        <v>91</v>
      </c>
      <c r="BI193" cm="1">
        <f t="array" ref="BI193">IFERROR(_xlfn._xlws.FILTER(shifts!A:A,(shifts!B:B=events!AD193)*(shifts!AG:AG&gt;=events!BK193)*(shifts!AH:AH&lt;=events!BL193)),BI192)</f>
        <v>6</v>
      </c>
      <c r="BJ193" s="15">
        <f t="shared" si="92"/>
        <v>0</v>
      </c>
      <c r="BK193">
        <f t="shared" si="99"/>
        <v>850</v>
      </c>
      <c r="BL193">
        <f t="shared" si="100"/>
        <v>850</v>
      </c>
      <c r="BM193" s="15">
        <f>SUMIFS(BJ$2:BJ193,K$2:K193,"=Intermission")+SUMIFS(BJ$2:BJ193,K$2:K193,"=Timeout")</f>
        <v>0</v>
      </c>
      <c r="BN193">
        <f t="shared" si="101"/>
        <v>0</v>
      </c>
      <c r="BO193" s="19">
        <f t="shared" si="102"/>
        <v>230</v>
      </c>
      <c r="BP193">
        <f t="shared" si="103"/>
        <v>225</v>
      </c>
      <c r="BQ193" s="17">
        <f t="shared" si="104"/>
        <v>230</v>
      </c>
      <c r="BR193" t="str">
        <f t="shared" si="105"/>
        <v>opp_team_player_1</v>
      </c>
      <c r="BS193">
        <f>COUNTIFS(S$3:S193,"="&amp;S193,AI$3:AI193,"="&amp;AI193)</f>
        <v>1</v>
      </c>
      <c r="BT193" t="str">
        <f>IFERROR(VLOOKUP(BB193&amp;BU193&amp;X193,game_rosters!U:W,3,FALSE),"")</f>
        <v>P100078</v>
      </c>
      <c r="BU193" t="str">
        <f t="shared" si="106"/>
        <v>Nelson</v>
      </c>
    </row>
    <row r="194" spans="1:73" x14ac:dyDescent="0.2">
      <c r="A194">
        <f t="shared" si="93"/>
        <v>1</v>
      </c>
      <c r="E194" s="4"/>
      <c r="F194" s="43"/>
      <c r="G194" s="4"/>
      <c r="H194" s="46"/>
      <c r="J194" s="44" t="str">
        <f t="shared" si="107"/>
        <v/>
      </c>
      <c r="K194" t="s">
        <v>13</v>
      </c>
      <c r="L194" t="s">
        <v>756</v>
      </c>
      <c r="M194" t="s">
        <v>756</v>
      </c>
      <c r="N194" t="str">
        <f t="shared" si="110"/>
        <v/>
      </c>
      <c r="Q194" t="str">
        <f t="shared" si="108"/>
        <v/>
      </c>
      <c r="S194">
        <v>103</v>
      </c>
      <c r="U194" t="str">
        <f>IF(B194=1,MAX($U$2:$U193)+1,IF(AND($T194&lt;&gt;"",$T194=$T193),$U193,IF(B194="x",U193,"")))</f>
        <v/>
      </c>
      <c r="V194" t="str">
        <f>IF(C194=1,MAX($V$2:$V193)+1,IF(AND($T194&lt;&gt;"",$T194=$T193),$U193,IF(C194="x",V193,"")))</f>
        <v/>
      </c>
      <c r="W194" t="str">
        <f t="shared" si="82"/>
        <v>a</v>
      </c>
      <c r="X194">
        <v>61</v>
      </c>
      <c r="Y194" t="e">
        <f>IF(X194&lt;&gt;"",VLOOKUP(X194,game_rosters!$C$43:$E$64,3,FALSE))</f>
        <v>#N/A</v>
      </c>
      <c r="Z194" cm="1">
        <f t="array" ref="Z194">IFERROR(IF(_xlfn._xlws.FILTER(game_rosters!$J:$J,(game_rosters!$G:$G=events!$AN194)*(game_rosters!$J:$J=events!$X194))&gt;0,1,""),"")</f>
        <v>1</v>
      </c>
      <c r="AA194">
        <f t="shared" si="83"/>
        <v>1103</v>
      </c>
      <c r="AB194" t="str">
        <f t="shared" si="84"/>
        <v/>
      </c>
      <c r="AC194">
        <f t="shared" ref="AC194:AC257" si="113">IF(AB194&lt;&gt;"",AB194,S194+1000)</f>
        <v>1103</v>
      </c>
      <c r="AD194" s="6">
        <v>1</v>
      </c>
      <c r="AE194" t="s">
        <v>745</v>
      </c>
      <c r="AF194" t="s">
        <v>910</v>
      </c>
      <c r="AG194" t="s">
        <v>745</v>
      </c>
      <c r="AH194" t="s">
        <v>911</v>
      </c>
      <c r="AI194" t="s">
        <v>367</v>
      </c>
      <c r="AJ194" t="str">
        <f t="shared" si="112"/>
        <v/>
      </c>
      <c r="AK194" t="str">
        <f t="shared" si="112"/>
        <v/>
      </c>
      <c r="AL194" t="str">
        <f t="shared" si="86"/>
        <v/>
      </c>
      <c r="AN194" t="s">
        <v>862</v>
      </c>
      <c r="AO194" t="str">
        <f t="shared" si="87"/>
        <v>a</v>
      </c>
      <c r="AP194" t="str">
        <f t="shared" si="94"/>
        <v/>
      </c>
      <c r="AQ194" t="str">
        <f t="shared" si="95"/>
        <v/>
      </c>
      <c r="AR194" t="str">
        <f t="shared" si="96"/>
        <v>Away</v>
      </c>
      <c r="AS194" t="str">
        <f t="shared" si="97"/>
        <v>a</v>
      </c>
      <c r="AT194" t="str">
        <f t="shared" si="98"/>
        <v>Offensive</v>
      </c>
      <c r="BA194" s="6">
        <f t="shared" si="88"/>
        <v>43</v>
      </c>
      <c r="BB194">
        <f t="shared" si="89"/>
        <v>18981</v>
      </c>
      <c r="BC194" t="str">
        <f t="shared" si="90"/>
        <v>Nelson</v>
      </c>
      <c r="BD194" t="str">
        <f t="shared" si="91"/>
        <v>Velodrome</v>
      </c>
      <c r="BE194" t="s">
        <v>13</v>
      </c>
      <c r="BF194" t="s">
        <v>756</v>
      </c>
      <c r="BG194" t="s">
        <v>756</v>
      </c>
      <c r="BI194" cm="1">
        <f t="array" ref="BI194">IFERROR(_xlfn._xlws.FILTER(shifts!A:A,(shifts!B:B=events!AD194)*(shifts!AG:AG&gt;=events!BK194)*(shifts!AH:AH&lt;=events!BL194)),BI193)</f>
        <v>6</v>
      </c>
      <c r="BJ194" s="15">
        <f t="shared" si="92"/>
        <v>4</v>
      </c>
      <c r="BK194">
        <f t="shared" si="99"/>
        <v>850</v>
      </c>
      <c r="BL194">
        <f t="shared" si="100"/>
        <v>846</v>
      </c>
      <c r="BM194" s="15">
        <f>SUMIFS(BJ$2:BJ194,K$2:K194,"=Intermission")+SUMIFS(BJ$2:BJ194,K$2:K194,"=Timeout")</f>
        <v>0</v>
      </c>
      <c r="BN194">
        <f t="shared" si="101"/>
        <v>0</v>
      </c>
      <c r="BO194" s="19">
        <f t="shared" si="102"/>
        <v>230</v>
      </c>
      <c r="BP194">
        <f t="shared" si="103"/>
        <v>225</v>
      </c>
      <c r="BQ194" s="17">
        <f t="shared" si="104"/>
        <v>234</v>
      </c>
      <c r="BR194" t="str">
        <f t="shared" si="105"/>
        <v>event_team_player_1</v>
      </c>
      <c r="BS194">
        <f>COUNTIFS(S$3:S194,"="&amp;S194,AI$3:AI194,"="&amp;AI194)</f>
        <v>1</v>
      </c>
      <c r="BT194" t="str">
        <f>IFERROR(VLOOKUP(BB194&amp;BU194&amp;X194,game_rosters!U:W,3,FALSE),"")</f>
        <v>P100224</v>
      </c>
      <c r="BU194" t="str">
        <f t="shared" si="106"/>
        <v>Velodrome</v>
      </c>
    </row>
    <row r="195" spans="1:73" x14ac:dyDescent="0.2">
      <c r="A195">
        <f t="shared" si="93"/>
        <v>1</v>
      </c>
      <c r="E195" s="4"/>
      <c r="F195" s="43"/>
      <c r="G195" s="4"/>
      <c r="H195" s="46"/>
      <c r="J195" s="44" t="str">
        <f t="shared" si="107"/>
        <v/>
      </c>
      <c r="K195" t="s">
        <v>13</v>
      </c>
      <c r="L195" t="s">
        <v>756</v>
      </c>
      <c r="M195" t="s">
        <v>756</v>
      </c>
      <c r="N195" t="str">
        <f t="shared" si="110"/>
        <v/>
      </c>
      <c r="Q195" t="str">
        <f t="shared" si="108"/>
        <v/>
      </c>
      <c r="S195">
        <v>104</v>
      </c>
      <c r="U195" t="str">
        <f>IF(B195=1,MAX($U$2:$U194)+1,IF(AND($T195&lt;&gt;"",$T195=$T194),$U194,IF(B195="x",U194,"")))</f>
        <v/>
      </c>
      <c r="V195" t="str">
        <f>IF(C195=1,MAX($V$2:$V194)+1,IF(AND($T195&lt;&gt;"",$T195=$T194),$U194,IF(C195="x",V194,"")))</f>
        <v/>
      </c>
      <c r="W195" t="str">
        <f t="shared" si="82"/>
        <v>a</v>
      </c>
      <c r="X195">
        <v>61</v>
      </c>
      <c r="Y195" t="e">
        <f>IF(X195&lt;&gt;"",VLOOKUP(X195,game_rosters!$C$43:$E$64,3,FALSE))</f>
        <v>#N/A</v>
      </c>
      <c r="Z195" cm="1">
        <f t="array" ref="Z195">IFERROR(IF(_xlfn._xlws.FILTER(game_rosters!$J:$J,(game_rosters!$G:$G=events!$AN195)*(game_rosters!$J:$J=events!$X195))&gt;0,1,""),"")</f>
        <v>1</v>
      </c>
      <c r="AA195">
        <f t="shared" si="83"/>
        <v>1104</v>
      </c>
      <c r="AB195" t="str">
        <f t="shared" si="84"/>
        <v/>
      </c>
      <c r="AC195">
        <f t="shared" si="113"/>
        <v>1104</v>
      </c>
      <c r="AD195" s="6">
        <v>1</v>
      </c>
      <c r="AE195" t="s">
        <v>745</v>
      </c>
      <c r="AF195" t="s">
        <v>911</v>
      </c>
      <c r="AG195" t="s">
        <v>745</v>
      </c>
      <c r="AH195" t="s">
        <v>913</v>
      </c>
      <c r="AI195" t="s">
        <v>367</v>
      </c>
      <c r="AJ195" t="str">
        <f t="shared" si="112"/>
        <v/>
      </c>
      <c r="AK195" t="str">
        <f t="shared" si="112"/>
        <v/>
      </c>
      <c r="AL195" t="str">
        <f t="shared" si="86"/>
        <v/>
      </c>
      <c r="AN195" t="s">
        <v>862</v>
      </c>
      <c r="AO195" t="str">
        <f t="shared" si="87"/>
        <v>a</v>
      </c>
      <c r="AP195" t="str">
        <f t="shared" si="94"/>
        <v/>
      </c>
      <c r="AQ195" t="str">
        <f t="shared" si="95"/>
        <v/>
      </c>
      <c r="AR195" t="str">
        <f t="shared" si="96"/>
        <v>Away</v>
      </c>
      <c r="AS195" t="str">
        <f t="shared" si="97"/>
        <v>a</v>
      </c>
      <c r="AT195" t="str">
        <f t="shared" si="98"/>
        <v>Offensive</v>
      </c>
      <c r="BA195" s="6">
        <f t="shared" si="88"/>
        <v>43</v>
      </c>
      <c r="BB195">
        <f t="shared" si="89"/>
        <v>18981</v>
      </c>
      <c r="BC195" t="str">
        <f t="shared" si="90"/>
        <v>Nelson</v>
      </c>
      <c r="BD195" t="str">
        <f t="shared" si="91"/>
        <v>Velodrome</v>
      </c>
      <c r="BE195" t="s">
        <v>13</v>
      </c>
      <c r="BF195" t="s">
        <v>756</v>
      </c>
      <c r="BG195" t="s">
        <v>756</v>
      </c>
      <c r="BI195" cm="1">
        <f t="array" ref="BI195">IFERROR(_xlfn._xlws.FILTER(shifts!A:A,(shifts!B:B=events!AD195)*(shifts!AG:AG&gt;=events!BK195)*(shifts!AH:AH&lt;=events!BL195)),BI194)</f>
        <v>6</v>
      </c>
      <c r="BJ195" s="15">
        <f t="shared" si="92"/>
        <v>4</v>
      </c>
      <c r="BK195">
        <f t="shared" si="99"/>
        <v>846</v>
      </c>
      <c r="BL195">
        <f t="shared" si="100"/>
        <v>842</v>
      </c>
      <c r="BM195" s="15">
        <f>SUMIFS(BJ$2:BJ195,K$2:K195,"=Intermission")+SUMIFS(BJ$2:BJ195,K$2:K195,"=Timeout")</f>
        <v>0</v>
      </c>
      <c r="BN195">
        <f t="shared" si="101"/>
        <v>0</v>
      </c>
      <c r="BO195" s="19">
        <f t="shared" si="102"/>
        <v>234</v>
      </c>
      <c r="BP195">
        <f t="shared" si="103"/>
        <v>229</v>
      </c>
      <c r="BQ195" s="17">
        <f t="shared" si="104"/>
        <v>238</v>
      </c>
      <c r="BR195" t="str">
        <f t="shared" si="105"/>
        <v>event_team_player_1</v>
      </c>
      <c r="BS195">
        <f>COUNTIFS(S$3:S195,"="&amp;S195,AI$3:AI195,"="&amp;AI195)</f>
        <v>1</v>
      </c>
      <c r="BT195" t="str">
        <f>IFERROR(VLOOKUP(BB195&amp;BU195&amp;X195,game_rosters!U:W,3,FALSE),"")</f>
        <v>P100224</v>
      </c>
      <c r="BU195" t="str">
        <f t="shared" si="106"/>
        <v>Velodrome</v>
      </c>
    </row>
    <row r="196" spans="1:73" x14ac:dyDescent="0.2">
      <c r="A196">
        <f t="shared" si="93"/>
        <v>1</v>
      </c>
      <c r="E196" s="4"/>
      <c r="F196" s="43"/>
      <c r="G196" s="4"/>
      <c r="H196" s="46"/>
      <c r="J196" s="44" t="str">
        <f t="shared" si="107"/>
        <v/>
      </c>
      <c r="K196" t="s">
        <v>7</v>
      </c>
      <c r="L196" t="s">
        <v>182</v>
      </c>
      <c r="M196" t="s">
        <v>68</v>
      </c>
      <c r="N196" t="str">
        <f t="shared" si="110"/>
        <v>u</v>
      </c>
      <c r="Q196" t="str">
        <f t="shared" si="108"/>
        <v/>
      </c>
      <c r="S196">
        <v>105</v>
      </c>
      <c r="U196" t="str">
        <f>IF(B196=1,MAX($U$2:$U195)+1,IF(AND($T196&lt;&gt;"",$T196=$T195),$U195,IF(B196="x",U195,"")))</f>
        <v/>
      </c>
      <c r="V196" t="str">
        <f>IF(C196=1,MAX($V$2:$V195)+1,IF(AND($T196&lt;&gt;"",$T196=$T195),$U195,IF(C196="x",V195,"")))</f>
        <v/>
      </c>
      <c r="W196" t="str">
        <f t="shared" ref="W196:W259" si="114">IF(AN196="Away","a",IF(AN196="Home","h",""))</f>
        <v>a</v>
      </c>
      <c r="X196">
        <v>61</v>
      </c>
      <c r="Y196" t="e">
        <f>IF(X196&lt;&gt;"",VLOOKUP(X196,game_rosters!$C$43:$E$64,3,FALSE))</f>
        <v>#N/A</v>
      </c>
      <c r="Z196" cm="1">
        <f t="array" ref="Z196">IFERROR(IF(_xlfn._xlws.FILTER(game_rosters!$J:$J,(game_rosters!$G:$G=events!$AN196)*(game_rosters!$J:$J=events!$X196))&gt;0,1,""),"")</f>
        <v>1</v>
      </c>
      <c r="AA196">
        <f t="shared" ref="AA196:AA259" si="115">S196+1000</f>
        <v>1105</v>
      </c>
      <c r="AB196" t="str">
        <f t="shared" ref="AB196:AB259" si="116">IF(T196&lt;&gt;"",9000+T196,"")</f>
        <v/>
      </c>
      <c r="AC196">
        <f t="shared" si="113"/>
        <v>1105</v>
      </c>
      <c r="AD196" s="6">
        <v>1</v>
      </c>
      <c r="AE196" t="s">
        <v>745</v>
      </c>
      <c r="AF196" t="s">
        <v>913</v>
      </c>
      <c r="AG196" t="s">
        <v>756</v>
      </c>
      <c r="AH196" t="s">
        <v>756</v>
      </c>
      <c r="AI196" t="s">
        <v>367</v>
      </c>
      <c r="AJ196" t="str">
        <f t="shared" ref="AJ196:AK211" si="117">IF($J196&lt;&gt;"",$J196,IF($AC196=$AC195,AJ195,""))</f>
        <v/>
      </c>
      <c r="AK196" t="str">
        <f t="shared" si="117"/>
        <v/>
      </c>
      <c r="AL196" t="str">
        <f t="shared" ref="AL196:AL259" si="118">IF($W196="","",IF($AJ196="","",IF($W196="h",$AJ196,IF($AJ196="n","n",IF(AND($W196="a",$AJ196="d"),"o",IF(AND($W196="a",$AJ196="o"),"d"))))))</f>
        <v/>
      </c>
      <c r="AN196" t="s">
        <v>862</v>
      </c>
      <c r="AO196" t="str">
        <f t="shared" ref="AO196:AO259" si="119">IF($W196&lt;&gt;"",$W196,IF($AC196=$AC195,AO195,""))</f>
        <v>a</v>
      </c>
      <c r="AP196" t="str">
        <f t="shared" si="94"/>
        <v/>
      </c>
      <c r="AQ196" t="str">
        <f t="shared" si="95"/>
        <v/>
      </c>
      <c r="AR196" t="str">
        <f t="shared" si="96"/>
        <v>Away</v>
      </c>
      <c r="AS196" t="str">
        <f t="shared" si="97"/>
        <v>a</v>
      </c>
      <c r="AT196" t="str">
        <f t="shared" si="98"/>
        <v>Offensive</v>
      </c>
      <c r="BA196" s="6">
        <f t="shared" ref="BA196:BA259" si="120">IF(OR(L196="Zone_Entry",L196="Zone_Exit"),BA195+1,BA195)</f>
        <v>43</v>
      </c>
      <c r="BB196">
        <f t="shared" ref="BB196:BB259" si="121">BB195</f>
        <v>18981</v>
      </c>
      <c r="BC196" t="str">
        <f t="shared" ref="BC196:BC259" si="122">BC195</f>
        <v>Nelson</v>
      </c>
      <c r="BD196" t="str">
        <f t="shared" ref="BD196:BD259" si="123">BD195</f>
        <v>Velodrome</v>
      </c>
      <c r="BE196" t="s">
        <v>7</v>
      </c>
      <c r="BF196" t="s">
        <v>182</v>
      </c>
      <c r="BG196" t="s">
        <v>68</v>
      </c>
      <c r="BI196" cm="1">
        <f t="array" ref="BI196">IFERROR(_xlfn._xlws.FILTER(shifts!A:A,(shifts!B:B=events!AD196)*(shifts!AG:AG&gt;=events!BK196)*(shifts!AH:AH&lt;=events!BL196)),BI195)</f>
        <v>6</v>
      </c>
      <c r="BJ196" s="15">
        <f t="shared" ref="BJ196:BJ259" si="124">IF(AND(AG196="",AH196=""),0,((AE196*60)+AF196)-((AG196*60)+AH196))</f>
        <v>0</v>
      </c>
      <c r="BK196">
        <f t="shared" si="99"/>
        <v>842</v>
      </c>
      <c r="BL196">
        <f t="shared" si="100"/>
        <v>842</v>
      </c>
      <c r="BM196" s="15">
        <f>SUMIFS(BJ$2:BJ196,K$2:K196,"=Intermission")+SUMIFS(BJ$2:BJ196,K$2:K196,"=Timeout")</f>
        <v>0</v>
      </c>
      <c r="BN196">
        <f t="shared" si="101"/>
        <v>0</v>
      </c>
      <c r="BO196" s="19">
        <f t="shared" si="102"/>
        <v>238</v>
      </c>
      <c r="BP196">
        <f t="shared" si="103"/>
        <v>233</v>
      </c>
      <c r="BQ196" s="17">
        <f t="shared" si="104"/>
        <v>238</v>
      </c>
      <c r="BR196" t="str">
        <f t="shared" si="105"/>
        <v>event_team_player_1</v>
      </c>
      <c r="BS196">
        <f>COUNTIFS(S$3:S196,"="&amp;S196,AI$3:AI196,"="&amp;AI196)</f>
        <v>1</v>
      </c>
      <c r="BT196" t="str">
        <f>IFERROR(VLOOKUP(BB196&amp;BU196&amp;X196,game_rosters!U:W,3,FALSE),"")</f>
        <v>P100224</v>
      </c>
      <c r="BU196" t="str">
        <f t="shared" si="106"/>
        <v>Velodrome</v>
      </c>
    </row>
    <row r="197" spans="1:73" x14ac:dyDescent="0.2">
      <c r="A197">
        <f t="shared" ref="A197:A260" si="125">IF(K197&lt;&gt;"",1,IF(D197="x","x",""))</f>
        <v>1</v>
      </c>
      <c r="E197" s="4"/>
      <c r="F197" s="43"/>
      <c r="G197" s="4"/>
      <c r="H197" s="46"/>
      <c r="J197" s="44" t="str">
        <f t="shared" si="107"/>
        <v>d</v>
      </c>
      <c r="K197" t="s">
        <v>238</v>
      </c>
      <c r="L197" t="s">
        <v>184</v>
      </c>
      <c r="M197" t="s">
        <v>378</v>
      </c>
      <c r="N197" t="str">
        <f t="shared" si="110"/>
        <v>s</v>
      </c>
      <c r="Q197" t="str">
        <f t="shared" si="108"/>
        <v/>
      </c>
      <c r="S197">
        <v>106</v>
      </c>
      <c r="U197" t="str">
        <f>IF(B197=1,MAX($U$2:$U196)+1,IF(AND($T197&lt;&gt;"",$T197=$T196),$U196,IF(B197="x",U196,"")))</f>
        <v/>
      </c>
      <c r="V197" t="str">
        <f>IF(C197=1,MAX($V$2:$V196)+1,IF(AND($T197&lt;&gt;"",$T197=$T196),$U196,IF(C197="x",V196,"")))</f>
        <v/>
      </c>
      <c r="W197" t="str">
        <f t="shared" si="114"/>
        <v>h</v>
      </c>
      <c r="X197">
        <v>23</v>
      </c>
      <c r="Y197" t="b">
        <f>IF(X197&lt;&gt;"",VLOOKUP(X197,game_rosters!$C$43:$E$64,3,FALSE))</f>
        <v>0</v>
      </c>
      <c r="Z197" cm="1">
        <f t="array" ref="Z197">IFERROR(IF(_xlfn._xlws.FILTER(game_rosters!$J:$J,(game_rosters!$G:$G=events!$AN197)*(game_rosters!$J:$J=events!$X197))&gt;0,1,""),"")</f>
        <v>1</v>
      </c>
      <c r="AA197">
        <f t="shared" si="115"/>
        <v>1106</v>
      </c>
      <c r="AB197" t="str">
        <f t="shared" si="116"/>
        <v/>
      </c>
      <c r="AC197">
        <f t="shared" si="113"/>
        <v>1106</v>
      </c>
      <c r="AD197" s="6">
        <v>1</v>
      </c>
      <c r="AE197" t="s">
        <v>745</v>
      </c>
      <c r="AF197" t="s">
        <v>748</v>
      </c>
      <c r="AG197" t="s">
        <v>756</v>
      </c>
      <c r="AH197" t="s">
        <v>756</v>
      </c>
      <c r="AI197" t="s">
        <v>367</v>
      </c>
      <c r="AJ197" t="str">
        <f t="shared" si="117"/>
        <v>d</v>
      </c>
      <c r="AK197" t="str">
        <f t="shared" si="117"/>
        <v>d</v>
      </c>
      <c r="AL197" t="str">
        <f t="shared" si="118"/>
        <v>d</v>
      </c>
      <c r="AN197" t="s">
        <v>861</v>
      </c>
      <c r="AO197" t="str">
        <f t="shared" si="119"/>
        <v>h</v>
      </c>
      <c r="AP197" t="str">
        <f t="shared" ref="AP197:AP260" si="126">IF(AL197&lt;&gt;"",AL197,IF($AC197=$AC196,AP196,""))</f>
        <v>d</v>
      </c>
      <c r="AQ197" t="str">
        <f t="shared" ref="AQ197:AQ260" si="127">IF(AM197&lt;&gt;"",AM197,IF($AC197=$AC196,AQ196,""))</f>
        <v/>
      </c>
      <c r="AR197" t="str">
        <f t="shared" ref="AR197:AR260" si="128">IF(AN197&lt;&gt;"",AN197,IF($AC197=$AC196,AR196,""))</f>
        <v>Home</v>
      </c>
      <c r="AS197" t="str">
        <f t="shared" ref="AS197:AS260" si="129">IF(AO197&lt;&gt;"",AO197,IF($AC197=$AC196,AS196,""))</f>
        <v>h</v>
      </c>
      <c r="AT197" t="str">
        <f t="shared" ref="AT197:AT260" si="130">IF(AND(AI197="e",OR(BE197="Save",BF197="Turnover_Takeaway",BF197="Play_Defensive")),"Defensive",IF(AND(AI197="o",OR(BE197="Save",BF197="Turnover_Takeaway",BF197="Play_Defensive")),"Offensive",IF(OR(BE197="Deadice",BE197="Stoppage",BE197="Intermission"),"",IF(AI197="e","Offensive",IF(AI197="o","Defensive","")))))</f>
        <v>Offensive</v>
      </c>
      <c r="BA197" s="6">
        <f t="shared" si="120"/>
        <v>44</v>
      </c>
      <c r="BB197">
        <f t="shared" si="121"/>
        <v>18981</v>
      </c>
      <c r="BC197" t="str">
        <f t="shared" si="122"/>
        <v>Nelson</v>
      </c>
      <c r="BD197" t="str">
        <f t="shared" si="123"/>
        <v>Velodrome</v>
      </c>
      <c r="BE197" t="s">
        <v>238</v>
      </c>
      <c r="BF197" t="s">
        <v>184</v>
      </c>
      <c r="BG197" t="s">
        <v>378</v>
      </c>
      <c r="BI197" cm="1">
        <f t="array" ref="BI197">IFERROR(_xlfn._xlws.FILTER(shifts!A:A,(shifts!B:B=events!AD197)*(shifts!AG:AG&gt;=events!BK197)*(shifts!AH:AH&lt;=events!BL197)),BI196)</f>
        <v>6</v>
      </c>
      <c r="BJ197" s="15">
        <f t="shared" si="124"/>
        <v>0</v>
      </c>
      <c r="BK197">
        <f t="shared" ref="BK197:BK260" si="131">(AE197*60)+AF197</f>
        <v>841</v>
      </c>
      <c r="BL197">
        <f t="shared" ref="BL197:BL260" si="132">IF(AND(AG197="",AH197=""),BK197,((AG197*60)+AH197))</f>
        <v>841</v>
      </c>
      <c r="BM197" s="15">
        <f>SUMIFS(BJ$2:BJ197,K$2:K197,"=Intermission")+SUMIFS(BJ$2:BJ197,K$2:K197,"=Timeout")</f>
        <v>0</v>
      </c>
      <c r="BN197">
        <f t="shared" ref="BN197:BN260" si="133">IF(AD197=1,0,IF(AD197=2,1080+BM197,IF(AD197=3,(1080*2)+BM197,0)))</f>
        <v>0</v>
      </c>
      <c r="BO197" s="19">
        <f t="shared" ref="BO197:BO260" si="134">IF(K197="Intermission",BO196,((1080)-((AE197*60)+AF197))+BN197)</f>
        <v>239</v>
      </c>
      <c r="BP197">
        <f t="shared" ref="BP197:BP260" si="135">IF(BO197&lt;5,0,BO197-5)</f>
        <v>234</v>
      </c>
      <c r="BQ197" s="17">
        <f t="shared" ref="BQ197:BQ260" si="136">BP197+BJ197+5</f>
        <v>239</v>
      </c>
      <c r="BR197" t="str">
        <f t="shared" ref="BR197:BR260" si="137">IF(AI197="e","event_team_player_"&amp;BS197,IF(AI197="o","opp_team_player_"&amp;BS197,""))</f>
        <v>event_team_player_1</v>
      </c>
      <c r="BS197">
        <f>COUNTIFS(S$3:S197,"="&amp;S197,AI$3:AI197,"="&amp;AI197)</f>
        <v>1</v>
      </c>
      <c r="BT197" t="str">
        <f>IFERROR(VLOOKUP(BB197&amp;BU197&amp;X197,game_rosters!U:W,3,FALSE),"")</f>
        <v>P100061</v>
      </c>
      <c r="BU197" t="str">
        <f t="shared" ref="BU197:BU260" si="138">IF(AR197="","",IF(AND(AR197="Away",AI197="e"),BD197,IF(AND(AR197="Home",AI197="e"),BC197,IF(AND(AR197="Away",AI197="o"),BC197,IF(AND(AR197="Home",AI197="o"),BD197)))))</f>
        <v>Nelson</v>
      </c>
    </row>
    <row r="198" spans="1:73" x14ac:dyDescent="0.2">
      <c r="A198">
        <f t="shared" si="125"/>
        <v>1</v>
      </c>
      <c r="E198" s="4"/>
      <c r="F198" s="43"/>
      <c r="G198" s="4"/>
      <c r="H198" s="46"/>
      <c r="J198" s="44" t="str">
        <f t="shared" ref="J198:J261" si="139">IF(OR(K198="Goal",K198="Shot",L198="Zone_Entry",M198="Stoppage-Goal",M197="Stoppage-Goal"),"o",IF(OR(K198="Save",K198="Rebound",L198="Zone_Exit",M198="Stoppage-GoalieStoppage",M197="Stoppage-GoalieStoppage"),"d",IF(OR(L198="Faceoff_AfterGoal",L198="Faceoff_PeriodStart",698="Faceoff_GameStart",M197="Stoppage-Goal"),"n","")))</f>
        <v>o</v>
      </c>
      <c r="K198" t="s">
        <v>238</v>
      </c>
      <c r="L198" t="s">
        <v>174</v>
      </c>
      <c r="M198" t="s">
        <v>373</v>
      </c>
      <c r="N198" t="str">
        <f t="shared" si="110"/>
        <v>s</v>
      </c>
      <c r="Q198" t="str">
        <f t="shared" si="108"/>
        <v/>
      </c>
      <c r="S198">
        <v>107</v>
      </c>
      <c r="U198" t="str">
        <f>IF(B198=1,MAX($U$2:$U197)+1,IF(AND($T198&lt;&gt;"",$T198=$T197),$U197,IF(B198="x",U197,"")))</f>
        <v/>
      </c>
      <c r="V198" t="str">
        <f>IF(C198=1,MAX($V$2:$V197)+1,IF(AND($T198&lt;&gt;"",$T198=$T197),$U197,IF(C198="x",V197,"")))</f>
        <v/>
      </c>
      <c r="W198" t="str">
        <f t="shared" si="114"/>
        <v>h</v>
      </c>
      <c r="X198">
        <v>10</v>
      </c>
      <c r="Y198" t="b">
        <f>IF(X198&lt;&gt;"",VLOOKUP(X198,game_rosters!$C$43:$E$64,3,FALSE))</f>
        <v>0</v>
      </c>
      <c r="Z198" cm="1">
        <f t="array" ref="Z198">IFERROR(IF(_xlfn._xlws.FILTER(game_rosters!$J:$J,(game_rosters!$G:$G=events!$AN198)*(game_rosters!$J:$J=events!$X198))&gt;0,1,""),"")</f>
        <v>1</v>
      </c>
      <c r="AA198">
        <f t="shared" si="115"/>
        <v>1107</v>
      </c>
      <c r="AB198" t="str">
        <f t="shared" si="116"/>
        <v/>
      </c>
      <c r="AC198">
        <f t="shared" si="113"/>
        <v>1107</v>
      </c>
      <c r="AD198" s="6">
        <v>1</v>
      </c>
      <c r="AE198" t="s">
        <v>926</v>
      </c>
      <c r="AF198" t="s">
        <v>927</v>
      </c>
      <c r="AG198" t="s">
        <v>756</v>
      </c>
      <c r="AH198" t="s">
        <v>756</v>
      </c>
      <c r="AI198" t="s">
        <v>367</v>
      </c>
      <c r="AJ198" t="str">
        <f t="shared" si="117"/>
        <v>o</v>
      </c>
      <c r="AK198" t="str">
        <f t="shared" si="117"/>
        <v>o</v>
      </c>
      <c r="AL198" t="str">
        <f t="shared" si="118"/>
        <v>o</v>
      </c>
      <c r="AN198" t="s">
        <v>861</v>
      </c>
      <c r="AO198" t="str">
        <f t="shared" si="119"/>
        <v>h</v>
      </c>
      <c r="AP198" t="str">
        <f t="shared" si="126"/>
        <v>o</v>
      </c>
      <c r="AQ198" t="str">
        <f t="shared" si="127"/>
        <v/>
      </c>
      <c r="AR198" t="str">
        <f t="shared" si="128"/>
        <v>Home</v>
      </c>
      <c r="AS198" t="str">
        <f t="shared" si="129"/>
        <v>h</v>
      </c>
      <c r="AT198" t="str">
        <f t="shared" si="130"/>
        <v>Offensive</v>
      </c>
      <c r="BA198" s="6">
        <f t="shared" si="120"/>
        <v>45</v>
      </c>
      <c r="BB198">
        <f t="shared" si="121"/>
        <v>18981</v>
      </c>
      <c r="BC198" t="str">
        <f t="shared" si="122"/>
        <v>Nelson</v>
      </c>
      <c r="BD198" t="str">
        <f t="shared" si="123"/>
        <v>Velodrome</v>
      </c>
      <c r="BE198" t="s">
        <v>238</v>
      </c>
      <c r="BF198" t="s">
        <v>174</v>
      </c>
      <c r="BG198" t="s">
        <v>373</v>
      </c>
      <c r="BI198">
        <v>6</v>
      </c>
      <c r="BJ198" s="15">
        <f t="shared" si="124"/>
        <v>0</v>
      </c>
      <c r="BK198">
        <f t="shared" si="131"/>
        <v>837</v>
      </c>
      <c r="BL198">
        <f t="shared" si="132"/>
        <v>837</v>
      </c>
      <c r="BM198" s="15">
        <f>SUMIFS(BJ$2:BJ198,K$2:K198,"=Intermission")+SUMIFS(BJ$2:BJ198,K$2:K198,"=Timeout")</f>
        <v>0</v>
      </c>
      <c r="BN198">
        <f t="shared" si="133"/>
        <v>0</v>
      </c>
      <c r="BO198" s="19">
        <f t="shared" si="134"/>
        <v>243</v>
      </c>
      <c r="BP198">
        <f t="shared" si="135"/>
        <v>238</v>
      </c>
      <c r="BQ198" s="17">
        <f t="shared" si="136"/>
        <v>243</v>
      </c>
      <c r="BR198" t="str">
        <f t="shared" si="137"/>
        <v>event_team_player_1</v>
      </c>
      <c r="BS198">
        <f>COUNTIFS(S$3:S198,"="&amp;S198,AI$3:AI198,"="&amp;AI198)</f>
        <v>1</v>
      </c>
      <c r="BT198" t="str">
        <f>IFERROR(VLOOKUP(BB198&amp;BU198&amp;X198,game_rosters!U:W,3,FALSE),"")</f>
        <v>P100078</v>
      </c>
      <c r="BU198" t="str">
        <f t="shared" si="138"/>
        <v>Nelson</v>
      </c>
    </row>
    <row r="199" spans="1:73" x14ac:dyDescent="0.2">
      <c r="A199">
        <f t="shared" si="125"/>
        <v>1</v>
      </c>
      <c r="E199" s="4"/>
      <c r="F199" s="43"/>
      <c r="G199" s="4"/>
      <c r="H199" s="46"/>
      <c r="J199" s="44" t="str">
        <f t="shared" si="139"/>
        <v>o</v>
      </c>
      <c r="K199" t="s">
        <v>238</v>
      </c>
      <c r="L199" t="s">
        <v>174</v>
      </c>
      <c r="M199" t="s">
        <v>373</v>
      </c>
      <c r="N199" t="str">
        <f t="shared" si="110"/>
        <v>s</v>
      </c>
      <c r="Q199" t="str">
        <f t="shared" si="108"/>
        <v/>
      </c>
      <c r="S199">
        <v>107</v>
      </c>
      <c r="U199" t="str">
        <f>IF(B199=1,MAX($U$2:$U198)+1,IF(AND($T199&lt;&gt;"",$T199=$T198),$U198,IF(B199="x",U198,"")))</f>
        <v/>
      </c>
      <c r="V199" t="str">
        <f>IF(C199=1,MAX($V$2:$V198)+1,IF(AND($T199&lt;&gt;"",$T199=$T198),$U198,IF(C199="x",V198,"")))</f>
        <v/>
      </c>
      <c r="W199" t="str">
        <f t="shared" si="114"/>
        <v>h</v>
      </c>
      <c r="X199">
        <v>9</v>
      </c>
      <c r="Y199" t="e">
        <f>IF(X199&lt;&gt;"",VLOOKUP(X199,game_rosters!$C$43:$E$64,3,FALSE))</f>
        <v>#N/A</v>
      </c>
      <c r="Z199" t="str" cm="1">
        <f t="array" ref="Z199">IFERROR(IF(_xlfn._xlws.FILTER(game_rosters!$J:$J,(game_rosters!$G:$G=events!$AN199)*(game_rosters!$J:$J=events!$X199))&gt;0,1,""),"")</f>
        <v/>
      </c>
      <c r="AA199">
        <f t="shared" si="115"/>
        <v>1107</v>
      </c>
      <c r="AB199" t="str">
        <f t="shared" si="116"/>
        <v/>
      </c>
      <c r="AC199">
        <f t="shared" si="113"/>
        <v>1107</v>
      </c>
      <c r="AD199" s="6">
        <v>1</v>
      </c>
      <c r="AE199" t="s">
        <v>926</v>
      </c>
      <c r="AF199" t="s">
        <v>927</v>
      </c>
      <c r="AG199" t="s">
        <v>756</v>
      </c>
      <c r="AH199" t="s">
        <v>756</v>
      </c>
      <c r="AI199" t="s">
        <v>368</v>
      </c>
      <c r="AJ199" t="str">
        <f t="shared" si="117"/>
        <v>o</v>
      </c>
      <c r="AK199" t="str">
        <f t="shared" si="117"/>
        <v>o</v>
      </c>
      <c r="AL199" t="str">
        <f t="shared" si="118"/>
        <v>o</v>
      </c>
      <c r="AN199" t="s">
        <v>861</v>
      </c>
      <c r="AO199" t="str">
        <f t="shared" si="119"/>
        <v>h</v>
      </c>
      <c r="AP199" t="str">
        <f t="shared" si="126"/>
        <v>o</v>
      </c>
      <c r="AQ199" t="str">
        <f t="shared" si="127"/>
        <v/>
      </c>
      <c r="AR199" t="str">
        <f t="shared" si="128"/>
        <v>Home</v>
      </c>
      <c r="AS199" t="str">
        <f t="shared" si="129"/>
        <v>h</v>
      </c>
      <c r="AT199" t="str">
        <f t="shared" si="130"/>
        <v>Defensive</v>
      </c>
      <c r="BA199" s="6">
        <f t="shared" si="120"/>
        <v>46</v>
      </c>
      <c r="BB199">
        <f t="shared" si="121"/>
        <v>18981</v>
      </c>
      <c r="BC199" t="str">
        <f t="shared" si="122"/>
        <v>Nelson</v>
      </c>
      <c r="BD199" t="str">
        <f t="shared" si="123"/>
        <v>Velodrome</v>
      </c>
      <c r="BE199" t="s">
        <v>238</v>
      </c>
      <c r="BF199" t="s">
        <v>174</v>
      </c>
      <c r="BG199" t="s">
        <v>373</v>
      </c>
      <c r="BI199">
        <v>6</v>
      </c>
      <c r="BJ199" s="15">
        <f t="shared" si="124"/>
        <v>0</v>
      </c>
      <c r="BK199">
        <f t="shared" si="131"/>
        <v>837</v>
      </c>
      <c r="BL199">
        <f t="shared" si="132"/>
        <v>837</v>
      </c>
      <c r="BM199" s="15">
        <f>SUMIFS(BJ$2:BJ199,K$2:K199,"=Intermission")+SUMIFS(BJ$2:BJ199,K$2:K199,"=Timeout")</f>
        <v>0</v>
      </c>
      <c r="BN199">
        <f t="shared" si="133"/>
        <v>0</v>
      </c>
      <c r="BO199" s="19">
        <f t="shared" si="134"/>
        <v>243</v>
      </c>
      <c r="BP199">
        <f t="shared" si="135"/>
        <v>238</v>
      </c>
      <c r="BQ199" s="17">
        <f t="shared" si="136"/>
        <v>243</v>
      </c>
      <c r="BR199" t="str">
        <f t="shared" si="137"/>
        <v>opp_team_player_1</v>
      </c>
      <c r="BS199">
        <f>COUNTIFS(S$3:S199,"="&amp;S199,AI$3:AI199,"="&amp;AI199)</f>
        <v>1</v>
      </c>
      <c r="BT199" t="str">
        <f>IFERROR(VLOOKUP(BB199&amp;BU199&amp;X199,game_rosters!U:W,3,FALSE),"")</f>
        <v>P100105</v>
      </c>
      <c r="BU199" t="str">
        <f t="shared" si="138"/>
        <v>Velodrome</v>
      </c>
    </row>
    <row r="200" spans="1:73" x14ac:dyDescent="0.2">
      <c r="A200">
        <f t="shared" si="125"/>
        <v>1</v>
      </c>
      <c r="E200" s="4"/>
      <c r="F200" s="43"/>
      <c r="G200" s="4"/>
      <c r="H200" s="46"/>
      <c r="J200" s="44" t="str">
        <f t="shared" si="139"/>
        <v/>
      </c>
      <c r="K200" t="s">
        <v>9</v>
      </c>
      <c r="L200" t="s">
        <v>173</v>
      </c>
      <c r="M200" t="s">
        <v>354</v>
      </c>
      <c r="N200" t="str">
        <f t="shared" si="110"/>
        <v>u</v>
      </c>
      <c r="Q200" t="str">
        <f t="shared" si="108"/>
        <v/>
      </c>
      <c r="S200">
        <v>108</v>
      </c>
      <c r="U200" t="str">
        <f>IF(B200=1,MAX($U$2:$U199)+1,IF(AND($T200&lt;&gt;"",$T200=$T199),$U199,IF(B200="x",U199,"")))</f>
        <v/>
      </c>
      <c r="V200" t="str">
        <f>IF(C200=1,MAX($V$2:$V199)+1,IF(AND($T200&lt;&gt;"",$T200=$T199),$U199,IF(C200="x",V199,"")))</f>
        <v/>
      </c>
      <c r="W200" t="str">
        <f t="shared" si="114"/>
        <v>h</v>
      </c>
      <c r="X200">
        <v>10</v>
      </c>
      <c r="Y200" t="b">
        <f>IF(X200&lt;&gt;"",VLOOKUP(X200,game_rosters!$C$43:$E$64,3,FALSE))</f>
        <v>0</v>
      </c>
      <c r="Z200" cm="1">
        <f t="array" ref="Z200">IFERROR(IF(_xlfn._xlws.FILTER(game_rosters!$J:$J,(game_rosters!$G:$G=events!$AN200)*(game_rosters!$J:$J=events!$X200))&gt;0,1,""),"")</f>
        <v>1</v>
      </c>
      <c r="AA200">
        <f t="shared" si="115"/>
        <v>1108</v>
      </c>
      <c r="AB200" t="str">
        <f t="shared" si="116"/>
        <v/>
      </c>
      <c r="AC200">
        <f t="shared" si="113"/>
        <v>1108</v>
      </c>
      <c r="AD200" s="6">
        <v>1</v>
      </c>
      <c r="AE200" t="s">
        <v>926</v>
      </c>
      <c r="AF200" t="s">
        <v>927</v>
      </c>
      <c r="AG200" t="s">
        <v>756</v>
      </c>
      <c r="AH200" t="s">
        <v>756</v>
      </c>
      <c r="AI200" t="s">
        <v>367</v>
      </c>
      <c r="AJ200" t="str">
        <f t="shared" si="117"/>
        <v/>
      </c>
      <c r="AK200" t="str">
        <f t="shared" si="117"/>
        <v/>
      </c>
      <c r="AL200" t="str">
        <f t="shared" si="118"/>
        <v/>
      </c>
      <c r="AN200" t="s">
        <v>861</v>
      </c>
      <c r="AO200" t="str">
        <f t="shared" si="119"/>
        <v>h</v>
      </c>
      <c r="AP200" t="str">
        <f t="shared" si="126"/>
        <v/>
      </c>
      <c r="AQ200" t="str">
        <f t="shared" si="127"/>
        <v/>
      </c>
      <c r="AR200" t="str">
        <f t="shared" si="128"/>
        <v>Home</v>
      </c>
      <c r="AS200" t="str">
        <f t="shared" si="129"/>
        <v>h</v>
      </c>
      <c r="AT200" t="str">
        <f t="shared" si="130"/>
        <v>Offensive</v>
      </c>
      <c r="BA200" s="6">
        <f t="shared" si="120"/>
        <v>46</v>
      </c>
      <c r="BB200">
        <f t="shared" si="121"/>
        <v>18981</v>
      </c>
      <c r="BC200" t="str">
        <f t="shared" si="122"/>
        <v>Nelson</v>
      </c>
      <c r="BD200" t="str">
        <f t="shared" si="123"/>
        <v>Velodrome</v>
      </c>
      <c r="BE200" t="s">
        <v>9</v>
      </c>
      <c r="BF200" t="s">
        <v>173</v>
      </c>
      <c r="BG200" t="s">
        <v>354</v>
      </c>
      <c r="BI200">
        <v>6</v>
      </c>
      <c r="BJ200" s="15">
        <f t="shared" si="124"/>
        <v>0</v>
      </c>
      <c r="BK200">
        <f t="shared" si="131"/>
        <v>837</v>
      </c>
      <c r="BL200">
        <f t="shared" si="132"/>
        <v>837</v>
      </c>
      <c r="BM200" s="15">
        <f>SUMIFS(BJ$2:BJ200,K$2:K200,"=Intermission")+SUMIFS(BJ$2:BJ200,K$2:K200,"=Timeout")</f>
        <v>0</v>
      </c>
      <c r="BN200">
        <f t="shared" si="133"/>
        <v>0</v>
      </c>
      <c r="BO200" s="19">
        <f t="shared" si="134"/>
        <v>243</v>
      </c>
      <c r="BP200">
        <f t="shared" si="135"/>
        <v>238</v>
      </c>
      <c r="BQ200" s="17">
        <f t="shared" si="136"/>
        <v>243</v>
      </c>
      <c r="BR200" t="str">
        <f t="shared" si="137"/>
        <v>event_team_player_1</v>
      </c>
      <c r="BS200">
        <f>COUNTIFS(S$3:S200,"="&amp;S200,AI$3:AI200,"="&amp;AI200)</f>
        <v>1</v>
      </c>
      <c r="BT200" t="str">
        <f>IFERROR(VLOOKUP(BB200&amp;BU200&amp;X200,game_rosters!U:W,3,FALSE),"")</f>
        <v>P100078</v>
      </c>
      <c r="BU200" t="str">
        <f t="shared" si="138"/>
        <v>Nelson</v>
      </c>
    </row>
    <row r="201" spans="1:73" x14ac:dyDescent="0.2">
      <c r="A201">
        <f t="shared" si="125"/>
        <v>1</v>
      </c>
      <c r="E201" s="4"/>
      <c r="F201" s="43"/>
      <c r="G201" s="4"/>
      <c r="H201" s="46"/>
      <c r="J201" s="44" t="str">
        <f t="shared" si="139"/>
        <v/>
      </c>
      <c r="K201" t="s">
        <v>7</v>
      </c>
      <c r="L201" t="s">
        <v>172</v>
      </c>
      <c r="M201" t="s">
        <v>68</v>
      </c>
      <c r="N201" t="str">
        <f t="shared" si="110"/>
        <v>s</v>
      </c>
      <c r="Q201" t="str">
        <f t="shared" si="108"/>
        <v/>
      </c>
      <c r="S201">
        <v>109</v>
      </c>
      <c r="U201" t="str">
        <f>IF(B201=1,MAX($U$2:$U200)+1,IF(AND($T201&lt;&gt;"",$T201=$T200),$U200,IF(B201="x",U200,"")))</f>
        <v/>
      </c>
      <c r="V201" t="str">
        <f>IF(C201=1,MAX($V$2:$V200)+1,IF(AND($T201&lt;&gt;"",$T201=$T200),$U200,IF(C201="x",V200,"")))</f>
        <v/>
      </c>
      <c r="W201" t="str">
        <f t="shared" si="114"/>
        <v>a</v>
      </c>
      <c r="X201">
        <v>9</v>
      </c>
      <c r="Y201" t="e">
        <f>IF(X201&lt;&gt;"",VLOOKUP(X201,game_rosters!$C$43:$E$64,3,FALSE))</f>
        <v>#N/A</v>
      </c>
      <c r="Z201" cm="1">
        <f t="array" ref="Z201">IFERROR(IF(_xlfn._xlws.FILTER(game_rosters!$J:$J,(game_rosters!$G:$G=events!$AN201)*(game_rosters!$J:$J=events!$X201))&gt;0,1,""),"")</f>
        <v>1</v>
      </c>
      <c r="AA201">
        <f t="shared" si="115"/>
        <v>1109</v>
      </c>
      <c r="AB201" t="str">
        <f t="shared" si="116"/>
        <v/>
      </c>
      <c r="AC201">
        <f t="shared" si="113"/>
        <v>1109</v>
      </c>
      <c r="AD201" s="6">
        <v>1</v>
      </c>
      <c r="AE201" t="s">
        <v>926</v>
      </c>
      <c r="AF201" t="s">
        <v>753</v>
      </c>
      <c r="AG201" t="s">
        <v>756</v>
      </c>
      <c r="AH201" t="s">
        <v>756</v>
      </c>
      <c r="AI201" t="s">
        <v>367</v>
      </c>
      <c r="AJ201" t="str">
        <f t="shared" si="117"/>
        <v/>
      </c>
      <c r="AK201" t="str">
        <f t="shared" si="117"/>
        <v/>
      </c>
      <c r="AL201" t="str">
        <f t="shared" si="118"/>
        <v/>
      </c>
      <c r="AN201" t="s">
        <v>862</v>
      </c>
      <c r="AO201" t="str">
        <f t="shared" si="119"/>
        <v>a</v>
      </c>
      <c r="AP201" t="str">
        <f t="shared" si="126"/>
        <v/>
      </c>
      <c r="AQ201" t="str">
        <f t="shared" si="127"/>
        <v/>
      </c>
      <c r="AR201" t="str">
        <f t="shared" si="128"/>
        <v>Away</v>
      </c>
      <c r="AS201" t="str">
        <f t="shared" si="129"/>
        <v>a</v>
      </c>
      <c r="AT201" t="str">
        <f t="shared" si="130"/>
        <v>Offensive</v>
      </c>
      <c r="BA201" s="6">
        <f t="shared" si="120"/>
        <v>46</v>
      </c>
      <c r="BB201">
        <f t="shared" si="121"/>
        <v>18981</v>
      </c>
      <c r="BC201" t="str">
        <f t="shared" si="122"/>
        <v>Nelson</v>
      </c>
      <c r="BD201" t="str">
        <f t="shared" si="123"/>
        <v>Velodrome</v>
      </c>
      <c r="BE201" t="s">
        <v>7</v>
      </c>
      <c r="BF201" t="s">
        <v>172</v>
      </c>
      <c r="BG201" t="s">
        <v>68</v>
      </c>
      <c r="BI201" cm="1">
        <f t="array" ref="BI201">IFERROR(_xlfn._xlws.FILTER(shifts!A:A,(shifts!B:B=events!AD201)*(shifts!AG:AG&gt;=events!BK201)*(shifts!AH:AH&lt;=events!BL201)),BI200)</f>
        <v>7</v>
      </c>
      <c r="BJ201" s="15">
        <f t="shared" si="124"/>
        <v>0</v>
      </c>
      <c r="BK201">
        <f t="shared" si="131"/>
        <v>835</v>
      </c>
      <c r="BL201">
        <f t="shared" si="132"/>
        <v>835</v>
      </c>
      <c r="BM201" s="15">
        <f>SUMIFS(BJ$2:BJ201,K$2:K201,"=Intermission")+SUMIFS(BJ$2:BJ201,K$2:K201,"=Timeout")</f>
        <v>0</v>
      </c>
      <c r="BN201">
        <f t="shared" si="133"/>
        <v>0</v>
      </c>
      <c r="BO201" s="19">
        <f t="shared" si="134"/>
        <v>245</v>
      </c>
      <c r="BP201">
        <f t="shared" si="135"/>
        <v>240</v>
      </c>
      <c r="BQ201" s="17">
        <f t="shared" si="136"/>
        <v>245</v>
      </c>
      <c r="BR201" t="str">
        <f t="shared" si="137"/>
        <v>event_team_player_1</v>
      </c>
      <c r="BS201">
        <f>COUNTIFS(S$3:S201,"="&amp;S201,AI$3:AI201,"="&amp;AI201)</f>
        <v>1</v>
      </c>
      <c r="BT201" t="str">
        <f>IFERROR(VLOOKUP(BB201&amp;BU201&amp;X201,game_rosters!U:W,3,FALSE),"")</f>
        <v>P100105</v>
      </c>
      <c r="BU201" t="str">
        <f t="shared" si="138"/>
        <v>Velodrome</v>
      </c>
    </row>
    <row r="202" spans="1:73" x14ac:dyDescent="0.2">
      <c r="A202">
        <f t="shared" si="125"/>
        <v>1</v>
      </c>
      <c r="E202" s="4"/>
      <c r="F202" s="43"/>
      <c r="G202" s="4"/>
      <c r="H202" s="46"/>
      <c r="J202" s="44" t="str">
        <f t="shared" si="139"/>
        <v/>
      </c>
      <c r="K202" t="s">
        <v>7</v>
      </c>
      <c r="L202" t="s">
        <v>172</v>
      </c>
      <c r="M202" t="s">
        <v>68</v>
      </c>
      <c r="N202" t="str">
        <f t="shared" si="110"/>
        <v>s</v>
      </c>
      <c r="Q202" t="str">
        <f t="shared" si="108"/>
        <v/>
      </c>
      <c r="S202">
        <v>109</v>
      </c>
      <c r="U202" t="str">
        <f>IF(B202=1,MAX($U$2:$U201)+1,IF(AND($T202&lt;&gt;"",$T202=$T201),$U201,IF(B202="x",U201,"")))</f>
        <v/>
      </c>
      <c r="V202" t="str">
        <f>IF(C202=1,MAX($V$2:$V201)+1,IF(AND($T202&lt;&gt;"",$T202=$T201),$U201,IF(C202="x",V201,"")))</f>
        <v/>
      </c>
      <c r="W202" t="str">
        <f t="shared" si="114"/>
        <v>a</v>
      </c>
      <c r="X202">
        <v>61</v>
      </c>
      <c r="Y202" t="e">
        <f>IF(X202&lt;&gt;"",VLOOKUP(X202,game_rosters!$C$43:$E$64,3,FALSE))</f>
        <v>#N/A</v>
      </c>
      <c r="Z202" cm="1">
        <f t="array" ref="Z202">IFERROR(IF(_xlfn._xlws.FILTER(game_rosters!$J:$J,(game_rosters!$G:$G=events!$AN202)*(game_rosters!$J:$J=events!$X202))&gt;0,1,""),"")</f>
        <v>1</v>
      </c>
      <c r="AA202">
        <f t="shared" si="115"/>
        <v>1109</v>
      </c>
      <c r="AB202" t="str">
        <f t="shared" si="116"/>
        <v/>
      </c>
      <c r="AC202">
        <f t="shared" si="113"/>
        <v>1109</v>
      </c>
      <c r="AD202" s="6">
        <v>1</v>
      </c>
      <c r="AE202" t="s">
        <v>926</v>
      </c>
      <c r="AF202" t="s">
        <v>753</v>
      </c>
      <c r="AG202" t="s">
        <v>756</v>
      </c>
      <c r="AH202" t="s">
        <v>756</v>
      </c>
      <c r="AI202" t="s">
        <v>367</v>
      </c>
      <c r="AJ202" t="str">
        <f t="shared" si="117"/>
        <v/>
      </c>
      <c r="AK202" t="str">
        <f t="shared" si="117"/>
        <v/>
      </c>
      <c r="AL202" t="str">
        <f t="shared" si="118"/>
        <v/>
      </c>
      <c r="AN202" t="s">
        <v>862</v>
      </c>
      <c r="AO202" t="str">
        <f t="shared" si="119"/>
        <v>a</v>
      </c>
      <c r="AP202" t="str">
        <f t="shared" si="126"/>
        <v/>
      </c>
      <c r="AQ202" t="str">
        <f t="shared" si="127"/>
        <v/>
      </c>
      <c r="AR202" t="str">
        <f t="shared" si="128"/>
        <v>Away</v>
      </c>
      <c r="AS202" t="str">
        <f t="shared" si="129"/>
        <v>a</v>
      </c>
      <c r="AT202" t="str">
        <f t="shared" si="130"/>
        <v>Offensive</v>
      </c>
      <c r="BA202" s="6">
        <f t="shared" si="120"/>
        <v>46</v>
      </c>
      <c r="BB202">
        <f t="shared" si="121"/>
        <v>18981</v>
      </c>
      <c r="BC202" t="str">
        <f t="shared" si="122"/>
        <v>Nelson</v>
      </c>
      <c r="BD202" t="str">
        <f t="shared" si="123"/>
        <v>Velodrome</v>
      </c>
      <c r="BE202" t="s">
        <v>7</v>
      </c>
      <c r="BF202" t="s">
        <v>172</v>
      </c>
      <c r="BG202" t="s">
        <v>68</v>
      </c>
      <c r="BI202" cm="1">
        <f t="array" ref="BI202">IFERROR(_xlfn._xlws.FILTER(shifts!A:A,(shifts!B:B=events!AD202)*(shifts!AG:AG&gt;=events!BK202)*(shifts!AH:AH&lt;=events!BL202)),BI201)</f>
        <v>7</v>
      </c>
      <c r="BJ202" s="15">
        <f t="shared" si="124"/>
        <v>0</v>
      </c>
      <c r="BK202">
        <f t="shared" si="131"/>
        <v>835</v>
      </c>
      <c r="BL202">
        <f t="shared" si="132"/>
        <v>835</v>
      </c>
      <c r="BM202" s="15">
        <f>SUMIFS(BJ$2:BJ202,K$2:K202,"=Intermission")+SUMIFS(BJ$2:BJ202,K$2:K202,"=Timeout")</f>
        <v>0</v>
      </c>
      <c r="BN202">
        <f t="shared" si="133"/>
        <v>0</v>
      </c>
      <c r="BO202" s="19">
        <f t="shared" si="134"/>
        <v>245</v>
      </c>
      <c r="BP202">
        <f t="shared" si="135"/>
        <v>240</v>
      </c>
      <c r="BQ202" s="17">
        <f t="shared" si="136"/>
        <v>245</v>
      </c>
      <c r="BR202" t="str">
        <f t="shared" si="137"/>
        <v>event_team_player_2</v>
      </c>
      <c r="BS202">
        <f>COUNTIFS(S$3:S202,"="&amp;S202,AI$3:AI202,"="&amp;AI202)</f>
        <v>2</v>
      </c>
      <c r="BT202" t="str">
        <f>IFERROR(VLOOKUP(BB202&amp;BU202&amp;X202,game_rosters!U:W,3,FALSE),"")</f>
        <v>P100224</v>
      </c>
      <c r="BU202" t="str">
        <f t="shared" si="138"/>
        <v>Velodrome</v>
      </c>
    </row>
    <row r="203" spans="1:73" x14ac:dyDescent="0.2">
      <c r="A203">
        <f t="shared" si="125"/>
        <v>1</v>
      </c>
      <c r="E203" s="4"/>
      <c r="F203" s="43"/>
      <c r="G203" s="4"/>
      <c r="H203" s="46"/>
      <c r="J203" s="44" t="str">
        <f t="shared" si="139"/>
        <v>d</v>
      </c>
      <c r="K203" t="s">
        <v>238</v>
      </c>
      <c r="L203" t="s">
        <v>184</v>
      </c>
      <c r="M203" t="s">
        <v>376</v>
      </c>
      <c r="N203" t="str">
        <f t="shared" si="110"/>
        <v>u</v>
      </c>
      <c r="Q203" t="str">
        <f t="shared" si="108"/>
        <v/>
      </c>
      <c r="S203">
        <v>110</v>
      </c>
      <c r="U203" t="str">
        <f>IF(B203=1,MAX($U$2:$U202)+1,IF(AND($T203&lt;&gt;"",$T203=$T202),$U202,IF(B203="x",U202,"")))</f>
        <v/>
      </c>
      <c r="V203" t="str">
        <f>IF(C203=1,MAX($V$2:$V202)+1,IF(AND($T203&lt;&gt;"",$T203=$T202),$U202,IF(C203="x",V202,"")))</f>
        <v/>
      </c>
      <c r="W203" t="str">
        <f t="shared" si="114"/>
        <v>a</v>
      </c>
      <c r="X203">
        <v>61</v>
      </c>
      <c r="Y203" t="e">
        <f>IF(X203&lt;&gt;"",VLOOKUP(X203,game_rosters!$C$43:$E$64,3,FALSE))</f>
        <v>#N/A</v>
      </c>
      <c r="Z203" cm="1">
        <f t="array" ref="Z203">IFERROR(IF(_xlfn._xlws.FILTER(game_rosters!$J:$J,(game_rosters!$G:$G=events!$AN203)*(game_rosters!$J:$J=events!$X203))&gt;0,1,""),"")</f>
        <v>1</v>
      </c>
      <c r="AA203">
        <f t="shared" si="115"/>
        <v>1110</v>
      </c>
      <c r="AB203" t="str">
        <f t="shared" si="116"/>
        <v/>
      </c>
      <c r="AC203">
        <f t="shared" si="113"/>
        <v>1110</v>
      </c>
      <c r="AD203" s="6">
        <v>1</v>
      </c>
      <c r="AE203" t="s">
        <v>926</v>
      </c>
      <c r="AF203" t="s">
        <v>897</v>
      </c>
      <c r="AG203" t="s">
        <v>756</v>
      </c>
      <c r="AH203" t="s">
        <v>756</v>
      </c>
      <c r="AI203" t="s">
        <v>367</v>
      </c>
      <c r="AJ203" t="str">
        <f t="shared" si="117"/>
        <v>d</v>
      </c>
      <c r="AK203" t="str">
        <f t="shared" si="117"/>
        <v>d</v>
      </c>
      <c r="AL203" t="str">
        <f t="shared" si="118"/>
        <v>o</v>
      </c>
      <c r="AN203" t="s">
        <v>862</v>
      </c>
      <c r="AO203" t="str">
        <f t="shared" si="119"/>
        <v>a</v>
      </c>
      <c r="AP203" t="str">
        <f t="shared" si="126"/>
        <v>o</v>
      </c>
      <c r="AQ203" t="str">
        <f t="shared" si="127"/>
        <v/>
      </c>
      <c r="AR203" t="str">
        <f t="shared" si="128"/>
        <v>Away</v>
      </c>
      <c r="AS203" t="str">
        <f t="shared" si="129"/>
        <v>a</v>
      </c>
      <c r="AT203" t="str">
        <f t="shared" si="130"/>
        <v>Offensive</v>
      </c>
      <c r="BA203" s="6">
        <f t="shared" si="120"/>
        <v>47</v>
      </c>
      <c r="BB203">
        <f t="shared" si="121"/>
        <v>18981</v>
      </c>
      <c r="BC203" t="str">
        <f t="shared" si="122"/>
        <v>Nelson</v>
      </c>
      <c r="BD203" t="str">
        <f t="shared" si="123"/>
        <v>Velodrome</v>
      </c>
      <c r="BE203" t="s">
        <v>238</v>
      </c>
      <c r="BF203" t="s">
        <v>184</v>
      </c>
      <c r="BG203" t="s">
        <v>376</v>
      </c>
      <c r="BI203" cm="1">
        <f t="array" ref="BI203">IFERROR(_xlfn._xlws.FILTER(shifts!A:A,(shifts!B:B=events!AD203)*(shifts!AG:AG&gt;=events!BK203)*(shifts!AH:AH&lt;=events!BL203)),BI202)</f>
        <v>7</v>
      </c>
      <c r="BJ203" s="15">
        <f t="shared" si="124"/>
        <v>0</v>
      </c>
      <c r="BK203">
        <f t="shared" si="131"/>
        <v>832</v>
      </c>
      <c r="BL203">
        <f t="shared" si="132"/>
        <v>832</v>
      </c>
      <c r="BM203" s="15">
        <f>SUMIFS(BJ$2:BJ203,K$2:K203,"=Intermission")+SUMIFS(BJ$2:BJ203,K$2:K203,"=Timeout")</f>
        <v>0</v>
      </c>
      <c r="BN203">
        <f t="shared" si="133"/>
        <v>0</v>
      </c>
      <c r="BO203" s="19">
        <f t="shared" si="134"/>
        <v>248</v>
      </c>
      <c r="BP203">
        <f t="shared" si="135"/>
        <v>243</v>
      </c>
      <c r="BQ203" s="17">
        <f t="shared" si="136"/>
        <v>248</v>
      </c>
      <c r="BR203" t="str">
        <f t="shared" si="137"/>
        <v>event_team_player_1</v>
      </c>
      <c r="BS203">
        <f>COUNTIFS(S$3:S203,"="&amp;S203,AI$3:AI203,"="&amp;AI203)</f>
        <v>1</v>
      </c>
      <c r="BT203" t="str">
        <f>IFERROR(VLOOKUP(BB203&amp;BU203&amp;X203,game_rosters!U:W,3,FALSE),"")</f>
        <v>P100224</v>
      </c>
      <c r="BU203" t="str">
        <f t="shared" si="138"/>
        <v>Velodrome</v>
      </c>
    </row>
    <row r="204" spans="1:73" x14ac:dyDescent="0.2">
      <c r="A204">
        <f t="shared" si="125"/>
        <v>1</v>
      </c>
      <c r="E204" s="4"/>
      <c r="F204" s="43"/>
      <c r="G204" s="4"/>
      <c r="H204" s="46"/>
      <c r="J204" s="44" t="str">
        <f t="shared" si="139"/>
        <v/>
      </c>
      <c r="K204" t="s">
        <v>9</v>
      </c>
      <c r="L204" t="s">
        <v>173</v>
      </c>
      <c r="M204" t="s">
        <v>71</v>
      </c>
      <c r="N204" t="str">
        <f t="shared" si="110"/>
        <v>u</v>
      </c>
      <c r="Q204" t="str">
        <f t="shared" si="108"/>
        <v/>
      </c>
      <c r="S204">
        <v>111</v>
      </c>
      <c r="U204" t="str">
        <f>IF(B204=1,MAX($U$2:$U203)+1,IF(AND($T204&lt;&gt;"",$T204=$T203),$U203,IF(B204="x",U203,"")))</f>
        <v/>
      </c>
      <c r="V204" t="str">
        <f>IF(C204=1,MAX($V$2:$V203)+1,IF(AND($T204&lt;&gt;"",$T204=$T203),$U203,IF(C204="x",V203,"")))</f>
        <v/>
      </c>
      <c r="W204" t="str">
        <f t="shared" si="114"/>
        <v>a</v>
      </c>
      <c r="X204">
        <v>61</v>
      </c>
      <c r="Y204" t="e">
        <f>IF(X204&lt;&gt;"",VLOOKUP(X204,game_rosters!$C$43:$E$64,3,FALSE))</f>
        <v>#N/A</v>
      </c>
      <c r="Z204" cm="1">
        <f t="array" ref="Z204">IFERROR(IF(_xlfn._xlws.FILTER(game_rosters!$J:$J,(game_rosters!$G:$G=events!$AN204)*(game_rosters!$J:$J=events!$X204))&gt;0,1,""),"")</f>
        <v>1</v>
      </c>
      <c r="AA204">
        <f t="shared" si="115"/>
        <v>1111</v>
      </c>
      <c r="AB204" t="str">
        <f t="shared" si="116"/>
        <v/>
      </c>
      <c r="AC204">
        <f t="shared" si="113"/>
        <v>1111</v>
      </c>
      <c r="AD204" s="6">
        <v>1</v>
      </c>
      <c r="AE204" t="s">
        <v>926</v>
      </c>
      <c r="AF204" t="s">
        <v>897</v>
      </c>
      <c r="AG204" t="s">
        <v>756</v>
      </c>
      <c r="AH204" t="s">
        <v>756</v>
      </c>
      <c r="AI204" t="s">
        <v>367</v>
      </c>
      <c r="AJ204" t="str">
        <f t="shared" si="117"/>
        <v/>
      </c>
      <c r="AK204" t="str">
        <f t="shared" si="117"/>
        <v/>
      </c>
      <c r="AL204" t="str">
        <f t="shared" si="118"/>
        <v/>
      </c>
      <c r="AN204" t="s">
        <v>862</v>
      </c>
      <c r="AO204" t="str">
        <f t="shared" si="119"/>
        <v>a</v>
      </c>
      <c r="AP204" t="str">
        <f t="shared" si="126"/>
        <v/>
      </c>
      <c r="AQ204" t="str">
        <f t="shared" si="127"/>
        <v/>
      </c>
      <c r="AR204" t="str">
        <f t="shared" si="128"/>
        <v>Away</v>
      </c>
      <c r="AS204" t="str">
        <f t="shared" si="129"/>
        <v>a</v>
      </c>
      <c r="AT204" t="str">
        <f t="shared" si="130"/>
        <v>Offensive</v>
      </c>
      <c r="BA204" s="6">
        <f t="shared" si="120"/>
        <v>47</v>
      </c>
      <c r="BB204">
        <f t="shared" si="121"/>
        <v>18981</v>
      </c>
      <c r="BC204" t="str">
        <f t="shared" si="122"/>
        <v>Nelson</v>
      </c>
      <c r="BD204" t="str">
        <f t="shared" si="123"/>
        <v>Velodrome</v>
      </c>
      <c r="BE204" t="s">
        <v>9</v>
      </c>
      <c r="BF204" t="s">
        <v>173</v>
      </c>
      <c r="BG204" t="s">
        <v>71</v>
      </c>
      <c r="BI204" cm="1">
        <f t="array" ref="BI204">IFERROR(_xlfn._xlws.FILTER(shifts!A:A,(shifts!B:B=events!AD204)*(shifts!AG:AG&gt;=events!BK204)*(shifts!AH:AH&lt;=events!BL204)),BI203)</f>
        <v>7</v>
      </c>
      <c r="BJ204" s="15">
        <f t="shared" si="124"/>
        <v>0</v>
      </c>
      <c r="BK204">
        <f t="shared" si="131"/>
        <v>832</v>
      </c>
      <c r="BL204">
        <f t="shared" si="132"/>
        <v>832</v>
      </c>
      <c r="BM204" s="15">
        <f>SUMIFS(BJ$2:BJ204,K$2:K204,"=Intermission")+SUMIFS(BJ$2:BJ204,K$2:K204,"=Timeout")</f>
        <v>0</v>
      </c>
      <c r="BN204">
        <f t="shared" si="133"/>
        <v>0</v>
      </c>
      <c r="BO204" s="19">
        <f t="shared" si="134"/>
        <v>248</v>
      </c>
      <c r="BP204">
        <f t="shared" si="135"/>
        <v>243</v>
      </c>
      <c r="BQ204" s="17">
        <f t="shared" si="136"/>
        <v>248</v>
      </c>
      <c r="BR204" t="str">
        <f t="shared" si="137"/>
        <v>event_team_player_1</v>
      </c>
      <c r="BS204">
        <f>COUNTIFS(S$3:S204,"="&amp;S204,AI$3:AI204,"="&amp;AI204)</f>
        <v>1</v>
      </c>
      <c r="BT204" t="str">
        <f>IFERROR(VLOOKUP(BB204&amp;BU204&amp;X204,game_rosters!U:W,3,FALSE),"")</f>
        <v>P100224</v>
      </c>
      <c r="BU204" t="str">
        <f t="shared" si="138"/>
        <v>Velodrome</v>
      </c>
    </row>
    <row r="205" spans="1:73" x14ac:dyDescent="0.2">
      <c r="A205">
        <f t="shared" si="125"/>
        <v>1</v>
      </c>
      <c r="E205" s="4"/>
      <c r="F205" s="43"/>
      <c r="G205" s="4"/>
      <c r="H205" s="46"/>
      <c r="J205" s="44" t="str">
        <f t="shared" si="139"/>
        <v/>
      </c>
      <c r="K205" t="s">
        <v>7</v>
      </c>
      <c r="L205" t="s">
        <v>182</v>
      </c>
      <c r="M205" t="s">
        <v>68</v>
      </c>
      <c r="N205" t="str">
        <f t="shared" si="110"/>
        <v>u</v>
      </c>
      <c r="Q205" t="str">
        <f t="shared" si="108"/>
        <v/>
      </c>
      <c r="S205">
        <v>112</v>
      </c>
      <c r="U205" t="str">
        <f>IF(B205=1,MAX($U$2:$U204)+1,IF(AND($T205&lt;&gt;"",$T205=$T204),$U204,IF(B205="x",U204,"")))</f>
        <v/>
      </c>
      <c r="V205" t="str">
        <f>IF(C205=1,MAX($V$2:$V204)+1,IF(AND($T205&lt;&gt;"",$T205=$T204),$U204,IF(C205="x",V204,"")))</f>
        <v/>
      </c>
      <c r="W205" t="str">
        <f t="shared" si="114"/>
        <v>h</v>
      </c>
      <c r="X205">
        <v>37</v>
      </c>
      <c r="Y205" t="b">
        <f>IF(X205&lt;&gt;"",VLOOKUP(X205,game_rosters!$C$43:$E$64,3,FALSE))</f>
        <v>0</v>
      </c>
      <c r="Z205" cm="1">
        <f t="array" ref="Z205">IFERROR(IF(_xlfn._xlws.FILTER(game_rosters!$J:$J,(game_rosters!$G:$G=events!$AN205)*(game_rosters!$J:$J=events!$X205))&gt;0,1,""),"")</f>
        <v>1</v>
      </c>
      <c r="AA205">
        <f t="shared" si="115"/>
        <v>1112</v>
      </c>
      <c r="AB205" t="str">
        <f t="shared" si="116"/>
        <v/>
      </c>
      <c r="AC205">
        <f t="shared" si="113"/>
        <v>1112</v>
      </c>
      <c r="AD205" s="6">
        <v>1</v>
      </c>
      <c r="AE205" t="s">
        <v>926</v>
      </c>
      <c r="AF205" t="s">
        <v>900</v>
      </c>
      <c r="AG205" t="s">
        <v>756</v>
      </c>
      <c r="AH205" t="s">
        <v>756</v>
      </c>
      <c r="AI205" t="s">
        <v>367</v>
      </c>
      <c r="AJ205" t="str">
        <f t="shared" si="117"/>
        <v/>
      </c>
      <c r="AK205" t="str">
        <f t="shared" si="117"/>
        <v/>
      </c>
      <c r="AL205" t="str">
        <f t="shared" si="118"/>
        <v/>
      </c>
      <c r="AN205" t="s">
        <v>861</v>
      </c>
      <c r="AO205" t="str">
        <f t="shared" si="119"/>
        <v>h</v>
      </c>
      <c r="AP205" t="str">
        <f t="shared" si="126"/>
        <v/>
      </c>
      <c r="AQ205" t="str">
        <f t="shared" si="127"/>
        <v/>
      </c>
      <c r="AR205" t="str">
        <f t="shared" si="128"/>
        <v>Home</v>
      </c>
      <c r="AS205" t="str">
        <f t="shared" si="129"/>
        <v>h</v>
      </c>
      <c r="AT205" t="str">
        <f t="shared" si="130"/>
        <v>Offensive</v>
      </c>
      <c r="BA205" s="6">
        <f t="shared" si="120"/>
        <v>47</v>
      </c>
      <c r="BB205">
        <f t="shared" si="121"/>
        <v>18981</v>
      </c>
      <c r="BC205" t="str">
        <f t="shared" si="122"/>
        <v>Nelson</v>
      </c>
      <c r="BD205" t="str">
        <f t="shared" si="123"/>
        <v>Velodrome</v>
      </c>
      <c r="BE205" t="s">
        <v>7</v>
      </c>
      <c r="BF205" t="s">
        <v>182</v>
      </c>
      <c r="BG205" t="s">
        <v>68</v>
      </c>
      <c r="BI205" cm="1">
        <f t="array" ref="BI205">IFERROR(_xlfn._xlws.FILTER(shifts!A:A,(shifts!B:B=events!AD205)*(shifts!AG:AG&gt;=events!BK205)*(shifts!AH:AH&lt;=events!BL205)),BI204)</f>
        <v>8</v>
      </c>
      <c r="BJ205" s="15">
        <f t="shared" si="124"/>
        <v>0</v>
      </c>
      <c r="BK205">
        <f t="shared" si="131"/>
        <v>827</v>
      </c>
      <c r="BL205">
        <f t="shared" si="132"/>
        <v>827</v>
      </c>
      <c r="BM205" s="15">
        <f>SUMIFS(BJ$2:BJ205,K$2:K205,"=Intermission")+SUMIFS(BJ$2:BJ205,K$2:K205,"=Timeout")</f>
        <v>0</v>
      </c>
      <c r="BN205">
        <f t="shared" si="133"/>
        <v>0</v>
      </c>
      <c r="BO205" s="19">
        <f t="shared" si="134"/>
        <v>253</v>
      </c>
      <c r="BP205">
        <f t="shared" si="135"/>
        <v>248</v>
      </c>
      <c r="BQ205" s="17">
        <f t="shared" si="136"/>
        <v>253</v>
      </c>
      <c r="BR205" t="str">
        <f t="shared" si="137"/>
        <v>event_team_player_1</v>
      </c>
      <c r="BS205">
        <f>COUNTIFS(S$3:S205,"="&amp;S205,AI$3:AI205,"="&amp;AI205)</f>
        <v>1</v>
      </c>
      <c r="BT205" t="str">
        <f>IFERROR(VLOOKUP(BB205&amp;BU205&amp;X205,game_rosters!U:W,3,FALSE),"")</f>
        <v>P100119</v>
      </c>
      <c r="BU205" t="str">
        <f t="shared" si="138"/>
        <v>Nelson</v>
      </c>
    </row>
    <row r="206" spans="1:73" x14ac:dyDescent="0.2">
      <c r="A206">
        <f t="shared" si="125"/>
        <v>1</v>
      </c>
      <c r="E206" s="4"/>
      <c r="F206" s="43"/>
      <c r="G206" s="4"/>
      <c r="H206" s="46"/>
      <c r="J206" s="44" t="str">
        <f t="shared" si="139"/>
        <v/>
      </c>
      <c r="K206" t="s">
        <v>7</v>
      </c>
      <c r="L206" t="s">
        <v>182</v>
      </c>
      <c r="M206" t="s">
        <v>68</v>
      </c>
      <c r="N206" t="str">
        <f t="shared" si="110"/>
        <v>u</v>
      </c>
      <c r="Q206" t="str">
        <f t="shared" si="108"/>
        <v/>
      </c>
      <c r="S206">
        <v>112</v>
      </c>
      <c r="U206" t="str">
        <f>IF(B206=1,MAX($U$2:$U205)+1,IF(AND($T206&lt;&gt;"",$T206=$T205),$U205,IF(B206="x",U205,"")))</f>
        <v/>
      </c>
      <c r="V206" t="str">
        <f>IF(C206=1,MAX($V$2:$V205)+1,IF(AND($T206&lt;&gt;"",$T206=$T205),$U205,IF(C206="x",V205,"")))</f>
        <v/>
      </c>
      <c r="W206" t="str">
        <f t="shared" si="114"/>
        <v>h</v>
      </c>
      <c r="X206">
        <v>44</v>
      </c>
      <c r="Y206" t="b">
        <f>IF(X206&lt;&gt;"",VLOOKUP(X206,game_rosters!$C$43:$E$64,3,FALSE))</f>
        <v>0</v>
      </c>
      <c r="Z206" cm="1">
        <f t="array" ref="Z206">IFERROR(IF(_xlfn._xlws.FILTER(game_rosters!$J:$J,(game_rosters!$G:$G=events!$AN206)*(game_rosters!$J:$J=events!$X206))&gt;0,1,""),"")</f>
        <v>1</v>
      </c>
      <c r="AA206">
        <f t="shared" si="115"/>
        <v>1112</v>
      </c>
      <c r="AB206" t="str">
        <f t="shared" si="116"/>
        <v/>
      </c>
      <c r="AC206">
        <f t="shared" si="113"/>
        <v>1112</v>
      </c>
      <c r="AD206" s="6">
        <v>1</v>
      </c>
      <c r="AE206" t="s">
        <v>926</v>
      </c>
      <c r="AF206" t="s">
        <v>900</v>
      </c>
      <c r="AG206" t="s">
        <v>756</v>
      </c>
      <c r="AH206" t="s">
        <v>756</v>
      </c>
      <c r="AI206" t="s">
        <v>367</v>
      </c>
      <c r="AJ206" t="str">
        <f t="shared" si="117"/>
        <v/>
      </c>
      <c r="AK206" t="str">
        <f t="shared" si="117"/>
        <v/>
      </c>
      <c r="AL206" t="str">
        <f t="shared" si="118"/>
        <v/>
      </c>
      <c r="AN206" t="s">
        <v>861</v>
      </c>
      <c r="AO206" t="str">
        <f t="shared" si="119"/>
        <v>h</v>
      </c>
      <c r="AP206" t="str">
        <f t="shared" si="126"/>
        <v/>
      </c>
      <c r="AQ206" t="str">
        <f t="shared" si="127"/>
        <v/>
      </c>
      <c r="AR206" t="str">
        <f t="shared" si="128"/>
        <v>Home</v>
      </c>
      <c r="AS206" t="str">
        <f t="shared" si="129"/>
        <v>h</v>
      </c>
      <c r="AT206" t="str">
        <f t="shared" si="130"/>
        <v>Offensive</v>
      </c>
      <c r="BA206" s="6">
        <f t="shared" si="120"/>
        <v>47</v>
      </c>
      <c r="BB206">
        <f t="shared" si="121"/>
        <v>18981</v>
      </c>
      <c r="BC206" t="str">
        <f t="shared" si="122"/>
        <v>Nelson</v>
      </c>
      <c r="BD206" t="str">
        <f t="shared" si="123"/>
        <v>Velodrome</v>
      </c>
      <c r="BE206" t="s">
        <v>7</v>
      </c>
      <c r="BF206" t="s">
        <v>182</v>
      </c>
      <c r="BG206" t="s">
        <v>68</v>
      </c>
      <c r="BI206" cm="1">
        <f t="array" ref="BI206">IFERROR(_xlfn._xlws.FILTER(shifts!A:A,(shifts!B:B=events!AD206)*(shifts!AG:AG&gt;=events!BK206)*(shifts!AH:AH&lt;=events!BL206)),BI205)</f>
        <v>8</v>
      </c>
      <c r="BJ206" s="15">
        <f t="shared" si="124"/>
        <v>0</v>
      </c>
      <c r="BK206">
        <f t="shared" si="131"/>
        <v>827</v>
      </c>
      <c r="BL206">
        <f t="shared" si="132"/>
        <v>827</v>
      </c>
      <c r="BM206" s="15">
        <f>SUMIFS(BJ$2:BJ206,K$2:K206,"=Intermission")+SUMIFS(BJ$2:BJ206,K$2:K206,"=Timeout")</f>
        <v>0</v>
      </c>
      <c r="BN206">
        <f t="shared" si="133"/>
        <v>0</v>
      </c>
      <c r="BO206" s="19">
        <f t="shared" si="134"/>
        <v>253</v>
      </c>
      <c r="BP206">
        <f t="shared" si="135"/>
        <v>248</v>
      </c>
      <c r="BQ206" s="17">
        <f t="shared" si="136"/>
        <v>253</v>
      </c>
      <c r="BR206" t="str">
        <f t="shared" si="137"/>
        <v>event_team_player_2</v>
      </c>
      <c r="BS206">
        <f>COUNTIFS(S$3:S206,"="&amp;S206,AI$3:AI206,"="&amp;AI206)</f>
        <v>2</v>
      </c>
      <c r="BT206" t="str">
        <f>IFERROR(VLOOKUP(BB206&amp;BU206&amp;X206,game_rosters!U:W,3,FALSE),"")</f>
        <v>P100079</v>
      </c>
      <c r="BU206" t="str">
        <f t="shared" si="138"/>
        <v>Nelson</v>
      </c>
    </row>
    <row r="207" spans="1:73" x14ac:dyDescent="0.2">
      <c r="A207">
        <f t="shared" si="125"/>
        <v>1</v>
      </c>
      <c r="E207" s="4"/>
      <c r="F207" s="43"/>
      <c r="G207" s="4"/>
      <c r="H207" s="46"/>
      <c r="J207" s="44" t="str">
        <f t="shared" si="139"/>
        <v>o</v>
      </c>
      <c r="K207" t="s">
        <v>238</v>
      </c>
      <c r="L207" t="s">
        <v>174</v>
      </c>
      <c r="M207" t="s">
        <v>85</v>
      </c>
      <c r="N207" t="str">
        <f t="shared" si="110"/>
        <v>s</v>
      </c>
      <c r="Q207" t="str">
        <f t="shared" si="108"/>
        <v/>
      </c>
      <c r="S207">
        <v>113</v>
      </c>
      <c r="U207" t="str">
        <f>IF(B207=1,MAX($U$2:$U206)+1,IF(AND($T207&lt;&gt;"",$T207=$T206),$U206,IF(B207="x",U206,"")))</f>
        <v/>
      </c>
      <c r="V207" t="str">
        <f>IF(C207=1,MAX($V$2:$V206)+1,IF(AND($T207&lt;&gt;"",$T207=$T206),$U206,IF(C207="x",V206,"")))</f>
        <v/>
      </c>
      <c r="W207" t="str">
        <f t="shared" si="114"/>
        <v>h</v>
      </c>
      <c r="X207">
        <v>44</v>
      </c>
      <c r="Y207" t="b">
        <f>IF(X207&lt;&gt;"",VLOOKUP(X207,game_rosters!$C$43:$E$64,3,FALSE))</f>
        <v>0</v>
      </c>
      <c r="Z207" cm="1">
        <f t="array" ref="Z207">IFERROR(IF(_xlfn._xlws.FILTER(game_rosters!$J:$J,(game_rosters!$G:$G=events!$AN207)*(game_rosters!$J:$J=events!$X207))&gt;0,1,""),"")</f>
        <v>1</v>
      </c>
      <c r="AA207">
        <f t="shared" si="115"/>
        <v>1113</v>
      </c>
      <c r="AB207" t="str">
        <f t="shared" si="116"/>
        <v/>
      </c>
      <c r="AC207">
        <f t="shared" si="113"/>
        <v>1113</v>
      </c>
      <c r="AD207" s="6">
        <v>1</v>
      </c>
      <c r="AE207" t="s">
        <v>926</v>
      </c>
      <c r="AF207" t="s">
        <v>901</v>
      </c>
      <c r="AG207" t="s">
        <v>756</v>
      </c>
      <c r="AH207" t="s">
        <v>756</v>
      </c>
      <c r="AI207" t="s">
        <v>367</v>
      </c>
      <c r="AJ207" t="str">
        <f t="shared" si="117"/>
        <v>o</v>
      </c>
      <c r="AK207" t="str">
        <f t="shared" si="117"/>
        <v>o</v>
      </c>
      <c r="AL207" t="str">
        <f t="shared" si="118"/>
        <v>o</v>
      </c>
      <c r="AN207" t="s">
        <v>861</v>
      </c>
      <c r="AO207" t="str">
        <f t="shared" si="119"/>
        <v>h</v>
      </c>
      <c r="AP207" t="str">
        <f t="shared" si="126"/>
        <v>o</v>
      </c>
      <c r="AQ207" t="str">
        <f t="shared" si="127"/>
        <v/>
      </c>
      <c r="AR207" t="str">
        <f t="shared" si="128"/>
        <v>Home</v>
      </c>
      <c r="AS207" t="str">
        <f t="shared" si="129"/>
        <v>h</v>
      </c>
      <c r="AT207" t="str">
        <f t="shared" si="130"/>
        <v>Offensive</v>
      </c>
      <c r="BA207" s="6">
        <f t="shared" si="120"/>
        <v>48</v>
      </c>
      <c r="BB207">
        <f t="shared" si="121"/>
        <v>18981</v>
      </c>
      <c r="BC207" t="str">
        <f t="shared" si="122"/>
        <v>Nelson</v>
      </c>
      <c r="BD207" t="str">
        <f t="shared" si="123"/>
        <v>Velodrome</v>
      </c>
      <c r="BE207" t="s">
        <v>238</v>
      </c>
      <c r="BF207" t="s">
        <v>174</v>
      </c>
      <c r="BG207" t="s">
        <v>85</v>
      </c>
      <c r="BI207" cm="1">
        <f t="array" ref="BI207">IFERROR(_xlfn._xlws.FILTER(shifts!A:A,(shifts!B:B=events!AD207)*(shifts!AG:AG&gt;=events!BK207)*(shifts!AH:AH&lt;=events!BL207)),BI206)</f>
        <v>9</v>
      </c>
      <c r="BJ207" s="15">
        <f t="shared" si="124"/>
        <v>0</v>
      </c>
      <c r="BK207">
        <f t="shared" si="131"/>
        <v>823</v>
      </c>
      <c r="BL207">
        <f t="shared" si="132"/>
        <v>823</v>
      </c>
      <c r="BM207" s="15">
        <f>SUMIFS(BJ$2:BJ207,K$2:K207,"=Intermission")+SUMIFS(BJ$2:BJ207,K$2:K207,"=Timeout")</f>
        <v>0</v>
      </c>
      <c r="BN207">
        <f t="shared" si="133"/>
        <v>0</v>
      </c>
      <c r="BO207" s="19">
        <f t="shared" si="134"/>
        <v>257</v>
      </c>
      <c r="BP207">
        <f t="shared" si="135"/>
        <v>252</v>
      </c>
      <c r="BQ207" s="17">
        <f t="shared" si="136"/>
        <v>257</v>
      </c>
      <c r="BR207" t="str">
        <f t="shared" si="137"/>
        <v>event_team_player_1</v>
      </c>
      <c r="BS207">
        <f>COUNTIFS(S$3:S207,"="&amp;S207,AI$3:AI207,"="&amp;AI207)</f>
        <v>1</v>
      </c>
      <c r="BT207" t="str">
        <f>IFERROR(VLOOKUP(BB207&amp;BU207&amp;X207,game_rosters!U:W,3,FALSE),"")</f>
        <v>P100079</v>
      </c>
      <c r="BU207" t="str">
        <f t="shared" si="138"/>
        <v>Nelson</v>
      </c>
    </row>
    <row r="208" spans="1:73" x14ac:dyDescent="0.2">
      <c r="A208">
        <f t="shared" si="125"/>
        <v>1</v>
      </c>
      <c r="E208" s="4"/>
      <c r="F208" s="43"/>
      <c r="G208" s="4"/>
      <c r="H208" s="46"/>
      <c r="J208" s="44" t="str">
        <f t="shared" si="139"/>
        <v>o</v>
      </c>
      <c r="K208" t="s">
        <v>238</v>
      </c>
      <c r="L208" t="s">
        <v>174</v>
      </c>
      <c r="M208" t="s">
        <v>85</v>
      </c>
      <c r="N208" t="str">
        <f t="shared" si="110"/>
        <v>s</v>
      </c>
      <c r="Q208" t="str">
        <f t="shared" ref="Q208:Q271" si="140">IF(O208="","",IF(AND(N208&lt;&gt;"",OR(O208&lt;&gt;"",P208&lt;&gt;"")),N208,IF(OR(ISNUMBER(SEARCH("attemp",O208)),ISNUMBER(SEARCH("beat",O208)),ISNUMBER(SEARCH("mis",O208)),ISNUMBER(SEARCH("fail",O208)),ISNUMBER(SEARCH("loss",O208)),ISNUMBER(SEARCH("lost",O208)),ISNUMBER(SEARCH("attemp",P208)),ISNUMBER(SEARCH("mis",P208)),ISNUMBER(SEARCH("fail",P208)),ISNUMBER(SEARCH("loss",P208)),ISNUMBER(SEARCH("beat",P208)),ISNUMBER(SEARCH("lost",P208))),"u","")))</f>
        <v/>
      </c>
      <c r="S208">
        <v>113</v>
      </c>
      <c r="U208" t="str">
        <f>IF(B208=1,MAX($U$2:$U207)+1,IF(AND($T208&lt;&gt;"",$T208=$T207),$U207,IF(B208="x",U207,"")))</f>
        <v/>
      </c>
      <c r="V208" t="str">
        <f>IF(C208=1,MAX($V$2:$V207)+1,IF(AND($T208&lt;&gt;"",$T208=$T207),$U207,IF(C208="x",V207,"")))</f>
        <v/>
      </c>
      <c r="W208" t="str">
        <f t="shared" si="114"/>
        <v>h</v>
      </c>
      <c r="X208">
        <v>14</v>
      </c>
      <c r="Y208" t="e">
        <f>IF(X208&lt;&gt;"",VLOOKUP(X208,game_rosters!$C$43:$E$64,3,FALSE))</f>
        <v>#N/A</v>
      </c>
      <c r="Z208" t="str" cm="1">
        <f t="array" ref="Z208">IFERROR(IF(_xlfn._xlws.FILTER(game_rosters!$J:$J,(game_rosters!$G:$G=events!$AN208)*(game_rosters!$J:$J=events!$X208))&gt;0,1,""),"")</f>
        <v/>
      </c>
      <c r="AA208">
        <f t="shared" si="115"/>
        <v>1113</v>
      </c>
      <c r="AB208" t="str">
        <f t="shared" si="116"/>
        <v/>
      </c>
      <c r="AC208">
        <f t="shared" si="113"/>
        <v>1113</v>
      </c>
      <c r="AD208" s="6">
        <v>1</v>
      </c>
      <c r="AE208" t="s">
        <v>926</v>
      </c>
      <c r="AF208" t="s">
        <v>901</v>
      </c>
      <c r="AG208" t="s">
        <v>756</v>
      </c>
      <c r="AH208" t="s">
        <v>756</v>
      </c>
      <c r="AI208" t="s">
        <v>368</v>
      </c>
      <c r="AJ208" t="str">
        <f t="shared" si="117"/>
        <v>o</v>
      </c>
      <c r="AK208" t="str">
        <f t="shared" si="117"/>
        <v>o</v>
      </c>
      <c r="AL208" t="str">
        <f t="shared" si="118"/>
        <v>o</v>
      </c>
      <c r="AN208" t="s">
        <v>861</v>
      </c>
      <c r="AO208" t="str">
        <f t="shared" si="119"/>
        <v>h</v>
      </c>
      <c r="AP208" t="str">
        <f t="shared" si="126"/>
        <v>o</v>
      </c>
      <c r="AQ208" t="str">
        <f t="shared" si="127"/>
        <v/>
      </c>
      <c r="AR208" t="str">
        <f t="shared" si="128"/>
        <v>Home</v>
      </c>
      <c r="AS208" t="str">
        <f t="shared" si="129"/>
        <v>h</v>
      </c>
      <c r="AT208" t="str">
        <f t="shared" si="130"/>
        <v>Defensive</v>
      </c>
      <c r="BA208" s="6">
        <f t="shared" si="120"/>
        <v>49</v>
      </c>
      <c r="BB208">
        <f t="shared" si="121"/>
        <v>18981</v>
      </c>
      <c r="BC208" t="str">
        <f t="shared" si="122"/>
        <v>Nelson</v>
      </c>
      <c r="BD208" t="str">
        <f t="shared" si="123"/>
        <v>Velodrome</v>
      </c>
      <c r="BE208" t="s">
        <v>238</v>
      </c>
      <c r="BF208" t="s">
        <v>174</v>
      </c>
      <c r="BG208" t="s">
        <v>85</v>
      </c>
      <c r="BI208" cm="1">
        <f t="array" ref="BI208">IFERROR(_xlfn._xlws.FILTER(shifts!A:A,(shifts!B:B=events!AD208)*(shifts!AG:AG&gt;=events!BK208)*(shifts!AH:AH&lt;=events!BL208)),BI207)</f>
        <v>9</v>
      </c>
      <c r="BJ208" s="15">
        <f t="shared" si="124"/>
        <v>0</v>
      </c>
      <c r="BK208">
        <f t="shared" si="131"/>
        <v>823</v>
      </c>
      <c r="BL208">
        <f t="shared" si="132"/>
        <v>823</v>
      </c>
      <c r="BM208" s="15">
        <f>SUMIFS(BJ$2:BJ208,K$2:K208,"=Intermission")+SUMIFS(BJ$2:BJ208,K$2:K208,"=Timeout")</f>
        <v>0</v>
      </c>
      <c r="BN208">
        <f t="shared" si="133"/>
        <v>0</v>
      </c>
      <c r="BO208" s="19">
        <f t="shared" si="134"/>
        <v>257</v>
      </c>
      <c r="BP208">
        <f t="shared" si="135"/>
        <v>252</v>
      </c>
      <c r="BQ208" s="17">
        <f t="shared" si="136"/>
        <v>257</v>
      </c>
      <c r="BR208" t="str">
        <f t="shared" si="137"/>
        <v>opp_team_player_1</v>
      </c>
      <c r="BS208">
        <f>COUNTIFS(S$3:S208,"="&amp;S208,AI$3:AI208,"="&amp;AI208)</f>
        <v>1</v>
      </c>
      <c r="BT208" t="str">
        <f>IFERROR(VLOOKUP(BB208&amp;BU208&amp;X208,game_rosters!U:W,3,FALSE),"")</f>
        <v>P100132</v>
      </c>
      <c r="BU208" t="str">
        <f t="shared" si="138"/>
        <v>Velodrome</v>
      </c>
    </row>
    <row r="209" spans="1:73" x14ac:dyDescent="0.2">
      <c r="A209">
        <f t="shared" si="125"/>
        <v>1</v>
      </c>
      <c r="E209" s="4"/>
      <c r="F209" s="43"/>
      <c r="G209" s="4"/>
      <c r="H209" s="46"/>
      <c r="J209" s="44" t="str">
        <f t="shared" si="139"/>
        <v/>
      </c>
      <c r="K209" t="s">
        <v>9</v>
      </c>
      <c r="L209" t="s">
        <v>183</v>
      </c>
      <c r="M209" t="s">
        <v>80</v>
      </c>
      <c r="N209" t="str">
        <f t="shared" si="110"/>
        <v/>
      </c>
      <c r="Q209" t="str">
        <f t="shared" si="140"/>
        <v/>
      </c>
      <c r="S209">
        <v>114</v>
      </c>
      <c r="U209" t="str">
        <f>IF(B209=1,MAX($U$2:$U208)+1,IF(AND($T209&lt;&gt;"",$T209=$T208),$U208,IF(B209="x",U208,"")))</f>
        <v/>
      </c>
      <c r="V209" t="str">
        <f>IF(C209=1,MAX($V$2:$V208)+1,IF(AND($T209&lt;&gt;"",$T209=$T208),$U208,IF(C209="x",V208,"")))</f>
        <v/>
      </c>
      <c r="W209" t="str">
        <f t="shared" si="114"/>
        <v>a</v>
      </c>
      <c r="X209">
        <v>49</v>
      </c>
      <c r="Y209" t="e">
        <f>IF(X209&lt;&gt;"",VLOOKUP(X209,game_rosters!$C$43:$E$64,3,FALSE))</f>
        <v>#N/A</v>
      </c>
      <c r="Z209" cm="1">
        <f t="array" ref="Z209">IFERROR(IF(_xlfn._xlws.FILTER(game_rosters!$J:$J,(game_rosters!$G:$G=events!$AN209)*(game_rosters!$J:$J=events!$X209))&gt;0,1,""),"")</f>
        <v>1</v>
      </c>
      <c r="AA209">
        <f t="shared" si="115"/>
        <v>1114</v>
      </c>
      <c r="AB209" t="str">
        <f t="shared" si="116"/>
        <v/>
      </c>
      <c r="AC209">
        <f t="shared" si="113"/>
        <v>1114</v>
      </c>
      <c r="AD209" s="6">
        <v>1</v>
      </c>
      <c r="AE209" t="s">
        <v>926</v>
      </c>
      <c r="AF209" t="s">
        <v>902</v>
      </c>
      <c r="AG209" t="s">
        <v>756</v>
      </c>
      <c r="AH209" t="s">
        <v>756</v>
      </c>
      <c r="AI209" t="s">
        <v>367</v>
      </c>
      <c r="AJ209" t="str">
        <f t="shared" si="117"/>
        <v/>
      </c>
      <c r="AK209" t="str">
        <f t="shared" si="117"/>
        <v/>
      </c>
      <c r="AL209" t="str">
        <f t="shared" si="118"/>
        <v/>
      </c>
      <c r="AN209" t="s">
        <v>862</v>
      </c>
      <c r="AO209" t="str">
        <f t="shared" si="119"/>
        <v>a</v>
      </c>
      <c r="AP209" t="str">
        <f t="shared" si="126"/>
        <v/>
      </c>
      <c r="AQ209" t="str">
        <f t="shared" si="127"/>
        <v/>
      </c>
      <c r="AR209" t="str">
        <f t="shared" si="128"/>
        <v>Away</v>
      </c>
      <c r="AS209" t="str">
        <f t="shared" si="129"/>
        <v>a</v>
      </c>
      <c r="AT209" t="str">
        <f t="shared" si="130"/>
        <v>Defensive</v>
      </c>
      <c r="BA209" s="6">
        <f t="shared" si="120"/>
        <v>49</v>
      </c>
      <c r="BB209">
        <f t="shared" si="121"/>
        <v>18981</v>
      </c>
      <c r="BC209" t="str">
        <f t="shared" si="122"/>
        <v>Nelson</v>
      </c>
      <c r="BD209" t="str">
        <f t="shared" si="123"/>
        <v>Velodrome</v>
      </c>
      <c r="BE209" t="s">
        <v>9</v>
      </c>
      <c r="BF209" t="s">
        <v>183</v>
      </c>
      <c r="BG209" t="s">
        <v>80</v>
      </c>
      <c r="BI209" cm="1">
        <f t="array" ref="BI209">IFERROR(_xlfn._xlws.FILTER(shifts!A:A,(shifts!B:B=events!AD209)*(shifts!AG:AG&gt;=events!BK209)*(shifts!AH:AH&lt;=events!BL209)),BI208)</f>
        <v>9</v>
      </c>
      <c r="BJ209" s="15">
        <f t="shared" si="124"/>
        <v>0</v>
      </c>
      <c r="BK209">
        <f t="shared" si="131"/>
        <v>822</v>
      </c>
      <c r="BL209">
        <f t="shared" si="132"/>
        <v>822</v>
      </c>
      <c r="BM209" s="15">
        <f>SUMIFS(BJ$2:BJ209,K$2:K209,"=Intermission")+SUMIFS(BJ$2:BJ209,K$2:K209,"=Timeout")</f>
        <v>0</v>
      </c>
      <c r="BN209">
        <f t="shared" si="133"/>
        <v>0</v>
      </c>
      <c r="BO209" s="19">
        <f t="shared" si="134"/>
        <v>258</v>
      </c>
      <c r="BP209">
        <f t="shared" si="135"/>
        <v>253</v>
      </c>
      <c r="BQ209" s="17">
        <f t="shared" si="136"/>
        <v>258</v>
      </c>
      <c r="BR209" t="str">
        <f t="shared" si="137"/>
        <v>event_team_player_1</v>
      </c>
      <c r="BS209">
        <f>COUNTIFS(S$3:S209,"="&amp;S209,AI$3:AI209,"="&amp;AI209)</f>
        <v>1</v>
      </c>
      <c r="BT209" t="str">
        <f>IFERROR(VLOOKUP(BB209&amp;BU209&amp;X209,game_rosters!U:W,3,FALSE),"")</f>
        <v>P100161</v>
      </c>
      <c r="BU209" t="str">
        <f t="shared" si="138"/>
        <v>Velodrome</v>
      </c>
    </row>
    <row r="210" spans="1:73" x14ac:dyDescent="0.2">
      <c r="A210">
        <f t="shared" si="125"/>
        <v>1</v>
      </c>
      <c r="E210" s="4"/>
      <c r="F210" s="43"/>
      <c r="G210" s="4"/>
      <c r="H210" s="46"/>
      <c r="J210" s="44" t="str">
        <f t="shared" si="139"/>
        <v/>
      </c>
      <c r="K210" t="s">
        <v>9</v>
      </c>
      <c r="L210" t="s">
        <v>183</v>
      </c>
      <c r="M210" t="s">
        <v>80</v>
      </c>
      <c r="N210" t="str">
        <f t="shared" si="110"/>
        <v/>
      </c>
      <c r="Q210" t="str">
        <f t="shared" si="140"/>
        <v/>
      </c>
      <c r="S210">
        <v>114</v>
      </c>
      <c r="U210" t="str">
        <f>IF(B210=1,MAX($U$2:$U209)+1,IF(AND($T210&lt;&gt;"",$T210=$T209),$U209,IF(B210="x",U209,"")))</f>
        <v/>
      </c>
      <c r="V210" t="str">
        <f>IF(C210=1,MAX($V$2:$V209)+1,IF(AND($T210&lt;&gt;"",$T210=$T209),$U209,IF(C210="x",V209,"")))</f>
        <v/>
      </c>
      <c r="W210" t="str">
        <f t="shared" si="114"/>
        <v>a</v>
      </c>
      <c r="X210">
        <v>44</v>
      </c>
      <c r="Y210" t="b">
        <f>IF(X210&lt;&gt;"",VLOOKUP(X210,game_rosters!$C$43:$E$64,3,FALSE))</f>
        <v>0</v>
      </c>
      <c r="Z210" t="str" cm="1">
        <f t="array" ref="Z210">IFERROR(IF(_xlfn._xlws.FILTER(game_rosters!$J:$J,(game_rosters!$G:$G=events!$AN210)*(game_rosters!$J:$J=events!$X210))&gt;0,1,""),"")</f>
        <v/>
      </c>
      <c r="AA210">
        <f t="shared" si="115"/>
        <v>1114</v>
      </c>
      <c r="AB210" t="str">
        <f t="shared" si="116"/>
        <v/>
      </c>
      <c r="AC210">
        <f t="shared" si="113"/>
        <v>1114</v>
      </c>
      <c r="AD210" s="6">
        <v>1</v>
      </c>
      <c r="AE210" t="s">
        <v>926</v>
      </c>
      <c r="AF210" t="s">
        <v>902</v>
      </c>
      <c r="AG210" t="s">
        <v>756</v>
      </c>
      <c r="AH210" t="s">
        <v>756</v>
      </c>
      <c r="AI210" t="s">
        <v>368</v>
      </c>
      <c r="AJ210" t="str">
        <f t="shared" si="117"/>
        <v/>
      </c>
      <c r="AK210" t="str">
        <f t="shared" si="117"/>
        <v/>
      </c>
      <c r="AL210" t="str">
        <f t="shared" si="118"/>
        <v/>
      </c>
      <c r="AN210" t="s">
        <v>862</v>
      </c>
      <c r="AO210" t="str">
        <f t="shared" si="119"/>
        <v>a</v>
      </c>
      <c r="AP210" t="str">
        <f t="shared" si="126"/>
        <v/>
      </c>
      <c r="AQ210" t="str">
        <f t="shared" si="127"/>
        <v/>
      </c>
      <c r="AR210" t="str">
        <f t="shared" si="128"/>
        <v>Away</v>
      </c>
      <c r="AS210" t="str">
        <f t="shared" si="129"/>
        <v>a</v>
      </c>
      <c r="AT210" t="str">
        <f t="shared" si="130"/>
        <v>Offensive</v>
      </c>
      <c r="BA210" s="6">
        <f t="shared" si="120"/>
        <v>49</v>
      </c>
      <c r="BB210">
        <f t="shared" si="121"/>
        <v>18981</v>
      </c>
      <c r="BC210" t="str">
        <f t="shared" si="122"/>
        <v>Nelson</v>
      </c>
      <c r="BD210" t="str">
        <f t="shared" si="123"/>
        <v>Velodrome</v>
      </c>
      <c r="BE210" t="s">
        <v>9</v>
      </c>
      <c r="BF210" t="s">
        <v>183</v>
      </c>
      <c r="BG210" t="s">
        <v>80</v>
      </c>
      <c r="BI210" cm="1">
        <f t="array" ref="BI210">IFERROR(_xlfn._xlws.FILTER(shifts!A:A,(shifts!B:B=events!AD210)*(shifts!AG:AG&gt;=events!BK210)*(shifts!AH:AH&lt;=events!BL210)),BI209)</f>
        <v>9</v>
      </c>
      <c r="BJ210" s="15">
        <f t="shared" si="124"/>
        <v>0</v>
      </c>
      <c r="BK210">
        <f t="shared" si="131"/>
        <v>822</v>
      </c>
      <c r="BL210">
        <f t="shared" si="132"/>
        <v>822</v>
      </c>
      <c r="BM210" s="15">
        <f>SUMIFS(BJ$2:BJ210,K$2:K210,"=Intermission")+SUMIFS(BJ$2:BJ210,K$2:K210,"=Timeout")</f>
        <v>0</v>
      </c>
      <c r="BN210">
        <f t="shared" si="133"/>
        <v>0</v>
      </c>
      <c r="BO210" s="19">
        <f t="shared" si="134"/>
        <v>258</v>
      </c>
      <c r="BP210">
        <f t="shared" si="135"/>
        <v>253</v>
      </c>
      <c r="BQ210" s="17">
        <f t="shared" si="136"/>
        <v>258</v>
      </c>
      <c r="BR210" t="str">
        <f t="shared" si="137"/>
        <v>opp_team_player_1</v>
      </c>
      <c r="BS210">
        <f>COUNTIFS(S$3:S210,"="&amp;S210,AI$3:AI210,"="&amp;AI210)</f>
        <v>1</v>
      </c>
      <c r="BT210" t="str">
        <f>IFERROR(VLOOKUP(BB210&amp;BU210&amp;X210,game_rosters!U:W,3,FALSE),"")</f>
        <v>P100079</v>
      </c>
      <c r="BU210" t="str">
        <f t="shared" si="138"/>
        <v>Nelson</v>
      </c>
    </row>
    <row r="211" spans="1:73" x14ac:dyDescent="0.2">
      <c r="A211">
        <f t="shared" si="125"/>
        <v>1</v>
      </c>
      <c r="E211" s="4"/>
      <c r="F211" s="43"/>
      <c r="G211" s="4"/>
      <c r="H211" s="46"/>
      <c r="J211" s="44" t="str">
        <f t="shared" si="139"/>
        <v>d</v>
      </c>
      <c r="K211" t="s">
        <v>238</v>
      </c>
      <c r="L211" t="s">
        <v>184</v>
      </c>
      <c r="M211" t="s">
        <v>170</v>
      </c>
      <c r="N211" t="str">
        <f t="shared" si="110"/>
        <v>s</v>
      </c>
      <c r="Q211" t="str">
        <f t="shared" si="140"/>
        <v/>
      </c>
      <c r="S211">
        <v>115</v>
      </c>
      <c r="U211" t="str">
        <f>IF(B211=1,MAX($U$2:$U210)+1,IF(AND($T211&lt;&gt;"",$T211=$T210),$U210,IF(B211="x",U210,"")))</f>
        <v/>
      </c>
      <c r="V211" t="str">
        <f>IF(C211=1,MAX($V$2:$V210)+1,IF(AND($T211&lt;&gt;"",$T211=$T210),$U210,IF(C211="x",V210,"")))</f>
        <v/>
      </c>
      <c r="W211" t="str">
        <f t="shared" si="114"/>
        <v>a</v>
      </c>
      <c r="X211">
        <v>49</v>
      </c>
      <c r="Y211" t="e">
        <f>IF(X211&lt;&gt;"",VLOOKUP(X211,game_rosters!$C$43:$E$64,3,FALSE))</f>
        <v>#N/A</v>
      </c>
      <c r="Z211" cm="1">
        <f t="array" ref="Z211">IFERROR(IF(_xlfn._xlws.FILTER(game_rosters!$J:$J,(game_rosters!$G:$G=events!$AN211)*(game_rosters!$J:$J=events!$X211))&gt;0,1,""),"")</f>
        <v>1</v>
      </c>
      <c r="AA211">
        <f t="shared" si="115"/>
        <v>1115</v>
      </c>
      <c r="AB211" t="str">
        <f t="shared" si="116"/>
        <v/>
      </c>
      <c r="AC211">
        <f t="shared" si="113"/>
        <v>1115</v>
      </c>
      <c r="AD211" s="6">
        <v>1</v>
      </c>
      <c r="AE211" t="s">
        <v>926</v>
      </c>
      <c r="AF211" t="s">
        <v>902</v>
      </c>
      <c r="AG211" t="s">
        <v>756</v>
      </c>
      <c r="AH211" t="s">
        <v>756</v>
      </c>
      <c r="AI211" t="s">
        <v>367</v>
      </c>
      <c r="AJ211" t="str">
        <f t="shared" si="117"/>
        <v>d</v>
      </c>
      <c r="AK211" t="str">
        <f t="shared" si="117"/>
        <v>d</v>
      </c>
      <c r="AL211" t="str">
        <f t="shared" si="118"/>
        <v>o</v>
      </c>
      <c r="AN211" t="s">
        <v>862</v>
      </c>
      <c r="AO211" t="str">
        <f t="shared" si="119"/>
        <v>a</v>
      </c>
      <c r="AP211" t="str">
        <f t="shared" si="126"/>
        <v>o</v>
      </c>
      <c r="AQ211" t="str">
        <f t="shared" si="127"/>
        <v/>
      </c>
      <c r="AR211" t="str">
        <f t="shared" si="128"/>
        <v>Away</v>
      </c>
      <c r="AS211" t="str">
        <f t="shared" si="129"/>
        <v>a</v>
      </c>
      <c r="AT211" t="str">
        <f t="shared" si="130"/>
        <v>Offensive</v>
      </c>
      <c r="BA211" s="6">
        <f t="shared" si="120"/>
        <v>50</v>
      </c>
      <c r="BB211">
        <f t="shared" si="121"/>
        <v>18981</v>
      </c>
      <c r="BC211" t="str">
        <f t="shared" si="122"/>
        <v>Nelson</v>
      </c>
      <c r="BD211" t="str">
        <f t="shared" si="123"/>
        <v>Velodrome</v>
      </c>
      <c r="BE211" t="s">
        <v>238</v>
      </c>
      <c r="BF211" t="s">
        <v>184</v>
      </c>
      <c r="BG211" t="s">
        <v>170</v>
      </c>
      <c r="BI211" cm="1">
        <f t="array" ref="BI211">IFERROR(_xlfn._xlws.FILTER(shifts!A:A,(shifts!B:B=events!AD211)*(shifts!AG:AG&gt;=events!BK211)*(shifts!AH:AH&lt;=events!BL211)),BI210)</f>
        <v>9</v>
      </c>
      <c r="BJ211" s="15">
        <f t="shared" si="124"/>
        <v>0</v>
      </c>
      <c r="BK211">
        <f t="shared" si="131"/>
        <v>822</v>
      </c>
      <c r="BL211">
        <f t="shared" si="132"/>
        <v>822</v>
      </c>
      <c r="BM211" s="15">
        <f>SUMIFS(BJ$2:BJ211,K$2:K211,"=Intermission")+SUMIFS(BJ$2:BJ211,K$2:K211,"=Timeout")</f>
        <v>0</v>
      </c>
      <c r="BN211">
        <f t="shared" si="133"/>
        <v>0</v>
      </c>
      <c r="BO211" s="19">
        <f t="shared" si="134"/>
        <v>258</v>
      </c>
      <c r="BP211">
        <f t="shared" si="135"/>
        <v>253</v>
      </c>
      <c r="BQ211" s="17">
        <f t="shared" si="136"/>
        <v>258</v>
      </c>
      <c r="BR211" t="str">
        <f t="shared" si="137"/>
        <v>event_team_player_1</v>
      </c>
      <c r="BS211">
        <f>COUNTIFS(S$3:S211,"="&amp;S211,AI$3:AI211,"="&amp;AI211)</f>
        <v>1</v>
      </c>
      <c r="BT211" t="str">
        <f>IFERROR(VLOOKUP(BB211&amp;BU211&amp;X211,game_rosters!U:W,3,FALSE),"")</f>
        <v>P100161</v>
      </c>
      <c r="BU211" t="str">
        <f t="shared" si="138"/>
        <v>Velodrome</v>
      </c>
    </row>
    <row r="212" spans="1:73" x14ac:dyDescent="0.2">
      <c r="A212">
        <f t="shared" si="125"/>
        <v>1</v>
      </c>
      <c r="E212" s="4"/>
      <c r="F212" s="43"/>
      <c r="G212" s="4"/>
      <c r="H212" s="46"/>
      <c r="J212" s="44" t="str">
        <f t="shared" si="139"/>
        <v>d</v>
      </c>
      <c r="K212" t="s">
        <v>238</v>
      </c>
      <c r="L212" t="s">
        <v>184</v>
      </c>
      <c r="M212" t="s">
        <v>170</v>
      </c>
      <c r="N212" t="str">
        <f t="shared" si="110"/>
        <v>s</v>
      </c>
      <c r="Q212" t="str">
        <f t="shared" si="140"/>
        <v/>
      </c>
      <c r="S212">
        <v>115</v>
      </c>
      <c r="U212" t="str">
        <f>IF(B212=1,MAX($U$2:$U211)+1,IF(AND($T212&lt;&gt;"",$T212=$T211),$U211,IF(B212="x",U211,"")))</f>
        <v/>
      </c>
      <c r="V212" t="str">
        <f>IF(C212=1,MAX($V$2:$V211)+1,IF(AND($T212&lt;&gt;"",$T212=$T211),$U211,IF(C212="x",V211,"")))</f>
        <v/>
      </c>
      <c r="W212" t="str">
        <f t="shared" si="114"/>
        <v>a</v>
      </c>
      <c r="X212">
        <v>44</v>
      </c>
      <c r="Y212" t="b">
        <f>IF(X212&lt;&gt;"",VLOOKUP(X212,game_rosters!$C$43:$E$64,3,FALSE))</f>
        <v>0</v>
      </c>
      <c r="Z212" t="str" cm="1">
        <f t="array" ref="Z212">IFERROR(IF(_xlfn._xlws.FILTER(game_rosters!$J:$J,(game_rosters!$G:$G=events!$AN212)*(game_rosters!$J:$J=events!$X212))&gt;0,1,""),"")</f>
        <v/>
      </c>
      <c r="AA212">
        <f t="shared" si="115"/>
        <v>1115</v>
      </c>
      <c r="AB212" t="str">
        <f t="shared" si="116"/>
        <v/>
      </c>
      <c r="AC212">
        <f t="shared" si="113"/>
        <v>1115</v>
      </c>
      <c r="AD212" s="6">
        <v>1</v>
      </c>
      <c r="AE212" t="s">
        <v>926</v>
      </c>
      <c r="AF212" t="s">
        <v>902</v>
      </c>
      <c r="AG212" t="s">
        <v>756</v>
      </c>
      <c r="AH212" t="s">
        <v>756</v>
      </c>
      <c r="AI212" t="s">
        <v>368</v>
      </c>
      <c r="AJ212" t="str">
        <f t="shared" ref="AJ212:AK227" si="141">IF($J212&lt;&gt;"",$J212,IF($AC212=$AC211,AJ211,""))</f>
        <v>d</v>
      </c>
      <c r="AK212" t="str">
        <f t="shared" si="141"/>
        <v>d</v>
      </c>
      <c r="AL212" t="str">
        <f t="shared" si="118"/>
        <v>o</v>
      </c>
      <c r="AN212" t="s">
        <v>862</v>
      </c>
      <c r="AO212" t="str">
        <f t="shared" si="119"/>
        <v>a</v>
      </c>
      <c r="AP212" t="str">
        <f t="shared" si="126"/>
        <v>o</v>
      </c>
      <c r="AQ212" t="str">
        <f t="shared" si="127"/>
        <v/>
      </c>
      <c r="AR212" t="str">
        <f t="shared" si="128"/>
        <v>Away</v>
      </c>
      <c r="AS212" t="str">
        <f t="shared" si="129"/>
        <v>a</v>
      </c>
      <c r="AT212" t="str">
        <f t="shared" si="130"/>
        <v>Defensive</v>
      </c>
      <c r="BA212" s="6">
        <f t="shared" si="120"/>
        <v>51</v>
      </c>
      <c r="BB212">
        <f t="shared" si="121"/>
        <v>18981</v>
      </c>
      <c r="BC212" t="str">
        <f t="shared" si="122"/>
        <v>Nelson</v>
      </c>
      <c r="BD212" t="str">
        <f t="shared" si="123"/>
        <v>Velodrome</v>
      </c>
      <c r="BE212" t="s">
        <v>238</v>
      </c>
      <c r="BF212" t="s">
        <v>184</v>
      </c>
      <c r="BG212" t="s">
        <v>170</v>
      </c>
      <c r="BI212" cm="1">
        <f t="array" ref="BI212">IFERROR(_xlfn._xlws.FILTER(shifts!A:A,(shifts!B:B=events!AD212)*(shifts!AG:AG&gt;=events!BK212)*(shifts!AH:AH&lt;=events!BL212)),BI211)</f>
        <v>9</v>
      </c>
      <c r="BJ212" s="15">
        <f t="shared" si="124"/>
        <v>0</v>
      </c>
      <c r="BK212">
        <f t="shared" si="131"/>
        <v>822</v>
      </c>
      <c r="BL212">
        <f t="shared" si="132"/>
        <v>822</v>
      </c>
      <c r="BM212" s="15">
        <f>SUMIFS(BJ$2:BJ212,K$2:K212,"=Intermission")+SUMIFS(BJ$2:BJ212,K$2:K212,"=Timeout")</f>
        <v>0</v>
      </c>
      <c r="BN212">
        <f t="shared" si="133"/>
        <v>0</v>
      </c>
      <c r="BO212" s="19">
        <f t="shared" si="134"/>
        <v>258</v>
      </c>
      <c r="BP212">
        <f t="shared" si="135"/>
        <v>253</v>
      </c>
      <c r="BQ212" s="17">
        <f t="shared" si="136"/>
        <v>258</v>
      </c>
      <c r="BR212" t="str">
        <f t="shared" si="137"/>
        <v>opp_team_player_1</v>
      </c>
      <c r="BS212">
        <f>COUNTIFS(S$3:S212,"="&amp;S212,AI$3:AI212,"="&amp;AI212)</f>
        <v>1</v>
      </c>
      <c r="BT212" t="str">
        <f>IFERROR(VLOOKUP(BB212&amp;BU212&amp;X212,game_rosters!U:W,3,FALSE),"")</f>
        <v>P100079</v>
      </c>
      <c r="BU212" t="str">
        <f t="shared" si="138"/>
        <v>Nelson</v>
      </c>
    </row>
    <row r="213" spans="1:73" x14ac:dyDescent="0.2">
      <c r="A213">
        <f t="shared" si="125"/>
        <v>1</v>
      </c>
      <c r="E213" s="4"/>
      <c r="F213" s="43"/>
      <c r="G213" s="4"/>
      <c r="H213" s="46"/>
      <c r="J213" s="44" t="str">
        <f t="shared" si="139"/>
        <v>o</v>
      </c>
      <c r="K213" t="s">
        <v>238</v>
      </c>
      <c r="L213" t="s">
        <v>174</v>
      </c>
      <c r="M213" t="s">
        <v>390</v>
      </c>
      <c r="N213" t="str">
        <f t="shared" ref="N213:N276" si="142">IF(K213="","",IF(K213="Goal","s",IF(AND(K213="Zone_Entry_Exit",OR(ISNUMBER(SEARCH("fail",L213)),ISNUMBER(SEARCH("FromExitClear",M213)),ISNUMBER(SEARCH("miss",M213)))),"u",IF(AND(K213="Zone_Entry_Exit",OR(NOT(ISNUMBER(SEARCH("fail",L213))),NOT(ISNUMBER(SEARCH("FromExitClear",M213))),NOT(ISNUMBER(SEARCH("miss",M213))))),"s",IF(AND(OR(K213="Shot",K213="Pass"),OR(ISNUMBER(SEARCH("complete",L213)),ISNUMBER(SEARCH("goal",L213)),ISNUMBER(SEARCH("OnNet",L213)))),"s",IF(L213="Turnover_Giveaway","u",IF(AND(OR(K213="Shot",K213="Pass"),OR(ISNUMBER(SEARCH("fail",L213)),NOT(ISNUMBER(SEARCH("complete",L213))),NOT(ISNUMBER(SEARCH("OnNet",L213))))),"u","")))))))</f>
        <v>u</v>
      </c>
      <c r="Q213" t="str">
        <f t="shared" si="140"/>
        <v/>
      </c>
      <c r="S213">
        <v>116</v>
      </c>
      <c r="U213" t="str">
        <f>IF(B213=1,MAX($U$2:$U212)+1,IF(AND($T213&lt;&gt;"",$T213=$T212),$U212,IF(B213="x",U212,"")))</f>
        <v/>
      </c>
      <c r="V213" t="str">
        <f>IF(C213=1,MAX($V$2:$V212)+1,IF(AND($T213&lt;&gt;"",$T213=$T212),$U212,IF(C213="x",V212,"")))</f>
        <v/>
      </c>
      <c r="W213" t="str">
        <f t="shared" si="114"/>
        <v>h</v>
      </c>
      <c r="X213">
        <v>79</v>
      </c>
      <c r="Y213" t="b">
        <f>IF(X213&lt;&gt;"",VLOOKUP(X213,game_rosters!$C$43:$E$64,3,FALSE))</f>
        <v>0</v>
      </c>
      <c r="Z213" cm="1">
        <f t="array" ref="Z213">IFERROR(IF(_xlfn._xlws.FILTER(game_rosters!$J:$J,(game_rosters!$G:$G=events!$AN213)*(game_rosters!$J:$J=events!$X213))&gt;0,1,""),"")</f>
        <v>1</v>
      </c>
      <c r="AA213">
        <f t="shared" si="115"/>
        <v>1116</v>
      </c>
      <c r="AB213" t="str">
        <f t="shared" si="116"/>
        <v/>
      </c>
      <c r="AC213">
        <f t="shared" si="113"/>
        <v>1116</v>
      </c>
      <c r="AD213" s="6">
        <v>1</v>
      </c>
      <c r="AE213" t="s">
        <v>926</v>
      </c>
      <c r="AF213" t="s">
        <v>903</v>
      </c>
      <c r="AG213" t="s">
        <v>756</v>
      </c>
      <c r="AH213" t="s">
        <v>756</v>
      </c>
      <c r="AI213" t="s">
        <v>367</v>
      </c>
      <c r="AJ213" t="str">
        <f t="shared" si="141"/>
        <v>o</v>
      </c>
      <c r="AK213" t="str">
        <f t="shared" si="141"/>
        <v>o</v>
      </c>
      <c r="AL213" t="str">
        <f t="shared" si="118"/>
        <v>o</v>
      </c>
      <c r="AN213" t="s">
        <v>861</v>
      </c>
      <c r="AO213" t="str">
        <f t="shared" si="119"/>
        <v>h</v>
      </c>
      <c r="AP213" t="str">
        <f t="shared" si="126"/>
        <v>o</v>
      </c>
      <c r="AQ213" t="str">
        <f t="shared" si="127"/>
        <v/>
      </c>
      <c r="AR213" t="str">
        <f t="shared" si="128"/>
        <v>Home</v>
      </c>
      <c r="AS213" t="str">
        <f t="shared" si="129"/>
        <v>h</v>
      </c>
      <c r="AT213" t="str">
        <f t="shared" si="130"/>
        <v>Offensive</v>
      </c>
      <c r="BA213" s="6">
        <f t="shared" si="120"/>
        <v>52</v>
      </c>
      <c r="BB213">
        <f t="shared" si="121"/>
        <v>18981</v>
      </c>
      <c r="BC213" t="str">
        <f t="shared" si="122"/>
        <v>Nelson</v>
      </c>
      <c r="BD213" t="str">
        <f t="shared" si="123"/>
        <v>Velodrome</v>
      </c>
      <c r="BE213" t="s">
        <v>238</v>
      </c>
      <c r="BF213" t="s">
        <v>174</v>
      </c>
      <c r="BG213" t="s">
        <v>390</v>
      </c>
      <c r="BI213" cm="1">
        <f t="array" ref="BI213">IFERROR(_xlfn._xlws.FILTER(shifts!A:A,(shifts!B:B=events!AD213)*(shifts!AG:AG&gt;=events!BK213)*(shifts!AH:AH&lt;=events!BL213)),BI212)</f>
        <v>9</v>
      </c>
      <c r="BJ213" s="15">
        <f t="shared" si="124"/>
        <v>0</v>
      </c>
      <c r="BK213">
        <f t="shared" si="131"/>
        <v>820</v>
      </c>
      <c r="BL213">
        <f t="shared" si="132"/>
        <v>820</v>
      </c>
      <c r="BM213" s="15">
        <f>SUMIFS(BJ$2:BJ213,K$2:K213,"=Intermission")+SUMIFS(BJ$2:BJ213,K$2:K213,"=Timeout")</f>
        <v>0</v>
      </c>
      <c r="BN213">
        <f t="shared" si="133"/>
        <v>0</v>
      </c>
      <c r="BO213" s="19">
        <f t="shared" si="134"/>
        <v>260</v>
      </c>
      <c r="BP213">
        <f t="shared" si="135"/>
        <v>255</v>
      </c>
      <c r="BQ213" s="17">
        <f t="shared" si="136"/>
        <v>260</v>
      </c>
      <c r="BR213" t="str">
        <f t="shared" si="137"/>
        <v>event_team_player_1</v>
      </c>
      <c r="BS213">
        <f>COUNTIFS(S$3:S213,"="&amp;S213,AI$3:AI213,"="&amp;AI213)</f>
        <v>1</v>
      </c>
      <c r="BT213" t="str">
        <f>IFERROR(VLOOKUP(BB213&amp;BU213&amp;X213,game_rosters!U:W,3,FALSE),"")</f>
        <v>P100066</v>
      </c>
      <c r="BU213" t="str">
        <f t="shared" si="138"/>
        <v>Nelson</v>
      </c>
    </row>
    <row r="214" spans="1:73" x14ac:dyDescent="0.2">
      <c r="A214">
        <f t="shared" si="125"/>
        <v>1</v>
      </c>
      <c r="E214" s="4"/>
      <c r="F214" s="43"/>
      <c r="G214" s="4"/>
      <c r="H214" s="46"/>
      <c r="J214" s="44" t="str">
        <f t="shared" si="139"/>
        <v/>
      </c>
      <c r="K214" t="s">
        <v>9</v>
      </c>
      <c r="L214" t="s">
        <v>173</v>
      </c>
      <c r="M214" t="s">
        <v>383</v>
      </c>
      <c r="N214" t="str">
        <f t="shared" si="142"/>
        <v>u</v>
      </c>
      <c r="Q214" t="str">
        <f t="shared" si="140"/>
        <v/>
      </c>
      <c r="S214">
        <v>117</v>
      </c>
      <c r="U214" t="str">
        <f>IF(B214=1,MAX($U$2:$U213)+1,IF(AND($T214&lt;&gt;"",$T214=$T213),$U213,IF(B214="x",U213,"")))</f>
        <v/>
      </c>
      <c r="V214" t="str">
        <f>IF(C214=1,MAX($V$2:$V213)+1,IF(AND($T214&lt;&gt;"",$T214=$T213),$U213,IF(C214="x",V213,"")))</f>
        <v/>
      </c>
      <c r="W214" t="str">
        <f t="shared" si="114"/>
        <v>h</v>
      </c>
      <c r="X214">
        <v>79</v>
      </c>
      <c r="Y214" t="b">
        <f>IF(X214&lt;&gt;"",VLOOKUP(X214,game_rosters!$C$43:$E$64,3,FALSE))</f>
        <v>0</v>
      </c>
      <c r="Z214" cm="1">
        <f t="array" ref="Z214">IFERROR(IF(_xlfn._xlws.FILTER(game_rosters!$J:$J,(game_rosters!$G:$G=events!$AN214)*(game_rosters!$J:$J=events!$X214))&gt;0,1,""),"")</f>
        <v>1</v>
      </c>
      <c r="AA214">
        <f t="shared" si="115"/>
        <v>1117</v>
      </c>
      <c r="AB214" t="str">
        <f t="shared" si="116"/>
        <v/>
      </c>
      <c r="AC214">
        <f t="shared" si="113"/>
        <v>1117</v>
      </c>
      <c r="AD214" s="6">
        <v>1</v>
      </c>
      <c r="AE214" t="s">
        <v>926</v>
      </c>
      <c r="AF214" t="s">
        <v>903</v>
      </c>
      <c r="AG214" t="s">
        <v>756</v>
      </c>
      <c r="AH214" t="s">
        <v>756</v>
      </c>
      <c r="AI214" t="s">
        <v>367</v>
      </c>
      <c r="AJ214" t="str">
        <f t="shared" si="141"/>
        <v/>
      </c>
      <c r="AK214" t="str">
        <f t="shared" si="141"/>
        <v/>
      </c>
      <c r="AL214" t="str">
        <f t="shared" si="118"/>
        <v/>
      </c>
      <c r="AN214" t="s">
        <v>861</v>
      </c>
      <c r="AO214" t="str">
        <f t="shared" si="119"/>
        <v>h</v>
      </c>
      <c r="AP214" t="str">
        <f t="shared" si="126"/>
        <v/>
      </c>
      <c r="AQ214" t="str">
        <f t="shared" si="127"/>
        <v/>
      </c>
      <c r="AR214" t="str">
        <f t="shared" si="128"/>
        <v>Home</v>
      </c>
      <c r="AS214" t="str">
        <f t="shared" si="129"/>
        <v>h</v>
      </c>
      <c r="AT214" t="str">
        <f t="shared" si="130"/>
        <v>Offensive</v>
      </c>
      <c r="BA214" s="6">
        <f t="shared" si="120"/>
        <v>52</v>
      </c>
      <c r="BB214">
        <f t="shared" si="121"/>
        <v>18981</v>
      </c>
      <c r="BC214" t="str">
        <f t="shared" si="122"/>
        <v>Nelson</v>
      </c>
      <c r="BD214" t="str">
        <f t="shared" si="123"/>
        <v>Velodrome</v>
      </c>
      <c r="BE214" t="s">
        <v>9</v>
      </c>
      <c r="BF214" t="s">
        <v>173</v>
      </c>
      <c r="BG214" t="s">
        <v>383</v>
      </c>
      <c r="BI214" cm="1">
        <f t="array" ref="BI214">IFERROR(_xlfn._xlws.FILTER(shifts!A:A,(shifts!B:B=events!AD214)*(shifts!AG:AG&gt;=events!BK214)*(shifts!AH:AH&lt;=events!BL214)),BI213)</f>
        <v>9</v>
      </c>
      <c r="BJ214" s="15">
        <f t="shared" si="124"/>
        <v>0</v>
      </c>
      <c r="BK214">
        <f t="shared" si="131"/>
        <v>820</v>
      </c>
      <c r="BL214">
        <f t="shared" si="132"/>
        <v>820</v>
      </c>
      <c r="BM214" s="15">
        <f>SUMIFS(BJ$2:BJ214,K$2:K214,"=Intermission")+SUMIFS(BJ$2:BJ214,K$2:K214,"=Timeout")</f>
        <v>0</v>
      </c>
      <c r="BN214">
        <f t="shared" si="133"/>
        <v>0</v>
      </c>
      <c r="BO214" s="19">
        <f t="shared" si="134"/>
        <v>260</v>
      </c>
      <c r="BP214">
        <f t="shared" si="135"/>
        <v>255</v>
      </c>
      <c r="BQ214" s="17">
        <f t="shared" si="136"/>
        <v>260</v>
      </c>
      <c r="BR214" t="str">
        <f t="shared" si="137"/>
        <v>event_team_player_1</v>
      </c>
      <c r="BS214">
        <f>COUNTIFS(S$3:S214,"="&amp;S214,AI$3:AI214,"="&amp;AI214)</f>
        <v>1</v>
      </c>
      <c r="BT214" t="str">
        <f>IFERROR(VLOOKUP(BB214&amp;BU214&amp;X214,game_rosters!U:W,3,FALSE),"")</f>
        <v>P100066</v>
      </c>
      <c r="BU214" t="str">
        <f t="shared" si="138"/>
        <v>Nelson</v>
      </c>
    </row>
    <row r="215" spans="1:73" x14ac:dyDescent="0.2">
      <c r="A215">
        <f t="shared" si="125"/>
        <v>1</v>
      </c>
      <c r="E215" s="4"/>
      <c r="F215" s="43"/>
      <c r="G215" s="4"/>
      <c r="H215" s="46"/>
      <c r="J215" s="44" t="str">
        <f t="shared" si="139"/>
        <v/>
      </c>
      <c r="K215" t="s">
        <v>13</v>
      </c>
      <c r="L215" t="s">
        <v>756</v>
      </c>
      <c r="M215" t="s">
        <v>756</v>
      </c>
      <c r="N215" t="str">
        <f t="shared" si="142"/>
        <v/>
      </c>
      <c r="Q215" t="str">
        <f t="shared" si="140"/>
        <v/>
      </c>
      <c r="S215">
        <v>118</v>
      </c>
      <c r="U215" t="str">
        <f>IF(B215=1,MAX($U$2:$U214)+1,IF(AND($T215&lt;&gt;"",$T215=$T214),$U214,IF(B215="x",U214,"")))</f>
        <v/>
      </c>
      <c r="V215" t="str">
        <f>IF(C215=1,MAX($V$2:$V214)+1,IF(AND($T215&lt;&gt;"",$T215=$T214),$U214,IF(C215="x",V214,"")))</f>
        <v/>
      </c>
      <c r="W215" t="str">
        <f t="shared" si="114"/>
        <v>a</v>
      </c>
      <c r="X215">
        <v>9</v>
      </c>
      <c r="Y215" t="e">
        <f>IF(X215&lt;&gt;"",VLOOKUP(X215,game_rosters!$C$43:$E$64,3,FALSE))</f>
        <v>#N/A</v>
      </c>
      <c r="Z215" cm="1">
        <f t="array" ref="Z215">IFERROR(IF(_xlfn._xlws.FILTER(game_rosters!$J:$J,(game_rosters!$G:$G=events!$AN215)*(game_rosters!$J:$J=events!$X215))&gt;0,1,""),"")</f>
        <v>1</v>
      </c>
      <c r="AA215">
        <f t="shared" si="115"/>
        <v>1118</v>
      </c>
      <c r="AB215" t="str">
        <f t="shared" si="116"/>
        <v/>
      </c>
      <c r="AC215">
        <f t="shared" si="113"/>
        <v>1118</v>
      </c>
      <c r="AD215" s="6">
        <v>1</v>
      </c>
      <c r="AE215" t="s">
        <v>926</v>
      </c>
      <c r="AF215" t="s">
        <v>928</v>
      </c>
      <c r="AG215" t="s">
        <v>926</v>
      </c>
      <c r="AH215" t="s">
        <v>929</v>
      </c>
      <c r="AI215" t="s">
        <v>367</v>
      </c>
      <c r="AJ215" t="str">
        <f t="shared" si="141"/>
        <v/>
      </c>
      <c r="AK215" t="str">
        <f t="shared" si="141"/>
        <v/>
      </c>
      <c r="AL215" t="str">
        <f t="shared" si="118"/>
        <v/>
      </c>
      <c r="AN215" t="s">
        <v>862</v>
      </c>
      <c r="AO215" t="str">
        <f t="shared" si="119"/>
        <v>a</v>
      </c>
      <c r="AP215" t="str">
        <f t="shared" si="126"/>
        <v/>
      </c>
      <c r="AQ215" t="str">
        <f t="shared" si="127"/>
        <v/>
      </c>
      <c r="AR215" t="str">
        <f t="shared" si="128"/>
        <v>Away</v>
      </c>
      <c r="AS215" t="str">
        <f t="shared" si="129"/>
        <v>a</v>
      </c>
      <c r="AT215" t="str">
        <f t="shared" si="130"/>
        <v>Offensive</v>
      </c>
      <c r="BA215" s="6">
        <f t="shared" si="120"/>
        <v>52</v>
      </c>
      <c r="BB215">
        <f t="shared" si="121"/>
        <v>18981</v>
      </c>
      <c r="BC215" t="str">
        <f t="shared" si="122"/>
        <v>Nelson</v>
      </c>
      <c r="BD215" t="str">
        <f t="shared" si="123"/>
        <v>Velodrome</v>
      </c>
      <c r="BE215" t="s">
        <v>13</v>
      </c>
      <c r="BF215" t="s">
        <v>756</v>
      </c>
      <c r="BG215" t="s">
        <v>756</v>
      </c>
      <c r="BI215" cm="1">
        <f t="array" ref="BI215">IFERROR(_xlfn._xlws.FILTER(shifts!A:A,(shifts!B:B=events!AD215)*(shifts!AG:AG&gt;=events!BK215)*(shifts!AH:AH&lt;=events!BL215)),BI214)</f>
        <v>9</v>
      </c>
      <c r="BJ215" s="15">
        <f t="shared" si="124"/>
        <v>3</v>
      </c>
      <c r="BK215">
        <f t="shared" si="131"/>
        <v>817</v>
      </c>
      <c r="BL215">
        <f t="shared" si="132"/>
        <v>814</v>
      </c>
      <c r="BM215" s="15">
        <f>SUMIFS(BJ$2:BJ215,K$2:K215,"=Intermission")+SUMIFS(BJ$2:BJ215,K$2:K215,"=Timeout")</f>
        <v>0</v>
      </c>
      <c r="BN215">
        <f t="shared" si="133"/>
        <v>0</v>
      </c>
      <c r="BO215" s="19">
        <f t="shared" si="134"/>
        <v>263</v>
      </c>
      <c r="BP215">
        <f t="shared" si="135"/>
        <v>258</v>
      </c>
      <c r="BQ215" s="17">
        <f t="shared" si="136"/>
        <v>266</v>
      </c>
      <c r="BR215" t="str">
        <f t="shared" si="137"/>
        <v>event_team_player_1</v>
      </c>
      <c r="BS215">
        <f>COUNTIFS(S$3:S215,"="&amp;S215,AI$3:AI215,"="&amp;AI215)</f>
        <v>1</v>
      </c>
      <c r="BT215" t="str">
        <f>IFERROR(VLOOKUP(BB215&amp;BU215&amp;X215,game_rosters!U:W,3,FALSE),"")</f>
        <v>P100105</v>
      </c>
      <c r="BU215" t="str">
        <f t="shared" si="138"/>
        <v>Velodrome</v>
      </c>
    </row>
    <row r="216" spans="1:73" x14ac:dyDescent="0.2">
      <c r="A216">
        <f t="shared" si="125"/>
        <v>1</v>
      </c>
      <c r="E216" s="4"/>
      <c r="F216" s="43"/>
      <c r="G216" s="4"/>
      <c r="H216" s="46"/>
      <c r="J216" s="44" t="str">
        <f t="shared" si="139"/>
        <v/>
      </c>
      <c r="K216" t="s">
        <v>7</v>
      </c>
      <c r="L216" t="s">
        <v>172</v>
      </c>
      <c r="M216" t="s">
        <v>68</v>
      </c>
      <c r="N216" t="str">
        <f t="shared" si="142"/>
        <v>s</v>
      </c>
      <c r="Q216" t="str">
        <f t="shared" si="140"/>
        <v/>
      </c>
      <c r="S216">
        <v>119</v>
      </c>
      <c r="U216" t="str">
        <f>IF(B216=1,MAX($U$2:$U215)+1,IF(AND($T216&lt;&gt;"",$T216=$T215),$U215,IF(B216="x",U215,"")))</f>
        <v/>
      </c>
      <c r="V216" t="str">
        <f>IF(C216=1,MAX($V$2:$V215)+1,IF(AND($T216&lt;&gt;"",$T216=$T215),$U215,IF(C216="x",V215,"")))</f>
        <v/>
      </c>
      <c r="W216" t="str">
        <f t="shared" si="114"/>
        <v>a</v>
      </c>
      <c r="X216">
        <v>9</v>
      </c>
      <c r="Y216" t="e">
        <f>IF(X216&lt;&gt;"",VLOOKUP(X216,game_rosters!$C$43:$E$64,3,FALSE))</f>
        <v>#N/A</v>
      </c>
      <c r="Z216" cm="1">
        <f t="array" ref="Z216">IFERROR(IF(_xlfn._xlws.FILTER(game_rosters!$J:$J,(game_rosters!$G:$G=events!$AN216)*(game_rosters!$J:$J=events!$X216))&gt;0,1,""),"")</f>
        <v>1</v>
      </c>
      <c r="AA216">
        <f t="shared" si="115"/>
        <v>1119</v>
      </c>
      <c r="AB216" t="str">
        <f t="shared" si="116"/>
        <v/>
      </c>
      <c r="AC216">
        <f t="shared" si="113"/>
        <v>1119</v>
      </c>
      <c r="AD216" s="6">
        <v>1</v>
      </c>
      <c r="AE216" t="s">
        <v>926</v>
      </c>
      <c r="AF216" t="s">
        <v>929</v>
      </c>
      <c r="AG216" t="s">
        <v>756</v>
      </c>
      <c r="AH216" t="s">
        <v>756</v>
      </c>
      <c r="AI216" t="s">
        <v>367</v>
      </c>
      <c r="AJ216" t="str">
        <f t="shared" si="141"/>
        <v/>
      </c>
      <c r="AK216" t="str">
        <f t="shared" si="141"/>
        <v/>
      </c>
      <c r="AL216" t="str">
        <f t="shared" si="118"/>
        <v/>
      </c>
      <c r="AN216" t="s">
        <v>862</v>
      </c>
      <c r="AO216" t="str">
        <f t="shared" si="119"/>
        <v>a</v>
      </c>
      <c r="AP216" t="str">
        <f t="shared" si="126"/>
        <v/>
      </c>
      <c r="AQ216" t="str">
        <f t="shared" si="127"/>
        <v/>
      </c>
      <c r="AR216" t="str">
        <f t="shared" si="128"/>
        <v>Away</v>
      </c>
      <c r="AS216" t="str">
        <f t="shared" si="129"/>
        <v>a</v>
      </c>
      <c r="AT216" t="str">
        <f t="shared" si="130"/>
        <v>Offensive</v>
      </c>
      <c r="BA216" s="6">
        <f t="shared" si="120"/>
        <v>52</v>
      </c>
      <c r="BB216">
        <f t="shared" si="121"/>
        <v>18981</v>
      </c>
      <c r="BC216" t="str">
        <f t="shared" si="122"/>
        <v>Nelson</v>
      </c>
      <c r="BD216" t="str">
        <f t="shared" si="123"/>
        <v>Velodrome</v>
      </c>
      <c r="BE216" t="s">
        <v>7</v>
      </c>
      <c r="BF216" t="s">
        <v>172</v>
      </c>
      <c r="BG216" t="s">
        <v>68</v>
      </c>
      <c r="BI216" cm="1">
        <f t="array" ref="BI216">IFERROR(_xlfn._xlws.FILTER(shifts!A:A,(shifts!B:B=events!AD216)*(shifts!AG:AG&gt;=events!BK216)*(shifts!AH:AH&lt;=events!BL216)),BI215)</f>
        <v>10</v>
      </c>
      <c r="BJ216" s="15">
        <f t="shared" si="124"/>
        <v>0</v>
      </c>
      <c r="BK216">
        <f t="shared" si="131"/>
        <v>814</v>
      </c>
      <c r="BL216">
        <f t="shared" si="132"/>
        <v>814</v>
      </c>
      <c r="BM216" s="15">
        <f>SUMIFS(BJ$2:BJ216,K$2:K216,"=Intermission")+SUMIFS(BJ$2:BJ216,K$2:K216,"=Timeout")</f>
        <v>0</v>
      </c>
      <c r="BN216">
        <f t="shared" si="133"/>
        <v>0</v>
      </c>
      <c r="BO216" s="19">
        <f t="shared" si="134"/>
        <v>266</v>
      </c>
      <c r="BP216">
        <f t="shared" si="135"/>
        <v>261</v>
      </c>
      <c r="BQ216" s="17">
        <f t="shared" si="136"/>
        <v>266</v>
      </c>
      <c r="BR216" t="str">
        <f t="shared" si="137"/>
        <v>event_team_player_1</v>
      </c>
      <c r="BS216">
        <f>COUNTIFS(S$3:S216,"="&amp;S216,AI$3:AI216,"="&amp;AI216)</f>
        <v>1</v>
      </c>
      <c r="BT216" t="str">
        <f>IFERROR(VLOOKUP(BB216&amp;BU216&amp;X216,game_rosters!U:W,3,FALSE),"")</f>
        <v>P100105</v>
      </c>
      <c r="BU216" t="str">
        <f t="shared" si="138"/>
        <v>Velodrome</v>
      </c>
    </row>
    <row r="217" spans="1:73" x14ac:dyDescent="0.2">
      <c r="A217">
        <f t="shared" si="125"/>
        <v>1</v>
      </c>
      <c r="E217" s="4"/>
      <c r="F217" s="43"/>
      <c r="G217" s="4"/>
      <c r="H217" s="46"/>
      <c r="J217" s="44" t="str">
        <f t="shared" si="139"/>
        <v/>
      </c>
      <c r="K217" t="s">
        <v>7</v>
      </c>
      <c r="L217" t="s">
        <v>172</v>
      </c>
      <c r="M217" t="s">
        <v>68</v>
      </c>
      <c r="N217" t="str">
        <f t="shared" si="142"/>
        <v>s</v>
      </c>
      <c r="Q217" t="str">
        <f t="shared" si="140"/>
        <v/>
      </c>
      <c r="S217">
        <v>119</v>
      </c>
      <c r="U217" t="str">
        <f>IF(B217=1,MAX($U$2:$U216)+1,IF(AND($T217&lt;&gt;"",$T217=$T216),$U216,IF(B217="x",U216,"")))</f>
        <v/>
      </c>
      <c r="V217" t="str">
        <f>IF(C217=1,MAX($V$2:$V216)+1,IF(AND($T217&lt;&gt;"",$T217=$T216),$U216,IF(C217="x",V216,"")))</f>
        <v/>
      </c>
      <c r="W217" t="str">
        <f t="shared" si="114"/>
        <v>a</v>
      </c>
      <c r="X217">
        <v>87</v>
      </c>
      <c r="Y217" t="e">
        <f>IF(X217&lt;&gt;"",VLOOKUP(X217,game_rosters!$C$43:$E$64,3,FALSE))</f>
        <v>#N/A</v>
      </c>
      <c r="Z217" cm="1">
        <f t="array" ref="Z217">IFERROR(IF(_xlfn._xlws.FILTER(game_rosters!$J:$J,(game_rosters!$G:$G=events!$AN217)*(game_rosters!$J:$J=events!$X217))&gt;0,1,""),"")</f>
        <v>1</v>
      </c>
      <c r="AA217">
        <f t="shared" si="115"/>
        <v>1119</v>
      </c>
      <c r="AB217" t="str">
        <f t="shared" si="116"/>
        <v/>
      </c>
      <c r="AC217">
        <f t="shared" si="113"/>
        <v>1119</v>
      </c>
      <c r="AD217" s="6">
        <v>1</v>
      </c>
      <c r="AE217" t="s">
        <v>926</v>
      </c>
      <c r="AF217" t="s">
        <v>929</v>
      </c>
      <c r="AG217" t="s">
        <v>756</v>
      </c>
      <c r="AH217" t="s">
        <v>756</v>
      </c>
      <c r="AI217" t="s">
        <v>367</v>
      </c>
      <c r="AJ217" t="str">
        <f t="shared" si="141"/>
        <v/>
      </c>
      <c r="AK217" t="str">
        <f t="shared" si="141"/>
        <v/>
      </c>
      <c r="AL217" t="str">
        <f t="shared" si="118"/>
        <v/>
      </c>
      <c r="AN217" t="s">
        <v>862</v>
      </c>
      <c r="AO217" t="str">
        <f t="shared" si="119"/>
        <v>a</v>
      </c>
      <c r="AP217" t="str">
        <f t="shared" si="126"/>
        <v/>
      </c>
      <c r="AQ217" t="str">
        <f t="shared" si="127"/>
        <v/>
      </c>
      <c r="AR217" t="str">
        <f t="shared" si="128"/>
        <v>Away</v>
      </c>
      <c r="AS217" t="str">
        <f t="shared" si="129"/>
        <v>a</v>
      </c>
      <c r="AT217" t="str">
        <f t="shared" si="130"/>
        <v>Offensive</v>
      </c>
      <c r="BA217" s="6">
        <f t="shared" si="120"/>
        <v>52</v>
      </c>
      <c r="BB217">
        <f t="shared" si="121"/>
        <v>18981</v>
      </c>
      <c r="BC217" t="str">
        <f t="shared" si="122"/>
        <v>Nelson</v>
      </c>
      <c r="BD217" t="str">
        <f t="shared" si="123"/>
        <v>Velodrome</v>
      </c>
      <c r="BE217" t="s">
        <v>7</v>
      </c>
      <c r="BF217" t="s">
        <v>172</v>
      </c>
      <c r="BG217" t="s">
        <v>68</v>
      </c>
      <c r="BI217" cm="1">
        <f t="array" ref="BI217">IFERROR(_xlfn._xlws.FILTER(shifts!A:A,(shifts!B:B=events!AD217)*(shifts!AG:AG&gt;=events!BK217)*(shifts!AH:AH&lt;=events!BL217)),BI216)</f>
        <v>10</v>
      </c>
      <c r="BJ217" s="15">
        <f t="shared" si="124"/>
        <v>0</v>
      </c>
      <c r="BK217">
        <f t="shared" si="131"/>
        <v>814</v>
      </c>
      <c r="BL217">
        <f t="shared" si="132"/>
        <v>814</v>
      </c>
      <c r="BM217" s="15">
        <f>SUMIFS(BJ$2:BJ217,K$2:K217,"=Intermission")+SUMIFS(BJ$2:BJ217,K$2:K217,"=Timeout")</f>
        <v>0</v>
      </c>
      <c r="BN217">
        <f t="shared" si="133"/>
        <v>0</v>
      </c>
      <c r="BO217" s="19">
        <f t="shared" si="134"/>
        <v>266</v>
      </c>
      <c r="BP217">
        <f t="shared" si="135"/>
        <v>261</v>
      </c>
      <c r="BQ217" s="17">
        <f t="shared" si="136"/>
        <v>266</v>
      </c>
      <c r="BR217" t="str">
        <f t="shared" si="137"/>
        <v>event_team_player_2</v>
      </c>
      <c r="BS217">
        <f>COUNTIFS(S$3:S217,"="&amp;S217,AI$3:AI217,"="&amp;AI217)</f>
        <v>2</v>
      </c>
      <c r="BT217" t="str">
        <f>IFERROR(VLOOKUP(BB217&amp;BU217&amp;X217,game_rosters!U:W,3,FALSE),"")</f>
        <v>P100159</v>
      </c>
      <c r="BU217" t="str">
        <f t="shared" si="138"/>
        <v>Velodrome</v>
      </c>
    </row>
    <row r="218" spans="1:73" x14ac:dyDescent="0.2">
      <c r="A218">
        <f t="shared" si="125"/>
        <v>1</v>
      </c>
      <c r="E218" s="4"/>
      <c r="F218" s="43"/>
      <c r="G218" s="4"/>
      <c r="H218" s="46"/>
      <c r="J218" s="44" t="str">
        <f t="shared" si="139"/>
        <v>d</v>
      </c>
      <c r="K218" t="s">
        <v>238</v>
      </c>
      <c r="L218" t="s">
        <v>184</v>
      </c>
      <c r="M218" t="s">
        <v>89</v>
      </c>
      <c r="N218" t="str">
        <f t="shared" si="142"/>
        <v>s</v>
      </c>
      <c r="Q218" t="str">
        <f t="shared" si="140"/>
        <v/>
      </c>
      <c r="S218">
        <v>120</v>
      </c>
      <c r="U218" t="str">
        <f>IF(B218=1,MAX($U$2:$U217)+1,IF(AND($T218&lt;&gt;"",$T218=$T217),$U217,IF(B218="x",U217,"")))</f>
        <v/>
      </c>
      <c r="V218" t="str">
        <f>IF(C218=1,MAX($V$2:$V217)+1,IF(AND($T218&lt;&gt;"",$T218=$T217),$U217,IF(C218="x",V217,"")))</f>
        <v/>
      </c>
      <c r="W218" t="str">
        <f t="shared" si="114"/>
        <v>a</v>
      </c>
      <c r="X218">
        <v>9</v>
      </c>
      <c r="Y218" t="e">
        <f>IF(X218&lt;&gt;"",VLOOKUP(X218,game_rosters!$C$43:$E$64,3,FALSE))</f>
        <v>#N/A</v>
      </c>
      <c r="Z218" cm="1">
        <f t="array" ref="Z218">IFERROR(IF(_xlfn._xlws.FILTER(game_rosters!$J:$J,(game_rosters!$G:$G=events!$AN218)*(game_rosters!$J:$J=events!$X218))&gt;0,1,""),"")</f>
        <v>1</v>
      </c>
      <c r="AA218">
        <f t="shared" si="115"/>
        <v>1120</v>
      </c>
      <c r="AB218" t="str">
        <f t="shared" si="116"/>
        <v/>
      </c>
      <c r="AC218">
        <f t="shared" si="113"/>
        <v>1120</v>
      </c>
      <c r="AD218" s="6">
        <v>1</v>
      </c>
      <c r="AE218" t="s">
        <v>926</v>
      </c>
      <c r="AF218" t="s">
        <v>929</v>
      </c>
      <c r="AG218" t="s">
        <v>756</v>
      </c>
      <c r="AH218" t="s">
        <v>756</v>
      </c>
      <c r="AI218" t="s">
        <v>367</v>
      </c>
      <c r="AJ218" t="str">
        <f t="shared" si="141"/>
        <v>d</v>
      </c>
      <c r="AK218" t="str">
        <f t="shared" si="141"/>
        <v>d</v>
      </c>
      <c r="AL218" t="str">
        <f t="shared" si="118"/>
        <v>o</v>
      </c>
      <c r="AN218" t="s">
        <v>862</v>
      </c>
      <c r="AO218" t="str">
        <f t="shared" si="119"/>
        <v>a</v>
      </c>
      <c r="AP218" t="str">
        <f t="shared" si="126"/>
        <v>o</v>
      </c>
      <c r="AQ218" t="str">
        <f t="shared" si="127"/>
        <v/>
      </c>
      <c r="AR218" t="str">
        <f t="shared" si="128"/>
        <v>Away</v>
      </c>
      <c r="AS218" t="str">
        <f t="shared" si="129"/>
        <v>a</v>
      </c>
      <c r="AT218" t="str">
        <f t="shared" si="130"/>
        <v>Offensive</v>
      </c>
      <c r="BA218" s="6">
        <f t="shared" si="120"/>
        <v>53</v>
      </c>
      <c r="BB218">
        <f t="shared" si="121"/>
        <v>18981</v>
      </c>
      <c r="BC218" t="str">
        <f t="shared" si="122"/>
        <v>Nelson</v>
      </c>
      <c r="BD218" t="str">
        <f t="shared" si="123"/>
        <v>Velodrome</v>
      </c>
      <c r="BE218" t="s">
        <v>238</v>
      </c>
      <c r="BF218" t="s">
        <v>184</v>
      </c>
      <c r="BG218" t="s">
        <v>89</v>
      </c>
      <c r="BI218" cm="1">
        <f t="array" ref="BI218">IFERROR(_xlfn._xlws.FILTER(shifts!A:A,(shifts!B:B=events!AD218)*(shifts!AG:AG&gt;=events!BK218)*(shifts!AH:AH&lt;=events!BL218)),BI217)</f>
        <v>10</v>
      </c>
      <c r="BJ218" s="15">
        <f t="shared" si="124"/>
        <v>0</v>
      </c>
      <c r="BK218">
        <f t="shared" si="131"/>
        <v>814</v>
      </c>
      <c r="BL218">
        <f t="shared" si="132"/>
        <v>814</v>
      </c>
      <c r="BM218" s="15">
        <f>SUMIFS(BJ$2:BJ218,K$2:K218,"=Intermission")+SUMIFS(BJ$2:BJ218,K$2:K218,"=Timeout")</f>
        <v>0</v>
      </c>
      <c r="BN218">
        <f t="shared" si="133"/>
        <v>0</v>
      </c>
      <c r="BO218" s="19">
        <f t="shared" si="134"/>
        <v>266</v>
      </c>
      <c r="BP218">
        <f t="shared" si="135"/>
        <v>261</v>
      </c>
      <c r="BQ218" s="17">
        <f t="shared" si="136"/>
        <v>266</v>
      </c>
      <c r="BR218" t="str">
        <f t="shared" si="137"/>
        <v>event_team_player_1</v>
      </c>
      <c r="BS218">
        <f>COUNTIFS(S$3:S218,"="&amp;S218,AI$3:AI218,"="&amp;AI218)</f>
        <v>1</v>
      </c>
      <c r="BT218" t="str">
        <f>IFERROR(VLOOKUP(BB218&amp;BU218&amp;X218,game_rosters!U:W,3,FALSE),"")</f>
        <v>P100105</v>
      </c>
      <c r="BU218" t="str">
        <f t="shared" si="138"/>
        <v>Velodrome</v>
      </c>
    </row>
    <row r="219" spans="1:73" x14ac:dyDescent="0.2">
      <c r="A219">
        <f t="shared" si="125"/>
        <v>1</v>
      </c>
      <c r="E219" s="4"/>
      <c r="F219" s="43"/>
      <c r="G219" s="4"/>
      <c r="H219" s="46"/>
      <c r="J219" s="44" t="str">
        <f t="shared" si="139"/>
        <v>d</v>
      </c>
      <c r="K219" t="s">
        <v>238</v>
      </c>
      <c r="L219" t="s">
        <v>184</v>
      </c>
      <c r="M219" t="s">
        <v>89</v>
      </c>
      <c r="N219" t="str">
        <f t="shared" si="142"/>
        <v>s</v>
      </c>
      <c r="Q219" t="str">
        <f t="shared" si="140"/>
        <v/>
      </c>
      <c r="S219">
        <v>120</v>
      </c>
      <c r="U219" t="str">
        <f>IF(B219=1,MAX($U$2:$U218)+1,IF(AND($T219&lt;&gt;"",$T219=$T218),$U218,IF(B219="x",U218,"")))</f>
        <v/>
      </c>
      <c r="V219" t="str">
        <f>IF(C219=1,MAX($V$2:$V218)+1,IF(AND($T219&lt;&gt;"",$T219=$T218),$U218,IF(C219="x",V218,"")))</f>
        <v/>
      </c>
      <c r="W219" t="str">
        <f t="shared" si="114"/>
        <v>a</v>
      </c>
      <c r="X219">
        <v>87</v>
      </c>
      <c r="Y219" t="e">
        <f>IF(X219&lt;&gt;"",VLOOKUP(X219,game_rosters!$C$43:$E$64,3,FALSE))</f>
        <v>#N/A</v>
      </c>
      <c r="Z219" cm="1">
        <f t="array" ref="Z219">IFERROR(IF(_xlfn._xlws.FILTER(game_rosters!$J:$J,(game_rosters!$G:$G=events!$AN219)*(game_rosters!$J:$J=events!$X219))&gt;0,1,""),"")</f>
        <v>1</v>
      </c>
      <c r="AA219">
        <f t="shared" si="115"/>
        <v>1120</v>
      </c>
      <c r="AB219" t="str">
        <f t="shared" si="116"/>
        <v/>
      </c>
      <c r="AC219">
        <f t="shared" si="113"/>
        <v>1120</v>
      </c>
      <c r="AD219" s="6">
        <v>1</v>
      </c>
      <c r="AE219" t="s">
        <v>926</v>
      </c>
      <c r="AF219" t="s">
        <v>929</v>
      </c>
      <c r="AG219" t="s">
        <v>756</v>
      </c>
      <c r="AH219" t="s">
        <v>756</v>
      </c>
      <c r="AI219" t="s">
        <v>367</v>
      </c>
      <c r="AJ219" t="str">
        <f t="shared" si="141"/>
        <v>d</v>
      </c>
      <c r="AK219" t="str">
        <f t="shared" si="141"/>
        <v>d</v>
      </c>
      <c r="AL219" t="str">
        <f t="shared" si="118"/>
        <v>o</v>
      </c>
      <c r="AN219" t="s">
        <v>862</v>
      </c>
      <c r="AO219" t="str">
        <f t="shared" si="119"/>
        <v>a</v>
      </c>
      <c r="AP219" t="str">
        <f t="shared" si="126"/>
        <v>o</v>
      </c>
      <c r="AQ219" t="str">
        <f t="shared" si="127"/>
        <v/>
      </c>
      <c r="AR219" t="str">
        <f t="shared" si="128"/>
        <v>Away</v>
      </c>
      <c r="AS219" t="str">
        <f t="shared" si="129"/>
        <v>a</v>
      </c>
      <c r="AT219" t="str">
        <f t="shared" si="130"/>
        <v>Offensive</v>
      </c>
      <c r="BA219" s="6">
        <f t="shared" si="120"/>
        <v>54</v>
      </c>
      <c r="BB219">
        <f t="shared" si="121"/>
        <v>18981</v>
      </c>
      <c r="BC219" t="str">
        <f t="shared" si="122"/>
        <v>Nelson</v>
      </c>
      <c r="BD219" t="str">
        <f t="shared" si="123"/>
        <v>Velodrome</v>
      </c>
      <c r="BE219" t="s">
        <v>238</v>
      </c>
      <c r="BF219" t="s">
        <v>184</v>
      </c>
      <c r="BG219" t="s">
        <v>89</v>
      </c>
      <c r="BI219" cm="1">
        <f t="array" ref="BI219">IFERROR(_xlfn._xlws.FILTER(shifts!A:A,(shifts!B:B=events!AD219)*(shifts!AG:AG&gt;=events!BK219)*(shifts!AH:AH&lt;=events!BL219)),BI218)</f>
        <v>10</v>
      </c>
      <c r="BJ219" s="15">
        <f t="shared" si="124"/>
        <v>0</v>
      </c>
      <c r="BK219">
        <f t="shared" si="131"/>
        <v>814</v>
      </c>
      <c r="BL219">
        <f t="shared" si="132"/>
        <v>814</v>
      </c>
      <c r="BM219" s="15">
        <f>SUMIFS(BJ$2:BJ219,K$2:K219,"=Intermission")+SUMIFS(BJ$2:BJ219,K$2:K219,"=Timeout")</f>
        <v>0</v>
      </c>
      <c r="BN219">
        <f t="shared" si="133"/>
        <v>0</v>
      </c>
      <c r="BO219" s="19">
        <f t="shared" si="134"/>
        <v>266</v>
      </c>
      <c r="BP219">
        <f t="shared" si="135"/>
        <v>261</v>
      </c>
      <c r="BQ219" s="17">
        <f t="shared" si="136"/>
        <v>266</v>
      </c>
      <c r="BR219" t="str">
        <f t="shared" si="137"/>
        <v>event_team_player_2</v>
      </c>
      <c r="BS219">
        <f>COUNTIFS(S$3:S219,"="&amp;S219,AI$3:AI219,"="&amp;AI219)</f>
        <v>2</v>
      </c>
      <c r="BT219" t="str">
        <f>IFERROR(VLOOKUP(BB219&amp;BU219&amp;X219,game_rosters!U:W,3,FALSE),"")</f>
        <v>P100159</v>
      </c>
      <c r="BU219" t="str">
        <f t="shared" si="138"/>
        <v>Velodrome</v>
      </c>
    </row>
    <row r="220" spans="1:73" x14ac:dyDescent="0.2">
      <c r="A220">
        <f t="shared" si="125"/>
        <v>1</v>
      </c>
      <c r="E220" s="4"/>
      <c r="F220" s="43"/>
      <c r="G220" s="4"/>
      <c r="H220" s="46"/>
      <c r="J220" s="44" t="str">
        <f t="shared" si="139"/>
        <v/>
      </c>
      <c r="K220" t="s">
        <v>9</v>
      </c>
      <c r="L220" t="s">
        <v>173</v>
      </c>
      <c r="M220" t="s">
        <v>71</v>
      </c>
      <c r="N220" t="str">
        <f t="shared" si="142"/>
        <v>u</v>
      </c>
      <c r="Q220" t="str">
        <f t="shared" si="140"/>
        <v/>
      </c>
      <c r="S220">
        <v>121</v>
      </c>
      <c r="U220" t="str">
        <f>IF(B220=1,MAX($U$2:$U219)+1,IF(AND($T220&lt;&gt;"",$T220=$T219),$U219,IF(B220="x",U219,"")))</f>
        <v/>
      </c>
      <c r="V220" t="str">
        <f>IF(C220=1,MAX($V$2:$V219)+1,IF(AND($T220&lt;&gt;"",$T220=$T219),$U219,IF(C220="x",V219,"")))</f>
        <v/>
      </c>
      <c r="W220" t="str">
        <f t="shared" si="114"/>
        <v>a</v>
      </c>
      <c r="X220">
        <v>87</v>
      </c>
      <c r="Y220" t="e">
        <f>IF(X220&lt;&gt;"",VLOOKUP(X220,game_rosters!$C$43:$E$64,3,FALSE))</f>
        <v>#N/A</v>
      </c>
      <c r="Z220" cm="1">
        <f t="array" ref="Z220">IFERROR(IF(_xlfn._xlws.FILTER(game_rosters!$J:$J,(game_rosters!$G:$G=events!$AN220)*(game_rosters!$J:$J=events!$X220))&gt;0,1,""),"")</f>
        <v>1</v>
      </c>
      <c r="AA220">
        <f t="shared" si="115"/>
        <v>1121</v>
      </c>
      <c r="AB220" t="str">
        <f t="shared" si="116"/>
        <v/>
      </c>
      <c r="AC220">
        <f t="shared" si="113"/>
        <v>1121</v>
      </c>
      <c r="AD220" s="6">
        <v>1</v>
      </c>
      <c r="AE220" t="s">
        <v>926</v>
      </c>
      <c r="AF220" t="s">
        <v>915</v>
      </c>
      <c r="AG220" t="s">
        <v>756</v>
      </c>
      <c r="AH220" t="s">
        <v>756</v>
      </c>
      <c r="AI220" t="s">
        <v>367</v>
      </c>
      <c r="AJ220" t="str">
        <f t="shared" si="141"/>
        <v/>
      </c>
      <c r="AK220" t="str">
        <f t="shared" si="141"/>
        <v/>
      </c>
      <c r="AL220" t="str">
        <f t="shared" si="118"/>
        <v/>
      </c>
      <c r="AN220" t="s">
        <v>862</v>
      </c>
      <c r="AO220" t="str">
        <f t="shared" si="119"/>
        <v>a</v>
      </c>
      <c r="AP220" t="str">
        <f t="shared" si="126"/>
        <v/>
      </c>
      <c r="AQ220" t="str">
        <f t="shared" si="127"/>
        <v/>
      </c>
      <c r="AR220" t="str">
        <f t="shared" si="128"/>
        <v>Away</v>
      </c>
      <c r="AS220" t="str">
        <f t="shared" si="129"/>
        <v>a</v>
      </c>
      <c r="AT220" t="str">
        <f t="shared" si="130"/>
        <v>Offensive</v>
      </c>
      <c r="BA220" s="6">
        <f t="shared" si="120"/>
        <v>54</v>
      </c>
      <c r="BB220">
        <f t="shared" si="121"/>
        <v>18981</v>
      </c>
      <c r="BC220" t="str">
        <f t="shared" si="122"/>
        <v>Nelson</v>
      </c>
      <c r="BD220" t="str">
        <f t="shared" si="123"/>
        <v>Velodrome</v>
      </c>
      <c r="BE220" t="s">
        <v>9</v>
      </c>
      <c r="BF220" t="s">
        <v>173</v>
      </c>
      <c r="BG220" t="s">
        <v>71</v>
      </c>
      <c r="BI220" cm="1">
        <f t="array" ref="BI220">IFERROR(_xlfn._xlws.FILTER(shifts!A:A,(shifts!B:B=events!AD220)*(shifts!AG:AG&gt;=events!BK220)*(shifts!AH:AH&lt;=events!BL220)),BI219)</f>
        <v>11</v>
      </c>
      <c r="BJ220" s="15">
        <f t="shared" si="124"/>
        <v>0</v>
      </c>
      <c r="BK220">
        <f t="shared" si="131"/>
        <v>810</v>
      </c>
      <c r="BL220">
        <f t="shared" si="132"/>
        <v>810</v>
      </c>
      <c r="BM220" s="15">
        <f>SUMIFS(BJ$2:BJ220,K$2:K220,"=Intermission")+SUMIFS(BJ$2:BJ220,K$2:K220,"=Timeout")</f>
        <v>0</v>
      </c>
      <c r="BN220">
        <f t="shared" si="133"/>
        <v>0</v>
      </c>
      <c r="BO220" s="19">
        <f t="shared" si="134"/>
        <v>270</v>
      </c>
      <c r="BP220">
        <f t="shared" si="135"/>
        <v>265</v>
      </c>
      <c r="BQ220" s="17">
        <f t="shared" si="136"/>
        <v>270</v>
      </c>
      <c r="BR220" t="str">
        <f t="shared" si="137"/>
        <v>event_team_player_1</v>
      </c>
      <c r="BS220">
        <f>COUNTIFS(S$3:S220,"="&amp;S220,AI$3:AI220,"="&amp;AI220)</f>
        <v>1</v>
      </c>
      <c r="BT220" t="str">
        <f>IFERROR(VLOOKUP(BB220&amp;BU220&amp;X220,game_rosters!U:W,3,FALSE),"")</f>
        <v>P100159</v>
      </c>
      <c r="BU220" t="str">
        <f t="shared" si="138"/>
        <v>Velodrome</v>
      </c>
    </row>
    <row r="221" spans="1:73" x14ac:dyDescent="0.2">
      <c r="A221">
        <f t="shared" si="125"/>
        <v>1</v>
      </c>
      <c r="E221" s="4"/>
      <c r="F221" s="43"/>
      <c r="G221" s="4"/>
      <c r="H221" s="46"/>
      <c r="J221" s="44" t="str">
        <f t="shared" si="139"/>
        <v/>
      </c>
      <c r="K221" t="s">
        <v>7</v>
      </c>
      <c r="L221" t="s">
        <v>172</v>
      </c>
      <c r="M221" t="s">
        <v>68</v>
      </c>
      <c r="N221" t="str">
        <f t="shared" si="142"/>
        <v>s</v>
      </c>
      <c r="Q221" t="str">
        <f t="shared" si="140"/>
        <v/>
      </c>
      <c r="S221">
        <v>122</v>
      </c>
      <c r="U221" t="str">
        <f>IF(B221=1,MAX($U$2:$U220)+1,IF(AND($T221&lt;&gt;"",$T221=$T220),$U220,IF(B221="x",U220,"")))</f>
        <v/>
      </c>
      <c r="V221" t="str">
        <f>IF(C221=1,MAX($V$2:$V220)+1,IF(AND($T221&lt;&gt;"",$T221=$T220),$U220,IF(C221="x",V220,"")))</f>
        <v/>
      </c>
      <c r="W221" t="str">
        <f t="shared" si="114"/>
        <v>h</v>
      </c>
      <c r="X221">
        <v>80</v>
      </c>
      <c r="Y221" t="b">
        <f>IF(X221&lt;&gt;"",VLOOKUP(X221,game_rosters!$C$43:$E$64,3,FALSE))</f>
        <v>0</v>
      </c>
      <c r="Z221" cm="1">
        <f t="array" ref="Z221">IFERROR(IF(_xlfn._xlws.FILTER(game_rosters!$J:$J,(game_rosters!$G:$G=events!$AN221)*(game_rosters!$J:$J=events!$X221))&gt;0,1,""),"")</f>
        <v>1</v>
      </c>
      <c r="AA221">
        <f t="shared" si="115"/>
        <v>1122</v>
      </c>
      <c r="AB221" t="str">
        <f t="shared" si="116"/>
        <v/>
      </c>
      <c r="AC221">
        <f t="shared" si="113"/>
        <v>1122</v>
      </c>
      <c r="AD221" s="6">
        <v>1</v>
      </c>
      <c r="AE221" t="s">
        <v>926</v>
      </c>
      <c r="AF221" t="s">
        <v>930</v>
      </c>
      <c r="AG221" t="s">
        <v>756</v>
      </c>
      <c r="AH221" t="s">
        <v>756</v>
      </c>
      <c r="AI221" t="s">
        <v>367</v>
      </c>
      <c r="AJ221" t="str">
        <f t="shared" si="141"/>
        <v/>
      </c>
      <c r="AK221" t="str">
        <f t="shared" si="141"/>
        <v/>
      </c>
      <c r="AL221" t="str">
        <f t="shared" si="118"/>
        <v/>
      </c>
      <c r="AN221" t="s">
        <v>861</v>
      </c>
      <c r="AO221" t="str">
        <f t="shared" si="119"/>
        <v>h</v>
      </c>
      <c r="AP221" t="str">
        <f t="shared" si="126"/>
        <v/>
      </c>
      <c r="AQ221" t="str">
        <f t="shared" si="127"/>
        <v/>
      </c>
      <c r="AR221" t="str">
        <f t="shared" si="128"/>
        <v>Home</v>
      </c>
      <c r="AS221" t="str">
        <f t="shared" si="129"/>
        <v>h</v>
      </c>
      <c r="AT221" t="str">
        <f t="shared" si="130"/>
        <v>Offensive</v>
      </c>
      <c r="BA221" s="6">
        <f t="shared" si="120"/>
        <v>54</v>
      </c>
      <c r="BB221">
        <f t="shared" si="121"/>
        <v>18981</v>
      </c>
      <c r="BC221" t="str">
        <f t="shared" si="122"/>
        <v>Nelson</v>
      </c>
      <c r="BD221" t="str">
        <f t="shared" si="123"/>
        <v>Velodrome</v>
      </c>
      <c r="BE221" t="s">
        <v>7</v>
      </c>
      <c r="BF221" t="s">
        <v>172</v>
      </c>
      <c r="BG221" t="s">
        <v>68</v>
      </c>
      <c r="BI221" cm="1">
        <f t="array" ref="BI221">IFERROR(_xlfn._xlws.FILTER(shifts!A:A,(shifts!B:B=events!AD221)*(shifts!AG:AG&gt;=events!BK221)*(shifts!AH:AH&lt;=events!BL221)),BI220)</f>
        <v>11</v>
      </c>
      <c r="BJ221" s="15">
        <f t="shared" si="124"/>
        <v>0</v>
      </c>
      <c r="BK221">
        <f t="shared" si="131"/>
        <v>808</v>
      </c>
      <c r="BL221">
        <f t="shared" si="132"/>
        <v>808</v>
      </c>
      <c r="BM221" s="15">
        <f>SUMIFS(BJ$2:BJ221,K$2:K221,"=Intermission")+SUMIFS(BJ$2:BJ221,K$2:K221,"=Timeout")</f>
        <v>0</v>
      </c>
      <c r="BN221">
        <f t="shared" si="133"/>
        <v>0</v>
      </c>
      <c r="BO221" s="19">
        <f t="shared" si="134"/>
        <v>272</v>
      </c>
      <c r="BP221">
        <f t="shared" si="135"/>
        <v>267</v>
      </c>
      <c r="BQ221" s="17">
        <f t="shared" si="136"/>
        <v>272</v>
      </c>
      <c r="BR221" t="str">
        <f t="shared" si="137"/>
        <v>event_team_player_1</v>
      </c>
      <c r="BS221">
        <f>COUNTIFS(S$3:S221,"="&amp;S221,AI$3:AI221,"="&amp;AI221)</f>
        <v>1</v>
      </c>
      <c r="BT221" t="str">
        <f>IFERROR(VLOOKUP(BB221&amp;BU221&amp;X221,game_rosters!U:W,3,FALSE),"")</f>
        <v>P100197</v>
      </c>
      <c r="BU221" t="str">
        <f t="shared" si="138"/>
        <v>Nelson</v>
      </c>
    </row>
    <row r="222" spans="1:73" x14ac:dyDescent="0.2">
      <c r="A222">
        <f t="shared" si="125"/>
        <v>1</v>
      </c>
      <c r="E222" s="4"/>
      <c r="F222" s="43"/>
      <c r="G222" s="4"/>
      <c r="H222" s="46"/>
      <c r="J222" s="44" t="str">
        <f t="shared" si="139"/>
        <v/>
      </c>
      <c r="K222" t="s">
        <v>7</v>
      </c>
      <c r="L222" t="s">
        <v>172</v>
      </c>
      <c r="M222" t="s">
        <v>68</v>
      </c>
      <c r="N222" t="str">
        <f t="shared" si="142"/>
        <v>s</v>
      </c>
      <c r="Q222" t="str">
        <f t="shared" si="140"/>
        <v/>
      </c>
      <c r="S222">
        <v>122</v>
      </c>
      <c r="U222" t="str">
        <f>IF(B222=1,MAX($U$2:$U221)+1,IF(AND($T222&lt;&gt;"",$T222=$T221),$U221,IF(B222="x",U221,"")))</f>
        <v/>
      </c>
      <c r="V222" t="str">
        <f>IF(C222=1,MAX($V$2:$V221)+1,IF(AND($T222&lt;&gt;"",$T222=$T221),$U221,IF(C222="x",V221,"")))</f>
        <v/>
      </c>
      <c r="W222" t="str">
        <f t="shared" si="114"/>
        <v>h</v>
      </c>
      <c r="X222">
        <v>44</v>
      </c>
      <c r="Y222" t="b">
        <f>IF(X222&lt;&gt;"",VLOOKUP(X222,game_rosters!$C$43:$E$64,3,FALSE))</f>
        <v>0</v>
      </c>
      <c r="Z222" cm="1">
        <f t="array" ref="Z222">IFERROR(IF(_xlfn._xlws.FILTER(game_rosters!$J:$J,(game_rosters!$G:$G=events!$AN222)*(game_rosters!$J:$J=events!$X222))&gt;0,1,""),"")</f>
        <v>1</v>
      </c>
      <c r="AA222">
        <f t="shared" si="115"/>
        <v>1122</v>
      </c>
      <c r="AB222" t="str">
        <f t="shared" si="116"/>
        <v/>
      </c>
      <c r="AC222">
        <f t="shared" si="113"/>
        <v>1122</v>
      </c>
      <c r="AD222" s="6">
        <v>1</v>
      </c>
      <c r="AE222" t="s">
        <v>926</v>
      </c>
      <c r="AF222" t="s">
        <v>930</v>
      </c>
      <c r="AG222" t="s">
        <v>756</v>
      </c>
      <c r="AH222" t="s">
        <v>756</v>
      </c>
      <c r="AI222" t="s">
        <v>367</v>
      </c>
      <c r="AJ222" t="str">
        <f t="shared" si="141"/>
        <v/>
      </c>
      <c r="AK222" t="str">
        <f t="shared" si="141"/>
        <v/>
      </c>
      <c r="AL222" t="str">
        <f t="shared" si="118"/>
        <v/>
      </c>
      <c r="AN222" t="s">
        <v>861</v>
      </c>
      <c r="AO222" t="str">
        <f t="shared" si="119"/>
        <v>h</v>
      </c>
      <c r="AP222" t="str">
        <f t="shared" si="126"/>
        <v/>
      </c>
      <c r="AQ222" t="str">
        <f t="shared" si="127"/>
        <v/>
      </c>
      <c r="AR222" t="str">
        <f t="shared" si="128"/>
        <v>Home</v>
      </c>
      <c r="AS222" t="str">
        <f t="shared" si="129"/>
        <v>h</v>
      </c>
      <c r="AT222" t="str">
        <f t="shared" si="130"/>
        <v>Offensive</v>
      </c>
      <c r="BA222" s="6">
        <f t="shared" si="120"/>
        <v>54</v>
      </c>
      <c r="BB222">
        <f t="shared" si="121"/>
        <v>18981</v>
      </c>
      <c r="BC222" t="str">
        <f t="shared" si="122"/>
        <v>Nelson</v>
      </c>
      <c r="BD222" t="str">
        <f t="shared" si="123"/>
        <v>Velodrome</v>
      </c>
      <c r="BE222" t="s">
        <v>7</v>
      </c>
      <c r="BF222" t="s">
        <v>172</v>
      </c>
      <c r="BG222" t="s">
        <v>68</v>
      </c>
      <c r="BI222" cm="1">
        <f t="array" ref="BI222">IFERROR(_xlfn._xlws.FILTER(shifts!A:A,(shifts!B:B=events!AD222)*(shifts!AG:AG&gt;=events!BK222)*(shifts!AH:AH&lt;=events!BL222)),BI221)</f>
        <v>11</v>
      </c>
      <c r="BJ222" s="15">
        <f t="shared" si="124"/>
        <v>0</v>
      </c>
      <c r="BK222">
        <f t="shared" si="131"/>
        <v>808</v>
      </c>
      <c r="BL222">
        <f t="shared" si="132"/>
        <v>808</v>
      </c>
      <c r="BM222" s="15">
        <f>SUMIFS(BJ$2:BJ222,K$2:K222,"=Intermission")+SUMIFS(BJ$2:BJ222,K$2:K222,"=Timeout")</f>
        <v>0</v>
      </c>
      <c r="BN222">
        <f t="shared" si="133"/>
        <v>0</v>
      </c>
      <c r="BO222" s="19">
        <f t="shared" si="134"/>
        <v>272</v>
      </c>
      <c r="BP222">
        <f t="shared" si="135"/>
        <v>267</v>
      </c>
      <c r="BQ222" s="17">
        <f t="shared" si="136"/>
        <v>272</v>
      </c>
      <c r="BR222" t="str">
        <f t="shared" si="137"/>
        <v>event_team_player_2</v>
      </c>
      <c r="BS222">
        <f>COUNTIFS(S$3:S222,"="&amp;S222,AI$3:AI222,"="&amp;AI222)</f>
        <v>2</v>
      </c>
      <c r="BT222" t="str">
        <f>IFERROR(VLOOKUP(BB222&amp;BU222&amp;X222,game_rosters!U:W,3,FALSE),"")</f>
        <v>P100079</v>
      </c>
      <c r="BU222" t="str">
        <f t="shared" si="138"/>
        <v>Nelson</v>
      </c>
    </row>
    <row r="223" spans="1:73" x14ac:dyDescent="0.2">
      <c r="A223">
        <f t="shared" si="125"/>
        <v>1</v>
      </c>
      <c r="E223" s="4"/>
      <c r="F223" s="43"/>
      <c r="G223" s="4"/>
      <c r="H223" s="46"/>
      <c r="J223" s="44" t="str">
        <f t="shared" si="139"/>
        <v>o</v>
      </c>
      <c r="K223" t="s">
        <v>238</v>
      </c>
      <c r="L223" t="s">
        <v>174</v>
      </c>
      <c r="M223" t="s">
        <v>390</v>
      </c>
      <c r="N223" t="str">
        <f t="shared" si="142"/>
        <v>u</v>
      </c>
      <c r="Q223" t="str">
        <f t="shared" si="140"/>
        <v/>
      </c>
      <c r="S223">
        <v>123</v>
      </c>
      <c r="U223" t="str">
        <f>IF(B223=1,MAX($U$2:$U222)+1,IF(AND($T223&lt;&gt;"",$T223=$T222),$U222,IF(B223="x",U222,"")))</f>
        <v/>
      </c>
      <c r="V223" t="str">
        <f>IF(C223=1,MAX($V$2:$V222)+1,IF(AND($T223&lt;&gt;"",$T223=$T222),$U222,IF(C223="x",V222,"")))</f>
        <v/>
      </c>
      <c r="W223" t="str">
        <f t="shared" si="114"/>
        <v>h</v>
      </c>
      <c r="X223">
        <v>44</v>
      </c>
      <c r="Y223" t="b">
        <f>IF(X223&lt;&gt;"",VLOOKUP(X223,game_rosters!$C$43:$E$64,3,FALSE))</f>
        <v>0</v>
      </c>
      <c r="Z223" cm="1">
        <f t="array" ref="Z223">IFERROR(IF(_xlfn._xlws.FILTER(game_rosters!$J:$J,(game_rosters!$G:$G=events!$AN223)*(game_rosters!$J:$J=events!$X223))&gt;0,1,""),"")</f>
        <v>1</v>
      </c>
      <c r="AA223">
        <f t="shared" si="115"/>
        <v>1123</v>
      </c>
      <c r="AB223" t="str">
        <f t="shared" si="116"/>
        <v/>
      </c>
      <c r="AC223">
        <f t="shared" si="113"/>
        <v>1123</v>
      </c>
      <c r="AD223" s="6">
        <v>1</v>
      </c>
      <c r="AE223" t="s">
        <v>926</v>
      </c>
      <c r="AF223" t="s">
        <v>740</v>
      </c>
      <c r="AG223" t="s">
        <v>756</v>
      </c>
      <c r="AH223" t="s">
        <v>756</v>
      </c>
      <c r="AI223" t="s">
        <v>367</v>
      </c>
      <c r="AJ223" t="str">
        <f t="shared" si="141"/>
        <v>o</v>
      </c>
      <c r="AK223" t="str">
        <f t="shared" si="141"/>
        <v>o</v>
      </c>
      <c r="AL223" t="str">
        <f t="shared" si="118"/>
        <v>o</v>
      </c>
      <c r="AN223" t="s">
        <v>861</v>
      </c>
      <c r="AO223" t="str">
        <f t="shared" si="119"/>
        <v>h</v>
      </c>
      <c r="AP223" t="str">
        <f t="shared" si="126"/>
        <v>o</v>
      </c>
      <c r="AQ223" t="str">
        <f t="shared" si="127"/>
        <v/>
      </c>
      <c r="AR223" t="str">
        <f t="shared" si="128"/>
        <v>Home</v>
      </c>
      <c r="AS223" t="str">
        <f t="shared" si="129"/>
        <v>h</v>
      </c>
      <c r="AT223" t="str">
        <f t="shared" si="130"/>
        <v>Offensive</v>
      </c>
      <c r="BA223" s="6">
        <f t="shared" si="120"/>
        <v>55</v>
      </c>
      <c r="BB223">
        <f t="shared" si="121"/>
        <v>18981</v>
      </c>
      <c r="BC223" t="str">
        <f t="shared" si="122"/>
        <v>Nelson</v>
      </c>
      <c r="BD223" t="str">
        <f t="shared" si="123"/>
        <v>Velodrome</v>
      </c>
      <c r="BE223" t="s">
        <v>238</v>
      </c>
      <c r="BF223" t="s">
        <v>174</v>
      </c>
      <c r="BG223" t="s">
        <v>390</v>
      </c>
      <c r="BI223" cm="1">
        <f t="array" ref="BI223">IFERROR(_xlfn._xlws.FILTER(shifts!A:A,(shifts!B:B=events!AD223)*(shifts!AG:AG&gt;=events!BK223)*(shifts!AH:AH&lt;=events!BL223)),BI222)</f>
        <v>11</v>
      </c>
      <c r="BJ223" s="15">
        <f t="shared" si="124"/>
        <v>0</v>
      </c>
      <c r="BK223">
        <f t="shared" si="131"/>
        <v>805</v>
      </c>
      <c r="BL223">
        <f t="shared" si="132"/>
        <v>805</v>
      </c>
      <c r="BM223" s="15">
        <f>SUMIFS(BJ$2:BJ223,K$2:K223,"=Intermission")+SUMIFS(BJ$2:BJ223,K$2:K223,"=Timeout")</f>
        <v>0</v>
      </c>
      <c r="BN223">
        <f t="shared" si="133"/>
        <v>0</v>
      </c>
      <c r="BO223" s="19">
        <f t="shared" si="134"/>
        <v>275</v>
      </c>
      <c r="BP223">
        <f t="shared" si="135"/>
        <v>270</v>
      </c>
      <c r="BQ223" s="17">
        <f t="shared" si="136"/>
        <v>275</v>
      </c>
      <c r="BR223" t="str">
        <f t="shared" si="137"/>
        <v>event_team_player_1</v>
      </c>
      <c r="BS223">
        <f>COUNTIFS(S$3:S223,"="&amp;S223,AI$3:AI223,"="&amp;AI223)</f>
        <v>1</v>
      </c>
      <c r="BT223" t="str">
        <f>IFERROR(VLOOKUP(BB223&amp;BU223&amp;X223,game_rosters!U:W,3,FALSE),"")</f>
        <v>P100079</v>
      </c>
      <c r="BU223" t="str">
        <f t="shared" si="138"/>
        <v>Nelson</v>
      </c>
    </row>
    <row r="224" spans="1:73" x14ac:dyDescent="0.2">
      <c r="A224">
        <f t="shared" si="125"/>
        <v>1</v>
      </c>
      <c r="E224" s="4"/>
      <c r="F224" s="43"/>
      <c r="G224" s="4"/>
      <c r="H224" s="46"/>
      <c r="J224" s="44" t="str">
        <f t="shared" si="139"/>
        <v/>
      </c>
      <c r="K224" t="s">
        <v>13</v>
      </c>
      <c r="L224" t="s">
        <v>756</v>
      </c>
      <c r="M224" t="s">
        <v>756</v>
      </c>
      <c r="N224" t="str">
        <f t="shared" si="142"/>
        <v/>
      </c>
      <c r="Q224" t="str">
        <f t="shared" si="140"/>
        <v/>
      </c>
      <c r="S224">
        <v>124</v>
      </c>
      <c r="U224" t="str">
        <f>IF(B224=1,MAX($U$2:$U223)+1,IF(AND($T224&lt;&gt;"",$T224=$T223),$U223,IF(B224="x",U223,"")))</f>
        <v/>
      </c>
      <c r="V224" t="str">
        <f>IF(C224=1,MAX($V$2:$V223)+1,IF(AND($T224&lt;&gt;"",$T224=$T223),$U223,IF(C224="x",V223,"")))</f>
        <v/>
      </c>
      <c r="W224" t="str">
        <f t="shared" si="114"/>
        <v>a</v>
      </c>
      <c r="X224">
        <v>22</v>
      </c>
      <c r="Y224" t="e">
        <f>IF(X224&lt;&gt;"",VLOOKUP(X224,game_rosters!$C$43:$E$64,3,FALSE))</f>
        <v>#N/A</v>
      </c>
      <c r="Z224" cm="1">
        <f t="array" ref="Z224">IFERROR(IF(_xlfn._xlws.FILTER(game_rosters!$J:$J,(game_rosters!$G:$G=events!$AN224)*(game_rosters!$J:$J=events!$X224))&gt;0,1,""),"")</f>
        <v>1</v>
      </c>
      <c r="AA224">
        <f t="shared" si="115"/>
        <v>1124</v>
      </c>
      <c r="AB224" t="str">
        <f t="shared" si="116"/>
        <v/>
      </c>
      <c r="AC224">
        <f t="shared" si="113"/>
        <v>1124</v>
      </c>
      <c r="AD224" s="6">
        <v>1</v>
      </c>
      <c r="AE224" t="s">
        <v>926</v>
      </c>
      <c r="AF224" t="s">
        <v>740</v>
      </c>
      <c r="AG224" t="s">
        <v>926</v>
      </c>
      <c r="AH224" t="s">
        <v>917</v>
      </c>
      <c r="AI224" t="s">
        <v>367</v>
      </c>
      <c r="AJ224" t="str">
        <f t="shared" si="141"/>
        <v/>
      </c>
      <c r="AK224" t="str">
        <f t="shared" si="141"/>
        <v/>
      </c>
      <c r="AL224" t="str">
        <f t="shared" si="118"/>
        <v/>
      </c>
      <c r="AN224" t="s">
        <v>862</v>
      </c>
      <c r="AO224" t="str">
        <f t="shared" si="119"/>
        <v>a</v>
      </c>
      <c r="AP224" t="str">
        <f t="shared" si="126"/>
        <v/>
      </c>
      <c r="AQ224" t="str">
        <f t="shared" si="127"/>
        <v/>
      </c>
      <c r="AR224" t="str">
        <f t="shared" si="128"/>
        <v>Away</v>
      </c>
      <c r="AS224" t="str">
        <f t="shared" si="129"/>
        <v>a</v>
      </c>
      <c r="AT224" t="str">
        <f t="shared" si="130"/>
        <v>Offensive</v>
      </c>
      <c r="BA224" s="6">
        <f t="shared" si="120"/>
        <v>55</v>
      </c>
      <c r="BB224">
        <f t="shared" si="121"/>
        <v>18981</v>
      </c>
      <c r="BC224" t="str">
        <f t="shared" si="122"/>
        <v>Nelson</v>
      </c>
      <c r="BD224" t="str">
        <f t="shared" si="123"/>
        <v>Velodrome</v>
      </c>
      <c r="BE224" t="s">
        <v>13</v>
      </c>
      <c r="BF224" t="s">
        <v>756</v>
      </c>
      <c r="BG224" t="s">
        <v>756</v>
      </c>
      <c r="BI224" cm="1">
        <f t="array" ref="BI224">IFERROR(_xlfn._xlws.FILTER(shifts!A:A,(shifts!B:B=events!AD224)*(shifts!AG:AG&gt;=events!BK224)*(shifts!AH:AH&lt;=events!BL224)),BI223)</f>
        <v>11</v>
      </c>
      <c r="BJ224" s="15">
        <f t="shared" si="124"/>
        <v>2</v>
      </c>
      <c r="BK224">
        <f t="shared" si="131"/>
        <v>805</v>
      </c>
      <c r="BL224">
        <f t="shared" si="132"/>
        <v>803</v>
      </c>
      <c r="BM224" s="15">
        <f>SUMIFS(BJ$2:BJ224,K$2:K224,"=Intermission")+SUMIFS(BJ$2:BJ224,K$2:K224,"=Timeout")</f>
        <v>0</v>
      </c>
      <c r="BN224">
        <f t="shared" si="133"/>
        <v>0</v>
      </c>
      <c r="BO224" s="19">
        <f t="shared" si="134"/>
        <v>275</v>
      </c>
      <c r="BP224">
        <f t="shared" si="135"/>
        <v>270</v>
      </c>
      <c r="BQ224" s="17">
        <f t="shared" si="136"/>
        <v>277</v>
      </c>
      <c r="BR224" t="str">
        <f t="shared" si="137"/>
        <v>event_team_player_1</v>
      </c>
      <c r="BS224">
        <f>COUNTIFS(S$3:S224,"="&amp;S224,AI$3:AI224,"="&amp;AI224)</f>
        <v>1</v>
      </c>
      <c r="BT224" t="str">
        <f>IFERROR(VLOOKUP(BB224&amp;BU224&amp;X224,game_rosters!U:W,3,FALSE),"")</f>
        <v>P100108</v>
      </c>
      <c r="BU224" t="str">
        <f t="shared" si="138"/>
        <v>Velodrome</v>
      </c>
    </row>
    <row r="225" spans="1:73" x14ac:dyDescent="0.2">
      <c r="A225">
        <f t="shared" si="125"/>
        <v>1</v>
      </c>
      <c r="E225" s="4"/>
      <c r="F225" s="43"/>
      <c r="G225" s="4"/>
      <c r="H225" s="46"/>
      <c r="J225" s="44" t="str">
        <f t="shared" si="139"/>
        <v>d</v>
      </c>
      <c r="K225" t="s">
        <v>238</v>
      </c>
      <c r="L225" t="s">
        <v>184</v>
      </c>
      <c r="M225" t="s">
        <v>90</v>
      </c>
      <c r="N225" t="str">
        <f t="shared" si="142"/>
        <v>s</v>
      </c>
      <c r="Q225" t="str">
        <f t="shared" si="140"/>
        <v/>
      </c>
      <c r="S225">
        <v>125</v>
      </c>
      <c r="U225" t="str">
        <f>IF(B225=1,MAX($U$2:$U224)+1,IF(AND($T225&lt;&gt;"",$T225=$T224),$U224,IF(B225="x",U224,"")))</f>
        <v/>
      </c>
      <c r="V225" t="str">
        <f>IF(C225=1,MAX($V$2:$V224)+1,IF(AND($T225&lt;&gt;"",$T225=$T224),$U224,IF(C225="x",V224,"")))</f>
        <v/>
      </c>
      <c r="W225" t="str">
        <f t="shared" si="114"/>
        <v>a</v>
      </c>
      <c r="X225">
        <v>22</v>
      </c>
      <c r="Y225" t="e">
        <f>IF(X225&lt;&gt;"",VLOOKUP(X225,game_rosters!$C$43:$E$64,3,FALSE))</f>
        <v>#N/A</v>
      </c>
      <c r="Z225" cm="1">
        <f t="array" ref="Z225">IFERROR(IF(_xlfn._xlws.FILTER(game_rosters!$J:$J,(game_rosters!$G:$G=events!$AN225)*(game_rosters!$J:$J=events!$X225))&gt;0,1,""),"")</f>
        <v>1</v>
      </c>
      <c r="AA225">
        <f t="shared" si="115"/>
        <v>1125</v>
      </c>
      <c r="AB225" t="str">
        <f t="shared" si="116"/>
        <v/>
      </c>
      <c r="AC225">
        <f t="shared" si="113"/>
        <v>1125</v>
      </c>
      <c r="AD225" s="6">
        <v>1</v>
      </c>
      <c r="AE225" t="s">
        <v>926</v>
      </c>
      <c r="AF225" t="s">
        <v>917</v>
      </c>
      <c r="AG225" t="s">
        <v>756</v>
      </c>
      <c r="AH225" t="s">
        <v>756</v>
      </c>
      <c r="AI225" t="s">
        <v>367</v>
      </c>
      <c r="AJ225" t="str">
        <f t="shared" si="141"/>
        <v>d</v>
      </c>
      <c r="AK225" t="str">
        <f t="shared" si="141"/>
        <v>d</v>
      </c>
      <c r="AL225" t="str">
        <f t="shared" si="118"/>
        <v>o</v>
      </c>
      <c r="AN225" t="s">
        <v>862</v>
      </c>
      <c r="AO225" t="str">
        <f t="shared" si="119"/>
        <v>a</v>
      </c>
      <c r="AP225" t="str">
        <f t="shared" si="126"/>
        <v>o</v>
      </c>
      <c r="AQ225" t="str">
        <f t="shared" si="127"/>
        <v/>
      </c>
      <c r="AR225" t="str">
        <f t="shared" si="128"/>
        <v>Away</v>
      </c>
      <c r="AS225" t="str">
        <f t="shared" si="129"/>
        <v>a</v>
      </c>
      <c r="AT225" t="str">
        <f t="shared" si="130"/>
        <v>Offensive</v>
      </c>
      <c r="BA225" s="6">
        <f t="shared" si="120"/>
        <v>56</v>
      </c>
      <c r="BB225">
        <f t="shared" si="121"/>
        <v>18981</v>
      </c>
      <c r="BC225" t="str">
        <f t="shared" si="122"/>
        <v>Nelson</v>
      </c>
      <c r="BD225" t="str">
        <f t="shared" si="123"/>
        <v>Velodrome</v>
      </c>
      <c r="BE225" t="s">
        <v>238</v>
      </c>
      <c r="BF225" t="s">
        <v>184</v>
      </c>
      <c r="BG225" t="s">
        <v>90</v>
      </c>
      <c r="BI225" cm="1">
        <f t="array" ref="BI225">IFERROR(_xlfn._xlws.FILTER(shifts!A:A,(shifts!B:B=events!AD225)*(shifts!AG:AG&gt;=events!BK225)*(shifts!AH:AH&lt;=events!BL225)),BI224)</f>
        <v>11</v>
      </c>
      <c r="BJ225" s="15">
        <f t="shared" si="124"/>
        <v>0</v>
      </c>
      <c r="BK225">
        <f t="shared" si="131"/>
        <v>803</v>
      </c>
      <c r="BL225">
        <f t="shared" si="132"/>
        <v>803</v>
      </c>
      <c r="BM225" s="15">
        <f>SUMIFS(BJ$2:BJ225,K$2:K225,"=Intermission")+SUMIFS(BJ$2:BJ225,K$2:K225,"=Timeout")</f>
        <v>0</v>
      </c>
      <c r="BN225">
        <f t="shared" si="133"/>
        <v>0</v>
      </c>
      <c r="BO225" s="19">
        <f t="shared" si="134"/>
        <v>277</v>
      </c>
      <c r="BP225">
        <f t="shared" si="135"/>
        <v>272</v>
      </c>
      <c r="BQ225" s="17">
        <f t="shared" si="136"/>
        <v>277</v>
      </c>
      <c r="BR225" t="str">
        <f t="shared" si="137"/>
        <v>event_team_player_1</v>
      </c>
      <c r="BS225">
        <f>COUNTIFS(S$3:S225,"="&amp;S225,AI$3:AI225,"="&amp;AI225)</f>
        <v>1</v>
      </c>
      <c r="BT225" t="str">
        <f>IFERROR(VLOOKUP(BB225&amp;BU225&amp;X225,game_rosters!U:W,3,FALSE),"")</f>
        <v>P100108</v>
      </c>
      <c r="BU225" t="str">
        <f t="shared" si="138"/>
        <v>Velodrome</v>
      </c>
    </row>
    <row r="226" spans="1:73" x14ac:dyDescent="0.2">
      <c r="A226">
        <f t="shared" si="125"/>
        <v>1</v>
      </c>
      <c r="E226" s="4"/>
      <c r="F226" s="43"/>
      <c r="G226" s="4"/>
      <c r="H226" s="46"/>
      <c r="J226" s="44" t="str">
        <f t="shared" si="139"/>
        <v/>
      </c>
      <c r="K226" t="s">
        <v>9</v>
      </c>
      <c r="L226" t="s">
        <v>173</v>
      </c>
      <c r="M226" t="s">
        <v>354</v>
      </c>
      <c r="N226" t="str">
        <f t="shared" si="142"/>
        <v>u</v>
      </c>
      <c r="Q226" t="str">
        <f t="shared" si="140"/>
        <v/>
      </c>
      <c r="S226">
        <v>126</v>
      </c>
      <c r="U226" t="str">
        <f>IF(B226=1,MAX($U$2:$U225)+1,IF(AND($T226&lt;&gt;"",$T226=$T225),$U225,IF(B226="x",U225,"")))</f>
        <v/>
      </c>
      <c r="V226" t="str">
        <f>IF(C226=1,MAX($V$2:$V225)+1,IF(AND($T226&lt;&gt;"",$T226=$T225),$U225,IF(C226="x",V225,"")))</f>
        <v/>
      </c>
      <c r="W226" t="str">
        <f t="shared" si="114"/>
        <v>a</v>
      </c>
      <c r="X226">
        <v>22</v>
      </c>
      <c r="Y226" t="e">
        <f>IF(X226&lt;&gt;"",VLOOKUP(X226,game_rosters!$C$43:$E$64,3,FALSE))</f>
        <v>#N/A</v>
      </c>
      <c r="Z226" cm="1">
        <f t="array" ref="Z226">IFERROR(IF(_xlfn._xlws.FILTER(game_rosters!$J:$J,(game_rosters!$G:$G=events!$AN226)*(game_rosters!$J:$J=events!$X226))&gt;0,1,""),"")</f>
        <v>1</v>
      </c>
      <c r="AA226">
        <f t="shared" si="115"/>
        <v>1126</v>
      </c>
      <c r="AB226" t="str">
        <f t="shared" si="116"/>
        <v/>
      </c>
      <c r="AC226">
        <f t="shared" si="113"/>
        <v>1126</v>
      </c>
      <c r="AD226" s="6">
        <v>1</v>
      </c>
      <c r="AE226" t="s">
        <v>926</v>
      </c>
      <c r="AF226" t="s">
        <v>917</v>
      </c>
      <c r="AG226" t="s">
        <v>756</v>
      </c>
      <c r="AH226" t="s">
        <v>756</v>
      </c>
      <c r="AI226" t="s">
        <v>367</v>
      </c>
      <c r="AJ226" t="str">
        <f t="shared" si="141"/>
        <v/>
      </c>
      <c r="AK226" t="str">
        <f t="shared" si="141"/>
        <v/>
      </c>
      <c r="AL226" t="str">
        <f t="shared" si="118"/>
        <v/>
      </c>
      <c r="AN226" t="s">
        <v>862</v>
      </c>
      <c r="AO226" t="str">
        <f t="shared" si="119"/>
        <v>a</v>
      </c>
      <c r="AP226" t="str">
        <f t="shared" si="126"/>
        <v/>
      </c>
      <c r="AQ226" t="str">
        <f t="shared" si="127"/>
        <v/>
      </c>
      <c r="AR226" t="str">
        <f t="shared" si="128"/>
        <v>Away</v>
      </c>
      <c r="AS226" t="str">
        <f t="shared" si="129"/>
        <v>a</v>
      </c>
      <c r="AT226" t="str">
        <f t="shared" si="130"/>
        <v>Offensive</v>
      </c>
      <c r="BA226" s="6">
        <f t="shared" si="120"/>
        <v>56</v>
      </c>
      <c r="BB226">
        <f t="shared" si="121"/>
        <v>18981</v>
      </c>
      <c r="BC226" t="str">
        <f t="shared" si="122"/>
        <v>Nelson</v>
      </c>
      <c r="BD226" t="str">
        <f t="shared" si="123"/>
        <v>Velodrome</v>
      </c>
      <c r="BE226" t="s">
        <v>9</v>
      </c>
      <c r="BF226" t="s">
        <v>173</v>
      </c>
      <c r="BG226" t="s">
        <v>354</v>
      </c>
      <c r="BI226" cm="1">
        <f t="array" ref="BI226">IFERROR(_xlfn._xlws.FILTER(shifts!A:A,(shifts!B:B=events!AD226)*(shifts!AG:AG&gt;=events!BK226)*(shifts!AH:AH&lt;=events!BL226)),BI225)</f>
        <v>11</v>
      </c>
      <c r="BJ226" s="15">
        <f t="shared" si="124"/>
        <v>0</v>
      </c>
      <c r="BK226">
        <f t="shared" si="131"/>
        <v>803</v>
      </c>
      <c r="BL226">
        <f t="shared" si="132"/>
        <v>803</v>
      </c>
      <c r="BM226" s="15">
        <f>SUMIFS(BJ$2:BJ226,K$2:K226,"=Intermission")+SUMIFS(BJ$2:BJ226,K$2:K226,"=Timeout")</f>
        <v>0</v>
      </c>
      <c r="BN226">
        <f t="shared" si="133"/>
        <v>0</v>
      </c>
      <c r="BO226" s="19">
        <f t="shared" si="134"/>
        <v>277</v>
      </c>
      <c r="BP226">
        <f t="shared" si="135"/>
        <v>272</v>
      </c>
      <c r="BQ226" s="17">
        <f t="shared" si="136"/>
        <v>277</v>
      </c>
      <c r="BR226" t="str">
        <f t="shared" si="137"/>
        <v>event_team_player_1</v>
      </c>
      <c r="BS226">
        <f>COUNTIFS(S$3:S226,"="&amp;S226,AI$3:AI226,"="&amp;AI226)</f>
        <v>1</v>
      </c>
      <c r="BT226" t="str">
        <f>IFERROR(VLOOKUP(BB226&amp;BU226&amp;X226,game_rosters!U:W,3,FALSE),"")</f>
        <v>P100108</v>
      </c>
      <c r="BU226" t="str">
        <f t="shared" si="138"/>
        <v>Velodrome</v>
      </c>
    </row>
    <row r="227" spans="1:73" x14ac:dyDescent="0.2">
      <c r="A227">
        <f t="shared" si="125"/>
        <v>1</v>
      </c>
      <c r="E227" s="4"/>
      <c r="F227" s="43"/>
      <c r="G227" s="4"/>
      <c r="H227" s="46"/>
      <c r="J227" s="44" t="str">
        <f t="shared" si="139"/>
        <v/>
      </c>
      <c r="K227" t="s">
        <v>13</v>
      </c>
      <c r="L227" t="s">
        <v>756</v>
      </c>
      <c r="M227" t="s">
        <v>756</v>
      </c>
      <c r="N227" t="str">
        <f t="shared" si="142"/>
        <v/>
      </c>
      <c r="Q227" t="str">
        <f t="shared" si="140"/>
        <v/>
      </c>
      <c r="S227">
        <v>127</v>
      </c>
      <c r="U227" t="str">
        <f>IF(B227=1,MAX($U$2:$U226)+1,IF(AND($T227&lt;&gt;"",$T227=$T226),$U226,IF(B227="x",U226,"")))</f>
        <v/>
      </c>
      <c r="V227" t="str">
        <f>IF(C227=1,MAX($V$2:$V226)+1,IF(AND($T227&lt;&gt;"",$T227=$T226),$U226,IF(C227="x",V226,"")))</f>
        <v/>
      </c>
      <c r="W227" t="str">
        <f t="shared" si="114"/>
        <v>h</v>
      </c>
      <c r="X227">
        <v>80</v>
      </c>
      <c r="Y227" t="b">
        <f>IF(X227&lt;&gt;"",VLOOKUP(X227,game_rosters!$C$43:$E$64,3,FALSE))</f>
        <v>0</v>
      </c>
      <c r="Z227" cm="1">
        <f t="array" ref="Z227">IFERROR(IF(_xlfn._xlws.FILTER(game_rosters!$J:$J,(game_rosters!$G:$G=events!$AN227)*(game_rosters!$J:$J=events!$X227))&gt;0,1,""),"")</f>
        <v>1</v>
      </c>
      <c r="AA227">
        <f t="shared" si="115"/>
        <v>1127</v>
      </c>
      <c r="AB227" t="str">
        <f t="shared" si="116"/>
        <v/>
      </c>
      <c r="AC227">
        <f t="shared" si="113"/>
        <v>1127</v>
      </c>
      <c r="AD227" s="6">
        <v>1</v>
      </c>
      <c r="AE227" t="s">
        <v>926</v>
      </c>
      <c r="AF227" t="s">
        <v>908</v>
      </c>
      <c r="AG227" t="s">
        <v>926</v>
      </c>
      <c r="AH227" t="s">
        <v>909</v>
      </c>
      <c r="AI227" t="s">
        <v>367</v>
      </c>
      <c r="AJ227" t="str">
        <f t="shared" si="141"/>
        <v/>
      </c>
      <c r="AK227" t="str">
        <f t="shared" si="141"/>
        <v/>
      </c>
      <c r="AL227" t="str">
        <f t="shared" si="118"/>
        <v/>
      </c>
      <c r="AN227" t="s">
        <v>861</v>
      </c>
      <c r="AO227" t="str">
        <f t="shared" si="119"/>
        <v>h</v>
      </c>
      <c r="AP227" t="str">
        <f t="shared" si="126"/>
        <v/>
      </c>
      <c r="AQ227" t="str">
        <f t="shared" si="127"/>
        <v/>
      </c>
      <c r="AR227" t="str">
        <f t="shared" si="128"/>
        <v>Home</v>
      </c>
      <c r="AS227" t="str">
        <f t="shared" si="129"/>
        <v>h</v>
      </c>
      <c r="AT227" t="str">
        <f t="shared" si="130"/>
        <v>Offensive</v>
      </c>
      <c r="BA227" s="6">
        <f t="shared" si="120"/>
        <v>56</v>
      </c>
      <c r="BB227">
        <f t="shared" si="121"/>
        <v>18981</v>
      </c>
      <c r="BC227" t="str">
        <f t="shared" si="122"/>
        <v>Nelson</v>
      </c>
      <c r="BD227" t="str">
        <f t="shared" si="123"/>
        <v>Velodrome</v>
      </c>
      <c r="BE227" t="s">
        <v>13</v>
      </c>
      <c r="BF227" t="s">
        <v>756</v>
      </c>
      <c r="BG227" t="s">
        <v>756</v>
      </c>
      <c r="BI227" cm="1">
        <f t="array" ref="BI227">IFERROR(_xlfn._xlws.FILTER(shifts!A:A,(shifts!B:B=events!AD227)*(shifts!AG:AG&gt;=events!BK227)*(shifts!AH:AH&lt;=events!BL227)),BI226)</f>
        <v>11</v>
      </c>
      <c r="BJ227" s="15">
        <f t="shared" si="124"/>
        <v>3</v>
      </c>
      <c r="BK227">
        <f t="shared" si="131"/>
        <v>799</v>
      </c>
      <c r="BL227">
        <f t="shared" si="132"/>
        <v>796</v>
      </c>
      <c r="BM227" s="15">
        <f>SUMIFS(BJ$2:BJ227,K$2:K227,"=Intermission")+SUMIFS(BJ$2:BJ227,K$2:K227,"=Timeout")</f>
        <v>0</v>
      </c>
      <c r="BN227">
        <f t="shared" si="133"/>
        <v>0</v>
      </c>
      <c r="BO227" s="19">
        <f t="shared" si="134"/>
        <v>281</v>
      </c>
      <c r="BP227">
        <f t="shared" si="135"/>
        <v>276</v>
      </c>
      <c r="BQ227" s="17">
        <f t="shared" si="136"/>
        <v>284</v>
      </c>
      <c r="BR227" t="str">
        <f t="shared" si="137"/>
        <v>event_team_player_1</v>
      </c>
      <c r="BS227">
        <f>COUNTIFS(S$3:S227,"="&amp;S227,AI$3:AI227,"="&amp;AI227)</f>
        <v>1</v>
      </c>
      <c r="BT227" t="str">
        <f>IFERROR(VLOOKUP(BB227&amp;BU227&amp;X227,game_rosters!U:W,3,FALSE),"")</f>
        <v>P100197</v>
      </c>
      <c r="BU227" t="str">
        <f t="shared" si="138"/>
        <v>Nelson</v>
      </c>
    </row>
    <row r="228" spans="1:73" x14ac:dyDescent="0.2">
      <c r="A228">
        <f t="shared" si="125"/>
        <v>1</v>
      </c>
      <c r="E228" s="4"/>
      <c r="F228" s="43"/>
      <c r="G228" s="4"/>
      <c r="H228" s="46"/>
      <c r="J228" s="44" t="str">
        <f t="shared" si="139"/>
        <v/>
      </c>
      <c r="K228" t="s">
        <v>7</v>
      </c>
      <c r="L228" t="s">
        <v>172</v>
      </c>
      <c r="M228" t="s">
        <v>68</v>
      </c>
      <c r="N228" t="str">
        <f t="shared" si="142"/>
        <v>s</v>
      </c>
      <c r="Q228" t="str">
        <f t="shared" si="140"/>
        <v/>
      </c>
      <c r="S228">
        <v>128</v>
      </c>
      <c r="U228" t="str">
        <f>IF(B228=1,MAX($U$2:$U227)+1,IF(AND($T228&lt;&gt;"",$T228=$T227),$U227,IF(B228="x",U227,"")))</f>
        <v/>
      </c>
      <c r="V228" t="str">
        <f>IF(C228=1,MAX($V$2:$V227)+1,IF(AND($T228&lt;&gt;"",$T228=$T227),$U227,IF(C228="x",V227,"")))</f>
        <v/>
      </c>
      <c r="W228" t="str">
        <f t="shared" si="114"/>
        <v>h</v>
      </c>
      <c r="X228">
        <v>80</v>
      </c>
      <c r="Y228" t="b">
        <f>IF(X228&lt;&gt;"",VLOOKUP(X228,game_rosters!$C$43:$E$64,3,FALSE))</f>
        <v>0</v>
      </c>
      <c r="Z228" cm="1">
        <f t="array" ref="Z228">IFERROR(IF(_xlfn._xlws.FILTER(game_rosters!$J:$J,(game_rosters!$G:$G=events!$AN228)*(game_rosters!$J:$J=events!$X228))&gt;0,1,""),"")</f>
        <v>1</v>
      </c>
      <c r="AA228">
        <f t="shared" si="115"/>
        <v>1128</v>
      </c>
      <c r="AB228" t="str">
        <f t="shared" si="116"/>
        <v/>
      </c>
      <c r="AC228">
        <f t="shared" si="113"/>
        <v>1128</v>
      </c>
      <c r="AD228" s="6">
        <v>1</v>
      </c>
      <c r="AE228" t="s">
        <v>926</v>
      </c>
      <c r="AF228" t="s">
        <v>744</v>
      </c>
      <c r="AG228" t="s">
        <v>756</v>
      </c>
      <c r="AH228" t="s">
        <v>756</v>
      </c>
      <c r="AI228" t="s">
        <v>367</v>
      </c>
      <c r="AJ228" t="str">
        <f t="shared" ref="AJ228:AK243" si="143">IF($J228&lt;&gt;"",$J228,IF($AC228=$AC227,AJ227,""))</f>
        <v/>
      </c>
      <c r="AK228" t="str">
        <f t="shared" si="143"/>
        <v/>
      </c>
      <c r="AL228" t="str">
        <f t="shared" si="118"/>
        <v/>
      </c>
      <c r="AN228" t="s">
        <v>861</v>
      </c>
      <c r="AO228" t="str">
        <f t="shared" si="119"/>
        <v>h</v>
      </c>
      <c r="AP228" t="str">
        <f t="shared" si="126"/>
        <v/>
      </c>
      <c r="AQ228" t="str">
        <f t="shared" si="127"/>
        <v/>
      </c>
      <c r="AR228" t="str">
        <f t="shared" si="128"/>
        <v>Home</v>
      </c>
      <c r="AS228" t="str">
        <f t="shared" si="129"/>
        <v>h</v>
      </c>
      <c r="AT228" t="str">
        <f t="shared" si="130"/>
        <v>Offensive</v>
      </c>
      <c r="BA228" s="6">
        <f t="shared" si="120"/>
        <v>56</v>
      </c>
      <c r="BB228">
        <f t="shared" si="121"/>
        <v>18981</v>
      </c>
      <c r="BC228" t="str">
        <f t="shared" si="122"/>
        <v>Nelson</v>
      </c>
      <c r="BD228" t="str">
        <f t="shared" si="123"/>
        <v>Velodrome</v>
      </c>
      <c r="BE228" t="s">
        <v>7</v>
      </c>
      <c r="BF228" t="s">
        <v>172</v>
      </c>
      <c r="BG228" t="s">
        <v>68</v>
      </c>
      <c r="BI228" cm="1">
        <f t="array" ref="BI228">IFERROR(_xlfn._xlws.FILTER(shifts!A:A,(shifts!B:B=events!AD228)*(shifts!AG:AG&gt;=events!BK228)*(shifts!AH:AH&lt;=events!BL228)),BI227)</f>
        <v>11</v>
      </c>
      <c r="BJ228" s="15">
        <f t="shared" si="124"/>
        <v>0</v>
      </c>
      <c r="BK228">
        <f t="shared" si="131"/>
        <v>795</v>
      </c>
      <c r="BL228">
        <f t="shared" si="132"/>
        <v>795</v>
      </c>
      <c r="BM228" s="15">
        <f>SUMIFS(BJ$2:BJ228,K$2:K228,"=Intermission")+SUMIFS(BJ$2:BJ228,K$2:K228,"=Timeout")</f>
        <v>0</v>
      </c>
      <c r="BN228">
        <f t="shared" si="133"/>
        <v>0</v>
      </c>
      <c r="BO228" s="19">
        <f t="shared" si="134"/>
        <v>285</v>
      </c>
      <c r="BP228">
        <f t="shared" si="135"/>
        <v>280</v>
      </c>
      <c r="BQ228" s="17">
        <f t="shared" si="136"/>
        <v>285</v>
      </c>
      <c r="BR228" t="str">
        <f t="shared" si="137"/>
        <v>event_team_player_1</v>
      </c>
      <c r="BS228">
        <f>COUNTIFS(S$3:S228,"="&amp;S228,AI$3:AI228,"="&amp;AI228)</f>
        <v>1</v>
      </c>
      <c r="BT228" t="str">
        <f>IFERROR(VLOOKUP(BB228&amp;BU228&amp;X228,game_rosters!U:W,3,FALSE),"")</f>
        <v>P100197</v>
      </c>
      <c r="BU228" t="str">
        <f t="shared" si="138"/>
        <v>Nelson</v>
      </c>
    </row>
    <row r="229" spans="1:73" x14ac:dyDescent="0.2">
      <c r="A229">
        <f t="shared" si="125"/>
        <v>1</v>
      </c>
      <c r="E229" s="4"/>
      <c r="F229" s="43"/>
      <c r="G229" s="4"/>
      <c r="H229" s="46"/>
      <c r="J229" s="44" t="str">
        <f t="shared" si="139"/>
        <v/>
      </c>
      <c r="K229" t="s">
        <v>7</v>
      </c>
      <c r="L229" t="s">
        <v>172</v>
      </c>
      <c r="M229" t="s">
        <v>68</v>
      </c>
      <c r="N229" t="str">
        <f t="shared" si="142"/>
        <v>s</v>
      </c>
      <c r="Q229" t="str">
        <f t="shared" si="140"/>
        <v/>
      </c>
      <c r="S229">
        <v>128</v>
      </c>
      <c r="U229" t="str">
        <f>IF(B229=1,MAX($U$2:$U228)+1,IF(AND($T229&lt;&gt;"",$T229=$T228),$U228,IF(B229="x",U228,"")))</f>
        <v/>
      </c>
      <c r="V229" t="str">
        <f>IF(C229=1,MAX($V$2:$V228)+1,IF(AND($T229&lt;&gt;"",$T229=$T228),$U228,IF(C229="x",V228,"")))</f>
        <v/>
      </c>
      <c r="W229" t="str">
        <f t="shared" si="114"/>
        <v>h</v>
      </c>
      <c r="X229">
        <v>44</v>
      </c>
      <c r="Y229" t="b">
        <f>IF(X229&lt;&gt;"",VLOOKUP(X229,game_rosters!$C$43:$E$64,3,FALSE))</f>
        <v>0</v>
      </c>
      <c r="Z229" cm="1">
        <f t="array" ref="Z229">IFERROR(IF(_xlfn._xlws.FILTER(game_rosters!$J:$J,(game_rosters!$G:$G=events!$AN229)*(game_rosters!$J:$J=events!$X229))&gt;0,1,""),"")</f>
        <v>1</v>
      </c>
      <c r="AA229">
        <f t="shared" si="115"/>
        <v>1128</v>
      </c>
      <c r="AB229" t="str">
        <f t="shared" si="116"/>
        <v/>
      </c>
      <c r="AC229">
        <f t="shared" si="113"/>
        <v>1128</v>
      </c>
      <c r="AD229" s="6">
        <v>1</v>
      </c>
      <c r="AE229" t="s">
        <v>926</v>
      </c>
      <c r="AF229" t="s">
        <v>744</v>
      </c>
      <c r="AG229" t="s">
        <v>756</v>
      </c>
      <c r="AH229" t="s">
        <v>756</v>
      </c>
      <c r="AI229" t="s">
        <v>367</v>
      </c>
      <c r="AJ229" t="str">
        <f t="shared" si="143"/>
        <v/>
      </c>
      <c r="AK229" t="str">
        <f t="shared" si="143"/>
        <v/>
      </c>
      <c r="AL229" t="str">
        <f t="shared" si="118"/>
        <v/>
      </c>
      <c r="AN229" t="s">
        <v>861</v>
      </c>
      <c r="AO229" t="str">
        <f t="shared" si="119"/>
        <v>h</v>
      </c>
      <c r="AP229" t="str">
        <f t="shared" si="126"/>
        <v/>
      </c>
      <c r="AQ229" t="str">
        <f t="shared" si="127"/>
        <v/>
      </c>
      <c r="AR229" t="str">
        <f t="shared" si="128"/>
        <v>Home</v>
      </c>
      <c r="AS229" t="str">
        <f t="shared" si="129"/>
        <v>h</v>
      </c>
      <c r="AT229" t="str">
        <f t="shared" si="130"/>
        <v>Offensive</v>
      </c>
      <c r="BA229" s="6">
        <f t="shared" si="120"/>
        <v>56</v>
      </c>
      <c r="BB229">
        <f t="shared" si="121"/>
        <v>18981</v>
      </c>
      <c r="BC229" t="str">
        <f t="shared" si="122"/>
        <v>Nelson</v>
      </c>
      <c r="BD229" t="str">
        <f t="shared" si="123"/>
        <v>Velodrome</v>
      </c>
      <c r="BE229" t="s">
        <v>7</v>
      </c>
      <c r="BF229" t="s">
        <v>172</v>
      </c>
      <c r="BG229" t="s">
        <v>68</v>
      </c>
      <c r="BI229" cm="1">
        <f t="array" ref="BI229">IFERROR(_xlfn._xlws.FILTER(shifts!A:A,(shifts!B:B=events!AD229)*(shifts!AG:AG&gt;=events!BK229)*(shifts!AH:AH&lt;=events!BL229)),BI228)</f>
        <v>11</v>
      </c>
      <c r="BJ229" s="15">
        <f t="shared" si="124"/>
        <v>0</v>
      </c>
      <c r="BK229">
        <f t="shared" si="131"/>
        <v>795</v>
      </c>
      <c r="BL229">
        <f t="shared" si="132"/>
        <v>795</v>
      </c>
      <c r="BM229" s="15">
        <f>SUMIFS(BJ$2:BJ229,K$2:K229,"=Intermission")+SUMIFS(BJ$2:BJ229,K$2:K229,"=Timeout")</f>
        <v>0</v>
      </c>
      <c r="BN229">
        <f t="shared" si="133"/>
        <v>0</v>
      </c>
      <c r="BO229" s="19">
        <f t="shared" si="134"/>
        <v>285</v>
      </c>
      <c r="BP229">
        <f t="shared" si="135"/>
        <v>280</v>
      </c>
      <c r="BQ229" s="17">
        <f t="shared" si="136"/>
        <v>285</v>
      </c>
      <c r="BR229" t="str">
        <f t="shared" si="137"/>
        <v>event_team_player_2</v>
      </c>
      <c r="BS229">
        <f>COUNTIFS(S$3:S229,"="&amp;S229,AI$3:AI229,"="&amp;AI229)</f>
        <v>2</v>
      </c>
      <c r="BT229" t="str">
        <f>IFERROR(VLOOKUP(BB229&amp;BU229&amp;X229,game_rosters!U:W,3,FALSE),"")</f>
        <v>P100079</v>
      </c>
      <c r="BU229" t="str">
        <f t="shared" si="138"/>
        <v>Nelson</v>
      </c>
    </row>
    <row r="230" spans="1:73" x14ac:dyDescent="0.2">
      <c r="A230">
        <f t="shared" si="125"/>
        <v>1</v>
      </c>
      <c r="E230" s="4"/>
      <c r="F230" s="43"/>
      <c r="G230" s="4"/>
      <c r="H230" s="46"/>
      <c r="J230" s="44" t="str">
        <f t="shared" si="139"/>
        <v>o</v>
      </c>
      <c r="K230" t="s">
        <v>238</v>
      </c>
      <c r="L230" t="s">
        <v>174</v>
      </c>
      <c r="M230" t="s">
        <v>390</v>
      </c>
      <c r="N230" t="str">
        <f t="shared" si="142"/>
        <v>u</v>
      </c>
      <c r="Q230" t="str">
        <f t="shared" si="140"/>
        <v/>
      </c>
      <c r="S230">
        <v>129</v>
      </c>
      <c r="U230" t="str">
        <f>IF(B230=1,MAX($U$2:$U229)+1,IF(AND($T230&lt;&gt;"",$T230=$T229),$U229,IF(B230="x",U229,"")))</f>
        <v/>
      </c>
      <c r="V230" t="str">
        <f>IF(C230=1,MAX($V$2:$V229)+1,IF(AND($T230&lt;&gt;"",$T230=$T229),$U229,IF(C230="x",V229,"")))</f>
        <v/>
      </c>
      <c r="W230" t="str">
        <f t="shared" si="114"/>
        <v>h</v>
      </c>
      <c r="X230">
        <v>80</v>
      </c>
      <c r="Y230" t="b">
        <f>IF(X230&lt;&gt;"",VLOOKUP(X230,game_rosters!$C$43:$E$64,3,FALSE))</f>
        <v>0</v>
      </c>
      <c r="Z230" cm="1">
        <f t="array" ref="Z230">IFERROR(IF(_xlfn._xlws.FILTER(game_rosters!$J:$J,(game_rosters!$G:$G=events!$AN230)*(game_rosters!$J:$J=events!$X230))&gt;0,1,""),"")</f>
        <v>1</v>
      </c>
      <c r="AA230">
        <f t="shared" si="115"/>
        <v>1129</v>
      </c>
      <c r="AB230" t="str">
        <f t="shared" si="116"/>
        <v/>
      </c>
      <c r="AC230">
        <f t="shared" si="113"/>
        <v>1129</v>
      </c>
      <c r="AD230" s="6">
        <v>1</v>
      </c>
      <c r="AE230" t="s">
        <v>926</v>
      </c>
      <c r="AF230" t="s">
        <v>744</v>
      </c>
      <c r="AG230" t="s">
        <v>756</v>
      </c>
      <c r="AH230" t="s">
        <v>756</v>
      </c>
      <c r="AI230" t="s">
        <v>367</v>
      </c>
      <c r="AJ230" t="str">
        <f t="shared" si="143"/>
        <v>o</v>
      </c>
      <c r="AK230" t="str">
        <f t="shared" si="143"/>
        <v>o</v>
      </c>
      <c r="AL230" t="str">
        <f t="shared" si="118"/>
        <v>o</v>
      </c>
      <c r="AN230" t="s">
        <v>861</v>
      </c>
      <c r="AO230" t="str">
        <f t="shared" si="119"/>
        <v>h</v>
      </c>
      <c r="AP230" t="str">
        <f t="shared" si="126"/>
        <v>o</v>
      </c>
      <c r="AQ230" t="str">
        <f t="shared" si="127"/>
        <v/>
      </c>
      <c r="AR230" t="str">
        <f t="shared" si="128"/>
        <v>Home</v>
      </c>
      <c r="AS230" t="str">
        <f t="shared" si="129"/>
        <v>h</v>
      </c>
      <c r="AT230" t="str">
        <f t="shared" si="130"/>
        <v>Offensive</v>
      </c>
      <c r="BA230" s="6">
        <f t="shared" si="120"/>
        <v>57</v>
      </c>
      <c r="BB230">
        <f t="shared" si="121"/>
        <v>18981</v>
      </c>
      <c r="BC230" t="str">
        <f t="shared" si="122"/>
        <v>Nelson</v>
      </c>
      <c r="BD230" t="str">
        <f t="shared" si="123"/>
        <v>Velodrome</v>
      </c>
      <c r="BE230" t="s">
        <v>238</v>
      </c>
      <c r="BF230" t="s">
        <v>174</v>
      </c>
      <c r="BG230" t="s">
        <v>390</v>
      </c>
      <c r="BI230" cm="1">
        <f t="array" ref="BI230">IFERROR(_xlfn._xlws.FILTER(shifts!A:A,(shifts!B:B=events!AD230)*(shifts!AG:AG&gt;=events!BK230)*(shifts!AH:AH&lt;=events!BL230)),BI229)</f>
        <v>11</v>
      </c>
      <c r="BJ230" s="15">
        <f t="shared" si="124"/>
        <v>0</v>
      </c>
      <c r="BK230">
        <f t="shared" si="131"/>
        <v>795</v>
      </c>
      <c r="BL230">
        <f t="shared" si="132"/>
        <v>795</v>
      </c>
      <c r="BM230" s="15">
        <f>SUMIFS(BJ$2:BJ230,K$2:K230,"=Intermission")+SUMIFS(BJ$2:BJ230,K$2:K230,"=Timeout")</f>
        <v>0</v>
      </c>
      <c r="BN230">
        <f t="shared" si="133"/>
        <v>0</v>
      </c>
      <c r="BO230" s="19">
        <f t="shared" si="134"/>
        <v>285</v>
      </c>
      <c r="BP230">
        <f t="shared" si="135"/>
        <v>280</v>
      </c>
      <c r="BQ230" s="17">
        <f t="shared" si="136"/>
        <v>285</v>
      </c>
      <c r="BR230" t="str">
        <f t="shared" si="137"/>
        <v>event_team_player_1</v>
      </c>
      <c r="BS230">
        <f>COUNTIFS(S$3:S230,"="&amp;S230,AI$3:AI230,"="&amp;AI230)</f>
        <v>1</v>
      </c>
      <c r="BT230" t="str">
        <f>IFERROR(VLOOKUP(BB230&amp;BU230&amp;X230,game_rosters!U:W,3,FALSE),"")</f>
        <v>P100197</v>
      </c>
      <c r="BU230" t="str">
        <f t="shared" si="138"/>
        <v>Nelson</v>
      </c>
    </row>
    <row r="231" spans="1:73" x14ac:dyDescent="0.2">
      <c r="A231">
        <f t="shared" si="125"/>
        <v>1</v>
      </c>
      <c r="E231" s="4"/>
      <c r="F231" s="43"/>
      <c r="G231" s="4"/>
      <c r="H231" s="46"/>
      <c r="J231" s="44" t="str">
        <f t="shared" si="139"/>
        <v/>
      </c>
      <c r="K231" t="s">
        <v>9</v>
      </c>
      <c r="L231" t="s">
        <v>173</v>
      </c>
      <c r="M231" t="s">
        <v>383</v>
      </c>
      <c r="N231" t="str">
        <f t="shared" si="142"/>
        <v>u</v>
      </c>
      <c r="Q231" t="str">
        <f t="shared" si="140"/>
        <v/>
      </c>
      <c r="S231">
        <v>130</v>
      </c>
      <c r="U231" t="str">
        <f>IF(B231=1,MAX($U$2:$U230)+1,IF(AND($T231&lt;&gt;"",$T231=$T230),$U230,IF(B231="x",U230,"")))</f>
        <v/>
      </c>
      <c r="V231" t="str">
        <f>IF(C231=1,MAX($V$2:$V230)+1,IF(AND($T231&lt;&gt;"",$T231=$T230),$U230,IF(C231="x",V230,"")))</f>
        <v/>
      </c>
      <c r="W231" t="str">
        <f t="shared" si="114"/>
        <v>h</v>
      </c>
      <c r="X231">
        <v>80</v>
      </c>
      <c r="Y231" t="b">
        <f>IF(X231&lt;&gt;"",VLOOKUP(X231,game_rosters!$C$43:$E$64,3,FALSE))</f>
        <v>0</v>
      </c>
      <c r="Z231" cm="1">
        <f t="array" ref="Z231">IFERROR(IF(_xlfn._xlws.FILTER(game_rosters!$J:$J,(game_rosters!$G:$G=events!$AN231)*(game_rosters!$J:$J=events!$X231))&gt;0,1,""),"")</f>
        <v>1</v>
      </c>
      <c r="AA231">
        <f t="shared" si="115"/>
        <v>1130</v>
      </c>
      <c r="AB231" t="str">
        <f t="shared" si="116"/>
        <v/>
      </c>
      <c r="AC231">
        <f t="shared" si="113"/>
        <v>1130</v>
      </c>
      <c r="AD231" s="6">
        <v>1</v>
      </c>
      <c r="AE231" t="s">
        <v>926</v>
      </c>
      <c r="AF231" t="s">
        <v>744</v>
      </c>
      <c r="AG231" t="s">
        <v>756</v>
      </c>
      <c r="AH231" t="s">
        <v>756</v>
      </c>
      <c r="AI231" t="s">
        <v>367</v>
      </c>
      <c r="AJ231" t="str">
        <f t="shared" si="143"/>
        <v/>
      </c>
      <c r="AK231" t="str">
        <f t="shared" si="143"/>
        <v/>
      </c>
      <c r="AL231" t="str">
        <f t="shared" si="118"/>
        <v/>
      </c>
      <c r="AN231" t="s">
        <v>861</v>
      </c>
      <c r="AO231" t="str">
        <f t="shared" si="119"/>
        <v>h</v>
      </c>
      <c r="AP231" t="str">
        <f t="shared" si="126"/>
        <v/>
      </c>
      <c r="AQ231" t="str">
        <f t="shared" si="127"/>
        <v/>
      </c>
      <c r="AR231" t="str">
        <f t="shared" si="128"/>
        <v>Home</v>
      </c>
      <c r="AS231" t="str">
        <f t="shared" si="129"/>
        <v>h</v>
      </c>
      <c r="AT231" t="str">
        <f t="shared" si="130"/>
        <v>Offensive</v>
      </c>
      <c r="BA231" s="6">
        <f t="shared" si="120"/>
        <v>57</v>
      </c>
      <c r="BB231">
        <f t="shared" si="121"/>
        <v>18981</v>
      </c>
      <c r="BC231" t="str">
        <f t="shared" si="122"/>
        <v>Nelson</v>
      </c>
      <c r="BD231" t="str">
        <f t="shared" si="123"/>
        <v>Velodrome</v>
      </c>
      <c r="BE231" t="s">
        <v>9</v>
      </c>
      <c r="BF231" t="s">
        <v>173</v>
      </c>
      <c r="BG231" t="s">
        <v>383</v>
      </c>
      <c r="BI231" cm="1">
        <f t="array" ref="BI231">IFERROR(_xlfn._xlws.FILTER(shifts!A:A,(shifts!B:B=events!AD231)*(shifts!AG:AG&gt;=events!BK231)*(shifts!AH:AH&lt;=events!BL231)),BI230)</f>
        <v>11</v>
      </c>
      <c r="BJ231" s="15">
        <f t="shared" si="124"/>
        <v>0</v>
      </c>
      <c r="BK231">
        <f t="shared" si="131"/>
        <v>795</v>
      </c>
      <c r="BL231">
        <f t="shared" si="132"/>
        <v>795</v>
      </c>
      <c r="BM231" s="15">
        <f>SUMIFS(BJ$2:BJ231,K$2:K231,"=Intermission")+SUMIFS(BJ$2:BJ231,K$2:K231,"=Timeout")</f>
        <v>0</v>
      </c>
      <c r="BN231">
        <f t="shared" si="133"/>
        <v>0</v>
      </c>
      <c r="BO231" s="19">
        <f t="shared" si="134"/>
        <v>285</v>
      </c>
      <c r="BP231">
        <f t="shared" si="135"/>
        <v>280</v>
      </c>
      <c r="BQ231" s="17">
        <f t="shared" si="136"/>
        <v>285</v>
      </c>
      <c r="BR231" t="str">
        <f t="shared" si="137"/>
        <v>event_team_player_1</v>
      </c>
      <c r="BS231">
        <f>COUNTIFS(S$3:S231,"="&amp;S231,AI$3:AI231,"="&amp;AI231)</f>
        <v>1</v>
      </c>
      <c r="BT231" t="str">
        <f>IFERROR(VLOOKUP(BB231&amp;BU231&amp;X231,game_rosters!U:W,3,FALSE),"")</f>
        <v>P100197</v>
      </c>
      <c r="BU231" t="str">
        <f t="shared" si="138"/>
        <v>Nelson</v>
      </c>
    </row>
    <row r="232" spans="1:73" x14ac:dyDescent="0.2">
      <c r="A232">
        <f t="shared" si="125"/>
        <v>1</v>
      </c>
      <c r="E232" s="4"/>
      <c r="F232" s="43"/>
      <c r="G232" s="4"/>
      <c r="H232" s="46"/>
      <c r="J232" s="44" t="str">
        <f t="shared" si="139"/>
        <v/>
      </c>
      <c r="K232" t="s">
        <v>13</v>
      </c>
      <c r="L232" t="s">
        <v>756</v>
      </c>
      <c r="M232" t="s">
        <v>756</v>
      </c>
      <c r="N232" t="str">
        <f t="shared" si="142"/>
        <v/>
      </c>
      <c r="Q232" t="str">
        <f t="shared" si="140"/>
        <v/>
      </c>
      <c r="S232">
        <v>131</v>
      </c>
      <c r="U232" t="str">
        <f>IF(B232=1,MAX($U$2:$U231)+1,IF(AND($T232&lt;&gt;"",$T232=$T231),$U231,IF(B232="x",U231,"")))</f>
        <v/>
      </c>
      <c r="V232" t="str">
        <f>IF(C232=1,MAX($V$2:$V231)+1,IF(AND($T232&lt;&gt;"",$T232=$T231),$U231,IF(C232="x",V231,"")))</f>
        <v/>
      </c>
      <c r="W232" t="str">
        <f t="shared" si="114"/>
        <v>a</v>
      </c>
      <c r="X232">
        <v>87</v>
      </c>
      <c r="Y232" t="e">
        <f>IF(X232&lt;&gt;"",VLOOKUP(X232,game_rosters!$C$43:$E$64,3,FALSE))</f>
        <v>#N/A</v>
      </c>
      <c r="Z232" cm="1">
        <f t="array" ref="Z232">IFERROR(IF(_xlfn._xlws.FILTER(game_rosters!$J:$J,(game_rosters!$G:$G=events!$AN232)*(game_rosters!$J:$J=events!$X232))&gt;0,1,""),"")</f>
        <v>1</v>
      </c>
      <c r="AA232">
        <f t="shared" si="115"/>
        <v>1131</v>
      </c>
      <c r="AB232" t="str">
        <f t="shared" si="116"/>
        <v/>
      </c>
      <c r="AC232">
        <f t="shared" si="113"/>
        <v>1131</v>
      </c>
      <c r="AD232" s="6">
        <v>1</v>
      </c>
      <c r="AE232" t="s">
        <v>926</v>
      </c>
      <c r="AF232" t="s">
        <v>926</v>
      </c>
      <c r="AG232" t="s">
        <v>926</v>
      </c>
      <c r="AH232" t="s">
        <v>910</v>
      </c>
      <c r="AI232" t="s">
        <v>367</v>
      </c>
      <c r="AJ232" t="str">
        <f t="shared" si="143"/>
        <v/>
      </c>
      <c r="AK232" t="str">
        <f t="shared" si="143"/>
        <v/>
      </c>
      <c r="AL232" t="str">
        <f t="shared" si="118"/>
        <v/>
      </c>
      <c r="AN232" t="s">
        <v>862</v>
      </c>
      <c r="AO232" t="str">
        <f t="shared" si="119"/>
        <v>a</v>
      </c>
      <c r="AP232" t="str">
        <f t="shared" si="126"/>
        <v/>
      </c>
      <c r="AQ232" t="str">
        <f t="shared" si="127"/>
        <v/>
      </c>
      <c r="AR232" t="str">
        <f t="shared" si="128"/>
        <v>Away</v>
      </c>
      <c r="AS232" t="str">
        <f t="shared" si="129"/>
        <v>a</v>
      </c>
      <c r="AT232" t="str">
        <f t="shared" si="130"/>
        <v>Offensive</v>
      </c>
      <c r="BA232" s="6">
        <f t="shared" si="120"/>
        <v>57</v>
      </c>
      <c r="BB232">
        <f t="shared" si="121"/>
        <v>18981</v>
      </c>
      <c r="BC232" t="str">
        <f t="shared" si="122"/>
        <v>Nelson</v>
      </c>
      <c r="BD232" t="str">
        <f t="shared" si="123"/>
        <v>Velodrome</v>
      </c>
      <c r="BE232" t="s">
        <v>13</v>
      </c>
      <c r="BF232" t="s">
        <v>756</v>
      </c>
      <c r="BG232" t="s">
        <v>756</v>
      </c>
      <c r="BI232" cm="1">
        <f t="array" ref="BI232">IFERROR(_xlfn._xlws.FILTER(shifts!A:A,(shifts!B:B=events!AD232)*(shifts!AG:AG&gt;=events!BK232)*(shifts!AH:AH&lt;=events!BL232)),BI231)</f>
        <v>11</v>
      </c>
      <c r="BJ232" s="15">
        <f t="shared" si="124"/>
        <v>3</v>
      </c>
      <c r="BK232">
        <f t="shared" si="131"/>
        <v>793</v>
      </c>
      <c r="BL232">
        <f t="shared" si="132"/>
        <v>790</v>
      </c>
      <c r="BM232" s="15">
        <f>SUMIFS(BJ$2:BJ232,K$2:K232,"=Intermission")+SUMIFS(BJ$2:BJ232,K$2:K232,"=Timeout")</f>
        <v>0</v>
      </c>
      <c r="BN232">
        <f t="shared" si="133"/>
        <v>0</v>
      </c>
      <c r="BO232" s="19">
        <f t="shared" si="134"/>
        <v>287</v>
      </c>
      <c r="BP232">
        <f t="shared" si="135"/>
        <v>282</v>
      </c>
      <c r="BQ232" s="17">
        <f t="shared" si="136"/>
        <v>290</v>
      </c>
      <c r="BR232" t="str">
        <f t="shared" si="137"/>
        <v>event_team_player_1</v>
      </c>
      <c r="BS232">
        <f>COUNTIFS(S$3:S232,"="&amp;S232,AI$3:AI232,"="&amp;AI232)</f>
        <v>1</v>
      </c>
      <c r="BT232" t="str">
        <f>IFERROR(VLOOKUP(BB232&amp;BU232&amp;X232,game_rosters!U:W,3,FALSE),"")</f>
        <v>P100159</v>
      </c>
      <c r="BU232" t="str">
        <f t="shared" si="138"/>
        <v>Velodrome</v>
      </c>
    </row>
    <row r="233" spans="1:73" x14ac:dyDescent="0.2">
      <c r="A233">
        <f t="shared" si="125"/>
        <v>1</v>
      </c>
      <c r="E233" s="4"/>
      <c r="F233" s="43"/>
      <c r="G233" s="4"/>
      <c r="H233" s="46"/>
      <c r="J233" s="44" t="str">
        <f t="shared" si="139"/>
        <v>d</v>
      </c>
      <c r="K233" t="s">
        <v>238</v>
      </c>
      <c r="L233" t="s">
        <v>184</v>
      </c>
      <c r="M233" t="s">
        <v>90</v>
      </c>
      <c r="N233" t="str">
        <f t="shared" si="142"/>
        <v>s</v>
      </c>
      <c r="Q233" t="str">
        <f t="shared" si="140"/>
        <v/>
      </c>
      <c r="S233">
        <v>132</v>
      </c>
      <c r="U233" t="str">
        <f>IF(B233=1,MAX($U$2:$U232)+1,IF(AND($T233&lt;&gt;"",$T233=$T232),$U232,IF(B233="x",U232,"")))</f>
        <v/>
      </c>
      <c r="V233" t="str">
        <f>IF(C233=1,MAX($V$2:$V232)+1,IF(AND($T233&lt;&gt;"",$T233=$T232),$U232,IF(C233="x",V232,"")))</f>
        <v/>
      </c>
      <c r="W233" t="str">
        <f t="shared" si="114"/>
        <v>a</v>
      </c>
      <c r="X233">
        <v>87</v>
      </c>
      <c r="Y233" t="e">
        <f>IF(X233&lt;&gt;"",VLOOKUP(X233,game_rosters!$C$43:$E$64,3,FALSE))</f>
        <v>#N/A</v>
      </c>
      <c r="Z233" cm="1">
        <f t="array" ref="Z233">IFERROR(IF(_xlfn._xlws.FILTER(game_rosters!$J:$J,(game_rosters!$G:$G=events!$AN233)*(game_rosters!$J:$J=events!$X233))&gt;0,1,""),"")</f>
        <v>1</v>
      </c>
      <c r="AA233">
        <f t="shared" si="115"/>
        <v>1132</v>
      </c>
      <c r="AB233" t="str">
        <f t="shared" si="116"/>
        <v/>
      </c>
      <c r="AC233">
        <f t="shared" si="113"/>
        <v>1132</v>
      </c>
      <c r="AD233" s="6">
        <v>1</v>
      </c>
      <c r="AE233" t="s">
        <v>926</v>
      </c>
      <c r="AF233" t="s">
        <v>910</v>
      </c>
      <c r="AG233" t="s">
        <v>756</v>
      </c>
      <c r="AH233" t="s">
        <v>756</v>
      </c>
      <c r="AI233" t="s">
        <v>367</v>
      </c>
      <c r="AJ233" t="str">
        <f t="shared" si="143"/>
        <v>d</v>
      </c>
      <c r="AK233" t="str">
        <f t="shared" si="143"/>
        <v>d</v>
      </c>
      <c r="AL233" t="str">
        <f t="shared" si="118"/>
        <v>o</v>
      </c>
      <c r="AN233" t="s">
        <v>862</v>
      </c>
      <c r="AO233" t="str">
        <f t="shared" si="119"/>
        <v>a</v>
      </c>
      <c r="AP233" t="str">
        <f t="shared" si="126"/>
        <v>o</v>
      </c>
      <c r="AQ233" t="str">
        <f t="shared" si="127"/>
        <v/>
      </c>
      <c r="AR233" t="str">
        <f t="shared" si="128"/>
        <v>Away</v>
      </c>
      <c r="AS233" t="str">
        <f t="shared" si="129"/>
        <v>a</v>
      </c>
      <c r="AT233" t="str">
        <f t="shared" si="130"/>
        <v>Offensive</v>
      </c>
      <c r="BA233" s="6">
        <f t="shared" si="120"/>
        <v>58</v>
      </c>
      <c r="BB233">
        <f t="shared" si="121"/>
        <v>18981</v>
      </c>
      <c r="BC233" t="str">
        <f t="shared" si="122"/>
        <v>Nelson</v>
      </c>
      <c r="BD233" t="str">
        <f t="shared" si="123"/>
        <v>Velodrome</v>
      </c>
      <c r="BE233" t="s">
        <v>238</v>
      </c>
      <c r="BF233" t="s">
        <v>184</v>
      </c>
      <c r="BG233" t="s">
        <v>90</v>
      </c>
      <c r="BI233" cm="1">
        <f t="array" ref="BI233">IFERROR(_xlfn._xlws.FILTER(shifts!A:A,(shifts!B:B=events!AD233)*(shifts!AG:AG&gt;=events!BK233)*(shifts!AH:AH&lt;=events!BL233)),BI232)</f>
        <v>11</v>
      </c>
      <c r="BJ233" s="15">
        <f t="shared" si="124"/>
        <v>0</v>
      </c>
      <c r="BK233">
        <f t="shared" si="131"/>
        <v>790</v>
      </c>
      <c r="BL233">
        <f t="shared" si="132"/>
        <v>790</v>
      </c>
      <c r="BM233" s="15">
        <f>SUMIFS(BJ$2:BJ233,K$2:K233,"=Intermission")+SUMIFS(BJ$2:BJ233,K$2:K233,"=Timeout")</f>
        <v>0</v>
      </c>
      <c r="BN233">
        <f t="shared" si="133"/>
        <v>0</v>
      </c>
      <c r="BO233" s="19">
        <f t="shared" si="134"/>
        <v>290</v>
      </c>
      <c r="BP233">
        <f t="shared" si="135"/>
        <v>285</v>
      </c>
      <c r="BQ233" s="17">
        <f t="shared" si="136"/>
        <v>290</v>
      </c>
      <c r="BR233" t="str">
        <f t="shared" si="137"/>
        <v>event_team_player_1</v>
      </c>
      <c r="BS233">
        <f>COUNTIFS(S$3:S233,"="&amp;S233,AI$3:AI233,"="&amp;AI233)</f>
        <v>1</v>
      </c>
      <c r="BT233" t="str">
        <f>IFERROR(VLOOKUP(BB233&amp;BU233&amp;X233,game_rosters!U:W,3,FALSE),"")</f>
        <v>P100159</v>
      </c>
      <c r="BU233" t="str">
        <f t="shared" si="138"/>
        <v>Velodrome</v>
      </c>
    </row>
    <row r="234" spans="1:73" x14ac:dyDescent="0.2">
      <c r="A234">
        <f t="shared" si="125"/>
        <v>1</v>
      </c>
      <c r="E234" s="4"/>
      <c r="F234" s="43"/>
      <c r="G234" s="4"/>
      <c r="H234" s="46"/>
      <c r="J234" s="44" t="str">
        <f t="shared" si="139"/>
        <v/>
      </c>
      <c r="K234" t="s">
        <v>9</v>
      </c>
      <c r="L234" t="s">
        <v>173</v>
      </c>
      <c r="M234" t="s">
        <v>354</v>
      </c>
      <c r="N234" t="str">
        <f t="shared" si="142"/>
        <v>u</v>
      </c>
      <c r="Q234" t="str">
        <f t="shared" si="140"/>
        <v/>
      </c>
      <c r="S234">
        <v>133</v>
      </c>
      <c r="U234" t="str">
        <f>IF(B234=1,MAX($U$2:$U233)+1,IF(AND($T234&lt;&gt;"",$T234=$T233),$U233,IF(B234="x",U233,"")))</f>
        <v/>
      </c>
      <c r="V234" t="str">
        <f>IF(C234=1,MAX($V$2:$V233)+1,IF(AND($T234&lt;&gt;"",$T234=$T233),$U233,IF(C234="x",V233,"")))</f>
        <v/>
      </c>
      <c r="W234" t="str">
        <f t="shared" si="114"/>
        <v>a</v>
      </c>
      <c r="X234">
        <v>87</v>
      </c>
      <c r="Y234" t="e">
        <f>IF(X234&lt;&gt;"",VLOOKUP(X234,game_rosters!$C$43:$E$64,3,FALSE))</f>
        <v>#N/A</v>
      </c>
      <c r="Z234" cm="1">
        <f t="array" ref="Z234">IFERROR(IF(_xlfn._xlws.FILTER(game_rosters!$J:$J,(game_rosters!$G:$G=events!$AN234)*(game_rosters!$J:$J=events!$X234))&gt;0,1,""),"")</f>
        <v>1</v>
      </c>
      <c r="AA234">
        <f t="shared" si="115"/>
        <v>1133</v>
      </c>
      <c r="AB234" t="str">
        <f t="shared" si="116"/>
        <v/>
      </c>
      <c r="AC234">
        <f t="shared" si="113"/>
        <v>1133</v>
      </c>
      <c r="AD234" s="6">
        <v>1</v>
      </c>
      <c r="AE234" t="s">
        <v>926</v>
      </c>
      <c r="AF234" t="s">
        <v>910</v>
      </c>
      <c r="AG234" t="s">
        <v>756</v>
      </c>
      <c r="AH234" t="s">
        <v>756</v>
      </c>
      <c r="AI234" t="s">
        <v>367</v>
      </c>
      <c r="AJ234" t="str">
        <f t="shared" si="143"/>
        <v/>
      </c>
      <c r="AK234" t="str">
        <f t="shared" si="143"/>
        <v/>
      </c>
      <c r="AL234" t="str">
        <f t="shared" si="118"/>
        <v/>
      </c>
      <c r="AN234" t="s">
        <v>862</v>
      </c>
      <c r="AO234" t="str">
        <f t="shared" si="119"/>
        <v>a</v>
      </c>
      <c r="AP234" t="str">
        <f t="shared" si="126"/>
        <v/>
      </c>
      <c r="AQ234" t="str">
        <f t="shared" si="127"/>
        <v/>
      </c>
      <c r="AR234" t="str">
        <f t="shared" si="128"/>
        <v>Away</v>
      </c>
      <c r="AS234" t="str">
        <f t="shared" si="129"/>
        <v>a</v>
      </c>
      <c r="AT234" t="str">
        <f t="shared" si="130"/>
        <v>Offensive</v>
      </c>
      <c r="BA234" s="6">
        <f t="shared" si="120"/>
        <v>58</v>
      </c>
      <c r="BB234">
        <f t="shared" si="121"/>
        <v>18981</v>
      </c>
      <c r="BC234" t="str">
        <f t="shared" si="122"/>
        <v>Nelson</v>
      </c>
      <c r="BD234" t="str">
        <f t="shared" si="123"/>
        <v>Velodrome</v>
      </c>
      <c r="BE234" t="s">
        <v>9</v>
      </c>
      <c r="BF234" t="s">
        <v>173</v>
      </c>
      <c r="BG234" t="s">
        <v>354</v>
      </c>
      <c r="BI234" cm="1">
        <f t="array" ref="BI234">IFERROR(_xlfn._xlws.FILTER(shifts!A:A,(shifts!B:B=events!AD234)*(shifts!AG:AG&gt;=events!BK234)*(shifts!AH:AH&lt;=events!BL234)),BI233)</f>
        <v>11</v>
      </c>
      <c r="BJ234" s="15">
        <f t="shared" si="124"/>
        <v>0</v>
      </c>
      <c r="BK234">
        <f t="shared" si="131"/>
        <v>790</v>
      </c>
      <c r="BL234">
        <f t="shared" si="132"/>
        <v>790</v>
      </c>
      <c r="BM234" s="15">
        <f>SUMIFS(BJ$2:BJ234,K$2:K234,"=Intermission")+SUMIFS(BJ$2:BJ234,K$2:K234,"=Timeout")</f>
        <v>0</v>
      </c>
      <c r="BN234">
        <f t="shared" si="133"/>
        <v>0</v>
      </c>
      <c r="BO234" s="19">
        <f t="shared" si="134"/>
        <v>290</v>
      </c>
      <c r="BP234">
        <f t="shared" si="135"/>
        <v>285</v>
      </c>
      <c r="BQ234" s="17">
        <f t="shared" si="136"/>
        <v>290</v>
      </c>
      <c r="BR234" t="str">
        <f t="shared" si="137"/>
        <v>event_team_player_1</v>
      </c>
      <c r="BS234">
        <f>COUNTIFS(S$3:S234,"="&amp;S234,AI$3:AI234,"="&amp;AI234)</f>
        <v>1</v>
      </c>
      <c r="BT234" t="str">
        <f>IFERROR(VLOOKUP(BB234&amp;BU234&amp;X234,game_rosters!U:W,3,FALSE),"")</f>
        <v>P100159</v>
      </c>
      <c r="BU234" t="str">
        <f t="shared" si="138"/>
        <v>Velodrome</v>
      </c>
    </row>
    <row r="235" spans="1:73" x14ac:dyDescent="0.2">
      <c r="A235">
        <f t="shared" si="125"/>
        <v>1</v>
      </c>
      <c r="E235" s="4"/>
      <c r="F235" s="43"/>
      <c r="G235" s="4"/>
      <c r="H235" s="46"/>
      <c r="J235" s="44" t="str">
        <f t="shared" si="139"/>
        <v/>
      </c>
      <c r="K235" t="s">
        <v>13</v>
      </c>
      <c r="L235" t="s">
        <v>756</v>
      </c>
      <c r="M235" t="s">
        <v>756</v>
      </c>
      <c r="N235" t="str">
        <f t="shared" si="142"/>
        <v/>
      </c>
      <c r="Q235" t="str">
        <f t="shared" si="140"/>
        <v/>
      </c>
      <c r="S235">
        <v>134</v>
      </c>
      <c r="U235" t="str">
        <f>IF(B235=1,MAX($U$2:$U234)+1,IF(AND($T235&lt;&gt;"",$T235=$T234),$U234,IF(B235="x",U234,"")))</f>
        <v/>
      </c>
      <c r="V235" t="str">
        <f>IF(C235=1,MAX($V$2:$V234)+1,IF(AND($T235&lt;&gt;"",$T235=$T234),$U234,IF(C235="x",V234,"")))</f>
        <v/>
      </c>
      <c r="W235" t="str">
        <f t="shared" si="114"/>
        <v>h</v>
      </c>
      <c r="X235">
        <v>80</v>
      </c>
      <c r="Y235" t="b">
        <f>IF(X235&lt;&gt;"",VLOOKUP(X235,game_rosters!$C$43:$E$64,3,FALSE))</f>
        <v>0</v>
      </c>
      <c r="Z235" cm="1">
        <f t="array" ref="Z235">IFERROR(IF(_xlfn._xlws.FILTER(game_rosters!$J:$J,(game_rosters!$G:$G=events!$AN235)*(game_rosters!$J:$J=events!$X235))&gt;0,1,""),"")</f>
        <v>1</v>
      </c>
      <c r="AA235">
        <f t="shared" si="115"/>
        <v>1134</v>
      </c>
      <c r="AB235" t="str">
        <f t="shared" si="116"/>
        <v/>
      </c>
      <c r="AC235">
        <f t="shared" si="113"/>
        <v>1134</v>
      </c>
      <c r="AD235" s="6">
        <v>1</v>
      </c>
      <c r="AE235" t="s">
        <v>926</v>
      </c>
      <c r="AF235" t="s">
        <v>920</v>
      </c>
      <c r="AG235" t="s">
        <v>926</v>
      </c>
      <c r="AH235" t="s">
        <v>911</v>
      </c>
      <c r="AI235" t="s">
        <v>367</v>
      </c>
      <c r="AJ235" t="str">
        <f t="shared" si="143"/>
        <v/>
      </c>
      <c r="AK235" t="str">
        <f t="shared" si="143"/>
        <v/>
      </c>
      <c r="AL235" t="str">
        <f t="shared" si="118"/>
        <v/>
      </c>
      <c r="AN235" t="s">
        <v>861</v>
      </c>
      <c r="AO235" t="str">
        <f t="shared" si="119"/>
        <v>h</v>
      </c>
      <c r="AP235" t="str">
        <f t="shared" si="126"/>
        <v/>
      </c>
      <c r="AQ235" t="str">
        <f t="shared" si="127"/>
        <v/>
      </c>
      <c r="AR235" t="str">
        <f t="shared" si="128"/>
        <v>Home</v>
      </c>
      <c r="AS235" t="str">
        <f t="shared" si="129"/>
        <v>h</v>
      </c>
      <c r="AT235" t="str">
        <f t="shared" si="130"/>
        <v>Offensive</v>
      </c>
      <c r="BA235" s="6">
        <f t="shared" si="120"/>
        <v>58</v>
      </c>
      <c r="BB235">
        <f t="shared" si="121"/>
        <v>18981</v>
      </c>
      <c r="BC235" t="str">
        <f t="shared" si="122"/>
        <v>Nelson</v>
      </c>
      <c r="BD235" t="str">
        <f t="shared" si="123"/>
        <v>Velodrome</v>
      </c>
      <c r="BE235" t="s">
        <v>13</v>
      </c>
      <c r="BF235" t="s">
        <v>756</v>
      </c>
      <c r="BG235" t="s">
        <v>756</v>
      </c>
      <c r="BI235" cm="1">
        <f t="array" ref="BI235">IFERROR(_xlfn._xlws.FILTER(shifts!A:A,(shifts!B:B=events!AD235)*(shifts!AG:AG&gt;=events!BK235)*(shifts!AH:AH&lt;=events!BL235)),BI234)</f>
        <v>12</v>
      </c>
      <c r="BJ235" s="15">
        <f t="shared" si="124"/>
        <v>3</v>
      </c>
      <c r="BK235">
        <f t="shared" si="131"/>
        <v>789</v>
      </c>
      <c r="BL235">
        <f t="shared" si="132"/>
        <v>786</v>
      </c>
      <c r="BM235" s="15">
        <f>SUMIFS(BJ$2:BJ235,K$2:K235,"=Intermission")+SUMIFS(BJ$2:BJ235,K$2:K235,"=Timeout")</f>
        <v>0</v>
      </c>
      <c r="BN235">
        <f t="shared" si="133"/>
        <v>0</v>
      </c>
      <c r="BO235" s="19">
        <f t="shared" si="134"/>
        <v>291</v>
      </c>
      <c r="BP235">
        <f t="shared" si="135"/>
        <v>286</v>
      </c>
      <c r="BQ235" s="17">
        <f t="shared" si="136"/>
        <v>294</v>
      </c>
      <c r="BR235" t="str">
        <f t="shared" si="137"/>
        <v>event_team_player_1</v>
      </c>
      <c r="BS235">
        <f>COUNTIFS(S$3:S235,"="&amp;S235,AI$3:AI235,"="&amp;AI235)</f>
        <v>1</v>
      </c>
      <c r="BT235" t="str">
        <f>IFERROR(VLOOKUP(BB235&amp;BU235&amp;X235,game_rosters!U:W,3,FALSE),"")</f>
        <v>P100197</v>
      </c>
      <c r="BU235" t="str">
        <f t="shared" si="138"/>
        <v>Nelson</v>
      </c>
    </row>
    <row r="236" spans="1:73" x14ac:dyDescent="0.2">
      <c r="A236">
        <f t="shared" si="125"/>
        <v>1</v>
      </c>
      <c r="E236" s="4"/>
      <c r="F236" s="43"/>
      <c r="G236" s="4"/>
      <c r="H236" s="46"/>
      <c r="J236" s="44" t="str">
        <f t="shared" si="139"/>
        <v>o</v>
      </c>
      <c r="K236" t="s">
        <v>238</v>
      </c>
      <c r="L236" t="s">
        <v>174</v>
      </c>
      <c r="M236" t="s">
        <v>85</v>
      </c>
      <c r="N236" t="str">
        <f t="shared" si="142"/>
        <v>s</v>
      </c>
      <c r="Q236" t="str">
        <f t="shared" si="140"/>
        <v/>
      </c>
      <c r="S236">
        <v>135</v>
      </c>
      <c r="U236" t="str">
        <f>IF(B236=1,MAX($U$2:$U235)+1,IF(AND($T236&lt;&gt;"",$T236=$T235),$U235,IF(B236="x",U235,"")))</f>
        <v/>
      </c>
      <c r="V236" t="str">
        <f>IF(C236=1,MAX($V$2:$V235)+1,IF(AND($T236&lt;&gt;"",$T236=$T235),$U235,IF(C236="x",V235,"")))</f>
        <v/>
      </c>
      <c r="W236" t="str">
        <f t="shared" si="114"/>
        <v>h</v>
      </c>
      <c r="X236">
        <v>80</v>
      </c>
      <c r="Y236" t="b">
        <f>IF(X236&lt;&gt;"",VLOOKUP(X236,game_rosters!$C$43:$E$64,3,FALSE))</f>
        <v>0</v>
      </c>
      <c r="Z236" cm="1">
        <f t="array" ref="Z236">IFERROR(IF(_xlfn._xlws.FILTER(game_rosters!$J:$J,(game_rosters!$G:$G=events!$AN236)*(game_rosters!$J:$J=events!$X236))&gt;0,1,""),"")</f>
        <v>1</v>
      </c>
      <c r="AA236">
        <f t="shared" si="115"/>
        <v>1135</v>
      </c>
      <c r="AB236" t="str">
        <f t="shared" si="116"/>
        <v/>
      </c>
      <c r="AC236">
        <f t="shared" si="113"/>
        <v>1135</v>
      </c>
      <c r="AD236" s="6">
        <v>1</v>
      </c>
      <c r="AE236" t="s">
        <v>926</v>
      </c>
      <c r="AF236" t="s">
        <v>911</v>
      </c>
      <c r="AG236" t="s">
        <v>926</v>
      </c>
      <c r="AH236" t="s">
        <v>931</v>
      </c>
      <c r="AI236" t="s">
        <v>367</v>
      </c>
      <c r="AJ236" t="str">
        <f t="shared" si="143"/>
        <v>o</v>
      </c>
      <c r="AK236" t="str">
        <f t="shared" si="143"/>
        <v>o</v>
      </c>
      <c r="AL236" t="str">
        <f t="shared" si="118"/>
        <v>o</v>
      </c>
      <c r="AN236" t="s">
        <v>861</v>
      </c>
      <c r="AO236" t="str">
        <f t="shared" si="119"/>
        <v>h</v>
      </c>
      <c r="AP236" t="str">
        <f t="shared" si="126"/>
        <v>o</v>
      </c>
      <c r="AQ236" t="str">
        <f t="shared" si="127"/>
        <v/>
      </c>
      <c r="AR236" t="str">
        <f t="shared" si="128"/>
        <v>Home</v>
      </c>
      <c r="AS236" t="str">
        <f t="shared" si="129"/>
        <v>h</v>
      </c>
      <c r="AT236" t="str">
        <f t="shared" si="130"/>
        <v>Offensive</v>
      </c>
      <c r="BA236" s="6">
        <f t="shared" si="120"/>
        <v>59</v>
      </c>
      <c r="BB236">
        <f t="shared" si="121"/>
        <v>18981</v>
      </c>
      <c r="BC236" t="str">
        <f t="shared" si="122"/>
        <v>Nelson</v>
      </c>
      <c r="BD236" t="str">
        <f t="shared" si="123"/>
        <v>Velodrome</v>
      </c>
      <c r="BE236" t="s">
        <v>238</v>
      </c>
      <c r="BF236" t="s">
        <v>174</v>
      </c>
      <c r="BG236" t="s">
        <v>85</v>
      </c>
      <c r="BI236" cm="1">
        <f t="array" ref="BI236">IFERROR(_xlfn._xlws.FILTER(shifts!A:A,(shifts!B:B=events!AD236)*(shifts!AG:AG&gt;=events!BK236)*(shifts!AH:AH&lt;=events!BL236)),BI235)</f>
        <v>12</v>
      </c>
      <c r="BJ236" s="15">
        <f t="shared" si="124"/>
        <v>2</v>
      </c>
      <c r="BK236">
        <f t="shared" si="131"/>
        <v>786</v>
      </c>
      <c r="BL236">
        <f t="shared" si="132"/>
        <v>784</v>
      </c>
      <c r="BM236" s="15">
        <f>SUMIFS(BJ$2:BJ236,K$2:K236,"=Intermission")+SUMIFS(BJ$2:BJ236,K$2:K236,"=Timeout")</f>
        <v>0</v>
      </c>
      <c r="BN236">
        <f t="shared" si="133"/>
        <v>0</v>
      </c>
      <c r="BO236" s="19">
        <f t="shared" si="134"/>
        <v>294</v>
      </c>
      <c r="BP236">
        <f t="shared" si="135"/>
        <v>289</v>
      </c>
      <c r="BQ236" s="17">
        <f t="shared" si="136"/>
        <v>296</v>
      </c>
      <c r="BR236" t="str">
        <f t="shared" si="137"/>
        <v>event_team_player_1</v>
      </c>
      <c r="BS236">
        <f>COUNTIFS(S$3:S236,"="&amp;S236,AI$3:AI236,"="&amp;AI236)</f>
        <v>1</v>
      </c>
      <c r="BT236" t="str">
        <f>IFERROR(VLOOKUP(BB236&amp;BU236&amp;X236,game_rosters!U:W,3,FALSE),"")</f>
        <v>P100197</v>
      </c>
      <c r="BU236" t="str">
        <f t="shared" si="138"/>
        <v>Nelson</v>
      </c>
    </row>
    <row r="237" spans="1:73" x14ac:dyDescent="0.2">
      <c r="A237">
        <f t="shared" si="125"/>
        <v>1</v>
      </c>
      <c r="E237" s="4"/>
      <c r="F237" s="43"/>
      <c r="G237" s="4"/>
      <c r="H237" s="46"/>
      <c r="J237" s="44" t="str">
        <f t="shared" si="139"/>
        <v>o</v>
      </c>
      <c r="K237" t="s">
        <v>238</v>
      </c>
      <c r="L237" t="s">
        <v>174</v>
      </c>
      <c r="M237" t="s">
        <v>85</v>
      </c>
      <c r="N237" t="str">
        <f t="shared" si="142"/>
        <v>s</v>
      </c>
      <c r="Q237" t="str">
        <f t="shared" si="140"/>
        <v/>
      </c>
      <c r="S237">
        <v>135</v>
      </c>
      <c r="U237" t="str">
        <f>IF(B237=1,MAX($U$2:$U236)+1,IF(AND($T237&lt;&gt;"",$T237=$T236),$U236,IF(B237="x",U236,"")))</f>
        <v/>
      </c>
      <c r="V237" t="str">
        <f>IF(C237=1,MAX($V$2:$V236)+1,IF(AND($T237&lt;&gt;"",$T237=$T236),$U236,IF(C237="x",V236,"")))</f>
        <v/>
      </c>
      <c r="W237" t="str">
        <f t="shared" si="114"/>
        <v>h</v>
      </c>
      <c r="X237">
        <v>87</v>
      </c>
      <c r="Y237" t="e">
        <f>IF(X237&lt;&gt;"",VLOOKUP(X237,game_rosters!$C$43:$E$64,3,FALSE))</f>
        <v>#N/A</v>
      </c>
      <c r="Z237" t="str" cm="1">
        <f t="array" ref="Z237">IFERROR(IF(_xlfn._xlws.FILTER(game_rosters!$J:$J,(game_rosters!$G:$G=events!$AN237)*(game_rosters!$J:$J=events!$X237))&gt;0,1,""),"")</f>
        <v/>
      </c>
      <c r="AA237">
        <f t="shared" si="115"/>
        <v>1135</v>
      </c>
      <c r="AB237" t="str">
        <f t="shared" si="116"/>
        <v/>
      </c>
      <c r="AC237">
        <f t="shared" si="113"/>
        <v>1135</v>
      </c>
      <c r="AD237" s="6">
        <v>1</v>
      </c>
      <c r="AE237" t="s">
        <v>926</v>
      </c>
      <c r="AF237" t="s">
        <v>911</v>
      </c>
      <c r="AG237" t="s">
        <v>926</v>
      </c>
      <c r="AH237" t="s">
        <v>931</v>
      </c>
      <c r="AI237" t="s">
        <v>368</v>
      </c>
      <c r="AJ237" t="str">
        <f t="shared" si="143"/>
        <v>o</v>
      </c>
      <c r="AK237" t="str">
        <f t="shared" si="143"/>
        <v>o</v>
      </c>
      <c r="AL237" t="str">
        <f t="shared" si="118"/>
        <v>o</v>
      </c>
      <c r="AN237" t="s">
        <v>861</v>
      </c>
      <c r="AO237" t="str">
        <f t="shared" si="119"/>
        <v>h</v>
      </c>
      <c r="AP237" t="str">
        <f t="shared" si="126"/>
        <v>o</v>
      </c>
      <c r="AQ237" t="str">
        <f t="shared" si="127"/>
        <v/>
      </c>
      <c r="AR237" t="str">
        <f t="shared" si="128"/>
        <v>Home</v>
      </c>
      <c r="AS237" t="str">
        <f t="shared" si="129"/>
        <v>h</v>
      </c>
      <c r="AT237" t="str">
        <f t="shared" si="130"/>
        <v>Defensive</v>
      </c>
      <c r="BA237" s="6">
        <f t="shared" si="120"/>
        <v>60</v>
      </c>
      <c r="BB237">
        <f t="shared" si="121"/>
        <v>18981</v>
      </c>
      <c r="BC237" t="str">
        <f t="shared" si="122"/>
        <v>Nelson</v>
      </c>
      <c r="BD237" t="str">
        <f t="shared" si="123"/>
        <v>Velodrome</v>
      </c>
      <c r="BE237" t="s">
        <v>238</v>
      </c>
      <c r="BF237" t="s">
        <v>174</v>
      </c>
      <c r="BG237" t="s">
        <v>85</v>
      </c>
      <c r="BI237" cm="1">
        <f t="array" ref="BI237">IFERROR(_xlfn._xlws.FILTER(shifts!A:A,(shifts!B:B=events!AD237)*(shifts!AG:AG&gt;=events!BK237)*(shifts!AH:AH&lt;=events!BL237)),BI236)</f>
        <v>12</v>
      </c>
      <c r="BJ237" s="15">
        <f t="shared" si="124"/>
        <v>2</v>
      </c>
      <c r="BK237">
        <f t="shared" si="131"/>
        <v>786</v>
      </c>
      <c r="BL237">
        <f t="shared" si="132"/>
        <v>784</v>
      </c>
      <c r="BM237" s="15">
        <f>SUMIFS(BJ$2:BJ237,K$2:K237,"=Intermission")+SUMIFS(BJ$2:BJ237,K$2:K237,"=Timeout")</f>
        <v>0</v>
      </c>
      <c r="BN237">
        <f t="shared" si="133"/>
        <v>0</v>
      </c>
      <c r="BO237" s="19">
        <f t="shared" si="134"/>
        <v>294</v>
      </c>
      <c r="BP237">
        <f t="shared" si="135"/>
        <v>289</v>
      </c>
      <c r="BQ237" s="17">
        <f t="shared" si="136"/>
        <v>296</v>
      </c>
      <c r="BR237" t="str">
        <f t="shared" si="137"/>
        <v>opp_team_player_1</v>
      </c>
      <c r="BS237">
        <f>COUNTIFS(S$3:S237,"="&amp;S237,AI$3:AI237,"="&amp;AI237)</f>
        <v>1</v>
      </c>
      <c r="BT237" t="str">
        <f>IFERROR(VLOOKUP(BB237&amp;BU237&amp;X237,game_rosters!U:W,3,FALSE),"")</f>
        <v>P100159</v>
      </c>
      <c r="BU237" t="str">
        <f t="shared" si="138"/>
        <v>Velodrome</v>
      </c>
    </row>
    <row r="238" spans="1:73" x14ac:dyDescent="0.2">
      <c r="A238">
        <f t="shared" si="125"/>
        <v>1</v>
      </c>
      <c r="E238" s="4"/>
      <c r="F238" s="43"/>
      <c r="G238" s="4"/>
      <c r="H238" s="46"/>
      <c r="J238" s="44" t="str">
        <f t="shared" si="139"/>
        <v>o</v>
      </c>
      <c r="K238" t="s">
        <v>238</v>
      </c>
      <c r="L238" t="s">
        <v>174</v>
      </c>
      <c r="M238" t="s">
        <v>85</v>
      </c>
      <c r="N238" t="str">
        <f t="shared" si="142"/>
        <v>s</v>
      </c>
      <c r="Q238" t="str">
        <f t="shared" si="140"/>
        <v/>
      </c>
      <c r="S238">
        <v>135</v>
      </c>
      <c r="U238" t="str">
        <f>IF(B238=1,MAX($U$2:$U237)+1,IF(AND($T238&lt;&gt;"",$T238=$T237),$U237,IF(B238="x",U237,"")))</f>
        <v/>
      </c>
      <c r="V238" t="str">
        <f>IF(C238=1,MAX($V$2:$V237)+1,IF(AND($T238&lt;&gt;"",$T238=$T237),$U237,IF(C238="x",V237,"")))</f>
        <v/>
      </c>
      <c r="W238" t="str">
        <f t="shared" si="114"/>
        <v>h</v>
      </c>
      <c r="X238">
        <v>52</v>
      </c>
      <c r="Y238" t="e">
        <f>IF(X238&lt;&gt;"",VLOOKUP(X238,game_rosters!$C$43:$E$64,3,FALSE))</f>
        <v>#N/A</v>
      </c>
      <c r="Z238" t="str" cm="1">
        <f t="array" ref="Z238">IFERROR(IF(_xlfn._xlws.FILTER(game_rosters!$J:$J,(game_rosters!$G:$G=events!$AN238)*(game_rosters!$J:$J=events!$X238))&gt;0,1,""),"")</f>
        <v/>
      </c>
      <c r="AA238">
        <f t="shared" si="115"/>
        <v>1135</v>
      </c>
      <c r="AB238" t="str">
        <f t="shared" si="116"/>
        <v/>
      </c>
      <c r="AC238">
        <f t="shared" si="113"/>
        <v>1135</v>
      </c>
      <c r="AD238" s="6">
        <v>1</v>
      </c>
      <c r="AE238" t="s">
        <v>926</v>
      </c>
      <c r="AF238" t="s">
        <v>911</v>
      </c>
      <c r="AG238" t="s">
        <v>926</v>
      </c>
      <c r="AH238" t="s">
        <v>931</v>
      </c>
      <c r="AI238" t="s">
        <v>368</v>
      </c>
      <c r="AJ238" t="str">
        <f t="shared" si="143"/>
        <v>o</v>
      </c>
      <c r="AK238" t="str">
        <f t="shared" si="143"/>
        <v>o</v>
      </c>
      <c r="AL238" t="str">
        <f t="shared" si="118"/>
        <v>o</v>
      </c>
      <c r="AN238" t="s">
        <v>861</v>
      </c>
      <c r="AO238" t="str">
        <f t="shared" si="119"/>
        <v>h</v>
      </c>
      <c r="AP238" t="str">
        <f t="shared" si="126"/>
        <v>o</v>
      </c>
      <c r="AQ238" t="str">
        <f t="shared" si="127"/>
        <v/>
      </c>
      <c r="AR238" t="str">
        <f t="shared" si="128"/>
        <v>Home</v>
      </c>
      <c r="AS238" t="str">
        <f t="shared" si="129"/>
        <v>h</v>
      </c>
      <c r="AT238" t="str">
        <f t="shared" si="130"/>
        <v>Defensive</v>
      </c>
      <c r="BA238" s="6">
        <f t="shared" si="120"/>
        <v>61</v>
      </c>
      <c r="BB238">
        <f t="shared" si="121"/>
        <v>18981</v>
      </c>
      <c r="BC238" t="str">
        <f t="shared" si="122"/>
        <v>Nelson</v>
      </c>
      <c r="BD238" t="str">
        <f t="shared" si="123"/>
        <v>Velodrome</v>
      </c>
      <c r="BE238" t="s">
        <v>238</v>
      </c>
      <c r="BF238" t="s">
        <v>174</v>
      </c>
      <c r="BG238" t="s">
        <v>85</v>
      </c>
      <c r="BI238" cm="1">
        <f t="array" ref="BI238">IFERROR(_xlfn._xlws.FILTER(shifts!A:A,(shifts!B:B=events!AD238)*(shifts!AG:AG&gt;=events!BK238)*(shifts!AH:AH&lt;=events!BL238)),BI237)</f>
        <v>12</v>
      </c>
      <c r="BJ238" s="15">
        <f t="shared" si="124"/>
        <v>2</v>
      </c>
      <c r="BK238">
        <f t="shared" si="131"/>
        <v>786</v>
      </c>
      <c r="BL238">
        <f t="shared" si="132"/>
        <v>784</v>
      </c>
      <c r="BM238" s="15">
        <f>SUMIFS(BJ$2:BJ238,K$2:K238,"=Intermission")+SUMIFS(BJ$2:BJ238,K$2:K238,"=Timeout")</f>
        <v>0</v>
      </c>
      <c r="BN238">
        <f t="shared" si="133"/>
        <v>0</v>
      </c>
      <c r="BO238" s="19">
        <f t="shared" si="134"/>
        <v>294</v>
      </c>
      <c r="BP238">
        <f t="shared" si="135"/>
        <v>289</v>
      </c>
      <c r="BQ238" s="17">
        <f t="shared" si="136"/>
        <v>296</v>
      </c>
      <c r="BR238" t="str">
        <f t="shared" si="137"/>
        <v>opp_team_player_2</v>
      </c>
      <c r="BS238">
        <f>COUNTIFS(S$3:S238,"="&amp;S238,AI$3:AI238,"="&amp;AI238)</f>
        <v>2</v>
      </c>
      <c r="BT238" t="str">
        <f>IFERROR(VLOOKUP(BB238&amp;BU238&amp;X238,game_rosters!U:W,3,FALSE),"")</f>
        <v>P100070</v>
      </c>
      <c r="BU238" t="str">
        <f t="shared" si="138"/>
        <v>Velodrome</v>
      </c>
    </row>
    <row r="239" spans="1:73" x14ac:dyDescent="0.2">
      <c r="A239">
        <f t="shared" si="125"/>
        <v>1</v>
      </c>
      <c r="E239" s="4"/>
      <c r="F239" s="43"/>
      <c r="G239" s="4"/>
      <c r="H239" s="46"/>
      <c r="J239" s="44" t="str">
        <f t="shared" si="139"/>
        <v>o</v>
      </c>
      <c r="K239" t="s">
        <v>238</v>
      </c>
      <c r="L239" t="s">
        <v>174</v>
      </c>
      <c r="M239" t="s">
        <v>85</v>
      </c>
      <c r="N239" t="str">
        <f t="shared" si="142"/>
        <v>s</v>
      </c>
      <c r="Q239" t="str">
        <f t="shared" si="140"/>
        <v/>
      </c>
      <c r="S239">
        <v>135</v>
      </c>
      <c r="U239" t="str">
        <f>IF(B239=1,MAX($U$2:$U238)+1,IF(AND($T239&lt;&gt;"",$T239=$T238),$U238,IF(B239="x",U238,"")))</f>
        <v/>
      </c>
      <c r="V239" t="str">
        <f>IF(C239=1,MAX($V$2:$V238)+1,IF(AND($T239&lt;&gt;"",$T239=$T238),$U238,IF(C239="x",V238,"")))</f>
        <v/>
      </c>
      <c r="W239" t="str">
        <f t="shared" si="114"/>
        <v>h</v>
      </c>
      <c r="X239">
        <v>70</v>
      </c>
      <c r="Y239" t="e">
        <f>IF(X239&lt;&gt;"",VLOOKUP(X239,game_rosters!$C$43:$E$64,3,FALSE))</f>
        <v>#N/A</v>
      </c>
      <c r="Z239" t="str" cm="1">
        <f t="array" ref="Z239">IFERROR(IF(_xlfn._xlws.FILTER(game_rosters!$J:$J,(game_rosters!$G:$G=events!$AN239)*(game_rosters!$J:$J=events!$X239))&gt;0,1,""),"")</f>
        <v/>
      </c>
      <c r="AA239">
        <f t="shared" si="115"/>
        <v>1135</v>
      </c>
      <c r="AB239" t="str">
        <f t="shared" si="116"/>
        <v/>
      </c>
      <c r="AC239">
        <f t="shared" si="113"/>
        <v>1135</v>
      </c>
      <c r="AD239" s="6">
        <v>1</v>
      </c>
      <c r="AE239" t="s">
        <v>926</v>
      </c>
      <c r="AF239" t="s">
        <v>911</v>
      </c>
      <c r="AG239" t="s">
        <v>926</v>
      </c>
      <c r="AH239" t="s">
        <v>931</v>
      </c>
      <c r="AI239" t="s">
        <v>368</v>
      </c>
      <c r="AJ239" t="str">
        <f t="shared" si="143"/>
        <v>o</v>
      </c>
      <c r="AK239" t="str">
        <f t="shared" si="143"/>
        <v>o</v>
      </c>
      <c r="AL239" t="str">
        <f t="shared" si="118"/>
        <v>o</v>
      </c>
      <c r="AN239" t="s">
        <v>861</v>
      </c>
      <c r="AO239" t="str">
        <f t="shared" si="119"/>
        <v>h</v>
      </c>
      <c r="AP239" t="str">
        <f t="shared" si="126"/>
        <v>o</v>
      </c>
      <c r="AQ239" t="str">
        <f t="shared" si="127"/>
        <v/>
      </c>
      <c r="AR239" t="str">
        <f t="shared" si="128"/>
        <v>Home</v>
      </c>
      <c r="AS239" t="str">
        <f t="shared" si="129"/>
        <v>h</v>
      </c>
      <c r="AT239" t="str">
        <f t="shared" si="130"/>
        <v>Defensive</v>
      </c>
      <c r="BA239" s="6">
        <f t="shared" si="120"/>
        <v>62</v>
      </c>
      <c r="BB239">
        <f t="shared" si="121"/>
        <v>18981</v>
      </c>
      <c r="BC239" t="str">
        <f t="shared" si="122"/>
        <v>Nelson</v>
      </c>
      <c r="BD239" t="str">
        <f t="shared" si="123"/>
        <v>Velodrome</v>
      </c>
      <c r="BE239" t="s">
        <v>238</v>
      </c>
      <c r="BF239" t="s">
        <v>174</v>
      </c>
      <c r="BG239" t="s">
        <v>85</v>
      </c>
      <c r="BI239" cm="1">
        <f t="array" ref="BI239">IFERROR(_xlfn._xlws.FILTER(shifts!A:A,(shifts!B:B=events!AD239)*(shifts!AG:AG&gt;=events!BK239)*(shifts!AH:AH&lt;=events!BL239)),BI238)</f>
        <v>12</v>
      </c>
      <c r="BJ239" s="15">
        <f t="shared" si="124"/>
        <v>2</v>
      </c>
      <c r="BK239">
        <f t="shared" si="131"/>
        <v>786</v>
      </c>
      <c r="BL239">
        <f t="shared" si="132"/>
        <v>784</v>
      </c>
      <c r="BM239" s="15">
        <f>SUMIFS(BJ$2:BJ239,K$2:K239,"=Intermission")+SUMIFS(BJ$2:BJ239,K$2:K239,"=Timeout")</f>
        <v>0</v>
      </c>
      <c r="BN239">
        <f t="shared" si="133"/>
        <v>0</v>
      </c>
      <c r="BO239" s="19">
        <f t="shared" si="134"/>
        <v>294</v>
      </c>
      <c r="BP239">
        <f t="shared" si="135"/>
        <v>289</v>
      </c>
      <c r="BQ239" s="17">
        <f t="shared" si="136"/>
        <v>296</v>
      </c>
      <c r="BR239" t="str">
        <f t="shared" si="137"/>
        <v>opp_team_player_3</v>
      </c>
      <c r="BS239">
        <f>COUNTIFS(S$3:S239,"="&amp;S239,AI$3:AI239,"="&amp;AI239)</f>
        <v>3</v>
      </c>
      <c r="BT239" t="str">
        <f>IFERROR(VLOOKUP(BB239&amp;BU239&amp;X239,game_rosters!U:W,3,FALSE),"")</f>
        <v>P100001</v>
      </c>
      <c r="BU239" t="str">
        <f t="shared" si="138"/>
        <v>Velodrome</v>
      </c>
    </row>
    <row r="240" spans="1:73" x14ac:dyDescent="0.2">
      <c r="A240">
        <f t="shared" si="125"/>
        <v>1</v>
      </c>
      <c r="E240" s="4"/>
      <c r="F240" s="43"/>
      <c r="G240" s="4"/>
      <c r="H240" s="46"/>
      <c r="J240" s="44" t="str">
        <f t="shared" si="139"/>
        <v>o</v>
      </c>
      <c r="K240" t="s">
        <v>6</v>
      </c>
      <c r="L240" t="s">
        <v>205</v>
      </c>
      <c r="M240" t="s">
        <v>51</v>
      </c>
      <c r="N240" t="str">
        <f t="shared" si="142"/>
        <v>s</v>
      </c>
      <c r="Q240" t="str">
        <f t="shared" si="140"/>
        <v/>
      </c>
      <c r="S240">
        <v>136</v>
      </c>
      <c r="U240" t="str">
        <f>IF(B240=1,MAX($U$2:$U239)+1,IF(AND($T240&lt;&gt;"",$T240=$T239),$U239,IF(B240="x",U239,"")))</f>
        <v/>
      </c>
      <c r="V240" t="str">
        <f>IF(C240=1,MAX($V$2:$V239)+1,IF(AND($T240&lt;&gt;"",$T240=$T239),$U239,IF(C240="x",V239,"")))</f>
        <v/>
      </c>
      <c r="W240" t="str">
        <f t="shared" si="114"/>
        <v>h</v>
      </c>
      <c r="X240">
        <v>80</v>
      </c>
      <c r="Y240" t="b">
        <f>IF(X240&lt;&gt;"",VLOOKUP(X240,game_rosters!$C$43:$E$64,3,FALSE))</f>
        <v>0</v>
      </c>
      <c r="Z240" cm="1">
        <f t="array" ref="Z240">IFERROR(IF(_xlfn._xlws.FILTER(game_rosters!$J:$J,(game_rosters!$G:$G=events!$AN240)*(game_rosters!$J:$J=events!$X240))&gt;0,1,""),"")</f>
        <v>1</v>
      </c>
      <c r="AA240">
        <f t="shared" si="115"/>
        <v>1136</v>
      </c>
      <c r="AB240" t="str">
        <f t="shared" si="116"/>
        <v/>
      </c>
      <c r="AC240">
        <f t="shared" si="113"/>
        <v>1136</v>
      </c>
      <c r="AD240" s="6">
        <v>1</v>
      </c>
      <c r="AE240" t="s">
        <v>926</v>
      </c>
      <c r="AF240" t="s">
        <v>931</v>
      </c>
      <c r="AG240" t="s">
        <v>756</v>
      </c>
      <c r="AH240" t="s">
        <v>756</v>
      </c>
      <c r="AI240" t="s">
        <v>367</v>
      </c>
      <c r="AJ240" t="str">
        <f t="shared" si="143"/>
        <v>o</v>
      </c>
      <c r="AK240" t="str">
        <f t="shared" si="143"/>
        <v>o</v>
      </c>
      <c r="AL240" t="str">
        <f t="shared" si="118"/>
        <v>o</v>
      </c>
      <c r="AN240" t="s">
        <v>861</v>
      </c>
      <c r="AO240" t="str">
        <f t="shared" si="119"/>
        <v>h</v>
      </c>
      <c r="AP240" t="str">
        <f t="shared" si="126"/>
        <v>o</v>
      </c>
      <c r="AQ240" t="str">
        <f t="shared" si="127"/>
        <v/>
      </c>
      <c r="AR240" t="str">
        <f t="shared" si="128"/>
        <v>Home</v>
      </c>
      <c r="AS240" t="str">
        <f t="shared" si="129"/>
        <v>h</v>
      </c>
      <c r="AT240" t="str">
        <f t="shared" si="130"/>
        <v>Offensive</v>
      </c>
      <c r="BA240" s="6">
        <f t="shared" si="120"/>
        <v>62</v>
      </c>
      <c r="BB240">
        <f t="shared" si="121"/>
        <v>18981</v>
      </c>
      <c r="BC240" t="str">
        <f t="shared" si="122"/>
        <v>Nelson</v>
      </c>
      <c r="BD240" t="str">
        <f t="shared" si="123"/>
        <v>Velodrome</v>
      </c>
      <c r="BE240" t="s">
        <v>6</v>
      </c>
      <c r="BF240" t="s">
        <v>205</v>
      </c>
      <c r="BG240" t="s">
        <v>51</v>
      </c>
      <c r="BI240" cm="1">
        <f t="array" ref="BI240">IFERROR(_xlfn._xlws.FILTER(shifts!A:A,(shifts!B:B=events!AD240)*(shifts!AG:AG&gt;=events!BK240)*(shifts!AH:AH&lt;=events!BL240)),BI239)</f>
        <v>12</v>
      </c>
      <c r="BJ240" s="15">
        <f t="shared" si="124"/>
        <v>0</v>
      </c>
      <c r="BK240">
        <f t="shared" si="131"/>
        <v>784</v>
      </c>
      <c r="BL240">
        <f t="shared" si="132"/>
        <v>784</v>
      </c>
      <c r="BM240" s="15">
        <f>SUMIFS(BJ$2:BJ240,K$2:K240,"=Intermission")+SUMIFS(BJ$2:BJ240,K$2:K240,"=Timeout")</f>
        <v>0</v>
      </c>
      <c r="BN240">
        <f t="shared" si="133"/>
        <v>0</v>
      </c>
      <c r="BO240" s="19">
        <f t="shared" si="134"/>
        <v>296</v>
      </c>
      <c r="BP240">
        <f t="shared" si="135"/>
        <v>291</v>
      </c>
      <c r="BQ240" s="17">
        <f t="shared" si="136"/>
        <v>296</v>
      </c>
      <c r="BR240" t="str">
        <f t="shared" si="137"/>
        <v>event_team_player_1</v>
      </c>
      <c r="BS240">
        <f>COUNTIFS(S$3:S240,"="&amp;S240,AI$3:AI240,"="&amp;AI240)</f>
        <v>1</v>
      </c>
      <c r="BT240" t="str">
        <f>IFERROR(VLOOKUP(BB240&amp;BU240&amp;X240,game_rosters!U:W,3,FALSE),"")</f>
        <v>P100197</v>
      </c>
      <c r="BU240" t="str">
        <f t="shared" si="138"/>
        <v>Nelson</v>
      </c>
    </row>
    <row r="241" spans="1:73" x14ac:dyDescent="0.2">
      <c r="A241">
        <f t="shared" si="125"/>
        <v>1</v>
      </c>
      <c r="E241" s="4"/>
      <c r="F241" s="43"/>
      <c r="G241" s="4"/>
      <c r="H241" s="46"/>
      <c r="J241" s="44" t="str">
        <f t="shared" si="139"/>
        <v>o</v>
      </c>
      <c r="K241" t="s">
        <v>6</v>
      </c>
      <c r="L241" t="s">
        <v>205</v>
      </c>
      <c r="M241" t="s">
        <v>51</v>
      </c>
      <c r="N241" t="str">
        <f t="shared" si="142"/>
        <v>s</v>
      </c>
      <c r="Q241" t="str">
        <f t="shared" si="140"/>
        <v/>
      </c>
      <c r="S241">
        <v>136</v>
      </c>
      <c r="U241" t="str">
        <f>IF(B241=1,MAX($U$2:$U240)+1,IF(AND($T241&lt;&gt;"",$T241=$T240),$U240,IF(B241="x",U240,"")))</f>
        <v/>
      </c>
      <c r="V241" t="str">
        <f>IF(C241=1,MAX($V$2:$V240)+1,IF(AND($T241&lt;&gt;"",$T241=$T240),$U240,IF(C241="x",V240,"")))</f>
        <v/>
      </c>
      <c r="W241" t="str">
        <f t="shared" si="114"/>
        <v>h</v>
      </c>
      <c r="X241">
        <v>39</v>
      </c>
      <c r="Y241" t="e">
        <f>IF(X241&lt;&gt;"",VLOOKUP(X241,game_rosters!$C$43:$E$64,3,FALSE))</f>
        <v>#N/A</v>
      </c>
      <c r="Z241" t="str" cm="1">
        <f t="array" ref="Z241">IFERROR(IF(_xlfn._xlws.FILTER(game_rosters!$J:$J,(game_rosters!$G:$G=events!$AN241)*(game_rosters!$J:$J=events!$X241))&gt;0,1,""),"")</f>
        <v/>
      </c>
      <c r="AA241">
        <f t="shared" si="115"/>
        <v>1136</v>
      </c>
      <c r="AB241" t="str">
        <f t="shared" si="116"/>
        <v/>
      </c>
      <c r="AC241">
        <f t="shared" si="113"/>
        <v>1136</v>
      </c>
      <c r="AD241" s="6">
        <v>1</v>
      </c>
      <c r="AE241" t="s">
        <v>926</v>
      </c>
      <c r="AF241" t="s">
        <v>931</v>
      </c>
      <c r="AG241" t="s">
        <v>756</v>
      </c>
      <c r="AH241" t="s">
        <v>756</v>
      </c>
      <c r="AI241" t="s">
        <v>368</v>
      </c>
      <c r="AJ241" t="str">
        <f t="shared" si="143"/>
        <v>o</v>
      </c>
      <c r="AK241" t="str">
        <f t="shared" si="143"/>
        <v>o</v>
      </c>
      <c r="AL241" t="str">
        <f t="shared" si="118"/>
        <v>o</v>
      </c>
      <c r="AN241" t="s">
        <v>861</v>
      </c>
      <c r="AO241" t="str">
        <f t="shared" si="119"/>
        <v>h</v>
      </c>
      <c r="AP241" t="str">
        <f t="shared" si="126"/>
        <v>o</v>
      </c>
      <c r="AQ241" t="str">
        <f t="shared" si="127"/>
        <v/>
      </c>
      <c r="AR241" t="str">
        <f t="shared" si="128"/>
        <v>Home</v>
      </c>
      <c r="AS241" t="str">
        <f t="shared" si="129"/>
        <v>h</v>
      </c>
      <c r="AT241" t="str">
        <f t="shared" si="130"/>
        <v>Defensive</v>
      </c>
      <c r="BA241" s="6">
        <f t="shared" si="120"/>
        <v>62</v>
      </c>
      <c r="BB241">
        <f t="shared" si="121"/>
        <v>18981</v>
      </c>
      <c r="BC241" t="str">
        <f t="shared" si="122"/>
        <v>Nelson</v>
      </c>
      <c r="BD241" t="str">
        <f t="shared" si="123"/>
        <v>Velodrome</v>
      </c>
      <c r="BE241" t="s">
        <v>6</v>
      </c>
      <c r="BF241" t="s">
        <v>205</v>
      </c>
      <c r="BG241" t="s">
        <v>51</v>
      </c>
      <c r="BI241" cm="1">
        <f t="array" ref="BI241">IFERROR(_xlfn._xlws.FILTER(shifts!A:A,(shifts!B:B=events!AD241)*(shifts!AG:AG&gt;=events!BK241)*(shifts!AH:AH&lt;=events!BL241)),BI240)</f>
        <v>12</v>
      </c>
      <c r="BJ241" s="15">
        <f t="shared" si="124"/>
        <v>0</v>
      </c>
      <c r="BK241">
        <f t="shared" si="131"/>
        <v>784</v>
      </c>
      <c r="BL241">
        <f t="shared" si="132"/>
        <v>784</v>
      </c>
      <c r="BM241" s="15">
        <f>SUMIFS(BJ$2:BJ241,K$2:K241,"=Intermission")+SUMIFS(BJ$2:BJ241,K$2:K241,"=Timeout")</f>
        <v>0</v>
      </c>
      <c r="BN241">
        <f t="shared" si="133"/>
        <v>0</v>
      </c>
      <c r="BO241" s="19">
        <f t="shared" si="134"/>
        <v>296</v>
      </c>
      <c r="BP241">
        <f t="shared" si="135"/>
        <v>291</v>
      </c>
      <c r="BQ241" s="17">
        <f t="shared" si="136"/>
        <v>296</v>
      </c>
      <c r="BR241" t="str">
        <f t="shared" si="137"/>
        <v>opp_team_player_1</v>
      </c>
      <c r="BS241">
        <f>COUNTIFS(S$3:S241,"="&amp;S241,AI$3:AI241,"="&amp;AI241)</f>
        <v>1</v>
      </c>
      <c r="BT241" t="str">
        <f>IFERROR(VLOOKUP(BB241&amp;BU241&amp;X241,game_rosters!U:W,3,FALSE),"")</f>
        <v>P100016</v>
      </c>
      <c r="BU241" t="str">
        <f t="shared" si="138"/>
        <v>Velodrome</v>
      </c>
    </row>
    <row r="242" spans="1:73" x14ac:dyDescent="0.2">
      <c r="A242">
        <f t="shared" si="125"/>
        <v>1</v>
      </c>
      <c r="E242" s="4"/>
      <c r="F242" s="43"/>
      <c r="G242" s="4"/>
      <c r="H242" s="46"/>
      <c r="J242" s="44" t="str">
        <f t="shared" si="139"/>
        <v>o</v>
      </c>
      <c r="K242" t="s">
        <v>6</v>
      </c>
      <c r="L242" t="s">
        <v>205</v>
      </c>
      <c r="M242" t="s">
        <v>51</v>
      </c>
      <c r="N242" t="str">
        <f t="shared" si="142"/>
        <v>s</v>
      </c>
      <c r="Q242" t="str">
        <f t="shared" si="140"/>
        <v/>
      </c>
      <c r="S242">
        <v>136</v>
      </c>
      <c r="U242" t="str">
        <f>IF(B242=1,MAX($U$2:$U241)+1,IF(AND($T242&lt;&gt;"",$T242=$T241),$U241,IF(B242="x",U241,"")))</f>
        <v/>
      </c>
      <c r="V242" t="str">
        <f>IF(C242=1,MAX($V$2:$V241)+1,IF(AND($T242&lt;&gt;"",$T242=$T241),$U241,IF(C242="x",V241,"")))</f>
        <v/>
      </c>
      <c r="W242" t="str">
        <f t="shared" si="114"/>
        <v>h</v>
      </c>
      <c r="X242">
        <v>70</v>
      </c>
      <c r="Y242" t="e">
        <f>IF(X242&lt;&gt;"",VLOOKUP(X242,game_rosters!$C$43:$E$64,3,FALSE))</f>
        <v>#N/A</v>
      </c>
      <c r="Z242" t="str" cm="1">
        <f t="array" ref="Z242">IFERROR(IF(_xlfn._xlws.FILTER(game_rosters!$J:$J,(game_rosters!$G:$G=events!$AN242)*(game_rosters!$J:$J=events!$X242))&gt;0,1,""),"")</f>
        <v/>
      </c>
      <c r="AA242">
        <f t="shared" si="115"/>
        <v>1136</v>
      </c>
      <c r="AB242" t="str">
        <f t="shared" si="116"/>
        <v/>
      </c>
      <c r="AC242">
        <f t="shared" si="113"/>
        <v>1136</v>
      </c>
      <c r="AD242" s="6">
        <v>1</v>
      </c>
      <c r="AE242" t="s">
        <v>926</v>
      </c>
      <c r="AF242" t="s">
        <v>931</v>
      </c>
      <c r="AG242" t="s">
        <v>756</v>
      </c>
      <c r="AH242" t="s">
        <v>756</v>
      </c>
      <c r="AI242" t="s">
        <v>368</v>
      </c>
      <c r="AJ242" t="str">
        <f t="shared" si="143"/>
        <v>o</v>
      </c>
      <c r="AK242" t="str">
        <f t="shared" si="143"/>
        <v>o</v>
      </c>
      <c r="AL242" t="str">
        <f t="shared" si="118"/>
        <v>o</v>
      </c>
      <c r="AN242" t="s">
        <v>861</v>
      </c>
      <c r="AO242" t="str">
        <f t="shared" si="119"/>
        <v>h</v>
      </c>
      <c r="AP242" t="str">
        <f t="shared" si="126"/>
        <v>o</v>
      </c>
      <c r="AQ242" t="str">
        <f t="shared" si="127"/>
        <v/>
      </c>
      <c r="AR242" t="str">
        <f t="shared" si="128"/>
        <v>Home</v>
      </c>
      <c r="AS242" t="str">
        <f t="shared" si="129"/>
        <v>h</v>
      </c>
      <c r="AT242" t="str">
        <f t="shared" si="130"/>
        <v>Defensive</v>
      </c>
      <c r="BA242" s="6">
        <f t="shared" si="120"/>
        <v>62</v>
      </c>
      <c r="BB242">
        <f t="shared" si="121"/>
        <v>18981</v>
      </c>
      <c r="BC242" t="str">
        <f t="shared" si="122"/>
        <v>Nelson</v>
      </c>
      <c r="BD242" t="str">
        <f t="shared" si="123"/>
        <v>Velodrome</v>
      </c>
      <c r="BE242" t="s">
        <v>6</v>
      </c>
      <c r="BF242" t="s">
        <v>205</v>
      </c>
      <c r="BG242" t="s">
        <v>51</v>
      </c>
      <c r="BI242" cm="1">
        <f t="array" ref="BI242">IFERROR(_xlfn._xlws.FILTER(shifts!A:A,(shifts!B:B=events!AD242)*(shifts!AG:AG&gt;=events!BK242)*(shifts!AH:AH&lt;=events!BL242)),BI241)</f>
        <v>12</v>
      </c>
      <c r="BJ242" s="15">
        <f t="shared" si="124"/>
        <v>0</v>
      </c>
      <c r="BK242">
        <f t="shared" si="131"/>
        <v>784</v>
      </c>
      <c r="BL242">
        <f t="shared" si="132"/>
        <v>784</v>
      </c>
      <c r="BM242" s="15">
        <f>SUMIFS(BJ$2:BJ242,K$2:K242,"=Intermission")+SUMIFS(BJ$2:BJ242,K$2:K242,"=Timeout")</f>
        <v>0</v>
      </c>
      <c r="BN242">
        <f t="shared" si="133"/>
        <v>0</v>
      </c>
      <c r="BO242" s="19">
        <f t="shared" si="134"/>
        <v>296</v>
      </c>
      <c r="BP242">
        <f t="shared" si="135"/>
        <v>291</v>
      </c>
      <c r="BQ242" s="17">
        <f t="shared" si="136"/>
        <v>296</v>
      </c>
      <c r="BR242" t="str">
        <f t="shared" si="137"/>
        <v>opp_team_player_2</v>
      </c>
      <c r="BS242">
        <f>COUNTIFS(S$3:S242,"="&amp;S242,AI$3:AI242,"="&amp;AI242)</f>
        <v>2</v>
      </c>
      <c r="BT242" t="str">
        <f>IFERROR(VLOOKUP(BB242&amp;BU242&amp;X242,game_rosters!U:W,3,FALSE),"")</f>
        <v>P100001</v>
      </c>
      <c r="BU242" t="str">
        <f t="shared" si="138"/>
        <v>Velodrome</v>
      </c>
    </row>
    <row r="243" spans="1:73" x14ac:dyDescent="0.2">
      <c r="A243">
        <f t="shared" si="125"/>
        <v>1</v>
      </c>
      <c r="E243" s="4"/>
      <c r="F243" s="43"/>
      <c r="G243" s="4"/>
      <c r="H243" s="46"/>
      <c r="J243" s="44" t="str">
        <f t="shared" si="139"/>
        <v>d</v>
      </c>
      <c r="K243" t="s">
        <v>15</v>
      </c>
      <c r="L243" t="s">
        <v>179</v>
      </c>
      <c r="M243" t="s">
        <v>100</v>
      </c>
      <c r="N243" t="str">
        <f t="shared" si="142"/>
        <v/>
      </c>
      <c r="Q243" t="str">
        <f t="shared" si="140"/>
        <v/>
      </c>
      <c r="S243">
        <v>137</v>
      </c>
      <c r="U243" t="str">
        <f>IF(B243=1,MAX($U$2:$U242)+1,IF(AND($T243&lt;&gt;"",$T243=$T242),$U242,IF(B243="x",U242,"")))</f>
        <v/>
      </c>
      <c r="V243" t="str">
        <f>IF(C243=1,MAX($V$2:$V242)+1,IF(AND($T243&lt;&gt;"",$T243=$T242),$U242,IF(C243="x",V242,"")))</f>
        <v/>
      </c>
      <c r="W243" t="str">
        <f t="shared" si="114"/>
        <v>a</v>
      </c>
      <c r="X243">
        <v>39</v>
      </c>
      <c r="Y243" t="e">
        <f>IF(X243&lt;&gt;"",VLOOKUP(X243,game_rosters!$C$43:$E$64,3,FALSE))</f>
        <v>#N/A</v>
      </c>
      <c r="Z243" cm="1">
        <f t="array" ref="Z243">IFERROR(IF(_xlfn._xlws.FILTER(game_rosters!$J:$J,(game_rosters!$G:$G=events!$AN243)*(game_rosters!$J:$J=events!$X243))&gt;0,1,""),"")</f>
        <v>1</v>
      </c>
      <c r="AA243">
        <f t="shared" si="115"/>
        <v>1137</v>
      </c>
      <c r="AB243" t="str">
        <f t="shared" si="116"/>
        <v/>
      </c>
      <c r="AC243">
        <f t="shared" si="113"/>
        <v>1137</v>
      </c>
      <c r="AD243" s="6">
        <v>1</v>
      </c>
      <c r="AE243" t="s">
        <v>926</v>
      </c>
      <c r="AF243" t="s">
        <v>931</v>
      </c>
      <c r="AG243" t="s">
        <v>756</v>
      </c>
      <c r="AH243" t="s">
        <v>756</v>
      </c>
      <c r="AI243" t="s">
        <v>367</v>
      </c>
      <c r="AJ243" t="str">
        <f t="shared" si="143"/>
        <v>d</v>
      </c>
      <c r="AK243" t="str">
        <f t="shared" si="143"/>
        <v>d</v>
      </c>
      <c r="AL243" t="str">
        <f t="shared" si="118"/>
        <v>o</v>
      </c>
      <c r="AN243" t="s">
        <v>862</v>
      </c>
      <c r="AO243" t="str">
        <f t="shared" si="119"/>
        <v>a</v>
      </c>
      <c r="AP243" t="str">
        <f t="shared" si="126"/>
        <v>o</v>
      </c>
      <c r="AQ243" t="str">
        <f t="shared" si="127"/>
        <v/>
      </c>
      <c r="AR243" t="str">
        <f t="shared" si="128"/>
        <v>Away</v>
      </c>
      <c r="AS243" t="str">
        <f t="shared" si="129"/>
        <v>a</v>
      </c>
      <c r="AT243" t="str">
        <f t="shared" si="130"/>
        <v>Defensive</v>
      </c>
      <c r="BA243" s="6">
        <f t="shared" si="120"/>
        <v>62</v>
      </c>
      <c r="BB243">
        <f t="shared" si="121"/>
        <v>18981</v>
      </c>
      <c r="BC243" t="str">
        <f t="shared" si="122"/>
        <v>Nelson</v>
      </c>
      <c r="BD243" t="str">
        <f t="shared" si="123"/>
        <v>Velodrome</v>
      </c>
      <c r="BE243" t="s">
        <v>15</v>
      </c>
      <c r="BF243" t="s">
        <v>179</v>
      </c>
      <c r="BG243" t="s">
        <v>100</v>
      </c>
      <c r="BI243" cm="1">
        <f t="array" ref="BI243">IFERROR(_xlfn._xlws.FILTER(shifts!A:A,(shifts!B:B=events!AD243)*(shifts!AG:AG&gt;=events!BK243)*(shifts!AH:AH&lt;=events!BL243)),BI242)</f>
        <v>12</v>
      </c>
      <c r="BJ243" s="15">
        <f t="shared" si="124"/>
        <v>0</v>
      </c>
      <c r="BK243">
        <f t="shared" si="131"/>
        <v>784</v>
      </c>
      <c r="BL243">
        <f t="shared" si="132"/>
        <v>784</v>
      </c>
      <c r="BM243" s="15">
        <f>SUMIFS(BJ$2:BJ243,K$2:K243,"=Intermission")+SUMIFS(BJ$2:BJ243,K$2:K243,"=Timeout")</f>
        <v>0</v>
      </c>
      <c r="BN243">
        <f t="shared" si="133"/>
        <v>0</v>
      </c>
      <c r="BO243" s="19">
        <f t="shared" si="134"/>
        <v>296</v>
      </c>
      <c r="BP243">
        <f t="shared" si="135"/>
        <v>291</v>
      </c>
      <c r="BQ243" s="17">
        <f t="shared" si="136"/>
        <v>296</v>
      </c>
      <c r="BR243" t="str">
        <f t="shared" si="137"/>
        <v>event_team_player_1</v>
      </c>
      <c r="BS243">
        <f>COUNTIFS(S$3:S243,"="&amp;S243,AI$3:AI243,"="&amp;AI243)</f>
        <v>1</v>
      </c>
      <c r="BT243" t="str">
        <f>IFERROR(VLOOKUP(BB243&amp;BU243&amp;X243,game_rosters!U:W,3,FALSE),"")</f>
        <v>P100016</v>
      </c>
      <c r="BU243" t="str">
        <f t="shared" si="138"/>
        <v>Velodrome</v>
      </c>
    </row>
    <row r="244" spans="1:73" x14ac:dyDescent="0.2">
      <c r="A244">
        <f t="shared" si="125"/>
        <v>1</v>
      </c>
      <c r="E244" s="4"/>
      <c r="F244" s="43"/>
      <c r="G244" s="4"/>
      <c r="H244" s="46"/>
      <c r="J244" s="44" t="str">
        <f t="shared" si="139"/>
        <v>d</v>
      </c>
      <c r="K244" t="s">
        <v>15</v>
      </c>
      <c r="L244" t="s">
        <v>179</v>
      </c>
      <c r="M244" t="s">
        <v>100</v>
      </c>
      <c r="N244" t="str">
        <f t="shared" si="142"/>
        <v/>
      </c>
      <c r="Q244" t="str">
        <f t="shared" si="140"/>
        <v/>
      </c>
      <c r="S244">
        <v>137</v>
      </c>
      <c r="U244" t="str">
        <f>IF(B244=1,MAX($U$2:$U243)+1,IF(AND($T244&lt;&gt;"",$T244=$T243),$U243,IF(B244="x",U243,"")))</f>
        <v/>
      </c>
      <c r="V244" t="str">
        <f>IF(C244=1,MAX($V$2:$V243)+1,IF(AND($T244&lt;&gt;"",$T244=$T243),$U243,IF(C244="x",V243,"")))</f>
        <v/>
      </c>
      <c r="W244" t="str">
        <f t="shared" si="114"/>
        <v>a</v>
      </c>
      <c r="X244">
        <v>70</v>
      </c>
      <c r="Y244" t="e">
        <f>IF(X244&lt;&gt;"",VLOOKUP(X244,game_rosters!$C$43:$E$64,3,FALSE))</f>
        <v>#N/A</v>
      </c>
      <c r="Z244" cm="1">
        <f t="array" ref="Z244">IFERROR(IF(_xlfn._xlws.FILTER(game_rosters!$J:$J,(game_rosters!$G:$G=events!$AN244)*(game_rosters!$J:$J=events!$X244))&gt;0,1,""),"")</f>
        <v>1</v>
      </c>
      <c r="AA244">
        <f t="shared" si="115"/>
        <v>1137</v>
      </c>
      <c r="AB244" t="str">
        <f t="shared" si="116"/>
        <v/>
      </c>
      <c r="AC244">
        <f t="shared" si="113"/>
        <v>1137</v>
      </c>
      <c r="AD244" s="6">
        <v>1</v>
      </c>
      <c r="AE244" t="s">
        <v>926</v>
      </c>
      <c r="AF244" t="s">
        <v>931</v>
      </c>
      <c r="AG244" t="s">
        <v>756</v>
      </c>
      <c r="AH244" t="s">
        <v>756</v>
      </c>
      <c r="AI244" t="s">
        <v>367</v>
      </c>
      <c r="AJ244" t="str">
        <f t="shared" ref="AJ244:AK259" si="144">IF($J244&lt;&gt;"",$J244,IF($AC244=$AC243,AJ243,""))</f>
        <v>d</v>
      </c>
      <c r="AK244" t="str">
        <f t="shared" si="144"/>
        <v>d</v>
      </c>
      <c r="AL244" t="str">
        <f t="shared" si="118"/>
        <v>o</v>
      </c>
      <c r="AN244" t="s">
        <v>862</v>
      </c>
      <c r="AO244" t="str">
        <f t="shared" si="119"/>
        <v>a</v>
      </c>
      <c r="AP244" t="str">
        <f t="shared" si="126"/>
        <v>o</v>
      </c>
      <c r="AQ244" t="str">
        <f t="shared" si="127"/>
        <v/>
      </c>
      <c r="AR244" t="str">
        <f t="shared" si="128"/>
        <v>Away</v>
      </c>
      <c r="AS244" t="str">
        <f t="shared" si="129"/>
        <v>a</v>
      </c>
      <c r="AT244" t="str">
        <f t="shared" si="130"/>
        <v>Defensive</v>
      </c>
      <c r="BA244" s="6">
        <f t="shared" si="120"/>
        <v>62</v>
      </c>
      <c r="BB244">
        <f t="shared" si="121"/>
        <v>18981</v>
      </c>
      <c r="BC244" t="str">
        <f t="shared" si="122"/>
        <v>Nelson</v>
      </c>
      <c r="BD244" t="str">
        <f t="shared" si="123"/>
        <v>Velodrome</v>
      </c>
      <c r="BE244" t="s">
        <v>15</v>
      </c>
      <c r="BF244" t="s">
        <v>179</v>
      </c>
      <c r="BG244" t="s">
        <v>100</v>
      </c>
      <c r="BI244" cm="1">
        <f t="array" ref="BI244">IFERROR(_xlfn._xlws.FILTER(shifts!A:A,(shifts!B:B=events!AD244)*(shifts!AG:AG&gt;=events!BK244)*(shifts!AH:AH&lt;=events!BL244)),BI243)</f>
        <v>12</v>
      </c>
      <c r="BJ244" s="15">
        <f t="shared" si="124"/>
        <v>0</v>
      </c>
      <c r="BK244">
        <f t="shared" si="131"/>
        <v>784</v>
      </c>
      <c r="BL244">
        <f t="shared" si="132"/>
        <v>784</v>
      </c>
      <c r="BM244" s="15">
        <f>SUMIFS(BJ$2:BJ244,K$2:K244,"=Intermission")+SUMIFS(BJ$2:BJ244,K$2:K244,"=Timeout")</f>
        <v>0</v>
      </c>
      <c r="BN244">
        <f t="shared" si="133"/>
        <v>0</v>
      </c>
      <c r="BO244" s="19">
        <f t="shared" si="134"/>
        <v>296</v>
      </c>
      <c r="BP244">
        <f t="shared" si="135"/>
        <v>291</v>
      </c>
      <c r="BQ244" s="17">
        <f t="shared" si="136"/>
        <v>296</v>
      </c>
      <c r="BR244" t="str">
        <f t="shared" si="137"/>
        <v>event_team_player_2</v>
      </c>
      <c r="BS244">
        <f>COUNTIFS(S$3:S244,"="&amp;S244,AI$3:AI244,"="&amp;AI244)</f>
        <v>2</v>
      </c>
      <c r="BT244" t="str">
        <f>IFERROR(VLOOKUP(BB244&amp;BU244&amp;X244,game_rosters!U:W,3,FALSE),"")</f>
        <v>P100001</v>
      </c>
      <c r="BU244" t="str">
        <f t="shared" si="138"/>
        <v>Velodrome</v>
      </c>
    </row>
    <row r="245" spans="1:73" x14ac:dyDescent="0.2">
      <c r="A245">
        <f t="shared" si="125"/>
        <v>1</v>
      </c>
      <c r="E245" s="4"/>
      <c r="F245" s="43"/>
      <c r="G245" s="4"/>
      <c r="H245" s="46"/>
      <c r="J245" s="44" t="str">
        <f t="shared" si="139"/>
        <v>d</v>
      </c>
      <c r="K245" t="s">
        <v>15</v>
      </c>
      <c r="L245" t="s">
        <v>179</v>
      </c>
      <c r="M245" t="s">
        <v>100</v>
      </c>
      <c r="N245" t="str">
        <f t="shared" si="142"/>
        <v/>
      </c>
      <c r="Q245" t="str">
        <f t="shared" si="140"/>
        <v/>
      </c>
      <c r="S245">
        <v>137</v>
      </c>
      <c r="U245" t="str">
        <f>IF(B245=1,MAX($U$2:$U244)+1,IF(AND($T245&lt;&gt;"",$T245=$T244),$U244,IF(B245="x",U244,"")))</f>
        <v/>
      </c>
      <c r="V245" t="str">
        <f>IF(C245=1,MAX($V$2:$V244)+1,IF(AND($T245&lt;&gt;"",$T245=$T244),$U244,IF(C245="x",V244,"")))</f>
        <v/>
      </c>
      <c r="W245" t="str">
        <f t="shared" si="114"/>
        <v>a</v>
      </c>
      <c r="X245">
        <v>80</v>
      </c>
      <c r="Y245" t="b">
        <f>IF(X245&lt;&gt;"",VLOOKUP(X245,game_rosters!$C$43:$E$64,3,FALSE))</f>
        <v>0</v>
      </c>
      <c r="Z245" t="str" cm="1">
        <f t="array" ref="Z245">IFERROR(IF(_xlfn._xlws.FILTER(game_rosters!$J:$J,(game_rosters!$G:$G=events!$AN245)*(game_rosters!$J:$J=events!$X245))&gt;0,1,""),"")</f>
        <v/>
      </c>
      <c r="AA245">
        <f t="shared" si="115"/>
        <v>1137</v>
      </c>
      <c r="AB245" t="str">
        <f t="shared" si="116"/>
        <v/>
      </c>
      <c r="AC245">
        <f t="shared" si="113"/>
        <v>1137</v>
      </c>
      <c r="AD245" s="6">
        <v>1</v>
      </c>
      <c r="AE245" t="s">
        <v>926</v>
      </c>
      <c r="AF245" t="s">
        <v>931</v>
      </c>
      <c r="AG245" t="s">
        <v>756</v>
      </c>
      <c r="AH245" t="s">
        <v>756</v>
      </c>
      <c r="AI245" t="s">
        <v>368</v>
      </c>
      <c r="AJ245" t="str">
        <f t="shared" si="144"/>
        <v>d</v>
      </c>
      <c r="AK245" t="str">
        <f t="shared" si="144"/>
        <v>d</v>
      </c>
      <c r="AL245" t="str">
        <f t="shared" si="118"/>
        <v>o</v>
      </c>
      <c r="AN245" t="s">
        <v>862</v>
      </c>
      <c r="AO245" t="str">
        <f t="shared" si="119"/>
        <v>a</v>
      </c>
      <c r="AP245" t="str">
        <f t="shared" si="126"/>
        <v>o</v>
      </c>
      <c r="AQ245" t="str">
        <f t="shared" si="127"/>
        <v/>
      </c>
      <c r="AR245" t="str">
        <f t="shared" si="128"/>
        <v>Away</v>
      </c>
      <c r="AS245" t="str">
        <f t="shared" si="129"/>
        <v>a</v>
      </c>
      <c r="AT245" t="str">
        <f t="shared" si="130"/>
        <v>Offensive</v>
      </c>
      <c r="BA245" s="6">
        <f t="shared" si="120"/>
        <v>62</v>
      </c>
      <c r="BB245">
        <f t="shared" si="121"/>
        <v>18981</v>
      </c>
      <c r="BC245" t="str">
        <f t="shared" si="122"/>
        <v>Nelson</v>
      </c>
      <c r="BD245" t="str">
        <f t="shared" si="123"/>
        <v>Velodrome</v>
      </c>
      <c r="BE245" t="s">
        <v>15</v>
      </c>
      <c r="BF245" t="s">
        <v>179</v>
      </c>
      <c r="BG245" t="s">
        <v>100</v>
      </c>
      <c r="BI245" cm="1">
        <f t="array" ref="BI245">IFERROR(_xlfn._xlws.FILTER(shifts!A:A,(shifts!B:B=events!AD245)*(shifts!AG:AG&gt;=events!BK245)*(shifts!AH:AH&lt;=events!BL245)),BI244)</f>
        <v>12</v>
      </c>
      <c r="BJ245" s="15">
        <f t="shared" si="124"/>
        <v>0</v>
      </c>
      <c r="BK245">
        <f t="shared" si="131"/>
        <v>784</v>
      </c>
      <c r="BL245">
        <f t="shared" si="132"/>
        <v>784</v>
      </c>
      <c r="BM245" s="15">
        <f>SUMIFS(BJ$2:BJ245,K$2:K245,"=Intermission")+SUMIFS(BJ$2:BJ245,K$2:K245,"=Timeout")</f>
        <v>0</v>
      </c>
      <c r="BN245">
        <f t="shared" si="133"/>
        <v>0</v>
      </c>
      <c r="BO245" s="19">
        <f t="shared" si="134"/>
        <v>296</v>
      </c>
      <c r="BP245">
        <f t="shared" si="135"/>
        <v>291</v>
      </c>
      <c r="BQ245" s="17">
        <f t="shared" si="136"/>
        <v>296</v>
      </c>
      <c r="BR245" t="str">
        <f t="shared" si="137"/>
        <v>opp_team_player_1</v>
      </c>
      <c r="BS245">
        <f>COUNTIFS(S$3:S245,"="&amp;S245,AI$3:AI245,"="&amp;AI245)</f>
        <v>1</v>
      </c>
      <c r="BT245" t="str">
        <f>IFERROR(VLOOKUP(BB245&amp;BU245&amp;X245,game_rosters!U:W,3,FALSE),"")</f>
        <v>P100197</v>
      </c>
      <c r="BU245" t="str">
        <f t="shared" si="138"/>
        <v>Nelson</v>
      </c>
    </row>
    <row r="246" spans="1:73" x14ac:dyDescent="0.2">
      <c r="A246">
        <f t="shared" si="125"/>
        <v>1</v>
      </c>
      <c r="E246" s="4"/>
      <c r="F246" s="43"/>
      <c r="G246" s="4"/>
      <c r="H246" s="46"/>
      <c r="J246" s="44" t="str">
        <f t="shared" si="139"/>
        <v>d</v>
      </c>
      <c r="K246" t="s">
        <v>231</v>
      </c>
      <c r="L246" t="s">
        <v>232</v>
      </c>
      <c r="M246" t="s">
        <v>756</v>
      </c>
      <c r="N246" t="str">
        <f t="shared" si="142"/>
        <v/>
      </c>
      <c r="Q246" t="str">
        <f t="shared" si="140"/>
        <v/>
      </c>
      <c r="S246">
        <v>138</v>
      </c>
      <c r="U246" t="str">
        <f>IF(B246=1,MAX($U$2:$U245)+1,IF(AND($T246&lt;&gt;"",$T246=$T245),$U245,IF(B246="x",U245,"")))</f>
        <v/>
      </c>
      <c r="V246" t="str">
        <f>IF(C246=1,MAX($V$2:$V245)+1,IF(AND($T246&lt;&gt;"",$T246=$T245),$U245,IF(C246="x",V245,"")))</f>
        <v/>
      </c>
      <c r="W246" t="str">
        <f t="shared" si="114"/>
        <v>a</v>
      </c>
      <c r="X246">
        <v>39</v>
      </c>
      <c r="Y246" t="e">
        <f>IF(X246&lt;&gt;"",VLOOKUP(X246,game_rosters!$C$43:$E$64,3,FALSE))</f>
        <v>#N/A</v>
      </c>
      <c r="Z246" cm="1">
        <f t="array" ref="Z246">IFERROR(IF(_xlfn._xlws.FILTER(game_rosters!$J:$J,(game_rosters!$G:$G=events!$AN246)*(game_rosters!$J:$J=events!$X246))&gt;0,1,""),"")</f>
        <v>1</v>
      </c>
      <c r="AA246">
        <f t="shared" si="115"/>
        <v>1138</v>
      </c>
      <c r="AB246" t="str">
        <f t="shared" si="116"/>
        <v/>
      </c>
      <c r="AC246">
        <f t="shared" si="113"/>
        <v>1138</v>
      </c>
      <c r="AD246" s="6">
        <v>1</v>
      </c>
      <c r="AE246" t="s">
        <v>926</v>
      </c>
      <c r="AF246" t="s">
        <v>931</v>
      </c>
      <c r="AG246" t="s">
        <v>756</v>
      </c>
      <c r="AH246" t="s">
        <v>756</v>
      </c>
      <c r="AI246" t="s">
        <v>367</v>
      </c>
      <c r="AJ246" t="str">
        <f t="shared" si="144"/>
        <v>d</v>
      </c>
      <c r="AK246" t="str">
        <f t="shared" si="144"/>
        <v>d</v>
      </c>
      <c r="AL246" t="str">
        <f t="shared" si="118"/>
        <v>o</v>
      </c>
      <c r="AN246" t="s">
        <v>862</v>
      </c>
      <c r="AO246" t="str">
        <f t="shared" si="119"/>
        <v>a</v>
      </c>
      <c r="AP246" t="str">
        <f t="shared" si="126"/>
        <v>o</v>
      </c>
      <c r="AQ246" t="str">
        <f t="shared" si="127"/>
        <v/>
      </c>
      <c r="AR246" t="str">
        <f t="shared" si="128"/>
        <v>Away</v>
      </c>
      <c r="AS246" t="str">
        <f t="shared" si="129"/>
        <v>a</v>
      </c>
      <c r="AT246" t="str">
        <f t="shared" si="130"/>
        <v>Offensive</v>
      </c>
      <c r="BA246" s="6">
        <f t="shared" si="120"/>
        <v>62</v>
      </c>
      <c r="BB246">
        <f t="shared" si="121"/>
        <v>18981</v>
      </c>
      <c r="BC246" t="str">
        <f t="shared" si="122"/>
        <v>Nelson</v>
      </c>
      <c r="BD246" t="str">
        <f t="shared" si="123"/>
        <v>Velodrome</v>
      </c>
      <c r="BE246" t="s">
        <v>231</v>
      </c>
      <c r="BF246" t="s">
        <v>232</v>
      </c>
      <c r="BG246" t="s">
        <v>756</v>
      </c>
      <c r="BI246" cm="1">
        <f t="array" ref="BI246">IFERROR(_xlfn._xlws.FILTER(shifts!A:A,(shifts!B:B=events!AD246)*(shifts!AG:AG&gt;=events!BK246)*(shifts!AH:AH&lt;=events!BL246)),BI245)</f>
        <v>12</v>
      </c>
      <c r="BJ246" s="15">
        <f t="shared" si="124"/>
        <v>0</v>
      </c>
      <c r="BK246">
        <f t="shared" si="131"/>
        <v>784</v>
      </c>
      <c r="BL246">
        <f t="shared" si="132"/>
        <v>784</v>
      </c>
      <c r="BM246" s="15">
        <f>SUMIFS(BJ$2:BJ246,K$2:K246,"=Intermission")+SUMIFS(BJ$2:BJ246,K$2:K246,"=Timeout")</f>
        <v>0</v>
      </c>
      <c r="BN246">
        <f t="shared" si="133"/>
        <v>0</v>
      </c>
      <c r="BO246" s="19">
        <f t="shared" si="134"/>
        <v>296</v>
      </c>
      <c r="BP246">
        <f t="shared" si="135"/>
        <v>291</v>
      </c>
      <c r="BQ246" s="17">
        <f t="shared" si="136"/>
        <v>296</v>
      </c>
      <c r="BR246" t="str">
        <f t="shared" si="137"/>
        <v>event_team_player_1</v>
      </c>
      <c r="BS246">
        <f>COUNTIFS(S$3:S246,"="&amp;S246,AI$3:AI246,"="&amp;AI246)</f>
        <v>1</v>
      </c>
      <c r="BT246" t="str">
        <f>IFERROR(VLOOKUP(BB246&amp;BU246&amp;X246,game_rosters!U:W,3,FALSE),"")</f>
        <v>P100016</v>
      </c>
      <c r="BU246" t="str">
        <f t="shared" si="138"/>
        <v>Velodrome</v>
      </c>
    </row>
    <row r="247" spans="1:73" x14ac:dyDescent="0.2">
      <c r="A247">
        <f t="shared" si="125"/>
        <v>1</v>
      </c>
      <c r="E247" s="4"/>
      <c r="F247" s="43"/>
      <c r="G247" s="4"/>
      <c r="H247" s="46"/>
      <c r="J247" s="44" t="str">
        <f t="shared" si="139"/>
        <v/>
      </c>
      <c r="K247" t="s">
        <v>13</v>
      </c>
      <c r="L247" t="s">
        <v>756</v>
      </c>
      <c r="M247" t="s">
        <v>756</v>
      </c>
      <c r="N247" t="str">
        <f t="shared" si="142"/>
        <v/>
      </c>
      <c r="Q247" t="str">
        <f t="shared" si="140"/>
        <v/>
      </c>
      <c r="S247">
        <v>139</v>
      </c>
      <c r="U247" t="str">
        <f>IF(B247=1,MAX($U$2:$U246)+1,IF(AND($T247&lt;&gt;"",$T247=$T246),$U246,IF(B247="x",U246,"")))</f>
        <v/>
      </c>
      <c r="V247" t="str">
        <f>IF(C247=1,MAX($V$2:$V246)+1,IF(AND($T247&lt;&gt;"",$T247=$T246),$U246,IF(C247="x",V246,"")))</f>
        <v/>
      </c>
      <c r="W247" t="str">
        <f t="shared" si="114"/>
        <v>a</v>
      </c>
      <c r="X247">
        <v>70</v>
      </c>
      <c r="Y247" t="e">
        <f>IF(X247&lt;&gt;"",VLOOKUP(X247,game_rosters!$C$43:$E$64,3,FALSE))</f>
        <v>#N/A</v>
      </c>
      <c r="Z247" cm="1">
        <f t="array" ref="Z247">IFERROR(IF(_xlfn._xlws.FILTER(game_rosters!$J:$J,(game_rosters!$G:$G=events!$AN247)*(game_rosters!$J:$J=events!$X247))&gt;0,1,""),"")</f>
        <v>1</v>
      </c>
      <c r="AA247">
        <f t="shared" si="115"/>
        <v>1139</v>
      </c>
      <c r="AB247" t="str">
        <f t="shared" si="116"/>
        <v/>
      </c>
      <c r="AC247">
        <f t="shared" si="113"/>
        <v>1139</v>
      </c>
      <c r="AD247" s="6">
        <v>1</v>
      </c>
      <c r="AE247" t="s">
        <v>926</v>
      </c>
      <c r="AF247" t="s">
        <v>748</v>
      </c>
      <c r="AG247" t="s">
        <v>746</v>
      </c>
      <c r="AH247" t="s">
        <v>896</v>
      </c>
      <c r="AI247" t="s">
        <v>367</v>
      </c>
      <c r="AJ247" t="str">
        <f t="shared" si="144"/>
        <v/>
      </c>
      <c r="AK247" t="str">
        <f t="shared" si="144"/>
        <v/>
      </c>
      <c r="AL247" t="str">
        <f t="shared" si="118"/>
        <v/>
      </c>
      <c r="AN247" t="s">
        <v>862</v>
      </c>
      <c r="AO247" t="str">
        <f t="shared" si="119"/>
        <v>a</v>
      </c>
      <c r="AP247" t="str">
        <f t="shared" si="126"/>
        <v/>
      </c>
      <c r="AQ247" t="str">
        <f t="shared" si="127"/>
        <v/>
      </c>
      <c r="AR247" t="str">
        <f t="shared" si="128"/>
        <v>Away</v>
      </c>
      <c r="AS247" t="str">
        <f t="shared" si="129"/>
        <v>a</v>
      </c>
      <c r="AT247" t="str">
        <f t="shared" si="130"/>
        <v>Offensive</v>
      </c>
      <c r="BA247" s="6">
        <f t="shared" si="120"/>
        <v>62</v>
      </c>
      <c r="BB247">
        <f t="shared" si="121"/>
        <v>18981</v>
      </c>
      <c r="BC247" t="str">
        <f t="shared" si="122"/>
        <v>Nelson</v>
      </c>
      <c r="BD247" t="str">
        <f t="shared" si="123"/>
        <v>Velodrome</v>
      </c>
      <c r="BE247" t="s">
        <v>13</v>
      </c>
      <c r="BF247" t="s">
        <v>756</v>
      </c>
      <c r="BG247" t="s">
        <v>756</v>
      </c>
      <c r="BI247" cm="1">
        <f t="array" ref="BI247">IFERROR(_xlfn._xlws.FILTER(shifts!A:A,(shifts!B:B=events!AD247)*(shifts!AG:AG&gt;=events!BK247)*(shifts!AH:AH&lt;=events!BL247)),BI246)</f>
        <v>12</v>
      </c>
      <c r="BJ247" s="15">
        <f t="shared" si="124"/>
        <v>2</v>
      </c>
      <c r="BK247">
        <f t="shared" si="131"/>
        <v>781</v>
      </c>
      <c r="BL247">
        <f t="shared" si="132"/>
        <v>779</v>
      </c>
      <c r="BM247" s="15">
        <f>SUMIFS(BJ$2:BJ247,K$2:K247,"=Intermission")+SUMIFS(BJ$2:BJ247,K$2:K247,"=Timeout")</f>
        <v>0</v>
      </c>
      <c r="BN247">
        <f t="shared" si="133"/>
        <v>0</v>
      </c>
      <c r="BO247" s="19">
        <f t="shared" si="134"/>
        <v>299</v>
      </c>
      <c r="BP247">
        <f t="shared" si="135"/>
        <v>294</v>
      </c>
      <c r="BQ247" s="17">
        <f t="shared" si="136"/>
        <v>301</v>
      </c>
      <c r="BR247" t="str">
        <f t="shared" si="137"/>
        <v>event_team_player_1</v>
      </c>
      <c r="BS247">
        <f>COUNTIFS(S$3:S247,"="&amp;S247,AI$3:AI247,"="&amp;AI247)</f>
        <v>1</v>
      </c>
      <c r="BT247" t="str">
        <f>IFERROR(VLOOKUP(BB247&amp;BU247&amp;X247,game_rosters!U:W,3,FALSE),"")</f>
        <v>P100001</v>
      </c>
      <c r="BU247" t="str">
        <f t="shared" si="138"/>
        <v>Velodrome</v>
      </c>
    </row>
    <row r="248" spans="1:73" x14ac:dyDescent="0.2">
      <c r="A248">
        <f t="shared" si="125"/>
        <v>1</v>
      </c>
      <c r="E248" s="4"/>
      <c r="F248" s="43"/>
      <c r="G248" s="4"/>
      <c r="H248" s="46"/>
      <c r="J248" s="44" t="str">
        <f t="shared" si="139"/>
        <v/>
      </c>
      <c r="K248" t="s">
        <v>13</v>
      </c>
      <c r="L248" t="s">
        <v>756</v>
      </c>
      <c r="M248" t="s">
        <v>756</v>
      </c>
      <c r="N248" t="str">
        <f t="shared" si="142"/>
        <v/>
      </c>
      <c r="Q248" t="str">
        <f t="shared" si="140"/>
        <v/>
      </c>
      <c r="S248">
        <v>139</v>
      </c>
      <c r="U248" t="str">
        <f>IF(B248=1,MAX($U$2:$U247)+1,IF(AND($T248&lt;&gt;"",$T248=$T247),$U247,IF(B248="x",U247,"")))</f>
        <v/>
      </c>
      <c r="V248" t="str">
        <f>IF(C248=1,MAX($V$2:$V247)+1,IF(AND($T248&lt;&gt;"",$T248=$T247),$U247,IF(C248="x",V247,"")))</f>
        <v/>
      </c>
      <c r="W248" t="str">
        <f t="shared" si="114"/>
        <v>a</v>
      </c>
      <c r="X248">
        <v>79</v>
      </c>
      <c r="Y248" t="b">
        <f>IF(X248&lt;&gt;"",VLOOKUP(X248,game_rosters!$C$43:$E$64,3,FALSE))</f>
        <v>0</v>
      </c>
      <c r="Z248" t="str" cm="1">
        <f t="array" ref="Z248">IFERROR(IF(_xlfn._xlws.FILTER(game_rosters!$J:$J,(game_rosters!$G:$G=events!$AN248)*(game_rosters!$J:$J=events!$X248))&gt;0,1,""),"")</f>
        <v/>
      </c>
      <c r="AA248">
        <f t="shared" si="115"/>
        <v>1139</v>
      </c>
      <c r="AB248" t="str">
        <f t="shared" si="116"/>
        <v/>
      </c>
      <c r="AC248">
        <f t="shared" si="113"/>
        <v>1139</v>
      </c>
      <c r="AD248" s="6">
        <v>1</v>
      </c>
      <c r="AE248" t="s">
        <v>926</v>
      </c>
      <c r="AF248" t="s">
        <v>748</v>
      </c>
      <c r="AG248" t="s">
        <v>746</v>
      </c>
      <c r="AH248" t="s">
        <v>896</v>
      </c>
      <c r="AI248" t="s">
        <v>368</v>
      </c>
      <c r="AJ248" t="str">
        <f t="shared" si="144"/>
        <v/>
      </c>
      <c r="AK248" t="str">
        <f t="shared" si="144"/>
        <v/>
      </c>
      <c r="AL248" t="str">
        <f t="shared" si="118"/>
        <v/>
      </c>
      <c r="AN248" t="s">
        <v>862</v>
      </c>
      <c r="AO248" t="str">
        <f t="shared" si="119"/>
        <v>a</v>
      </c>
      <c r="AP248" t="str">
        <f t="shared" si="126"/>
        <v/>
      </c>
      <c r="AQ248" t="str">
        <f t="shared" si="127"/>
        <v/>
      </c>
      <c r="AR248" t="str">
        <f t="shared" si="128"/>
        <v>Away</v>
      </c>
      <c r="AS248" t="str">
        <f t="shared" si="129"/>
        <v>a</v>
      </c>
      <c r="AT248" t="str">
        <f t="shared" si="130"/>
        <v>Defensive</v>
      </c>
      <c r="BA248" s="6">
        <f t="shared" si="120"/>
        <v>62</v>
      </c>
      <c r="BB248">
        <f t="shared" si="121"/>
        <v>18981</v>
      </c>
      <c r="BC248" t="str">
        <f t="shared" si="122"/>
        <v>Nelson</v>
      </c>
      <c r="BD248" t="str">
        <f t="shared" si="123"/>
        <v>Velodrome</v>
      </c>
      <c r="BE248" t="s">
        <v>13</v>
      </c>
      <c r="BF248" t="s">
        <v>756</v>
      </c>
      <c r="BG248" t="s">
        <v>756</v>
      </c>
      <c r="BI248" cm="1">
        <f t="array" ref="BI248">IFERROR(_xlfn._xlws.FILTER(shifts!A:A,(shifts!B:B=events!AD248)*(shifts!AG:AG&gt;=events!BK248)*(shifts!AH:AH&lt;=events!BL248)),BI247)</f>
        <v>12</v>
      </c>
      <c r="BJ248" s="15">
        <f t="shared" si="124"/>
        <v>2</v>
      </c>
      <c r="BK248">
        <f t="shared" si="131"/>
        <v>781</v>
      </c>
      <c r="BL248">
        <f t="shared" si="132"/>
        <v>779</v>
      </c>
      <c r="BM248" s="15">
        <f>SUMIFS(BJ$2:BJ248,K$2:K248,"=Intermission")+SUMIFS(BJ$2:BJ248,K$2:K248,"=Timeout")</f>
        <v>0</v>
      </c>
      <c r="BN248">
        <f t="shared" si="133"/>
        <v>0</v>
      </c>
      <c r="BO248" s="19">
        <f t="shared" si="134"/>
        <v>299</v>
      </c>
      <c r="BP248">
        <f t="shared" si="135"/>
        <v>294</v>
      </c>
      <c r="BQ248" s="17">
        <f t="shared" si="136"/>
        <v>301</v>
      </c>
      <c r="BR248" t="str">
        <f t="shared" si="137"/>
        <v>opp_team_player_1</v>
      </c>
      <c r="BS248">
        <f>COUNTIFS(S$3:S248,"="&amp;S248,AI$3:AI248,"="&amp;AI248)</f>
        <v>1</v>
      </c>
      <c r="BT248" t="str">
        <f>IFERROR(VLOOKUP(BB248&amp;BU248&amp;X248,game_rosters!U:W,3,FALSE),"")</f>
        <v>P100066</v>
      </c>
      <c r="BU248" t="str">
        <f t="shared" si="138"/>
        <v>Nelson</v>
      </c>
    </row>
    <row r="249" spans="1:73" x14ac:dyDescent="0.2">
      <c r="A249">
        <f t="shared" si="125"/>
        <v>1</v>
      </c>
      <c r="E249" s="4"/>
      <c r="F249" s="43"/>
      <c r="G249" s="4"/>
      <c r="H249" s="46"/>
      <c r="J249" s="44" t="str">
        <f t="shared" si="139"/>
        <v/>
      </c>
      <c r="K249" t="s">
        <v>7</v>
      </c>
      <c r="L249" t="s">
        <v>172</v>
      </c>
      <c r="M249" t="s">
        <v>385</v>
      </c>
      <c r="N249" t="str">
        <f t="shared" si="142"/>
        <v>s</v>
      </c>
      <c r="Q249" t="str">
        <f t="shared" si="140"/>
        <v/>
      </c>
      <c r="S249">
        <v>140</v>
      </c>
      <c r="U249" t="str">
        <f>IF(B249=1,MAX($U$2:$U248)+1,IF(AND($T249&lt;&gt;"",$T249=$T248),$U248,IF(B249="x",U248,"")))</f>
        <v/>
      </c>
      <c r="V249" t="str">
        <f>IF(C249=1,MAX($V$2:$V248)+1,IF(AND($T249&lt;&gt;"",$T249=$T248),$U248,IF(C249="x",V248,"")))</f>
        <v/>
      </c>
      <c r="W249" t="str">
        <f t="shared" si="114"/>
        <v>a</v>
      </c>
      <c r="X249">
        <v>70</v>
      </c>
      <c r="Y249" t="e">
        <f>IF(X249&lt;&gt;"",VLOOKUP(X249,game_rosters!$C$43:$E$64,3,FALSE))</f>
        <v>#N/A</v>
      </c>
      <c r="Z249" cm="1">
        <f t="array" ref="Z249">IFERROR(IF(_xlfn._xlws.FILTER(game_rosters!$J:$J,(game_rosters!$G:$G=events!$AN249)*(game_rosters!$J:$J=events!$X249))&gt;0,1,""),"")</f>
        <v>1</v>
      </c>
      <c r="AA249">
        <f t="shared" si="115"/>
        <v>1140</v>
      </c>
      <c r="AB249" t="str">
        <f t="shared" si="116"/>
        <v/>
      </c>
      <c r="AC249">
        <f t="shared" si="113"/>
        <v>1140</v>
      </c>
      <c r="AD249" s="6">
        <v>1</v>
      </c>
      <c r="AE249" t="s">
        <v>746</v>
      </c>
      <c r="AF249" t="s">
        <v>896</v>
      </c>
      <c r="AG249" t="s">
        <v>756</v>
      </c>
      <c r="AH249" t="s">
        <v>756</v>
      </c>
      <c r="AI249" t="s">
        <v>367</v>
      </c>
      <c r="AJ249" t="str">
        <f t="shared" si="144"/>
        <v/>
      </c>
      <c r="AK249" t="str">
        <f t="shared" si="144"/>
        <v/>
      </c>
      <c r="AL249" t="str">
        <f t="shared" si="118"/>
        <v/>
      </c>
      <c r="AN249" t="s">
        <v>862</v>
      </c>
      <c r="AO249" t="str">
        <f t="shared" si="119"/>
        <v>a</v>
      </c>
      <c r="AP249" t="str">
        <f t="shared" si="126"/>
        <v/>
      </c>
      <c r="AQ249" t="str">
        <f t="shared" si="127"/>
        <v/>
      </c>
      <c r="AR249" t="str">
        <f t="shared" si="128"/>
        <v>Away</v>
      </c>
      <c r="AS249" t="str">
        <f t="shared" si="129"/>
        <v>a</v>
      </c>
      <c r="AT249" t="str">
        <f t="shared" si="130"/>
        <v>Offensive</v>
      </c>
      <c r="BA249" s="6">
        <f t="shared" si="120"/>
        <v>62</v>
      </c>
      <c r="BB249">
        <f t="shared" si="121"/>
        <v>18981</v>
      </c>
      <c r="BC249" t="str">
        <f t="shared" si="122"/>
        <v>Nelson</v>
      </c>
      <c r="BD249" t="str">
        <f t="shared" si="123"/>
        <v>Velodrome</v>
      </c>
      <c r="BE249" t="s">
        <v>7</v>
      </c>
      <c r="BF249" t="s">
        <v>172</v>
      </c>
      <c r="BG249" t="s">
        <v>385</v>
      </c>
      <c r="BI249" cm="1">
        <f t="array" ref="BI249">IFERROR(_xlfn._xlws.FILTER(shifts!A:A,(shifts!B:B=events!AD249)*(shifts!AG:AG&gt;=events!BK249)*(shifts!AH:AH&lt;=events!BL249)),BI248)</f>
        <v>12</v>
      </c>
      <c r="BJ249" s="15">
        <f t="shared" si="124"/>
        <v>0</v>
      </c>
      <c r="BK249">
        <f t="shared" si="131"/>
        <v>779</v>
      </c>
      <c r="BL249">
        <f t="shared" si="132"/>
        <v>779</v>
      </c>
      <c r="BM249" s="15">
        <f>SUMIFS(BJ$2:BJ249,K$2:K249,"=Intermission")+SUMIFS(BJ$2:BJ249,K$2:K249,"=Timeout")</f>
        <v>0</v>
      </c>
      <c r="BN249">
        <f t="shared" si="133"/>
        <v>0</v>
      </c>
      <c r="BO249" s="19">
        <f t="shared" si="134"/>
        <v>301</v>
      </c>
      <c r="BP249">
        <f t="shared" si="135"/>
        <v>296</v>
      </c>
      <c r="BQ249" s="17">
        <f t="shared" si="136"/>
        <v>301</v>
      </c>
      <c r="BR249" t="str">
        <f t="shared" si="137"/>
        <v>event_team_player_1</v>
      </c>
      <c r="BS249">
        <f>COUNTIFS(S$3:S249,"="&amp;S249,AI$3:AI249,"="&amp;AI249)</f>
        <v>1</v>
      </c>
      <c r="BT249" t="str">
        <f>IFERROR(VLOOKUP(BB249&amp;BU249&amp;X249,game_rosters!U:W,3,FALSE),"")</f>
        <v>P100001</v>
      </c>
      <c r="BU249" t="str">
        <f t="shared" si="138"/>
        <v>Velodrome</v>
      </c>
    </row>
    <row r="250" spans="1:73" x14ac:dyDescent="0.2">
      <c r="A250">
        <f t="shared" si="125"/>
        <v>1</v>
      </c>
      <c r="E250" s="4"/>
      <c r="F250" s="43"/>
      <c r="G250" s="4"/>
      <c r="H250" s="46"/>
      <c r="J250" s="44" t="str">
        <f t="shared" si="139"/>
        <v/>
      </c>
      <c r="K250" t="s">
        <v>13</v>
      </c>
      <c r="L250" t="s">
        <v>172</v>
      </c>
      <c r="M250" t="s">
        <v>385</v>
      </c>
      <c r="N250" t="str">
        <f t="shared" si="142"/>
        <v/>
      </c>
      <c r="Q250" t="str">
        <f t="shared" si="140"/>
        <v/>
      </c>
      <c r="S250">
        <v>140</v>
      </c>
      <c r="U250" t="str">
        <f>IF(B250=1,MAX($U$2:$U249)+1,IF(AND($T250&lt;&gt;"",$T250=$T249),$U249,IF(B250="x",U249,"")))</f>
        <v/>
      </c>
      <c r="V250" t="str">
        <f>IF(C250=1,MAX($V$2:$V249)+1,IF(AND($T250&lt;&gt;"",$T250=$T249),$U249,IF(C250="x",V249,"")))</f>
        <v/>
      </c>
      <c r="W250" t="str">
        <f t="shared" si="114"/>
        <v>a</v>
      </c>
      <c r="X250">
        <v>52</v>
      </c>
      <c r="Y250" t="e">
        <f>IF(X250&lt;&gt;"",VLOOKUP(X250,game_rosters!$C$43:$E$64,3,FALSE))</f>
        <v>#N/A</v>
      </c>
      <c r="Z250" cm="1">
        <f t="array" ref="Z250">IFERROR(IF(_xlfn._xlws.FILTER(game_rosters!$J:$J,(game_rosters!$G:$G=events!$AN250)*(game_rosters!$J:$J=events!$X250))&gt;0,1,""),"")</f>
        <v>1</v>
      </c>
      <c r="AA250">
        <f t="shared" si="115"/>
        <v>1140</v>
      </c>
      <c r="AB250" t="str">
        <f t="shared" si="116"/>
        <v/>
      </c>
      <c r="AC250">
        <f t="shared" si="113"/>
        <v>1140</v>
      </c>
      <c r="AD250" s="6">
        <v>1</v>
      </c>
      <c r="AE250" t="s">
        <v>746</v>
      </c>
      <c r="AF250" t="s">
        <v>896</v>
      </c>
      <c r="AG250" t="s">
        <v>746</v>
      </c>
      <c r="AH250" t="s">
        <v>733</v>
      </c>
      <c r="AI250" t="s">
        <v>367</v>
      </c>
      <c r="AJ250" t="str">
        <f t="shared" si="144"/>
        <v/>
      </c>
      <c r="AK250" t="str">
        <f t="shared" si="144"/>
        <v/>
      </c>
      <c r="AL250" t="str">
        <f t="shared" si="118"/>
        <v/>
      </c>
      <c r="AN250" t="s">
        <v>862</v>
      </c>
      <c r="AO250" t="str">
        <f t="shared" si="119"/>
        <v>a</v>
      </c>
      <c r="AP250" t="str">
        <f t="shared" si="126"/>
        <v/>
      </c>
      <c r="AQ250" t="str">
        <f t="shared" si="127"/>
        <v/>
      </c>
      <c r="AR250" t="str">
        <f t="shared" si="128"/>
        <v>Away</v>
      </c>
      <c r="AS250" t="str">
        <f t="shared" si="129"/>
        <v>a</v>
      </c>
      <c r="AT250" t="str">
        <f t="shared" si="130"/>
        <v>Offensive</v>
      </c>
      <c r="BA250" s="6">
        <f t="shared" si="120"/>
        <v>62</v>
      </c>
      <c r="BB250">
        <f t="shared" si="121"/>
        <v>18981</v>
      </c>
      <c r="BC250" t="str">
        <f t="shared" si="122"/>
        <v>Nelson</v>
      </c>
      <c r="BD250" t="str">
        <f t="shared" si="123"/>
        <v>Velodrome</v>
      </c>
      <c r="BE250" t="s">
        <v>13</v>
      </c>
      <c r="BF250" t="s">
        <v>172</v>
      </c>
      <c r="BG250" t="s">
        <v>385</v>
      </c>
      <c r="BI250" cm="1">
        <f t="array" ref="BI250">IFERROR(_xlfn._xlws.FILTER(shifts!A:A,(shifts!B:B=events!AD250)*(shifts!AG:AG&gt;=events!BK250)*(shifts!AH:AH&lt;=events!BL250)),BI249)</f>
        <v>12</v>
      </c>
      <c r="BJ250" s="15">
        <f t="shared" si="124"/>
        <v>3</v>
      </c>
      <c r="BK250">
        <f t="shared" si="131"/>
        <v>779</v>
      </c>
      <c r="BL250">
        <f t="shared" si="132"/>
        <v>776</v>
      </c>
      <c r="BM250" s="15">
        <f>SUMIFS(BJ$2:BJ250,K$2:K250,"=Intermission")+SUMIFS(BJ$2:BJ250,K$2:K250,"=Timeout")</f>
        <v>0</v>
      </c>
      <c r="BN250">
        <f t="shared" si="133"/>
        <v>0</v>
      </c>
      <c r="BO250" s="19">
        <f t="shared" si="134"/>
        <v>301</v>
      </c>
      <c r="BP250">
        <f t="shared" si="135"/>
        <v>296</v>
      </c>
      <c r="BQ250" s="17">
        <f t="shared" si="136"/>
        <v>304</v>
      </c>
      <c r="BR250" t="str">
        <f t="shared" si="137"/>
        <v>event_team_player_2</v>
      </c>
      <c r="BS250">
        <f>COUNTIFS(S$3:S250,"="&amp;S250,AI$3:AI250,"="&amp;AI250)</f>
        <v>2</v>
      </c>
      <c r="BT250" t="str">
        <f>IFERROR(VLOOKUP(BB250&amp;BU250&amp;X250,game_rosters!U:W,3,FALSE),"")</f>
        <v>P100070</v>
      </c>
      <c r="BU250" t="str">
        <f t="shared" si="138"/>
        <v>Velodrome</v>
      </c>
    </row>
    <row r="251" spans="1:73" x14ac:dyDescent="0.2">
      <c r="A251">
        <f t="shared" si="125"/>
        <v>1</v>
      </c>
      <c r="E251" s="4"/>
      <c r="F251" s="43"/>
      <c r="G251" s="4"/>
      <c r="H251" s="46"/>
      <c r="J251" s="44" t="str">
        <f t="shared" si="139"/>
        <v/>
      </c>
      <c r="K251" t="s">
        <v>11</v>
      </c>
      <c r="L251" t="s">
        <v>187</v>
      </c>
      <c r="M251" t="s">
        <v>106</v>
      </c>
      <c r="N251" t="str">
        <f t="shared" si="142"/>
        <v/>
      </c>
      <c r="Q251" t="str">
        <f t="shared" si="140"/>
        <v/>
      </c>
      <c r="S251">
        <v>141</v>
      </c>
      <c r="U251" t="str">
        <f>IF(B251=1,MAX($U$2:$U250)+1,IF(AND($T251&lt;&gt;"",$T251=$T250),$U250,IF(B251="x",U250,"")))</f>
        <v/>
      </c>
      <c r="V251" t="str">
        <f>IF(C251=1,MAX($V$2:$V250)+1,IF(AND($T251&lt;&gt;"",$T251=$T250),$U250,IF(C251="x",V250,"")))</f>
        <v/>
      </c>
      <c r="W251" t="str">
        <f t="shared" si="114"/>
        <v>a</v>
      </c>
      <c r="X251">
        <v>52</v>
      </c>
      <c r="Y251" t="e">
        <f>IF(X251&lt;&gt;"",VLOOKUP(X251,game_rosters!$C$43:$E$64,3,FALSE))</f>
        <v>#N/A</v>
      </c>
      <c r="Z251" cm="1">
        <f t="array" ref="Z251">IFERROR(IF(_xlfn._xlws.FILTER(game_rosters!$J:$J,(game_rosters!$G:$G=events!$AN251)*(game_rosters!$J:$J=events!$X251))&gt;0,1,""),"")</f>
        <v>1</v>
      </c>
      <c r="AA251">
        <f t="shared" si="115"/>
        <v>1141</v>
      </c>
      <c r="AB251" t="str">
        <f t="shared" si="116"/>
        <v/>
      </c>
      <c r="AC251">
        <f t="shared" si="113"/>
        <v>1141</v>
      </c>
      <c r="AD251" s="6">
        <v>1</v>
      </c>
      <c r="AE251" t="s">
        <v>746</v>
      </c>
      <c r="AF251" t="s">
        <v>733</v>
      </c>
      <c r="AG251" t="s">
        <v>756</v>
      </c>
      <c r="AH251" t="s">
        <v>756</v>
      </c>
      <c r="AI251" t="s">
        <v>367</v>
      </c>
      <c r="AJ251" t="str">
        <f t="shared" si="144"/>
        <v/>
      </c>
      <c r="AK251" t="str">
        <f t="shared" si="144"/>
        <v/>
      </c>
      <c r="AL251" t="str">
        <f t="shared" si="118"/>
        <v/>
      </c>
      <c r="AN251" t="s">
        <v>862</v>
      </c>
      <c r="AO251" t="str">
        <f t="shared" si="119"/>
        <v>a</v>
      </c>
      <c r="AP251" t="str">
        <f t="shared" si="126"/>
        <v/>
      </c>
      <c r="AQ251" t="str">
        <f t="shared" si="127"/>
        <v/>
      </c>
      <c r="AR251" t="str">
        <f t="shared" si="128"/>
        <v>Away</v>
      </c>
      <c r="AS251" t="str">
        <f t="shared" si="129"/>
        <v>a</v>
      </c>
      <c r="AT251" t="str">
        <f t="shared" si="130"/>
        <v/>
      </c>
      <c r="BA251" s="6">
        <f t="shared" si="120"/>
        <v>62</v>
      </c>
      <c r="BB251">
        <f t="shared" si="121"/>
        <v>18981</v>
      </c>
      <c r="BC251" t="str">
        <f t="shared" si="122"/>
        <v>Nelson</v>
      </c>
      <c r="BD251" t="str">
        <f t="shared" si="123"/>
        <v>Velodrome</v>
      </c>
      <c r="BE251" t="s">
        <v>11</v>
      </c>
      <c r="BF251" t="s">
        <v>187</v>
      </c>
      <c r="BG251" t="s">
        <v>106</v>
      </c>
      <c r="BI251" cm="1">
        <f t="array" ref="BI251">IFERROR(_xlfn._xlws.FILTER(shifts!A:A,(shifts!B:B=events!AD251)*(shifts!AG:AG&gt;=events!BK251)*(shifts!AH:AH&lt;=events!BL251)),BI250)</f>
        <v>12</v>
      </c>
      <c r="BJ251" s="15">
        <f t="shared" si="124"/>
        <v>0</v>
      </c>
      <c r="BK251">
        <f t="shared" si="131"/>
        <v>776</v>
      </c>
      <c r="BL251">
        <f t="shared" si="132"/>
        <v>776</v>
      </c>
      <c r="BM251" s="15">
        <f>SUMIFS(BJ$2:BJ251,K$2:K251,"=Intermission")+SUMIFS(BJ$2:BJ251,K$2:K251,"=Timeout")</f>
        <v>0</v>
      </c>
      <c r="BN251">
        <f t="shared" si="133"/>
        <v>0</v>
      </c>
      <c r="BO251" s="19">
        <f t="shared" si="134"/>
        <v>304</v>
      </c>
      <c r="BP251">
        <f t="shared" si="135"/>
        <v>299</v>
      </c>
      <c r="BQ251" s="17">
        <f t="shared" si="136"/>
        <v>304</v>
      </c>
      <c r="BR251" t="str">
        <f t="shared" si="137"/>
        <v>event_team_player_1</v>
      </c>
      <c r="BS251">
        <f>COUNTIFS(S$3:S251,"="&amp;S251,AI$3:AI251,"="&amp;AI251)</f>
        <v>1</v>
      </c>
      <c r="BT251" t="str">
        <f>IFERROR(VLOOKUP(BB251&amp;BU251&amp;X251,game_rosters!U:W,3,FALSE),"")</f>
        <v>P100070</v>
      </c>
      <c r="BU251" t="str">
        <f t="shared" si="138"/>
        <v>Velodrome</v>
      </c>
    </row>
    <row r="252" spans="1:73" x14ac:dyDescent="0.2">
      <c r="A252">
        <f t="shared" si="125"/>
        <v>1</v>
      </c>
      <c r="E252" s="4"/>
      <c r="F252" s="43"/>
      <c r="G252" s="4"/>
      <c r="H252" s="46"/>
      <c r="J252" s="44" t="str">
        <f t="shared" si="139"/>
        <v/>
      </c>
      <c r="K252" t="s">
        <v>241</v>
      </c>
      <c r="L252" t="s">
        <v>756</v>
      </c>
      <c r="M252" t="s">
        <v>756</v>
      </c>
      <c r="N252" t="str">
        <f t="shared" si="142"/>
        <v/>
      </c>
      <c r="Q252" t="str">
        <f t="shared" si="140"/>
        <v/>
      </c>
      <c r="S252">
        <v>142</v>
      </c>
      <c r="U252" t="str">
        <f>IF(B252=1,MAX($U$2:$U251)+1,IF(AND($T252&lt;&gt;"",$T252=$T251),$U251,IF(B252="x",U251,"")))</f>
        <v/>
      </c>
      <c r="V252" t="str">
        <f>IF(C252=1,MAX($V$2:$V251)+1,IF(AND($T252&lt;&gt;"",$T252=$T251),$U251,IF(C252="x",V251,"")))</f>
        <v/>
      </c>
      <c r="W252" t="str">
        <f t="shared" si="114"/>
        <v>a</v>
      </c>
      <c r="X252">
        <v>52</v>
      </c>
      <c r="Y252" t="e">
        <f>IF(X252&lt;&gt;"",VLOOKUP(X252,game_rosters!$C$43:$E$64,3,FALSE))</f>
        <v>#N/A</v>
      </c>
      <c r="Z252" cm="1">
        <f t="array" ref="Z252">IFERROR(IF(_xlfn._xlws.FILTER(game_rosters!$J:$J,(game_rosters!$G:$G=events!$AN252)*(game_rosters!$J:$J=events!$X252))&gt;0,1,""),"")</f>
        <v>1</v>
      </c>
      <c r="AA252">
        <f t="shared" si="115"/>
        <v>1142</v>
      </c>
      <c r="AB252" t="str">
        <f t="shared" si="116"/>
        <v/>
      </c>
      <c r="AC252">
        <f t="shared" si="113"/>
        <v>1142</v>
      </c>
      <c r="AD252" s="6">
        <v>1</v>
      </c>
      <c r="AE252" t="s">
        <v>746</v>
      </c>
      <c r="AF252" t="s">
        <v>733</v>
      </c>
      <c r="AG252" t="s">
        <v>746</v>
      </c>
      <c r="AH252" t="s">
        <v>905</v>
      </c>
      <c r="AI252" t="s">
        <v>367</v>
      </c>
      <c r="AJ252" t="str">
        <f t="shared" si="144"/>
        <v/>
      </c>
      <c r="AK252" t="str">
        <f t="shared" si="144"/>
        <v/>
      </c>
      <c r="AL252" t="str">
        <f t="shared" si="118"/>
        <v/>
      </c>
      <c r="AN252" t="s">
        <v>862</v>
      </c>
      <c r="AO252" t="str">
        <f t="shared" si="119"/>
        <v>a</v>
      </c>
      <c r="AP252" t="str">
        <f t="shared" si="126"/>
        <v/>
      </c>
      <c r="AQ252" t="str">
        <f t="shared" si="127"/>
        <v/>
      </c>
      <c r="AR252" t="str">
        <f t="shared" si="128"/>
        <v>Away</v>
      </c>
      <c r="AS252" t="str">
        <f t="shared" si="129"/>
        <v>a</v>
      </c>
      <c r="AT252" t="str">
        <f t="shared" si="130"/>
        <v/>
      </c>
      <c r="BA252" s="6">
        <f t="shared" si="120"/>
        <v>62</v>
      </c>
      <c r="BB252">
        <f t="shared" si="121"/>
        <v>18981</v>
      </c>
      <c r="BC252" t="str">
        <f t="shared" si="122"/>
        <v>Nelson</v>
      </c>
      <c r="BD252" t="str">
        <f t="shared" si="123"/>
        <v>Velodrome</v>
      </c>
      <c r="BE252" t="s">
        <v>241</v>
      </c>
      <c r="BF252" t="s">
        <v>756</v>
      </c>
      <c r="BG252" t="s">
        <v>756</v>
      </c>
      <c r="BI252" cm="1">
        <f t="array" ref="BI252">IFERROR(_xlfn._xlws.FILTER(shifts!A:A,(shifts!B:B=events!AD252)*(shifts!AG:AG&gt;=events!BK252)*(shifts!AH:AH&lt;=events!BL252)),BI251)</f>
        <v>12</v>
      </c>
      <c r="BJ252" s="15">
        <f t="shared" si="124"/>
        <v>24</v>
      </c>
      <c r="BK252">
        <f t="shared" si="131"/>
        <v>776</v>
      </c>
      <c r="BL252">
        <f t="shared" si="132"/>
        <v>752</v>
      </c>
      <c r="BM252" s="15">
        <f>SUMIFS(BJ$2:BJ252,K$2:K252,"=Intermission")+SUMIFS(BJ$2:BJ252,K$2:K252,"=Timeout")</f>
        <v>0</v>
      </c>
      <c r="BN252">
        <f t="shared" si="133"/>
        <v>0</v>
      </c>
      <c r="BO252" s="19">
        <f t="shared" si="134"/>
        <v>304</v>
      </c>
      <c r="BP252">
        <f t="shared" si="135"/>
        <v>299</v>
      </c>
      <c r="BQ252" s="17">
        <f t="shared" si="136"/>
        <v>328</v>
      </c>
      <c r="BR252" t="str">
        <f t="shared" si="137"/>
        <v>event_team_player_1</v>
      </c>
      <c r="BS252">
        <f>COUNTIFS(S$3:S252,"="&amp;S252,AI$3:AI252,"="&amp;AI252)</f>
        <v>1</v>
      </c>
      <c r="BT252" t="str">
        <f>IFERROR(VLOOKUP(BB252&amp;BU252&amp;X252,game_rosters!U:W,3,FALSE),"")</f>
        <v>P100070</v>
      </c>
      <c r="BU252" t="str">
        <f t="shared" si="138"/>
        <v>Velodrome</v>
      </c>
    </row>
    <row r="253" spans="1:73" x14ac:dyDescent="0.2">
      <c r="A253">
        <f t="shared" si="125"/>
        <v>1</v>
      </c>
      <c r="E253" s="4"/>
      <c r="F253" s="43"/>
      <c r="G253" s="4"/>
      <c r="H253" s="46"/>
      <c r="J253" s="44" t="str">
        <f t="shared" si="139"/>
        <v/>
      </c>
      <c r="K253" t="s">
        <v>5</v>
      </c>
      <c r="L253" t="s">
        <v>236</v>
      </c>
      <c r="M253" t="s">
        <v>756</v>
      </c>
      <c r="N253" t="str">
        <f t="shared" si="142"/>
        <v/>
      </c>
      <c r="Q253" t="str">
        <f t="shared" si="140"/>
        <v/>
      </c>
      <c r="S253">
        <v>143</v>
      </c>
      <c r="U253" t="str">
        <f>IF(B253=1,MAX($U$2:$U252)+1,IF(AND($T253&lt;&gt;"",$T253=$T252),$U252,IF(B253="x",U252,"")))</f>
        <v/>
      </c>
      <c r="V253" t="str">
        <f>IF(C253=1,MAX($V$2:$V252)+1,IF(AND($T253&lt;&gt;"",$T253=$T252),$U252,IF(C253="x",V252,"")))</f>
        <v/>
      </c>
      <c r="W253" t="str">
        <f t="shared" si="114"/>
        <v>h</v>
      </c>
      <c r="X253">
        <v>79</v>
      </c>
      <c r="Y253" t="b">
        <f>IF(X253&lt;&gt;"",VLOOKUP(X253,game_rosters!$C$43:$E$64,3,FALSE))</f>
        <v>0</v>
      </c>
      <c r="Z253" cm="1">
        <f t="array" ref="Z253">IFERROR(IF(_xlfn._xlws.FILTER(game_rosters!$J:$J,(game_rosters!$G:$G=events!$AN253)*(game_rosters!$J:$J=events!$X253))&gt;0,1,""),"")</f>
        <v>1</v>
      </c>
      <c r="AA253">
        <f t="shared" si="115"/>
        <v>1143</v>
      </c>
      <c r="AB253" t="str">
        <f t="shared" si="116"/>
        <v/>
      </c>
      <c r="AC253">
        <f t="shared" si="113"/>
        <v>1143</v>
      </c>
      <c r="AD253" s="6">
        <v>1</v>
      </c>
      <c r="AE253" t="s">
        <v>746</v>
      </c>
      <c r="AF253" t="s">
        <v>905</v>
      </c>
      <c r="AG253" t="s">
        <v>756</v>
      </c>
      <c r="AH253" t="s">
        <v>756</v>
      </c>
      <c r="AI253" t="s">
        <v>367</v>
      </c>
      <c r="AJ253" t="str">
        <f t="shared" si="144"/>
        <v/>
      </c>
      <c r="AK253" t="str">
        <f t="shared" si="144"/>
        <v/>
      </c>
      <c r="AL253" t="str">
        <f t="shared" si="118"/>
        <v/>
      </c>
      <c r="AN253" t="s">
        <v>861</v>
      </c>
      <c r="AO253" t="str">
        <f t="shared" si="119"/>
        <v>h</v>
      </c>
      <c r="AP253" t="str">
        <f t="shared" si="126"/>
        <v/>
      </c>
      <c r="AQ253" t="str">
        <f t="shared" si="127"/>
        <v/>
      </c>
      <c r="AR253" t="str">
        <f t="shared" si="128"/>
        <v>Home</v>
      </c>
      <c r="AS253" t="str">
        <f t="shared" si="129"/>
        <v>h</v>
      </c>
      <c r="AT253" t="str">
        <f t="shared" si="130"/>
        <v>Offensive</v>
      </c>
      <c r="BA253" s="6">
        <f t="shared" si="120"/>
        <v>62</v>
      </c>
      <c r="BB253">
        <f t="shared" si="121"/>
        <v>18981</v>
      </c>
      <c r="BC253" t="str">
        <f t="shared" si="122"/>
        <v>Nelson</v>
      </c>
      <c r="BD253" t="str">
        <f t="shared" si="123"/>
        <v>Velodrome</v>
      </c>
      <c r="BE253" t="s">
        <v>5</v>
      </c>
      <c r="BF253" t="s">
        <v>236</v>
      </c>
      <c r="BG253" t="s">
        <v>756</v>
      </c>
      <c r="BI253" cm="1">
        <f t="array" ref="BI253">IFERROR(_xlfn._xlws.FILTER(shifts!A:A,(shifts!B:B=events!AD253)*(shifts!AG:AG&gt;=events!BK253)*(shifts!AH:AH&lt;=events!BL253)),BI252)</f>
        <v>13</v>
      </c>
      <c r="BJ253" s="15">
        <f t="shared" si="124"/>
        <v>0</v>
      </c>
      <c r="BK253">
        <f t="shared" si="131"/>
        <v>752</v>
      </c>
      <c r="BL253">
        <f t="shared" si="132"/>
        <v>752</v>
      </c>
      <c r="BM253" s="15">
        <f>SUMIFS(BJ$2:BJ253,K$2:K253,"=Intermission")+SUMIFS(BJ$2:BJ253,K$2:K253,"=Timeout")</f>
        <v>0</v>
      </c>
      <c r="BN253">
        <f t="shared" si="133"/>
        <v>0</v>
      </c>
      <c r="BO253" s="19">
        <f t="shared" si="134"/>
        <v>328</v>
      </c>
      <c r="BP253">
        <f t="shared" si="135"/>
        <v>323</v>
      </c>
      <c r="BQ253" s="17">
        <f t="shared" si="136"/>
        <v>328</v>
      </c>
      <c r="BR253" t="str">
        <f t="shared" si="137"/>
        <v>event_team_player_1</v>
      </c>
      <c r="BS253">
        <f>COUNTIFS(S$3:S253,"="&amp;S253,AI$3:AI253,"="&amp;AI253)</f>
        <v>1</v>
      </c>
      <c r="BT253" t="str">
        <f>IFERROR(VLOOKUP(BB253&amp;BU253&amp;X253,game_rosters!U:W,3,FALSE),"")</f>
        <v>P100066</v>
      </c>
      <c r="BU253" t="str">
        <f t="shared" si="138"/>
        <v>Nelson</v>
      </c>
    </row>
    <row r="254" spans="1:73" x14ac:dyDescent="0.2">
      <c r="A254">
        <f t="shared" si="125"/>
        <v>1</v>
      </c>
      <c r="E254" s="4"/>
      <c r="F254" s="43"/>
      <c r="G254" s="4"/>
      <c r="H254" s="46"/>
      <c r="J254" s="44" t="str">
        <f t="shared" si="139"/>
        <v/>
      </c>
      <c r="K254" t="s">
        <v>5</v>
      </c>
      <c r="L254" t="s">
        <v>236</v>
      </c>
      <c r="M254" t="s">
        <v>756</v>
      </c>
      <c r="N254" t="str">
        <f t="shared" si="142"/>
        <v/>
      </c>
      <c r="Q254" t="str">
        <f t="shared" si="140"/>
        <v/>
      </c>
      <c r="S254">
        <v>143</v>
      </c>
      <c r="U254" t="str">
        <f>IF(B254=1,MAX($U$2:$U253)+1,IF(AND($T254&lt;&gt;"",$T254=$T253),$U253,IF(B254="x",U253,"")))</f>
        <v/>
      </c>
      <c r="V254" t="str">
        <f>IF(C254=1,MAX($V$2:$V253)+1,IF(AND($T254&lt;&gt;"",$T254=$T253),$U253,IF(C254="x",V253,"")))</f>
        <v/>
      </c>
      <c r="W254" t="str">
        <f t="shared" si="114"/>
        <v>h</v>
      </c>
      <c r="X254">
        <v>8</v>
      </c>
      <c r="Y254" t="b">
        <f>IF(X254&lt;&gt;"",VLOOKUP(X254,game_rosters!$C$43:$E$64,3,FALSE))</f>
        <v>0</v>
      </c>
      <c r="Z254" cm="1">
        <f t="array" ref="Z254">IFERROR(IF(_xlfn._xlws.FILTER(game_rosters!$J:$J,(game_rosters!$G:$G=events!$AN254)*(game_rosters!$J:$J=events!$X254))&gt;0,1,""),"")</f>
        <v>1</v>
      </c>
      <c r="AA254">
        <f t="shared" si="115"/>
        <v>1143</v>
      </c>
      <c r="AB254" t="str">
        <f t="shared" si="116"/>
        <v/>
      </c>
      <c r="AC254">
        <f t="shared" si="113"/>
        <v>1143</v>
      </c>
      <c r="AD254" s="6">
        <v>1</v>
      </c>
      <c r="AE254" t="s">
        <v>746</v>
      </c>
      <c r="AF254" t="s">
        <v>905</v>
      </c>
      <c r="AG254" t="s">
        <v>756</v>
      </c>
      <c r="AH254" t="s">
        <v>756</v>
      </c>
      <c r="AI254" t="s">
        <v>367</v>
      </c>
      <c r="AJ254" t="str">
        <f t="shared" si="144"/>
        <v/>
      </c>
      <c r="AK254" t="str">
        <f t="shared" si="144"/>
        <v/>
      </c>
      <c r="AL254" t="str">
        <f t="shared" si="118"/>
        <v/>
      </c>
      <c r="AN254" t="s">
        <v>861</v>
      </c>
      <c r="AO254" t="str">
        <f t="shared" si="119"/>
        <v>h</v>
      </c>
      <c r="AP254" t="str">
        <f t="shared" si="126"/>
        <v/>
      </c>
      <c r="AQ254" t="str">
        <f t="shared" si="127"/>
        <v/>
      </c>
      <c r="AR254" t="str">
        <f t="shared" si="128"/>
        <v>Home</v>
      </c>
      <c r="AS254" t="str">
        <f t="shared" si="129"/>
        <v>h</v>
      </c>
      <c r="AT254" t="str">
        <f t="shared" si="130"/>
        <v>Offensive</v>
      </c>
      <c r="BA254" s="6">
        <f t="shared" si="120"/>
        <v>62</v>
      </c>
      <c r="BB254">
        <f t="shared" si="121"/>
        <v>18981</v>
      </c>
      <c r="BC254" t="str">
        <f t="shared" si="122"/>
        <v>Nelson</v>
      </c>
      <c r="BD254" t="str">
        <f t="shared" si="123"/>
        <v>Velodrome</v>
      </c>
      <c r="BE254" t="s">
        <v>5</v>
      </c>
      <c r="BF254" t="s">
        <v>236</v>
      </c>
      <c r="BG254" t="s">
        <v>756</v>
      </c>
      <c r="BI254" cm="1">
        <f t="array" ref="BI254">IFERROR(_xlfn._xlws.FILTER(shifts!A:A,(shifts!B:B=events!AD254)*(shifts!AG:AG&gt;=events!BK254)*(shifts!AH:AH&lt;=events!BL254)),BI253)</f>
        <v>13</v>
      </c>
      <c r="BJ254" s="15">
        <f t="shared" si="124"/>
        <v>0</v>
      </c>
      <c r="BK254">
        <f t="shared" si="131"/>
        <v>752</v>
      </c>
      <c r="BL254">
        <f t="shared" si="132"/>
        <v>752</v>
      </c>
      <c r="BM254" s="15">
        <f>SUMIFS(BJ$2:BJ254,K$2:K254,"=Intermission")+SUMIFS(BJ$2:BJ254,K$2:K254,"=Timeout")</f>
        <v>0</v>
      </c>
      <c r="BN254">
        <f t="shared" si="133"/>
        <v>0</v>
      </c>
      <c r="BO254" s="19">
        <f t="shared" si="134"/>
        <v>328</v>
      </c>
      <c r="BP254">
        <f t="shared" si="135"/>
        <v>323</v>
      </c>
      <c r="BQ254" s="17">
        <f t="shared" si="136"/>
        <v>328</v>
      </c>
      <c r="BR254" t="str">
        <f t="shared" si="137"/>
        <v>event_team_player_2</v>
      </c>
      <c r="BS254">
        <f>COUNTIFS(S$3:S254,"="&amp;S254,AI$3:AI254,"="&amp;AI254)</f>
        <v>2</v>
      </c>
      <c r="BT254" t="str">
        <f>IFERROR(VLOOKUP(BB254&amp;BU254&amp;X254,game_rosters!U:W,3,FALSE),"")</f>
        <v>P100074</v>
      </c>
      <c r="BU254" t="str">
        <f t="shared" si="138"/>
        <v>Nelson</v>
      </c>
    </row>
    <row r="255" spans="1:73" x14ac:dyDescent="0.2">
      <c r="A255">
        <f t="shared" si="125"/>
        <v>1</v>
      </c>
      <c r="E255" s="4"/>
      <c r="F255" s="43"/>
      <c r="G255" s="4"/>
      <c r="H255" s="46"/>
      <c r="J255" s="44" t="str">
        <f t="shared" si="139"/>
        <v/>
      </c>
      <c r="K255" t="s">
        <v>5</v>
      </c>
      <c r="L255" t="s">
        <v>236</v>
      </c>
      <c r="M255" t="s">
        <v>756</v>
      </c>
      <c r="N255" t="str">
        <f t="shared" si="142"/>
        <v/>
      </c>
      <c r="Q255" t="str">
        <f t="shared" si="140"/>
        <v/>
      </c>
      <c r="S255">
        <v>143</v>
      </c>
      <c r="U255" t="str">
        <f>IF(B255=1,MAX($U$2:$U254)+1,IF(AND($T255&lt;&gt;"",$T255=$T254),$U254,IF(B255="x",U254,"")))</f>
        <v/>
      </c>
      <c r="V255" t="str">
        <f>IF(C255=1,MAX($V$2:$V254)+1,IF(AND($T255&lt;&gt;"",$T255=$T254),$U254,IF(C255="x",V254,"")))</f>
        <v/>
      </c>
      <c r="W255" t="str">
        <f t="shared" si="114"/>
        <v>h</v>
      </c>
      <c r="X255">
        <v>70</v>
      </c>
      <c r="Y255" t="e">
        <f>IF(X255&lt;&gt;"",VLOOKUP(X255,game_rosters!$C$43:$E$64,3,FALSE))</f>
        <v>#N/A</v>
      </c>
      <c r="Z255" t="str" cm="1">
        <f t="array" ref="Z255">IFERROR(IF(_xlfn._xlws.FILTER(game_rosters!$J:$J,(game_rosters!$G:$G=events!$AN255)*(game_rosters!$J:$J=events!$X255))&gt;0,1,""),"")</f>
        <v/>
      </c>
      <c r="AA255">
        <f t="shared" si="115"/>
        <v>1143</v>
      </c>
      <c r="AB255" t="str">
        <f t="shared" si="116"/>
        <v/>
      </c>
      <c r="AC255">
        <f t="shared" si="113"/>
        <v>1143</v>
      </c>
      <c r="AD255" s="6">
        <v>1</v>
      </c>
      <c r="AE255" t="s">
        <v>746</v>
      </c>
      <c r="AF255" t="s">
        <v>905</v>
      </c>
      <c r="AG255" t="s">
        <v>756</v>
      </c>
      <c r="AH255" t="s">
        <v>756</v>
      </c>
      <c r="AI255" t="s">
        <v>368</v>
      </c>
      <c r="AJ255" t="str">
        <f t="shared" si="144"/>
        <v/>
      </c>
      <c r="AK255" t="str">
        <f t="shared" si="144"/>
        <v/>
      </c>
      <c r="AL255" t="str">
        <f t="shared" si="118"/>
        <v/>
      </c>
      <c r="AN255" t="s">
        <v>861</v>
      </c>
      <c r="AO255" t="str">
        <f t="shared" si="119"/>
        <v>h</v>
      </c>
      <c r="AP255" t="str">
        <f t="shared" si="126"/>
        <v/>
      </c>
      <c r="AQ255" t="str">
        <f t="shared" si="127"/>
        <v/>
      </c>
      <c r="AR255" t="str">
        <f t="shared" si="128"/>
        <v>Home</v>
      </c>
      <c r="AS255" t="str">
        <f t="shared" si="129"/>
        <v>h</v>
      </c>
      <c r="AT255" t="str">
        <f t="shared" si="130"/>
        <v>Defensive</v>
      </c>
      <c r="BA255" s="6">
        <f t="shared" si="120"/>
        <v>62</v>
      </c>
      <c r="BB255">
        <f t="shared" si="121"/>
        <v>18981</v>
      </c>
      <c r="BC255" t="str">
        <f t="shared" si="122"/>
        <v>Nelson</v>
      </c>
      <c r="BD255" t="str">
        <f t="shared" si="123"/>
        <v>Velodrome</v>
      </c>
      <c r="BE255" t="s">
        <v>5</v>
      </c>
      <c r="BF255" t="s">
        <v>236</v>
      </c>
      <c r="BG255" t="s">
        <v>756</v>
      </c>
      <c r="BI255" cm="1">
        <f t="array" ref="BI255">IFERROR(_xlfn._xlws.FILTER(shifts!A:A,(shifts!B:B=events!AD255)*(shifts!AG:AG&gt;=events!BK255)*(shifts!AH:AH&lt;=events!BL255)),BI254)</f>
        <v>13</v>
      </c>
      <c r="BJ255" s="15">
        <f t="shared" si="124"/>
        <v>0</v>
      </c>
      <c r="BK255">
        <f t="shared" si="131"/>
        <v>752</v>
      </c>
      <c r="BL255">
        <f t="shared" si="132"/>
        <v>752</v>
      </c>
      <c r="BM255" s="15">
        <f>SUMIFS(BJ$2:BJ255,K$2:K255,"=Intermission")+SUMIFS(BJ$2:BJ255,K$2:K255,"=Timeout")</f>
        <v>0</v>
      </c>
      <c r="BN255">
        <f t="shared" si="133"/>
        <v>0</v>
      </c>
      <c r="BO255" s="19">
        <f t="shared" si="134"/>
        <v>328</v>
      </c>
      <c r="BP255">
        <f t="shared" si="135"/>
        <v>323</v>
      </c>
      <c r="BQ255" s="17">
        <f t="shared" si="136"/>
        <v>328</v>
      </c>
      <c r="BR255" t="str">
        <f t="shared" si="137"/>
        <v>opp_team_player_1</v>
      </c>
      <c r="BS255">
        <f>COUNTIFS(S$3:S255,"="&amp;S255,AI$3:AI255,"="&amp;AI255)</f>
        <v>1</v>
      </c>
      <c r="BT255" t="str">
        <f>IFERROR(VLOOKUP(BB255&amp;BU255&amp;X255,game_rosters!U:W,3,FALSE),"")</f>
        <v>P100001</v>
      </c>
      <c r="BU255" t="str">
        <f t="shared" si="138"/>
        <v>Velodrome</v>
      </c>
    </row>
    <row r="256" spans="1:73" x14ac:dyDescent="0.2">
      <c r="A256">
        <f t="shared" si="125"/>
        <v>1</v>
      </c>
      <c r="E256" s="4"/>
      <c r="F256" s="43"/>
      <c r="G256" s="4"/>
      <c r="H256" s="46"/>
      <c r="J256" s="44" t="str">
        <f t="shared" si="139"/>
        <v>o</v>
      </c>
      <c r="K256" t="s">
        <v>6</v>
      </c>
      <c r="L256" t="s">
        <v>181</v>
      </c>
      <c r="M256" t="s">
        <v>51</v>
      </c>
      <c r="N256" t="str">
        <f t="shared" si="142"/>
        <v>u</v>
      </c>
      <c r="Q256" t="str">
        <f t="shared" si="140"/>
        <v/>
      </c>
      <c r="S256">
        <v>144</v>
      </c>
      <c r="U256" t="str">
        <f>IF(B256=1,MAX($U$2:$U255)+1,IF(AND($T256&lt;&gt;"",$T256=$T255),$U255,IF(B256="x",U255,"")))</f>
        <v/>
      </c>
      <c r="V256" t="str">
        <f>IF(C256=1,MAX($V$2:$V255)+1,IF(AND($T256&lt;&gt;"",$T256=$T255),$U255,IF(C256="x",V255,"")))</f>
        <v/>
      </c>
      <c r="W256" t="str">
        <f t="shared" si="114"/>
        <v>h</v>
      </c>
      <c r="X256">
        <v>8</v>
      </c>
      <c r="Y256" t="b">
        <f>IF(X256&lt;&gt;"",VLOOKUP(X256,game_rosters!$C$43:$E$64,3,FALSE))</f>
        <v>0</v>
      </c>
      <c r="Z256" cm="1">
        <f t="array" ref="Z256">IFERROR(IF(_xlfn._xlws.FILTER(game_rosters!$J:$J,(game_rosters!$G:$G=events!$AN256)*(game_rosters!$J:$J=events!$X256))&gt;0,1,""),"")</f>
        <v>1</v>
      </c>
      <c r="AA256">
        <f t="shared" si="115"/>
        <v>1144</v>
      </c>
      <c r="AB256" t="str">
        <f t="shared" si="116"/>
        <v/>
      </c>
      <c r="AC256">
        <f t="shared" si="113"/>
        <v>1144</v>
      </c>
      <c r="AD256" s="6">
        <v>1</v>
      </c>
      <c r="AE256" t="s">
        <v>746</v>
      </c>
      <c r="AF256" t="s">
        <v>738</v>
      </c>
      <c r="AG256" t="s">
        <v>756</v>
      </c>
      <c r="AH256" t="s">
        <v>756</v>
      </c>
      <c r="AI256" t="s">
        <v>367</v>
      </c>
      <c r="AJ256" t="str">
        <f t="shared" si="144"/>
        <v>o</v>
      </c>
      <c r="AK256" t="str">
        <f t="shared" si="144"/>
        <v>o</v>
      </c>
      <c r="AL256" t="str">
        <f t="shared" si="118"/>
        <v>o</v>
      </c>
      <c r="AN256" t="s">
        <v>861</v>
      </c>
      <c r="AO256" t="str">
        <f t="shared" si="119"/>
        <v>h</v>
      </c>
      <c r="AP256" t="str">
        <f t="shared" si="126"/>
        <v>o</v>
      </c>
      <c r="AQ256" t="str">
        <f t="shared" si="127"/>
        <v/>
      </c>
      <c r="AR256" t="str">
        <f t="shared" si="128"/>
        <v>Home</v>
      </c>
      <c r="AS256" t="str">
        <f t="shared" si="129"/>
        <v>h</v>
      </c>
      <c r="AT256" t="str">
        <f t="shared" si="130"/>
        <v>Offensive</v>
      </c>
      <c r="BA256" s="6">
        <f t="shared" si="120"/>
        <v>62</v>
      </c>
      <c r="BB256">
        <f t="shared" si="121"/>
        <v>18981</v>
      </c>
      <c r="BC256" t="str">
        <f t="shared" si="122"/>
        <v>Nelson</v>
      </c>
      <c r="BD256" t="str">
        <f t="shared" si="123"/>
        <v>Velodrome</v>
      </c>
      <c r="BE256" t="s">
        <v>6</v>
      </c>
      <c r="BF256" t="s">
        <v>181</v>
      </c>
      <c r="BG256" t="s">
        <v>51</v>
      </c>
      <c r="BI256" cm="1">
        <f t="array" ref="BI256">IFERROR(_xlfn._xlws.FILTER(shifts!A:A,(shifts!B:B=events!AD256)*(shifts!AG:AG&gt;=events!BK256)*(shifts!AH:AH&lt;=events!BL256)),BI255)</f>
        <v>13</v>
      </c>
      <c r="BJ256" s="15">
        <f t="shared" si="124"/>
        <v>0</v>
      </c>
      <c r="BK256">
        <f t="shared" si="131"/>
        <v>751</v>
      </c>
      <c r="BL256">
        <f t="shared" si="132"/>
        <v>751</v>
      </c>
      <c r="BM256" s="15">
        <f>SUMIFS(BJ$2:BJ256,K$2:K256,"=Intermission")+SUMIFS(BJ$2:BJ256,K$2:K256,"=Timeout")</f>
        <v>0</v>
      </c>
      <c r="BN256">
        <f t="shared" si="133"/>
        <v>0</v>
      </c>
      <c r="BO256" s="19">
        <f t="shared" si="134"/>
        <v>329</v>
      </c>
      <c r="BP256">
        <f t="shared" si="135"/>
        <v>324</v>
      </c>
      <c r="BQ256" s="17">
        <f t="shared" si="136"/>
        <v>329</v>
      </c>
      <c r="BR256" t="str">
        <f t="shared" si="137"/>
        <v>event_team_player_1</v>
      </c>
      <c r="BS256">
        <f>COUNTIFS(S$3:S256,"="&amp;S256,AI$3:AI256,"="&amp;AI256)</f>
        <v>1</v>
      </c>
      <c r="BT256" t="str">
        <f>IFERROR(VLOOKUP(BB256&amp;BU256&amp;X256,game_rosters!U:W,3,FALSE),"")</f>
        <v>P100074</v>
      </c>
      <c r="BU256" t="str">
        <f t="shared" si="138"/>
        <v>Nelson</v>
      </c>
    </row>
    <row r="257" spans="1:73" x14ac:dyDescent="0.2">
      <c r="A257">
        <f t="shared" si="125"/>
        <v>1</v>
      </c>
      <c r="E257" s="4"/>
      <c r="F257" s="43"/>
      <c r="G257" s="4"/>
      <c r="H257" s="46"/>
      <c r="J257" s="44" t="str">
        <f t="shared" si="139"/>
        <v/>
      </c>
      <c r="K257" t="s">
        <v>13</v>
      </c>
      <c r="L257" t="s">
        <v>756</v>
      </c>
      <c r="M257" t="s">
        <v>756</v>
      </c>
      <c r="N257" t="str">
        <f t="shared" si="142"/>
        <v/>
      </c>
      <c r="Q257" t="str">
        <f t="shared" si="140"/>
        <v/>
      </c>
      <c r="S257">
        <v>145</v>
      </c>
      <c r="U257" t="str">
        <f>IF(B257=1,MAX($U$2:$U256)+1,IF(AND($T257&lt;&gt;"",$T257=$T256),$U256,IF(B257="x",U256,"")))</f>
        <v/>
      </c>
      <c r="V257" t="str">
        <f>IF(C257=1,MAX($V$2:$V256)+1,IF(AND($T257&lt;&gt;"",$T257=$T256),$U256,IF(C257="x",V256,"")))</f>
        <v/>
      </c>
      <c r="W257" t="str">
        <f t="shared" si="114"/>
        <v>a</v>
      </c>
      <c r="X257">
        <v>70</v>
      </c>
      <c r="Y257" t="e">
        <f>IF(X257&lt;&gt;"",VLOOKUP(X257,game_rosters!$C$43:$E$64,3,FALSE))</f>
        <v>#N/A</v>
      </c>
      <c r="Z257" cm="1">
        <f t="array" ref="Z257">IFERROR(IF(_xlfn._xlws.FILTER(game_rosters!$J:$J,(game_rosters!$G:$G=events!$AN257)*(game_rosters!$J:$J=events!$X257))&gt;0,1,""),"")</f>
        <v>1</v>
      </c>
      <c r="AA257">
        <f t="shared" si="115"/>
        <v>1145</v>
      </c>
      <c r="AB257" t="str">
        <f t="shared" si="116"/>
        <v/>
      </c>
      <c r="AC257">
        <f t="shared" si="113"/>
        <v>1145</v>
      </c>
      <c r="AD257" s="6">
        <v>1</v>
      </c>
      <c r="AE257" t="s">
        <v>746</v>
      </c>
      <c r="AF257" t="s">
        <v>918</v>
      </c>
      <c r="AG257" t="s">
        <v>746</v>
      </c>
      <c r="AH257" t="s">
        <v>741</v>
      </c>
      <c r="AI257" t="s">
        <v>367</v>
      </c>
      <c r="AJ257" t="str">
        <f t="shared" si="144"/>
        <v/>
      </c>
      <c r="AK257" t="str">
        <f t="shared" si="144"/>
        <v/>
      </c>
      <c r="AL257" t="str">
        <f t="shared" si="118"/>
        <v/>
      </c>
      <c r="AN257" t="s">
        <v>862</v>
      </c>
      <c r="AO257" t="str">
        <f t="shared" si="119"/>
        <v>a</v>
      </c>
      <c r="AP257" t="str">
        <f t="shared" si="126"/>
        <v/>
      </c>
      <c r="AQ257" t="str">
        <f t="shared" si="127"/>
        <v/>
      </c>
      <c r="AR257" t="str">
        <f t="shared" si="128"/>
        <v>Away</v>
      </c>
      <c r="AS257" t="str">
        <f t="shared" si="129"/>
        <v>a</v>
      </c>
      <c r="AT257" t="str">
        <f t="shared" si="130"/>
        <v>Offensive</v>
      </c>
      <c r="BA257" s="6">
        <f t="shared" si="120"/>
        <v>62</v>
      </c>
      <c r="BB257">
        <f t="shared" si="121"/>
        <v>18981</v>
      </c>
      <c r="BC257" t="str">
        <f t="shared" si="122"/>
        <v>Nelson</v>
      </c>
      <c r="BD257" t="str">
        <f t="shared" si="123"/>
        <v>Velodrome</v>
      </c>
      <c r="BE257" t="s">
        <v>13</v>
      </c>
      <c r="BF257" t="s">
        <v>756</v>
      </c>
      <c r="BG257" t="s">
        <v>756</v>
      </c>
      <c r="BI257" cm="1">
        <f t="array" ref="BI257">IFERROR(_xlfn._xlws.FILTER(shifts!A:A,(shifts!B:B=events!AD257)*(shifts!AG:AG&gt;=events!BK257)*(shifts!AH:AH&lt;=events!BL257)),BI256)</f>
        <v>13</v>
      </c>
      <c r="BJ257" s="15">
        <f t="shared" si="124"/>
        <v>1</v>
      </c>
      <c r="BK257">
        <f t="shared" si="131"/>
        <v>742</v>
      </c>
      <c r="BL257">
        <f t="shared" si="132"/>
        <v>741</v>
      </c>
      <c r="BM257" s="15">
        <f>SUMIFS(BJ$2:BJ257,K$2:K257,"=Intermission")+SUMIFS(BJ$2:BJ257,K$2:K257,"=Timeout")</f>
        <v>0</v>
      </c>
      <c r="BN257">
        <f t="shared" si="133"/>
        <v>0</v>
      </c>
      <c r="BO257" s="19">
        <f t="shared" si="134"/>
        <v>338</v>
      </c>
      <c r="BP257">
        <f t="shared" si="135"/>
        <v>333</v>
      </c>
      <c r="BQ257" s="17">
        <f t="shared" si="136"/>
        <v>339</v>
      </c>
      <c r="BR257" t="str">
        <f t="shared" si="137"/>
        <v>event_team_player_1</v>
      </c>
      <c r="BS257">
        <f>COUNTIFS(S$3:S257,"="&amp;S257,AI$3:AI257,"="&amp;AI257)</f>
        <v>1</v>
      </c>
      <c r="BT257" t="str">
        <f>IFERROR(VLOOKUP(BB257&amp;BU257&amp;X257,game_rosters!U:W,3,FALSE),"")</f>
        <v>P100001</v>
      </c>
      <c r="BU257" t="str">
        <f t="shared" si="138"/>
        <v>Velodrome</v>
      </c>
    </row>
    <row r="258" spans="1:73" x14ac:dyDescent="0.2">
      <c r="A258">
        <f t="shared" si="125"/>
        <v>1</v>
      </c>
      <c r="E258" s="4"/>
      <c r="F258" s="43"/>
      <c r="G258" s="4"/>
      <c r="H258" s="46"/>
      <c r="J258" s="44" t="str">
        <f t="shared" si="139"/>
        <v/>
      </c>
      <c r="K258" t="s">
        <v>13</v>
      </c>
      <c r="L258" t="s">
        <v>756</v>
      </c>
      <c r="M258" t="s">
        <v>756</v>
      </c>
      <c r="N258" t="str">
        <f t="shared" si="142"/>
        <v/>
      </c>
      <c r="Q258" t="str">
        <f t="shared" si="140"/>
        <v/>
      </c>
      <c r="S258">
        <v>146</v>
      </c>
      <c r="U258" t="str">
        <f>IF(B258=1,MAX($U$2:$U257)+1,IF(AND($T258&lt;&gt;"",$T258=$T257),$U257,IF(B258="x",U257,"")))</f>
        <v/>
      </c>
      <c r="V258" t="str">
        <f>IF(C258=1,MAX($V$2:$V257)+1,IF(AND($T258&lt;&gt;"",$T258=$T257),$U257,IF(C258="x",V257,"")))</f>
        <v/>
      </c>
      <c r="W258" t="str">
        <f t="shared" si="114"/>
        <v>a</v>
      </c>
      <c r="X258">
        <v>70</v>
      </c>
      <c r="Y258" t="e">
        <f>IF(X258&lt;&gt;"",VLOOKUP(X258,game_rosters!$C$43:$E$64,3,FALSE))</f>
        <v>#N/A</v>
      </c>
      <c r="Z258" cm="1">
        <f t="array" ref="Z258">IFERROR(IF(_xlfn._xlws.FILTER(game_rosters!$J:$J,(game_rosters!$G:$G=events!$AN258)*(game_rosters!$J:$J=events!$X258))&gt;0,1,""),"")</f>
        <v>1</v>
      </c>
      <c r="AA258">
        <f t="shared" si="115"/>
        <v>1146</v>
      </c>
      <c r="AB258" t="str">
        <f t="shared" si="116"/>
        <v/>
      </c>
      <c r="AC258">
        <f t="shared" ref="AC258:AC321" si="145">IF(AB258&lt;&gt;"",AB258,S258+1000)</f>
        <v>1146</v>
      </c>
      <c r="AD258" s="6">
        <v>1</v>
      </c>
      <c r="AE258" t="s">
        <v>746</v>
      </c>
      <c r="AF258" t="s">
        <v>741</v>
      </c>
      <c r="AG258" t="s">
        <v>746</v>
      </c>
      <c r="AH258" t="s">
        <v>743</v>
      </c>
      <c r="AI258" t="s">
        <v>367</v>
      </c>
      <c r="AJ258" t="str">
        <f t="shared" si="144"/>
        <v/>
      </c>
      <c r="AK258" t="str">
        <f t="shared" si="144"/>
        <v/>
      </c>
      <c r="AL258" t="str">
        <f t="shared" si="118"/>
        <v/>
      </c>
      <c r="AN258" t="s">
        <v>862</v>
      </c>
      <c r="AO258" t="str">
        <f t="shared" si="119"/>
        <v>a</v>
      </c>
      <c r="AP258" t="str">
        <f t="shared" si="126"/>
        <v/>
      </c>
      <c r="AQ258" t="str">
        <f t="shared" si="127"/>
        <v/>
      </c>
      <c r="AR258" t="str">
        <f t="shared" si="128"/>
        <v>Away</v>
      </c>
      <c r="AS258" t="str">
        <f t="shared" si="129"/>
        <v>a</v>
      </c>
      <c r="AT258" t="str">
        <f t="shared" si="130"/>
        <v>Offensive</v>
      </c>
      <c r="BA258" s="6">
        <f t="shared" si="120"/>
        <v>62</v>
      </c>
      <c r="BB258">
        <f t="shared" si="121"/>
        <v>18981</v>
      </c>
      <c r="BC258" t="str">
        <f t="shared" si="122"/>
        <v>Nelson</v>
      </c>
      <c r="BD258" t="str">
        <f t="shared" si="123"/>
        <v>Velodrome</v>
      </c>
      <c r="BE258" t="s">
        <v>13</v>
      </c>
      <c r="BF258" t="s">
        <v>756</v>
      </c>
      <c r="BG258" t="s">
        <v>756</v>
      </c>
      <c r="BI258" cm="1">
        <f t="array" ref="BI258">IFERROR(_xlfn._xlws.FILTER(shifts!A:A,(shifts!B:B=events!AD258)*(shifts!AG:AG&gt;=events!BK258)*(shifts!AH:AH&lt;=events!BL258)),BI257)</f>
        <v>13</v>
      </c>
      <c r="BJ258" s="15">
        <f t="shared" si="124"/>
        <v>3</v>
      </c>
      <c r="BK258">
        <f t="shared" si="131"/>
        <v>741</v>
      </c>
      <c r="BL258">
        <f t="shared" si="132"/>
        <v>738</v>
      </c>
      <c r="BM258" s="15">
        <f>SUMIFS(BJ$2:BJ258,K$2:K258,"=Intermission")+SUMIFS(BJ$2:BJ258,K$2:K258,"=Timeout")</f>
        <v>0</v>
      </c>
      <c r="BN258">
        <f t="shared" si="133"/>
        <v>0</v>
      </c>
      <c r="BO258" s="19">
        <f t="shared" si="134"/>
        <v>339</v>
      </c>
      <c r="BP258">
        <f t="shared" si="135"/>
        <v>334</v>
      </c>
      <c r="BQ258" s="17">
        <f t="shared" si="136"/>
        <v>342</v>
      </c>
      <c r="BR258" t="str">
        <f t="shared" si="137"/>
        <v>event_team_player_1</v>
      </c>
      <c r="BS258">
        <f>COUNTIFS(S$3:S258,"="&amp;S258,AI$3:AI258,"="&amp;AI258)</f>
        <v>1</v>
      </c>
      <c r="BT258" t="str">
        <f>IFERROR(VLOOKUP(BB258&amp;BU258&amp;X258,game_rosters!U:W,3,FALSE),"")</f>
        <v>P100001</v>
      </c>
      <c r="BU258" t="str">
        <f t="shared" si="138"/>
        <v>Velodrome</v>
      </c>
    </row>
    <row r="259" spans="1:73" x14ac:dyDescent="0.2">
      <c r="A259">
        <f t="shared" si="125"/>
        <v>1</v>
      </c>
      <c r="E259" s="4"/>
      <c r="F259" s="43"/>
      <c r="G259" s="4"/>
      <c r="H259" s="46"/>
      <c r="J259" s="44" t="str">
        <f t="shared" si="139"/>
        <v/>
      </c>
      <c r="K259" t="s">
        <v>7</v>
      </c>
      <c r="L259" t="s">
        <v>172</v>
      </c>
      <c r="M259" t="s">
        <v>65</v>
      </c>
      <c r="N259" t="str">
        <f t="shared" si="142"/>
        <v>s</v>
      </c>
      <c r="Q259" t="str">
        <f t="shared" si="140"/>
        <v/>
      </c>
      <c r="S259">
        <v>147</v>
      </c>
      <c r="U259" t="str">
        <f>IF(B259=1,MAX($U$2:$U258)+1,IF(AND($T259&lt;&gt;"",$T259=$T258),$U258,IF(B259="x",U258,"")))</f>
        <v/>
      </c>
      <c r="V259" t="str">
        <f>IF(C259=1,MAX($V$2:$V258)+1,IF(AND($T259&lt;&gt;"",$T259=$T258),$U258,IF(C259="x",V258,"")))</f>
        <v/>
      </c>
      <c r="W259" t="str">
        <f t="shared" si="114"/>
        <v>a</v>
      </c>
      <c r="X259">
        <v>70</v>
      </c>
      <c r="Y259" t="e">
        <f>IF(X259&lt;&gt;"",VLOOKUP(X259,game_rosters!$C$43:$E$64,3,FALSE))</f>
        <v>#N/A</v>
      </c>
      <c r="Z259" cm="1">
        <f t="array" ref="Z259">IFERROR(IF(_xlfn._xlws.FILTER(game_rosters!$J:$J,(game_rosters!$G:$G=events!$AN259)*(game_rosters!$J:$J=events!$X259))&gt;0,1,""),"")</f>
        <v>1</v>
      </c>
      <c r="AA259">
        <f t="shared" si="115"/>
        <v>1147</v>
      </c>
      <c r="AB259" t="str">
        <f t="shared" si="116"/>
        <v/>
      </c>
      <c r="AC259">
        <f t="shared" si="145"/>
        <v>1147</v>
      </c>
      <c r="AD259" s="6">
        <v>1</v>
      </c>
      <c r="AE259" t="s">
        <v>746</v>
      </c>
      <c r="AF259" t="s">
        <v>743</v>
      </c>
      <c r="AG259" t="s">
        <v>756</v>
      </c>
      <c r="AH259" t="s">
        <v>756</v>
      </c>
      <c r="AI259" t="s">
        <v>367</v>
      </c>
      <c r="AJ259" t="str">
        <f t="shared" si="144"/>
        <v/>
      </c>
      <c r="AK259" t="str">
        <f t="shared" si="144"/>
        <v/>
      </c>
      <c r="AL259" t="str">
        <f t="shared" si="118"/>
        <v/>
      </c>
      <c r="AN259" t="s">
        <v>862</v>
      </c>
      <c r="AO259" t="str">
        <f t="shared" si="119"/>
        <v>a</v>
      </c>
      <c r="AP259" t="str">
        <f t="shared" si="126"/>
        <v/>
      </c>
      <c r="AQ259" t="str">
        <f t="shared" si="127"/>
        <v/>
      </c>
      <c r="AR259" t="str">
        <f t="shared" si="128"/>
        <v>Away</v>
      </c>
      <c r="AS259" t="str">
        <f t="shared" si="129"/>
        <v>a</v>
      </c>
      <c r="AT259" t="str">
        <f t="shared" si="130"/>
        <v>Offensive</v>
      </c>
      <c r="BA259" s="6">
        <f t="shared" si="120"/>
        <v>62</v>
      </c>
      <c r="BB259">
        <f t="shared" si="121"/>
        <v>18981</v>
      </c>
      <c r="BC259" t="str">
        <f t="shared" si="122"/>
        <v>Nelson</v>
      </c>
      <c r="BD259" t="str">
        <f t="shared" si="123"/>
        <v>Velodrome</v>
      </c>
      <c r="BE259" t="s">
        <v>7</v>
      </c>
      <c r="BF259" t="s">
        <v>172</v>
      </c>
      <c r="BG259" t="s">
        <v>65</v>
      </c>
      <c r="BI259" cm="1">
        <f t="array" ref="BI259">IFERROR(_xlfn._xlws.FILTER(shifts!A:A,(shifts!B:B=events!AD259)*(shifts!AG:AG&gt;=events!BK259)*(shifts!AH:AH&lt;=events!BL259)),BI258)</f>
        <v>13</v>
      </c>
      <c r="BJ259" s="15">
        <f t="shared" si="124"/>
        <v>0</v>
      </c>
      <c r="BK259">
        <f t="shared" si="131"/>
        <v>738</v>
      </c>
      <c r="BL259">
        <f t="shared" si="132"/>
        <v>738</v>
      </c>
      <c r="BM259" s="15">
        <f>SUMIFS(BJ$2:BJ259,K$2:K259,"=Intermission")+SUMIFS(BJ$2:BJ259,K$2:K259,"=Timeout")</f>
        <v>0</v>
      </c>
      <c r="BN259">
        <f t="shared" si="133"/>
        <v>0</v>
      </c>
      <c r="BO259" s="19">
        <f t="shared" si="134"/>
        <v>342</v>
      </c>
      <c r="BP259">
        <f t="shared" si="135"/>
        <v>337</v>
      </c>
      <c r="BQ259" s="17">
        <f t="shared" si="136"/>
        <v>342</v>
      </c>
      <c r="BR259" t="str">
        <f t="shared" si="137"/>
        <v>event_team_player_1</v>
      </c>
      <c r="BS259">
        <f>COUNTIFS(S$3:S259,"="&amp;S259,AI$3:AI259,"="&amp;AI259)</f>
        <v>1</v>
      </c>
      <c r="BT259" t="str">
        <f>IFERROR(VLOOKUP(BB259&amp;BU259&amp;X259,game_rosters!U:W,3,FALSE),"")</f>
        <v>P100001</v>
      </c>
      <c r="BU259" t="str">
        <f t="shared" si="138"/>
        <v>Velodrome</v>
      </c>
    </row>
    <row r="260" spans="1:73" x14ac:dyDescent="0.2">
      <c r="A260">
        <f t="shared" si="125"/>
        <v>1</v>
      </c>
      <c r="E260" s="4"/>
      <c r="F260" s="43"/>
      <c r="G260" s="4"/>
      <c r="H260" s="46"/>
      <c r="J260" s="44" t="str">
        <f t="shared" si="139"/>
        <v/>
      </c>
      <c r="K260" t="s">
        <v>7</v>
      </c>
      <c r="L260" t="s">
        <v>172</v>
      </c>
      <c r="M260" t="s">
        <v>65</v>
      </c>
      <c r="N260" t="str">
        <f t="shared" si="142"/>
        <v>s</v>
      </c>
      <c r="Q260" t="str">
        <f t="shared" si="140"/>
        <v/>
      </c>
      <c r="S260">
        <v>147</v>
      </c>
      <c r="U260" t="str">
        <f>IF(B260=1,MAX($U$2:$U259)+1,IF(AND($T260&lt;&gt;"",$T260=$T259),$U259,IF(B260="x",U259,"")))</f>
        <v/>
      </c>
      <c r="V260" t="str">
        <f>IF(C260=1,MAX($V$2:$V259)+1,IF(AND($T260&lt;&gt;"",$T260=$T259),$U259,IF(C260="x",V259,"")))</f>
        <v/>
      </c>
      <c r="W260" t="str">
        <f t="shared" ref="W260:W323" si="146">IF(AN260="Away","a",IF(AN260="Home","h",""))</f>
        <v>a</v>
      </c>
      <c r="X260">
        <v>87</v>
      </c>
      <c r="Y260" t="e">
        <f>IF(X260&lt;&gt;"",VLOOKUP(X260,game_rosters!$C$43:$E$64,3,FALSE))</f>
        <v>#N/A</v>
      </c>
      <c r="Z260" cm="1">
        <f t="array" ref="Z260">IFERROR(IF(_xlfn._xlws.FILTER(game_rosters!$J:$J,(game_rosters!$G:$G=events!$AN260)*(game_rosters!$J:$J=events!$X260))&gt;0,1,""),"")</f>
        <v>1</v>
      </c>
      <c r="AA260">
        <f t="shared" ref="AA260:AA323" si="147">S260+1000</f>
        <v>1147</v>
      </c>
      <c r="AB260" t="str">
        <f t="shared" ref="AB260:AB323" si="148">IF(T260&lt;&gt;"",9000+T260,"")</f>
        <v/>
      </c>
      <c r="AC260">
        <f t="shared" si="145"/>
        <v>1147</v>
      </c>
      <c r="AD260" s="6">
        <v>1</v>
      </c>
      <c r="AE260" t="s">
        <v>746</v>
      </c>
      <c r="AF260" t="s">
        <v>743</v>
      </c>
      <c r="AG260" t="s">
        <v>756</v>
      </c>
      <c r="AH260" t="s">
        <v>756</v>
      </c>
      <c r="AI260" t="s">
        <v>367</v>
      </c>
      <c r="AJ260" t="str">
        <f t="shared" ref="AJ260:AK275" si="149">IF($J260&lt;&gt;"",$J260,IF($AC260=$AC259,AJ259,""))</f>
        <v/>
      </c>
      <c r="AK260" t="str">
        <f t="shared" si="149"/>
        <v/>
      </c>
      <c r="AL260" t="str">
        <f t="shared" ref="AL260:AL323" si="150">IF($W260="","",IF($AJ260="","",IF($W260="h",$AJ260,IF($AJ260="n","n",IF(AND($W260="a",$AJ260="d"),"o",IF(AND($W260="a",$AJ260="o"),"d"))))))</f>
        <v/>
      </c>
      <c r="AN260" t="s">
        <v>862</v>
      </c>
      <c r="AO260" t="str">
        <f t="shared" ref="AO260:AO323" si="151">IF($W260&lt;&gt;"",$W260,IF($AC260=$AC259,AO259,""))</f>
        <v>a</v>
      </c>
      <c r="AP260" t="str">
        <f t="shared" si="126"/>
        <v/>
      </c>
      <c r="AQ260" t="str">
        <f t="shared" si="127"/>
        <v/>
      </c>
      <c r="AR260" t="str">
        <f t="shared" si="128"/>
        <v>Away</v>
      </c>
      <c r="AS260" t="str">
        <f t="shared" si="129"/>
        <v>a</v>
      </c>
      <c r="AT260" t="str">
        <f t="shared" si="130"/>
        <v>Offensive</v>
      </c>
      <c r="BA260" s="6">
        <f t="shared" ref="BA260:BA323" si="152">IF(OR(L260="Zone_Entry",L260="Zone_Exit"),BA259+1,BA259)</f>
        <v>62</v>
      </c>
      <c r="BB260">
        <f t="shared" ref="BB260:BB323" si="153">BB259</f>
        <v>18981</v>
      </c>
      <c r="BC260" t="str">
        <f t="shared" ref="BC260:BC323" si="154">BC259</f>
        <v>Nelson</v>
      </c>
      <c r="BD260" t="str">
        <f t="shared" ref="BD260:BD323" si="155">BD259</f>
        <v>Velodrome</v>
      </c>
      <c r="BE260" t="s">
        <v>7</v>
      </c>
      <c r="BF260" t="s">
        <v>172</v>
      </c>
      <c r="BG260" t="s">
        <v>65</v>
      </c>
      <c r="BI260" cm="1">
        <f t="array" ref="BI260">IFERROR(_xlfn._xlws.FILTER(shifts!A:A,(shifts!B:B=events!AD260)*(shifts!AG:AG&gt;=events!BK260)*(shifts!AH:AH&lt;=events!BL260)),BI259)</f>
        <v>13</v>
      </c>
      <c r="BJ260" s="15">
        <f t="shared" ref="BJ260:BJ323" si="156">IF(AND(AG260="",AH260=""),0,((AE260*60)+AF260)-((AG260*60)+AH260))</f>
        <v>0</v>
      </c>
      <c r="BK260">
        <f t="shared" si="131"/>
        <v>738</v>
      </c>
      <c r="BL260">
        <f t="shared" si="132"/>
        <v>738</v>
      </c>
      <c r="BM260" s="15">
        <f>SUMIFS(BJ$2:BJ260,K$2:K260,"=Intermission")+SUMIFS(BJ$2:BJ260,K$2:K260,"=Timeout")</f>
        <v>0</v>
      </c>
      <c r="BN260">
        <f t="shared" si="133"/>
        <v>0</v>
      </c>
      <c r="BO260" s="19">
        <f t="shared" si="134"/>
        <v>342</v>
      </c>
      <c r="BP260">
        <f t="shared" si="135"/>
        <v>337</v>
      </c>
      <c r="BQ260" s="17">
        <f t="shared" si="136"/>
        <v>342</v>
      </c>
      <c r="BR260" t="str">
        <f t="shared" si="137"/>
        <v>event_team_player_2</v>
      </c>
      <c r="BS260">
        <f>COUNTIFS(S$3:S260,"="&amp;S260,AI$3:AI260,"="&amp;AI260)</f>
        <v>2</v>
      </c>
      <c r="BT260" t="str">
        <f>IFERROR(VLOOKUP(BB260&amp;BU260&amp;X260,game_rosters!U:W,3,FALSE),"")</f>
        <v>P100159</v>
      </c>
      <c r="BU260" t="str">
        <f t="shared" si="138"/>
        <v>Velodrome</v>
      </c>
    </row>
    <row r="261" spans="1:73" x14ac:dyDescent="0.2">
      <c r="A261">
        <f t="shared" ref="A261:A324" si="157">IF(K261&lt;&gt;"",1,IF(D261="x","x",""))</f>
        <v>1</v>
      </c>
      <c r="E261" s="4"/>
      <c r="F261" s="43"/>
      <c r="G261" s="4"/>
      <c r="H261" s="46"/>
      <c r="J261" s="44" t="str">
        <f t="shared" si="139"/>
        <v>d</v>
      </c>
      <c r="K261" t="s">
        <v>238</v>
      </c>
      <c r="L261" t="s">
        <v>184</v>
      </c>
      <c r="M261" t="s">
        <v>89</v>
      </c>
      <c r="N261" t="str">
        <f t="shared" si="142"/>
        <v>s</v>
      </c>
      <c r="Q261" t="str">
        <f t="shared" si="140"/>
        <v/>
      </c>
      <c r="S261">
        <v>148</v>
      </c>
      <c r="U261" t="str">
        <f>IF(B261=1,MAX($U$2:$U260)+1,IF(AND($T261&lt;&gt;"",$T261=$T260),$U260,IF(B261="x",U260,"")))</f>
        <v/>
      </c>
      <c r="V261" t="str">
        <f>IF(C261=1,MAX($V$2:$V260)+1,IF(AND($T261&lt;&gt;"",$T261=$T260),$U260,IF(C261="x",V260,"")))</f>
        <v/>
      </c>
      <c r="W261" t="str">
        <f t="shared" si="146"/>
        <v>a</v>
      </c>
      <c r="X261">
        <v>70</v>
      </c>
      <c r="Y261" t="e">
        <f>IF(X261&lt;&gt;"",VLOOKUP(X261,game_rosters!$C$43:$E$64,3,FALSE))</f>
        <v>#N/A</v>
      </c>
      <c r="Z261" cm="1">
        <f t="array" ref="Z261">IFERROR(IF(_xlfn._xlws.FILTER(game_rosters!$J:$J,(game_rosters!$G:$G=events!$AN261)*(game_rosters!$J:$J=events!$X261))&gt;0,1,""),"")</f>
        <v>1</v>
      </c>
      <c r="AA261">
        <f t="shared" si="147"/>
        <v>1148</v>
      </c>
      <c r="AB261" t="str">
        <f t="shared" si="148"/>
        <v/>
      </c>
      <c r="AC261">
        <f t="shared" si="145"/>
        <v>1148</v>
      </c>
      <c r="AD261" s="6">
        <v>1</v>
      </c>
      <c r="AE261" t="s">
        <v>746</v>
      </c>
      <c r="AF261" t="s">
        <v>743</v>
      </c>
      <c r="AG261" t="s">
        <v>756</v>
      </c>
      <c r="AH261" t="s">
        <v>756</v>
      </c>
      <c r="AI261" t="s">
        <v>367</v>
      </c>
      <c r="AJ261" t="str">
        <f t="shared" si="149"/>
        <v>d</v>
      </c>
      <c r="AK261" t="str">
        <f t="shared" si="149"/>
        <v>d</v>
      </c>
      <c r="AL261" t="str">
        <f t="shared" si="150"/>
        <v>o</v>
      </c>
      <c r="AN261" t="s">
        <v>862</v>
      </c>
      <c r="AO261" t="str">
        <f t="shared" si="151"/>
        <v>a</v>
      </c>
      <c r="AP261" t="str">
        <f t="shared" ref="AP261:AP324" si="158">IF(AL261&lt;&gt;"",AL261,IF($AC261=$AC260,AP260,""))</f>
        <v>o</v>
      </c>
      <c r="AQ261" t="str">
        <f t="shared" ref="AQ261:AQ324" si="159">IF(AM261&lt;&gt;"",AM261,IF($AC261=$AC260,AQ260,""))</f>
        <v/>
      </c>
      <c r="AR261" t="str">
        <f t="shared" ref="AR261:AR324" si="160">IF(AN261&lt;&gt;"",AN261,IF($AC261=$AC260,AR260,""))</f>
        <v>Away</v>
      </c>
      <c r="AS261" t="str">
        <f t="shared" ref="AS261:AS324" si="161">IF(AO261&lt;&gt;"",AO261,IF($AC261=$AC260,AS260,""))</f>
        <v>a</v>
      </c>
      <c r="AT261" t="str">
        <f t="shared" ref="AT261:AT324" si="162">IF(AND(AI261="e",OR(BE261="Save",BF261="Turnover_Takeaway",BF261="Play_Defensive")),"Defensive",IF(AND(AI261="o",OR(BE261="Save",BF261="Turnover_Takeaway",BF261="Play_Defensive")),"Offensive",IF(OR(BE261="Deadice",BE261="Stoppage",BE261="Intermission"),"",IF(AI261="e","Offensive",IF(AI261="o","Defensive","")))))</f>
        <v>Offensive</v>
      </c>
      <c r="BA261" s="6">
        <f t="shared" si="152"/>
        <v>63</v>
      </c>
      <c r="BB261">
        <f t="shared" si="153"/>
        <v>18981</v>
      </c>
      <c r="BC261" t="str">
        <f t="shared" si="154"/>
        <v>Nelson</v>
      </c>
      <c r="BD261" t="str">
        <f t="shared" si="155"/>
        <v>Velodrome</v>
      </c>
      <c r="BE261" t="s">
        <v>238</v>
      </c>
      <c r="BF261" t="s">
        <v>184</v>
      </c>
      <c r="BG261" t="s">
        <v>89</v>
      </c>
      <c r="BI261" cm="1">
        <f t="array" ref="BI261">IFERROR(_xlfn._xlws.FILTER(shifts!A:A,(shifts!B:B=events!AD261)*(shifts!AG:AG&gt;=events!BK261)*(shifts!AH:AH&lt;=events!BL261)),BI260)</f>
        <v>13</v>
      </c>
      <c r="BJ261" s="15">
        <f t="shared" si="156"/>
        <v>0</v>
      </c>
      <c r="BK261">
        <f t="shared" ref="BK261:BK324" si="163">(AE261*60)+AF261</f>
        <v>738</v>
      </c>
      <c r="BL261">
        <f t="shared" ref="BL261:BL324" si="164">IF(AND(AG261="",AH261=""),BK261,((AG261*60)+AH261))</f>
        <v>738</v>
      </c>
      <c r="BM261" s="15">
        <f>SUMIFS(BJ$2:BJ261,K$2:K261,"=Intermission")+SUMIFS(BJ$2:BJ261,K$2:K261,"=Timeout")</f>
        <v>0</v>
      </c>
      <c r="BN261">
        <f t="shared" ref="BN261:BN324" si="165">IF(AD261=1,0,IF(AD261=2,1080+BM261,IF(AD261=3,(1080*2)+BM261,0)))</f>
        <v>0</v>
      </c>
      <c r="BO261" s="19">
        <f t="shared" ref="BO261:BO324" si="166">IF(K261="Intermission",BO260,((1080)-((AE261*60)+AF261))+BN261)</f>
        <v>342</v>
      </c>
      <c r="BP261">
        <f t="shared" ref="BP261:BP324" si="167">IF(BO261&lt;5,0,BO261-5)</f>
        <v>337</v>
      </c>
      <c r="BQ261" s="17">
        <f t="shared" ref="BQ261:BQ324" si="168">BP261+BJ261+5</f>
        <v>342</v>
      </c>
      <c r="BR261" t="str">
        <f t="shared" ref="BR261:BR324" si="169">IF(AI261="e","event_team_player_"&amp;BS261,IF(AI261="o","opp_team_player_"&amp;BS261,""))</f>
        <v>event_team_player_1</v>
      </c>
      <c r="BS261">
        <f>COUNTIFS(S$3:S261,"="&amp;S261,AI$3:AI261,"="&amp;AI261)</f>
        <v>1</v>
      </c>
      <c r="BT261" t="str">
        <f>IFERROR(VLOOKUP(BB261&amp;BU261&amp;X261,game_rosters!U:W,3,FALSE),"")</f>
        <v>P100001</v>
      </c>
      <c r="BU261" t="str">
        <f t="shared" ref="BU261:BU324" si="170">IF(AR261="","",IF(AND(AR261="Away",AI261="e"),BD261,IF(AND(AR261="Home",AI261="e"),BC261,IF(AND(AR261="Away",AI261="o"),BC261,IF(AND(AR261="Home",AI261="o"),BD261)))))</f>
        <v>Velodrome</v>
      </c>
    </row>
    <row r="262" spans="1:73" x14ac:dyDescent="0.2">
      <c r="A262">
        <f t="shared" si="157"/>
        <v>1</v>
      </c>
      <c r="E262" s="4"/>
      <c r="F262" s="43"/>
      <c r="G262" s="4"/>
      <c r="H262" s="46"/>
      <c r="J262" s="44" t="str">
        <f t="shared" ref="J262:J325" si="171">IF(OR(K262="Goal",K262="Shot",L262="Zone_Entry",M262="Stoppage-Goal",M261="Stoppage-Goal"),"o",IF(OR(K262="Save",K262="Rebound",L262="Zone_Exit",M262="Stoppage-GoalieStoppage",M261="Stoppage-GoalieStoppage"),"d",IF(OR(L262="Faceoff_AfterGoal",L262="Faceoff_PeriodStart",698="Faceoff_GameStart",M261="Stoppage-Goal"),"n","")))</f>
        <v>d</v>
      </c>
      <c r="K262" t="s">
        <v>238</v>
      </c>
      <c r="L262" t="s">
        <v>184</v>
      </c>
      <c r="M262" t="s">
        <v>89</v>
      </c>
      <c r="N262" t="str">
        <f t="shared" si="142"/>
        <v>s</v>
      </c>
      <c r="Q262" t="str">
        <f t="shared" si="140"/>
        <v/>
      </c>
      <c r="S262">
        <v>148</v>
      </c>
      <c r="U262" t="str">
        <f>IF(B262=1,MAX($U$2:$U261)+1,IF(AND($T262&lt;&gt;"",$T262=$T261),$U261,IF(B262="x",U261,"")))</f>
        <v/>
      </c>
      <c r="V262" t="str">
        <f>IF(C262=1,MAX($V$2:$V261)+1,IF(AND($T262&lt;&gt;"",$T262=$T261),$U261,IF(C262="x",V261,"")))</f>
        <v/>
      </c>
      <c r="W262" t="str">
        <f t="shared" si="146"/>
        <v>a</v>
      </c>
      <c r="X262">
        <v>87</v>
      </c>
      <c r="Y262" t="e">
        <f>IF(X262&lt;&gt;"",VLOOKUP(X262,game_rosters!$C$43:$E$64,3,FALSE))</f>
        <v>#N/A</v>
      </c>
      <c r="Z262" cm="1">
        <f t="array" ref="Z262">IFERROR(IF(_xlfn._xlws.FILTER(game_rosters!$J:$J,(game_rosters!$G:$G=events!$AN262)*(game_rosters!$J:$J=events!$X262))&gt;0,1,""),"")</f>
        <v>1</v>
      </c>
      <c r="AA262">
        <f t="shared" si="147"/>
        <v>1148</v>
      </c>
      <c r="AB262" t="str">
        <f t="shared" si="148"/>
        <v/>
      </c>
      <c r="AC262">
        <f t="shared" si="145"/>
        <v>1148</v>
      </c>
      <c r="AD262" s="6">
        <v>1</v>
      </c>
      <c r="AE262" t="s">
        <v>746</v>
      </c>
      <c r="AF262" t="s">
        <v>743</v>
      </c>
      <c r="AG262" t="s">
        <v>756</v>
      </c>
      <c r="AH262" t="s">
        <v>756</v>
      </c>
      <c r="AI262" t="s">
        <v>367</v>
      </c>
      <c r="AJ262" t="str">
        <f t="shared" si="149"/>
        <v>d</v>
      </c>
      <c r="AK262" t="str">
        <f t="shared" si="149"/>
        <v>d</v>
      </c>
      <c r="AL262" t="str">
        <f t="shared" si="150"/>
        <v>o</v>
      </c>
      <c r="AN262" t="s">
        <v>862</v>
      </c>
      <c r="AO262" t="str">
        <f t="shared" si="151"/>
        <v>a</v>
      </c>
      <c r="AP262" t="str">
        <f t="shared" si="158"/>
        <v>o</v>
      </c>
      <c r="AQ262" t="str">
        <f t="shared" si="159"/>
        <v/>
      </c>
      <c r="AR262" t="str">
        <f t="shared" si="160"/>
        <v>Away</v>
      </c>
      <c r="AS262" t="str">
        <f t="shared" si="161"/>
        <v>a</v>
      </c>
      <c r="AT262" t="str">
        <f t="shared" si="162"/>
        <v>Offensive</v>
      </c>
      <c r="BA262" s="6">
        <f t="shared" si="152"/>
        <v>64</v>
      </c>
      <c r="BB262">
        <f t="shared" si="153"/>
        <v>18981</v>
      </c>
      <c r="BC262" t="str">
        <f t="shared" si="154"/>
        <v>Nelson</v>
      </c>
      <c r="BD262" t="str">
        <f t="shared" si="155"/>
        <v>Velodrome</v>
      </c>
      <c r="BE262" t="s">
        <v>238</v>
      </c>
      <c r="BF262" t="s">
        <v>184</v>
      </c>
      <c r="BG262" t="s">
        <v>89</v>
      </c>
      <c r="BI262" cm="1">
        <f t="array" ref="BI262">IFERROR(_xlfn._xlws.FILTER(shifts!A:A,(shifts!B:B=events!AD262)*(shifts!AG:AG&gt;=events!BK262)*(shifts!AH:AH&lt;=events!BL262)),BI261)</f>
        <v>13</v>
      </c>
      <c r="BJ262" s="15">
        <f t="shared" si="156"/>
        <v>0</v>
      </c>
      <c r="BK262">
        <f t="shared" si="163"/>
        <v>738</v>
      </c>
      <c r="BL262">
        <f t="shared" si="164"/>
        <v>738</v>
      </c>
      <c r="BM262" s="15">
        <f>SUMIFS(BJ$2:BJ262,K$2:K262,"=Intermission")+SUMIFS(BJ$2:BJ262,K$2:K262,"=Timeout")</f>
        <v>0</v>
      </c>
      <c r="BN262">
        <f t="shared" si="165"/>
        <v>0</v>
      </c>
      <c r="BO262" s="19">
        <f t="shared" si="166"/>
        <v>342</v>
      </c>
      <c r="BP262">
        <f t="shared" si="167"/>
        <v>337</v>
      </c>
      <c r="BQ262" s="17">
        <f t="shared" si="168"/>
        <v>342</v>
      </c>
      <c r="BR262" t="str">
        <f t="shared" si="169"/>
        <v>event_team_player_2</v>
      </c>
      <c r="BS262">
        <f>COUNTIFS(S$3:S262,"="&amp;S262,AI$3:AI262,"="&amp;AI262)</f>
        <v>2</v>
      </c>
      <c r="BT262" t="str">
        <f>IFERROR(VLOOKUP(BB262&amp;BU262&amp;X262,game_rosters!U:W,3,FALSE),"")</f>
        <v>P100159</v>
      </c>
      <c r="BU262" t="str">
        <f t="shared" si="170"/>
        <v>Velodrome</v>
      </c>
    </row>
    <row r="263" spans="1:73" x14ac:dyDescent="0.2">
      <c r="A263">
        <f t="shared" si="157"/>
        <v>1</v>
      </c>
      <c r="E263" s="4"/>
      <c r="F263" s="43"/>
      <c r="G263" s="4"/>
      <c r="H263" s="46"/>
      <c r="J263" s="44" t="str">
        <f t="shared" si="171"/>
        <v/>
      </c>
      <c r="K263" t="s">
        <v>13</v>
      </c>
      <c r="L263" t="s">
        <v>756</v>
      </c>
      <c r="M263" t="s">
        <v>756</v>
      </c>
      <c r="N263" t="str">
        <f t="shared" si="142"/>
        <v/>
      </c>
      <c r="Q263" t="str">
        <f t="shared" si="140"/>
        <v/>
      </c>
      <c r="S263">
        <v>149</v>
      </c>
      <c r="U263" t="str">
        <f>IF(B263=1,MAX($U$2:$U262)+1,IF(AND($T263&lt;&gt;"",$T263=$T262),$U262,IF(B263="x",U262,"")))</f>
        <v/>
      </c>
      <c r="V263" t="str">
        <f>IF(C263=1,MAX($V$2:$V262)+1,IF(AND($T263&lt;&gt;"",$T263=$T262),$U262,IF(C263="x",V262,"")))</f>
        <v/>
      </c>
      <c r="W263" t="str">
        <f t="shared" si="146"/>
        <v>a</v>
      </c>
      <c r="X263">
        <v>87</v>
      </c>
      <c r="Y263" t="e">
        <f>IF(X263&lt;&gt;"",VLOOKUP(X263,game_rosters!$C$43:$E$64,3,FALSE))</f>
        <v>#N/A</v>
      </c>
      <c r="Z263" cm="1">
        <f t="array" ref="Z263">IFERROR(IF(_xlfn._xlws.FILTER(game_rosters!$J:$J,(game_rosters!$G:$G=events!$AN263)*(game_rosters!$J:$J=events!$X263))&gt;0,1,""),"")</f>
        <v>1</v>
      </c>
      <c r="AA263">
        <f t="shared" si="147"/>
        <v>1149</v>
      </c>
      <c r="AB263" t="str">
        <f t="shared" si="148"/>
        <v/>
      </c>
      <c r="AC263">
        <f t="shared" si="145"/>
        <v>1149</v>
      </c>
      <c r="AD263" s="6">
        <v>1</v>
      </c>
      <c r="AE263" t="s">
        <v>746</v>
      </c>
      <c r="AF263" t="s">
        <v>743</v>
      </c>
      <c r="AG263" t="s">
        <v>746</v>
      </c>
      <c r="AH263" t="s">
        <v>732</v>
      </c>
      <c r="AI263" t="s">
        <v>367</v>
      </c>
      <c r="AJ263" t="str">
        <f t="shared" si="149"/>
        <v/>
      </c>
      <c r="AK263" t="str">
        <f t="shared" si="149"/>
        <v/>
      </c>
      <c r="AL263" t="str">
        <f t="shared" si="150"/>
        <v/>
      </c>
      <c r="AN263" t="s">
        <v>862</v>
      </c>
      <c r="AO263" t="str">
        <f t="shared" si="151"/>
        <v>a</v>
      </c>
      <c r="AP263" t="str">
        <f t="shared" si="158"/>
        <v/>
      </c>
      <c r="AQ263" t="str">
        <f t="shared" si="159"/>
        <v/>
      </c>
      <c r="AR263" t="str">
        <f t="shared" si="160"/>
        <v>Away</v>
      </c>
      <c r="AS263" t="str">
        <f t="shared" si="161"/>
        <v>a</v>
      </c>
      <c r="AT263" t="str">
        <f t="shared" si="162"/>
        <v>Offensive</v>
      </c>
      <c r="BA263" s="6">
        <f t="shared" si="152"/>
        <v>64</v>
      </c>
      <c r="BB263">
        <f t="shared" si="153"/>
        <v>18981</v>
      </c>
      <c r="BC263" t="str">
        <f t="shared" si="154"/>
        <v>Nelson</v>
      </c>
      <c r="BD263" t="str">
        <f t="shared" si="155"/>
        <v>Velodrome</v>
      </c>
      <c r="BE263" t="s">
        <v>13</v>
      </c>
      <c r="BF263" t="s">
        <v>756</v>
      </c>
      <c r="BG263" t="s">
        <v>756</v>
      </c>
      <c r="BI263" cm="1">
        <f t="array" ref="BI263">IFERROR(_xlfn._xlws.FILTER(shifts!A:A,(shifts!B:B=events!AD263)*(shifts!AG:AG&gt;=events!BK263)*(shifts!AH:AH&lt;=events!BL263)),BI262)</f>
        <v>13</v>
      </c>
      <c r="BJ263" s="15">
        <f t="shared" si="156"/>
        <v>1</v>
      </c>
      <c r="BK263">
        <f t="shared" si="163"/>
        <v>738</v>
      </c>
      <c r="BL263">
        <f t="shared" si="164"/>
        <v>737</v>
      </c>
      <c r="BM263" s="15">
        <f>SUMIFS(BJ$2:BJ263,K$2:K263,"=Intermission")+SUMIFS(BJ$2:BJ263,K$2:K263,"=Timeout")</f>
        <v>0</v>
      </c>
      <c r="BN263">
        <f t="shared" si="165"/>
        <v>0</v>
      </c>
      <c r="BO263" s="19">
        <f t="shared" si="166"/>
        <v>342</v>
      </c>
      <c r="BP263">
        <f t="shared" si="167"/>
        <v>337</v>
      </c>
      <c r="BQ263" s="17">
        <f t="shared" si="168"/>
        <v>343</v>
      </c>
      <c r="BR263" t="str">
        <f t="shared" si="169"/>
        <v>event_team_player_1</v>
      </c>
      <c r="BS263">
        <f>COUNTIFS(S$3:S263,"="&amp;S263,AI$3:AI263,"="&amp;AI263)</f>
        <v>1</v>
      </c>
      <c r="BT263" t="str">
        <f>IFERROR(VLOOKUP(BB263&amp;BU263&amp;X263,game_rosters!U:W,3,FALSE),"")</f>
        <v>P100159</v>
      </c>
      <c r="BU263" t="str">
        <f t="shared" si="170"/>
        <v>Velodrome</v>
      </c>
    </row>
    <row r="264" spans="1:73" x14ac:dyDescent="0.2">
      <c r="A264">
        <f t="shared" si="157"/>
        <v>1</v>
      </c>
      <c r="E264" s="4"/>
      <c r="F264" s="43"/>
      <c r="G264" s="4"/>
      <c r="H264" s="46"/>
      <c r="J264" s="44" t="str">
        <f t="shared" si="171"/>
        <v>o</v>
      </c>
      <c r="K264" t="s">
        <v>238</v>
      </c>
      <c r="L264" t="s">
        <v>174</v>
      </c>
      <c r="M264" t="s">
        <v>85</v>
      </c>
      <c r="N264" t="str">
        <f t="shared" si="142"/>
        <v>s</v>
      </c>
      <c r="Q264" t="str">
        <f t="shared" si="140"/>
        <v/>
      </c>
      <c r="S264">
        <v>150</v>
      </c>
      <c r="U264" t="str">
        <f>IF(B264=1,MAX($U$2:$U263)+1,IF(AND($T264&lt;&gt;"",$T264=$T263),$U263,IF(B264="x",U263,"")))</f>
        <v/>
      </c>
      <c r="V264" t="str">
        <f>IF(C264=1,MAX($V$2:$V263)+1,IF(AND($T264&lt;&gt;"",$T264=$T263),$U263,IF(C264="x",V263,"")))</f>
        <v/>
      </c>
      <c r="W264" t="str">
        <f t="shared" si="146"/>
        <v>a</v>
      </c>
      <c r="X264">
        <v>87</v>
      </c>
      <c r="Y264" t="e">
        <f>IF(X264&lt;&gt;"",VLOOKUP(X264,game_rosters!$C$43:$E$64,3,FALSE))</f>
        <v>#N/A</v>
      </c>
      <c r="Z264" cm="1">
        <f t="array" ref="Z264">IFERROR(IF(_xlfn._xlws.FILTER(game_rosters!$J:$J,(game_rosters!$G:$G=events!$AN264)*(game_rosters!$J:$J=events!$X264))&gt;0,1,""),"")</f>
        <v>1</v>
      </c>
      <c r="AA264">
        <f t="shared" si="147"/>
        <v>1150</v>
      </c>
      <c r="AB264" t="str">
        <f t="shared" si="148"/>
        <v/>
      </c>
      <c r="AC264">
        <f t="shared" si="145"/>
        <v>1150</v>
      </c>
      <c r="AD264" s="6">
        <v>1</v>
      </c>
      <c r="AE264" t="s">
        <v>746</v>
      </c>
      <c r="AF264" t="s">
        <v>732</v>
      </c>
      <c r="AG264" t="s">
        <v>746</v>
      </c>
      <c r="AH264" t="s">
        <v>745</v>
      </c>
      <c r="AI264" t="s">
        <v>367</v>
      </c>
      <c r="AJ264" t="str">
        <f t="shared" si="149"/>
        <v>o</v>
      </c>
      <c r="AK264" t="str">
        <f t="shared" si="149"/>
        <v>o</v>
      </c>
      <c r="AL264" t="str">
        <f t="shared" si="150"/>
        <v>d</v>
      </c>
      <c r="AN264" t="s">
        <v>862</v>
      </c>
      <c r="AO264" t="str">
        <f t="shared" si="151"/>
        <v>a</v>
      </c>
      <c r="AP264" t="str">
        <f t="shared" si="158"/>
        <v>d</v>
      </c>
      <c r="AQ264" t="str">
        <f t="shared" si="159"/>
        <v/>
      </c>
      <c r="AR264" t="str">
        <f t="shared" si="160"/>
        <v>Away</v>
      </c>
      <c r="AS264" t="str">
        <f t="shared" si="161"/>
        <v>a</v>
      </c>
      <c r="AT264" t="str">
        <f t="shared" si="162"/>
        <v>Offensive</v>
      </c>
      <c r="BA264" s="6">
        <f t="shared" si="152"/>
        <v>65</v>
      </c>
      <c r="BB264">
        <f t="shared" si="153"/>
        <v>18981</v>
      </c>
      <c r="BC264" t="str">
        <f t="shared" si="154"/>
        <v>Nelson</v>
      </c>
      <c r="BD264" t="str">
        <f t="shared" si="155"/>
        <v>Velodrome</v>
      </c>
      <c r="BE264" t="s">
        <v>238</v>
      </c>
      <c r="BF264" t="s">
        <v>174</v>
      </c>
      <c r="BG264" t="s">
        <v>85</v>
      </c>
      <c r="BI264" cm="1">
        <f t="array" ref="BI264">IFERROR(_xlfn._xlws.FILTER(shifts!A:A,(shifts!B:B=events!AD264)*(shifts!AG:AG&gt;=events!BK264)*(shifts!AH:AH&lt;=events!BL264)),BI263)</f>
        <v>13</v>
      </c>
      <c r="BJ264" s="15">
        <f t="shared" si="156"/>
        <v>3</v>
      </c>
      <c r="BK264">
        <f t="shared" si="163"/>
        <v>737</v>
      </c>
      <c r="BL264">
        <f t="shared" si="164"/>
        <v>734</v>
      </c>
      <c r="BM264" s="15">
        <f>SUMIFS(BJ$2:BJ264,K$2:K264,"=Intermission")+SUMIFS(BJ$2:BJ264,K$2:K264,"=Timeout")</f>
        <v>0</v>
      </c>
      <c r="BN264">
        <f t="shared" si="165"/>
        <v>0</v>
      </c>
      <c r="BO264" s="19">
        <f t="shared" si="166"/>
        <v>343</v>
      </c>
      <c r="BP264">
        <f t="shared" si="167"/>
        <v>338</v>
      </c>
      <c r="BQ264" s="17">
        <f t="shared" si="168"/>
        <v>346</v>
      </c>
      <c r="BR264" t="str">
        <f t="shared" si="169"/>
        <v>event_team_player_1</v>
      </c>
      <c r="BS264">
        <f>COUNTIFS(S$3:S264,"="&amp;S264,AI$3:AI264,"="&amp;AI264)</f>
        <v>1</v>
      </c>
      <c r="BT264" t="str">
        <f>IFERROR(VLOOKUP(BB264&amp;BU264&amp;X264,game_rosters!U:W,3,FALSE),"")</f>
        <v>P100159</v>
      </c>
      <c r="BU264" t="str">
        <f t="shared" si="170"/>
        <v>Velodrome</v>
      </c>
    </row>
    <row r="265" spans="1:73" x14ac:dyDescent="0.2">
      <c r="A265">
        <f t="shared" si="157"/>
        <v>1</v>
      </c>
      <c r="E265" s="4"/>
      <c r="F265" s="43"/>
      <c r="G265" s="4"/>
      <c r="H265" s="46"/>
      <c r="J265" s="44" t="str">
        <f t="shared" si="171"/>
        <v>o</v>
      </c>
      <c r="K265" t="s">
        <v>238</v>
      </c>
      <c r="L265" t="s">
        <v>174</v>
      </c>
      <c r="M265" t="s">
        <v>85</v>
      </c>
      <c r="N265" t="str">
        <f t="shared" si="142"/>
        <v>s</v>
      </c>
      <c r="Q265" t="str">
        <f t="shared" si="140"/>
        <v/>
      </c>
      <c r="S265">
        <v>150</v>
      </c>
      <c r="U265" t="str">
        <f>IF(B265=1,MAX($U$2:$U264)+1,IF(AND($T265&lt;&gt;"",$T265=$T264),$U264,IF(B265="x",U264,"")))</f>
        <v/>
      </c>
      <c r="V265" t="str">
        <f>IF(C265=1,MAX($V$2:$V264)+1,IF(AND($T265&lt;&gt;"",$T265=$T264),$U264,IF(C265="x",V264,"")))</f>
        <v/>
      </c>
      <c r="W265" t="str">
        <f t="shared" si="146"/>
        <v>a</v>
      </c>
      <c r="X265">
        <v>8</v>
      </c>
      <c r="Y265" t="b">
        <f>IF(X265&lt;&gt;"",VLOOKUP(X265,game_rosters!$C$43:$E$64,3,FALSE))</f>
        <v>0</v>
      </c>
      <c r="Z265" t="str" cm="1">
        <f t="array" ref="Z265">IFERROR(IF(_xlfn._xlws.FILTER(game_rosters!$J:$J,(game_rosters!$G:$G=events!$AN265)*(game_rosters!$J:$J=events!$X265))&gt;0,1,""),"")</f>
        <v/>
      </c>
      <c r="AA265">
        <f t="shared" si="147"/>
        <v>1150</v>
      </c>
      <c r="AB265" t="str">
        <f t="shared" si="148"/>
        <v/>
      </c>
      <c r="AC265">
        <f t="shared" si="145"/>
        <v>1150</v>
      </c>
      <c r="AD265" s="6">
        <v>1</v>
      </c>
      <c r="AE265" t="s">
        <v>746</v>
      </c>
      <c r="AF265" t="s">
        <v>732</v>
      </c>
      <c r="AG265" t="s">
        <v>746</v>
      </c>
      <c r="AH265" t="s">
        <v>745</v>
      </c>
      <c r="AI265" t="s">
        <v>368</v>
      </c>
      <c r="AJ265" t="str">
        <f t="shared" si="149"/>
        <v>o</v>
      </c>
      <c r="AK265" t="str">
        <f t="shared" si="149"/>
        <v>o</v>
      </c>
      <c r="AL265" t="str">
        <f t="shared" si="150"/>
        <v>d</v>
      </c>
      <c r="AN265" t="s">
        <v>862</v>
      </c>
      <c r="AO265" t="str">
        <f t="shared" si="151"/>
        <v>a</v>
      </c>
      <c r="AP265" t="str">
        <f t="shared" si="158"/>
        <v>d</v>
      </c>
      <c r="AQ265" t="str">
        <f t="shared" si="159"/>
        <v/>
      </c>
      <c r="AR265" t="str">
        <f t="shared" si="160"/>
        <v>Away</v>
      </c>
      <c r="AS265" t="str">
        <f t="shared" si="161"/>
        <v>a</v>
      </c>
      <c r="AT265" t="str">
        <f t="shared" si="162"/>
        <v>Defensive</v>
      </c>
      <c r="BA265" s="6">
        <f t="shared" si="152"/>
        <v>66</v>
      </c>
      <c r="BB265">
        <f t="shared" si="153"/>
        <v>18981</v>
      </c>
      <c r="BC265" t="str">
        <f t="shared" si="154"/>
        <v>Nelson</v>
      </c>
      <c r="BD265" t="str">
        <f t="shared" si="155"/>
        <v>Velodrome</v>
      </c>
      <c r="BE265" t="s">
        <v>238</v>
      </c>
      <c r="BF265" t="s">
        <v>174</v>
      </c>
      <c r="BG265" t="s">
        <v>85</v>
      </c>
      <c r="BI265" cm="1">
        <f t="array" ref="BI265">IFERROR(_xlfn._xlws.FILTER(shifts!A:A,(shifts!B:B=events!AD265)*(shifts!AG:AG&gt;=events!BK265)*(shifts!AH:AH&lt;=events!BL265)),BI264)</f>
        <v>13</v>
      </c>
      <c r="BJ265" s="15">
        <f t="shared" si="156"/>
        <v>3</v>
      </c>
      <c r="BK265">
        <f t="shared" si="163"/>
        <v>737</v>
      </c>
      <c r="BL265">
        <f t="shared" si="164"/>
        <v>734</v>
      </c>
      <c r="BM265" s="15">
        <f>SUMIFS(BJ$2:BJ265,K$2:K265,"=Intermission")+SUMIFS(BJ$2:BJ265,K$2:K265,"=Timeout")</f>
        <v>0</v>
      </c>
      <c r="BN265">
        <f t="shared" si="165"/>
        <v>0</v>
      </c>
      <c r="BO265" s="19">
        <f t="shared" si="166"/>
        <v>343</v>
      </c>
      <c r="BP265">
        <f t="shared" si="167"/>
        <v>338</v>
      </c>
      <c r="BQ265" s="17">
        <f t="shared" si="168"/>
        <v>346</v>
      </c>
      <c r="BR265" t="str">
        <f t="shared" si="169"/>
        <v>opp_team_player_1</v>
      </c>
      <c r="BS265">
        <f>COUNTIFS(S$3:S265,"="&amp;S265,AI$3:AI265,"="&amp;AI265)</f>
        <v>1</v>
      </c>
      <c r="BT265" t="str">
        <f>IFERROR(VLOOKUP(BB265&amp;BU265&amp;X265,game_rosters!U:W,3,FALSE),"")</f>
        <v>P100074</v>
      </c>
      <c r="BU265" t="str">
        <f t="shared" si="170"/>
        <v>Nelson</v>
      </c>
    </row>
    <row r="266" spans="1:73" x14ac:dyDescent="0.2">
      <c r="A266">
        <f t="shared" si="157"/>
        <v>1</v>
      </c>
      <c r="E266" s="4"/>
      <c r="F266" s="43"/>
      <c r="G266" s="4"/>
      <c r="H266" s="46"/>
      <c r="J266" s="44" t="str">
        <f t="shared" si="171"/>
        <v>o</v>
      </c>
      <c r="K266" t="s">
        <v>6</v>
      </c>
      <c r="L266" t="s">
        <v>205</v>
      </c>
      <c r="M266" t="s">
        <v>51</v>
      </c>
      <c r="N266" t="str">
        <f t="shared" si="142"/>
        <v>s</v>
      </c>
      <c r="Q266" t="str">
        <f t="shared" si="140"/>
        <v/>
      </c>
      <c r="S266">
        <v>151</v>
      </c>
      <c r="U266" t="str">
        <f>IF(B266=1,MAX($U$2:$U265)+1,IF(AND($T266&lt;&gt;"",$T266=$T265),$U265,IF(B266="x",U265,"")))</f>
        <v/>
      </c>
      <c r="V266" t="str">
        <f>IF(C266=1,MAX($V$2:$V265)+1,IF(AND($T266&lt;&gt;"",$T266=$T265),$U265,IF(C266="x",V265,"")))</f>
        <v/>
      </c>
      <c r="W266" t="str">
        <f t="shared" si="146"/>
        <v>a</v>
      </c>
      <c r="X266">
        <v>87</v>
      </c>
      <c r="Y266" t="e">
        <f>IF(X266&lt;&gt;"",VLOOKUP(X266,game_rosters!$C$43:$E$64,3,FALSE))</f>
        <v>#N/A</v>
      </c>
      <c r="Z266" cm="1">
        <f t="array" ref="Z266">IFERROR(IF(_xlfn._xlws.FILTER(game_rosters!$J:$J,(game_rosters!$G:$G=events!$AN266)*(game_rosters!$J:$J=events!$X266))&gt;0,1,""),"")</f>
        <v>1</v>
      </c>
      <c r="AA266">
        <f t="shared" si="147"/>
        <v>1151</v>
      </c>
      <c r="AB266" t="str">
        <f t="shared" si="148"/>
        <v/>
      </c>
      <c r="AC266">
        <f t="shared" si="145"/>
        <v>1151</v>
      </c>
      <c r="AD266" s="6">
        <v>1</v>
      </c>
      <c r="AE266" t="s">
        <v>746</v>
      </c>
      <c r="AF266" t="s">
        <v>745</v>
      </c>
      <c r="AG266" t="s">
        <v>756</v>
      </c>
      <c r="AH266" t="s">
        <v>756</v>
      </c>
      <c r="AI266" t="s">
        <v>367</v>
      </c>
      <c r="AJ266" t="str">
        <f t="shared" si="149"/>
        <v>o</v>
      </c>
      <c r="AK266" t="str">
        <f t="shared" si="149"/>
        <v>o</v>
      </c>
      <c r="AL266" t="str">
        <f t="shared" si="150"/>
        <v>d</v>
      </c>
      <c r="AN266" t="s">
        <v>862</v>
      </c>
      <c r="AO266" t="str">
        <f t="shared" si="151"/>
        <v>a</v>
      </c>
      <c r="AP266" t="str">
        <f t="shared" si="158"/>
        <v>d</v>
      </c>
      <c r="AQ266" t="str">
        <f t="shared" si="159"/>
        <v/>
      </c>
      <c r="AR266" t="str">
        <f t="shared" si="160"/>
        <v>Away</v>
      </c>
      <c r="AS266" t="str">
        <f t="shared" si="161"/>
        <v>a</v>
      </c>
      <c r="AT266" t="str">
        <f t="shared" si="162"/>
        <v>Offensive</v>
      </c>
      <c r="BA266" s="6">
        <f t="shared" si="152"/>
        <v>66</v>
      </c>
      <c r="BB266">
        <f t="shared" si="153"/>
        <v>18981</v>
      </c>
      <c r="BC266" t="str">
        <f t="shared" si="154"/>
        <v>Nelson</v>
      </c>
      <c r="BD266" t="str">
        <f t="shared" si="155"/>
        <v>Velodrome</v>
      </c>
      <c r="BE266" t="s">
        <v>6</v>
      </c>
      <c r="BF266" t="s">
        <v>205</v>
      </c>
      <c r="BG266" t="s">
        <v>51</v>
      </c>
      <c r="BI266" cm="1">
        <f t="array" ref="BI266">IFERROR(_xlfn._xlws.FILTER(shifts!A:A,(shifts!B:B=events!AD266)*(shifts!AG:AG&gt;=events!BK266)*(shifts!AH:AH&lt;=events!BL266)),BI265)</f>
        <v>13</v>
      </c>
      <c r="BJ266" s="15">
        <f t="shared" si="156"/>
        <v>0</v>
      </c>
      <c r="BK266">
        <f t="shared" si="163"/>
        <v>734</v>
      </c>
      <c r="BL266">
        <f t="shared" si="164"/>
        <v>734</v>
      </c>
      <c r="BM266" s="15">
        <f>SUMIFS(BJ$2:BJ266,K$2:K266,"=Intermission")+SUMIFS(BJ$2:BJ266,K$2:K266,"=Timeout")</f>
        <v>0</v>
      </c>
      <c r="BN266">
        <f t="shared" si="165"/>
        <v>0</v>
      </c>
      <c r="BO266" s="19">
        <f t="shared" si="166"/>
        <v>346</v>
      </c>
      <c r="BP266">
        <f t="shared" si="167"/>
        <v>341</v>
      </c>
      <c r="BQ266" s="17">
        <f t="shared" si="168"/>
        <v>346</v>
      </c>
      <c r="BR266" t="str">
        <f t="shared" si="169"/>
        <v>event_team_player_1</v>
      </c>
      <c r="BS266">
        <f>COUNTIFS(S$3:S266,"="&amp;S266,AI$3:AI266,"="&amp;AI266)</f>
        <v>1</v>
      </c>
      <c r="BT266" t="str">
        <f>IFERROR(VLOOKUP(BB266&amp;BU266&amp;X266,game_rosters!U:W,3,FALSE),"")</f>
        <v>P100159</v>
      </c>
      <c r="BU266" t="str">
        <f t="shared" si="170"/>
        <v>Velodrome</v>
      </c>
    </row>
    <row r="267" spans="1:73" x14ac:dyDescent="0.2">
      <c r="A267">
        <f t="shared" si="157"/>
        <v>1</v>
      </c>
      <c r="E267" s="4"/>
      <c r="F267" s="43"/>
      <c r="G267" s="4"/>
      <c r="H267" s="46"/>
      <c r="J267" s="44" t="str">
        <f t="shared" si="171"/>
        <v>o</v>
      </c>
      <c r="K267" t="s">
        <v>6</v>
      </c>
      <c r="L267" t="s">
        <v>205</v>
      </c>
      <c r="M267" t="s">
        <v>51</v>
      </c>
      <c r="N267" t="str">
        <f t="shared" si="142"/>
        <v>s</v>
      </c>
      <c r="Q267" t="str">
        <f t="shared" si="140"/>
        <v/>
      </c>
      <c r="S267">
        <v>151</v>
      </c>
      <c r="U267" t="str">
        <f>IF(B267=1,MAX($U$2:$U266)+1,IF(AND($T267&lt;&gt;"",$T267=$T266),$U266,IF(B267="x",U266,"")))</f>
        <v/>
      </c>
      <c r="V267" t="str">
        <f>IF(C267=1,MAX($V$2:$V266)+1,IF(AND($T267&lt;&gt;"",$T267=$T266),$U266,IF(C267="x",V266,"")))</f>
        <v/>
      </c>
      <c r="W267" t="str">
        <f t="shared" si="146"/>
        <v>a</v>
      </c>
      <c r="X267">
        <v>31</v>
      </c>
      <c r="Y267" t="b">
        <f>IF(X267&lt;&gt;"",VLOOKUP(X267,game_rosters!$C$43:$E$64,3,FALSE))</f>
        <v>0</v>
      </c>
      <c r="Z267" t="str" cm="1">
        <f t="array" ref="Z267">IFERROR(IF(_xlfn._xlws.FILTER(game_rosters!$J:$J,(game_rosters!$G:$G=events!$AN267)*(game_rosters!$J:$J=events!$X267))&gt;0,1,""),"")</f>
        <v/>
      </c>
      <c r="AA267">
        <f t="shared" si="147"/>
        <v>1151</v>
      </c>
      <c r="AB267" t="str">
        <f t="shared" si="148"/>
        <v/>
      </c>
      <c r="AC267">
        <f t="shared" si="145"/>
        <v>1151</v>
      </c>
      <c r="AD267" s="6">
        <v>1</v>
      </c>
      <c r="AE267" t="s">
        <v>746</v>
      </c>
      <c r="AF267" t="s">
        <v>745</v>
      </c>
      <c r="AG267" t="s">
        <v>756</v>
      </c>
      <c r="AH267" t="s">
        <v>756</v>
      </c>
      <c r="AI267" t="s">
        <v>368</v>
      </c>
      <c r="AJ267" t="str">
        <f t="shared" si="149"/>
        <v>o</v>
      </c>
      <c r="AK267" t="str">
        <f t="shared" si="149"/>
        <v>o</v>
      </c>
      <c r="AL267" t="str">
        <f t="shared" si="150"/>
        <v>d</v>
      </c>
      <c r="AN267" t="s">
        <v>862</v>
      </c>
      <c r="AO267" t="str">
        <f t="shared" si="151"/>
        <v>a</v>
      </c>
      <c r="AP267" t="str">
        <f t="shared" si="158"/>
        <v>d</v>
      </c>
      <c r="AQ267" t="str">
        <f t="shared" si="159"/>
        <v/>
      </c>
      <c r="AR267" t="str">
        <f t="shared" si="160"/>
        <v>Away</v>
      </c>
      <c r="AS267" t="str">
        <f t="shared" si="161"/>
        <v>a</v>
      </c>
      <c r="AT267" t="str">
        <f t="shared" si="162"/>
        <v>Defensive</v>
      </c>
      <c r="BA267" s="6">
        <f t="shared" si="152"/>
        <v>66</v>
      </c>
      <c r="BB267">
        <f t="shared" si="153"/>
        <v>18981</v>
      </c>
      <c r="BC267" t="str">
        <f t="shared" si="154"/>
        <v>Nelson</v>
      </c>
      <c r="BD267" t="str">
        <f t="shared" si="155"/>
        <v>Velodrome</v>
      </c>
      <c r="BE267" t="s">
        <v>6</v>
      </c>
      <c r="BF267" t="s">
        <v>205</v>
      </c>
      <c r="BG267" t="s">
        <v>51</v>
      </c>
      <c r="BI267" cm="1">
        <f t="array" ref="BI267">IFERROR(_xlfn._xlws.FILTER(shifts!A:A,(shifts!B:B=events!AD267)*(shifts!AG:AG&gt;=events!BK267)*(shifts!AH:AH&lt;=events!BL267)),BI266)</f>
        <v>13</v>
      </c>
      <c r="BJ267" s="15">
        <f t="shared" si="156"/>
        <v>0</v>
      </c>
      <c r="BK267">
        <f t="shared" si="163"/>
        <v>734</v>
      </c>
      <c r="BL267">
        <f t="shared" si="164"/>
        <v>734</v>
      </c>
      <c r="BM267" s="15">
        <f>SUMIFS(BJ$2:BJ267,K$2:K267,"=Intermission")+SUMIFS(BJ$2:BJ267,K$2:K267,"=Timeout")</f>
        <v>0</v>
      </c>
      <c r="BN267">
        <f t="shared" si="165"/>
        <v>0</v>
      </c>
      <c r="BO267" s="19">
        <f t="shared" si="166"/>
        <v>346</v>
      </c>
      <c r="BP267">
        <f t="shared" si="167"/>
        <v>341</v>
      </c>
      <c r="BQ267" s="17">
        <f t="shared" si="168"/>
        <v>346</v>
      </c>
      <c r="BR267" t="str">
        <f t="shared" si="169"/>
        <v>opp_team_player_1</v>
      </c>
      <c r="BS267">
        <f>COUNTIFS(S$3:S267,"="&amp;S267,AI$3:AI267,"="&amp;AI267)</f>
        <v>1</v>
      </c>
      <c r="BT267" t="str">
        <f>IFERROR(VLOOKUP(BB267&amp;BU267&amp;X267,game_rosters!U:W,3,FALSE),"")</f>
        <v>P100138</v>
      </c>
      <c r="BU267" t="str">
        <f t="shared" si="170"/>
        <v>Nelson</v>
      </c>
    </row>
    <row r="268" spans="1:73" x14ac:dyDescent="0.2">
      <c r="A268">
        <f t="shared" si="157"/>
        <v>1</v>
      </c>
      <c r="E268" s="4"/>
      <c r="F268" s="43"/>
      <c r="G268" s="4"/>
      <c r="H268" s="46"/>
      <c r="J268" s="44" t="str">
        <f t="shared" si="171"/>
        <v>o</v>
      </c>
      <c r="K268" t="s">
        <v>6</v>
      </c>
      <c r="L268" t="s">
        <v>205</v>
      </c>
      <c r="M268" t="s">
        <v>51</v>
      </c>
      <c r="N268" t="str">
        <f t="shared" si="142"/>
        <v>s</v>
      </c>
      <c r="Q268" t="str">
        <f t="shared" si="140"/>
        <v/>
      </c>
      <c r="S268">
        <v>151</v>
      </c>
      <c r="U268" t="str">
        <f>IF(B268=1,MAX($U$2:$U267)+1,IF(AND($T268&lt;&gt;"",$T268=$T267),$U267,IF(B268="x",U267,"")))</f>
        <v/>
      </c>
      <c r="V268" t="str">
        <f>IF(C268=1,MAX($V$2:$V267)+1,IF(AND($T268&lt;&gt;"",$T268=$T267),$U267,IF(C268="x",V267,"")))</f>
        <v/>
      </c>
      <c r="W268" t="str">
        <f t="shared" si="146"/>
        <v>a</v>
      </c>
      <c r="X268">
        <v>8</v>
      </c>
      <c r="Y268" t="b">
        <f>IF(X268&lt;&gt;"",VLOOKUP(X268,game_rosters!$C$43:$E$64,3,FALSE))</f>
        <v>0</v>
      </c>
      <c r="Z268" t="str" cm="1">
        <f t="array" ref="Z268">IFERROR(IF(_xlfn._xlws.FILTER(game_rosters!$J:$J,(game_rosters!$G:$G=events!$AN268)*(game_rosters!$J:$J=events!$X268))&gt;0,1,""),"")</f>
        <v/>
      </c>
      <c r="AA268">
        <f t="shared" si="147"/>
        <v>1151</v>
      </c>
      <c r="AB268" t="str">
        <f t="shared" si="148"/>
        <v/>
      </c>
      <c r="AC268">
        <f t="shared" si="145"/>
        <v>1151</v>
      </c>
      <c r="AD268" s="6">
        <v>1</v>
      </c>
      <c r="AE268" t="s">
        <v>746</v>
      </c>
      <c r="AF268" t="s">
        <v>745</v>
      </c>
      <c r="AG268" t="s">
        <v>756</v>
      </c>
      <c r="AH268" t="s">
        <v>756</v>
      </c>
      <c r="AI268" t="s">
        <v>368</v>
      </c>
      <c r="AJ268" t="str">
        <f t="shared" si="149"/>
        <v>o</v>
      </c>
      <c r="AK268" t="str">
        <f t="shared" si="149"/>
        <v>o</v>
      </c>
      <c r="AL268" t="str">
        <f t="shared" si="150"/>
        <v>d</v>
      </c>
      <c r="AN268" t="s">
        <v>862</v>
      </c>
      <c r="AO268" t="str">
        <f t="shared" si="151"/>
        <v>a</v>
      </c>
      <c r="AP268" t="str">
        <f t="shared" si="158"/>
        <v>d</v>
      </c>
      <c r="AQ268" t="str">
        <f t="shared" si="159"/>
        <v/>
      </c>
      <c r="AR268" t="str">
        <f t="shared" si="160"/>
        <v>Away</v>
      </c>
      <c r="AS268" t="str">
        <f t="shared" si="161"/>
        <v>a</v>
      </c>
      <c r="AT268" t="str">
        <f t="shared" si="162"/>
        <v>Defensive</v>
      </c>
      <c r="BA268" s="6">
        <f t="shared" si="152"/>
        <v>66</v>
      </c>
      <c r="BB268">
        <f t="shared" si="153"/>
        <v>18981</v>
      </c>
      <c r="BC268" t="str">
        <f t="shared" si="154"/>
        <v>Nelson</v>
      </c>
      <c r="BD268" t="str">
        <f t="shared" si="155"/>
        <v>Velodrome</v>
      </c>
      <c r="BE268" t="s">
        <v>6</v>
      </c>
      <c r="BF268" t="s">
        <v>205</v>
      </c>
      <c r="BG268" t="s">
        <v>51</v>
      </c>
      <c r="BI268" cm="1">
        <f t="array" ref="BI268">IFERROR(_xlfn._xlws.FILTER(shifts!A:A,(shifts!B:B=events!AD268)*(shifts!AG:AG&gt;=events!BK268)*(shifts!AH:AH&lt;=events!BL268)),BI267)</f>
        <v>13</v>
      </c>
      <c r="BJ268" s="15">
        <f t="shared" si="156"/>
        <v>0</v>
      </c>
      <c r="BK268">
        <f t="shared" si="163"/>
        <v>734</v>
      </c>
      <c r="BL268">
        <f t="shared" si="164"/>
        <v>734</v>
      </c>
      <c r="BM268" s="15">
        <f>SUMIFS(BJ$2:BJ268,K$2:K268,"=Intermission")+SUMIFS(BJ$2:BJ268,K$2:K268,"=Timeout")</f>
        <v>0</v>
      </c>
      <c r="BN268">
        <f t="shared" si="165"/>
        <v>0</v>
      </c>
      <c r="BO268" s="19">
        <f t="shared" si="166"/>
        <v>346</v>
      </c>
      <c r="BP268">
        <f t="shared" si="167"/>
        <v>341</v>
      </c>
      <c r="BQ268" s="17">
        <f t="shared" si="168"/>
        <v>346</v>
      </c>
      <c r="BR268" t="str">
        <f t="shared" si="169"/>
        <v>opp_team_player_2</v>
      </c>
      <c r="BS268">
        <f>COUNTIFS(S$3:S268,"="&amp;S268,AI$3:AI268,"="&amp;AI268)</f>
        <v>2</v>
      </c>
      <c r="BT268" t="str">
        <f>IFERROR(VLOOKUP(BB268&amp;BU268&amp;X268,game_rosters!U:W,3,FALSE),"")</f>
        <v>P100074</v>
      </c>
      <c r="BU268" t="str">
        <f t="shared" si="170"/>
        <v>Nelson</v>
      </c>
    </row>
    <row r="269" spans="1:73" x14ac:dyDescent="0.2">
      <c r="A269">
        <f t="shared" si="157"/>
        <v>1</v>
      </c>
      <c r="E269" s="4"/>
      <c r="F269" s="43"/>
      <c r="G269" s="4"/>
      <c r="H269" s="46"/>
      <c r="J269" s="44" t="str">
        <f t="shared" si="171"/>
        <v>d</v>
      </c>
      <c r="K269" t="s">
        <v>15</v>
      </c>
      <c r="L269" t="s">
        <v>189</v>
      </c>
      <c r="M269" t="s">
        <v>101</v>
      </c>
      <c r="N269" t="str">
        <f t="shared" si="142"/>
        <v/>
      </c>
      <c r="Q269" t="str">
        <f t="shared" si="140"/>
        <v/>
      </c>
      <c r="S269">
        <v>152</v>
      </c>
      <c r="U269" t="str">
        <f>IF(B269=1,MAX($U$2:$U268)+1,IF(AND($T269&lt;&gt;"",$T269=$T268),$U268,IF(B269="x",U268,"")))</f>
        <v/>
      </c>
      <c r="V269" t="str">
        <f>IF(C269=1,MAX($V$2:$V268)+1,IF(AND($T269&lt;&gt;"",$T269=$T268),$U268,IF(C269="x",V268,"")))</f>
        <v/>
      </c>
      <c r="W269" t="str">
        <f t="shared" si="146"/>
        <v>h</v>
      </c>
      <c r="X269">
        <v>31</v>
      </c>
      <c r="Y269" t="b">
        <f>IF(X269&lt;&gt;"",VLOOKUP(X269,game_rosters!$C$43:$E$64,3,FALSE))</f>
        <v>0</v>
      </c>
      <c r="Z269" cm="1">
        <f t="array" ref="Z269">IFERROR(IF(_xlfn._xlws.FILTER(game_rosters!$J:$J,(game_rosters!$G:$G=events!$AN269)*(game_rosters!$J:$J=events!$X269))&gt;0,1,""),"")</f>
        <v>1</v>
      </c>
      <c r="AA269">
        <f t="shared" si="147"/>
        <v>1152</v>
      </c>
      <c r="AB269" t="str">
        <f t="shared" si="148"/>
        <v/>
      </c>
      <c r="AC269">
        <f t="shared" si="145"/>
        <v>1152</v>
      </c>
      <c r="AD269" s="6">
        <v>1</v>
      </c>
      <c r="AE269" t="s">
        <v>746</v>
      </c>
      <c r="AF269" t="s">
        <v>745</v>
      </c>
      <c r="AG269" t="s">
        <v>756</v>
      </c>
      <c r="AH269" t="s">
        <v>756</v>
      </c>
      <c r="AI269" t="s">
        <v>367</v>
      </c>
      <c r="AJ269" t="str">
        <f t="shared" si="149"/>
        <v>d</v>
      </c>
      <c r="AK269" t="str">
        <f t="shared" si="149"/>
        <v>d</v>
      </c>
      <c r="AL269" t="str">
        <f t="shared" si="150"/>
        <v>d</v>
      </c>
      <c r="AN269" t="s">
        <v>861</v>
      </c>
      <c r="AO269" t="str">
        <f t="shared" si="151"/>
        <v>h</v>
      </c>
      <c r="AP269" t="str">
        <f t="shared" si="158"/>
        <v>d</v>
      </c>
      <c r="AQ269" t="str">
        <f t="shared" si="159"/>
        <v/>
      </c>
      <c r="AR269" t="str">
        <f t="shared" si="160"/>
        <v>Home</v>
      </c>
      <c r="AS269" t="str">
        <f t="shared" si="161"/>
        <v>h</v>
      </c>
      <c r="AT269" t="str">
        <f t="shared" si="162"/>
        <v>Defensive</v>
      </c>
      <c r="BA269" s="6">
        <f t="shared" si="152"/>
        <v>66</v>
      </c>
      <c r="BB269">
        <f t="shared" si="153"/>
        <v>18981</v>
      </c>
      <c r="BC269" t="str">
        <f t="shared" si="154"/>
        <v>Nelson</v>
      </c>
      <c r="BD269" t="str">
        <f t="shared" si="155"/>
        <v>Velodrome</v>
      </c>
      <c r="BE269" t="s">
        <v>15</v>
      </c>
      <c r="BF269" t="s">
        <v>189</v>
      </c>
      <c r="BG269" t="s">
        <v>101</v>
      </c>
      <c r="BI269" cm="1">
        <f t="array" ref="BI269">IFERROR(_xlfn._xlws.FILTER(shifts!A:A,(shifts!B:B=events!AD269)*(shifts!AG:AG&gt;=events!BK269)*(shifts!AH:AH&lt;=events!BL269)),BI268)</f>
        <v>13</v>
      </c>
      <c r="BJ269" s="15">
        <f t="shared" si="156"/>
        <v>0</v>
      </c>
      <c r="BK269">
        <f t="shared" si="163"/>
        <v>734</v>
      </c>
      <c r="BL269">
        <f t="shared" si="164"/>
        <v>734</v>
      </c>
      <c r="BM269" s="15">
        <f>SUMIFS(BJ$2:BJ269,K$2:K269,"=Intermission")+SUMIFS(BJ$2:BJ269,K$2:K269,"=Timeout")</f>
        <v>0</v>
      </c>
      <c r="BN269">
        <f t="shared" si="165"/>
        <v>0</v>
      </c>
      <c r="BO269" s="19">
        <f t="shared" si="166"/>
        <v>346</v>
      </c>
      <c r="BP269">
        <f t="shared" si="167"/>
        <v>341</v>
      </c>
      <c r="BQ269" s="17">
        <f t="shared" si="168"/>
        <v>346</v>
      </c>
      <c r="BR269" t="str">
        <f t="shared" si="169"/>
        <v>event_team_player_1</v>
      </c>
      <c r="BS269">
        <f>COUNTIFS(S$3:S269,"="&amp;S269,AI$3:AI269,"="&amp;AI269)</f>
        <v>1</v>
      </c>
      <c r="BT269" t="str">
        <f>IFERROR(VLOOKUP(BB269&amp;BU269&amp;X269,game_rosters!U:W,3,FALSE),"")</f>
        <v>P100138</v>
      </c>
      <c r="BU269" t="str">
        <f t="shared" si="170"/>
        <v>Nelson</v>
      </c>
    </row>
    <row r="270" spans="1:73" x14ac:dyDescent="0.2">
      <c r="A270">
        <f t="shared" si="157"/>
        <v>1</v>
      </c>
      <c r="E270" s="4"/>
      <c r="F270" s="43"/>
      <c r="G270" s="4"/>
      <c r="H270" s="46"/>
      <c r="J270" s="44" t="str">
        <f t="shared" si="171"/>
        <v>d</v>
      </c>
      <c r="K270" t="s">
        <v>15</v>
      </c>
      <c r="L270" t="s">
        <v>189</v>
      </c>
      <c r="M270" t="s">
        <v>101</v>
      </c>
      <c r="N270" t="str">
        <f t="shared" si="142"/>
        <v/>
      </c>
      <c r="Q270" t="str">
        <f t="shared" si="140"/>
        <v/>
      </c>
      <c r="S270">
        <v>152</v>
      </c>
      <c r="U270" t="str">
        <f>IF(B270=1,MAX($U$2:$U269)+1,IF(AND($T270&lt;&gt;"",$T270=$T269),$U269,IF(B270="x",U269,"")))</f>
        <v/>
      </c>
      <c r="V270" t="str">
        <f>IF(C270=1,MAX($V$2:$V269)+1,IF(AND($T270&lt;&gt;"",$T270=$T269),$U269,IF(C270="x",V269,"")))</f>
        <v/>
      </c>
      <c r="W270" t="str">
        <f t="shared" si="146"/>
        <v>h</v>
      </c>
      <c r="X270">
        <v>8</v>
      </c>
      <c r="Y270" t="b">
        <f>IF(X270&lt;&gt;"",VLOOKUP(X270,game_rosters!$C$43:$E$64,3,FALSE))</f>
        <v>0</v>
      </c>
      <c r="Z270" cm="1">
        <f t="array" ref="Z270">IFERROR(IF(_xlfn._xlws.FILTER(game_rosters!$J:$J,(game_rosters!$G:$G=events!$AN270)*(game_rosters!$J:$J=events!$X270))&gt;0,1,""),"")</f>
        <v>1</v>
      </c>
      <c r="AA270">
        <f t="shared" si="147"/>
        <v>1152</v>
      </c>
      <c r="AB270" t="str">
        <f t="shared" si="148"/>
        <v/>
      </c>
      <c r="AC270">
        <f t="shared" si="145"/>
        <v>1152</v>
      </c>
      <c r="AD270" s="6">
        <v>1</v>
      </c>
      <c r="AE270" t="s">
        <v>746</v>
      </c>
      <c r="AF270" t="s">
        <v>745</v>
      </c>
      <c r="AG270" t="s">
        <v>756</v>
      </c>
      <c r="AH270" t="s">
        <v>756</v>
      </c>
      <c r="AI270" t="s">
        <v>367</v>
      </c>
      <c r="AJ270" t="str">
        <f t="shared" si="149"/>
        <v>d</v>
      </c>
      <c r="AK270" t="str">
        <f t="shared" si="149"/>
        <v>d</v>
      </c>
      <c r="AL270" t="str">
        <f t="shared" si="150"/>
        <v>d</v>
      </c>
      <c r="AN270" t="s">
        <v>861</v>
      </c>
      <c r="AO270" t="str">
        <f t="shared" si="151"/>
        <v>h</v>
      </c>
      <c r="AP270" t="str">
        <f t="shared" si="158"/>
        <v>d</v>
      </c>
      <c r="AQ270" t="str">
        <f t="shared" si="159"/>
        <v/>
      </c>
      <c r="AR270" t="str">
        <f t="shared" si="160"/>
        <v>Home</v>
      </c>
      <c r="AS270" t="str">
        <f t="shared" si="161"/>
        <v>h</v>
      </c>
      <c r="AT270" t="str">
        <f t="shared" si="162"/>
        <v>Defensive</v>
      </c>
      <c r="BA270" s="6">
        <f t="shared" si="152"/>
        <v>66</v>
      </c>
      <c r="BB270">
        <f t="shared" si="153"/>
        <v>18981</v>
      </c>
      <c r="BC270" t="str">
        <f t="shared" si="154"/>
        <v>Nelson</v>
      </c>
      <c r="BD270" t="str">
        <f t="shared" si="155"/>
        <v>Velodrome</v>
      </c>
      <c r="BE270" t="s">
        <v>15</v>
      </c>
      <c r="BF270" t="s">
        <v>189</v>
      </c>
      <c r="BG270" t="s">
        <v>101</v>
      </c>
      <c r="BI270" cm="1">
        <f t="array" ref="BI270">IFERROR(_xlfn._xlws.FILTER(shifts!A:A,(shifts!B:B=events!AD270)*(shifts!AG:AG&gt;=events!BK270)*(shifts!AH:AH&lt;=events!BL270)),BI269)</f>
        <v>13</v>
      </c>
      <c r="BJ270" s="15">
        <f t="shared" si="156"/>
        <v>0</v>
      </c>
      <c r="BK270">
        <f t="shared" si="163"/>
        <v>734</v>
      </c>
      <c r="BL270">
        <f t="shared" si="164"/>
        <v>734</v>
      </c>
      <c r="BM270" s="15">
        <f>SUMIFS(BJ$2:BJ270,K$2:K270,"=Intermission")+SUMIFS(BJ$2:BJ270,K$2:K270,"=Timeout")</f>
        <v>0</v>
      </c>
      <c r="BN270">
        <f t="shared" si="165"/>
        <v>0</v>
      </c>
      <c r="BO270" s="19">
        <f t="shared" si="166"/>
        <v>346</v>
      </c>
      <c r="BP270">
        <f t="shared" si="167"/>
        <v>341</v>
      </c>
      <c r="BQ270" s="17">
        <f t="shared" si="168"/>
        <v>346</v>
      </c>
      <c r="BR270" t="str">
        <f t="shared" si="169"/>
        <v>event_team_player_2</v>
      </c>
      <c r="BS270">
        <f>COUNTIFS(S$3:S270,"="&amp;S270,AI$3:AI270,"="&amp;AI270)</f>
        <v>2</v>
      </c>
      <c r="BT270" t="str">
        <f>IFERROR(VLOOKUP(BB270&amp;BU270&amp;X270,game_rosters!U:W,3,FALSE),"")</f>
        <v>P100074</v>
      </c>
      <c r="BU270" t="str">
        <f t="shared" si="170"/>
        <v>Nelson</v>
      </c>
    </row>
    <row r="271" spans="1:73" x14ac:dyDescent="0.2">
      <c r="A271">
        <f t="shared" si="157"/>
        <v>1</v>
      </c>
      <c r="E271" s="4"/>
      <c r="F271" s="43"/>
      <c r="G271" s="4"/>
      <c r="H271" s="46"/>
      <c r="J271" s="44" t="str">
        <f t="shared" si="171"/>
        <v>d</v>
      </c>
      <c r="K271" t="s">
        <v>15</v>
      </c>
      <c r="L271" t="s">
        <v>189</v>
      </c>
      <c r="M271" t="s">
        <v>101</v>
      </c>
      <c r="N271" t="str">
        <f t="shared" si="142"/>
        <v/>
      </c>
      <c r="Q271" t="str">
        <f t="shared" si="140"/>
        <v/>
      </c>
      <c r="S271">
        <v>152</v>
      </c>
      <c r="U271" t="str">
        <f>IF(B271=1,MAX($U$2:$U270)+1,IF(AND($T271&lt;&gt;"",$T271=$T270),$U270,IF(B271="x",U270,"")))</f>
        <v/>
      </c>
      <c r="V271" t="str">
        <f>IF(C271=1,MAX($V$2:$V270)+1,IF(AND($T271&lt;&gt;"",$T271=$T270),$U270,IF(C271="x",V270,"")))</f>
        <v/>
      </c>
      <c r="W271" t="str">
        <f t="shared" si="146"/>
        <v>h</v>
      </c>
      <c r="X271">
        <v>87</v>
      </c>
      <c r="Y271" t="e">
        <f>IF(X271&lt;&gt;"",VLOOKUP(X271,game_rosters!$C$43:$E$64,3,FALSE))</f>
        <v>#N/A</v>
      </c>
      <c r="Z271" t="str" cm="1">
        <f t="array" ref="Z271">IFERROR(IF(_xlfn._xlws.FILTER(game_rosters!$J:$J,(game_rosters!$G:$G=events!$AN271)*(game_rosters!$J:$J=events!$X271))&gt;0,1,""),"")</f>
        <v/>
      </c>
      <c r="AA271">
        <f t="shared" si="147"/>
        <v>1152</v>
      </c>
      <c r="AB271" t="str">
        <f t="shared" si="148"/>
        <v/>
      </c>
      <c r="AC271">
        <f t="shared" si="145"/>
        <v>1152</v>
      </c>
      <c r="AD271" s="6">
        <v>1</v>
      </c>
      <c r="AE271" t="s">
        <v>746</v>
      </c>
      <c r="AF271" t="s">
        <v>745</v>
      </c>
      <c r="AG271" t="s">
        <v>756</v>
      </c>
      <c r="AH271" t="s">
        <v>756</v>
      </c>
      <c r="AI271" t="s">
        <v>368</v>
      </c>
      <c r="AJ271" t="str">
        <f t="shared" si="149"/>
        <v>d</v>
      </c>
      <c r="AK271" t="str">
        <f t="shared" si="149"/>
        <v>d</v>
      </c>
      <c r="AL271" t="str">
        <f t="shared" si="150"/>
        <v>d</v>
      </c>
      <c r="AN271" t="s">
        <v>861</v>
      </c>
      <c r="AO271" t="str">
        <f t="shared" si="151"/>
        <v>h</v>
      </c>
      <c r="AP271" t="str">
        <f t="shared" si="158"/>
        <v>d</v>
      </c>
      <c r="AQ271" t="str">
        <f t="shared" si="159"/>
        <v/>
      </c>
      <c r="AR271" t="str">
        <f t="shared" si="160"/>
        <v>Home</v>
      </c>
      <c r="AS271" t="str">
        <f t="shared" si="161"/>
        <v>h</v>
      </c>
      <c r="AT271" t="str">
        <f t="shared" si="162"/>
        <v>Offensive</v>
      </c>
      <c r="BA271" s="6">
        <f t="shared" si="152"/>
        <v>66</v>
      </c>
      <c r="BB271">
        <f t="shared" si="153"/>
        <v>18981</v>
      </c>
      <c r="BC271" t="str">
        <f t="shared" si="154"/>
        <v>Nelson</v>
      </c>
      <c r="BD271" t="str">
        <f t="shared" si="155"/>
        <v>Velodrome</v>
      </c>
      <c r="BE271" t="s">
        <v>15</v>
      </c>
      <c r="BF271" t="s">
        <v>189</v>
      </c>
      <c r="BG271" t="s">
        <v>101</v>
      </c>
      <c r="BI271" cm="1">
        <f t="array" ref="BI271">IFERROR(_xlfn._xlws.FILTER(shifts!A:A,(shifts!B:B=events!AD271)*(shifts!AG:AG&gt;=events!BK271)*(shifts!AH:AH&lt;=events!BL271)),BI270)</f>
        <v>13</v>
      </c>
      <c r="BJ271" s="15">
        <f t="shared" si="156"/>
        <v>0</v>
      </c>
      <c r="BK271">
        <f t="shared" si="163"/>
        <v>734</v>
      </c>
      <c r="BL271">
        <f t="shared" si="164"/>
        <v>734</v>
      </c>
      <c r="BM271" s="15">
        <f>SUMIFS(BJ$2:BJ271,K$2:K271,"=Intermission")+SUMIFS(BJ$2:BJ271,K$2:K271,"=Timeout")</f>
        <v>0</v>
      </c>
      <c r="BN271">
        <f t="shared" si="165"/>
        <v>0</v>
      </c>
      <c r="BO271" s="19">
        <f t="shared" si="166"/>
        <v>346</v>
      </c>
      <c r="BP271">
        <f t="shared" si="167"/>
        <v>341</v>
      </c>
      <c r="BQ271" s="17">
        <f t="shared" si="168"/>
        <v>346</v>
      </c>
      <c r="BR271" t="str">
        <f t="shared" si="169"/>
        <v>opp_team_player_1</v>
      </c>
      <c r="BS271">
        <f>COUNTIFS(S$3:S271,"="&amp;S271,AI$3:AI271,"="&amp;AI271)</f>
        <v>1</v>
      </c>
      <c r="BT271" t="str">
        <f>IFERROR(VLOOKUP(BB271&amp;BU271&amp;X271,game_rosters!U:W,3,FALSE),"")</f>
        <v>P100159</v>
      </c>
      <c r="BU271" t="str">
        <f t="shared" si="170"/>
        <v>Velodrome</v>
      </c>
    </row>
    <row r="272" spans="1:73" x14ac:dyDescent="0.2">
      <c r="A272">
        <f t="shared" si="157"/>
        <v>1</v>
      </c>
      <c r="E272" s="4"/>
      <c r="F272" s="43"/>
      <c r="G272" s="4"/>
      <c r="H272" s="46"/>
      <c r="J272" s="44" t="str">
        <f t="shared" si="171"/>
        <v>d</v>
      </c>
      <c r="K272" t="s">
        <v>11</v>
      </c>
      <c r="L272" t="s">
        <v>187</v>
      </c>
      <c r="M272" t="s">
        <v>108</v>
      </c>
      <c r="N272" t="str">
        <f t="shared" si="142"/>
        <v/>
      </c>
      <c r="Q272" t="str">
        <f t="shared" ref="Q272:Q335" si="172">IF(O272="","",IF(AND(N272&lt;&gt;"",OR(O272&lt;&gt;"",P272&lt;&gt;"")),N272,IF(OR(ISNUMBER(SEARCH("attemp",O272)),ISNUMBER(SEARCH("beat",O272)),ISNUMBER(SEARCH("mis",O272)),ISNUMBER(SEARCH("fail",O272)),ISNUMBER(SEARCH("loss",O272)),ISNUMBER(SEARCH("lost",O272)),ISNUMBER(SEARCH("attemp",P272)),ISNUMBER(SEARCH("mis",P272)),ISNUMBER(SEARCH("fail",P272)),ISNUMBER(SEARCH("loss",P272)),ISNUMBER(SEARCH("beat",P272)),ISNUMBER(SEARCH("lost",P272))),"u","")))</f>
        <v/>
      </c>
      <c r="S272">
        <v>153</v>
      </c>
      <c r="U272" t="str">
        <f>IF(B272=1,MAX($U$2:$U271)+1,IF(AND($T272&lt;&gt;"",$T272=$T271),$U271,IF(B272="x",U271,"")))</f>
        <v/>
      </c>
      <c r="V272" t="str">
        <f>IF(C272=1,MAX($V$2:$V271)+1,IF(AND($T272&lt;&gt;"",$T272=$T271),$U271,IF(C272="x",V271,"")))</f>
        <v/>
      </c>
      <c r="W272" t="str">
        <f t="shared" si="146"/>
        <v>h</v>
      </c>
      <c r="X272">
        <v>31</v>
      </c>
      <c r="Y272" t="b">
        <f>IF(X272&lt;&gt;"",VLOOKUP(X272,game_rosters!$C$43:$E$64,3,FALSE))</f>
        <v>0</v>
      </c>
      <c r="Z272" cm="1">
        <f t="array" ref="Z272">IFERROR(IF(_xlfn._xlws.FILTER(game_rosters!$J:$J,(game_rosters!$G:$G=events!$AN272)*(game_rosters!$J:$J=events!$X272))&gt;0,1,""),"")</f>
        <v>1</v>
      </c>
      <c r="AA272">
        <f t="shared" si="147"/>
        <v>1153</v>
      </c>
      <c r="AB272" t="str">
        <f t="shared" si="148"/>
        <v/>
      </c>
      <c r="AC272">
        <f t="shared" si="145"/>
        <v>1153</v>
      </c>
      <c r="AD272" s="6">
        <v>1</v>
      </c>
      <c r="AE272" t="s">
        <v>746</v>
      </c>
      <c r="AF272" t="s">
        <v>745</v>
      </c>
      <c r="AG272" t="s">
        <v>756</v>
      </c>
      <c r="AH272" t="s">
        <v>756</v>
      </c>
      <c r="AI272" t="s">
        <v>367</v>
      </c>
      <c r="AJ272" t="str">
        <f t="shared" si="149"/>
        <v>d</v>
      </c>
      <c r="AK272" t="str">
        <f t="shared" si="149"/>
        <v>d</v>
      </c>
      <c r="AL272" t="str">
        <f t="shared" si="150"/>
        <v>d</v>
      </c>
      <c r="AN272" t="s">
        <v>861</v>
      </c>
      <c r="AO272" t="str">
        <f t="shared" si="151"/>
        <v>h</v>
      </c>
      <c r="AP272" t="str">
        <f t="shared" si="158"/>
        <v>d</v>
      </c>
      <c r="AQ272" t="str">
        <f t="shared" si="159"/>
        <v/>
      </c>
      <c r="AR272" t="str">
        <f t="shared" si="160"/>
        <v>Home</v>
      </c>
      <c r="AS272" t="str">
        <f t="shared" si="161"/>
        <v>h</v>
      </c>
      <c r="AT272" t="str">
        <f t="shared" si="162"/>
        <v/>
      </c>
      <c r="BA272" s="6">
        <f t="shared" si="152"/>
        <v>66</v>
      </c>
      <c r="BB272">
        <f t="shared" si="153"/>
        <v>18981</v>
      </c>
      <c r="BC272" t="str">
        <f t="shared" si="154"/>
        <v>Nelson</v>
      </c>
      <c r="BD272" t="str">
        <f t="shared" si="155"/>
        <v>Velodrome</v>
      </c>
      <c r="BE272" t="s">
        <v>11</v>
      </c>
      <c r="BF272" t="s">
        <v>187</v>
      </c>
      <c r="BG272" t="s">
        <v>108</v>
      </c>
      <c r="BI272" cm="1">
        <f t="array" ref="BI272">IFERROR(_xlfn._xlws.FILTER(shifts!A:A,(shifts!B:B=events!AD272)*(shifts!AG:AG&gt;=events!BK272)*(shifts!AH:AH&lt;=events!BL272)),BI271)</f>
        <v>13</v>
      </c>
      <c r="BJ272" s="15">
        <f t="shared" si="156"/>
        <v>0</v>
      </c>
      <c r="BK272">
        <f t="shared" si="163"/>
        <v>734</v>
      </c>
      <c r="BL272">
        <f t="shared" si="164"/>
        <v>734</v>
      </c>
      <c r="BM272" s="15">
        <f>SUMIFS(BJ$2:BJ272,K$2:K272,"=Intermission")+SUMIFS(BJ$2:BJ272,K$2:K272,"=Timeout")</f>
        <v>0</v>
      </c>
      <c r="BN272">
        <f t="shared" si="165"/>
        <v>0</v>
      </c>
      <c r="BO272" s="19">
        <f t="shared" si="166"/>
        <v>346</v>
      </c>
      <c r="BP272">
        <f t="shared" si="167"/>
        <v>341</v>
      </c>
      <c r="BQ272" s="17">
        <f t="shared" si="168"/>
        <v>346</v>
      </c>
      <c r="BR272" t="str">
        <f t="shared" si="169"/>
        <v>event_team_player_1</v>
      </c>
      <c r="BS272">
        <f>COUNTIFS(S$3:S272,"="&amp;S272,AI$3:AI272,"="&amp;AI272)</f>
        <v>1</v>
      </c>
      <c r="BT272" t="str">
        <f>IFERROR(VLOOKUP(BB272&amp;BU272&amp;X272,game_rosters!U:W,3,FALSE),"")</f>
        <v>P100138</v>
      </c>
      <c r="BU272" t="str">
        <f t="shared" si="170"/>
        <v>Nelson</v>
      </c>
    </row>
    <row r="273" spans="1:73" x14ac:dyDescent="0.2">
      <c r="A273">
        <f t="shared" si="157"/>
        <v>1</v>
      </c>
      <c r="E273" s="4"/>
      <c r="F273" s="43"/>
      <c r="G273" s="4"/>
      <c r="H273" s="46"/>
      <c r="J273" s="44" t="str">
        <f t="shared" si="171"/>
        <v>d</v>
      </c>
      <c r="K273" t="s">
        <v>241</v>
      </c>
      <c r="L273" t="s">
        <v>756</v>
      </c>
      <c r="M273" t="s">
        <v>756</v>
      </c>
      <c r="N273" t="str">
        <f t="shared" si="142"/>
        <v/>
      </c>
      <c r="Q273" t="str">
        <f t="shared" si="172"/>
        <v/>
      </c>
      <c r="S273">
        <v>154</v>
      </c>
      <c r="U273" t="str">
        <f>IF(B273=1,MAX($U$2:$U272)+1,IF(AND($T273&lt;&gt;"",$T273=$T272),$U272,IF(B273="x",U272,"")))</f>
        <v/>
      </c>
      <c r="V273" t="str">
        <f>IF(C273=1,MAX($V$2:$V272)+1,IF(AND($T273&lt;&gt;"",$T273=$T272),$U272,IF(C273="x",V272,"")))</f>
        <v/>
      </c>
      <c r="W273" t="str">
        <f t="shared" si="146"/>
        <v>h</v>
      </c>
      <c r="X273">
        <v>31</v>
      </c>
      <c r="Y273" t="b">
        <f>IF(X273&lt;&gt;"",VLOOKUP(X273,game_rosters!$C$43:$E$64,3,FALSE))</f>
        <v>0</v>
      </c>
      <c r="Z273" cm="1">
        <f t="array" ref="Z273">IFERROR(IF(_xlfn._xlws.FILTER(game_rosters!$J:$J,(game_rosters!$G:$G=events!$AN273)*(game_rosters!$J:$J=events!$X273))&gt;0,1,""),"")</f>
        <v>1</v>
      </c>
      <c r="AA273">
        <f t="shared" si="147"/>
        <v>1154</v>
      </c>
      <c r="AB273" t="str">
        <f t="shared" si="148"/>
        <v/>
      </c>
      <c r="AC273">
        <f t="shared" si="145"/>
        <v>1154</v>
      </c>
      <c r="AD273" s="6">
        <v>1</v>
      </c>
      <c r="AE273" t="s">
        <v>746</v>
      </c>
      <c r="AF273" t="s">
        <v>745</v>
      </c>
      <c r="AG273" t="s">
        <v>754</v>
      </c>
      <c r="AH273" t="s">
        <v>896</v>
      </c>
      <c r="AI273" t="s">
        <v>367</v>
      </c>
      <c r="AJ273" t="str">
        <f t="shared" si="149"/>
        <v>d</v>
      </c>
      <c r="AK273" t="str">
        <f t="shared" si="149"/>
        <v>d</v>
      </c>
      <c r="AL273" t="str">
        <f t="shared" si="150"/>
        <v>d</v>
      </c>
      <c r="AN273" t="s">
        <v>861</v>
      </c>
      <c r="AO273" t="str">
        <f t="shared" si="151"/>
        <v>h</v>
      </c>
      <c r="AP273" t="str">
        <f t="shared" si="158"/>
        <v>d</v>
      </c>
      <c r="AQ273" t="str">
        <f t="shared" si="159"/>
        <v/>
      </c>
      <c r="AR273" t="str">
        <f t="shared" si="160"/>
        <v>Home</v>
      </c>
      <c r="AS273" t="str">
        <f t="shared" si="161"/>
        <v>h</v>
      </c>
      <c r="AT273" t="str">
        <f t="shared" si="162"/>
        <v/>
      </c>
      <c r="BA273" s="6">
        <f t="shared" si="152"/>
        <v>66</v>
      </c>
      <c r="BB273">
        <f t="shared" si="153"/>
        <v>18981</v>
      </c>
      <c r="BC273" t="str">
        <f t="shared" si="154"/>
        <v>Nelson</v>
      </c>
      <c r="BD273" t="str">
        <f t="shared" si="155"/>
        <v>Velodrome</v>
      </c>
      <c r="BE273" t="s">
        <v>241</v>
      </c>
      <c r="BF273" t="s">
        <v>756</v>
      </c>
      <c r="BG273" t="s">
        <v>756</v>
      </c>
      <c r="BI273" cm="1">
        <f t="array" ref="BI273">IFERROR(_xlfn._xlws.FILTER(shifts!A:A,(shifts!B:B=events!AD273)*(shifts!AG:AG&gt;=events!BK273)*(shifts!AH:AH&lt;=events!BL273)),BI272)</f>
        <v>13</v>
      </c>
      <c r="BJ273" s="15">
        <f t="shared" si="156"/>
        <v>15</v>
      </c>
      <c r="BK273">
        <f t="shared" si="163"/>
        <v>734</v>
      </c>
      <c r="BL273">
        <f t="shared" si="164"/>
        <v>719</v>
      </c>
      <c r="BM273" s="15">
        <f>SUMIFS(BJ$2:BJ273,K$2:K273,"=Intermission")+SUMIFS(BJ$2:BJ273,K$2:K273,"=Timeout")</f>
        <v>0</v>
      </c>
      <c r="BN273">
        <f t="shared" si="165"/>
        <v>0</v>
      </c>
      <c r="BO273" s="19">
        <f t="shared" si="166"/>
        <v>346</v>
      </c>
      <c r="BP273">
        <f t="shared" si="167"/>
        <v>341</v>
      </c>
      <c r="BQ273" s="17">
        <f t="shared" si="168"/>
        <v>361</v>
      </c>
      <c r="BR273" t="str">
        <f t="shared" si="169"/>
        <v>event_team_player_1</v>
      </c>
      <c r="BS273">
        <f>COUNTIFS(S$3:S273,"="&amp;S273,AI$3:AI273,"="&amp;AI273)</f>
        <v>1</v>
      </c>
      <c r="BT273" t="str">
        <f>IFERROR(VLOOKUP(BB273&amp;BU273&amp;X273,game_rosters!U:W,3,FALSE),"")</f>
        <v>P100138</v>
      </c>
      <c r="BU273" t="str">
        <f t="shared" si="170"/>
        <v>Nelson</v>
      </c>
    </row>
    <row r="274" spans="1:73" x14ac:dyDescent="0.2">
      <c r="A274">
        <f t="shared" si="157"/>
        <v>1</v>
      </c>
      <c r="E274" s="4"/>
      <c r="F274" s="43"/>
      <c r="G274" s="4"/>
      <c r="H274" s="46"/>
      <c r="J274" s="44" t="str">
        <f t="shared" si="171"/>
        <v/>
      </c>
      <c r="K274" t="s">
        <v>5</v>
      </c>
      <c r="L274" t="s">
        <v>236</v>
      </c>
      <c r="M274" t="s">
        <v>756</v>
      </c>
      <c r="N274" t="str">
        <f t="shared" si="142"/>
        <v/>
      </c>
      <c r="Q274" t="str">
        <f t="shared" si="172"/>
        <v/>
      </c>
      <c r="S274">
        <v>155</v>
      </c>
      <c r="U274" t="str">
        <f>IF(B274=1,MAX($U$2:$U273)+1,IF(AND($T274&lt;&gt;"",$T274=$T273),$U273,IF(B274="x",U273,"")))</f>
        <v/>
      </c>
      <c r="V274" t="str">
        <f>IF(C274=1,MAX($V$2:$V273)+1,IF(AND($T274&lt;&gt;"",$T274=$T273),$U273,IF(C274="x",V273,"")))</f>
        <v/>
      </c>
      <c r="W274" t="str">
        <f t="shared" si="146"/>
        <v>a</v>
      </c>
      <c r="X274">
        <v>70</v>
      </c>
      <c r="Y274" t="e">
        <f>IF(X274&lt;&gt;"",VLOOKUP(X274,game_rosters!$C$43:$E$64,3,FALSE))</f>
        <v>#N/A</v>
      </c>
      <c r="Z274" cm="1">
        <f t="array" ref="Z274">IFERROR(IF(_xlfn._xlws.FILTER(game_rosters!$J:$J,(game_rosters!$G:$G=events!$AN274)*(game_rosters!$J:$J=events!$X274))&gt;0,1,""),"")</f>
        <v>1</v>
      </c>
      <c r="AA274">
        <f t="shared" si="147"/>
        <v>1155</v>
      </c>
      <c r="AB274" t="str">
        <f t="shared" si="148"/>
        <v/>
      </c>
      <c r="AC274">
        <f t="shared" si="145"/>
        <v>1155</v>
      </c>
      <c r="AD274" s="6">
        <v>1</v>
      </c>
      <c r="AE274" t="s">
        <v>754</v>
      </c>
      <c r="AF274" t="s">
        <v>896</v>
      </c>
      <c r="AG274" t="s">
        <v>756</v>
      </c>
      <c r="AH274" t="s">
        <v>756</v>
      </c>
      <c r="AI274" t="s">
        <v>367</v>
      </c>
      <c r="AJ274" t="str">
        <f t="shared" si="149"/>
        <v/>
      </c>
      <c r="AK274" t="str">
        <f t="shared" si="149"/>
        <v/>
      </c>
      <c r="AL274" t="str">
        <f t="shared" si="150"/>
        <v/>
      </c>
      <c r="AN274" t="s">
        <v>862</v>
      </c>
      <c r="AO274" t="str">
        <f t="shared" si="151"/>
        <v>a</v>
      </c>
      <c r="AP274" t="str">
        <f t="shared" si="158"/>
        <v/>
      </c>
      <c r="AQ274" t="str">
        <f t="shared" si="159"/>
        <v/>
      </c>
      <c r="AR274" t="str">
        <f t="shared" si="160"/>
        <v>Away</v>
      </c>
      <c r="AS274" t="str">
        <f t="shared" si="161"/>
        <v>a</v>
      </c>
      <c r="AT274" t="str">
        <f t="shared" si="162"/>
        <v>Offensive</v>
      </c>
      <c r="BA274" s="6">
        <f t="shared" si="152"/>
        <v>66</v>
      </c>
      <c r="BB274">
        <f t="shared" si="153"/>
        <v>18981</v>
      </c>
      <c r="BC274" t="str">
        <f t="shared" si="154"/>
        <v>Nelson</v>
      </c>
      <c r="BD274" t="str">
        <f t="shared" si="155"/>
        <v>Velodrome</v>
      </c>
      <c r="BE274" t="s">
        <v>5</v>
      </c>
      <c r="BF274" t="s">
        <v>236</v>
      </c>
      <c r="BG274" t="s">
        <v>756</v>
      </c>
      <c r="BI274" cm="1">
        <f t="array" ref="BI274">IFERROR(_xlfn._xlws.FILTER(shifts!A:A,(shifts!B:B=events!AD274)*(shifts!AG:AG&gt;=events!BK274)*(shifts!AH:AH&lt;=events!BL274)),BI273)</f>
        <v>13</v>
      </c>
      <c r="BJ274" s="15">
        <f t="shared" si="156"/>
        <v>0</v>
      </c>
      <c r="BK274">
        <f t="shared" si="163"/>
        <v>719</v>
      </c>
      <c r="BL274">
        <f t="shared" si="164"/>
        <v>719</v>
      </c>
      <c r="BM274" s="15">
        <f>SUMIFS(BJ$2:BJ274,K$2:K274,"=Intermission")+SUMIFS(BJ$2:BJ274,K$2:K274,"=Timeout")</f>
        <v>0</v>
      </c>
      <c r="BN274">
        <f t="shared" si="165"/>
        <v>0</v>
      </c>
      <c r="BO274" s="19">
        <f t="shared" si="166"/>
        <v>361</v>
      </c>
      <c r="BP274">
        <f t="shared" si="167"/>
        <v>356</v>
      </c>
      <c r="BQ274" s="17">
        <f t="shared" si="168"/>
        <v>361</v>
      </c>
      <c r="BR274" t="str">
        <f t="shared" si="169"/>
        <v>event_team_player_1</v>
      </c>
      <c r="BS274">
        <f>COUNTIFS(S$3:S274,"="&amp;S274,AI$3:AI274,"="&amp;AI274)</f>
        <v>1</v>
      </c>
      <c r="BT274" t="str">
        <f>IFERROR(VLOOKUP(BB274&amp;BU274&amp;X274,game_rosters!U:W,3,FALSE),"")</f>
        <v>P100001</v>
      </c>
      <c r="BU274" t="str">
        <f t="shared" si="170"/>
        <v>Velodrome</v>
      </c>
    </row>
    <row r="275" spans="1:73" x14ac:dyDescent="0.2">
      <c r="A275">
        <f t="shared" si="157"/>
        <v>1</v>
      </c>
      <c r="E275" s="4"/>
      <c r="F275" s="43"/>
      <c r="G275" s="4"/>
      <c r="H275" s="46"/>
      <c r="J275" s="44" t="str">
        <f t="shared" si="171"/>
        <v/>
      </c>
      <c r="K275" t="s">
        <v>5</v>
      </c>
      <c r="L275" t="s">
        <v>236</v>
      </c>
      <c r="M275" t="s">
        <v>756</v>
      </c>
      <c r="N275" t="str">
        <f t="shared" si="142"/>
        <v/>
      </c>
      <c r="Q275" t="str">
        <f t="shared" si="172"/>
        <v/>
      </c>
      <c r="S275">
        <v>155</v>
      </c>
      <c r="U275" t="str">
        <f>IF(B275=1,MAX($U$2:$U274)+1,IF(AND($T275&lt;&gt;"",$T275=$T274),$U274,IF(B275="x",U274,"")))</f>
        <v/>
      </c>
      <c r="V275" t="str">
        <f>IF(C275=1,MAX($V$2:$V274)+1,IF(AND($T275&lt;&gt;"",$T275=$T274),$U274,IF(C275="x",V274,"")))</f>
        <v/>
      </c>
      <c r="W275" t="str">
        <f t="shared" si="146"/>
        <v>a</v>
      </c>
      <c r="X275">
        <v>22</v>
      </c>
      <c r="Y275" t="e">
        <f>IF(X275&lt;&gt;"",VLOOKUP(X275,game_rosters!$C$43:$E$64,3,FALSE))</f>
        <v>#N/A</v>
      </c>
      <c r="Z275" cm="1">
        <f t="array" ref="Z275">IFERROR(IF(_xlfn._xlws.FILTER(game_rosters!$J:$J,(game_rosters!$G:$G=events!$AN275)*(game_rosters!$J:$J=events!$X275))&gt;0,1,""),"")</f>
        <v>1</v>
      </c>
      <c r="AA275">
        <f t="shared" si="147"/>
        <v>1155</v>
      </c>
      <c r="AB275" t="str">
        <f t="shared" si="148"/>
        <v/>
      </c>
      <c r="AC275">
        <f t="shared" si="145"/>
        <v>1155</v>
      </c>
      <c r="AD275" s="6">
        <v>1</v>
      </c>
      <c r="AE275" t="s">
        <v>754</v>
      </c>
      <c r="AF275" t="s">
        <v>896</v>
      </c>
      <c r="AG275" t="s">
        <v>756</v>
      </c>
      <c r="AH275" t="s">
        <v>756</v>
      </c>
      <c r="AI275" t="s">
        <v>367</v>
      </c>
      <c r="AJ275" t="str">
        <f t="shared" si="149"/>
        <v/>
      </c>
      <c r="AK275" t="str">
        <f t="shared" si="149"/>
        <v/>
      </c>
      <c r="AL275" t="str">
        <f t="shared" si="150"/>
        <v/>
      </c>
      <c r="AN275" t="s">
        <v>862</v>
      </c>
      <c r="AO275" t="str">
        <f t="shared" si="151"/>
        <v>a</v>
      </c>
      <c r="AP275" t="str">
        <f t="shared" si="158"/>
        <v/>
      </c>
      <c r="AQ275" t="str">
        <f t="shared" si="159"/>
        <v/>
      </c>
      <c r="AR275" t="str">
        <f t="shared" si="160"/>
        <v>Away</v>
      </c>
      <c r="AS275" t="str">
        <f t="shared" si="161"/>
        <v>a</v>
      </c>
      <c r="AT275" t="str">
        <f t="shared" si="162"/>
        <v>Offensive</v>
      </c>
      <c r="BA275" s="6">
        <f t="shared" si="152"/>
        <v>66</v>
      </c>
      <c r="BB275">
        <f t="shared" si="153"/>
        <v>18981</v>
      </c>
      <c r="BC275" t="str">
        <f t="shared" si="154"/>
        <v>Nelson</v>
      </c>
      <c r="BD275" t="str">
        <f t="shared" si="155"/>
        <v>Velodrome</v>
      </c>
      <c r="BE275" t="s">
        <v>5</v>
      </c>
      <c r="BF275" t="s">
        <v>236</v>
      </c>
      <c r="BG275" t="s">
        <v>756</v>
      </c>
      <c r="BI275" cm="1">
        <f t="array" ref="BI275">IFERROR(_xlfn._xlws.FILTER(shifts!A:A,(shifts!B:B=events!AD275)*(shifts!AG:AG&gt;=events!BK275)*(shifts!AH:AH&lt;=events!BL275)),BI274)</f>
        <v>13</v>
      </c>
      <c r="BJ275" s="15">
        <f t="shared" si="156"/>
        <v>0</v>
      </c>
      <c r="BK275">
        <f t="shared" si="163"/>
        <v>719</v>
      </c>
      <c r="BL275">
        <f t="shared" si="164"/>
        <v>719</v>
      </c>
      <c r="BM275" s="15">
        <f>SUMIFS(BJ$2:BJ275,K$2:K275,"=Intermission")+SUMIFS(BJ$2:BJ275,K$2:K275,"=Timeout")</f>
        <v>0</v>
      </c>
      <c r="BN275">
        <f t="shared" si="165"/>
        <v>0</v>
      </c>
      <c r="BO275" s="19">
        <f t="shared" si="166"/>
        <v>361</v>
      </c>
      <c r="BP275">
        <f t="shared" si="167"/>
        <v>356</v>
      </c>
      <c r="BQ275" s="17">
        <f t="shared" si="168"/>
        <v>361</v>
      </c>
      <c r="BR275" t="str">
        <f t="shared" si="169"/>
        <v>event_team_player_2</v>
      </c>
      <c r="BS275">
        <f>COUNTIFS(S$3:S275,"="&amp;S275,AI$3:AI275,"="&amp;AI275)</f>
        <v>2</v>
      </c>
      <c r="BT275" t="str">
        <f>IFERROR(VLOOKUP(BB275&amp;BU275&amp;X275,game_rosters!U:W,3,FALSE),"")</f>
        <v>P100108</v>
      </c>
      <c r="BU275" t="str">
        <f t="shared" si="170"/>
        <v>Velodrome</v>
      </c>
    </row>
    <row r="276" spans="1:73" x14ac:dyDescent="0.2">
      <c r="A276">
        <f t="shared" si="157"/>
        <v>1</v>
      </c>
      <c r="E276" s="4"/>
      <c r="F276" s="43"/>
      <c r="G276" s="4"/>
      <c r="H276" s="46"/>
      <c r="J276" s="44" t="str">
        <f t="shared" si="171"/>
        <v/>
      </c>
      <c r="K276" t="s">
        <v>5</v>
      </c>
      <c r="L276" t="s">
        <v>236</v>
      </c>
      <c r="M276" t="s">
        <v>756</v>
      </c>
      <c r="N276" t="str">
        <f t="shared" si="142"/>
        <v/>
      </c>
      <c r="Q276" t="str">
        <f t="shared" si="172"/>
        <v/>
      </c>
      <c r="S276">
        <v>155</v>
      </c>
      <c r="U276" t="str">
        <f>IF(B276=1,MAX($U$2:$U275)+1,IF(AND($T276&lt;&gt;"",$T276=$T275),$U275,IF(B276="x",U275,"")))</f>
        <v/>
      </c>
      <c r="V276" t="str">
        <f>IF(C276=1,MAX($V$2:$V275)+1,IF(AND($T276&lt;&gt;"",$T276=$T275),$U275,IF(C276="x",V275,"")))</f>
        <v/>
      </c>
      <c r="W276" t="str">
        <f t="shared" si="146"/>
        <v>a</v>
      </c>
      <c r="X276">
        <v>79</v>
      </c>
      <c r="Y276" t="b">
        <f>IF(X276&lt;&gt;"",VLOOKUP(X276,game_rosters!$C$43:$E$64,3,FALSE))</f>
        <v>0</v>
      </c>
      <c r="Z276" t="str" cm="1">
        <f t="array" ref="Z276">IFERROR(IF(_xlfn._xlws.FILTER(game_rosters!$J:$J,(game_rosters!$G:$G=events!$AN276)*(game_rosters!$J:$J=events!$X276))&gt;0,1,""),"")</f>
        <v/>
      </c>
      <c r="AA276">
        <f t="shared" si="147"/>
        <v>1155</v>
      </c>
      <c r="AB276" t="str">
        <f t="shared" si="148"/>
        <v/>
      </c>
      <c r="AC276">
        <f t="shared" si="145"/>
        <v>1155</v>
      </c>
      <c r="AD276" s="6">
        <v>1</v>
      </c>
      <c r="AE276" t="s">
        <v>754</v>
      </c>
      <c r="AF276" t="s">
        <v>896</v>
      </c>
      <c r="AG276" t="s">
        <v>756</v>
      </c>
      <c r="AH276" t="s">
        <v>756</v>
      </c>
      <c r="AI276" t="s">
        <v>368</v>
      </c>
      <c r="AJ276" t="str">
        <f t="shared" ref="AJ276:AK291" si="173">IF($J276&lt;&gt;"",$J276,IF($AC276=$AC275,AJ275,""))</f>
        <v/>
      </c>
      <c r="AK276" t="str">
        <f t="shared" si="173"/>
        <v/>
      </c>
      <c r="AL276" t="str">
        <f t="shared" si="150"/>
        <v/>
      </c>
      <c r="AN276" t="s">
        <v>862</v>
      </c>
      <c r="AO276" t="str">
        <f t="shared" si="151"/>
        <v>a</v>
      </c>
      <c r="AP276" t="str">
        <f t="shared" si="158"/>
        <v/>
      </c>
      <c r="AQ276" t="str">
        <f t="shared" si="159"/>
        <v/>
      </c>
      <c r="AR276" t="str">
        <f t="shared" si="160"/>
        <v>Away</v>
      </c>
      <c r="AS276" t="str">
        <f t="shared" si="161"/>
        <v>a</v>
      </c>
      <c r="AT276" t="str">
        <f t="shared" si="162"/>
        <v>Defensive</v>
      </c>
      <c r="BA276" s="6">
        <f t="shared" si="152"/>
        <v>66</v>
      </c>
      <c r="BB276">
        <f t="shared" si="153"/>
        <v>18981</v>
      </c>
      <c r="BC276" t="str">
        <f t="shared" si="154"/>
        <v>Nelson</v>
      </c>
      <c r="BD276" t="str">
        <f t="shared" si="155"/>
        <v>Velodrome</v>
      </c>
      <c r="BE276" t="s">
        <v>5</v>
      </c>
      <c r="BF276" t="s">
        <v>236</v>
      </c>
      <c r="BG276" t="s">
        <v>756</v>
      </c>
      <c r="BI276" cm="1">
        <f t="array" ref="BI276">IFERROR(_xlfn._xlws.FILTER(shifts!A:A,(shifts!B:B=events!AD276)*(shifts!AG:AG&gt;=events!BK276)*(shifts!AH:AH&lt;=events!BL276)),BI275)</f>
        <v>13</v>
      </c>
      <c r="BJ276" s="15">
        <f t="shared" si="156"/>
        <v>0</v>
      </c>
      <c r="BK276">
        <f t="shared" si="163"/>
        <v>719</v>
      </c>
      <c r="BL276">
        <f t="shared" si="164"/>
        <v>719</v>
      </c>
      <c r="BM276" s="15">
        <f>SUMIFS(BJ$2:BJ276,K$2:K276,"=Intermission")+SUMIFS(BJ$2:BJ276,K$2:K276,"=Timeout")</f>
        <v>0</v>
      </c>
      <c r="BN276">
        <f t="shared" si="165"/>
        <v>0</v>
      </c>
      <c r="BO276" s="19">
        <f t="shared" si="166"/>
        <v>361</v>
      </c>
      <c r="BP276">
        <f t="shared" si="167"/>
        <v>356</v>
      </c>
      <c r="BQ276" s="17">
        <f t="shared" si="168"/>
        <v>361</v>
      </c>
      <c r="BR276" t="str">
        <f t="shared" si="169"/>
        <v>opp_team_player_1</v>
      </c>
      <c r="BS276">
        <f>COUNTIFS(S$3:S276,"="&amp;S276,AI$3:AI276,"="&amp;AI276)</f>
        <v>1</v>
      </c>
      <c r="BT276" t="str">
        <f>IFERROR(VLOOKUP(BB276&amp;BU276&amp;X276,game_rosters!U:W,3,FALSE),"")</f>
        <v>P100066</v>
      </c>
      <c r="BU276" t="str">
        <f t="shared" si="170"/>
        <v>Nelson</v>
      </c>
    </row>
    <row r="277" spans="1:73" x14ac:dyDescent="0.2">
      <c r="A277">
        <f t="shared" si="157"/>
        <v>1</v>
      </c>
      <c r="E277" s="4"/>
      <c r="F277" s="43"/>
      <c r="G277" s="4"/>
      <c r="H277" s="46"/>
      <c r="J277" s="44" t="str">
        <f t="shared" si="171"/>
        <v>o</v>
      </c>
      <c r="K277" t="s">
        <v>6</v>
      </c>
      <c r="L277" t="s">
        <v>201</v>
      </c>
      <c r="M277" t="s">
        <v>51</v>
      </c>
      <c r="N277" t="str">
        <f t="shared" ref="N277:N340" si="174">IF(K277="","",IF(K277="Goal","s",IF(AND(K277="Zone_Entry_Exit",OR(ISNUMBER(SEARCH("fail",L277)),ISNUMBER(SEARCH("FromExitClear",M277)),ISNUMBER(SEARCH("miss",M277)))),"u",IF(AND(K277="Zone_Entry_Exit",OR(NOT(ISNUMBER(SEARCH("fail",L277))),NOT(ISNUMBER(SEARCH("FromExitClear",M277))),NOT(ISNUMBER(SEARCH("miss",M277))))),"s",IF(AND(OR(K277="Shot",K277="Pass"),OR(ISNUMBER(SEARCH("complete",L277)),ISNUMBER(SEARCH("goal",L277)),ISNUMBER(SEARCH("OnNet",L277)))),"s",IF(L277="Turnover_Giveaway","u",IF(AND(OR(K277="Shot",K277="Pass"),OR(ISNUMBER(SEARCH("fail",L277)),NOT(ISNUMBER(SEARCH("complete",L277))),NOT(ISNUMBER(SEARCH("OnNet",L277))))),"u","")))))))</f>
        <v>u</v>
      </c>
      <c r="Q277" t="str">
        <f t="shared" si="172"/>
        <v/>
      </c>
      <c r="S277">
        <v>156</v>
      </c>
      <c r="U277" t="str">
        <f>IF(B277=1,MAX($U$2:$U276)+1,IF(AND($T277&lt;&gt;"",$T277=$T276),$U276,IF(B277="x",U276,"")))</f>
        <v/>
      </c>
      <c r="V277" t="str">
        <f>IF(C277=1,MAX($V$2:$V276)+1,IF(AND($T277&lt;&gt;"",$T277=$T276),$U276,IF(C277="x",V276,"")))</f>
        <v/>
      </c>
      <c r="W277" t="str">
        <f t="shared" si="146"/>
        <v>a</v>
      </c>
      <c r="X277">
        <v>22</v>
      </c>
      <c r="Y277" t="e">
        <f>IF(X277&lt;&gt;"",VLOOKUP(X277,game_rosters!$C$43:$E$64,3,FALSE))</f>
        <v>#N/A</v>
      </c>
      <c r="Z277" cm="1">
        <f t="array" ref="Z277">IFERROR(IF(_xlfn._xlws.FILTER(game_rosters!$J:$J,(game_rosters!$G:$G=events!$AN277)*(game_rosters!$J:$J=events!$X277))&gt;0,1,""),"")</f>
        <v>1</v>
      </c>
      <c r="AA277">
        <f t="shared" si="147"/>
        <v>1156</v>
      </c>
      <c r="AB277" t="str">
        <f t="shared" si="148"/>
        <v/>
      </c>
      <c r="AC277">
        <f t="shared" si="145"/>
        <v>1156</v>
      </c>
      <c r="AD277" s="6">
        <v>1</v>
      </c>
      <c r="AE277" t="s">
        <v>754</v>
      </c>
      <c r="AF277" t="s">
        <v>932</v>
      </c>
      <c r="AG277" t="s">
        <v>756</v>
      </c>
      <c r="AH277" t="s">
        <v>756</v>
      </c>
      <c r="AI277" t="s">
        <v>367</v>
      </c>
      <c r="AJ277" t="str">
        <f t="shared" si="173"/>
        <v>o</v>
      </c>
      <c r="AK277" t="str">
        <f t="shared" si="173"/>
        <v>o</v>
      </c>
      <c r="AL277" t="str">
        <f t="shared" si="150"/>
        <v>d</v>
      </c>
      <c r="AN277" t="s">
        <v>862</v>
      </c>
      <c r="AO277" t="str">
        <f t="shared" si="151"/>
        <v>a</v>
      </c>
      <c r="AP277" t="str">
        <f t="shared" si="158"/>
        <v>d</v>
      </c>
      <c r="AQ277" t="str">
        <f t="shared" si="159"/>
        <v/>
      </c>
      <c r="AR277" t="str">
        <f t="shared" si="160"/>
        <v>Away</v>
      </c>
      <c r="AS277" t="str">
        <f t="shared" si="161"/>
        <v>a</v>
      </c>
      <c r="AT277" t="str">
        <f t="shared" si="162"/>
        <v>Offensive</v>
      </c>
      <c r="BA277" s="6">
        <f t="shared" si="152"/>
        <v>66</v>
      </c>
      <c r="BB277">
        <f t="shared" si="153"/>
        <v>18981</v>
      </c>
      <c r="BC277" t="str">
        <f t="shared" si="154"/>
        <v>Nelson</v>
      </c>
      <c r="BD277" t="str">
        <f t="shared" si="155"/>
        <v>Velodrome</v>
      </c>
      <c r="BE277" t="s">
        <v>6</v>
      </c>
      <c r="BF277" t="s">
        <v>201</v>
      </c>
      <c r="BG277" t="s">
        <v>51</v>
      </c>
      <c r="BI277" cm="1">
        <f t="array" ref="BI277">IFERROR(_xlfn._xlws.FILTER(shifts!A:A,(shifts!B:B=events!AD277)*(shifts!AG:AG&gt;=events!BK277)*(shifts!AH:AH&lt;=events!BL277)),BI276)</f>
        <v>13</v>
      </c>
      <c r="BJ277" s="15">
        <f t="shared" si="156"/>
        <v>0</v>
      </c>
      <c r="BK277">
        <f t="shared" si="163"/>
        <v>718</v>
      </c>
      <c r="BL277">
        <f t="shared" si="164"/>
        <v>718</v>
      </c>
      <c r="BM277" s="15">
        <f>SUMIFS(BJ$2:BJ277,K$2:K277,"=Intermission")+SUMIFS(BJ$2:BJ277,K$2:K277,"=Timeout")</f>
        <v>0</v>
      </c>
      <c r="BN277">
        <f t="shared" si="165"/>
        <v>0</v>
      </c>
      <c r="BO277" s="19">
        <f t="shared" si="166"/>
        <v>362</v>
      </c>
      <c r="BP277">
        <f t="shared" si="167"/>
        <v>357</v>
      </c>
      <c r="BQ277" s="17">
        <f t="shared" si="168"/>
        <v>362</v>
      </c>
      <c r="BR277" t="str">
        <f t="shared" si="169"/>
        <v>event_team_player_1</v>
      </c>
      <c r="BS277">
        <f>COUNTIFS(S$3:S277,"="&amp;S277,AI$3:AI277,"="&amp;AI277)</f>
        <v>1</v>
      </c>
      <c r="BT277" t="str">
        <f>IFERROR(VLOOKUP(BB277&amp;BU277&amp;X277,game_rosters!U:W,3,FALSE),"")</f>
        <v>P100108</v>
      </c>
      <c r="BU277" t="str">
        <f t="shared" si="170"/>
        <v>Velodrome</v>
      </c>
    </row>
    <row r="278" spans="1:73" x14ac:dyDescent="0.2">
      <c r="A278">
        <f t="shared" si="157"/>
        <v>1</v>
      </c>
      <c r="E278" s="4"/>
      <c r="F278" s="43"/>
      <c r="G278" s="4"/>
      <c r="H278" s="46"/>
      <c r="J278" s="44" t="str">
        <f t="shared" si="171"/>
        <v>o</v>
      </c>
      <c r="K278" t="s">
        <v>6</v>
      </c>
      <c r="L278" t="s">
        <v>201</v>
      </c>
      <c r="M278" t="s">
        <v>51</v>
      </c>
      <c r="N278" t="str">
        <f t="shared" si="174"/>
        <v>u</v>
      </c>
      <c r="Q278" t="str">
        <f t="shared" si="172"/>
        <v/>
      </c>
      <c r="S278">
        <v>156</v>
      </c>
      <c r="U278" t="str">
        <f>IF(B278=1,MAX($U$2:$U277)+1,IF(AND($T278&lt;&gt;"",$T278=$T277),$U277,IF(B278="x",U277,"")))</f>
        <v/>
      </c>
      <c r="V278" t="str">
        <f>IF(C278=1,MAX($V$2:$V277)+1,IF(AND($T278&lt;&gt;"",$T278=$T277),$U277,IF(C278="x",V277,"")))</f>
        <v/>
      </c>
      <c r="W278" t="str">
        <f t="shared" si="146"/>
        <v>a</v>
      </c>
      <c r="X278">
        <v>80</v>
      </c>
      <c r="Y278" t="b">
        <f>IF(X278&lt;&gt;"",VLOOKUP(X278,game_rosters!$C$43:$E$64,3,FALSE))</f>
        <v>0</v>
      </c>
      <c r="Z278" t="str" cm="1">
        <f t="array" ref="Z278">IFERROR(IF(_xlfn._xlws.FILTER(game_rosters!$J:$J,(game_rosters!$G:$G=events!$AN278)*(game_rosters!$J:$J=events!$X278))&gt;0,1,""),"")</f>
        <v/>
      </c>
      <c r="AA278">
        <f t="shared" si="147"/>
        <v>1156</v>
      </c>
      <c r="AB278" t="str">
        <f t="shared" si="148"/>
        <v/>
      </c>
      <c r="AC278">
        <f t="shared" si="145"/>
        <v>1156</v>
      </c>
      <c r="AD278" s="6">
        <v>1</v>
      </c>
      <c r="AE278" t="s">
        <v>754</v>
      </c>
      <c r="AF278" t="s">
        <v>932</v>
      </c>
      <c r="AG278" t="s">
        <v>756</v>
      </c>
      <c r="AH278" t="s">
        <v>756</v>
      </c>
      <c r="AI278" t="s">
        <v>368</v>
      </c>
      <c r="AJ278" t="str">
        <f t="shared" si="173"/>
        <v>o</v>
      </c>
      <c r="AK278" t="str">
        <f t="shared" si="173"/>
        <v>o</v>
      </c>
      <c r="AL278" t="str">
        <f t="shared" si="150"/>
        <v>d</v>
      </c>
      <c r="AN278" t="s">
        <v>862</v>
      </c>
      <c r="AO278" t="str">
        <f t="shared" si="151"/>
        <v>a</v>
      </c>
      <c r="AP278" t="str">
        <f t="shared" si="158"/>
        <v>d</v>
      </c>
      <c r="AQ278" t="str">
        <f t="shared" si="159"/>
        <v/>
      </c>
      <c r="AR278" t="str">
        <f t="shared" si="160"/>
        <v>Away</v>
      </c>
      <c r="AS278" t="str">
        <f t="shared" si="161"/>
        <v>a</v>
      </c>
      <c r="AT278" t="str">
        <f t="shared" si="162"/>
        <v>Defensive</v>
      </c>
      <c r="BA278" s="6">
        <f t="shared" si="152"/>
        <v>66</v>
      </c>
      <c r="BB278">
        <f t="shared" si="153"/>
        <v>18981</v>
      </c>
      <c r="BC278" t="str">
        <f t="shared" si="154"/>
        <v>Nelson</v>
      </c>
      <c r="BD278" t="str">
        <f t="shared" si="155"/>
        <v>Velodrome</v>
      </c>
      <c r="BE278" t="s">
        <v>6</v>
      </c>
      <c r="BF278" t="s">
        <v>201</v>
      </c>
      <c r="BG278" t="s">
        <v>51</v>
      </c>
      <c r="BI278" cm="1">
        <f t="array" ref="BI278">IFERROR(_xlfn._xlws.FILTER(shifts!A:A,(shifts!B:B=events!AD278)*(shifts!AG:AG&gt;=events!BK278)*(shifts!AH:AH&lt;=events!BL278)),BI277)</f>
        <v>13</v>
      </c>
      <c r="BJ278" s="15">
        <f t="shared" si="156"/>
        <v>0</v>
      </c>
      <c r="BK278">
        <f t="shared" si="163"/>
        <v>718</v>
      </c>
      <c r="BL278">
        <f t="shared" si="164"/>
        <v>718</v>
      </c>
      <c r="BM278" s="15">
        <f>SUMIFS(BJ$2:BJ278,K$2:K278,"=Intermission")+SUMIFS(BJ$2:BJ278,K$2:K278,"=Timeout")</f>
        <v>0</v>
      </c>
      <c r="BN278">
        <f t="shared" si="165"/>
        <v>0</v>
      </c>
      <c r="BO278" s="19">
        <f t="shared" si="166"/>
        <v>362</v>
      </c>
      <c r="BP278">
        <f t="shared" si="167"/>
        <v>357</v>
      </c>
      <c r="BQ278" s="17">
        <f t="shared" si="168"/>
        <v>362</v>
      </c>
      <c r="BR278" t="str">
        <f t="shared" si="169"/>
        <v>opp_team_player_1</v>
      </c>
      <c r="BS278">
        <f>COUNTIFS(S$3:S278,"="&amp;S278,AI$3:AI278,"="&amp;AI278)</f>
        <v>1</v>
      </c>
      <c r="BT278" t="str">
        <f>IFERROR(VLOOKUP(BB278&amp;BU278&amp;X278,game_rosters!U:W,3,FALSE),"")</f>
        <v>P100197</v>
      </c>
      <c r="BU278" t="str">
        <f t="shared" si="170"/>
        <v>Nelson</v>
      </c>
    </row>
    <row r="279" spans="1:73" x14ac:dyDescent="0.2">
      <c r="A279">
        <f t="shared" si="157"/>
        <v>1</v>
      </c>
      <c r="E279" s="4"/>
      <c r="F279" s="43"/>
      <c r="G279" s="4"/>
      <c r="H279" s="46"/>
      <c r="J279" s="44" t="str">
        <f t="shared" si="171"/>
        <v>o</v>
      </c>
      <c r="K279" t="s">
        <v>6</v>
      </c>
      <c r="L279" t="s">
        <v>201</v>
      </c>
      <c r="M279" t="s">
        <v>51</v>
      </c>
      <c r="N279" t="str">
        <f t="shared" si="174"/>
        <v>u</v>
      </c>
      <c r="Q279" t="str">
        <f t="shared" si="172"/>
        <v/>
      </c>
      <c r="S279">
        <v>156</v>
      </c>
      <c r="U279" t="str">
        <f>IF(B279=1,MAX($U$2:$U278)+1,IF(AND($T279&lt;&gt;"",$T279=$T278),$U278,IF(B279="x",U278,"")))</f>
        <v/>
      </c>
      <c r="V279" t="str">
        <f>IF(C279=1,MAX($V$2:$V278)+1,IF(AND($T279&lt;&gt;"",$T279=$T278),$U278,IF(C279="x",V278,"")))</f>
        <v/>
      </c>
      <c r="W279" t="str">
        <f t="shared" si="146"/>
        <v>a</v>
      </c>
      <c r="X279">
        <v>79</v>
      </c>
      <c r="Y279" t="b">
        <f>IF(X279&lt;&gt;"",VLOOKUP(X279,game_rosters!$C$43:$E$64,3,FALSE))</f>
        <v>0</v>
      </c>
      <c r="Z279" t="str" cm="1">
        <f t="array" ref="Z279">IFERROR(IF(_xlfn._xlws.FILTER(game_rosters!$J:$J,(game_rosters!$G:$G=events!$AN279)*(game_rosters!$J:$J=events!$X279))&gt;0,1,""),"")</f>
        <v/>
      </c>
      <c r="AA279">
        <f t="shared" si="147"/>
        <v>1156</v>
      </c>
      <c r="AB279" t="str">
        <f t="shared" si="148"/>
        <v/>
      </c>
      <c r="AC279">
        <f t="shared" si="145"/>
        <v>1156</v>
      </c>
      <c r="AD279" s="6">
        <v>1</v>
      </c>
      <c r="AE279" t="s">
        <v>754</v>
      </c>
      <c r="AF279" t="s">
        <v>932</v>
      </c>
      <c r="AG279" t="s">
        <v>756</v>
      </c>
      <c r="AH279" t="s">
        <v>756</v>
      </c>
      <c r="AI279" t="s">
        <v>368</v>
      </c>
      <c r="AJ279" t="str">
        <f t="shared" si="173"/>
        <v>o</v>
      </c>
      <c r="AK279" t="str">
        <f t="shared" si="173"/>
        <v>o</v>
      </c>
      <c r="AL279" t="str">
        <f t="shared" si="150"/>
        <v>d</v>
      </c>
      <c r="AN279" t="s">
        <v>862</v>
      </c>
      <c r="AO279" t="str">
        <f t="shared" si="151"/>
        <v>a</v>
      </c>
      <c r="AP279" t="str">
        <f t="shared" si="158"/>
        <v>d</v>
      </c>
      <c r="AQ279" t="str">
        <f t="shared" si="159"/>
        <v/>
      </c>
      <c r="AR279" t="str">
        <f t="shared" si="160"/>
        <v>Away</v>
      </c>
      <c r="AS279" t="str">
        <f t="shared" si="161"/>
        <v>a</v>
      </c>
      <c r="AT279" t="str">
        <f t="shared" si="162"/>
        <v>Defensive</v>
      </c>
      <c r="BA279" s="6">
        <f t="shared" si="152"/>
        <v>66</v>
      </c>
      <c r="BB279">
        <f t="shared" si="153"/>
        <v>18981</v>
      </c>
      <c r="BC279" t="str">
        <f t="shared" si="154"/>
        <v>Nelson</v>
      </c>
      <c r="BD279" t="str">
        <f t="shared" si="155"/>
        <v>Velodrome</v>
      </c>
      <c r="BE279" t="s">
        <v>6</v>
      </c>
      <c r="BF279" t="s">
        <v>201</v>
      </c>
      <c r="BG279" t="s">
        <v>51</v>
      </c>
      <c r="BI279" cm="1">
        <f t="array" ref="BI279">IFERROR(_xlfn._xlws.FILTER(shifts!A:A,(shifts!B:B=events!AD279)*(shifts!AG:AG&gt;=events!BK279)*(shifts!AH:AH&lt;=events!BL279)),BI278)</f>
        <v>13</v>
      </c>
      <c r="BJ279" s="15">
        <f t="shared" si="156"/>
        <v>0</v>
      </c>
      <c r="BK279">
        <f t="shared" si="163"/>
        <v>718</v>
      </c>
      <c r="BL279">
        <f t="shared" si="164"/>
        <v>718</v>
      </c>
      <c r="BM279" s="15">
        <f>SUMIFS(BJ$2:BJ279,K$2:K279,"=Intermission")+SUMIFS(BJ$2:BJ279,K$2:K279,"=Timeout")</f>
        <v>0</v>
      </c>
      <c r="BN279">
        <f t="shared" si="165"/>
        <v>0</v>
      </c>
      <c r="BO279" s="19">
        <f t="shared" si="166"/>
        <v>362</v>
      </c>
      <c r="BP279">
        <f t="shared" si="167"/>
        <v>357</v>
      </c>
      <c r="BQ279" s="17">
        <f t="shared" si="168"/>
        <v>362</v>
      </c>
      <c r="BR279" t="str">
        <f t="shared" si="169"/>
        <v>opp_team_player_2</v>
      </c>
      <c r="BS279">
        <f>COUNTIFS(S$3:S279,"="&amp;S279,AI$3:AI279,"="&amp;AI279)</f>
        <v>2</v>
      </c>
      <c r="BT279" t="str">
        <f>IFERROR(VLOOKUP(BB279&amp;BU279&amp;X279,game_rosters!U:W,3,FALSE),"")</f>
        <v>P100066</v>
      </c>
      <c r="BU279" t="str">
        <f t="shared" si="170"/>
        <v>Nelson</v>
      </c>
    </row>
    <row r="280" spans="1:73" x14ac:dyDescent="0.2">
      <c r="A280">
        <f t="shared" si="157"/>
        <v>1</v>
      </c>
      <c r="E280" s="4"/>
      <c r="F280" s="43"/>
      <c r="G280" s="4"/>
      <c r="H280" s="46"/>
      <c r="J280" s="44" t="str">
        <f t="shared" si="171"/>
        <v>d</v>
      </c>
      <c r="K280" t="s">
        <v>11</v>
      </c>
      <c r="L280" t="s">
        <v>187</v>
      </c>
      <c r="M280" t="s">
        <v>108</v>
      </c>
      <c r="N280" t="str">
        <f t="shared" si="174"/>
        <v/>
      </c>
      <c r="Q280" t="str">
        <f t="shared" si="172"/>
        <v/>
      </c>
      <c r="S280">
        <v>157</v>
      </c>
      <c r="U280" t="str">
        <f>IF(B280=1,MAX($U$2:$U279)+1,IF(AND($T280&lt;&gt;"",$T280=$T279),$U279,IF(B280="x",U279,"")))</f>
        <v/>
      </c>
      <c r="V280" t="str">
        <f>IF(C280=1,MAX($V$2:$V279)+1,IF(AND($T280&lt;&gt;"",$T280=$T279),$U279,IF(C280="x",V279,"")))</f>
        <v/>
      </c>
      <c r="W280" t="str">
        <f t="shared" si="146"/>
        <v>h</v>
      </c>
      <c r="X280">
        <v>31</v>
      </c>
      <c r="Y280" t="b">
        <f>IF(X280&lt;&gt;"",VLOOKUP(X280,game_rosters!$C$43:$E$64,3,FALSE))</f>
        <v>0</v>
      </c>
      <c r="Z280" cm="1">
        <f t="array" ref="Z280">IFERROR(IF(_xlfn._xlws.FILTER(game_rosters!$J:$J,(game_rosters!$G:$G=events!$AN280)*(game_rosters!$J:$J=events!$X280))&gt;0,1,""),"")</f>
        <v>1</v>
      </c>
      <c r="AA280">
        <f t="shared" si="147"/>
        <v>1157</v>
      </c>
      <c r="AB280" t="str">
        <f t="shared" si="148"/>
        <v/>
      </c>
      <c r="AC280">
        <f t="shared" si="145"/>
        <v>1157</v>
      </c>
      <c r="AD280" s="6">
        <v>1</v>
      </c>
      <c r="AE280" t="s">
        <v>754</v>
      </c>
      <c r="AF280" t="s">
        <v>927</v>
      </c>
      <c r="AG280" t="s">
        <v>756</v>
      </c>
      <c r="AH280" t="s">
        <v>756</v>
      </c>
      <c r="AI280" t="s">
        <v>367</v>
      </c>
      <c r="AJ280" t="str">
        <f t="shared" si="173"/>
        <v>d</v>
      </c>
      <c r="AK280" t="str">
        <f t="shared" si="173"/>
        <v>d</v>
      </c>
      <c r="AL280" t="str">
        <f t="shared" si="150"/>
        <v>d</v>
      </c>
      <c r="AN280" t="s">
        <v>861</v>
      </c>
      <c r="AO280" t="str">
        <f t="shared" si="151"/>
        <v>h</v>
      </c>
      <c r="AP280" t="str">
        <f t="shared" si="158"/>
        <v>d</v>
      </c>
      <c r="AQ280" t="str">
        <f t="shared" si="159"/>
        <v/>
      </c>
      <c r="AR280" t="str">
        <f t="shared" si="160"/>
        <v>Home</v>
      </c>
      <c r="AS280" t="str">
        <f t="shared" si="161"/>
        <v>h</v>
      </c>
      <c r="AT280" t="str">
        <f t="shared" si="162"/>
        <v/>
      </c>
      <c r="BA280" s="6">
        <f t="shared" si="152"/>
        <v>66</v>
      </c>
      <c r="BB280">
        <f t="shared" si="153"/>
        <v>18981</v>
      </c>
      <c r="BC280" t="str">
        <f t="shared" si="154"/>
        <v>Nelson</v>
      </c>
      <c r="BD280" t="str">
        <f t="shared" si="155"/>
        <v>Velodrome</v>
      </c>
      <c r="BE280" t="s">
        <v>11</v>
      </c>
      <c r="BF280" t="s">
        <v>187</v>
      </c>
      <c r="BG280" t="s">
        <v>108</v>
      </c>
      <c r="BI280" cm="1">
        <f t="array" ref="BI280">IFERROR(_xlfn._xlws.FILTER(shifts!A:A,(shifts!B:B=events!AD280)*(shifts!AG:AG&gt;=events!BK280)*(shifts!AH:AH&lt;=events!BL280)),BI279)</f>
        <v>13</v>
      </c>
      <c r="BJ280" s="15">
        <f t="shared" si="156"/>
        <v>0</v>
      </c>
      <c r="BK280">
        <f t="shared" si="163"/>
        <v>717</v>
      </c>
      <c r="BL280">
        <f t="shared" si="164"/>
        <v>717</v>
      </c>
      <c r="BM280" s="15">
        <f>SUMIFS(BJ$2:BJ280,K$2:K280,"=Intermission")+SUMIFS(BJ$2:BJ280,K$2:K280,"=Timeout")</f>
        <v>0</v>
      </c>
      <c r="BN280">
        <f t="shared" si="165"/>
        <v>0</v>
      </c>
      <c r="BO280" s="19">
        <f t="shared" si="166"/>
        <v>363</v>
      </c>
      <c r="BP280">
        <f t="shared" si="167"/>
        <v>358</v>
      </c>
      <c r="BQ280" s="17">
        <f t="shared" si="168"/>
        <v>363</v>
      </c>
      <c r="BR280" t="str">
        <f t="shared" si="169"/>
        <v>event_team_player_1</v>
      </c>
      <c r="BS280">
        <f>COUNTIFS(S$3:S280,"="&amp;S280,AI$3:AI280,"="&amp;AI280)</f>
        <v>1</v>
      </c>
      <c r="BT280" t="str">
        <f>IFERROR(VLOOKUP(BB280&amp;BU280&amp;X280,game_rosters!U:W,3,FALSE),"")</f>
        <v>P100138</v>
      </c>
      <c r="BU280" t="str">
        <f t="shared" si="170"/>
        <v>Nelson</v>
      </c>
    </row>
    <row r="281" spans="1:73" x14ac:dyDescent="0.2">
      <c r="A281">
        <f t="shared" si="157"/>
        <v>1</v>
      </c>
      <c r="E281" s="4"/>
      <c r="F281" s="43"/>
      <c r="G281" s="4"/>
      <c r="H281" s="46"/>
      <c r="J281" s="44" t="str">
        <f t="shared" si="171"/>
        <v>d</v>
      </c>
      <c r="K281" t="s">
        <v>241</v>
      </c>
      <c r="L281" t="s">
        <v>756</v>
      </c>
      <c r="M281" t="s">
        <v>756</v>
      </c>
      <c r="N281" t="str">
        <f t="shared" si="174"/>
        <v/>
      </c>
      <c r="Q281" t="str">
        <f t="shared" si="172"/>
        <v/>
      </c>
      <c r="S281">
        <v>158</v>
      </c>
      <c r="U281" t="str">
        <f>IF(B281=1,MAX($U$2:$U280)+1,IF(AND($T281&lt;&gt;"",$T281=$T280),$U280,IF(B281="x",U280,"")))</f>
        <v/>
      </c>
      <c r="V281" t="str">
        <f>IF(C281=1,MAX($V$2:$V280)+1,IF(AND($T281&lt;&gt;"",$T281=$T280),$U280,IF(C281="x",V280,"")))</f>
        <v/>
      </c>
      <c r="W281" t="str">
        <f t="shared" si="146"/>
        <v>h</v>
      </c>
      <c r="X281">
        <v>31</v>
      </c>
      <c r="Y281" t="b">
        <f>IF(X281&lt;&gt;"",VLOOKUP(X281,game_rosters!$C$43:$E$64,3,FALSE))</f>
        <v>0</v>
      </c>
      <c r="Z281" cm="1">
        <f t="array" ref="Z281">IFERROR(IF(_xlfn._xlws.FILTER(game_rosters!$J:$J,(game_rosters!$G:$G=events!$AN281)*(game_rosters!$J:$J=events!$X281))&gt;0,1,""),"")</f>
        <v>1</v>
      </c>
      <c r="AA281">
        <f t="shared" si="147"/>
        <v>1158</v>
      </c>
      <c r="AB281" t="str">
        <f t="shared" si="148"/>
        <v/>
      </c>
      <c r="AC281">
        <f t="shared" si="145"/>
        <v>1158</v>
      </c>
      <c r="AD281" s="6">
        <v>1</v>
      </c>
      <c r="AE281" t="s">
        <v>754</v>
      </c>
      <c r="AF281" t="s">
        <v>733</v>
      </c>
      <c r="AG281" t="s">
        <v>754</v>
      </c>
      <c r="AH281" t="s">
        <v>902</v>
      </c>
      <c r="AI281" t="s">
        <v>367</v>
      </c>
      <c r="AJ281" t="str">
        <f t="shared" si="173"/>
        <v>d</v>
      </c>
      <c r="AK281" t="str">
        <f t="shared" si="173"/>
        <v>d</v>
      </c>
      <c r="AL281" t="str">
        <f t="shared" si="150"/>
        <v>d</v>
      </c>
      <c r="AN281" t="s">
        <v>861</v>
      </c>
      <c r="AO281" t="str">
        <f t="shared" si="151"/>
        <v>h</v>
      </c>
      <c r="AP281" t="str">
        <f t="shared" si="158"/>
        <v>d</v>
      </c>
      <c r="AQ281" t="str">
        <f t="shared" si="159"/>
        <v/>
      </c>
      <c r="AR281" t="str">
        <f t="shared" si="160"/>
        <v>Home</v>
      </c>
      <c r="AS281" t="str">
        <f t="shared" si="161"/>
        <v>h</v>
      </c>
      <c r="AT281" t="str">
        <f t="shared" si="162"/>
        <v/>
      </c>
      <c r="BA281" s="6">
        <f t="shared" si="152"/>
        <v>66</v>
      </c>
      <c r="BB281">
        <f t="shared" si="153"/>
        <v>18981</v>
      </c>
      <c r="BC281" t="str">
        <f t="shared" si="154"/>
        <v>Nelson</v>
      </c>
      <c r="BD281" t="str">
        <f t="shared" si="155"/>
        <v>Velodrome</v>
      </c>
      <c r="BE281" t="s">
        <v>241</v>
      </c>
      <c r="BF281" t="s">
        <v>756</v>
      </c>
      <c r="BG281" t="s">
        <v>756</v>
      </c>
      <c r="BI281" cm="1">
        <f t="array" ref="BI281">IFERROR(_xlfn._xlws.FILTER(shifts!A:A,(shifts!B:B=events!AD281)*(shifts!AG:AG&gt;=events!BK281)*(shifts!AH:AH&lt;=events!BL281)),BI280)</f>
        <v>13</v>
      </c>
      <c r="BJ281" s="15">
        <f t="shared" si="156"/>
        <v>14</v>
      </c>
      <c r="BK281">
        <f t="shared" si="163"/>
        <v>716</v>
      </c>
      <c r="BL281">
        <f t="shared" si="164"/>
        <v>702</v>
      </c>
      <c r="BM281" s="15">
        <f>SUMIFS(BJ$2:BJ281,K$2:K281,"=Intermission")+SUMIFS(BJ$2:BJ281,K$2:K281,"=Timeout")</f>
        <v>0</v>
      </c>
      <c r="BN281">
        <f t="shared" si="165"/>
        <v>0</v>
      </c>
      <c r="BO281" s="19">
        <f t="shared" si="166"/>
        <v>364</v>
      </c>
      <c r="BP281">
        <f t="shared" si="167"/>
        <v>359</v>
      </c>
      <c r="BQ281" s="17">
        <f t="shared" si="168"/>
        <v>378</v>
      </c>
      <c r="BR281" t="str">
        <f t="shared" si="169"/>
        <v>event_team_player_1</v>
      </c>
      <c r="BS281">
        <f>COUNTIFS(S$3:S281,"="&amp;S281,AI$3:AI281,"="&amp;AI281)</f>
        <v>1</v>
      </c>
      <c r="BT281" t="str">
        <f>IFERROR(VLOOKUP(BB281&amp;BU281&amp;X281,game_rosters!U:W,3,FALSE),"")</f>
        <v>P100138</v>
      </c>
      <c r="BU281" t="str">
        <f t="shared" si="170"/>
        <v>Nelson</v>
      </c>
    </row>
    <row r="282" spans="1:73" x14ac:dyDescent="0.2">
      <c r="A282">
        <f t="shared" si="157"/>
        <v>1</v>
      </c>
      <c r="E282" s="4"/>
      <c r="F282" s="43"/>
      <c r="G282" s="4"/>
      <c r="H282" s="46"/>
      <c r="J282" s="44" t="str">
        <f t="shared" si="171"/>
        <v/>
      </c>
      <c r="K282" t="s">
        <v>5</v>
      </c>
      <c r="L282" t="s">
        <v>236</v>
      </c>
      <c r="M282" t="s">
        <v>756</v>
      </c>
      <c r="N282" t="str">
        <f t="shared" si="174"/>
        <v/>
      </c>
      <c r="Q282" t="str">
        <f t="shared" si="172"/>
        <v/>
      </c>
      <c r="S282">
        <v>159</v>
      </c>
      <c r="U282" t="str">
        <f>IF(B282=1,MAX($U$2:$U281)+1,IF(AND($T282&lt;&gt;"",$T282=$T281),$U281,IF(B282="x",U281,"")))</f>
        <v/>
      </c>
      <c r="V282" t="str">
        <f>IF(C282=1,MAX($V$2:$V281)+1,IF(AND($T282&lt;&gt;"",$T282=$T281),$U281,IF(C282="x",V281,"")))</f>
        <v/>
      </c>
      <c r="W282" t="str">
        <f t="shared" si="146"/>
        <v>a</v>
      </c>
      <c r="X282">
        <v>70</v>
      </c>
      <c r="Y282" t="e">
        <f>IF(X282&lt;&gt;"",VLOOKUP(X282,game_rosters!$C$43:$E$64,3,FALSE))</f>
        <v>#N/A</v>
      </c>
      <c r="Z282" cm="1">
        <f t="array" ref="Z282">IFERROR(IF(_xlfn._xlws.FILTER(game_rosters!$J:$J,(game_rosters!$G:$G=events!$AN282)*(game_rosters!$J:$J=events!$X282))&gt;0,1,""),"")</f>
        <v>1</v>
      </c>
      <c r="AA282">
        <f t="shared" si="147"/>
        <v>1159</v>
      </c>
      <c r="AB282" t="str">
        <f t="shared" si="148"/>
        <v/>
      </c>
      <c r="AC282">
        <f t="shared" si="145"/>
        <v>1159</v>
      </c>
      <c r="AD282" s="6">
        <v>1</v>
      </c>
      <c r="AE282" t="s">
        <v>754</v>
      </c>
      <c r="AF282" t="s">
        <v>902</v>
      </c>
      <c r="AG282" t="s">
        <v>756</v>
      </c>
      <c r="AH282" t="s">
        <v>756</v>
      </c>
      <c r="AI282" t="s">
        <v>367</v>
      </c>
      <c r="AJ282" t="str">
        <f t="shared" si="173"/>
        <v/>
      </c>
      <c r="AK282" t="str">
        <f t="shared" si="173"/>
        <v/>
      </c>
      <c r="AL282" t="str">
        <f t="shared" si="150"/>
        <v/>
      </c>
      <c r="AN282" t="s">
        <v>862</v>
      </c>
      <c r="AO282" t="str">
        <f t="shared" si="151"/>
        <v>a</v>
      </c>
      <c r="AP282" t="str">
        <f t="shared" si="158"/>
        <v/>
      </c>
      <c r="AQ282" t="str">
        <f t="shared" si="159"/>
        <v/>
      </c>
      <c r="AR282" t="str">
        <f t="shared" si="160"/>
        <v>Away</v>
      </c>
      <c r="AS282" t="str">
        <f t="shared" si="161"/>
        <v>a</v>
      </c>
      <c r="AT282" t="str">
        <f t="shared" si="162"/>
        <v>Offensive</v>
      </c>
      <c r="BA282" s="6">
        <f t="shared" si="152"/>
        <v>66</v>
      </c>
      <c r="BB282">
        <f t="shared" si="153"/>
        <v>18981</v>
      </c>
      <c r="BC282" t="str">
        <f t="shared" si="154"/>
        <v>Nelson</v>
      </c>
      <c r="BD282" t="str">
        <f t="shared" si="155"/>
        <v>Velodrome</v>
      </c>
      <c r="BE282" t="s">
        <v>5</v>
      </c>
      <c r="BF282" t="s">
        <v>236</v>
      </c>
      <c r="BG282" t="s">
        <v>756</v>
      </c>
      <c r="BI282" cm="1">
        <f t="array" ref="BI282">IFERROR(_xlfn._xlws.FILTER(shifts!A:A,(shifts!B:B=events!AD282)*(shifts!AG:AG&gt;=events!BK282)*(shifts!AH:AH&lt;=events!BL282)),BI281)</f>
        <v>13</v>
      </c>
      <c r="BJ282" s="15">
        <f t="shared" si="156"/>
        <v>0</v>
      </c>
      <c r="BK282">
        <f t="shared" si="163"/>
        <v>702</v>
      </c>
      <c r="BL282">
        <f t="shared" si="164"/>
        <v>702</v>
      </c>
      <c r="BM282" s="15">
        <f>SUMIFS(BJ$2:BJ282,K$2:K282,"=Intermission")+SUMIFS(BJ$2:BJ282,K$2:K282,"=Timeout")</f>
        <v>0</v>
      </c>
      <c r="BN282">
        <f t="shared" si="165"/>
        <v>0</v>
      </c>
      <c r="BO282" s="19">
        <f t="shared" si="166"/>
        <v>378</v>
      </c>
      <c r="BP282">
        <f t="shared" si="167"/>
        <v>373</v>
      </c>
      <c r="BQ282" s="17">
        <f t="shared" si="168"/>
        <v>378</v>
      </c>
      <c r="BR282" t="str">
        <f t="shared" si="169"/>
        <v>event_team_player_1</v>
      </c>
      <c r="BS282">
        <f>COUNTIFS(S$3:S282,"="&amp;S282,AI$3:AI282,"="&amp;AI282)</f>
        <v>1</v>
      </c>
      <c r="BT282" t="str">
        <f>IFERROR(VLOOKUP(BB282&amp;BU282&amp;X282,game_rosters!U:W,3,FALSE),"")</f>
        <v>P100001</v>
      </c>
      <c r="BU282" t="str">
        <f t="shared" si="170"/>
        <v>Velodrome</v>
      </c>
    </row>
    <row r="283" spans="1:73" x14ac:dyDescent="0.2">
      <c r="A283">
        <f t="shared" si="157"/>
        <v>1</v>
      </c>
      <c r="E283" s="4"/>
      <c r="F283" s="43"/>
      <c r="G283" s="4"/>
      <c r="H283" s="46"/>
      <c r="J283" s="44" t="str">
        <f t="shared" si="171"/>
        <v/>
      </c>
      <c r="K283" t="s">
        <v>5</v>
      </c>
      <c r="L283" t="s">
        <v>236</v>
      </c>
      <c r="M283" t="s">
        <v>756</v>
      </c>
      <c r="N283" t="str">
        <f t="shared" si="174"/>
        <v/>
      </c>
      <c r="Q283" t="str">
        <f t="shared" si="172"/>
        <v/>
      </c>
      <c r="S283">
        <v>159</v>
      </c>
      <c r="U283" t="str">
        <f>IF(B283=1,MAX($U$2:$U282)+1,IF(AND($T283&lt;&gt;"",$T283=$T282),$U282,IF(B283="x",U282,"")))</f>
        <v/>
      </c>
      <c r="V283" t="str">
        <f>IF(C283=1,MAX($V$2:$V282)+1,IF(AND($T283&lt;&gt;"",$T283=$T282),$U282,IF(C283="x",V282,"")))</f>
        <v/>
      </c>
      <c r="W283" t="str">
        <f t="shared" si="146"/>
        <v>a</v>
      </c>
      <c r="X283">
        <v>87</v>
      </c>
      <c r="Y283" t="e">
        <f>IF(X283&lt;&gt;"",VLOOKUP(X283,game_rosters!$C$43:$E$64,3,FALSE))</f>
        <v>#N/A</v>
      </c>
      <c r="Z283" cm="1">
        <f t="array" ref="Z283">IFERROR(IF(_xlfn._xlws.FILTER(game_rosters!$J:$J,(game_rosters!$G:$G=events!$AN283)*(game_rosters!$J:$J=events!$X283))&gt;0,1,""),"")</f>
        <v>1</v>
      </c>
      <c r="AA283">
        <f t="shared" si="147"/>
        <v>1159</v>
      </c>
      <c r="AB283" t="str">
        <f t="shared" si="148"/>
        <v/>
      </c>
      <c r="AC283">
        <f t="shared" si="145"/>
        <v>1159</v>
      </c>
      <c r="AD283" s="6">
        <v>1</v>
      </c>
      <c r="AE283" t="s">
        <v>754</v>
      </c>
      <c r="AF283" t="s">
        <v>902</v>
      </c>
      <c r="AG283" t="s">
        <v>756</v>
      </c>
      <c r="AH283" t="s">
        <v>756</v>
      </c>
      <c r="AI283" t="s">
        <v>367</v>
      </c>
      <c r="AJ283" t="str">
        <f t="shared" si="173"/>
        <v/>
      </c>
      <c r="AK283" t="str">
        <f t="shared" si="173"/>
        <v/>
      </c>
      <c r="AL283" t="str">
        <f t="shared" si="150"/>
        <v/>
      </c>
      <c r="AN283" t="s">
        <v>862</v>
      </c>
      <c r="AO283" t="str">
        <f t="shared" si="151"/>
        <v>a</v>
      </c>
      <c r="AP283" t="str">
        <f t="shared" si="158"/>
        <v/>
      </c>
      <c r="AQ283" t="str">
        <f t="shared" si="159"/>
        <v/>
      </c>
      <c r="AR283" t="str">
        <f t="shared" si="160"/>
        <v>Away</v>
      </c>
      <c r="AS283" t="str">
        <f t="shared" si="161"/>
        <v>a</v>
      </c>
      <c r="AT283" t="str">
        <f t="shared" si="162"/>
        <v>Offensive</v>
      </c>
      <c r="BA283" s="6">
        <f t="shared" si="152"/>
        <v>66</v>
      </c>
      <c r="BB283">
        <f t="shared" si="153"/>
        <v>18981</v>
      </c>
      <c r="BC283" t="str">
        <f t="shared" si="154"/>
        <v>Nelson</v>
      </c>
      <c r="BD283" t="str">
        <f t="shared" si="155"/>
        <v>Velodrome</v>
      </c>
      <c r="BE283" t="s">
        <v>5</v>
      </c>
      <c r="BF283" t="s">
        <v>236</v>
      </c>
      <c r="BG283" t="s">
        <v>756</v>
      </c>
      <c r="BI283" cm="1">
        <f t="array" ref="BI283">IFERROR(_xlfn._xlws.FILTER(shifts!A:A,(shifts!B:B=events!AD283)*(shifts!AG:AG&gt;=events!BK283)*(shifts!AH:AH&lt;=events!BL283)),BI282)</f>
        <v>13</v>
      </c>
      <c r="BJ283" s="15">
        <f t="shared" si="156"/>
        <v>0</v>
      </c>
      <c r="BK283">
        <f t="shared" si="163"/>
        <v>702</v>
      </c>
      <c r="BL283">
        <f t="shared" si="164"/>
        <v>702</v>
      </c>
      <c r="BM283" s="15">
        <f>SUMIFS(BJ$2:BJ283,K$2:K283,"=Intermission")+SUMIFS(BJ$2:BJ283,K$2:K283,"=Timeout")</f>
        <v>0</v>
      </c>
      <c r="BN283">
        <f t="shared" si="165"/>
        <v>0</v>
      </c>
      <c r="BO283" s="19">
        <f t="shared" si="166"/>
        <v>378</v>
      </c>
      <c r="BP283">
        <f t="shared" si="167"/>
        <v>373</v>
      </c>
      <c r="BQ283" s="17">
        <f t="shared" si="168"/>
        <v>378</v>
      </c>
      <c r="BR283" t="str">
        <f t="shared" si="169"/>
        <v>event_team_player_2</v>
      </c>
      <c r="BS283">
        <f>COUNTIFS(S$3:S283,"="&amp;S283,AI$3:AI283,"="&amp;AI283)</f>
        <v>2</v>
      </c>
      <c r="BT283" t="str">
        <f>IFERROR(VLOOKUP(BB283&amp;BU283&amp;X283,game_rosters!U:W,3,FALSE),"")</f>
        <v>P100159</v>
      </c>
      <c r="BU283" t="str">
        <f t="shared" si="170"/>
        <v>Velodrome</v>
      </c>
    </row>
    <row r="284" spans="1:73" x14ac:dyDescent="0.2">
      <c r="A284">
        <f t="shared" si="157"/>
        <v>1</v>
      </c>
      <c r="E284" s="4"/>
      <c r="F284" s="43"/>
      <c r="G284" s="4"/>
      <c r="H284" s="46"/>
      <c r="J284" s="44" t="str">
        <f t="shared" si="171"/>
        <v/>
      </c>
      <c r="K284" t="s">
        <v>5</v>
      </c>
      <c r="L284" t="s">
        <v>236</v>
      </c>
      <c r="M284" t="s">
        <v>756</v>
      </c>
      <c r="N284" t="str">
        <f t="shared" si="174"/>
        <v/>
      </c>
      <c r="Q284" t="str">
        <f t="shared" si="172"/>
        <v/>
      </c>
      <c r="S284">
        <v>159</v>
      </c>
      <c r="U284" t="str">
        <f>IF(B284=1,MAX($U$2:$U283)+1,IF(AND($T284&lt;&gt;"",$T284=$T283),$U283,IF(B284="x",U283,"")))</f>
        <v/>
      </c>
      <c r="V284" t="str">
        <f>IF(C284=1,MAX($V$2:$V283)+1,IF(AND($T284&lt;&gt;"",$T284=$T283),$U283,IF(C284="x",V283,"")))</f>
        <v/>
      </c>
      <c r="W284" t="str">
        <f t="shared" si="146"/>
        <v>a</v>
      </c>
      <c r="X284">
        <v>79</v>
      </c>
      <c r="Y284" t="b">
        <f>IF(X284&lt;&gt;"",VLOOKUP(X284,game_rosters!$C$43:$E$64,3,FALSE))</f>
        <v>0</v>
      </c>
      <c r="Z284" t="str" cm="1">
        <f t="array" ref="Z284">IFERROR(IF(_xlfn._xlws.FILTER(game_rosters!$J:$J,(game_rosters!$G:$G=events!$AN284)*(game_rosters!$J:$J=events!$X284))&gt;0,1,""),"")</f>
        <v/>
      </c>
      <c r="AA284">
        <f t="shared" si="147"/>
        <v>1159</v>
      </c>
      <c r="AB284" t="str">
        <f t="shared" si="148"/>
        <v/>
      </c>
      <c r="AC284">
        <f t="shared" si="145"/>
        <v>1159</v>
      </c>
      <c r="AD284" s="6">
        <v>1</v>
      </c>
      <c r="AE284" t="s">
        <v>754</v>
      </c>
      <c r="AF284" t="s">
        <v>902</v>
      </c>
      <c r="AG284" t="s">
        <v>756</v>
      </c>
      <c r="AH284" t="s">
        <v>756</v>
      </c>
      <c r="AI284" t="s">
        <v>368</v>
      </c>
      <c r="AJ284" t="str">
        <f t="shared" si="173"/>
        <v/>
      </c>
      <c r="AK284" t="str">
        <f t="shared" si="173"/>
        <v/>
      </c>
      <c r="AL284" t="str">
        <f t="shared" si="150"/>
        <v/>
      </c>
      <c r="AN284" t="s">
        <v>862</v>
      </c>
      <c r="AO284" t="str">
        <f t="shared" si="151"/>
        <v>a</v>
      </c>
      <c r="AP284" t="str">
        <f t="shared" si="158"/>
        <v/>
      </c>
      <c r="AQ284" t="str">
        <f t="shared" si="159"/>
        <v/>
      </c>
      <c r="AR284" t="str">
        <f t="shared" si="160"/>
        <v>Away</v>
      </c>
      <c r="AS284" t="str">
        <f t="shared" si="161"/>
        <v>a</v>
      </c>
      <c r="AT284" t="str">
        <f t="shared" si="162"/>
        <v>Defensive</v>
      </c>
      <c r="BA284" s="6">
        <f t="shared" si="152"/>
        <v>66</v>
      </c>
      <c r="BB284">
        <f t="shared" si="153"/>
        <v>18981</v>
      </c>
      <c r="BC284" t="str">
        <f t="shared" si="154"/>
        <v>Nelson</v>
      </c>
      <c r="BD284" t="str">
        <f t="shared" si="155"/>
        <v>Velodrome</v>
      </c>
      <c r="BE284" t="s">
        <v>5</v>
      </c>
      <c r="BF284" t="s">
        <v>236</v>
      </c>
      <c r="BG284" t="s">
        <v>756</v>
      </c>
      <c r="BI284" cm="1">
        <f t="array" ref="BI284">IFERROR(_xlfn._xlws.FILTER(shifts!A:A,(shifts!B:B=events!AD284)*(shifts!AG:AG&gt;=events!BK284)*(shifts!AH:AH&lt;=events!BL284)),BI283)</f>
        <v>13</v>
      </c>
      <c r="BJ284" s="15">
        <f t="shared" si="156"/>
        <v>0</v>
      </c>
      <c r="BK284">
        <f t="shared" si="163"/>
        <v>702</v>
      </c>
      <c r="BL284">
        <f t="shared" si="164"/>
        <v>702</v>
      </c>
      <c r="BM284" s="15">
        <f>SUMIFS(BJ$2:BJ284,K$2:K284,"=Intermission")+SUMIFS(BJ$2:BJ284,K$2:K284,"=Timeout")</f>
        <v>0</v>
      </c>
      <c r="BN284">
        <f t="shared" si="165"/>
        <v>0</v>
      </c>
      <c r="BO284" s="19">
        <f t="shared" si="166"/>
        <v>378</v>
      </c>
      <c r="BP284">
        <f t="shared" si="167"/>
        <v>373</v>
      </c>
      <c r="BQ284" s="17">
        <f t="shared" si="168"/>
        <v>378</v>
      </c>
      <c r="BR284" t="str">
        <f t="shared" si="169"/>
        <v>opp_team_player_1</v>
      </c>
      <c r="BS284">
        <f>COUNTIFS(S$3:S284,"="&amp;S284,AI$3:AI284,"="&amp;AI284)</f>
        <v>1</v>
      </c>
      <c r="BT284" t="str">
        <f>IFERROR(VLOOKUP(BB284&amp;BU284&amp;X284,game_rosters!U:W,3,FALSE),"")</f>
        <v>P100066</v>
      </c>
      <c r="BU284" t="str">
        <f t="shared" si="170"/>
        <v>Nelson</v>
      </c>
    </row>
    <row r="285" spans="1:73" x14ac:dyDescent="0.2">
      <c r="A285">
        <f t="shared" si="157"/>
        <v>1</v>
      </c>
      <c r="E285" s="4"/>
      <c r="F285" s="43"/>
      <c r="G285" s="4"/>
      <c r="H285" s="46"/>
      <c r="J285" s="44" t="str">
        <f t="shared" si="171"/>
        <v/>
      </c>
      <c r="K285" t="s">
        <v>7</v>
      </c>
      <c r="L285" t="s">
        <v>172</v>
      </c>
      <c r="M285" t="s">
        <v>68</v>
      </c>
      <c r="N285" t="str">
        <f t="shared" si="174"/>
        <v>s</v>
      </c>
      <c r="Q285" t="str">
        <f t="shared" si="172"/>
        <v/>
      </c>
      <c r="S285">
        <v>160</v>
      </c>
      <c r="U285" t="str">
        <f>IF(B285=1,MAX($U$2:$U284)+1,IF(AND($T285&lt;&gt;"",$T285=$T284),$U284,IF(B285="x",U284,"")))</f>
        <v/>
      </c>
      <c r="V285" t="str">
        <f>IF(C285=1,MAX($V$2:$V284)+1,IF(AND($T285&lt;&gt;"",$T285=$T284),$U284,IF(C285="x",V284,"")))</f>
        <v/>
      </c>
      <c r="W285" t="str">
        <f t="shared" si="146"/>
        <v>a</v>
      </c>
      <c r="X285">
        <v>87</v>
      </c>
      <c r="Y285" t="e">
        <f>IF(X285&lt;&gt;"",VLOOKUP(X285,game_rosters!$C$43:$E$64,3,FALSE))</f>
        <v>#N/A</v>
      </c>
      <c r="Z285" cm="1">
        <f t="array" ref="Z285">IFERROR(IF(_xlfn._xlws.FILTER(game_rosters!$J:$J,(game_rosters!$G:$G=events!$AN285)*(game_rosters!$J:$J=events!$X285))&gt;0,1,""),"")</f>
        <v>1</v>
      </c>
      <c r="AA285">
        <f t="shared" si="147"/>
        <v>1160</v>
      </c>
      <c r="AB285" t="str">
        <f t="shared" si="148"/>
        <v/>
      </c>
      <c r="AC285">
        <f t="shared" si="145"/>
        <v>1160</v>
      </c>
      <c r="AD285" s="6">
        <v>1</v>
      </c>
      <c r="AE285" t="s">
        <v>754</v>
      </c>
      <c r="AF285" t="s">
        <v>924</v>
      </c>
      <c r="AG285" t="s">
        <v>756</v>
      </c>
      <c r="AH285" t="s">
        <v>756</v>
      </c>
      <c r="AI285" t="s">
        <v>367</v>
      </c>
      <c r="AJ285" t="str">
        <f t="shared" si="173"/>
        <v/>
      </c>
      <c r="AK285" t="str">
        <f t="shared" si="173"/>
        <v/>
      </c>
      <c r="AL285" t="str">
        <f t="shared" si="150"/>
        <v/>
      </c>
      <c r="AN285" t="s">
        <v>862</v>
      </c>
      <c r="AO285" t="str">
        <f t="shared" si="151"/>
        <v>a</v>
      </c>
      <c r="AP285" t="str">
        <f t="shared" si="158"/>
        <v/>
      </c>
      <c r="AQ285" t="str">
        <f t="shared" si="159"/>
        <v/>
      </c>
      <c r="AR285" t="str">
        <f t="shared" si="160"/>
        <v>Away</v>
      </c>
      <c r="AS285" t="str">
        <f t="shared" si="161"/>
        <v>a</v>
      </c>
      <c r="AT285" t="str">
        <f t="shared" si="162"/>
        <v>Offensive</v>
      </c>
      <c r="BA285" s="6">
        <f t="shared" si="152"/>
        <v>66</v>
      </c>
      <c r="BB285">
        <f t="shared" si="153"/>
        <v>18981</v>
      </c>
      <c r="BC285" t="str">
        <f t="shared" si="154"/>
        <v>Nelson</v>
      </c>
      <c r="BD285" t="str">
        <f t="shared" si="155"/>
        <v>Velodrome</v>
      </c>
      <c r="BE285" t="s">
        <v>7</v>
      </c>
      <c r="BF285" t="s">
        <v>172</v>
      </c>
      <c r="BG285" t="s">
        <v>68</v>
      </c>
      <c r="BI285" cm="1">
        <f t="array" ref="BI285">IFERROR(_xlfn._xlws.FILTER(shifts!A:A,(shifts!B:B=events!AD285)*(shifts!AG:AG&gt;=events!BK285)*(shifts!AH:AH&lt;=events!BL285)),BI284)</f>
        <v>13</v>
      </c>
      <c r="BJ285" s="15">
        <f t="shared" si="156"/>
        <v>0</v>
      </c>
      <c r="BK285">
        <f t="shared" si="163"/>
        <v>701</v>
      </c>
      <c r="BL285">
        <f t="shared" si="164"/>
        <v>701</v>
      </c>
      <c r="BM285" s="15">
        <f>SUMIFS(BJ$2:BJ285,K$2:K285,"=Intermission")+SUMIFS(BJ$2:BJ285,K$2:K285,"=Timeout")</f>
        <v>0</v>
      </c>
      <c r="BN285">
        <f t="shared" si="165"/>
        <v>0</v>
      </c>
      <c r="BO285" s="19">
        <f t="shared" si="166"/>
        <v>379</v>
      </c>
      <c r="BP285">
        <f t="shared" si="167"/>
        <v>374</v>
      </c>
      <c r="BQ285" s="17">
        <f t="shared" si="168"/>
        <v>379</v>
      </c>
      <c r="BR285" t="str">
        <f t="shared" si="169"/>
        <v>event_team_player_1</v>
      </c>
      <c r="BS285">
        <f>COUNTIFS(S$3:S285,"="&amp;S285,AI$3:AI285,"="&amp;AI285)</f>
        <v>1</v>
      </c>
      <c r="BT285" t="str">
        <f>IFERROR(VLOOKUP(BB285&amp;BU285&amp;X285,game_rosters!U:W,3,FALSE),"")</f>
        <v>P100159</v>
      </c>
      <c r="BU285" t="str">
        <f t="shared" si="170"/>
        <v>Velodrome</v>
      </c>
    </row>
    <row r="286" spans="1:73" x14ac:dyDescent="0.2">
      <c r="A286">
        <f t="shared" si="157"/>
        <v>1</v>
      </c>
      <c r="E286" s="4"/>
      <c r="F286" s="43"/>
      <c r="G286" s="4"/>
      <c r="H286" s="46"/>
      <c r="J286" s="44" t="str">
        <f t="shared" si="171"/>
        <v/>
      </c>
      <c r="K286" t="s">
        <v>7</v>
      </c>
      <c r="L286" t="s">
        <v>172</v>
      </c>
      <c r="M286" t="s">
        <v>68</v>
      </c>
      <c r="N286" t="str">
        <f t="shared" si="174"/>
        <v>s</v>
      </c>
      <c r="Q286" t="str">
        <f t="shared" si="172"/>
        <v/>
      </c>
      <c r="S286">
        <v>160</v>
      </c>
      <c r="U286" t="str">
        <f>IF(B286=1,MAX($U$2:$U285)+1,IF(AND($T286&lt;&gt;"",$T286=$T285),$U285,IF(B286="x",U285,"")))</f>
        <v/>
      </c>
      <c r="V286" t="str">
        <f>IF(C286=1,MAX($V$2:$V285)+1,IF(AND($T286&lt;&gt;"",$T286=$T285),$U285,IF(C286="x",V285,"")))</f>
        <v/>
      </c>
      <c r="W286" t="str">
        <f t="shared" si="146"/>
        <v>a</v>
      </c>
      <c r="X286">
        <v>22</v>
      </c>
      <c r="Y286" t="e">
        <f>IF(X286&lt;&gt;"",VLOOKUP(X286,game_rosters!$C$43:$E$64,3,FALSE))</f>
        <v>#N/A</v>
      </c>
      <c r="Z286" cm="1">
        <f t="array" ref="Z286">IFERROR(IF(_xlfn._xlws.FILTER(game_rosters!$J:$J,(game_rosters!$G:$G=events!$AN286)*(game_rosters!$J:$J=events!$X286))&gt;0,1,""),"")</f>
        <v>1</v>
      </c>
      <c r="AA286">
        <f t="shared" si="147"/>
        <v>1160</v>
      </c>
      <c r="AB286" t="str">
        <f t="shared" si="148"/>
        <v/>
      </c>
      <c r="AC286">
        <f t="shared" si="145"/>
        <v>1160</v>
      </c>
      <c r="AD286" s="6">
        <v>1</v>
      </c>
      <c r="AE286" t="s">
        <v>754</v>
      </c>
      <c r="AF286" t="s">
        <v>924</v>
      </c>
      <c r="AG286" t="s">
        <v>756</v>
      </c>
      <c r="AH286" t="s">
        <v>756</v>
      </c>
      <c r="AI286" t="s">
        <v>367</v>
      </c>
      <c r="AJ286" t="str">
        <f t="shared" si="173"/>
        <v/>
      </c>
      <c r="AK286" t="str">
        <f t="shared" si="173"/>
        <v/>
      </c>
      <c r="AL286" t="str">
        <f t="shared" si="150"/>
        <v/>
      </c>
      <c r="AN286" t="s">
        <v>862</v>
      </c>
      <c r="AO286" t="str">
        <f t="shared" si="151"/>
        <v>a</v>
      </c>
      <c r="AP286" t="str">
        <f t="shared" si="158"/>
        <v/>
      </c>
      <c r="AQ286" t="str">
        <f t="shared" si="159"/>
        <v/>
      </c>
      <c r="AR286" t="str">
        <f t="shared" si="160"/>
        <v>Away</v>
      </c>
      <c r="AS286" t="str">
        <f t="shared" si="161"/>
        <v>a</v>
      </c>
      <c r="AT286" t="str">
        <f t="shared" si="162"/>
        <v>Offensive</v>
      </c>
      <c r="BA286" s="6">
        <f t="shared" si="152"/>
        <v>66</v>
      </c>
      <c r="BB286">
        <f t="shared" si="153"/>
        <v>18981</v>
      </c>
      <c r="BC286" t="str">
        <f t="shared" si="154"/>
        <v>Nelson</v>
      </c>
      <c r="BD286" t="str">
        <f t="shared" si="155"/>
        <v>Velodrome</v>
      </c>
      <c r="BE286" t="s">
        <v>7</v>
      </c>
      <c r="BF286" t="s">
        <v>172</v>
      </c>
      <c r="BG286" t="s">
        <v>68</v>
      </c>
      <c r="BI286" cm="1">
        <f t="array" ref="BI286">IFERROR(_xlfn._xlws.FILTER(shifts!A:A,(shifts!B:B=events!AD286)*(shifts!AG:AG&gt;=events!BK286)*(shifts!AH:AH&lt;=events!BL286)),BI285)</f>
        <v>13</v>
      </c>
      <c r="BJ286" s="15">
        <f t="shared" si="156"/>
        <v>0</v>
      </c>
      <c r="BK286">
        <f t="shared" si="163"/>
        <v>701</v>
      </c>
      <c r="BL286">
        <f t="shared" si="164"/>
        <v>701</v>
      </c>
      <c r="BM286" s="15">
        <f>SUMIFS(BJ$2:BJ286,K$2:K286,"=Intermission")+SUMIFS(BJ$2:BJ286,K$2:K286,"=Timeout")</f>
        <v>0</v>
      </c>
      <c r="BN286">
        <f t="shared" si="165"/>
        <v>0</v>
      </c>
      <c r="BO286" s="19">
        <f t="shared" si="166"/>
        <v>379</v>
      </c>
      <c r="BP286">
        <f t="shared" si="167"/>
        <v>374</v>
      </c>
      <c r="BQ286" s="17">
        <f t="shared" si="168"/>
        <v>379</v>
      </c>
      <c r="BR286" t="str">
        <f t="shared" si="169"/>
        <v>event_team_player_2</v>
      </c>
      <c r="BS286">
        <f>COUNTIFS(S$3:S286,"="&amp;S286,AI$3:AI286,"="&amp;AI286)</f>
        <v>2</v>
      </c>
      <c r="BT286" t="str">
        <f>IFERROR(VLOOKUP(BB286&amp;BU286&amp;X286,game_rosters!U:W,3,FALSE),"")</f>
        <v>P100108</v>
      </c>
      <c r="BU286" t="str">
        <f t="shared" si="170"/>
        <v>Velodrome</v>
      </c>
    </row>
    <row r="287" spans="1:73" x14ac:dyDescent="0.2">
      <c r="A287">
        <f t="shared" si="157"/>
        <v>1</v>
      </c>
      <c r="E287" s="4"/>
      <c r="F287" s="43"/>
      <c r="G287" s="4"/>
      <c r="H287" s="46"/>
      <c r="J287" s="44" t="str">
        <f t="shared" si="171"/>
        <v/>
      </c>
      <c r="K287" t="s">
        <v>13</v>
      </c>
      <c r="L287" t="s">
        <v>756</v>
      </c>
      <c r="M287" t="s">
        <v>756</v>
      </c>
      <c r="N287" t="str">
        <f t="shared" si="174"/>
        <v/>
      </c>
      <c r="Q287" t="str">
        <f t="shared" si="172"/>
        <v/>
      </c>
      <c r="S287">
        <v>161</v>
      </c>
      <c r="U287" t="str">
        <f>IF(B287=1,MAX($U$2:$U286)+1,IF(AND($T287&lt;&gt;"",$T287=$T286),$U286,IF(B287="x",U286,"")))</f>
        <v/>
      </c>
      <c r="V287" t="str">
        <f>IF(C287=1,MAX($V$2:$V286)+1,IF(AND($T287&lt;&gt;"",$T287=$T286),$U286,IF(C287="x",V286,"")))</f>
        <v/>
      </c>
      <c r="W287" t="str">
        <f t="shared" si="146"/>
        <v>a</v>
      </c>
      <c r="X287">
        <v>22</v>
      </c>
      <c r="Y287" t="e">
        <f>IF(X287&lt;&gt;"",VLOOKUP(X287,game_rosters!$C$43:$E$64,3,FALSE))</f>
        <v>#N/A</v>
      </c>
      <c r="Z287" cm="1">
        <f t="array" ref="Z287">IFERROR(IF(_xlfn._xlws.FILTER(game_rosters!$J:$J,(game_rosters!$G:$G=events!$AN287)*(game_rosters!$J:$J=events!$X287))&gt;0,1,""),"")</f>
        <v>1</v>
      </c>
      <c r="AA287">
        <f t="shared" si="147"/>
        <v>1161</v>
      </c>
      <c r="AB287" t="str">
        <f t="shared" si="148"/>
        <v/>
      </c>
      <c r="AC287">
        <f t="shared" si="145"/>
        <v>1161</v>
      </c>
      <c r="AD287" s="6">
        <v>1</v>
      </c>
      <c r="AE287" t="s">
        <v>754</v>
      </c>
      <c r="AF287" t="s">
        <v>924</v>
      </c>
      <c r="AG287" t="s">
        <v>754</v>
      </c>
      <c r="AH287" t="s">
        <v>749</v>
      </c>
      <c r="AI287" t="s">
        <v>367</v>
      </c>
      <c r="AJ287" t="str">
        <f t="shared" si="173"/>
        <v/>
      </c>
      <c r="AK287" t="str">
        <f t="shared" si="173"/>
        <v/>
      </c>
      <c r="AL287" t="str">
        <f t="shared" si="150"/>
        <v/>
      </c>
      <c r="AN287" t="s">
        <v>862</v>
      </c>
      <c r="AO287" t="str">
        <f t="shared" si="151"/>
        <v>a</v>
      </c>
      <c r="AP287" t="str">
        <f t="shared" si="158"/>
        <v/>
      </c>
      <c r="AQ287" t="str">
        <f t="shared" si="159"/>
        <v/>
      </c>
      <c r="AR287" t="str">
        <f t="shared" si="160"/>
        <v>Away</v>
      </c>
      <c r="AS287" t="str">
        <f t="shared" si="161"/>
        <v>a</v>
      </c>
      <c r="AT287" t="str">
        <f t="shared" si="162"/>
        <v>Offensive</v>
      </c>
      <c r="BA287" s="6">
        <f t="shared" si="152"/>
        <v>66</v>
      </c>
      <c r="BB287">
        <f t="shared" si="153"/>
        <v>18981</v>
      </c>
      <c r="BC287" t="str">
        <f t="shared" si="154"/>
        <v>Nelson</v>
      </c>
      <c r="BD287" t="str">
        <f t="shared" si="155"/>
        <v>Velodrome</v>
      </c>
      <c r="BE287" t="s">
        <v>13</v>
      </c>
      <c r="BF287" t="s">
        <v>756</v>
      </c>
      <c r="BG287" t="s">
        <v>756</v>
      </c>
      <c r="BI287" cm="1">
        <f t="array" ref="BI287">IFERROR(_xlfn._xlws.FILTER(shifts!A:A,(shifts!B:B=events!AD287)*(shifts!AG:AG&gt;=events!BK287)*(shifts!AH:AH&lt;=events!BL287)),BI286)</f>
        <v>13</v>
      </c>
      <c r="BJ287" s="15">
        <f t="shared" si="156"/>
        <v>2</v>
      </c>
      <c r="BK287">
        <f t="shared" si="163"/>
        <v>701</v>
      </c>
      <c r="BL287">
        <f t="shared" si="164"/>
        <v>699</v>
      </c>
      <c r="BM287" s="15">
        <f>SUMIFS(BJ$2:BJ287,K$2:K287,"=Intermission")+SUMIFS(BJ$2:BJ287,K$2:K287,"=Timeout")</f>
        <v>0</v>
      </c>
      <c r="BN287">
        <f t="shared" si="165"/>
        <v>0</v>
      </c>
      <c r="BO287" s="19">
        <f t="shared" si="166"/>
        <v>379</v>
      </c>
      <c r="BP287">
        <f t="shared" si="167"/>
        <v>374</v>
      </c>
      <c r="BQ287" s="17">
        <f t="shared" si="168"/>
        <v>381</v>
      </c>
      <c r="BR287" t="str">
        <f t="shared" si="169"/>
        <v>event_team_player_1</v>
      </c>
      <c r="BS287">
        <f>COUNTIFS(S$3:S287,"="&amp;S287,AI$3:AI287,"="&amp;AI287)</f>
        <v>1</v>
      </c>
      <c r="BT287" t="str">
        <f>IFERROR(VLOOKUP(BB287&amp;BU287&amp;X287,game_rosters!U:W,3,FALSE),"")</f>
        <v>P100108</v>
      </c>
      <c r="BU287" t="str">
        <f t="shared" si="170"/>
        <v>Velodrome</v>
      </c>
    </row>
    <row r="288" spans="1:73" x14ac:dyDescent="0.2">
      <c r="A288">
        <f t="shared" si="157"/>
        <v>1</v>
      </c>
      <c r="E288" s="4"/>
      <c r="F288" s="43"/>
      <c r="G288" s="4"/>
      <c r="H288" s="46"/>
      <c r="J288" s="44" t="str">
        <f t="shared" si="171"/>
        <v/>
      </c>
      <c r="K288" t="s">
        <v>230</v>
      </c>
      <c r="L288" t="s">
        <v>388</v>
      </c>
      <c r="M288" t="s">
        <v>153</v>
      </c>
      <c r="N288" t="str">
        <f t="shared" si="174"/>
        <v/>
      </c>
      <c r="Q288" t="str">
        <f t="shared" si="172"/>
        <v/>
      </c>
      <c r="S288">
        <v>162</v>
      </c>
      <c r="U288" t="str">
        <f>IF(B288=1,MAX($U$2:$U287)+1,IF(AND($T288&lt;&gt;"",$T288=$T287),$U287,IF(B288="x",U287,"")))</f>
        <v/>
      </c>
      <c r="V288" t="str">
        <f>IF(C288=1,MAX($V$2:$V287)+1,IF(AND($T288&lt;&gt;"",$T288=$T287),$U287,IF(C288="x",V287,"")))</f>
        <v/>
      </c>
      <c r="W288" t="str">
        <f t="shared" si="146"/>
        <v>a</v>
      </c>
      <c r="X288">
        <v>22</v>
      </c>
      <c r="Y288" t="e">
        <f>IF(X288&lt;&gt;"",VLOOKUP(X288,game_rosters!$C$43:$E$64,3,FALSE))</f>
        <v>#N/A</v>
      </c>
      <c r="Z288" cm="1">
        <f t="array" ref="Z288">IFERROR(IF(_xlfn._xlws.FILTER(game_rosters!$J:$J,(game_rosters!$G:$G=events!$AN288)*(game_rosters!$J:$J=events!$X288))&gt;0,1,""),"")</f>
        <v>1</v>
      </c>
      <c r="AA288">
        <f t="shared" si="147"/>
        <v>1162</v>
      </c>
      <c r="AB288" t="str">
        <f t="shared" si="148"/>
        <v/>
      </c>
      <c r="AC288">
        <f t="shared" si="145"/>
        <v>1162</v>
      </c>
      <c r="AD288" s="6">
        <v>1</v>
      </c>
      <c r="AE288" t="s">
        <v>754</v>
      </c>
      <c r="AF288" t="s">
        <v>749</v>
      </c>
      <c r="AG288" t="s">
        <v>756</v>
      </c>
      <c r="AH288" t="s">
        <v>756</v>
      </c>
      <c r="AI288" t="s">
        <v>367</v>
      </c>
      <c r="AJ288" t="str">
        <f t="shared" si="173"/>
        <v/>
      </c>
      <c r="AK288" t="str">
        <f t="shared" si="173"/>
        <v/>
      </c>
      <c r="AL288" t="str">
        <f t="shared" si="150"/>
        <v/>
      </c>
      <c r="AN288" t="s">
        <v>862</v>
      </c>
      <c r="AO288" t="str">
        <f t="shared" si="151"/>
        <v>a</v>
      </c>
      <c r="AP288" t="str">
        <f t="shared" si="158"/>
        <v/>
      </c>
      <c r="AQ288" t="str">
        <f t="shared" si="159"/>
        <v/>
      </c>
      <c r="AR288" t="str">
        <f t="shared" si="160"/>
        <v>Away</v>
      </c>
      <c r="AS288" t="str">
        <f t="shared" si="161"/>
        <v>a</v>
      </c>
      <c r="AT288" t="str">
        <f t="shared" si="162"/>
        <v>Offensive</v>
      </c>
      <c r="BA288" s="6">
        <f t="shared" si="152"/>
        <v>66</v>
      </c>
      <c r="BB288">
        <f t="shared" si="153"/>
        <v>18981</v>
      </c>
      <c r="BC288" t="str">
        <f t="shared" si="154"/>
        <v>Nelson</v>
      </c>
      <c r="BD288" t="str">
        <f t="shared" si="155"/>
        <v>Velodrome</v>
      </c>
      <c r="BE288" t="s">
        <v>230</v>
      </c>
      <c r="BF288" t="s">
        <v>388</v>
      </c>
      <c r="BG288" t="s">
        <v>153</v>
      </c>
      <c r="BI288" cm="1">
        <f t="array" ref="BI288">IFERROR(_xlfn._xlws.FILTER(shifts!A:A,(shifts!B:B=events!AD288)*(shifts!AG:AG&gt;=events!BK288)*(shifts!AH:AH&lt;=events!BL288)),BI287)</f>
        <v>13</v>
      </c>
      <c r="BJ288" s="15">
        <f t="shared" si="156"/>
        <v>0</v>
      </c>
      <c r="BK288">
        <f t="shared" si="163"/>
        <v>699</v>
      </c>
      <c r="BL288">
        <f t="shared" si="164"/>
        <v>699</v>
      </c>
      <c r="BM288" s="15">
        <f>SUMIFS(BJ$2:BJ288,K$2:K288,"=Intermission")+SUMIFS(BJ$2:BJ288,K$2:K288,"=Timeout")</f>
        <v>0</v>
      </c>
      <c r="BN288">
        <f t="shared" si="165"/>
        <v>0</v>
      </c>
      <c r="BO288" s="19">
        <f t="shared" si="166"/>
        <v>381</v>
      </c>
      <c r="BP288">
        <f t="shared" si="167"/>
        <v>376</v>
      </c>
      <c r="BQ288" s="17">
        <f t="shared" si="168"/>
        <v>381</v>
      </c>
      <c r="BR288" t="str">
        <f t="shared" si="169"/>
        <v>event_team_player_1</v>
      </c>
      <c r="BS288">
        <f>COUNTIFS(S$3:S288,"="&amp;S288,AI$3:AI288,"="&amp;AI288)</f>
        <v>1</v>
      </c>
      <c r="BT288" t="str">
        <f>IFERROR(VLOOKUP(BB288&amp;BU288&amp;X288,game_rosters!U:W,3,FALSE),"")</f>
        <v>P100108</v>
      </c>
      <c r="BU288" t="str">
        <f t="shared" si="170"/>
        <v>Velodrome</v>
      </c>
    </row>
    <row r="289" spans="1:73" x14ac:dyDescent="0.2">
      <c r="A289">
        <f t="shared" si="157"/>
        <v>1</v>
      </c>
      <c r="E289" s="4"/>
      <c r="F289" s="43"/>
      <c r="G289" s="4"/>
      <c r="H289" s="46"/>
      <c r="J289" s="44" t="str">
        <f t="shared" si="171"/>
        <v/>
      </c>
      <c r="K289" t="s">
        <v>9</v>
      </c>
      <c r="L289" t="s">
        <v>173</v>
      </c>
      <c r="M289" t="s">
        <v>391</v>
      </c>
      <c r="N289" t="str">
        <f t="shared" si="174"/>
        <v>u</v>
      </c>
      <c r="Q289" t="str">
        <f t="shared" si="172"/>
        <v/>
      </c>
      <c r="S289">
        <v>163</v>
      </c>
      <c r="U289" t="str">
        <f>IF(B289=1,MAX($U$2:$U288)+1,IF(AND($T289&lt;&gt;"",$T289=$T288),$U288,IF(B289="x",U288,"")))</f>
        <v/>
      </c>
      <c r="V289" t="str">
        <f>IF(C289=1,MAX($V$2:$V288)+1,IF(AND($T289&lt;&gt;"",$T289=$T288),$U288,IF(C289="x",V288,"")))</f>
        <v/>
      </c>
      <c r="W289" t="str">
        <f t="shared" si="146"/>
        <v>a</v>
      </c>
      <c r="X289">
        <v>22</v>
      </c>
      <c r="Y289" t="e">
        <f>IF(X289&lt;&gt;"",VLOOKUP(X289,game_rosters!$C$43:$E$64,3,FALSE))</f>
        <v>#N/A</v>
      </c>
      <c r="Z289" cm="1">
        <f t="array" ref="Z289">IFERROR(IF(_xlfn._xlws.FILTER(game_rosters!$J:$J,(game_rosters!$G:$G=events!$AN289)*(game_rosters!$J:$J=events!$X289))&gt;0,1,""),"")</f>
        <v>1</v>
      </c>
      <c r="AA289">
        <f t="shared" si="147"/>
        <v>1163</v>
      </c>
      <c r="AB289" t="str">
        <f t="shared" si="148"/>
        <v/>
      </c>
      <c r="AC289">
        <f t="shared" si="145"/>
        <v>1163</v>
      </c>
      <c r="AD289" s="6">
        <v>1</v>
      </c>
      <c r="AE289" t="s">
        <v>754</v>
      </c>
      <c r="AF289" t="s">
        <v>749</v>
      </c>
      <c r="AG289" t="s">
        <v>756</v>
      </c>
      <c r="AH289" t="s">
        <v>756</v>
      </c>
      <c r="AI289" t="s">
        <v>367</v>
      </c>
      <c r="AJ289" t="str">
        <f t="shared" si="173"/>
        <v/>
      </c>
      <c r="AK289" t="str">
        <f t="shared" si="173"/>
        <v/>
      </c>
      <c r="AL289" t="str">
        <f t="shared" si="150"/>
        <v/>
      </c>
      <c r="AN289" t="s">
        <v>862</v>
      </c>
      <c r="AO289" t="str">
        <f t="shared" si="151"/>
        <v>a</v>
      </c>
      <c r="AP289" t="str">
        <f t="shared" si="158"/>
        <v/>
      </c>
      <c r="AQ289" t="str">
        <f t="shared" si="159"/>
        <v/>
      </c>
      <c r="AR289" t="str">
        <f t="shared" si="160"/>
        <v>Away</v>
      </c>
      <c r="AS289" t="str">
        <f t="shared" si="161"/>
        <v>a</v>
      </c>
      <c r="AT289" t="str">
        <f t="shared" si="162"/>
        <v>Offensive</v>
      </c>
      <c r="BA289" s="6">
        <f t="shared" si="152"/>
        <v>66</v>
      </c>
      <c r="BB289">
        <f t="shared" si="153"/>
        <v>18981</v>
      </c>
      <c r="BC289" t="str">
        <f t="shared" si="154"/>
        <v>Nelson</v>
      </c>
      <c r="BD289" t="str">
        <f t="shared" si="155"/>
        <v>Velodrome</v>
      </c>
      <c r="BE289" t="s">
        <v>9</v>
      </c>
      <c r="BF289" t="s">
        <v>173</v>
      </c>
      <c r="BG289" t="s">
        <v>391</v>
      </c>
      <c r="BI289" cm="1">
        <f t="array" ref="BI289">IFERROR(_xlfn._xlws.FILTER(shifts!A:A,(shifts!B:B=events!AD289)*(shifts!AG:AG&gt;=events!BK289)*(shifts!AH:AH&lt;=events!BL289)),BI288)</f>
        <v>13</v>
      </c>
      <c r="BJ289" s="15">
        <f t="shared" si="156"/>
        <v>0</v>
      </c>
      <c r="BK289">
        <f t="shared" si="163"/>
        <v>699</v>
      </c>
      <c r="BL289">
        <f t="shared" si="164"/>
        <v>699</v>
      </c>
      <c r="BM289" s="15">
        <f>SUMIFS(BJ$2:BJ289,K$2:K289,"=Intermission")+SUMIFS(BJ$2:BJ289,K$2:K289,"=Timeout")</f>
        <v>0</v>
      </c>
      <c r="BN289">
        <f t="shared" si="165"/>
        <v>0</v>
      </c>
      <c r="BO289" s="19">
        <f t="shared" si="166"/>
        <v>381</v>
      </c>
      <c r="BP289">
        <f t="shared" si="167"/>
        <v>376</v>
      </c>
      <c r="BQ289" s="17">
        <f t="shared" si="168"/>
        <v>381</v>
      </c>
      <c r="BR289" t="str">
        <f t="shared" si="169"/>
        <v>event_team_player_1</v>
      </c>
      <c r="BS289">
        <f>COUNTIFS(S$3:S289,"="&amp;S289,AI$3:AI289,"="&amp;AI289)</f>
        <v>1</v>
      </c>
      <c r="BT289" t="str">
        <f>IFERROR(VLOOKUP(BB289&amp;BU289&amp;X289,game_rosters!U:W,3,FALSE),"")</f>
        <v>P100108</v>
      </c>
      <c r="BU289" t="str">
        <f t="shared" si="170"/>
        <v>Velodrome</v>
      </c>
    </row>
    <row r="290" spans="1:73" x14ac:dyDescent="0.2">
      <c r="A290">
        <f t="shared" si="157"/>
        <v>1</v>
      </c>
      <c r="E290" s="4"/>
      <c r="F290" s="43"/>
      <c r="G290" s="4"/>
      <c r="H290" s="46"/>
      <c r="J290" s="44" t="str">
        <f t="shared" si="171"/>
        <v/>
      </c>
      <c r="K290" t="s">
        <v>7</v>
      </c>
      <c r="L290" t="s">
        <v>172</v>
      </c>
      <c r="M290" t="s">
        <v>66</v>
      </c>
      <c r="N290" t="str">
        <f t="shared" si="174"/>
        <v>s</v>
      </c>
      <c r="Q290" t="str">
        <f t="shared" si="172"/>
        <v/>
      </c>
      <c r="S290">
        <v>164</v>
      </c>
      <c r="U290" t="str">
        <f>IF(B290=1,MAX($U$2:$U289)+1,IF(AND($T290&lt;&gt;"",$T290=$T289),$U289,IF(B290="x",U289,"")))</f>
        <v/>
      </c>
      <c r="V290" t="str">
        <f>IF(C290=1,MAX($V$2:$V289)+1,IF(AND($T290&lt;&gt;"",$T290=$T289),$U289,IF(C290="x",V289,"")))</f>
        <v/>
      </c>
      <c r="W290" t="str">
        <f t="shared" si="146"/>
        <v>h</v>
      </c>
      <c r="X290">
        <v>8</v>
      </c>
      <c r="Y290" t="b">
        <f>IF(X290&lt;&gt;"",VLOOKUP(X290,game_rosters!$C$43:$E$64,3,FALSE))</f>
        <v>0</v>
      </c>
      <c r="Z290" cm="1">
        <f t="array" ref="Z290">IFERROR(IF(_xlfn._xlws.FILTER(game_rosters!$J:$J,(game_rosters!$G:$G=events!$AN290)*(game_rosters!$J:$J=events!$X290))&gt;0,1,""),"")</f>
        <v>1</v>
      </c>
      <c r="AA290">
        <f t="shared" si="147"/>
        <v>1164</v>
      </c>
      <c r="AB290" t="str">
        <f t="shared" si="148"/>
        <v/>
      </c>
      <c r="AC290">
        <f t="shared" si="145"/>
        <v>1164</v>
      </c>
      <c r="AD290" s="6">
        <v>1</v>
      </c>
      <c r="AE290" t="s">
        <v>754</v>
      </c>
      <c r="AF290" t="s">
        <v>929</v>
      </c>
      <c r="AG290" t="s">
        <v>756</v>
      </c>
      <c r="AH290" t="s">
        <v>756</v>
      </c>
      <c r="AI290" t="s">
        <v>367</v>
      </c>
      <c r="AJ290" t="str">
        <f t="shared" si="173"/>
        <v/>
      </c>
      <c r="AK290" t="str">
        <f t="shared" si="173"/>
        <v/>
      </c>
      <c r="AL290" t="str">
        <f t="shared" si="150"/>
        <v/>
      </c>
      <c r="AN290" t="s">
        <v>861</v>
      </c>
      <c r="AO290" t="str">
        <f t="shared" si="151"/>
        <v>h</v>
      </c>
      <c r="AP290" t="str">
        <f t="shared" si="158"/>
        <v/>
      </c>
      <c r="AQ290" t="str">
        <f t="shared" si="159"/>
        <v/>
      </c>
      <c r="AR290" t="str">
        <f t="shared" si="160"/>
        <v>Home</v>
      </c>
      <c r="AS290" t="str">
        <f t="shared" si="161"/>
        <v>h</v>
      </c>
      <c r="AT290" t="str">
        <f t="shared" si="162"/>
        <v>Offensive</v>
      </c>
      <c r="BA290" s="6">
        <f t="shared" si="152"/>
        <v>66</v>
      </c>
      <c r="BB290">
        <f t="shared" si="153"/>
        <v>18981</v>
      </c>
      <c r="BC290" t="str">
        <f t="shared" si="154"/>
        <v>Nelson</v>
      </c>
      <c r="BD290" t="str">
        <f t="shared" si="155"/>
        <v>Velodrome</v>
      </c>
      <c r="BE290" t="s">
        <v>7</v>
      </c>
      <c r="BF290" t="s">
        <v>172</v>
      </c>
      <c r="BG290" t="s">
        <v>66</v>
      </c>
      <c r="BI290" cm="1">
        <f t="array" ref="BI290">IFERROR(_xlfn._xlws.FILTER(shifts!A:A,(shifts!B:B=events!AD290)*(shifts!AG:AG&gt;=events!BK290)*(shifts!AH:AH&lt;=events!BL290)),BI289)</f>
        <v>13</v>
      </c>
      <c r="BJ290" s="15">
        <f t="shared" si="156"/>
        <v>0</v>
      </c>
      <c r="BK290">
        <f t="shared" si="163"/>
        <v>694</v>
      </c>
      <c r="BL290">
        <f t="shared" si="164"/>
        <v>694</v>
      </c>
      <c r="BM290" s="15">
        <f>SUMIFS(BJ$2:BJ290,K$2:K290,"=Intermission")+SUMIFS(BJ$2:BJ290,K$2:K290,"=Timeout")</f>
        <v>0</v>
      </c>
      <c r="BN290">
        <f t="shared" si="165"/>
        <v>0</v>
      </c>
      <c r="BO290" s="19">
        <f t="shared" si="166"/>
        <v>386</v>
      </c>
      <c r="BP290">
        <f t="shared" si="167"/>
        <v>381</v>
      </c>
      <c r="BQ290" s="17">
        <f t="shared" si="168"/>
        <v>386</v>
      </c>
      <c r="BR290" t="str">
        <f t="shared" si="169"/>
        <v>event_team_player_1</v>
      </c>
      <c r="BS290">
        <f>COUNTIFS(S$3:S290,"="&amp;S290,AI$3:AI290,"="&amp;AI290)</f>
        <v>1</v>
      </c>
      <c r="BT290" t="str">
        <f>IFERROR(VLOOKUP(BB290&amp;BU290&amp;X290,game_rosters!U:W,3,FALSE),"")</f>
        <v>P100074</v>
      </c>
      <c r="BU290" t="str">
        <f t="shared" si="170"/>
        <v>Nelson</v>
      </c>
    </row>
    <row r="291" spans="1:73" x14ac:dyDescent="0.2">
      <c r="A291">
        <f t="shared" si="157"/>
        <v>1</v>
      </c>
      <c r="E291" s="4"/>
      <c r="F291" s="43"/>
      <c r="G291" s="4"/>
      <c r="H291" s="46"/>
      <c r="J291" s="44" t="str">
        <f t="shared" si="171"/>
        <v/>
      </c>
      <c r="K291" t="s">
        <v>7</v>
      </c>
      <c r="L291" t="s">
        <v>172</v>
      </c>
      <c r="M291" t="s">
        <v>66</v>
      </c>
      <c r="N291" t="str">
        <f t="shared" si="174"/>
        <v>s</v>
      </c>
      <c r="Q291" t="str">
        <f t="shared" si="172"/>
        <v/>
      </c>
      <c r="S291">
        <v>164</v>
      </c>
      <c r="U291" t="str">
        <f>IF(B291=1,MAX($U$2:$U290)+1,IF(AND($T291&lt;&gt;"",$T291=$T290),$U290,IF(B291="x",U290,"")))</f>
        <v/>
      </c>
      <c r="V291" t="str">
        <f>IF(C291=1,MAX($V$2:$V290)+1,IF(AND($T291&lt;&gt;"",$T291=$T290),$U290,IF(C291="x",V290,"")))</f>
        <v/>
      </c>
      <c r="W291" t="str">
        <f t="shared" si="146"/>
        <v>h</v>
      </c>
      <c r="X291">
        <v>44</v>
      </c>
      <c r="Y291" t="b">
        <f>IF(X291&lt;&gt;"",VLOOKUP(X291,game_rosters!$C$43:$E$64,3,FALSE))</f>
        <v>0</v>
      </c>
      <c r="Z291" cm="1">
        <f t="array" ref="Z291">IFERROR(IF(_xlfn._xlws.FILTER(game_rosters!$J:$J,(game_rosters!$G:$G=events!$AN291)*(game_rosters!$J:$J=events!$X291))&gt;0,1,""),"")</f>
        <v>1</v>
      </c>
      <c r="AA291">
        <f t="shared" si="147"/>
        <v>1164</v>
      </c>
      <c r="AB291" t="str">
        <f t="shared" si="148"/>
        <v/>
      </c>
      <c r="AC291">
        <f t="shared" si="145"/>
        <v>1164</v>
      </c>
      <c r="AD291" s="6">
        <v>1</v>
      </c>
      <c r="AE291" t="s">
        <v>754</v>
      </c>
      <c r="AF291" t="s">
        <v>929</v>
      </c>
      <c r="AG291" t="s">
        <v>756</v>
      </c>
      <c r="AH291" t="s">
        <v>756</v>
      </c>
      <c r="AI291" t="s">
        <v>367</v>
      </c>
      <c r="AJ291" t="str">
        <f t="shared" si="173"/>
        <v/>
      </c>
      <c r="AK291" t="str">
        <f t="shared" si="173"/>
        <v/>
      </c>
      <c r="AL291" t="str">
        <f t="shared" si="150"/>
        <v/>
      </c>
      <c r="AN291" t="s">
        <v>861</v>
      </c>
      <c r="AO291" t="str">
        <f t="shared" si="151"/>
        <v>h</v>
      </c>
      <c r="AP291" t="str">
        <f t="shared" si="158"/>
        <v/>
      </c>
      <c r="AQ291" t="str">
        <f t="shared" si="159"/>
        <v/>
      </c>
      <c r="AR291" t="str">
        <f t="shared" si="160"/>
        <v>Home</v>
      </c>
      <c r="AS291" t="str">
        <f t="shared" si="161"/>
        <v>h</v>
      </c>
      <c r="AT291" t="str">
        <f t="shared" si="162"/>
        <v>Offensive</v>
      </c>
      <c r="BA291" s="6">
        <f t="shared" si="152"/>
        <v>66</v>
      </c>
      <c r="BB291">
        <f t="shared" si="153"/>
        <v>18981</v>
      </c>
      <c r="BC291" t="str">
        <f t="shared" si="154"/>
        <v>Nelson</v>
      </c>
      <c r="BD291" t="str">
        <f t="shared" si="155"/>
        <v>Velodrome</v>
      </c>
      <c r="BE291" t="s">
        <v>7</v>
      </c>
      <c r="BF291" t="s">
        <v>172</v>
      </c>
      <c r="BG291" t="s">
        <v>66</v>
      </c>
      <c r="BI291" cm="1">
        <f t="array" ref="BI291">IFERROR(_xlfn._xlws.FILTER(shifts!A:A,(shifts!B:B=events!AD291)*(shifts!AG:AG&gt;=events!BK291)*(shifts!AH:AH&lt;=events!BL291)),BI290)</f>
        <v>13</v>
      </c>
      <c r="BJ291" s="15">
        <f t="shared" si="156"/>
        <v>0</v>
      </c>
      <c r="BK291">
        <f t="shared" si="163"/>
        <v>694</v>
      </c>
      <c r="BL291">
        <f t="shared" si="164"/>
        <v>694</v>
      </c>
      <c r="BM291" s="15">
        <f>SUMIFS(BJ$2:BJ291,K$2:K291,"=Intermission")+SUMIFS(BJ$2:BJ291,K$2:K291,"=Timeout")</f>
        <v>0</v>
      </c>
      <c r="BN291">
        <f t="shared" si="165"/>
        <v>0</v>
      </c>
      <c r="BO291" s="19">
        <f t="shared" si="166"/>
        <v>386</v>
      </c>
      <c r="BP291">
        <f t="shared" si="167"/>
        <v>381</v>
      </c>
      <c r="BQ291" s="17">
        <f t="shared" si="168"/>
        <v>386</v>
      </c>
      <c r="BR291" t="str">
        <f t="shared" si="169"/>
        <v>event_team_player_2</v>
      </c>
      <c r="BS291">
        <f>COUNTIFS(S$3:S291,"="&amp;S291,AI$3:AI291,"="&amp;AI291)</f>
        <v>2</v>
      </c>
      <c r="BT291" t="str">
        <f>IFERROR(VLOOKUP(BB291&amp;BU291&amp;X291,game_rosters!U:W,3,FALSE),"")</f>
        <v>P100079</v>
      </c>
      <c r="BU291" t="str">
        <f t="shared" si="170"/>
        <v>Nelson</v>
      </c>
    </row>
    <row r="292" spans="1:73" x14ac:dyDescent="0.2">
      <c r="A292">
        <f t="shared" si="157"/>
        <v>1</v>
      </c>
      <c r="E292" s="4"/>
      <c r="F292" s="43"/>
      <c r="G292" s="4"/>
      <c r="H292" s="46"/>
      <c r="J292" s="44" t="str">
        <f t="shared" si="171"/>
        <v/>
      </c>
      <c r="K292" t="s">
        <v>13</v>
      </c>
      <c r="L292" t="s">
        <v>756</v>
      </c>
      <c r="M292" t="s">
        <v>756</v>
      </c>
      <c r="N292" t="str">
        <f t="shared" si="174"/>
        <v/>
      </c>
      <c r="Q292" t="str">
        <f t="shared" si="172"/>
        <v/>
      </c>
      <c r="S292">
        <v>165</v>
      </c>
      <c r="U292" t="str">
        <f>IF(B292=1,MAX($U$2:$U291)+1,IF(AND($T292&lt;&gt;"",$T292=$T291),$U291,IF(B292="x",U291,"")))</f>
        <v/>
      </c>
      <c r="V292" t="str">
        <f>IF(C292=1,MAX($V$2:$V291)+1,IF(AND($T292&lt;&gt;"",$T292=$T291),$U291,IF(C292="x",V291,"")))</f>
        <v/>
      </c>
      <c r="W292" t="str">
        <f t="shared" si="146"/>
        <v>h</v>
      </c>
      <c r="X292">
        <v>44</v>
      </c>
      <c r="Y292" t="b">
        <f>IF(X292&lt;&gt;"",VLOOKUP(X292,game_rosters!$C$43:$E$64,3,FALSE))</f>
        <v>0</v>
      </c>
      <c r="Z292" cm="1">
        <f t="array" ref="Z292">IFERROR(IF(_xlfn._xlws.FILTER(game_rosters!$J:$J,(game_rosters!$G:$G=events!$AN292)*(game_rosters!$J:$J=events!$X292))&gt;0,1,""),"")</f>
        <v>1</v>
      </c>
      <c r="AA292">
        <f t="shared" si="147"/>
        <v>1165</v>
      </c>
      <c r="AB292" t="str">
        <f t="shared" si="148"/>
        <v/>
      </c>
      <c r="AC292">
        <f t="shared" si="145"/>
        <v>1165</v>
      </c>
      <c r="AD292" s="6">
        <v>1</v>
      </c>
      <c r="AE292" t="s">
        <v>754</v>
      </c>
      <c r="AF292" t="s">
        <v>905</v>
      </c>
      <c r="AG292" t="s">
        <v>754</v>
      </c>
      <c r="AH292" t="s">
        <v>738</v>
      </c>
      <c r="AI292" t="s">
        <v>367</v>
      </c>
      <c r="AJ292" t="str">
        <f t="shared" ref="AJ292:AK307" si="175">IF($J292&lt;&gt;"",$J292,IF($AC292=$AC291,AJ291,""))</f>
        <v/>
      </c>
      <c r="AK292" t="str">
        <f t="shared" si="175"/>
        <v/>
      </c>
      <c r="AL292" t="str">
        <f t="shared" si="150"/>
        <v/>
      </c>
      <c r="AN292" t="s">
        <v>861</v>
      </c>
      <c r="AO292" t="str">
        <f t="shared" si="151"/>
        <v>h</v>
      </c>
      <c r="AP292" t="str">
        <f t="shared" si="158"/>
        <v/>
      </c>
      <c r="AQ292" t="str">
        <f t="shared" si="159"/>
        <v/>
      </c>
      <c r="AR292" t="str">
        <f t="shared" si="160"/>
        <v>Home</v>
      </c>
      <c r="AS292" t="str">
        <f t="shared" si="161"/>
        <v>h</v>
      </c>
      <c r="AT292" t="str">
        <f t="shared" si="162"/>
        <v>Offensive</v>
      </c>
      <c r="BA292" s="6">
        <f t="shared" si="152"/>
        <v>66</v>
      </c>
      <c r="BB292">
        <f t="shared" si="153"/>
        <v>18981</v>
      </c>
      <c r="BC292" t="str">
        <f t="shared" si="154"/>
        <v>Nelson</v>
      </c>
      <c r="BD292" t="str">
        <f t="shared" si="155"/>
        <v>Velodrome</v>
      </c>
      <c r="BE292" t="s">
        <v>13</v>
      </c>
      <c r="BF292" t="s">
        <v>756</v>
      </c>
      <c r="BG292" t="s">
        <v>756</v>
      </c>
      <c r="BI292" cm="1">
        <f t="array" ref="BI292">IFERROR(_xlfn._xlws.FILTER(shifts!A:A,(shifts!B:B=events!AD292)*(shifts!AG:AG&gt;=events!BK292)*(shifts!AH:AH&lt;=events!BL292)),BI291)</f>
        <v>13</v>
      </c>
      <c r="BJ292" s="15">
        <f t="shared" si="156"/>
        <v>1</v>
      </c>
      <c r="BK292">
        <f t="shared" si="163"/>
        <v>692</v>
      </c>
      <c r="BL292">
        <f t="shared" si="164"/>
        <v>691</v>
      </c>
      <c r="BM292" s="15">
        <f>SUMIFS(BJ$2:BJ292,K$2:K292,"=Intermission")+SUMIFS(BJ$2:BJ292,K$2:K292,"=Timeout")</f>
        <v>0</v>
      </c>
      <c r="BN292">
        <f t="shared" si="165"/>
        <v>0</v>
      </c>
      <c r="BO292" s="19">
        <f t="shared" si="166"/>
        <v>388</v>
      </c>
      <c r="BP292">
        <f t="shared" si="167"/>
        <v>383</v>
      </c>
      <c r="BQ292" s="17">
        <f t="shared" si="168"/>
        <v>389</v>
      </c>
      <c r="BR292" t="str">
        <f t="shared" si="169"/>
        <v>event_team_player_1</v>
      </c>
      <c r="BS292">
        <f>COUNTIFS(S$3:S292,"="&amp;S292,AI$3:AI292,"="&amp;AI292)</f>
        <v>1</v>
      </c>
      <c r="BT292" t="str">
        <f>IFERROR(VLOOKUP(BB292&amp;BU292&amp;X292,game_rosters!U:W,3,FALSE),"")</f>
        <v>P100079</v>
      </c>
      <c r="BU292" t="str">
        <f t="shared" si="170"/>
        <v>Nelson</v>
      </c>
    </row>
    <row r="293" spans="1:73" x14ac:dyDescent="0.2">
      <c r="A293">
        <f t="shared" si="157"/>
        <v>1</v>
      </c>
      <c r="E293" s="4"/>
      <c r="F293" s="43"/>
      <c r="G293" s="4"/>
      <c r="H293" s="46"/>
      <c r="J293" s="44" t="str">
        <f t="shared" si="171"/>
        <v/>
      </c>
      <c r="K293" t="s">
        <v>7</v>
      </c>
      <c r="L293" t="s">
        <v>172</v>
      </c>
      <c r="M293" t="s">
        <v>385</v>
      </c>
      <c r="N293" t="str">
        <f t="shared" si="174"/>
        <v>s</v>
      </c>
      <c r="Q293" t="str">
        <f t="shared" si="172"/>
        <v/>
      </c>
      <c r="S293">
        <v>166</v>
      </c>
      <c r="U293" t="str">
        <f>IF(B293=1,MAX($U$2:$U292)+1,IF(AND($T293&lt;&gt;"",$T293=$T292),$U292,IF(B293="x",U292,"")))</f>
        <v/>
      </c>
      <c r="V293" t="str">
        <f>IF(C293=1,MAX($V$2:$V292)+1,IF(AND($T293&lt;&gt;"",$T293=$T292),$U292,IF(C293="x",V292,"")))</f>
        <v/>
      </c>
      <c r="W293" t="str">
        <f t="shared" si="146"/>
        <v>h</v>
      </c>
      <c r="X293">
        <v>44</v>
      </c>
      <c r="Y293" t="b">
        <f>IF(X293&lt;&gt;"",VLOOKUP(X293,game_rosters!$C$43:$E$64,3,FALSE))</f>
        <v>0</v>
      </c>
      <c r="Z293" cm="1">
        <f t="array" ref="Z293">IFERROR(IF(_xlfn._xlws.FILTER(game_rosters!$J:$J,(game_rosters!$G:$G=events!$AN293)*(game_rosters!$J:$J=events!$X293))&gt;0,1,""),"")</f>
        <v>1</v>
      </c>
      <c r="AA293">
        <f t="shared" si="147"/>
        <v>1166</v>
      </c>
      <c r="AB293" t="str">
        <f t="shared" si="148"/>
        <v/>
      </c>
      <c r="AC293">
        <f t="shared" si="145"/>
        <v>1166</v>
      </c>
      <c r="AD293" s="6">
        <v>1</v>
      </c>
      <c r="AE293" t="s">
        <v>754</v>
      </c>
      <c r="AF293" t="s">
        <v>738</v>
      </c>
      <c r="AG293" t="s">
        <v>756</v>
      </c>
      <c r="AH293" t="s">
        <v>756</v>
      </c>
      <c r="AI293" t="s">
        <v>367</v>
      </c>
      <c r="AJ293" t="str">
        <f t="shared" si="175"/>
        <v/>
      </c>
      <c r="AK293" t="str">
        <f t="shared" si="175"/>
        <v/>
      </c>
      <c r="AL293" t="str">
        <f t="shared" si="150"/>
        <v/>
      </c>
      <c r="AN293" t="s">
        <v>861</v>
      </c>
      <c r="AO293" t="str">
        <f t="shared" si="151"/>
        <v>h</v>
      </c>
      <c r="AP293" t="str">
        <f t="shared" si="158"/>
        <v/>
      </c>
      <c r="AQ293" t="str">
        <f t="shared" si="159"/>
        <v/>
      </c>
      <c r="AR293" t="str">
        <f t="shared" si="160"/>
        <v>Home</v>
      </c>
      <c r="AS293" t="str">
        <f t="shared" si="161"/>
        <v>h</v>
      </c>
      <c r="AT293" t="str">
        <f t="shared" si="162"/>
        <v>Offensive</v>
      </c>
      <c r="BA293" s="6">
        <f t="shared" si="152"/>
        <v>66</v>
      </c>
      <c r="BB293">
        <f t="shared" si="153"/>
        <v>18981</v>
      </c>
      <c r="BC293" t="str">
        <f t="shared" si="154"/>
        <v>Nelson</v>
      </c>
      <c r="BD293" t="str">
        <f t="shared" si="155"/>
        <v>Velodrome</v>
      </c>
      <c r="BE293" t="s">
        <v>7</v>
      </c>
      <c r="BF293" t="s">
        <v>172</v>
      </c>
      <c r="BG293" t="s">
        <v>385</v>
      </c>
      <c r="BI293" cm="1">
        <f t="array" ref="BI293">IFERROR(_xlfn._xlws.FILTER(shifts!A:A,(shifts!B:B=events!AD293)*(shifts!AG:AG&gt;=events!BK293)*(shifts!AH:AH&lt;=events!BL293)),BI292)</f>
        <v>13</v>
      </c>
      <c r="BJ293" s="15">
        <f t="shared" si="156"/>
        <v>0</v>
      </c>
      <c r="BK293">
        <f t="shared" si="163"/>
        <v>691</v>
      </c>
      <c r="BL293">
        <f t="shared" si="164"/>
        <v>691</v>
      </c>
      <c r="BM293" s="15">
        <f>SUMIFS(BJ$2:BJ293,K$2:K293,"=Intermission")+SUMIFS(BJ$2:BJ293,K$2:K293,"=Timeout")</f>
        <v>0</v>
      </c>
      <c r="BN293">
        <f t="shared" si="165"/>
        <v>0</v>
      </c>
      <c r="BO293" s="19">
        <f t="shared" si="166"/>
        <v>389</v>
      </c>
      <c r="BP293">
        <f t="shared" si="167"/>
        <v>384</v>
      </c>
      <c r="BQ293" s="17">
        <f t="shared" si="168"/>
        <v>389</v>
      </c>
      <c r="BR293" t="str">
        <f t="shared" si="169"/>
        <v>event_team_player_1</v>
      </c>
      <c r="BS293">
        <f>COUNTIFS(S$3:S293,"="&amp;S293,AI$3:AI293,"="&amp;AI293)</f>
        <v>1</v>
      </c>
      <c r="BT293" t="str">
        <f>IFERROR(VLOOKUP(BB293&amp;BU293&amp;X293,game_rosters!U:W,3,FALSE),"")</f>
        <v>P100079</v>
      </c>
      <c r="BU293" t="str">
        <f t="shared" si="170"/>
        <v>Nelson</v>
      </c>
    </row>
    <row r="294" spans="1:73" x14ac:dyDescent="0.2">
      <c r="A294">
        <f t="shared" si="157"/>
        <v>1</v>
      </c>
      <c r="E294" s="4"/>
      <c r="F294" s="43"/>
      <c r="G294" s="4"/>
      <c r="H294" s="46"/>
      <c r="J294" s="44" t="str">
        <f t="shared" si="171"/>
        <v/>
      </c>
      <c r="K294" t="s">
        <v>7</v>
      </c>
      <c r="L294" t="s">
        <v>172</v>
      </c>
      <c r="M294" t="s">
        <v>385</v>
      </c>
      <c r="N294" t="str">
        <f t="shared" si="174"/>
        <v>s</v>
      </c>
      <c r="Q294" t="str">
        <f t="shared" si="172"/>
        <v/>
      </c>
      <c r="S294">
        <v>166</v>
      </c>
      <c r="U294" t="str">
        <f>IF(B294=1,MAX($U$2:$U293)+1,IF(AND($T294&lt;&gt;"",$T294=$T293),$U293,IF(B294="x",U293,"")))</f>
        <v/>
      </c>
      <c r="V294" t="str">
        <f>IF(C294=1,MAX($V$2:$V293)+1,IF(AND($T294&lt;&gt;"",$T294=$T293),$U293,IF(C294="x",V293,"")))</f>
        <v/>
      </c>
      <c r="W294" t="str">
        <f t="shared" si="146"/>
        <v>h</v>
      </c>
      <c r="X294">
        <v>80</v>
      </c>
      <c r="Y294" t="b">
        <f>IF(X294&lt;&gt;"",VLOOKUP(X294,game_rosters!$C$43:$E$64,3,FALSE))</f>
        <v>0</v>
      </c>
      <c r="Z294" cm="1">
        <f t="array" ref="Z294">IFERROR(IF(_xlfn._xlws.FILTER(game_rosters!$J:$J,(game_rosters!$G:$G=events!$AN294)*(game_rosters!$J:$J=events!$X294))&gt;0,1,""),"")</f>
        <v>1</v>
      </c>
      <c r="AA294">
        <f t="shared" si="147"/>
        <v>1166</v>
      </c>
      <c r="AB294" t="str">
        <f t="shared" si="148"/>
        <v/>
      </c>
      <c r="AC294">
        <f t="shared" si="145"/>
        <v>1166</v>
      </c>
      <c r="AD294" s="6">
        <v>1</v>
      </c>
      <c r="AE294" t="s">
        <v>754</v>
      </c>
      <c r="AF294" t="s">
        <v>738</v>
      </c>
      <c r="AG294" t="s">
        <v>756</v>
      </c>
      <c r="AH294" t="s">
        <v>756</v>
      </c>
      <c r="AI294" t="s">
        <v>367</v>
      </c>
      <c r="AJ294" t="str">
        <f t="shared" si="175"/>
        <v/>
      </c>
      <c r="AK294" t="str">
        <f t="shared" si="175"/>
        <v/>
      </c>
      <c r="AL294" t="str">
        <f t="shared" si="150"/>
        <v/>
      </c>
      <c r="AN294" t="s">
        <v>861</v>
      </c>
      <c r="AO294" t="str">
        <f t="shared" si="151"/>
        <v>h</v>
      </c>
      <c r="AP294" t="str">
        <f t="shared" si="158"/>
        <v/>
      </c>
      <c r="AQ294" t="str">
        <f t="shared" si="159"/>
        <v/>
      </c>
      <c r="AR294" t="str">
        <f t="shared" si="160"/>
        <v>Home</v>
      </c>
      <c r="AS294" t="str">
        <f t="shared" si="161"/>
        <v>h</v>
      </c>
      <c r="AT294" t="str">
        <f t="shared" si="162"/>
        <v>Offensive</v>
      </c>
      <c r="BA294" s="6">
        <f t="shared" si="152"/>
        <v>66</v>
      </c>
      <c r="BB294">
        <f t="shared" si="153"/>
        <v>18981</v>
      </c>
      <c r="BC294" t="str">
        <f t="shared" si="154"/>
        <v>Nelson</v>
      </c>
      <c r="BD294" t="str">
        <f t="shared" si="155"/>
        <v>Velodrome</v>
      </c>
      <c r="BE294" t="s">
        <v>7</v>
      </c>
      <c r="BF294" t="s">
        <v>172</v>
      </c>
      <c r="BG294" t="s">
        <v>385</v>
      </c>
      <c r="BI294" cm="1">
        <f t="array" ref="BI294">IFERROR(_xlfn._xlws.FILTER(shifts!A:A,(shifts!B:B=events!AD294)*(shifts!AG:AG&gt;=events!BK294)*(shifts!AH:AH&lt;=events!BL294)),BI293)</f>
        <v>13</v>
      </c>
      <c r="BJ294" s="15">
        <f t="shared" si="156"/>
        <v>0</v>
      </c>
      <c r="BK294">
        <f t="shared" si="163"/>
        <v>691</v>
      </c>
      <c r="BL294">
        <f t="shared" si="164"/>
        <v>691</v>
      </c>
      <c r="BM294" s="15">
        <f>SUMIFS(BJ$2:BJ294,K$2:K294,"=Intermission")+SUMIFS(BJ$2:BJ294,K$2:K294,"=Timeout")</f>
        <v>0</v>
      </c>
      <c r="BN294">
        <f t="shared" si="165"/>
        <v>0</v>
      </c>
      <c r="BO294" s="19">
        <f t="shared" si="166"/>
        <v>389</v>
      </c>
      <c r="BP294">
        <f t="shared" si="167"/>
        <v>384</v>
      </c>
      <c r="BQ294" s="17">
        <f t="shared" si="168"/>
        <v>389</v>
      </c>
      <c r="BR294" t="str">
        <f t="shared" si="169"/>
        <v>event_team_player_2</v>
      </c>
      <c r="BS294">
        <f>COUNTIFS(S$3:S294,"="&amp;S294,AI$3:AI294,"="&amp;AI294)</f>
        <v>2</v>
      </c>
      <c r="BT294" t="str">
        <f>IFERROR(VLOOKUP(BB294&amp;BU294&amp;X294,game_rosters!U:W,3,FALSE),"")</f>
        <v>P100197</v>
      </c>
      <c r="BU294" t="str">
        <f t="shared" si="170"/>
        <v>Nelson</v>
      </c>
    </row>
    <row r="295" spans="1:73" x14ac:dyDescent="0.2">
      <c r="A295">
        <f t="shared" si="157"/>
        <v>1</v>
      </c>
      <c r="E295" s="4"/>
      <c r="F295" s="43"/>
      <c r="G295" s="4"/>
      <c r="H295" s="46"/>
      <c r="J295" s="44" t="str">
        <f t="shared" si="171"/>
        <v>d</v>
      </c>
      <c r="K295" t="s">
        <v>238</v>
      </c>
      <c r="L295" t="s">
        <v>184</v>
      </c>
      <c r="M295" t="s">
        <v>88</v>
      </c>
      <c r="N295" t="str">
        <f t="shared" si="174"/>
        <v>s</v>
      </c>
      <c r="Q295" t="str">
        <f t="shared" si="172"/>
        <v/>
      </c>
      <c r="S295">
        <v>167</v>
      </c>
      <c r="U295" t="str">
        <f>IF(B295=1,MAX($U$2:$U294)+1,IF(AND($T295&lt;&gt;"",$T295=$T294),$U294,IF(B295="x",U294,"")))</f>
        <v/>
      </c>
      <c r="V295" t="str">
        <f>IF(C295=1,MAX($V$2:$V294)+1,IF(AND($T295&lt;&gt;"",$T295=$T294),$U294,IF(C295="x",V294,"")))</f>
        <v/>
      </c>
      <c r="W295" t="str">
        <f t="shared" si="146"/>
        <v>h</v>
      </c>
      <c r="X295">
        <v>80</v>
      </c>
      <c r="Y295" t="b">
        <f>IF(X295&lt;&gt;"",VLOOKUP(X295,game_rosters!$C$43:$E$64,3,FALSE))</f>
        <v>0</v>
      </c>
      <c r="Z295" cm="1">
        <f t="array" ref="Z295">IFERROR(IF(_xlfn._xlws.FILTER(game_rosters!$J:$J,(game_rosters!$G:$G=events!$AN295)*(game_rosters!$J:$J=events!$X295))&gt;0,1,""),"")</f>
        <v>1</v>
      </c>
      <c r="AA295">
        <f t="shared" si="147"/>
        <v>1167</v>
      </c>
      <c r="AB295" t="str">
        <f t="shared" si="148"/>
        <v/>
      </c>
      <c r="AC295">
        <f t="shared" si="145"/>
        <v>1167</v>
      </c>
      <c r="AD295" s="6">
        <v>1</v>
      </c>
      <c r="AE295" t="s">
        <v>754</v>
      </c>
      <c r="AF295" t="s">
        <v>738</v>
      </c>
      <c r="AG295" t="s">
        <v>754</v>
      </c>
      <c r="AH295" t="s">
        <v>915</v>
      </c>
      <c r="AI295" t="s">
        <v>367</v>
      </c>
      <c r="AJ295" t="str">
        <f t="shared" si="175"/>
        <v>d</v>
      </c>
      <c r="AK295" t="str">
        <f t="shared" si="175"/>
        <v>d</v>
      </c>
      <c r="AL295" t="str">
        <f t="shared" si="150"/>
        <v>d</v>
      </c>
      <c r="AN295" t="s">
        <v>861</v>
      </c>
      <c r="AO295" t="str">
        <f t="shared" si="151"/>
        <v>h</v>
      </c>
      <c r="AP295" t="str">
        <f t="shared" si="158"/>
        <v>d</v>
      </c>
      <c r="AQ295" t="str">
        <f t="shared" si="159"/>
        <v/>
      </c>
      <c r="AR295" t="str">
        <f t="shared" si="160"/>
        <v>Home</v>
      </c>
      <c r="AS295" t="str">
        <f t="shared" si="161"/>
        <v>h</v>
      </c>
      <c r="AT295" t="str">
        <f t="shared" si="162"/>
        <v>Offensive</v>
      </c>
      <c r="BA295" s="6">
        <f t="shared" si="152"/>
        <v>67</v>
      </c>
      <c r="BB295">
        <f t="shared" si="153"/>
        <v>18981</v>
      </c>
      <c r="BC295" t="str">
        <f t="shared" si="154"/>
        <v>Nelson</v>
      </c>
      <c r="BD295" t="str">
        <f t="shared" si="155"/>
        <v>Velodrome</v>
      </c>
      <c r="BE295" t="s">
        <v>238</v>
      </c>
      <c r="BF295" t="s">
        <v>184</v>
      </c>
      <c r="BG295" t="s">
        <v>88</v>
      </c>
      <c r="BI295" cm="1">
        <f t="array" ref="BI295">IFERROR(_xlfn._xlws.FILTER(shifts!A:A,(shifts!B:B=events!AD295)*(shifts!AG:AG&gt;=events!BK295)*(shifts!AH:AH&lt;=events!BL295)),BI294)</f>
        <v>13</v>
      </c>
      <c r="BJ295" s="15">
        <f t="shared" si="156"/>
        <v>1</v>
      </c>
      <c r="BK295">
        <f t="shared" si="163"/>
        <v>691</v>
      </c>
      <c r="BL295">
        <f t="shared" si="164"/>
        <v>690</v>
      </c>
      <c r="BM295" s="15">
        <f>SUMIFS(BJ$2:BJ295,K$2:K295,"=Intermission")+SUMIFS(BJ$2:BJ295,K$2:K295,"=Timeout")</f>
        <v>0</v>
      </c>
      <c r="BN295">
        <f t="shared" si="165"/>
        <v>0</v>
      </c>
      <c r="BO295" s="19">
        <f t="shared" si="166"/>
        <v>389</v>
      </c>
      <c r="BP295">
        <f t="shared" si="167"/>
        <v>384</v>
      </c>
      <c r="BQ295" s="17">
        <f t="shared" si="168"/>
        <v>390</v>
      </c>
      <c r="BR295" t="str">
        <f t="shared" si="169"/>
        <v>event_team_player_1</v>
      </c>
      <c r="BS295">
        <f>COUNTIFS(S$3:S295,"="&amp;S295,AI$3:AI295,"="&amp;AI295)</f>
        <v>1</v>
      </c>
      <c r="BT295" t="str">
        <f>IFERROR(VLOOKUP(BB295&amp;BU295&amp;X295,game_rosters!U:W,3,FALSE),"")</f>
        <v>P100197</v>
      </c>
      <c r="BU295" t="str">
        <f t="shared" si="170"/>
        <v>Nelson</v>
      </c>
    </row>
    <row r="296" spans="1:73" x14ac:dyDescent="0.2">
      <c r="A296">
        <f t="shared" si="157"/>
        <v>1</v>
      </c>
      <c r="E296" s="4"/>
      <c r="F296" s="43"/>
      <c r="G296" s="4"/>
      <c r="H296" s="46"/>
      <c r="J296" s="44" t="str">
        <f t="shared" si="171"/>
        <v/>
      </c>
      <c r="K296" t="s">
        <v>13</v>
      </c>
      <c r="L296" t="s">
        <v>756</v>
      </c>
      <c r="M296" t="s">
        <v>756</v>
      </c>
      <c r="N296" t="str">
        <f t="shared" si="174"/>
        <v/>
      </c>
      <c r="Q296" t="str">
        <f t="shared" si="172"/>
        <v/>
      </c>
      <c r="S296">
        <v>168</v>
      </c>
      <c r="U296" t="str">
        <f>IF(B296=1,MAX($U$2:$U295)+1,IF(AND($T296&lt;&gt;"",$T296=$T295),$U295,IF(B296="x",U295,"")))</f>
        <v/>
      </c>
      <c r="V296" t="str">
        <f>IF(C296=1,MAX($V$2:$V295)+1,IF(AND($T296&lt;&gt;"",$T296=$T295),$U295,IF(C296="x",V295,"")))</f>
        <v/>
      </c>
      <c r="W296" t="str">
        <f t="shared" si="146"/>
        <v>h</v>
      </c>
      <c r="X296">
        <v>80</v>
      </c>
      <c r="Y296" t="b">
        <f>IF(X296&lt;&gt;"",VLOOKUP(X296,game_rosters!$C$43:$E$64,3,FALSE))</f>
        <v>0</v>
      </c>
      <c r="Z296" cm="1">
        <f t="array" ref="Z296">IFERROR(IF(_xlfn._xlws.FILTER(game_rosters!$J:$J,(game_rosters!$G:$G=events!$AN296)*(game_rosters!$J:$J=events!$X296))&gt;0,1,""),"")</f>
        <v>1</v>
      </c>
      <c r="AA296">
        <f t="shared" si="147"/>
        <v>1168</v>
      </c>
      <c r="AB296" t="str">
        <f t="shared" si="148"/>
        <v/>
      </c>
      <c r="AC296">
        <f t="shared" si="145"/>
        <v>1168</v>
      </c>
      <c r="AD296" s="6">
        <v>1</v>
      </c>
      <c r="AE296" t="s">
        <v>754</v>
      </c>
      <c r="AF296" t="s">
        <v>915</v>
      </c>
      <c r="AG296" t="s">
        <v>754</v>
      </c>
      <c r="AH296" t="s">
        <v>906</v>
      </c>
      <c r="AI296" t="s">
        <v>367</v>
      </c>
      <c r="AJ296" t="str">
        <f t="shared" si="175"/>
        <v/>
      </c>
      <c r="AK296" t="str">
        <f t="shared" si="175"/>
        <v/>
      </c>
      <c r="AL296" t="str">
        <f t="shared" si="150"/>
        <v/>
      </c>
      <c r="AN296" t="s">
        <v>861</v>
      </c>
      <c r="AO296" t="str">
        <f t="shared" si="151"/>
        <v>h</v>
      </c>
      <c r="AP296" t="str">
        <f t="shared" si="158"/>
        <v/>
      </c>
      <c r="AQ296" t="str">
        <f t="shared" si="159"/>
        <v/>
      </c>
      <c r="AR296" t="str">
        <f t="shared" si="160"/>
        <v>Home</v>
      </c>
      <c r="AS296" t="str">
        <f t="shared" si="161"/>
        <v>h</v>
      </c>
      <c r="AT296" t="str">
        <f t="shared" si="162"/>
        <v>Offensive</v>
      </c>
      <c r="BA296" s="6">
        <f t="shared" si="152"/>
        <v>67</v>
      </c>
      <c r="BB296">
        <f t="shared" si="153"/>
        <v>18981</v>
      </c>
      <c r="BC296" t="str">
        <f t="shared" si="154"/>
        <v>Nelson</v>
      </c>
      <c r="BD296" t="str">
        <f t="shared" si="155"/>
        <v>Velodrome</v>
      </c>
      <c r="BE296" t="s">
        <v>13</v>
      </c>
      <c r="BF296" t="s">
        <v>756</v>
      </c>
      <c r="BG296" t="s">
        <v>756</v>
      </c>
      <c r="BI296" cm="1">
        <f t="array" ref="BI296">IFERROR(_xlfn._xlws.FILTER(shifts!A:A,(shifts!B:B=events!AD296)*(shifts!AG:AG&gt;=events!BK296)*(shifts!AH:AH&lt;=events!BL296)),BI295)</f>
        <v>13</v>
      </c>
      <c r="BJ296" s="15">
        <f t="shared" si="156"/>
        <v>1</v>
      </c>
      <c r="BK296">
        <f t="shared" si="163"/>
        <v>690</v>
      </c>
      <c r="BL296">
        <f t="shared" si="164"/>
        <v>689</v>
      </c>
      <c r="BM296" s="15">
        <f>SUMIFS(BJ$2:BJ296,K$2:K296,"=Intermission")+SUMIFS(BJ$2:BJ296,K$2:K296,"=Timeout")</f>
        <v>0</v>
      </c>
      <c r="BN296">
        <f t="shared" si="165"/>
        <v>0</v>
      </c>
      <c r="BO296" s="19">
        <f t="shared" si="166"/>
        <v>390</v>
      </c>
      <c r="BP296">
        <f t="shared" si="167"/>
        <v>385</v>
      </c>
      <c r="BQ296" s="17">
        <f t="shared" si="168"/>
        <v>391</v>
      </c>
      <c r="BR296" t="str">
        <f t="shared" si="169"/>
        <v>event_team_player_1</v>
      </c>
      <c r="BS296">
        <f>COUNTIFS(S$3:S296,"="&amp;S296,AI$3:AI296,"="&amp;AI296)</f>
        <v>1</v>
      </c>
      <c r="BT296" t="str">
        <f>IFERROR(VLOOKUP(BB296&amp;BU296&amp;X296,game_rosters!U:W,3,FALSE),"")</f>
        <v>P100197</v>
      </c>
      <c r="BU296" t="str">
        <f t="shared" si="170"/>
        <v>Nelson</v>
      </c>
    </row>
    <row r="297" spans="1:73" x14ac:dyDescent="0.2">
      <c r="A297">
        <f t="shared" si="157"/>
        <v>1</v>
      </c>
      <c r="E297" s="4"/>
      <c r="F297" s="43"/>
      <c r="G297" s="4"/>
      <c r="H297" s="46"/>
      <c r="J297" s="44" t="str">
        <f t="shared" si="171"/>
        <v>o</v>
      </c>
      <c r="K297" t="s">
        <v>238</v>
      </c>
      <c r="L297" t="s">
        <v>174</v>
      </c>
      <c r="M297" t="s">
        <v>87</v>
      </c>
      <c r="N297" t="str">
        <f t="shared" si="174"/>
        <v>s</v>
      </c>
      <c r="Q297" t="str">
        <f t="shared" si="172"/>
        <v/>
      </c>
      <c r="S297">
        <v>169</v>
      </c>
      <c r="U297" t="str">
        <f>IF(B297=1,MAX($U$2:$U296)+1,IF(AND($T297&lt;&gt;"",$T297=$T296),$U296,IF(B297="x",U296,"")))</f>
        <v/>
      </c>
      <c r="V297" t="str">
        <f>IF(C297=1,MAX($V$2:$V296)+1,IF(AND($T297&lt;&gt;"",$T297=$T296),$U296,IF(C297="x",V296,"")))</f>
        <v/>
      </c>
      <c r="W297" t="str">
        <f t="shared" si="146"/>
        <v>h</v>
      </c>
      <c r="X297">
        <v>80</v>
      </c>
      <c r="Y297" t="b">
        <f>IF(X297&lt;&gt;"",VLOOKUP(X297,game_rosters!$C$43:$E$64,3,FALSE))</f>
        <v>0</v>
      </c>
      <c r="Z297" cm="1">
        <f t="array" ref="Z297">IFERROR(IF(_xlfn._xlws.FILTER(game_rosters!$J:$J,(game_rosters!$G:$G=events!$AN297)*(game_rosters!$J:$J=events!$X297))&gt;0,1,""),"")</f>
        <v>1</v>
      </c>
      <c r="AA297">
        <f t="shared" si="147"/>
        <v>1169</v>
      </c>
      <c r="AB297" t="str">
        <f t="shared" si="148"/>
        <v/>
      </c>
      <c r="AC297">
        <f t="shared" si="145"/>
        <v>1169</v>
      </c>
      <c r="AD297" s="6">
        <v>1</v>
      </c>
      <c r="AE297" t="s">
        <v>754</v>
      </c>
      <c r="AF297" t="s">
        <v>906</v>
      </c>
      <c r="AG297" t="s">
        <v>756</v>
      </c>
      <c r="AH297" t="s">
        <v>756</v>
      </c>
      <c r="AI297" t="s">
        <v>367</v>
      </c>
      <c r="AJ297" t="str">
        <f t="shared" si="175"/>
        <v>o</v>
      </c>
      <c r="AK297" t="str">
        <f t="shared" si="175"/>
        <v>o</v>
      </c>
      <c r="AL297" t="str">
        <f t="shared" si="150"/>
        <v>o</v>
      </c>
      <c r="AN297" t="s">
        <v>861</v>
      </c>
      <c r="AO297" t="str">
        <f t="shared" si="151"/>
        <v>h</v>
      </c>
      <c r="AP297" t="str">
        <f t="shared" si="158"/>
        <v>o</v>
      </c>
      <c r="AQ297" t="str">
        <f t="shared" si="159"/>
        <v/>
      </c>
      <c r="AR297" t="str">
        <f t="shared" si="160"/>
        <v>Home</v>
      </c>
      <c r="AS297" t="str">
        <f t="shared" si="161"/>
        <v>h</v>
      </c>
      <c r="AT297" t="str">
        <f t="shared" si="162"/>
        <v>Offensive</v>
      </c>
      <c r="BA297" s="6">
        <f t="shared" si="152"/>
        <v>68</v>
      </c>
      <c r="BB297">
        <f t="shared" si="153"/>
        <v>18981</v>
      </c>
      <c r="BC297" t="str">
        <f t="shared" si="154"/>
        <v>Nelson</v>
      </c>
      <c r="BD297" t="str">
        <f t="shared" si="155"/>
        <v>Velodrome</v>
      </c>
      <c r="BE297" t="s">
        <v>238</v>
      </c>
      <c r="BF297" t="s">
        <v>174</v>
      </c>
      <c r="BG297" t="s">
        <v>87</v>
      </c>
      <c r="BI297" cm="1">
        <f t="array" ref="BI297">IFERROR(_xlfn._xlws.FILTER(shifts!A:A,(shifts!B:B=events!AD297)*(shifts!AG:AG&gt;=events!BK297)*(shifts!AH:AH&lt;=events!BL297)),BI296)</f>
        <v>13</v>
      </c>
      <c r="BJ297" s="15">
        <f t="shared" si="156"/>
        <v>0</v>
      </c>
      <c r="BK297">
        <f t="shared" si="163"/>
        <v>689</v>
      </c>
      <c r="BL297">
        <f t="shared" si="164"/>
        <v>689</v>
      </c>
      <c r="BM297" s="15">
        <f>SUMIFS(BJ$2:BJ297,K$2:K297,"=Intermission")+SUMIFS(BJ$2:BJ297,K$2:K297,"=Timeout")</f>
        <v>0</v>
      </c>
      <c r="BN297">
        <f t="shared" si="165"/>
        <v>0</v>
      </c>
      <c r="BO297" s="19">
        <f t="shared" si="166"/>
        <v>391</v>
      </c>
      <c r="BP297">
        <f t="shared" si="167"/>
        <v>386</v>
      </c>
      <c r="BQ297" s="17">
        <f t="shared" si="168"/>
        <v>391</v>
      </c>
      <c r="BR297" t="str">
        <f t="shared" si="169"/>
        <v>event_team_player_1</v>
      </c>
      <c r="BS297">
        <f>COUNTIFS(S$3:S297,"="&amp;S297,AI$3:AI297,"="&amp;AI297)</f>
        <v>1</v>
      </c>
      <c r="BT297" t="str">
        <f>IFERROR(VLOOKUP(BB297&amp;BU297&amp;X297,game_rosters!U:W,3,FALSE),"")</f>
        <v>P100197</v>
      </c>
      <c r="BU297" t="str">
        <f t="shared" si="170"/>
        <v>Nelson</v>
      </c>
    </row>
    <row r="298" spans="1:73" x14ac:dyDescent="0.2">
      <c r="A298">
        <f t="shared" si="157"/>
        <v>1</v>
      </c>
      <c r="E298" s="4"/>
      <c r="F298" s="43"/>
      <c r="G298" s="4"/>
      <c r="H298" s="46"/>
      <c r="J298" s="44" t="str">
        <f t="shared" si="171"/>
        <v/>
      </c>
      <c r="K298" t="s">
        <v>13</v>
      </c>
      <c r="L298" t="s">
        <v>756</v>
      </c>
      <c r="M298" t="s">
        <v>756</v>
      </c>
      <c r="N298" t="str">
        <f t="shared" si="174"/>
        <v/>
      </c>
      <c r="Q298" t="str">
        <f t="shared" si="172"/>
        <v/>
      </c>
      <c r="S298">
        <v>170</v>
      </c>
      <c r="U298" t="str">
        <f>IF(B298=1,MAX($U$2:$U297)+1,IF(AND($T298&lt;&gt;"",$T298=$T297),$U297,IF(B298="x",U297,"")))</f>
        <v/>
      </c>
      <c r="V298" t="str">
        <f>IF(C298=1,MAX($V$2:$V297)+1,IF(AND($T298&lt;&gt;"",$T298=$T297),$U297,IF(C298="x",V297,"")))</f>
        <v/>
      </c>
      <c r="W298" t="str">
        <f t="shared" si="146"/>
        <v>a</v>
      </c>
      <c r="X298">
        <v>87</v>
      </c>
      <c r="Y298" t="e">
        <f>IF(X298&lt;&gt;"",VLOOKUP(X298,game_rosters!$C$43:$E$64,3,FALSE))</f>
        <v>#N/A</v>
      </c>
      <c r="Z298" cm="1">
        <f t="array" ref="Z298">IFERROR(IF(_xlfn._xlws.FILTER(game_rosters!$J:$J,(game_rosters!$G:$G=events!$AN298)*(game_rosters!$J:$J=events!$X298))&gt;0,1,""),"")</f>
        <v>1</v>
      </c>
      <c r="AA298">
        <f t="shared" si="147"/>
        <v>1170</v>
      </c>
      <c r="AB298" t="str">
        <f t="shared" si="148"/>
        <v/>
      </c>
      <c r="AC298">
        <f t="shared" si="145"/>
        <v>1170</v>
      </c>
      <c r="AD298" s="6">
        <v>1</v>
      </c>
      <c r="AE298" t="s">
        <v>754</v>
      </c>
      <c r="AF298" t="s">
        <v>918</v>
      </c>
      <c r="AG298" t="s">
        <v>754</v>
      </c>
      <c r="AH298" t="s">
        <v>919</v>
      </c>
      <c r="AI298" t="s">
        <v>367</v>
      </c>
      <c r="AJ298" t="str">
        <f t="shared" si="175"/>
        <v/>
      </c>
      <c r="AK298" t="str">
        <f t="shared" si="175"/>
        <v/>
      </c>
      <c r="AL298" t="str">
        <f t="shared" si="150"/>
        <v/>
      </c>
      <c r="AN298" t="s">
        <v>862</v>
      </c>
      <c r="AO298" t="str">
        <f t="shared" si="151"/>
        <v>a</v>
      </c>
      <c r="AP298" t="str">
        <f t="shared" si="158"/>
        <v/>
      </c>
      <c r="AQ298" t="str">
        <f t="shared" si="159"/>
        <v/>
      </c>
      <c r="AR298" t="str">
        <f t="shared" si="160"/>
        <v>Away</v>
      </c>
      <c r="AS298" t="str">
        <f t="shared" si="161"/>
        <v>a</v>
      </c>
      <c r="AT298" t="str">
        <f t="shared" si="162"/>
        <v>Offensive</v>
      </c>
      <c r="BA298" s="6">
        <f t="shared" si="152"/>
        <v>68</v>
      </c>
      <c r="BB298">
        <f t="shared" si="153"/>
        <v>18981</v>
      </c>
      <c r="BC298" t="str">
        <f t="shared" si="154"/>
        <v>Nelson</v>
      </c>
      <c r="BD298" t="str">
        <f t="shared" si="155"/>
        <v>Velodrome</v>
      </c>
      <c r="BE298" t="s">
        <v>13</v>
      </c>
      <c r="BF298" t="s">
        <v>756</v>
      </c>
      <c r="BG298" t="s">
        <v>756</v>
      </c>
      <c r="BI298" cm="1">
        <f t="array" ref="BI298">IFERROR(_xlfn._xlws.FILTER(shifts!A:A,(shifts!B:B=events!AD298)*(shifts!AG:AG&gt;=events!BK298)*(shifts!AH:AH&lt;=events!BL298)),BI297)</f>
        <v>14</v>
      </c>
      <c r="BJ298" s="15">
        <f t="shared" si="156"/>
        <v>2</v>
      </c>
      <c r="BK298">
        <f t="shared" si="163"/>
        <v>682</v>
      </c>
      <c r="BL298">
        <f t="shared" si="164"/>
        <v>680</v>
      </c>
      <c r="BM298" s="15">
        <f>SUMIFS(BJ$2:BJ298,K$2:K298,"=Intermission")+SUMIFS(BJ$2:BJ298,K$2:K298,"=Timeout")</f>
        <v>0</v>
      </c>
      <c r="BN298">
        <f t="shared" si="165"/>
        <v>0</v>
      </c>
      <c r="BO298" s="19">
        <f t="shared" si="166"/>
        <v>398</v>
      </c>
      <c r="BP298">
        <f t="shared" si="167"/>
        <v>393</v>
      </c>
      <c r="BQ298" s="17">
        <f t="shared" si="168"/>
        <v>400</v>
      </c>
      <c r="BR298" t="str">
        <f t="shared" si="169"/>
        <v>event_team_player_1</v>
      </c>
      <c r="BS298">
        <f>COUNTIFS(S$3:S298,"="&amp;S298,AI$3:AI298,"="&amp;AI298)</f>
        <v>1</v>
      </c>
      <c r="BT298" t="str">
        <f>IFERROR(VLOOKUP(BB298&amp;BU298&amp;X298,game_rosters!U:W,3,FALSE),"")</f>
        <v>P100159</v>
      </c>
      <c r="BU298" t="str">
        <f t="shared" si="170"/>
        <v>Velodrome</v>
      </c>
    </row>
    <row r="299" spans="1:73" x14ac:dyDescent="0.2">
      <c r="A299">
        <f t="shared" si="157"/>
        <v>1</v>
      </c>
      <c r="E299" s="4"/>
      <c r="F299" s="43"/>
      <c r="G299" s="4"/>
      <c r="H299" s="46"/>
      <c r="J299" s="44" t="str">
        <f t="shared" si="171"/>
        <v>d</v>
      </c>
      <c r="K299" t="s">
        <v>238</v>
      </c>
      <c r="L299" t="s">
        <v>184</v>
      </c>
      <c r="M299" t="s">
        <v>380</v>
      </c>
      <c r="N299" t="str">
        <f t="shared" si="174"/>
        <v>s</v>
      </c>
      <c r="Q299" t="str">
        <f t="shared" si="172"/>
        <v/>
      </c>
      <c r="S299">
        <v>171</v>
      </c>
      <c r="U299" t="str">
        <f>IF(B299=1,MAX($U$2:$U298)+1,IF(AND($T299&lt;&gt;"",$T299=$T298),$U298,IF(B299="x",U298,"")))</f>
        <v/>
      </c>
      <c r="V299" t="str">
        <f>IF(C299=1,MAX($V$2:$V298)+1,IF(AND($T299&lt;&gt;"",$T299=$T298),$U298,IF(C299="x",V298,"")))</f>
        <v/>
      </c>
      <c r="W299" t="str">
        <f t="shared" si="146"/>
        <v>a</v>
      </c>
      <c r="X299">
        <v>87</v>
      </c>
      <c r="Y299" t="e">
        <f>IF(X299&lt;&gt;"",VLOOKUP(X299,game_rosters!$C$43:$E$64,3,FALSE))</f>
        <v>#N/A</v>
      </c>
      <c r="Z299" cm="1">
        <f t="array" ref="Z299">IFERROR(IF(_xlfn._xlws.FILTER(game_rosters!$J:$J,(game_rosters!$G:$G=events!$AN299)*(game_rosters!$J:$J=events!$X299))&gt;0,1,""),"")</f>
        <v>1</v>
      </c>
      <c r="AA299">
        <f t="shared" si="147"/>
        <v>1171</v>
      </c>
      <c r="AB299" t="str">
        <f t="shared" si="148"/>
        <v/>
      </c>
      <c r="AC299">
        <f t="shared" si="145"/>
        <v>1171</v>
      </c>
      <c r="AD299" s="6">
        <v>1</v>
      </c>
      <c r="AE299" t="s">
        <v>754</v>
      </c>
      <c r="AF299" t="s">
        <v>919</v>
      </c>
      <c r="AG299" t="s">
        <v>756</v>
      </c>
      <c r="AH299" t="s">
        <v>756</v>
      </c>
      <c r="AI299" t="s">
        <v>367</v>
      </c>
      <c r="AJ299" t="str">
        <f t="shared" si="175"/>
        <v>d</v>
      </c>
      <c r="AK299" t="str">
        <f t="shared" si="175"/>
        <v>d</v>
      </c>
      <c r="AL299" t="str">
        <f t="shared" si="150"/>
        <v>o</v>
      </c>
      <c r="AN299" t="s">
        <v>862</v>
      </c>
      <c r="AO299" t="str">
        <f t="shared" si="151"/>
        <v>a</v>
      </c>
      <c r="AP299" t="str">
        <f t="shared" si="158"/>
        <v>o</v>
      </c>
      <c r="AQ299" t="str">
        <f t="shared" si="159"/>
        <v/>
      </c>
      <c r="AR299" t="str">
        <f t="shared" si="160"/>
        <v>Away</v>
      </c>
      <c r="AS299" t="str">
        <f t="shared" si="161"/>
        <v>a</v>
      </c>
      <c r="AT299" t="str">
        <f t="shared" si="162"/>
        <v>Offensive</v>
      </c>
      <c r="BA299" s="6">
        <f t="shared" si="152"/>
        <v>69</v>
      </c>
      <c r="BB299">
        <f t="shared" si="153"/>
        <v>18981</v>
      </c>
      <c r="BC299" t="str">
        <f t="shared" si="154"/>
        <v>Nelson</v>
      </c>
      <c r="BD299" t="str">
        <f t="shared" si="155"/>
        <v>Velodrome</v>
      </c>
      <c r="BE299" t="s">
        <v>238</v>
      </c>
      <c r="BF299" t="s">
        <v>184</v>
      </c>
      <c r="BG299" t="s">
        <v>380</v>
      </c>
      <c r="BI299" cm="1">
        <f t="array" ref="BI299">IFERROR(_xlfn._xlws.FILTER(shifts!A:A,(shifts!B:B=events!AD299)*(shifts!AG:AG&gt;=events!BK299)*(shifts!AH:AH&lt;=events!BL299)),BI298)</f>
        <v>14</v>
      </c>
      <c r="BJ299" s="15">
        <f t="shared" si="156"/>
        <v>0</v>
      </c>
      <c r="BK299">
        <f t="shared" si="163"/>
        <v>680</v>
      </c>
      <c r="BL299">
        <f t="shared" si="164"/>
        <v>680</v>
      </c>
      <c r="BM299" s="15">
        <f>SUMIFS(BJ$2:BJ299,K$2:K299,"=Intermission")+SUMIFS(BJ$2:BJ299,K$2:K299,"=Timeout")</f>
        <v>0</v>
      </c>
      <c r="BN299">
        <f t="shared" si="165"/>
        <v>0</v>
      </c>
      <c r="BO299" s="19">
        <f t="shared" si="166"/>
        <v>400</v>
      </c>
      <c r="BP299">
        <f t="shared" si="167"/>
        <v>395</v>
      </c>
      <c r="BQ299" s="17">
        <f t="shared" si="168"/>
        <v>400</v>
      </c>
      <c r="BR299" t="str">
        <f t="shared" si="169"/>
        <v>event_team_player_1</v>
      </c>
      <c r="BS299">
        <f>COUNTIFS(S$3:S299,"="&amp;S299,AI$3:AI299,"="&amp;AI299)</f>
        <v>1</v>
      </c>
      <c r="BT299" t="str">
        <f>IFERROR(VLOOKUP(BB299&amp;BU299&amp;X299,game_rosters!U:W,3,FALSE),"")</f>
        <v>P100159</v>
      </c>
      <c r="BU299" t="str">
        <f t="shared" si="170"/>
        <v>Velodrome</v>
      </c>
    </row>
    <row r="300" spans="1:73" x14ac:dyDescent="0.2">
      <c r="A300">
        <f t="shared" si="157"/>
        <v>1</v>
      </c>
      <c r="E300" s="4"/>
      <c r="F300" s="43"/>
      <c r="G300" s="4"/>
      <c r="H300" s="46"/>
      <c r="J300" s="44" t="str">
        <f t="shared" si="171"/>
        <v/>
      </c>
      <c r="K300" t="s">
        <v>9</v>
      </c>
      <c r="L300" t="s">
        <v>173</v>
      </c>
      <c r="M300" t="s">
        <v>354</v>
      </c>
      <c r="N300" t="str">
        <f t="shared" si="174"/>
        <v>u</v>
      </c>
      <c r="Q300" t="str">
        <f t="shared" si="172"/>
        <v/>
      </c>
      <c r="S300">
        <v>172</v>
      </c>
      <c r="U300" t="str">
        <f>IF(B300=1,MAX($U$2:$U299)+1,IF(AND($T300&lt;&gt;"",$T300=$T299),$U299,IF(B300="x",U299,"")))</f>
        <v/>
      </c>
      <c r="V300" t="str">
        <f>IF(C300=1,MAX($V$2:$V299)+1,IF(AND($T300&lt;&gt;"",$T300=$T299),$U299,IF(C300="x",V299,"")))</f>
        <v/>
      </c>
      <c r="W300" t="str">
        <f t="shared" si="146"/>
        <v>a</v>
      </c>
      <c r="X300">
        <v>87</v>
      </c>
      <c r="Y300" t="e">
        <f>IF(X300&lt;&gt;"",VLOOKUP(X300,game_rosters!$C$43:$E$64,3,FALSE))</f>
        <v>#N/A</v>
      </c>
      <c r="Z300" cm="1">
        <f t="array" ref="Z300">IFERROR(IF(_xlfn._xlws.FILTER(game_rosters!$J:$J,(game_rosters!$G:$G=events!$AN300)*(game_rosters!$J:$J=events!$X300))&gt;0,1,""),"")</f>
        <v>1</v>
      </c>
      <c r="AA300">
        <f t="shared" si="147"/>
        <v>1172</v>
      </c>
      <c r="AB300" t="str">
        <f t="shared" si="148"/>
        <v/>
      </c>
      <c r="AC300">
        <f t="shared" si="145"/>
        <v>1172</v>
      </c>
      <c r="AD300" s="6">
        <v>1</v>
      </c>
      <c r="AE300" t="s">
        <v>754</v>
      </c>
      <c r="AF300" t="s">
        <v>919</v>
      </c>
      <c r="AG300" t="s">
        <v>756</v>
      </c>
      <c r="AH300" t="s">
        <v>756</v>
      </c>
      <c r="AI300" t="s">
        <v>367</v>
      </c>
      <c r="AJ300" t="str">
        <f t="shared" si="175"/>
        <v/>
      </c>
      <c r="AK300" t="str">
        <f t="shared" si="175"/>
        <v/>
      </c>
      <c r="AL300" t="str">
        <f t="shared" si="150"/>
        <v/>
      </c>
      <c r="AN300" t="s">
        <v>862</v>
      </c>
      <c r="AO300" t="str">
        <f t="shared" si="151"/>
        <v>a</v>
      </c>
      <c r="AP300" t="str">
        <f t="shared" si="158"/>
        <v/>
      </c>
      <c r="AQ300" t="str">
        <f t="shared" si="159"/>
        <v/>
      </c>
      <c r="AR300" t="str">
        <f t="shared" si="160"/>
        <v>Away</v>
      </c>
      <c r="AS300" t="str">
        <f t="shared" si="161"/>
        <v>a</v>
      </c>
      <c r="AT300" t="str">
        <f t="shared" si="162"/>
        <v>Offensive</v>
      </c>
      <c r="BA300" s="6">
        <f t="shared" si="152"/>
        <v>69</v>
      </c>
      <c r="BB300">
        <f t="shared" si="153"/>
        <v>18981</v>
      </c>
      <c r="BC300" t="str">
        <f t="shared" si="154"/>
        <v>Nelson</v>
      </c>
      <c r="BD300" t="str">
        <f t="shared" si="155"/>
        <v>Velodrome</v>
      </c>
      <c r="BE300" t="s">
        <v>9</v>
      </c>
      <c r="BF300" t="s">
        <v>173</v>
      </c>
      <c r="BG300" t="s">
        <v>354</v>
      </c>
      <c r="BI300" cm="1">
        <f t="array" ref="BI300">IFERROR(_xlfn._xlws.FILTER(shifts!A:A,(shifts!B:B=events!AD300)*(shifts!AG:AG&gt;=events!BK300)*(shifts!AH:AH&lt;=events!BL300)),BI299)</f>
        <v>14</v>
      </c>
      <c r="BJ300" s="15">
        <f t="shared" si="156"/>
        <v>0</v>
      </c>
      <c r="BK300">
        <f t="shared" si="163"/>
        <v>680</v>
      </c>
      <c r="BL300">
        <f t="shared" si="164"/>
        <v>680</v>
      </c>
      <c r="BM300" s="15">
        <f>SUMIFS(BJ$2:BJ300,K$2:K300,"=Intermission")+SUMIFS(BJ$2:BJ300,K$2:K300,"=Timeout")</f>
        <v>0</v>
      </c>
      <c r="BN300">
        <f t="shared" si="165"/>
        <v>0</v>
      </c>
      <c r="BO300" s="19">
        <f t="shared" si="166"/>
        <v>400</v>
      </c>
      <c r="BP300">
        <f t="shared" si="167"/>
        <v>395</v>
      </c>
      <c r="BQ300" s="17">
        <f t="shared" si="168"/>
        <v>400</v>
      </c>
      <c r="BR300" t="str">
        <f t="shared" si="169"/>
        <v>event_team_player_1</v>
      </c>
      <c r="BS300">
        <f>COUNTIFS(S$3:S300,"="&amp;S300,AI$3:AI300,"="&amp;AI300)</f>
        <v>1</v>
      </c>
      <c r="BT300" t="str">
        <f>IFERROR(VLOOKUP(BB300&amp;BU300&amp;X300,game_rosters!U:W,3,FALSE),"")</f>
        <v>P100159</v>
      </c>
      <c r="BU300" t="str">
        <f t="shared" si="170"/>
        <v>Velodrome</v>
      </c>
    </row>
    <row r="301" spans="1:73" x14ac:dyDescent="0.2">
      <c r="A301">
        <f t="shared" si="157"/>
        <v>1</v>
      </c>
      <c r="E301" s="4"/>
      <c r="F301" s="43"/>
      <c r="G301" s="4"/>
      <c r="H301" s="46"/>
      <c r="J301" s="44" t="str">
        <f t="shared" si="171"/>
        <v/>
      </c>
      <c r="K301" t="s">
        <v>13</v>
      </c>
      <c r="L301" t="s">
        <v>756</v>
      </c>
      <c r="M301" t="s">
        <v>756</v>
      </c>
      <c r="N301" t="str">
        <f t="shared" si="174"/>
        <v/>
      </c>
      <c r="Q301" t="str">
        <f t="shared" si="172"/>
        <v/>
      </c>
      <c r="S301">
        <v>173</v>
      </c>
      <c r="U301" t="str">
        <f>IF(B301=1,MAX($U$2:$U300)+1,IF(AND($T301&lt;&gt;"",$T301=$T300),$U300,IF(B301="x",U300,"")))</f>
        <v/>
      </c>
      <c r="V301" t="str">
        <f>IF(C301=1,MAX($V$2:$V300)+1,IF(AND($T301&lt;&gt;"",$T301=$T300),$U300,IF(C301="x",V300,"")))</f>
        <v/>
      </c>
      <c r="W301" t="str">
        <f t="shared" si="146"/>
        <v>h</v>
      </c>
      <c r="X301">
        <v>16</v>
      </c>
      <c r="Y301" t="b">
        <f>IF(X301&lt;&gt;"",VLOOKUP(X301,game_rosters!$C$43:$E$64,3,FALSE))</f>
        <v>0</v>
      </c>
      <c r="Z301" cm="1">
        <f t="array" ref="Z301">IFERROR(IF(_xlfn._xlws.FILTER(game_rosters!$J:$J,(game_rosters!$G:$G=events!$AN301)*(game_rosters!$J:$J=events!$X301))&gt;0,1,""),"")</f>
        <v>1</v>
      </c>
      <c r="AA301">
        <f t="shared" si="147"/>
        <v>1173</v>
      </c>
      <c r="AB301" t="str">
        <f t="shared" si="148"/>
        <v/>
      </c>
      <c r="AC301">
        <f t="shared" si="145"/>
        <v>1173</v>
      </c>
      <c r="AD301" s="6">
        <v>1</v>
      </c>
      <c r="AE301" t="s">
        <v>754</v>
      </c>
      <c r="AF301" t="s">
        <v>909</v>
      </c>
      <c r="AG301" t="s">
        <v>754</v>
      </c>
      <c r="AH301" t="s">
        <v>744</v>
      </c>
      <c r="AI301" t="s">
        <v>367</v>
      </c>
      <c r="AJ301" t="str">
        <f t="shared" si="175"/>
        <v/>
      </c>
      <c r="AK301" t="str">
        <f t="shared" si="175"/>
        <v/>
      </c>
      <c r="AL301" t="str">
        <f t="shared" si="150"/>
        <v/>
      </c>
      <c r="AN301" t="s">
        <v>861</v>
      </c>
      <c r="AO301" t="str">
        <f t="shared" si="151"/>
        <v>h</v>
      </c>
      <c r="AP301" t="str">
        <f t="shared" si="158"/>
        <v/>
      </c>
      <c r="AQ301" t="str">
        <f t="shared" si="159"/>
        <v/>
      </c>
      <c r="AR301" t="str">
        <f t="shared" si="160"/>
        <v>Home</v>
      </c>
      <c r="AS301" t="str">
        <f t="shared" si="161"/>
        <v>h</v>
      </c>
      <c r="AT301" t="str">
        <f t="shared" si="162"/>
        <v>Offensive</v>
      </c>
      <c r="BA301" s="6">
        <f t="shared" si="152"/>
        <v>69</v>
      </c>
      <c r="BB301">
        <f t="shared" si="153"/>
        <v>18981</v>
      </c>
      <c r="BC301" t="str">
        <f t="shared" si="154"/>
        <v>Nelson</v>
      </c>
      <c r="BD301" t="str">
        <f t="shared" si="155"/>
        <v>Velodrome</v>
      </c>
      <c r="BE301" t="s">
        <v>13</v>
      </c>
      <c r="BF301" t="s">
        <v>756</v>
      </c>
      <c r="BG301" t="s">
        <v>756</v>
      </c>
      <c r="BI301" cm="1">
        <f t="array" ref="BI301">IFERROR(_xlfn._xlws.FILTER(shifts!A:A,(shifts!B:B=events!AD301)*(shifts!AG:AG&gt;=events!BK301)*(shifts!AH:AH&lt;=events!BL301)),BI300)</f>
        <v>14</v>
      </c>
      <c r="BJ301" s="15">
        <f t="shared" si="156"/>
        <v>1</v>
      </c>
      <c r="BK301">
        <f t="shared" si="163"/>
        <v>676</v>
      </c>
      <c r="BL301">
        <f t="shared" si="164"/>
        <v>675</v>
      </c>
      <c r="BM301" s="15">
        <f>SUMIFS(BJ$2:BJ301,K$2:K301,"=Intermission")+SUMIFS(BJ$2:BJ301,K$2:K301,"=Timeout")</f>
        <v>0</v>
      </c>
      <c r="BN301">
        <f t="shared" si="165"/>
        <v>0</v>
      </c>
      <c r="BO301" s="19">
        <f t="shared" si="166"/>
        <v>404</v>
      </c>
      <c r="BP301">
        <f t="shared" si="167"/>
        <v>399</v>
      </c>
      <c r="BQ301" s="17">
        <f t="shared" si="168"/>
        <v>405</v>
      </c>
      <c r="BR301" t="str">
        <f t="shared" si="169"/>
        <v>event_team_player_1</v>
      </c>
      <c r="BS301">
        <f>COUNTIFS(S$3:S301,"="&amp;S301,AI$3:AI301,"="&amp;AI301)</f>
        <v>1</v>
      </c>
      <c r="BT301" t="str">
        <f>IFERROR(VLOOKUP(BB301&amp;BU301&amp;X301,game_rosters!U:W,3,FALSE),"")</f>
        <v>P100164</v>
      </c>
      <c r="BU301" t="str">
        <f t="shared" si="170"/>
        <v>Nelson</v>
      </c>
    </row>
    <row r="302" spans="1:73" x14ac:dyDescent="0.2">
      <c r="A302">
        <f t="shared" si="157"/>
        <v>1</v>
      </c>
      <c r="E302" s="4"/>
      <c r="F302" s="43"/>
      <c r="G302" s="4"/>
      <c r="H302" s="46"/>
      <c r="J302" s="44" t="str">
        <f t="shared" si="171"/>
        <v>o</v>
      </c>
      <c r="K302" t="s">
        <v>238</v>
      </c>
      <c r="L302" t="s">
        <v>174</v>
      </c>
      <c r="M302" t="s">
        <v>85</v>
      </c>
      <c r="N302" t="str">
        <f t="shared" si="174"/>
        <v>s</v>
      </c>
      <c r="Q302" t="str">
        <f t="shared" si="172"/>
        <v/>
      </c>
      <c r="S302">
        <v>174</v>
      </c>
      <c r="U302" t="str">
        <f>IF(B302=1,MAX($U$2:$U301)+1,IF(AND($T302&lt;&gt;"",$T302=$T301),$U301,IF(B302="x",U301,"")))</f>
        <v/>
      </c>
      <c r="V302" t="str">
        <f>IF(C302=1,MAX($V$2:$V301)+1,IF(AND($T302&lt;&gt;"",$T302=$T301),$U301,IF(C302="x",V301,"")))</f>
        <v/>
      </c>
      <c r="W302" t="str">
        <f t="shared" si="146"/>
        <v>h</v>
      </c>
      <c r="X302">
        <v>16</v>
      </c>
      <c r="Y302" t="b">
        <f>IF(X302&lt;&gt;"",VLOOKUP(X302,game_rosters!$C$43:$E$64,3,FALSE))</f>
        <v>0</v>
      </c>
      <c r="Z302" cm="1">
        <f t="array" ref="Z302">IFERROR(IF(_xlfn._xlws.FILTER(game_rosters!$J:$J,(game_rosters!$G:$G=events!$AN302)*(game_rosters!$J:$J=events!$X302))&gt;0,1,""),"")</f>
        <v>1</v>
      </c>
      <c r="AA302">
        <f t="shared" si="147"/>
        <v>1174</v>
      </c>
      <c r="AB302" t="str">
        <f t="shared" si="148"/>
        <v/>
      </c>
      <c r="AC302">
        <f t="shared" si="145"/>
        <v>1174</v>
      </c>
      <c r="AD302" s="6">
        <v>1</v>
      </c>
      <c r="AE302" t="s">
        <v>754</v>
      </c>
      <c r="AF302" t="s">
        <v>744</v>
      </c>
      <c r="AG302" t="s">
        <v>754</v>
      </c>
      <c r="AH302" t="s">
        <v>746</v>
      </c>
      <c r="AI302" t="s">
        <v>367</v>
      </c>
      <c r="AJ302" t="str">
        <f t="shared" si="175"/>
        <v>o</v>
      </c>
      <c r="AK302" t="str">
        <f t="shared" si="175"/>
        <v>o</v>
      </c>
      <c r="AL302" t="str">
        <f t="shared" si="150"/>
        <v>o</v>
      </c>
      <c r="AN302" t="s">
        <v>861</v>
      </c>
      <c r="AO302" t="str">
        <f t="shared" si="151"/>
        <v>h</v>
      </c>
      <c r="AP302" t="str">
        <f t="shared" si="158"/>
        <v>o</v>
      </c>
      <c r="AQ302" t="str">
        <f t="shared" si="159"/>
        <v/>
      </c>
      <c r="AR302" t="str">
        <f t="shared" si="160"/>
        <v>Home</v>
      </c>
      <c r="AS302" t="str">
        <f t="shared" si="161"/>
        <v>h</v>
      </c>
      <c r="AT302" t="str">
        <f t="shared" si="162"/>
        <v>Offensive</v>
      </c>
      <c r="BA302" s="6">
        <f t="shared" si="152"/>
        <v>70</v>
      </c>
      <c r="BB302">
        <f t="shared" si="153"/>
        <v>18981</v>
      </c>
      <c r="BC302" t="str">
        <f t="shared" si="154"/>
        <v>Nelson</v>
      </c>
      <c r="BD302" t="str">
        <f t="shared" si="155"/>
        <v>Velodrome</v>
      </c>
      <c r="BE302" t="s">
        <v>238</v>
      </c>
      <c r="BF302" t="s">
        <v>174</v>
      </c>
      <c r="BG302" t="s">
        <v>85</v>
      </c>
      <c r="BI302" cm="1">
        <f t="array" ref="BI302">IFERROR(_xlfn._xlws.FILTER(shifts!A:A,(shifts!B:B=events!AD302)*(shifts!AG:AG&gt;=events!BK302)*(shifts!AH:AH&lt;=events!BL302)),BI301)</f>
        <v>14</v>
      </c>
      <c r="BJ302" s="15">
        <f t="shared" si="156"/>
        <v>3</v>
      </c>
      <c r="BK302">
        <f t="shared" si="163"/>
        <v>675</v>
      </c>
      <c r="BL302">
        <f t="shared" si="164"/>
        <v>672</v>
      </c>
      <c r="BM302" s="15">
        <f>SUMIFS(BJ$2:BJ302,K$2:K302,"=Intermission")+SUMIFS(BJ$2:BJ302,K$2:K302,"=Timeout")</f>
        <v>0</v>
      </c>
      <c r="BN302">
        <f t="shared" si="165"/>
        <v>0</v>
      </c>
      <c r="BO302" s="19">
        <f t="shared" si="166"/>
        <v>405</v>
      </c>
      <c r="BP302">
        <f t="shared" si="167"/>
        <v>400</v>
      </c>
      <c r="BQ302" s="17">
        <f t="shared" si="168"/>
        <v>408</v>
      </c>
      <c r="BR302" t="str">
        <f t="shared" si="169"/>
        <v>event_team_player_1</v>
      </c>
      <c r="BS302">
        <f>COUNTIFS(S$3:S302,"="&amp;S302,AI$3:AI302,"="&amp;AI302)</f>
        <v>1</v>
      </c>
      <c r="BT302" t="str">
        <f>IFERROR(VLOOKUP(BB302&amp;BU302&amp;X302,game_rosters!U:W,3,FALSE),"")</f>
        <v>P100164</v>
      </c>
      <c r="BU302" t="str">
        <f t="shared" si="170"/>
        <v>Nelson</v>
      </c>
    </row>
    <row r="303" spans="1:73" x14ac:dyDescent="0.2">
      <c r="A303">
        <f t="shared" si="157"/>
        <v>1</v>
      </c>
      <c r="E303" s="4"/>
      <c r="F303" s="43"/>
      <c r="G303" s="4"/>
      <c r="H303" s="46"/>
      <c r="J303" s="44" t="str">
        <f t="shared" si="171"/>
        <v>o</v>
      </c>
      <c r="K303" t="s">
        <v>238</v>
      </c>
      <c r="L303" t="s">
        <v>174</v>
      </c>
      <c r="M303" t="s">
        <v>85</v>
      </c>
      <c r="N303" t="str">
        <f t="shared" si="174"/>
        <v>s</v>
      </c>
      <c r="Q303" t="str">
        <f t="shared" si="172"/>
        <v/>
      </c>
      <c r="S303">
        <v>174</v>
      </c>
      <c r="U303" t="str">
        <f>IF(B303=1,MAX($U$2:$U302)+1,IF(AND($T303&lt;&gt;"",$T303=$T302),$U302,IF(B303="x",U302,"")))</f>
        <v/>
      </c>
      <c r="V303" t="str">
        <f>IF(C303=1,MAX($V$2:$V302)+1,IF(AND($T303&lt;&gt;"",$T303=$T302),$U302,IF(C303="x",V302,"")))</f>
        <v/>
      </c>
      <c r="W303" t="str">
        <f t="shared" si="146"/>
        <v>h</v>
      </c>
      <c r="X303">
        <v>70</v>
      </c>
      <c r="Y303" t="e">
        <f>IF(X303&lt;&gt;"",VLOOKUP(X303,game_rosters!$C$43:$E$64,3,FALSE))</f>
        <v>#N/A</v>
      </c>
      <c r="Z303" t="str" cm="1">
        <f t="array" ref="Z303">IFERROR(IF(_xlfn._xlws.FILTER(game_rosters!$J:$J,(game_rosters!$G:$G=events!$AN303)*(game_rosters!$J:$J=events!$X303))&gt;0,1,""),"")</f>
        <v/>
      </c>
      <c r="AA303">
        <f t="shared" si="147"/>
        <v>1174</v>
      </c>
      <c r="AB303" t="str">
        <f t="shared" si="148"/>
        <v/>
      </c>
      <c r="AC303">
        <f t="shared" si="145"/>
        <v>1174</v>
      </c>
      <c r="AD303" s="6">
        <v>1</v>
      </c>
      <c r="AE303" t="s">
        <v>754</v>
      </c>
      <c r="AF303" t="s">
        <v>744</v>
      </c>
      <c r="AG303" t="s">
        <v>754</v>
      </c>
      <c r="AH303" t="s">
        <v>746</v>
      </c>
      <c r="AI303" t="s">
        <v>368</v>
      </c>
      <c r="AJ303" t="str">
        <f t="shared" si="175"/>
        <v>o</v>
      </c>
      <c r="AK303" t="str">
        <f t="shared" si="175"/>
        <v>o</v>
      </c>
      <c r="AL303" t="str">
        <f t="shared" si="150"/>
        <v>o</v>
      </c>
      <c r="AN303" t="s">
        <v>861</v>
      </c>
      <c r="AO303" t="str">
        <f t="shared" si="151"/>
        <v>h</v>
      </c>
      <c r="AP303" t="str">
        <f t="shared" si="158"/>
        <v>o</v>
      </c>
      <c r="AQ303" t="str">
        <f t="shared" si="159"/>
        <v/>
      </c>
      <c r="AR303" t="str">
        <f t="shared" si="160"/>
        <v>Home</v>
      </c>
      <c r="AS303" t="str">
        <f t="shared" si="161"/>
        <v>h</v>
      </c>
      <c r="AT303" t="str">
        <f t="shared" si="162"/>
        <v>Defensive</v>
      </c>
      <c r="BA303" s="6">
        <f t="shared" si="152"/>
        <v>71</v>
      </c>
      <c r="BB303">
        <f t="shared" si="153"/>
        <v>18981</v>
      </c>
      <c r="BC303" t="str">
        <f t="shared" si="154"/>
        <v>Nelson</v>
      </c>
      <c r="BD303" t="str">
        <f t="shared" si="155"/>
        <v>Velodrome</v>
      </c>
      <c r="BE303" t="s">
        <v>238</v>
      </c>
      <c r="BF303" t="s">
        <v>174</v>
      </c>
      <c r="BG303" t="s">
        <v>85</v>
      </c>
      <c r="BI303" cm="1">
        <f t="array" ref="BI303">IFERROR(_xlfn._xlws.FILTER(shifts!A:A,(shifts!B:B=events!AD303)*(shifts!AG:AG&gt;=events!BK303)*(shifts!AH:AH&lt;=events!BL303)),BI302)</f>
        <v>14</v>
      </c>
      <c r="BJ303" s="15">
        <f t="shared" si="156"/>
        <v>3</v>
      </c>
      <c r="BK303">
        <f t="shared" si="163"/>
        <v>675</v>
      </c>
      <c r="BL303">
        <f t="shared" si="164"/>
        <v>672</v>
      </c>
      <c r="BM303" s="15">
        <f>SUMIFS(BJ$2:BJ303,K$2:K303,"=Intermission")+SUMIFS(BJ$2:BJ303,K$2:K303,"=Timeout")</f>
        <v>0</v>
      </c>
      <c r="BN303">
        <f t="shared" si="165"/>
        <v>0</v>
      </c>
      <c r="BO303" s="19">
        <f t="shared" si="166"/>
        <v>405</v>
      </c>
      <c r="BP303">
        <f t="shared" si="167"/>
        <v>400</v>
      </c>
      <c r="BQ303" s="17">
        <f t="shared" si="168"/>
        <v>408</v>
      </c>
      <c r="BR303" t="str">
        <f t="shared" si="169"/>
        <v>opp_team_player_1</v>
      </c>
      <c r="BS303">
        <f>COUNTIFS(S$3:S303,"="&amp;S303,AI$3:AI303,"="&amp;AI303)</f>
        <v>1</v>
      </c>
      <c r="BT303" t="str">
        <f>IFERROR(VLOOKUP(BB303&amp;BU303&amp;X303,game_rosters!U:W,3,FALSE),"")</f>
        <v>P100001</v>
      </c>
      <c r="BU303" t="str">
        <f t="shared" si="170"/>
        <v>Velodrome</v>
      </c>
    </row>
    <row r="304" spans="1:73" x14ac:dyDescent="0.2">
      <c r="A304">
        <f t="shared" si="157"/>
        <v>1</v>
      </c>
      <c r="E304" s="4"/>
      <c r="F304" s="43"/>
      <c r="G304" s="4"/>
      <c r="H304" s="46"/>
      <c r="J304" s="44" t="str">
        <f t="shared" si="171"/>
        <v>o</v>
      </c>
      <c r="K304" t="s">
        <v>238</v>
      </c>
      <c r="L304" t="s">
        <v>174</v>
      </c>
      <c r="M304" t="s">
        <v>85</v>
      </c>
      <c r="N304" t="str">
        <f t="shared" si="174"/>
        <v>s</v>
      </c>
      <c r="Q304" t="str">
        <f t="shared" si="172"/>
        <v/>
      </c>
      <c r="S304">
        <v>174</v>
      </c>
      <c r="U304" t="str">
        <f>IF(B304=1,MAX($U$2:$U303)+1,IF(AND($T304&lt;&gt;"",$T304=$T303),$U303,IF(B304="x",U303,"")))</f>
        <v/>
      </c>
      <c r="V304" t="str">
        <f>IF(C304=1,MAX($V$2:$V303)+1,IF(AND($T304&lt;&gt;"",$T304=$T303),$U303,IF(C304="x",V303,"")))</f>
        <v/>
      </c>
      <c r="W304" t="str">
        <f t="shared" si="146"/>
        <v>h</v>
      </c>
      <c r="X304">
        <v>52</v>
      </c>
      <c r="Y304" t="e">
        <f>IF(X304&lt;&gt;"",VLOOKUP(X304,game_rosters!$C$43:$E$64,3,FALSE))</f>
        <v>#N/A</v>
      </c>
      <c r="Z304" t="str" cm="1">
        <f t="array" ref="Z304">IFERROR(IF(_xlfn._xlws.FILTER(game_rosters!$J:$J,(game_rosters!$G:$G=events!$AN304)*(game_rosters!$J:$J=events!$X304))&gt;0,1,""),"")</f>
        <v/>
      </c>
      <c r="AA304">
        <f t="shared" si="147"/>
        <v>1174</v>
      </c>
      <c r="AB304" t="str">
        <f t="shared" si="148"/>
        <v/>
      </c>
      <c r="AC304">
        <f t="shared" si="145"/>
        <v>1174</v>
      </c>
      <c r="AD304" s="6">
        <v>1</v>
      </c>
      <c r="AE304" t="s">
        <v>754</v>
      </c>
      <c r="AF304" t="s">
        <v>744</v>
      </c>
      <c r="AG304" t="s">
        <v>754</v>
      </c>
      <c r="AH304" t="s">
        <v>746</v>
      </c>
      <c r="AI304" t="s">
        <v>368</v>
      </c>
      <c r="AJ304" t="str">
        <f t="shared" si="175"/>
        <v>o</v>
      </c>
      <c r="AK304" t="str">
        <f t="shared" si="175"/>
        <v>o</v>
      </c>
      <c r="AL304" t="str">
        <f t="shared" si="150"/>
        <v>o</v>
      </c>
      <c r="AN304" t="s">
        <v>861</v>
      </c>
      <c r="AO304" t="str">
        <f t="shared" si="151"/>
        <v>h</v>
      </c>
      <c r="AP304" t="str">
        <f t="shared" si="158"/>
        <v>o</v>
      </c>
      <c r="AQ304" t="str">
        <f t="shared" si="159"/>
        <v/>
      </c>
      <c r="AR304" t="str">
        <f t="shared" si="160"/>
        <v>Home</v>
      </c>
      <c r="AS304" t="str">
        <f t="shared" si="161"/>
        <v>h</v>
      </c>
      <c r="AT304" t="str">
        <f t="shared" si="162"/>
        <v>Defensive</v>
      </c>
      <c r="BA304" s="6">
        <f t="shared" si="152"/>
        <v>72</v>
      </c>
      <c r="BB304">
        <f t="shared" si="153"/>
        <v>18981</v>
      </c>
      <c r="BC304" t="str">
        <f t="shared" si="154"/>
        <v>Nelson</v>
      </c>
      <c r="BD304" t="str">
        <f t="shared" si="155"/>
        <v>Velodrome</v>
      </c>
      <c r="BE304" t="s">
        <v>238</v>
      </c>
      <c r="BF304" t="s">
        <v>174</v>
      </c>
      <c r="BG304" t="s">
        <v>85</v>
      </c>
      <c r="BI304" cm="1">
        <f t="array" ref="BI304">IFERROR(_xlfn._xlws.FILTER(shifts!A:A,(shifts!B:B=events!AD304)*(shifts!AG:AG&gt;=events!BK304)*(shifts!AH:AH&lt;=events!BL304)),BI303)</f>
        <v>14</v>
      </c>
      <c r="BJ304" s="15">
        <f t="shared" si="156"/>
        <v>3</v>
      </c>
      <c r="BK304">
        <f t="shared" si="163"/>
        <v>675</v>
      </c>
      <c r="BL304">
        <f t="shared" si="164"/>
        <v>672</v>
      </c>
      <c r="BM304" s="15">
        <f>SUMIFS(BJ$2:BJ304,K$2:K304,"=Intermission")+SUMIFS(BJ$2:BJ304,K$2:K304,"=Timeout")</f>
        <v>0</v>
      </c>
      <c r="BN304">
        <f t="shared" si="165"/>
        <v>0</v>
      </c>
      <c r="BO304" s="19">
        <f t="shared" si="166"/>
        <v>405</v>
      </c>
      <c r="BP304">
        <f t="shared" si="167"/>
        <v>400</v>
      </c>
      <c r="BQ304" s="17">
        <f t="shared" si="168"/>
        <v>408</v>
      </c>
      <c r="BR304" t="str">
        <f t="shared" si="169"/>
        <v>opp_team_player_2</v>
      </c>
      <c r="BS304">
        <f>COUNTIFS(S$3:S304,"="&amp;S304,AI$3:AI304,"="&amp;AI304)</f>
        <v>2</v>
      </c>
      <c r="BT304" t="str">
        <f>IFERROR(VLOOKUP(BB304&amp;BU304&amp;X304,game_rosters!U:W,3,FALSE),"")</f>
        <v>P100070</v>
      </c>
      <c r="BU304" t="str">
        <f t="shared" si="170"/>
        <v>Velodrome</v>
      </c>
    </row>
    <row r="305" spans="1:73" x14ac:dyDescent="0.2">
      <c r="A305">
        <f t="shared" si="157"/>
        <v>1</v>
      </c>
      <c r="E305" s="4"/>
      <c r="F305" s="43"/>
      <c r="G305" s="4"/>
      <c r="H305" s="46"/>
      <c r="J305" s="44" t="str">
        <f t="shared" si="171"/>
        <v>o</v>
      </c>
      <c r="K305" t="s">
        <v>238</v>
      </c>
      <c r="L305" t="s">
        <v>174</v>
      </c>
      <c r="M305" t="s">
        <v>85</v>
      </c>
      <c r="N305" t="str">
        <f t="shared" si="174"/>
        <v>s</v>
      </c>
      <c r="Q305" t="str">
        <f t="shared" si="172"/>
        <v/>
      </c>
      <c r="S305">
        <v>174</v>
      </c>
      <c r="U305" t="str">
        <f>IF(B305=1,MAX($U$2:$U304)+1,IF(AND($T305&lt;&gt;"",$T305=$T304),$U304,IF(B305="x",U304,"")))</f>
        <v/>
      </c>
      <c r="V305" t="str">
        <f>IF(C305=1,MAX($V$2:$V304)+1,IF(AND($T305&lt;&gt;"",$T305=$T304),$U304,IF(C305="x",V304,"")))</f>
        <v/>
      </c>
      <c r="W305" t="str">
        <f t="shared" si="146"/>
        <v>h</v>
      </c>
      <c r="X305">
        <v>22</v>
      </c>
      <c r="Y305" t="e">
        <f>IF(X305&lt;&gt;"",VLOOKUP(X305,game_rosters!$C$43:$E$64,3,FALSE))</f>
        <v>#N/A</v>
      </c>
      <c r="Z305" t="str" cm="1">
        <f t="array" ref="Z305">IFERROR(IF(_xlfn._xlws.FILTER(game_rosters!$J:$J,(game_rosters!$G:$G=events!$AN305)*(game_rosters!$J:$J=events!$X305))&gt;0,1,""),"")</f>
        <v/>
      </c>
      <c r="AA305">
        <f t="shared" si="147"/>
        <v>1174</v>
      </c>
      <c r="AB305" t="str">
        <f t="shared" si="148"/>
        <v/>
      </c>
      <c r="AC305">
        <f t="shared" si="145"/>
        <v>1174</v>
      </c>
      <c r="AD305" s="6">
        <v>1</v>
      </c>
      <c r="AE305" t="s">
        <v>754</v>
      </c>
      <c r="AF305" t="s">
        <v>744</v>
      </c>
      <c r="AG305" t="s">
        <v>754</v>
      </c>
      <c r="AH305" t="s">
        <v>746</v>
      </c>
      <c r="AI305" t="s">
        <v>368</v>
      </c>
      <c r="AJ305" t="str">
        <f t="shared" si="175"/>
        <v>o</v>
      </c>
      <c r="AK305" t="str">
        <f t="shared" si="175"/>
        <v>o</v>
      </c>
      <c r="AL305" t="str">
        <f t="shared" si="150"/>
        <v>o</v>
      </c>
      <c r="AN305" t="s">
        <v>861</v>
      </c>
      <c r="AO305" t="str">
        <f t="shared" si="151"/>
        <v>h</v>
      </c>
      <c r="AP305" t="str">
        <f t="shared" si="158"/>
        <v>o</v>
      </c>
      <c r="AQ305" t="str">
        <f t="shared" si="159"/>
        <v/>
      </c>
      <c r="AR305" t="str">
        <f t="shared" si="160"/>
        <v>Home</v>
      </c>
      <c r="AS305" t="str">
        <f t="shared" si="161"/>
        <v>h</v>
      </c>
      <c r="AT305" t="str">
        <f t="shared" si="162"/>
        <v>Defensive</v>
      </c>
      <c r="BA305" s="6">
        <f t="shared" si="152"/>
        <v>73</v>
      </c>
      <c r="BB305">
        <f t="shared" si="153"/>
        <v>18981</v>
      </c>
      <c r="BC305" t="str">
        <f t="shared" si="154"/>
        <v>Nelson</v>
      </c>
      <c r="BD305" t="str">
        <f t="shared" si="155"/>
        <v>Velodrome</v>
      </c>
      <c r="BE305" t="s">
        <v>238</v>
      </c>
      <c r="BF305" t="s">
        <v>174</v>
      </c>
      <c r="BG305" t="s">
        <v>85</v>
      </c>
      <c r="BI305" cm="1">
        <f t="array" ref="BI305">IFERROR(_xlfn._xlws.FILTER(shifts!A:A,(shifts!B:B=events!AD305)*(shifts!AG:AG&gt;=events!BK305)*(shifts!AH:AH&lt;=events!BL305)),BI304)</f>
        <v>14</v>
      </c>
      <c r="BJ305" s="15">
        <f t="shared" si="156"/>
        <v>3</v>
      </c>
      <c r="BK305">
        <f t="shared" si="163"/>
        <v>675</v>
      </c>
      <c r="BL305">
        <f t="shared" si="164"/>
        <v>672</v>
      </c>
      <c r="BM305" s="15">
        <f>SUMIFS(BJ$2:BJ305,K$2:K305,"=Intermission")+SUMIFS(BJ$2:BJ305,K$2:K305,"=Timeout")</f>
        <v>0</v>
      </c>
      <c r="BN305">
        <f t="shared" si="165"/>
        <v>0</v>
      </c>
      <c r="BO305" s="19">
        <f t="shared" si="166"/>
        <v>405</v>
      </c>
      <c r="BP305">
        <f t="shared" si="167"/>
        <v>400</v>
      </c>
      <c r="BQ305" s="17">
        <f t="shared" si="168"/>
        <v>408</v>
      </c>
      <c r="BR305" t="str">
        <f t="shared" si="169"/>
        <v>opp_team_player_3</v>
      </c>
      <c r="BS305">
        <f>COUNTIFS(S$3:S305,"="&amp;S305,AI$3:AI305,"="&amp;AI305)</f>
        <v>3</v>
      </c>
      <c r="BT305" t="str">
        <f>IFERROR(VLOOKUP(BB305&amp;BU305&amp;X305,game_rosters!U:W,3,FALSE),"")</f>
        <v>P100108</v>
      </c>
      <c r="BU305" t="str">
        <f t="shared" si="170"/>
        <v>Velodrome</v>
      </c>
    </row>
    <row r="306" spans="1:73" x14ac:dyDescent="0.2">
      <c r="A306">
        <f t="shared" si="157"/>
        <v>1</v>
      </c>
      <c r="E306" s="4"/>
      <c r="F306" s="43"/>
      <c r="G306" s="4"/>
      <c r="H306" s="46"/>
      <c r="J306" s="44" t="str">
        <f t="shared" si="171"/>
        <v/>
      </c>
      <c r="K306" t="s">
        <v>9</v>
      </c>
      <c r="L306" t="s">
        <v>183</v>
      </c>
      <c r="M306" t="s">
        <v>80</v>
      </c>
      <c r="N306" t="str">
        <f t="shared" si="174"/>
        <v/>
      </c>
      <c r="Q306" t="str">
        <f t="shared" si="172"/>
        <v/>
      </c>
      <c r="S306">
        <v>175</v>
      </c>
      <c r="U306" t="str">
        <f>IF(B306=1,MAX($U$2:$U305)+1,IF(AND($T306&lt;&gt;"",$T306=$T305),$U305,IF(B306="x",U305,"")))</f>
        <v/>
      </c>
      <c r="V306" t="str">
        <f>IF(C306=1,MAX($V$2:$V305)+1,IF(AND($T306&lt;&gt;"",$T306=$T305),$U305,IF(C306="x",V305,"")))</f>
        <v/>
      </c>
      <c r="W306" t="str">
        <f t="shared" si="146"/>
        <v>a</v>
      </c>
      <c r="X306">
        <v>70</v>
      </c>
      <c r="Y306" t="e">
        <f>IF(X306&lt;&gt;"",VLOOKUP(X306,game_rosters!$C$43:$E$64,3,FALSE))</f>
        <v>#N/A</v>
      </c>
      <c r="Z306" cm="1">
        <f t="array" ref="Z306">IFERROR(IF(_xlfn._xlws.FILTER(game_rosters!$J:$J,(game_rosters!$G:$G=events!$AN306)*(game_rosters!$J:$J=events!$X306))&gt;0,1,""),"")</f>
        <v>1</v>
      </c>
      <c r="AA306">
        <f t="shared" si="147"/>
        <v>1175</v>
      </c>
      <c r="AB306" t="str">
        <f t="shared" si="148"/>
        <v/>
      </c>
      <c r="AC306">
        <f t="shared" si="145"/>
        <v>1175</v>
      </c>
      <c r="AD306" s="6">
        <v>1</v>
      </c>
      <c r="AE306" t="s">
        <v>754</v>
      </c>
      <c r="AF306" t="s">
        <v>754</v>
      </c>
      <c r="AG306" t="s">
        <v>754</v>
      </c>
      <c r="AH306" t="s">
        <v>754</v>
      </c>
      <c r="AI306" t="s">
        <v>367</v>
      </c>
      <c r="AJ306" t="str">
        <f t="shared" si="175"/>
        <v/>
      </c>
      <c r="AK306" t="str">
        <f t="shared" si="175"/>
        <v/>
      </c>
      <c r="AL306" t="str">
        <f t="shared" si="150"/>
        <v/>
      </c>
      <c r="AN306" t="s">
        <v>862</v>
      </c>
      <c r="AO306" t="str">
        <f t="shared" si="151"/>
        <v>a</v>
      </c>
      <c r="AP306" t="str">
        <f t="shared" si="158"/>
        <v/>
      </c>
      <c r="AQ306" t="str">
        <f t="shared" si="159"/>
        <v/>
      </c>
      <c r="AR306" t="str">
        <f t="shared" si="160"/>
        <v>Away</v>
      </c>
      <c r="AS306" t="str">
        <f t="shared" si="161"/>
        <v>a</v>
      </c>
      <c r="AT306" t="str">
        <f t="shared" si="162"/>
        <v>Defensive</v>
      </c>
      <c r="BA306" s="6">
        <f t="shared" si="152"/>
        <v>73</v>
      </c>
      <c r="BB306">
        <f t="shared" si="153"/>
        <v>18981</v>
      </c>
      <c r="BC306" t="str">
        <f t="shared" si="154"/>
        <v>Nelson</v>
      </c>
      <c r="BD306" t="str">
        <f t="shared" si="155"/>
        <v>Velodrome</v>
      </c>
      <c r="BE306" t="s">
        <v>9</v>
      </c>
      <c r="BF306" t="s">
        <v>183</v>
      </c>
      <c r="BG306" t="s">
        <v>80</v>
      </c>
      <c r="BI306" cm="1">
        <f t="array" ref="BI306">IFERROR(_xlfn._xlws.FILTER(shifts!A:A,(shifts!B:B=events!AD306)*(shifts!AG:AG&gt;=events!BK306)*(shifts!AH:AH&lt;=events!BL306)),BI305)</f>
        <v>15</v>
      </c>
      <c r="BJ306" s="15">
        <f t="shared" si="156"/>
        <v>0</v>
      </c>
      <c r="BK306">
        <f t="shared" si="163"/>
        <v>671</v>
      </c>
      <c r="BL306">
        <f t="shared" si="164"/>
        <v>671</v>
      </c>
      <c r="BM306" s="15">
        <f>SUMIFS(BJ$2:BJ306,K$2:K306,"=Intermission")+SUMIFS(BJ$2:BJ306,K$2:K306,"=Timeout")</f>
        <v>0</v>
      </c>
      <c r="BN306">
        <f t="shared" si="165"/>
        <v>0</v>
      </c>
      <c r="BO306" s="19">
        <f t="shared" si="166"/>
        <v>409</v>
      </c>
      <c r="BP306">
        <f t="shared" si="167"/>
        <v>404</v>
      </c>
      <c r="BQ306" s="17">
        <f t="shared" si="168"/>
        <v>409</v>
      </c>
      <c r="BR306" t="str">
        <f t="shared" si="169"/>
        <v>event_team_player_1</v>
      </c>
      <c r="BS306">
        <f>COUNTIFS(S$3:S306,"="&amp;S306,AI$3:AI306,"="&amp;AI306)</f>
        <v>1</v>
      </c>
      <c r="BT306" t="str">
        <f>IFERROR(VLOOKUP(BB306&amp;BU306&amp;X306,game_rosters!U:W,3,FALSE),"")</f>
        <v>P100001</v>
      </c>
      <c r="BU306" t="str">
        <f t="shared" si="170"/>
        <v>Velodrome</v>
      </c>
    </row>
    <row r="307" spans="1:73" x14ac:dyDescent="0.2">
      <c r="A307">
        <f t="shared" si="157"/>
        <v>1</v>
      </c>
      <c r="E307" s="4"/>
      <c r="F307" s="43"/>
      <c r="G307" s="4"/>
      <c r="H307" s="46"/>
      <c r="J307" s="44" t="str">
        <f t="shared" si="171"/>
        <v/>
      </c>
      <c r="K307" t="s">
        <v>9</v>
      </c>
      <c r="L307" t="s">
        <v>183</v>
      </c>
      <c r="M307" t="s">
        <v>80</v>
      </c>
      <c r="N307" t="str">
        <f t="shared" si="174"/>
        <v/>
      </c>
      <c r="Q307" t="str">
        <f t="shared" si="172"/>
        <v/>
      </c>
      <c r="S307">
        <v>175</v>
      </c>
      <c r="U307" t="str">
        <f>IF(B307=1,MAX($U$2:$U306)+1,IF(AND($T307&lt;&gt;"",$T307=$T306),$U306,IF(B307="x",U306,"")))</f>
        <v/>
      </c>
      <c r="V307" t="str">
        <f>IF(C307=1,MAX($V$2:$V306)+1,IF(AND($T307&lt;&gt;"",$T307=$T306),$U306,IF(C307="x",V306,"")))</f>
        <v/>
      </c>
      <c r="W307" t="str">
        <f t="shared" si="146"/>
        <v>a</v>
      </c>
      <c r="X307">
        <v>16</v>
      </c>
      <c r="Y307" t="b">
        <f>IF(X307&lt;&gt;"",VLOOKUP(X307,game_rosters!$C$43:$E$64,3,FALSE))</f>
        <v>0</v>
      </c>
      <c r="Z307" t="str" cm="1">
        <f t="array" ref="Z307">IFERROR(IF(_xlfn._xlws.FILTER(game_rosters!$J:$J,(game_rosters!$G:$G=events!$AN307)*(game_rosters!$J:$J=events!$X307))&gt;0,1,""),"")</f>
        <v/>
      </c>
      <c r="AA307">
        <f t="shared" si="147"/>
        <v>1175</v>
      </c>
      <c r="AB307" t="str">
        <f t="shared" si="148"/>
        <v/>
      </c>
      <c r="AC307">
        <f t="shared" si="145"/>
        <v>1175</v>
      </c>
      <c r="AD307" s="6">
        <v>1</v>
      </c>
      <c r="AE307" t="s">
        <v>754</v>
      </c>
      <c r="AF307" t="s">
        <v>754</v>
      </c>
      <c r="AG307" t="s">
        <v>754</v>
      </c>
      <c r="AH307" t="s">
        <v>754</v>
      </c>
      <c r="AI307" t="s">
        <v>368</v>
      </c>
      <c r="AJ307" t="str">
        <f t="shared" si="175"/>
        <v/>
      </c>
      <c r="AK307" t="str">
        <f t="shared" si="175"/>
        <v/>
      </c>
      <c r="AL307" t="str">
        <f t="shared" si="150"/>
        <v/>
      </c>
      <c r="AN307" t="s">
        <v>862</v>
      </c>
      <c r="AO307" t="str">
        <f t="shared" si="151"/>
        <v>a</v>
      </c>
      <c r="AP307" t="str">
        <f t="shared" si="158"/>
        <v/>
      </c>
      <c r="AQ307" t="str">
        <f t="shared" si="159"/>
        <v/>
      </c>
      <c r="AR307" t="str">
        <f t="shared" si="160"/>
        <v>Away</v>
      </c>
      <c r="AS307" t="str">
        <f t="shared" si="161"/>
        <v>a</v>
      </c>
      <c r="AT307" t="str">
        <f t="shared" si="162"/>
        <v>Offensive</v>
      </c>
      <c r="BA307" s="6">
        <f t="shared" si="152"/>
        <v>73</v>
      </c>
      <c r="BB307">
        <f t="shared" si="153"/>
        <v>18981</v>
      </c>
      <c r="BC307" t="str">
        <f t="shared" si="154"/>
        <v>Nelson</v>
      </c>
      <c r="BD307" t="str">
        <f t="shared" si="155"/>
        <v>Velodrome</v>
      </c>
      <c r="BE307" t="s">
        <v>9</v>
      </c>
      <c r="BF307" t="s">
        <v>183</v>
      </c>
      <c r="BG307" t="s">
        <v>80</v>
      </c>
      <c r="BI307" cm="1">
        <f t="array" ref="BI307">IFERROR(_xlfn._xlws.FILTER(shifts!A:A,(shifts!B:B=events!AD307)*(shifts!AG:AG&gt;=events!BK307)*(shifts!AH:AH&lt;=events!BL307)),BI306)</f>
        <v>15</v>
      </c>
      <c r="BJ307" s="15">
        <f t="shared" si="156"/>
        <v>0</v>
      </c>
      <c r="BK307">
        <f t="shared" si="163"/>
        <v>671</v>
      </c>
      <c r="BL307">
        <f t="shared" si="164"/>
        <v>671</v>
      </c>
      <c r="BM307" s="15">
        <f>SUMIFS(BJ$2:BJ307,K$2:K307,"=Intermission")+SUMIFS(BJ$2:BJ307,K$2:K307,"=Timeout")</f>
        <v>0</v>
      </c>
      <c r="BN307">
        <f t="shared" si="165"/>
        <v>0</v>
      </c>
      <c r="BO307" s="19">
        <f t="shared" si="166"/>
        <v>409</v>
      </c>
      <c r="BP307">
        <f t="shared" si="167"/>
        <v>404</v>
      </c>
      <c r="BQ307" s="17">
        <f t="shared" si="168"/>
        <v>409</v>
      </c>
      <c r="BR307" t="str">
        <f t="shared" si="169"/>
        <v>opp_team_player_1</v>
      </c>
      <c r="BS307">
        <f>COUNTIFS(S$3:S307,"="&amp;S307,AI$3:AI307,"="&amp;AI307)</f>
        <v>1</v>
      </c>
      <c r="BT307" t="str">
        <f>IFERROR(VLOOKUP(BB307&amp;BU307&amp;X307,game_rosters!U:W,3,FALSE),"")</f>
        <v>P100164</v>
      </c>
      <c r="BU307" t="str">
        <f t="shared" si="170"/>
        <v>Nelson</v>
      </c>
    </row>
    <row r="308" spans="1:73" x14ac:dyDescent="0.2">
      <c r="A308">
        <f t="shared" si="157"/>
        <v>1</v>
      </c>
      <c r="E308" s="4"/>
      <c r="F308" s="43"/>
      <c r="G308" s="4"/>
      <c r="H308" s="46"/>
      <c r="J308" s="44" t="str">
        <f t="shared" si="171"/>
        <v>d</v>
      </c>
      <c r="K308" t="s">
        <v>238</v>
      </c>
      <c r="L308" t="s">
        <v>184</v>
      </c>
      <c r="M308" t="s">
        <v>415</v>
      </c>
      <c r="N308" t="str">
        <f t="shared" si="174"/>
        <v>s</v>
      </c>
      <c r="Q308" t="str">
        <f t="shared" si="172"/>
        <v/>
      </c>
      <c r="S308">
        <v>176</v>
      </c>
      <c r="U308" t="str">
        <f>IF(B308=1,MAX($U$2:$U307)+1,IF(AND($T308&lt;&gt;"",$T308=$T307),$U307,IF(B308="x",U307,"")))</f>
        <v/>
      </c>
      <c r="V308" t="str">
        <f>IF(C308=1,MAX($V$2:$V307)+1,IF(AND($T308&lt;&gt;"",$T308=$T307),$U307,IF(C308="x",V307,"")))</f>
        <v/>
      </c>
      <c r="W308" t="str">
        <f t="shared" si="146"/>
        <v>a</v>
      </c>
      <c r="X308">
        <v>70</v>
      </c>
      <c r="Y308" t="e">
        <f>IF(X308&lt;&gt;"",VLOOKUP(X308,game_rosters!$C$43:$E$64,3,FALSE))</f>
        <v>#N/A</v>
      </c>
      <c r="Z308" cm="1">
        <f t="array" ref="Z308">IFERROR(IF(_xlfn._xlws.FILTER(game_rosters!$J:$J,(game_rosters!$G:$G=events!$AN308)*(game_rosters!$J:$J=events!$X308))&gt;0,1,""),"")</f>
        <v>1</v>
      </c>
      <c r="AA308">
        <f t="shared" si="147"/>
        <v>1176</v>
      </c>
      <c r="AB308" t="str">
        <f t="shared" si="148"/>
        <v/>
      </c>
      <c r="AC308">
        <f t="shared" si="145"/>
        <v>1176</v>
      </c>
      <c r="AD308" s="6">
        <v>1</v>
      </c>
      <c r="AE308" t="s">
        <v>754</v>
      </c>
      <c r="AF308" t="s">
        <v>754</v>
      </c>
      <c r="AG308" t="s">
        <v>756</v>
      </c>
      <c r="AH308" t="s">
        <v>756</v>
      </c>
      <c r="AI308" t="s">
        <v>367</v>
      </c>
      <c r="AJ308" t="str">
        <f t="shared" ref="AJ308:AK323" si="176">IF($J308&lt;&gt;"",$J308,IF($AC308=$AC307,AJ307,""))</f>
        <v>d</v>
      </c>
      <c r="AK308" t="str">
        <f t="shared" si="176"/>
        <v>d</v>
      </c>
      <c r="AL308" t="str">
        <f t="shared" si="150"/>
        <v>o</v>
      </c>
      <c r="AN308" t="s">
        <v>862</v>
      </c>
      <c r="AO308" t="str">
        <f t="shared" si="151"/>
        <v>a</v>
      </c>
      <c r="AP308" t="str">
        <f t="shared" si="158"/>
        <v>o</v>
      </c>
      <c r="AQ308" t="str">
        <f t="shared" si="159"/>
        <v/>
      </c>
      <c r="AR308" t="str">
        <f t="shared" si="160"/>
        <v>Away</v>
      </c>
      <c r="AS308" t="str">
        <f t="shared" si="161"/>
        <v>a</v>
      </c>
      <c r="AT308" t="str">
        <f t="shared" si="162"/>
        <v>Offensive</v>
      </c>
      <c r="BA308" s="6">
        <f t="shared" si="152"/>
        <v>74</v>
      </c>
      <c r="BB308">
        <f t="shared" si="153"/>
        <v>18981</v>
      </c>
      <c r="BC308" t="str">
        <f t="shared" si="154"/>
        <v>Nelson</v>
      </c>
      <c r="BD308" t="str">
        <f t="shared" si="155"/>
        <v>Velodrome</v>
      </c>
      <c r="BE308" t="s">
        <v>238</v>
      </c>
      <c r="BF308" t="s">
        <v>184</v>
      </c>
      <c r="BG308" t="s">
        <v>415</v>
      </c>
      <c r="BI308" cm="1">
        <f t="array" ref="BI308">IFERROR(_xlfn._xlws.FILTER(shifts!A:A,(shifts!B:B=events!AD308)*(shifts!AG:AG&gt;=events!BK308)*(shifts!AH:AH&lt;=events!BL308)),BI307)</f>
        <v>15</v>
      </c>
      <c r="BJ308" s="15">
        <f t="shared" si="156"/>
        <v>0</v>
      </c>
      <c r="BK308">
        <f t="shared" si="163"/>
        <v>671</v>
      </c>
      <c r="BL308">
        <f t="shared" si="164"/>
        <v>671</v>
      </c>
      <c r="BM308" s="15">
        <f>SUMIFS(BJ$2:BJ308,K$2:K308,"=Intermission")+SUMIFS(BJ$2:BJ308,K$2:K308,"=Timeout")</f>
        <v>0</v>
      </c>
      <c r="BN308">
        <f t="shared" si="165"/>
        <v>0</v>
      </c>
      <c r="BO308" s="19">
        <f t="shared" si="166"/>
        <v>409</v>
      </c>
      <c r="BP308">
        <f t="shared" si="167"/>
        <v>404</v>
      </c>
      <c r="BQ308" s="17">
        <f t="shared" si="168"/>
        <v>409</v>
      </c>
      <c r="BR308" t="str">
        <f t="shared" si="169"/>
        <v>event_team_player_1</v>
      </c>
      <c r="BS308">
        <f>COUNTIFS(S$3:S308,"="&amp;S308,AI$3:AI308,"="&amp;AI308)</f>
        <v>1</v>
      </c>
      <c r="BT308" t="str">
        <f>IFERROR(VLOOKUP(BB308&amp;BU308&amp;X308,game_rosters!U:W,3,FALSE),"")</f>
        <v>P100001</v>
      </c>
      <c r="BU308" t="str">
        <f t="shared" si="170"/>
        <v>Velodrome</v>
      </c>
    </row>
    <row r="309" spans="1:73" x14ac:dyDescent="0.2">
      <c r="A309">
        <f t="shared" si="157"/>
        <v>1</v>
      </c>
      <c r="E309" s="4"/>
      <c r="F309" s="43"/>
      <c r="G309" s="4"/>
      <c r="H309" s="46"/>
      <c r="J309" s="44" t="str">
        <f t="shared" si="171"/>
        <v/>
      </c>
      <c r="K309" t="s">
        <v>13</v>
      </c>
      <c r="L309" t="s">
        <v>756</v>
      </c>
      <c r="M309" t="s">
        <v>756</v>
      </c>
      <c r="N309" t="str">
        <f t="shared" si="174"/>
        <v/>
      </c>
      <c r="Q309" t="str">
        <f t="shared" si="172"/>
        <v/>
      </c>
      <c r="S309">
        <v>177</v>
      </c>
      <c r="U309" t="str">
        <f>IF(B309=1,MAX($U$2:$U308)+1,IF(AND($T309&lt;&gt;"",$T309=$T308),$U308,IF(B309="x",U308,"")))</f>
        <v/>
      </c>
      <c r="V309" t="str">
        <f>IF(C309=1,MAX($V$2:$V308)+1,IF(AND($T309&lt;&gt;"",$T309=$T308),$U308,IF(C309="x",V308,"")))</f>
        <v/>
      </c>
      <c r="W309" t="str">
        <f t="shared" si="146"/>
        <v>h</v>
      </c>
      <c r="X309">
        <v>10</v>
      </c>
      <c r="Y309" t="b">
        <f>IF(X309&lt;&gt;"",VLOOKUP(X309,game_rosters!$C$43:$E$64,3,FALSE))</f>
        <v>0</v>
      </c>
      <c r="Z309" cm="1">
        <f t="array" ref="Z309">IFERROR(IF(_xlfn._xlws.FILTER(game_rosters!$J:$J,(game_rosters!$G:$G=events!$AN309)*(game_rosters!$J:$J=events!$X309))&gt;0,1,""),"")</f>
        <v>1</v>
      </c>
      <c r="AA309">
        <f t="shared" si="147"/>
        <v>1177</v>
      </c>
      <c r="AB309" t="str">
        <f t="shared" si="148"/>
        <v/>
      </c>
      <c r="AC309">
        <f t="shared" si="145"/>
        <v>1177</v>
      </c>
      <c r="AD309" s="6">
        <v>1</v>
      </c>
      <c r="AE309" t="s">
        <v>754</v>
      </c>
      <c r="AF309" t="s">
        <v>920</v>
      </c>
      <c r="AG309" t="s">
        <v>754</v>
      </c>
      <c r="AH309" t="s">
        <v>747</v>
      </c>
      <c r="AI309" t="s">
        <v>367</v>
      </c>
      <c r="AJ309" t="str">
        <f t="shared" si="176"/>
        <v/>
      </c>
      <c r="AK309" t="str">
        <f t="shared" si="176"/>
        <v/>
      </c>
      <c r="AL309" t="str">
        <f t="shared" si="150"/>
        <v/>
      </c>
      <c r="AN309" t="s">
        <v>861</v>
      </c>
      <c r="AO309" t="str">
        <f t="shared" si="151"/>
        <v>h</v>
      </c>
      <c r="AP309" t="str">
        <f t="shared" si="158"/>
        <v/>
      </c>
      <c r="AQ309" t="str">
        <f t="shared" si="159"/>
        <v/>
      </c>
      <c r="AR309" t="str">
        <f t="shared" si="160"/>
        <v>Home</v>
      </c>
      <c r="AS309" t="str">
        <f t="shared" si="161"/>
        <v>h</v>
      </c>
      <c r="AT309" t="str">
        <f t="shared" si="162"/>
        <v>Offensive</v>
      </c>
      <c r="BA309" s="6">
        <f t="shared" si="152"/>
        <v>74</v>
      </c>
      <c r="BB309">
        <f t="shared" si="153"/>
        <v>18981</v>
      </c>
      <c r="BC309" t="str">
        <f t="shared" si="154"/>
        <v>Nelson</v>
      </c>
      <c r="BD309" t="str">
        <f t="shared" si="155"/>
        <v>Velodrome</v>
      </c>
      <c r="BE309" t="s">
        <v>13</v>
      </c>
      <c r="BF309" t="s">
        <v>756</v>
      </c>
      <c r="BG309" t="s">
        <v>756</v>
      </c>
      <c r="BI309" cm="1">
        <f t="array" ref="BI309">IFERROR(_xlfn._xlws.FILTER(shifts!A:A,(shifts!B:B=events!AD309)*(shifts!AG:AG&gt;=events!BK309)*(shifts!AH:AH&lt;=events!BL309)),BI308)</f>
        <v>15</v>
      </c>
      <c r="BJ309" s="15">
        <f t="shared" si="156"/>
        <v>2</v>
      </c>
      <c r="BK309">
        <f t="shared" si="163"/>
        <v>669</v>
      </c>
      <c r="BL309">
        <f t="shared" si="164"/>
        <v>667</v>
      </c>
      <c r="BM309" s="15">
        <f>SUMIFS(BJ$2:BJ309,K$2:K309,"=Intermission")+SUMIFS(BJ$2:BJ309,K$2:K309,"=Timeout")</f>
        <v>0</v>
      </c>
      <c r="BN309">
        <f t="shared" si="165"/>
        <v>0</v>
      </c>
      <c r="BO309" s="19">
        <f t="shared" si="166"/>
        <v>411</v>
      </c>
      <c r="BP309">
        <f t="shared" si="167"/>
        <v>406</v>
      </c>
      <c r="BQ309" s="17">
        <f t="shared" si="168"/>
        <v>413</v>
      </c>
      <c r="BR309" t="str">
        <f t="shared" si="169"/>
        <v>event_team_player_1</v>
      </c>
      <c r="BS309">
        <f>COUNTIFS(S$3:S309,"="&amp;S309,AI$3:AI309,"="&amp;AI309)</f>
        <v>1</v>
      </c>
      <c r="BT309" t="str">
        <f>IFERROR(VLOOKUP(BB309&amp;BU309&amp;X309,game_rosters!U:W,3,FALSE),"")</f>
        <v>P100078</v>
      </c>
      <c r="BU309" t="str">
        <f t="shared" si="170"/>
        <v>Nelson</v>
      </c>
    </row>
    <row r="310" spans="1:73" x14ac:dyDescent="0.2">
      <c r="A310">
        <f t="shared" si="157"/>
        <v>1</v>
      </c>
      <c r="E310" s="4"/>
      <c r="F310" s="43"/>
      <c r="G310" s="4"/>
      <c r="H310" s="46"/>
      <c r="J310" s="44" t="str">
        <f t="shared" si="171"/>
        <v/>
      </c>
      <c r="K310" t="s">
        <v>13</v>
      </c>
      <c r="L310" t="s">
        <v>756</v>
      </c>
      <c r="M310" t="s">
        <v>756</v>
      </c>
      <c r="N310" t="str">
        <f t="shared" si="174"/>
        <v/>
      </c>
      <c r="Q310" t="str">
        <f t="shared" si="172"/>
        <v/>
      </c>
      <c r="S310">
        <v>177</v>
      </c>
      <c r="U310" t="str">
        <f>IF(B310=1,MAX($U$2:$U309)+1,IF(AND($T310&lt;&gt;"",$T310=$T309),$U309,IF(B310="x",U309,"")))</f>
        <v/>
      </c>
      <c r="V310" t="str">
        <f>IF(C310=1,MAX($V$2:$V309)+1,IF(AND($T310&lt;&gt;"",$T310=$T309),$U309,IF(C310="x",V309,"")))</f>
        <v/>
      </c>
      <c r="W310" t="str">
        <f t="shared" si="146"/>
        <v>h</v>
      </c>
      <c r="X310">
        <v>70</v>
      </c>
      <c r="Y310" t="e">
        <f>IF(X310&lt;&gt;"",VLOOKUP(X310,game_rosters!$C$43:$E$64,3,FALSE))</f>
        <v>#N/A</v>
      </c>
      <c r="Z310" t="str" cm="1">
        <f t="array" ref="Z310">IFERROR(IF(_xlfn._xlws.FILTER(game_rosters!$J:$J,(game_rosters!$G:$G=events!$AN310)*(game_rosters!$J:$J=events!$X310))&gt;0,1,""),"")</f>
        <v/>
      </c>
      <c r="AA310">
        <f t="shared" si="147"/>
        <v>1177</v>
      </c>
      <c r="AB310" t="str">
        <f t="shared" si="148"/>
        <v/>
      </c>
      <c r="AC310">
        <f t="shared" si="145"/>
        <v>1177</v>
      </c>
      <c r="AD310" s="6">
        <v>1</v>
      </c>
      <c r="AE310" t="s">
        <v>754</v>
      </c>
      <c r="AF310" t="s">
        <v>920</v>
      </c>
      <c r="AG310" t="s">
        <v>754</v>
      </c>
      <c r="AH310" t="s">
        <v>747</v>
      </c>
      <c r="AI310" t="s">
        <v>368</v>
      </c>
      <c r="AJ310" t="str">
        <f t="shared" si="176"/>
        <v/>
      </c>
      <c r="AK310" t="str">
        <f t="shared" si="176"/>
        <v/>
      </c>
      <c r="AL310" t="str">
        <f t="shared" si="150"/>
        <v/>
      </c>
      <c r="AN310" t="s">
        <v>861</v>
      </c>
      <c r="AO310" t="str">
        <f t="shared" si="151"/>
        <v>h</v>
      </c>
      <c r="AP310" t="str">
        <f t="shared" si="158"/>
        <v/>
      </c>
      <c r="AQ310" t="str">
        <f t="shared" si="159"/>
        <v/>
      </c>
      <c r="AR310" t="str">
        <f t="shared" si="160"/>
        <v>Home</v>
      </c>
      <c r="AS310" t="str">
        <f t="shared" si="161"/>
        <v>h</v>
      </c>
      <c r="AT310" t="str">
        <f t="shared" si="162"/>
        <v>Defensive</v>
      </c>
      <c r="BA310" s="6">
        <f t="shared" si="152"/>
        <v>74</v>
      </c>
      <c r="BB310">
        <f t="shared" si="153"/>
        <v>18981</v>
      </c>
      <c r="BC310" t="str">
        <f t="shared" si="154"/>
        <v>Nelson</v>
      </c>
      <c r="BD310" t="str">
        <f t="shared" si="155"/>
        <v>Velodrome</v>
      </c>
      <c r="BE310" t="s">
        <v>13</v>
      </c>
      <c r="BF310" t="s">
        <v>756</v>
      </c>
      <c r="BG310" t="s">
        <v>756</v>
      </c>
      <c r="BI310" cm="1">
        <f t="array" ref="BI310">IFERROR(_xlfn._xlws.FILTER(shifts!A:A,(shifts!B:B=events!AD310)*(shifts!AG:AG&gt;=events!BK310)*(shifts!AH:AH&lt;=events!BL310)),BI309)</f>
        <v>15</v>
      </c>
      <c r="BJ310" s="15">
        <f t="shared" si="156"/>
        <v>2</v>
      </c>
      <c r="BK310">
        <f t="shared" si="163"/>
        <v>669</v>
      </c>
      <c r="BL310">
        <f t="shared" si="164"/>
        <v>667</v>
      </c>
      <c r="BM310" s="15">
        <f>SUMIFS(BJ$2:BJ310,K$2:K310,"=Intermission")+SUMIFS(BJ$2:BJ310,K$2:K310,"=Timeout")</f>
        <v>0</v>
      </c>
      <c r="BN310">
        <f t="shared" si="165"/>
        <v>0</v>
      </c>
      <c r="BO310" s="19">
        <f t="shared" si="166"/>
        <v>411</v>
      </c>
      <c r="BP310">
        <f t="shared" si="167"/>
        <v>406</v>
      </c>
      <c r="BQ310" s="17">
        <f t="shared" si="168"/>
        <v>413</v>
      </c>
      <c r="BR310" t="str">
        <f t="shared" si="169"/>
        <v>opp_team_player_1</v>
      </c>
      <c r="BS310">
        <f>COUNTIFS(S$3:S310,"="&amp;S310,AI$3:AI310,"="&amp;AI310)</f>
        <v>1</v>
      </c>
      <c r="BT310" t="str">
        <f>IFERROR(VLOOKUP(BB310&amp;BU310&amp;X310,game_rosters!U:W,3,FALSE),"")</f>
        <v>P100001</v>
      </c>
      <c r="BU310" t="str">
        <f t="shared" si="170"/>
        <v>Velodrome</v>
      </c>
    </row>
    <row r="311" spans="1:73" x14ac:dyDescent="0.2">
      <c r="A311">
        <f t="shared" si="157"/>
        <v>1</v>
      </c>
      <c r="E311" s="4"/>
      <c r="F311" s="43"/>
      <c r="G311" s="4"/>
      <c r="H311" s="46"/>
      <c r="J311" s="44" t="str">
        <f t="shared" si="171"/>
        <v/>
      </c>
      <c r="K311" t="s">
        <v>7</v>
      </c>
      <c r="L311" t="s">
        <v>172</v>
      </c>
      <c r="M311" t="s">
        <v>385</v>
      </c>
      <c r="N311" t="str">
        <f t="shared" si="174"/>
        <v>s</v>
      </c>
      <c r="Q311" t="str">
        <f t="shared" si="172"/>
        <v/>
      </c>
      <c r="S311">
        <v>178</v>
      </c>
      <c r="U311" t="str">
        <f>IF(B311=1,MAX($U$2:$U310)+1,IF(AND($T311&lt;&gt;"",$T311=$T310),$U310,IF(B311="x",U310,"")))</f>
        <v/>
      </c>
      <c r="V311" t="str">
        <f>IF(C311=1,MAX($V$2:$V310)+1,IF(AND($T311&lt;&gt;"",$T311=$T310),$U310,IF(C311="x",V310,"")))</f>
        <v/>
      </c>
      <c r="W311" t="str">
        <f t="shared" si="146"/>
        <v>h</v>
      </c>
      <c r="X311">
        <v>10</v>
      </c>
      <c r="Y311" t="b">
        <f>IF(X311&lt;&gt;"",VLOOKUP(X311,game_rosters!$C$43:$E$64,3,FALSE))</f>
        <v>0</v>
      </c>
      <c r="Z311" cm="1">
        <f t="array" ref="Z311">IFERROR(IF(_xlfn._xlws.FILTER(game_rosters!$J:$J,(game_rosters!$G:$G=events!$AN311)*(game_rosters!$J:$J=events!$X311))&gt;0,1,""),"")</f>
        <v>1</v>
      </c>
      <c r="AA311">
        <f t="shared" si="147"/>
        <v>1178</v>
      </c>
      <c r="AB311" t="str">
        <f t="shared" si="148"/>
        <v/>
      </c>
      <c r="AC311">
        <f t="shared" si="145"/>
        <v>1178</v>
      </c>
      <c r="AD311" s="6">
        <v>1</v>
      </c>
      <c r="AE311" t="s">
        <v>754</v>
      </c>
      <c r="AF311" t="s">
        <v>747</v>
      </c>
      <c r="AG311" t="s">
        <v>756</v>
      </c>
      <c r="AH311" t="s">
        <v>756</v>
      </c>
      <c r="AI311" t="s">
        <v>367</v>
      </c>
      <c r="AJ311" t="str">
        <f t="shared" si="176"/>
        <v/>
      </c>
      <c r="AK311" t="str">
        <f t="shared" si="176"/>
        <v/>
      </c>
      <c r="AL311" t="str">
        <f t="shared" si="150"/>
        <v/>
      </c>
      <c r="AN311" t="s">
        <v>861</v>
      </c>
      <c r="AO311" t="str">
        <f t="shared" si="151"/>
        <v>h</v>
      </c>
      <c r="AP311" t="str">
        <f t="shared" si="158"/>
        <v/>
      </c>
      <c r="AQ311" t="str">
        <f t="shared" si="159"/>
        <v/>
      </c>
      <c r="AR311" t="str">
        <f t="shared" si="160"/>
        <v>Home</v>
      </c>
      <c r="AS311" t="str">
        <f t="shared" si="161"/>
        <v>h</v>
      </c>
      <c r="AT311" t="str">
        <f t="shared" si="162"/>
        <v>Offensive</v>
      </c>
      <c r="BA311" s="6">
        <f t="shared" si="152"/>
        <v>74</v>
      </c>
      <c r="BB311">
        <f t="shared" si="153"/>
        <v>18981</v>
      </c>
      <c r="BC311" t="str">
        <f t="shared" si="154"/>
        <v>Nelson</v>
      </c>
      <c r="BD311" t="str">
        <f t="shared" si="155"/>
        <v>Velodrome</v>
      </c>
      <c r="BE311" t="s">
        <v>7</v>
      </c>
      <c r="BF311" t="s">
        <v>172</v>
      </c>
      <c r="BG311" t="s">
        <v>385</v>
      </c>
      <c r="BI311" cm="1">
        <f t="array" ref="BI311">IFERROR(_xlfn._xlws.FILTER(shifts!A:A,(shifts!B:B=events!AD311)*(shifts!AG:AG&gt;=events!BK311)*(shifts!AH:AH&lt;=events!BL311)),BI310)</f>
        <v>15</v>
      </c>
      <c r="BJ311" s="15">
        <f t="shared" si="156"/>
        <v>0</v>
      </c>
      <c r="BK311">
        <f t="shared" si="163"/>
        <v>667</v>
      </c>
      <c r="BL311">
        <f t="shared" si="164"/>
        <v>667</v>
      </c>
      <c r="BM311" s="15">
        <f>SUMIFS(BJ$2:BJ311,K$2:K311,"=Intermission")+SUMIFS(BJ$2:BJ311,K$2:K311,"=Timeout")</f>
        <v>0</v>
      </c>
      <c r="BN311">
        <f t="shared" si="165"/>
        <v>0</v>
      </c>
      <c r="BO311" s="19">
        <f t="shared" si="166"/>
        <v>413</v>
      </c>
      <c r="BP311">
        <f t="shared" si="167"/>
        <v>408</v>
      </c>
      <c r="BQ311" s="17">
        <f t="shared" si="168"/>
        <v>413</v>
      </c>
      <c r="BR311" t="str">
        <f t="shared" si="169"/>
        <v>event_team_player_1</v>
      </c>
      <c r="BS311">
        <f>COUNTIFS(S$3:S311,"="&amp;S311,AI$3:AI311,"="&amp;AI311)</f>
        <v>1</v>
      </c>
      <c r="BT311" t="str">
        <f>IFERROR(VLOOKUP(BB311&amp;BU311&amp;X311,game_rosters!U:W,3,FALSE),"")</f>
        <v>P100078</v>
      </c>
      <c r="BU311" t="str">
        <f t="shared" si="170"/>
        <v>Nelson</v>
      </c>
    </row>
    <row r="312" spans="1:73" x14ac:dyDescent="0.2">
      <c r="A312">
        <f t="shared" si="157"/>
        <v>1</v>
      </c>
      <c r="E312" s="4"/>
      <c r="F312" s="43"/>
      <c r="G312" s="4"/>
      <c r="H312" s="46"/>
      <c r="J312" s="44" t="str">
        <f t="shared" si="171"/>
        <v/>
      </c>
      <c r="K312" t="s">
        <v>7</v>
      </c>
      <c r="L312" t="s">
        <v>172</v>
      </c>
      <c r="M312" t="s">
        <v>385</v>
      </c>
      <c r="N312" t="str">
        <f t="shared" si="174"/>
        <v>s</v>
      </c>
      <c r="Q312" t="str">
        <f t="shared" si="172"/>
        <v/>
      </c>
      <c r="S312">
        <v>178</v>
      </c>
      <c r="U312" t="str">
        <f>IF(B312=1,MAX($U$2:$U311)+1,IF(AND($T312&lt;&gt;"",$T312=$T311),$U311,IF(B312="x",U311,"")))</f>
        <v/>
      </c>
      <c r="V312" t="str">
        <f>IF(C312=1,MAX($V$2:$V311)+1,IF(AND($T312&lt;&gt;"",$T312=$T311),$U311,IF(C312="x",V311,"")))</f>
        <v/>
      </c>
      <c r="W312" t="str">
        <f t="shared" si="146"/>
        <v>h</v>
      </c>
      <c r="X312">
        <v>8</v>
      </c>
      <c r="Y312" t="b">
        <f>IF(X312&lt;&gt;"",VLOOKUP(X312,game_rosters!$C$43:$E$64,3,FALSE))</f>
        <v>0</v>
      </c>
      <c r="Z312" cm="1">
        <f t="array" ref="Z312">IFERROR(IF(_xlfn._xlws.FILTER(game_rosters!$J:$J,(game_rosters!$G:$G=events!$AN312)*(game_rosters!$J:$J=events!$X312))&gt;0,1,""),"")</f>
        <v>1</v>
      </c>
      <c r="AA312">
        <f t="shared" si="147"/>
        <v>1178</v>
      </c>
      <c r="AB312" t="str">
        <f t="shared" si="148"/>
        <v/>
      </c>
      <c r="AC312">
        <f t="shared" si="145"/>
        <v>1178</v>
      </c>
      <c r="AD312" s="6">
        <v>1</v>
      </c>
      <c r="AE312" t="s">
        <v>754</v>
      </c>
      <c r="AF312" t="s">
        <v>747</v>
      </c>
      <c r="AG312" t="s">
        <v>756</v>
      </c>
      <c r="AH312" t="s">
        <v>756</v>
      </c>
      <c r="AI312" t="s">
        <v>367</v>
      </c>
      <c r="AJ312" t="str">
        <f t="shared" si="176"/>
        <v/>
      </c>
      <c r="AK312" t="str">
        <f t="shared" si="176"/>
        <v/>
      </c>
      <c r="AL312" t="str">
        <f t="shared" si="150"/>
        <v/>
      </c>
      <c r="AN312" t="s">
        <v>861</v>
      </c>
      <c r="AO312" t="str">
        <f t="shared" si="151"/>
        <v>h</v>
      </c>
      <c r="AP312" t="str">
        <f t="shared" si="158"/>
        <v/>
      </c>
      <c r="AQ312" t="str">
        <f t="shared" si="159"/>
        <v/>
      </c>
      <c r="AR312" t="str">
        <f t="shared" si="160"/>
        <v>Home</v>
      </c>
      <c r="AS312" t="str">
        <f t="shared" si="161"/>
        <v>h</v>
      </c>
      <c r="AT312" t="str">
        <f t="shared" si="162"/>
        <v>Offensive</v>
      </c>
      <c r="BA312" s="6">
        <f t="shared" si="152"/>
        <v>74</v>
      </c>
      <c r="BB312">
        <f t="shared" si="153"/>
        <v>18981</v>
      </c>
      <c r="BC312" t="str">
        <f t="shared" si="154"/>
        <v>Nelson</v>
      </c>
      <c r="BD312" t="str">
        <f t="shared" si="155"/>
        <v>Velodrome</v>
      </c>
      <c r="BE312" t="s">
        <v>7</v>
      </c>
      <c r="BF312" t="s">
        <v>172</v>
      </c>
      <c r="BG312" t="s">
        <v>385</v>
      </c>
      <c r="BI312" cm="1">
        <f t="array" ref="BI312">IFERROR(_xlfn._xlws.FILTER(shifts!A:A,(shifts!B:B=events!AD312)*(shifts!AG:AG&gt;=events!BK312)*(shifts!AH:AH&lt;=events!BL312)),BI311)</f>
        <v>15</v>
      </c>
      <c r="BJ312" s="15">
        <f t="shared" si="156"/>
        <v>0</v>
      </c>
      <c r="BK312">
        <f t="shared" si="163"/>
        <v>667</v>
      </c>
      <c r="BL312">
        <f t="shared" si="164"/>
        <v>667</v>
      </c>
      <c r="BM312" s="15">
        <f>SUMIFS(BJ$2:BJ312,K$2:K312,"=Intermission")+SUMIFS(BJ$2:BJ312,K$2:K312,"=Timeout")</f>
        <v>0</v>
      </c>
      <c r="BN312">
        <f t="shared" si="165"/>
        <v>0</v>
      </c>
      <c r="BO312" s="19">
        <f t="shared" si="166"/>
        <v>413</v>
      </c>
      <c r="BP312">
        <f t="shared" si="167"/>
        <v>408</v>
      </c>
      <c r="BQ312" s="17">
        <f t="shared" si="168"/>
        <v>413</v>
      </c>
      <c r="BR312" t="str">
        <f t="shared" si="169"/>
        <v>event_team_player_2</v>
      </c>
      <c r="BS312">
        <f>COUNTIFS(S$3:S312,"="&amp;S312,AI$3:AI312,"="&amp;AI312)</f>
        <v>2</v>
      </c>
      <c r="BT312" t="str">
        <f>IFERROR(VLOOKUP(BB312&amp;BU312&amp;X312,game_rosters!U:W,3,FALSE),"")</f>
        <v>P100074</v>
      </c>
      <c r="BU312" t="str">
        <f t="shared" si="170"/>
        <v>Nelson</v>
      </c>
    </row>
    <row r="313" spans="1:73" x14ac:dyDescent="0.2">
      <c r="A313">
        <f t="shared" si="157"/>
        <v>1</v>
      </c>
      <c r="E313" s="4"/>
      <c r="F313" s="43"/>
      <c r="G313" s="4"/>
      <c r="H313" s="46"/>
      <c r="J313" s="44" t="str">
        <f t="shared" si="171"/>
        <v/>
      </c>
      <c r="K313" t="s">
        <v>13</v>
      </c>
      <c r="L313" t="s">
        <v>756</v>
      </c>
      <c r="M313" t="s">
        <v>756</v>
      </c>
      <c r="N313" t="str">
        <f t="shared" si="174"/>
        <v/>
      </c>
      <c r="Q313" t="str">
        <f t="shared" si="172"/>
        <v/>
      </c>
      <c r="S313">
        <v>179</v>
      </c>
      <c r="U313" t="str">
        <f>IF(B313=1,MAX($U$2:$U312)+1,IF(AND($T313&lt;&gt;"",$T313=$T312),$U312,IF(B313="x",U312,"")))</f>
        <v/>
      </c>
      <c r="V313" t="str">
        <f>IF(C313=1,MAX($V$2:$V312)+1,IF(AND($T313&lt;&gt;"",$T313=$T312),$U312,IF(C313="x",V312,"")))</f>
        <v/>
      </c>
      <c r="W313" t="str">
        <f t="shared" si="146"/>
        <v>h</v>
      </c>
      <c r="X313">
        <v>8</v>
      </c>
      <c r="Y313" t="b">
        <f>IF(X313&lt;&gt;"",VLOOKUP(X313,game_rosters!$C$43:$E$64,3,FALSE))</f>
        <v>0</v>
      </c>
      <c r="Z313" cm="1">
        <f t="array" ref="Z313">IFERROR(IF(_xlfn._xlws.FILTER(game_rosters!$J:$J,(game_rosters!$G:$G=events!$AN313)*(game_rosters!$J:$J=events!$X313))&gt;0,1,""),"")</f>
        <v>1</v>
      </c>
      <c r="AA313">
        <f t="shared" si="147"/>
        <v>1179</v>
      </c>
      <c r="AB313" t="str">
        <f t="shared" si="148"/>
        <v/>
      </c>
      <c r="AC313">
        <f t="shared" si="145"/>
        <v>1179</v>
      </c>
      <c r="AD313" s="6">
        <v>1</v>
      </c>
      <c r="AE313" t="s">
        <v>754</v>
      </c>
      <c r="AF313" t="s">
        <v>747</v>
      </c>
      <c r="AG313" t="s">
        <v>754</v>
      </c>
      <c r="AH313" t="s">
        <v>912</v>
      </c>
      <c r="AI313" t="s">
        <v>367</v>
      </c>
      <c r="AJ313" t="str">
        <f t="shared" si="176"/>
        <v/>
      </c>
      <c r="AK313" t="str">
        <f t="shared" si="176"/>
        <v/>
      </c>
      <c r="AL313" t="str">
        <f t="shared" si="150"/>
        <v/>
      </c>
      <c r="AN313" t="s">
        <v>861</v>
      </c>
      <c r="AO313" t="str">
        <f t="shared" si="151"/>
        <v>h</v>
      </c>
      <c r="AP313" t="str">
        <f t="shared" si="158"/>
        <v/>
      </c>
      <c r="AQ313" t="str">
        <f t="shared" si="159"/>
        <v/>
      </c>
      <c r="AR313" t="str">
        <f t="shared" si="160"/>
        <v>Home</v>
      </c>
      <c r="AS313" t="str">
        <f t="shared" si="161"/>
        <v>h</v>
      </c>
      <c r="AT313" t="str">
        <f t="shared" si="162"/>
        <v>Offensive</v>
      </c>
      <c r="BA313" s="6">
        <f t="shared" si="152"/>
        <v>74</v>
      </c>
      <c r="BB313">
        <f t="shared" si="153"/>
        <v>18981</v>
      </c>
      <c r="BC313" t="str">
        <f t="shared" si="154"/>
        <v>Nelson</v>
      </c>
      <c r="BD313" t="str">
        <f t="shared" si="155"/>
        <v>Velodrome</v>
      </c>
      <c r="BE313" t="s">
        <v>13</v>
      </c>
      <c r="BF313" t="s">
        <v>756</v>
      </c>
      <c r="BG313" t="s">
        <v>756</v>
      </c>
      <c r="BI313" cm="1">
        <f t="array" ref="BI313">IFERROR(_xlfn._xlws.FILTER(shifts!A:A,(shifts!B:B=events!AD313)*(shifts!AG:AG&gt;=events!BK313)*(shifts!AH:AH&lt;=events!BL313)),BI312)</f>
        <v>15</v>
      </c>
      <c r="BJ313" s="15">
        <f t="shared" si="156"/>
        <v>2</v>
      </c>
      <c r="BK313">
        <f t="shared" si="163"/>
        <v>667</v>
      </c>
      <c r="BL313">
        <f t="shared" si="164"/>
        <v>665</v>
      </c>
      <c r="BM313" s="15">
        <f>SUMIFS(BJ$2:BJ313,K$2:K313,"=Intermission")+SUMIFS(BJ$2:BJ313,K$2:K313,"=Timeout")</f>
        <v>0</v>
      </c>
      <c r="BN313">
        <f t="shared" si="165"/>
        <v>0</v>
      </c>
      <c r="BO313" s="19">
        <f t="shared" si="166"/>
        <v>413</v>
      </c>
      <c r="BP313">
        <f t="shared" si="167"/>
        <v>408</v>
      </c>
      <c r="BQ313" s="17">
        <f t="shared" si="168"/>
        <v>415</v>
      </c>
      <c r="BR313" t="str">
        <f t="shared" si="169"/>
        <v>event_team_player_1</v>
      </c>
      <c r="BS313">
        <f>COUNTIFS(S$3:S313,"="&amp;S313,AI$3:AI313,"="&amp;AI313)</f>
        <v>1</v>
      </c>
      <c r="BT313" t="str">
        <f>IFERROR(VLOOKUP(BB313&amp;BU313&amp;X313,game_rosters!U:W,3,FALSE),"")</f>
        <v>P100074</v>
      </c>
      <c r="BU313" t="str">
        <f t="shared" si="170"/>
        <v>Nelson</v>
      </c>
    </row>
    <row r="314" spans="1:73" x14ac:dyDescent="0.2">
      <c r="A314">
        <f t="shared" si="157"/>
        <v>1</v>
      </c>
      <c r="E314" s="4"/>
      <c r="F314" s="43"/>
      <c r="G314" s="4"/>
      <c r="H314" s="46"/>
      <c r="J314" s="44" t="str">
        <f t="shared" si="171"/>
        <v>o</v>
      </c>
      <c r="K314" t="s">
        <v>238</v>
      </c>
      <c r="L314" t="s">
        <v>174</v>
      </c>
      <c r="M314" t="s">
        <v>87</v>
      </c>
      <c r="N314" t="str">
        <f t="shared" si="174"/>
        <v>s</v>
      </c>
      <c r="Q314" t="str">
        <f t="shared" si="172"/>
        <v/>
      </c>
      <c r="S314">
        <v>180</v>
      </c>
      <c r="U314" t="str">
        <f>IF(B314=1,MAX($U$2:$U313)+1,IF(AND($T314&lt;&gt;"",$T314=$T313),$U313,IF(B314="x",U313,"")))</f>
        <v/>
      </c>
      <c r="V314" t="str">
        <f>IF(C314=1,MAX($V$2:$V313)+1,IF(AND($T314&lt;&gt;"",$T314=$T313),$U313,IF(C314="x",V313,"")))</f>
        <v/>
      </c>
      <c r="W314" t="str">
        <f t="shared" si="146"/>
        <v>h</v>
      </c>
      <c r="X314">
        <v>8</v>
      </c>
      <c r="Y314" t="b">
        <f>IF(X314&lt;&gt;"",VLOOKUP(X314,game_rosters!$C$43:$E$64,3,FALSE))</f>
        <v>0</v>
      </c>
      <c r="Z314" cm="1">
        <f t="array" ref="Z314">IFERROR(IF(_xlfn._xlws.FILTER(game_rosters!$J:$J,(game_rosters!$G:$G=events!$AN314)*(game_rosters!$J:$J=events!$X314))&gt;0,1,""),"")</f>
        <v>1</v>
      </c>
      <c r="AA314">
        <f t="shared" si="147"/>
        <v>1180</v>
      </c>
      <c r="AB314" t="str">
        <f t="shared" si="148"/>
        <v/>
      </c>
      <c r="AC314">
        <f t="shared" si="145"/>
        <v>1180</v>
      </c>
      <c r="AD314" s="6">
        <v>1</v>
      </c>
      <c r="AE314" t="s">
        <v>754</v>
      </c>
      <c r="AF314" t="s">
        <v>912</v>
      </c>
      <c r="AG314" t="s">
        <v>756</v>
      </c>
      <c r="AH314" t="s">
        <v>756</v>
      </c>
      <c r="AI314" t="s">
        <v>367</v>
      </c>
      <c r="AJ314" t="str">
        <f t="shared" si="176"/>
        <v>o</v>
      </c>
      <c r="AK314" t="str">
        <f t="shared" si="176"/>
        <v>o</v>
      </c>
      <c r="AL314" t="str">
        <f t="shared" si="150"/>
        <v>o</v>
      </c>
      <c r="AN314" t="s">
        <v>861</v>
      </c>
      <c r="AO314" t="str">
        <f t="shared" si="151"/>
        <v>h</v>
      </c>
      <c r="AP314" t="str">
        <f t="shared" si="158"/>
        <v>o</v>
      </c>
      <c r="AQ314" t="str">
        <f t="shared" si="159"/>
        <v/>
      </c>
      <c r="AR314" t="str">
        <f t="shared" si="160"/>
        <v>Home</v>
      </c>
      <c r="AS314" t="str">
        <f t="shared" si="161"/>
        <v>h</v>
      </c>
      <c r="AT314" t="str">
        <f t="shared" si="162"/>
        <v>Offensive</v>
      </c>
      <c r="BA314" s="6">
        <f t="shared" si="152"/>
        <v>75</v>
      </c>
      <c r="BB314">
        <f t="shared" si="153"/>
        <v>18981</v>
      </c>
      <c r="BC314" t="str">
        <f t="shared" si="154"/>
        <v>Nelson</v>
      </c>
      <c r="BD314" t="str">
        <f t="shared" si="155"/>
        <v>Velodrome</v>
      </c>
      <c r="BE314" t="s">
        <v>238</v>
      </c>
      <c r="BF314" t="s">
        <v>174</v>
      </c>
      <c r="BG314" t="s">
        <v>87</v>
      </c>
      <c r="BI314" cm="1">
        <f t="array" ref="BI314">IFERROR(_xlfn._xlws.FILTER(shifts!A:A,(shifts!B:B=events!AD314)*(shifts!AG:AG&gt;=events!BK314)*(shifts!AH:AH&lt;=events!BL314)),BI313)</f>
        <v>15</v>
      </c>
      <c r="BJ314" s="15">
        <f t="shared" si="156"/>
        <v>0</v>
      </c>
      <c r="BK314">
        <f t="shared" si="163"/>
        <v>665</v>
      </c>
      <c r="BL314">
        <f t="shared" si="164"/>
        <v>665</v>
      </c>
      <c r="BM314" s="15">
        <f>SUMIFS(BJ$2:BJ314,K$2:K314,"=Intermission")+SUMIFS(BJ$2:BJ314,K$2:K314,"=Timeout")</f>
        <v>0</v>
      </c>
      <c r="BN314">
        <f t="shared" si="165"/>
        <v>0</v>
      </c>
      <c r="BO314" s="19">
        <f t="shared" si="166"/>
        <v>415</v>
      </c>
      <c r="BP314">
        <f t="shared" si="167"/>
        <v>410</v>
      </c>
      <c r="BQ314" s="17">
        <f t="shared" si="168"/>
        <v>415</v>
      </c>
      <c r="BR314" t="str">
        <f t="shared" si="169"/>
        <v>event_team_player_1</v>
      </c>
      <c r="BS314">
        <f>COUNTIFS(S$3:S314,"="&amp;S314,AI$3:AI314,"="&amp;AI314)</f>
        <v>1</v>
      </c>
      <c r="BT314" t="str">
        <f>IFERROR(VLOOKUP(BB314&amp;BU314&amp;X314,game_rosters!U:W,3,FALSE),"")</f>
        <v>P100074</v>
      </c>
      <c r="BU314" t="str">
        <f t="shared" si="170"/>
        <v>Nelson</v>
      </c>
    </row>
    <row r="315" spans="1:73" x14ac:dyDescent="0.2">
      <c r="A315">
        <f t="shared" si="157"/>
        <v>1</v>
      </c>
      <c r="E315" s="4"/>
      <c r="F315" s="43"/>
      <c r="G315" s="4"/>
      <c r="H315" s="46"/>
      <c r="J315" s="44" t="str">
        <f t="shared" si="171"/>
        <v>o</v>
      </c>
      <c r="K315" t="s">
        <v>238</v>
      </c>
      <c r="L315" t="s">
        <v>174</v>
      </c>
      <c r="M315" t="s">
        <v>87</v>
      </c>
      <c r="N315" t="str">
        <f t="shared" si="174"/>
        <v>s</v>
      </c>
      <c r="Q315" t="str">
        <f t="shared" si="172"/>
        <v/>
      </c>
      <c r="S315">
        <v>180</v>
      </c>
      <c r="U315" t="str">
        <f>IF(B315=1,MAX($U$2:$U314)+1,IF(AND($T315&lt;&gt;"",$T315=$T314),$U314,IF(B315="x",U314,"")))</f>
        <v/>
      </c>
      <c r="V315" t="str">
        <f>IF(C315=1,MAX($V$2:$V314)+1,IF(AND($T315&lt;&gt;"",$T315=$T314),$U314,IF(C315="x",V314,"")))</f>
        <v/>
      </c>
      <c r="W315" t="str">
        <f t="shared" si="146"/>
        <v>h</v>
      </c>
      <c r="X315">
        <v>87</v>
      </c>
      <c r="Y315" t="e">
        <f>IF(X315&lt;&gt;"",VLOOKUP(X315,game_rosters!$C$43:$E$64,3,FALSE))</f>
        <v>#N/A</v>
      </c>
      <c r="Z315" t="str" cm="1">
        <f t="array" ref="Z315">IFERROR(IF(_xlfn._xlws.FILTER(game_rosters!$J:$J,(game_rosters!$G:$G=events!$AN315)*(game_rosters!$J:$J=events!$X315))&gt;0,1,""),"")</f>
        <v/>
      </c>
      <c r="AA315">
        <f t="shared" si="147"/>
        <v>1180</v>
      </c>
      <c r="AB315" t="str">
        <f t="shared" si="148"/>
        <v/>
      </c>
      <c r="AC315">
        <f t="shared" si="145"/>
        <v>1180</v>
      </c>
      <c r="AD315" s="6">
        <v>1</v>
      </c>
      <c r="AE315" t="s">
        <v>754</v>
      </c>
      <c r="AF315" t="s">
        <v>912</v>
      </c>
      <c r="AG315" t="s">
        <v>756</v>
      </c>
      <c r="AH315" t="s">
        <v>756</v>
      </c>
      <c r="AI315" t="s">
        <v>368</v>
      </c>
      <c r="AJ315" t="str">
        <f t="shared" si="176"/>
        <v>o</v>
      </c>
      <c r="AK315" t="str">
        <f t="shared" si="176"/>
        <v>o</v>
      </c>
      <c r="AL315" t="str">
        <f t="shared" si="150"/>
        <v>o</v>
      </c>
      <c r="AN315" t="s">
        <v>861</v>
      </c>
      <c r="AO315" t="str">
        <f t="shared" si="151"/>
        <v>h</v>
      </c>
      <c r="AP315" t="str">
        <f t="shared" si="158"/>
        <v>o</v>
      </c>
      <c r="AQ315" t="str">
        <f t="shared" si="159"/>
        <v/>
      </c>
      <c r="AR315" t="str">
        <f t="shared" si="160"/>
        <v>Home</v>
      </c>
      <c r="AS315" t="str">
        <f t="shared" si="161"/>
        <v>h</v>
      </c>
      <c r="AT315" t="str">
        <f t="shared" si="162"/>
        <v>Defensive</v>
      </c>
      <c r="BA315" s="6">
        <f t="shared" si="152"/>
        <v>76</v>
      </c>
      <c r="BB315">
        <f t="shared" si="153"/>
        <v>18981</v>
      </c>
      <c r="BC315" t="str">
        <f t="shared" si="154"/>
        <v>Nelson</v>
      </c>
      <c r="BD315" t="str">
        <f t="shared" si="155"/>
        <v>Velodrome</v>
      </c>
      <c r="BE315" t="s">
        <v>238</v>
      </c>
      <c r="BF315" t="s">
        <v>174</v>
      </c>
      <c r="BG315" t="s">
        <v>87</v>
      </c>
      <c r="BI315" cm="1">
        <f t="array" ref="BI315">IFERROR(_xlfn._xlws.FILTER(shifts!A:A,(shifts!B:B=events!AD315)*(shifts!AG:AG&gt;=events!BK315)*(shifts!AH:AH&lt;=events!BL315)),BI314)</f>
        <v>15</v>
      </c>
      <c r="BJ315" s="15">
        <f t="shared" si="156"/>
        <v>0</v>
      </c>
      <c r="BK315">
        <f t="shared" si="163"/>
        <v>665</v>
      </c>
      <c r="BL315">
        <f t="shared" si="164"/>
        <v>665</v>
      </c>
      <c r="BM315" s="15">
        <f>SUMIFS(BJ$2:BJ315,K$2:K315,"=Intermission")+SUMIFS(BJ$2:BJ315,K$2:K315,"=Timeout")</f>
        <v>0</v>
      </c>
      <c r="BN315">
        <f t="shared" si="165"/>
        <v>0</v>
      </c>
      <c r="BO315" s="19">
        <f t="shared" si="166"/>
        <v>415</v>
      </c>
      <c r="BP315">
        <f t="shared" si="167"/>
        <v>410</v>
      </c>
      <c r="BQ315" s="17">
        <f t="shared" si="168"/>
        <v>415</v>
      </c>
      <c r="BR315" t="str">
        <f t="shared" si="169"/>
        <v>opp_team_player_1</v>
      </c>
      <c r="BS315">
        <f>COUNTIFS(S$3:S315,"="&amp;S315,AI$3:AI315,"="&amp;AI315)</f>
        <v>1</v>
      </c>
      <c r="BT315" t="str">
        <f>IFERROR(VLOOKUP(BB315&amp;BU315&amp;X315,game_rosters!U:W,3,FALSE),"")</f>
        <v>P100159</v>
      </c>
      <c r="BU315" t="str">
        <f t="shared" si="170"/>
        <v>Velodrome</v>
      </c>
    </row>
    <row r="316" spans="1:73" x14ac:dyDescent="0.2">
      <c r="A316">
        <f t="shared" si="157"/>
        <v>1</v>
      </c>
      <c r="E316" s="4"/>
      <c r="F316" s="43"/>
      <c r="G316" s="4"/>
      <c r="H316" s="46"/>
      <c r="J316" s="44" t="str">
        <f t="shared" si="171"/>
        <v/>
      </c>
      <c r="K316" t="s">
        <v>9</v>
      </c>
      <c r="L316" t="s">
        <v>173</v>
      </c>
      <c r="M316" t="s">
        <v>354</v>
      </c>
      <c r="N316" t="str">
        <f t="shared" si="174"/>
        <v>u</v>
      </c>
      <c r="Q316" t="str">
        <f t="shared" si="172"/>
        <v/>
      </c>
      <c r="S316">
        <v>181</v>
      </c>
      <c r="U316" t="str">
        <f>IF(B316=1,MAX($U$2:$U315)+1,IF(AND($T316&lt;&gt;"",$T316=$T315),$U315,IF(B316="x",U315,"")))</f>
        <v/>
      </c>
      <c r="V316" t="str">
        <f>IF(C316=1,MAX($V$2:$V315)+1,IF(AND($T316&lt;&gt;"",$T316=$T315),$U315,IF(C316="x",V315,"")))</f>
        <v/>
      </c>
      <c r="W316" t="str">
        <f t="shared" si="146"/>
        <v>h</v>
      </c>
      <c r="X316">
        <v>8</v>
      </c>
      <c r="Y316" t="b">
        <f>IF(X316&lt;&gt;"",VLOOKUP(X316,game_rosters!$C$43:$E$64,3,FALSE))</f>
        <v>0</v>
      </c>
      <c r="Z316" cm="1">
        <f t="array" ref="Z316">IFERROR(IF(_xlfn._xlws.FILTER(game_rosters!$J:$J,(game_rosters!$G:$G=events!$AN316)*(game_rosters!$J:$J=events!$X316))&gt;0,1,""),"")</f>
        <v>1</v>
      </c>
      <c r="AA316">
        <f t="shared" si="147"/>
        <v>1181</v>
      </c>
      <c r="AB316" t="str">
        <f t="shared" si="148"/>
        <v/>
      </c>
      <c r="AC316">
        <f t="shared" si="145"/>
        <v>1181</v>
      </c>
      <c r="AD316" s="6">
        <v>1</v>
      </c>
      <c r="AE316" t="s">
        <v>754</v>
      </c>
      <c r="AF316" t="s">
        <v>912</v>
      </c>
      <c r="AG316" t="s">
        <v>756</v>
      </c>
      <c r="AH316" t="s">
        <v>756</v>
      </c>
      <c r="AI316" t="s">
        <v>367</v>
      </c>
      <c r="AJ316" t="str">
        <f t="shared" si="176"/>
        <v/>
      </c>
      <c r="AK316" t="str">
        <f t="shared" si="176"/>
        <v/>
      </c>
      <c r="AL316" t="str">
        <f t="shared" si="150"/>
        <v/>
      </c>
      <c r="AN316" t="s">
        <v>861</v>
      </c>
      <c r="AO316" t="str">
        <f t="shared" si="151"/>
        <v>h</v>
      </c>
      <c r="AP316" t="str">
        <f t="shared" si="158"/>
        <v/>
      </c>
      <c r="AQ316" t="str">
        <f t="shared" si="159"/>
        <v/>
      </c>
      <c r="AR316" t="str">
        <f t="shared" si="160"/>
        <v>Home</v>
      </c>
      <c r="AS316" t="str">
        <f t="shared" si="161"/>
        <v>h</v>
      </c>
      <c r="AT316" t="str">
        <f t="shared" si="162"/>
        <v>Offensive</v>
      </c>
      <c r="BA316" s="6">
        <f t="shared" si="152"/>
        <v>76</v>
      </c>
      <c r="BB316">
        <f t="shared" si="153"/>
        <v>18981</v>
      </c>
      <c r="BC316" t="str">
        <f t="shared" si="154"/>
        <v>Nelson</v>
      </c>
      <c r="BD316" t="str">
        <f t="shared" si="155"/>
        <v>Velodrome</v>
      </c>
      <c r="BE316" t="s">
        <v>9</v>
      </c>
      <c r="BF316" t="s">
        <v>173</v>
      </c>
      <c r="BG316" t="s">
        <v>354</v>
      </c>
      <c r="BI316" cm="1">
        <f t="array" ref="BI316">IFERROR(_xlfn._xlws.FILTER(shifts!A:A,(shifts!B:B=events!AD316)*(shifts!AG:AG&gt;=events!BK316)*(shifts!AH:AH&lt;=events!BL316)),BI315)</f>
        <v>15</v>
      </c>
      <c r="BJ316" s="15">
        <f t="shared" si="156"/>
        <v>0</v>
      </c>
      <c r="BK316">
        <f t="shared" si="163"/>
        <v>665</v>
      </c>
      <c r="BL316">
        <f t="shared" si="164"/>
        <v>665</v>
      </c>
      <c r="BM316" s="15">
        <f>SUMIFS(BJ$2:BJ316,K$2:K316,"=Intermission")+SUMIFS(BJ$2:BJ316,K$2:K316,"=Timeout")</f>
        <v>0</v>
      </c>
      <c r="BN316">
        <f t="shared" si="165"/>
        <v>0</v>
      </c>
      <c r="BO316" s="19">
        <f t="shared" si="166"/>
        <v>415</v>
      </c>
      <c r="BP316">
        <f t="shared" si="167"/>
        <v>410</v>
      </c>
      <c r="BQ316" s="17">
        <f t="shared" si="168"/>
        <v>415</v>
      </c>
      <c r="BR316" t="str">
        <f t="shared" si="169"/>
        <v>event_team_player_1</v>
      </c>
      <c r="BS316">
        <f>COUNTIFS(S$3:S316,"="&amp;S316,AI$3:AI316,"="&amp;AI316)</f>
        <v>1</v>
      </c>
      <c r="BT316" t="str">
        <f>IFERROR(VLOOKUP(BB316&amp;BU316&amp;X316,game_rosters!U:W,3,FALSE),"")</f>
        <v>P100074</v>
      </c>
      <c r="BU316" t="str">
        <f t="shared" si="170"/>
        <v>Nelson</v>
      </c>
    </row>
    <row r="317" spans="1:73" x14ac:dyDescent="0.2">
      <c r="A317">
        <f t="shared" si="157"/>
        <v>1</v>
      </c>
      <c r="E317" s="4"/>
      <c r="F317" s="43"/>
      <c r="G317" s="4"/>
      <c r="H317" s="46"/>
      <c r="J317" s="44" t="str">
        <f t="shared" si="171"/>
        <v/>
      </c>
      <c r="K317" t="s">
        <v>7</v>
      </c>
      <c r="L317" t="s">
        <v>172</v>
      </c>
      <c r="M317" t="s">
        <v>67</v>
      </c>
      <c r="N317" t="str">
        <f t="shared" si="174"/>
        <v>s</v>
      </c>
      <c r="Q317" t="str">
        <f t="shared" si="172"/>
        <v/>
      </c>
      <c r="S317">
        <v>182</v>
      </c>
      <c r="U317" t="str">
        <f>IF(B317=1,MAX($U$2:$U316)+1,IF(AND($T317&lt;&gt;"",$T317=$T316),$U316,IF(B317="x",U316,"")))</f>
        <v/>
      </c>
      <c r="V317" t="str">
        <f>IF(C317=1,MAX($V$2:$V316)+1,IF(AND($T317&lt;&gt;"",$T317=$T316),$U316,IF(C317="x",V316,"")))</f>
        <v/>
      </c>
      <c r="W317" t="str">
        <f t="shared" si="146"/>
        <v>a</v>
      </c>
      <c r="X317">
        <v>52</v>
      </c>
      <c r="Y317" t="e">
        <f>IF(X317&lt;&gt;"",VLOOKUP(X317,game_rosters!$C$43:$E$64,3,FALSE))</f>
        <v>#N/A</v>
      </c>
      <c r="Z317" cm="1">
        <f t="array" ref="Z317">IFERROR(IF(_xlfn._xlws.FILTER(game_rosters!$J:$J,(game_rosters!$G:$G=events!$AN317)*(game_rosters!$J:$J=events!$X317))&gt;0,1,""),"")</f>
        <v>1</v>
      </c>
      <c r="AA317">
        <f t="shared" si="147"/>
        <v>1182</v>
      </c>
      <c r="AB317" t="str">
        <f t="shared" si="148"/>
        <v/>
      </c>
      <c r="AC317">
        <f t="shared" si="145"/>
        <v>1182</v>
      </c>
      <c r="AD317" s="6">
        <v>1</v>
      </c>
      <c r="AE317" t="s">
        <v>910</v>
      </c>
      <c r="AF317" t="s">
        <v>896</v>
      </c>
      <c r="AG317" t="s">
        <v>756</v>
      </c>
      <c r="AH317" t="s">
        <v>756</v>
      </c>
      <c r="AI317" t="s">
        <v>367</v>
      </c>
      <c r="AJ317" t="str">
        <f t="shared" si="176"/>
        <v/>
      </c>
      <c r="AK317" t="str">
        <f t="shared" si="176"/>
        <v/>
      </c>
      <c r="AL317" t="str">
        <f t="shared" si="150"/>
        <v/>
      </c>
      <c r="AN317" t="s">
        <v>862</v>
      </c>
      <c r="AO317" t="str">
        <f t="shared" si="151"/>
        <v>a</v>
      </c>
      <c r="AP317" t="str">
        <f t="shared" si="158"/>
        <v/>
      </c>
      <c r="AQ317" t="str">
        <f t="shared" si="159"/>
        <v/>
      </c>
      <c r="AR317" t="str">
        <f t="shared" si="160"/>
        <v>Away</v>
      </c>
      <c r="AS317" t="str">
        <f t="shared" si="161"/>
        <v>a</v>
      </c>
      <c r="AT317" t="str">
        <f t="shared" si="162"/>
        <v>Offensive</v>
      </c>
      <c r="BA317" s="6">
        <f t="shared" si="152"/>
        <v>76</v>
      </c>
      <c r="BB317">
        <f t="shared" si="153"/>
        <v>18981</v>
      </c>
      <c r="BC317" t="str">
        <f t="shared" si="154"/>
        <v>Nelson</v>
      </c>
      <c r="BD317" t="str">
        <f t="shared" si="155"/>
        <v>Velodrome</v>
      </c>
      <c r="BE317" t="s">
        <v>7</v>
      </c>
      <c r="BF317" t="s">
        <v>172</v>
      </c>
      <c r="BG317" t="s">
        <v>67</v>
      </c>
      <c r="BI317" cm="1">
        <f t="array" ref="BI317">IFERROR(_xlfn._xlws.FILTER(shifts!A:A,(shifts!B:B=events!AD317)*(shifts!AG:AG&gt;=events!BK317)*(shifts!AH:AH&lt;=events!BL317)),BI316)</f>
        <v>16</v>
      </c>
      <c r="BJ317" s="15">
        <f t="shared" si="156"/>
        <v>0</v>
      </c>
      <c r="BK317">
        <f t="shared" si="163"/>
        <v>659</v>
      </c>
      <c r="BL317">
        <f t="shared" si="164"/>
        <v>659</v>
      </c>
      <c r="BM317" s="15">
        <f>SUMIFS(BJ$2:BJ317,K$2:K317,"=Intermission")+SUMIFS(BJ$2:BJ317,K$2:K317,"=Timeout")</f>
        <v>0</v>
      </c>
      <c r="BN317">
        <f t="shared" si="165"/>
        <v>0</v>
      </c>
      <c r="BO317" s="19">
        <f t="shared" si="166"/>
        <v>421</v>
      </c>
      <c r="BP317">
        <f t="shared" si="167"/>
        <v>416</v>
      </c>
      <c r="BQ317" s="17">
        <f t="shared" si="168"/>
        <v>421</v>
      </c>
      <c r="BR317" t="str">
        <f t="shared" si="169"/>
        <v>event_team_player_1</v>
      </c>
      <c r="BS317">
        <f>COUNTIFS(S$3:S317,"="&amp;S317,AI$3:AI317,"="&amp;AI317)</f>
        <v>1</v>
      </c>
      <c r="BT317" t="str">
        <f>IFERROR(VLOOKUP(BB317&amp;BU317&amp;X317,game_rosters!U:W,3,FALSE),"")</f>
        <v>P100070</v>
      </c>
      <c r="BU317" t="str">
        <f t="shared" si="170"/>
        <v>Velodrome</v>
      </c>
    </row>
    <row r="318" spans="1:73" x14ac:dyDescent="0.2">
      <c r="A318">
        <f t="shared" si="157"/>
        <v>1</v>
      </c>
      <c r="E318" s="4"/>
      <c r="F318" s="43"/>
      <c r="G318" s="4"/>
      <c r="H318" s="46"/>
      <c r="J318" s="44" t="str">
        <f t="shared" si="171"/>
        <v/>
      </c>
      <c r="K318" t="s">
        <v>7</v>
      </c>
      <c r="L318" t="s">
        <v>172</v>
      </c>
      <c r="M318" t="s">
        <v>67</v>
      </c>
      <c r="N318" t="str">
        <f t="shared" si="174"/>
        <v>s</v>
      </c>
      <c r="Q318" t="str">
        <f t="shared" si="172"/>
        <v/>
      </c>
      <c r="S318">
        <v>182</v>
      </c>
      <c r="U318" t="str">
        <f>IF(B318=1,MAX($U$2:$U317)+1,IF(AND($T318&lt;&gt;"",$T318=$T317),$U317,IF(B318="x",U317,"")))</f>
        <v/>
      </c>
      <c r="V318" t="str">
        <f>IF(C318=1,MAX($V$2:$V317)+1,IF(AND($T318&lt;&gt;"",$T318=$T317),$U317,IF(C318="x",V317,"")))</f>
        <v/>
      </c>
      <c r="W318" t="str">
        <f t="shared" si="146"/>
        <v>a</v>
      </c>
      <c r="X318">
        <v>22</v>
      </c>
      <c r="Y318" t="e">
        <f>IF(X318&lt;&gt;"",VLOOKUP(X318,game_rosters!$C$43:$E$64,3,FALSE))</f>
        <v>#N/A</v>
      </c>
      <c r="Z318" cm="1">
        <f t="array" ref="Z318">IFERROR(IF(_xlfn._xlws.FILTER(game_rosters!$J:$J,(game_rosters!$G:$G=events!$AN318)*(game_rosters!$J:$J=events!$X318))&gt;0,1,""),"")</f>
        <v>1</v>
      </c>
      <c r="AA318">
        <f t="shared" si="147"/>
        <v>1182</v>
      </c>
      <c r="AB318" t="str">
        <f t="shared" si="148"/>
        <v/>
      </c>
      <c r="AC318">
        <f t="shared" si="145"/>
        <v>1182</v>
      </c>
      <c r="AD318" s="6">
        <v>1</v>
      </c>
      <c r="AE318" t="s">
        <v>910</v>
      </c>
      <c r="AF318" t="s">
        <v>896</v>
      </c>
      <c r="AG318" t="s">
        <v>756</v>
      </c>
      <c r="AH318" t="s">
        <v>756</v>
      </c>
      <c r="AI318" t="s">
        <v>367</v>
      </c>
      <c r="AJ318" t="str">
        <f t="shared" si="176"/>
        <v/>
      </c>
      <c r="AK318" t="str">
        <f t="shared" si="176"/>
        <v/>
      </c>
      <c r="AL318" t="str">
        <f t="shared" si="150"/>
        <v/>
      </c>
      <c r="AN318" t="s">
        <v>862</v>
      </c>
      <c r="AO318" t="str">
        <f t="shared" si="151"/>
        <v>a</v>
      </c>
      <c r="AP318" t="str">
        <f t="shared" si="158"/>
        <v/>
      </c>
      <c r="AQ318" t="str">
        <f t="shared" si="159"/>
        <v/>
      </c>
      <c r="AR318" t="str">
        <f t="shared" si="160"/>
        <v>Away</v>
      </c>
      <c r="AS318" t="str">
        <f t="shared" si="161"/>
        <v>a</v>
      </c>
      <c r="AT318" t="str">
        <f t="shared" si="162"/>
        <v>Offensive</v>
      </c>
      <c r="BA318" s="6">
        <f t="shared" si="152"/>
        <v>76</v>
      </c>
      <c r="BB318">
        <f t="shared" si="153"/>
        <v>18981</v>
      </c>
      <c r="BC318" t="str">
        <f t="shared" si="154"/>
        <v>Nelson</v>
      </c>
      <c r="BD318" t="str">
        <f t="shared" si="155"/>
        <v>Velodrome</v>
      </c>
      <c r="BE318" t="s">
        <v>7</v>
      </c>
      <c r="BF318" t="s">
        <v>172</v>
      </c>
      <c r="BG318" t="s">
        <v>67</v>
      </c>
      <c r="BI318" cm="1">
        <f t="array" ref="BI318">IFERROR(_xlfn._xlws.FILTER(shifts!A:A,(shifts!B:B=events!AD318)*(shifts!AG:AG&gt;=events!BK318)*(shifts!AH:AH&lt;=events!BL318)),BI317)</f>
        <v>16</v>
      </c>
      <c r="BJ318" s="15">
        <f t="shared" si="156"/>
        <v>0</v>
      </c>
      <c r="BK318">
        <f t="shared" si="163"/>
        <v>659</v>
      </c>
      <c r="BL318">
        <f t="shared" si="164"/>
        <v>659</v>
      </c>
      <c r="BM318" s="15">
        <f>SUMIFS(BJ$2:BJ318,K$2:K318,"=Intermission")+SUMIFS(BJ$2:BJ318,K$2:K318,"=Timeout")</f>
        <v>0</v>
      </c>
      <c r="BN318">
        <f t="shared" si="165"/>
        <v>0</v>
      </c>
      <c r="BO318" s="19">
        <f t="shared" si="166"/>
        <v>421</v>
      </c>
      <c r="BP318">
        <f t="shared" si="167"/>
        <v>416</v>
      </c>
      <c r="BQ318" s="17">
        <f t="shared" si="168"/>
        <v>421</v>
      </c>
      <c r="BR318" t="str">
        <f t="shared" si="169"/>
        <v>event_team_player_2</v>
      </c>
      <c r="BS318">
        <f>COUNTIFS(S$3:S318,"="&amp;S318,AI$3:AI318,"="&amp;AI318)</f>
        <v>2</v>
      </c>
      <c r="BT318" t="str">
        <f>IFERROR(VLOOKUP(BB318&amp;BU318&amp;X318,game_rosters!U:W,3,FALSE),"")</f>
        <v>P100108</v>
      </c>
      <c r="BU318" t="str">
        <f t="shared" si="170"/>
        <v>Velodrome</v>
      </c>
    </row>
    <row r="319" spans="1:73" x14ac:dyDescent="0.2">
      <c r="A319">
        <f t="shared" si="157"/>
        <v>1</v>
      </c>
      <c r="E319" s="4"/>
      <c r="F319" s="43"/>
      <c r="G319" s="4"/>
      <c r="H319" s="46"/>
      <c r="J319" s="44" t="str">
        <f t="shared" si="171"/>
        <v/>
      </c>
      <c r="K319" t="s">
        <v>7</v>
      </c>
      <c r="L319" t="s">
        <v>172</v>
      </c>
      <c r="M319" t="s">
        <v>67</v>
      </c>
      <c r="N319" t="str">
        <f t="shared" si="174"/>
        <v>s</v>
      </c>
      <c r="Q319" t="str">
        <f t="shared" si="172"/>
        <v/>
      </c>
      <c r="S319">
        <v>182</v>
      </c>
      <c r="U319" t="str">
        <f>IF(B319=1,MAX($U$2:$U318)+1,IF(AND($T319&lt;&gt;"",$T319=$T318),$U318,IF(B319="x",U318,"")))</f>
        <v/>
      </c>
      <c r="V319" t="str">
        <f>IF(C319=1,MAX($V$2:$V318)+1,IF(AND($T319&lt;&gt;"",$T319=$T318),$U318,IF(C319="x",V318,"")))</f>
        <v/>
      </c>
      <c r="W319" t="str">
        <f t="shared" si="146"/>
        <v>a</v>
      </c>
      <c r="X319">
        <v>8</v>
      </c>
      <c r="Y319" t="b">
        <f>IF(X319&lt;&gt;"",VLOOKUP(X319,game_rosters!$C$43:$E$64,3,FALSE))</f>
        <v>0</v>
      </c>
      <c r="Z319" t="str" cm="1">
        <f t="array" ref="Z319">IFERROR(IF(_xlfn._xlws.FILTER(game_rosters!$J:$J,(game_rosters!$G:$G=events!$AN319)*(game_rosters!$J:$J=events!$X319))&gt;0,1,""),"")</f>
        <v/>
      </c>
      <c r="AA319">
        <f t="shared" si="147"/>
        <v>1182</v>
      </c>
      <c r="AB319" t="str">
        <f t="shared" si="148"/>
        <v/>
      </c>
      <c r="AC319">
        <f t="shared" si="145"/>
        <v>1182</v>
      </c>
      <c r="AD319" s="6">
        <v>1</v>
      </c>
      <c r="AE319" t="s">
        <v>910</v>
      </c>
      <c r="AF319" t="s">
        <v>896</v>
      </c>
      <c r="AG319" t="s">
        <v>756</v>
      </c>
      <c r="AH319" t="s">
        <v>756</v>
      </c>
      <c r="AI319" t="s">
        <v>368</v>
      </c>
      <c r="AJ319" t="str">
        <f t="shared" si="176"/>
        <v/>
      </c>
      <c r="AK319" t="str">
        <f t="shared" si="176"/>
        <v/>
      </c>
      <c r="AL319" t="str">
        <f t="shared" si="150"/>
        <v/>
      </c>
      <c r="AN319" t="s">
        <v>862</v>
      </c>
      <c r="AO319" t="str">
        <f t="shared" si="151"/>
        <v>a</v>
      </c>
      <c r="AP319" t="str">
        <f t="shared" si="158"/>
        <v/>
      </c>
      <c r="AQ319" t="str">
        <f t="shared" si="159"/>
        <v/>
      </c>
      <c r="AR319" t="str">
        <f t="shared" si="160"/>
        <v>Away</v>
      </c>
      <c r="AS319" t="str">
        <f t="shared" si="161"/>
        <v>a</v>
      </c>
      <c r="AT319" t="str">
        <f t="shared" si="162"/>
        <v>Defensive</v>
      </c>
      <c r="BA319" s="6">
        <f t="shared" si="152"/>
        <v>76</v>
      </c>
      <c r="BB319">
        <f t="shared" si="153"/>
        <v>18981</v>
      </c>
      <c r="BC319" t="str">
        <f t="shared" si="154"/>
        <v>Nelson</v>
      </c>
      <c r="BD319" t="str">
        <f t="shared" si="155"/>
        <v>Velodrome</v>
      </c>
      <c r="BE319" t="s">
        <v>7</v>
      </c>
      <c r="BF319" t="s">
        <v>172</v>
      </c>
      <c r="BG319" t="s">
        <v>67</v>
      </c>
      <c r="BI319" cm="1">
        <f t="array" ref="BI319">IFERROR(_xlfn._xlws.FILTER(shifts!A:A,(shifts!B:B=events!AD319)*(shifts!AG:AG&gt;=events!BK319)*(shifts!AH:AH&lt;=events!BL319)),BI318)</f>
        <v>16</v>
      </c>
      <c r="BJ319" s="15">
        <f t="shared" si="156"/>
        <v>0</v>
      </c>
      <c r="BK319">
        <f t="shared" si="163"/>
        <v>659</v>
      </c>
      <c r="BL319">
        <f t="shared" si="164"/>
        <v>659</v>
      </c>
      <c r="BM319" s="15">
        <f>SUMIFS(BJ$2:BJ319,K$2:K319,"=Intermission")+SUMIFS(BJ$2:BJ319,K$2:K319,"=Timeout")</f>
        <v>0</v>
      </c>
      <c r="BN319">
        <f t="shared" si="165"/>
        <v>0</v>
      </c>
      <c r="BO319" s="19">
        <f t="shared" si="166"/>
        <v>421</v>
      </c>
      <c r="BP319">
        <f t="shared" si="167"/>
        <v>416</v>
      </c>
      <c r="BQ319" s="17">
        <f t="shared" si="168"/>
        <v>421</v>
      </c>
      <c r="BR319" t="str">
        <f t="shared" si="169"/>
        <v>opp_team_player_1</v>
      </c>
      <c r="BS319">
        <f>COUNTIFS(S$3:S319,"="&amp;S319,AI$3:AI319,"="&amp;AI319)</f>
        <v>1</v>
      </c>
      <c r="BT319" t="str">
        <f>IFERROR(VLOOKUP(BB319&amp;BU319&amp;X319,game_rosters!U:W,3,FALSE),"")</f>
        <v>P100074</v>
      </c>
      <c r="BU319" t="str">
        <f t="shared" si="170"/>
        <v>Nelson</v>
      </c>
    </row>
    <row r="320" spans="1:73" x14ac:dyDescent="0.2">
      <c r="A320">
        <f t="shared" si="157"/>
        <v>1</v>
      </c>
      <c r="E320" s="4"/>
      <c r="F320" s="43"/>
      <c r="G320" s="4"/>
      <c r="H320" s="46"/>
      <c r="J320" s="44" t="str">
        <f t="shared" si="171"/>
        <v/>
      </c>
      <c r="K320" t="s">
        <v>13</v>
      </c>
      <c r="L320" t="s">
        <v>756</v>
      </c>
      <c r="M320" t="s">
        <v>756</v>
      </c>
      <c r="N320" t="str">
        <f t="shared" si="174"/>
        <v/>
      </c>
      <c r="Q320" t="str">
        <f t="shared" si="172"/>
        <v/>
      </c>
      <c r="S320">
        <v>183</v>
      </c>
      <c r="U320" t="str">
        <f>IF(B320=1,MAX($U$2:$U319)+1,IF(AND($T320&lt;&gt;"",$T320=$T319),$U319,IF(B320="x",U319,"")))</f>
        <v/>
      </c>
      <c r="V320" t="str">
        <f>IF(C320=1,MAX($V$2:$V319)+1,IF(AND($T320&lt;&gt;"",$T320=$T319),$U319,IF(C320="x",V319,"")))</f>
        <v/>
      </c>
      <c r="W320" t="str">
        <f t="shared" si="146"/>
        <v>a</v>
      </c>
      <c r="X320">
        <v>22</v>
      </c>
      <c r="Y320" t="e">
        <f>IF(X320&lt;&gt;"",VLOOKUP(X320,game_rosters!$C$43:$E$64,3,FALSE))</f>
        <v>#N/A</v>
      </c>
      <c r="Z320" cm="1">
        <f t="array" ref="Z320">IFERROR(IF(_xlfn._xlws.FILTER(game_rosters!$J:$J,(game_rosters!$G:$G=events!$AN320)*(game_rosters!$J:$J=events!$X320))&gt;0,1,""),"")</f>
        <v>1</v>
      </c>
      <c r="AA320">
        <f t="shared" si="147"/>
        <v>1183</v>
      </c>
      <c r="AB320" t="str">
        <f t="shared" si="148"/>
        <v/>
      </c>
      <c r="AC320">
        <f t="shared" si="145"/>
        <v>1183</v>
      </c>
      <c r="AD320" s="6">
        <v>1</v>
      </c>
      <c r="AE320" t="s">
        <v>910</v>
      </c>
      <c r="AF320" t="s">
        <v>896</v>
      </c>
      <c r="AG320" t="s">
        <v>910</v>
      </c>
      <c r="AH320" t="s">
        <v>733</v>
      </c>
      <c r="AI320" t="s">
        <v>367</v>
      </c>
      <c r="AJ320" t="str">
        <f t="shared" si="176"/>
        <v/>
      </c>
      <c r="AK320" t="str">
        <f t="shared" si="176"/>
        <v/>
      </c>
      <c r="AL320" t="str">
        <f t="shared" si="150"/>
        <v/>
      </c>
      <c r="AN320" t="s">
        <v>862</v>
      </c>
      <c r="AO320" t="str">
        <f t="shared" si="151"/>
        <v>a</v>
      </c>
      <c r="AP320" t="str">
        <f t="shared" si="158"/>
        <v/>
      </c>
      <c r="AQ320" t="str">
        <f t="shared" si="159"/>
        <v/>
      </c>
      <c r="AR320" t="str">
        <f t="shared" si="160"/>
        <v>Away</v>
      </c>
      <c r="AS320" t="str">
        <f t="shared" si="161"/>
        <v>a</v>
      </c>
      <c r="AT320" t="str">
        <f t="shared" si="162"/>
        <v>Offensive</v>
      </c>
      <c r="BA320" s="6">
        <f t="shared" si="152"/>
        <v>76</v>
      </c>
      <c r="BB320">
        <f t="shared" si="153"/>
        <v>18981</v>
      </c>
      <c r="BC320" t="str">
        <f t="shared" si="154"/>
        <v>Nelson</v>
      </c>
      <c r="BD320" t="str">
        <f t="shared" si="155"/>
        <v>Velodrome</v>
      </c>
      <c r="BE320" t="s">
        <v>13</v>
      </c>
      <c r="BF320" t="s">
        <v>756</v>
      </c>
      <c r="BG320" t="s">
        <v>756</v>
      </c>
      <c r="BI320" cm="1">
        <f t="array" ref="BI320">IFERROR(_xlfn._xlws.FILTER(shifts!A:A,(shifts!B:B=events!AD320)*(shifts!AG:AG&gt;=events!BK320)*(shifts!AH:AH&lt;=events!BL320)),BI319)</f>
        <v>16</v>
      </c>
      <c r="BJ320" s="15">
        <f t="shared" si="156"/>
        <v>3</v>
      </c>
      <c r="BK320">
        <f t="shared" si="163"/>
        <v>659</v>
      </c>
      <c r="BL320">
        <f t="shared" si="164"/>
        <v>656</v>
      </c>
      <c r="BM320" s="15">
        <f>SUMIFS(BJ$2:BJ320,K$2:K320,"=Intermission")+SUMIFS(BJ$2:BJ320,K$2:K320,"=Timeout")</f>
        <v>0</v>
      </c>
      <c r="BN320">
        <f t="shared" si="165"/>
        <v>0</v>
      </c>
      <c r="BO320" s="19">
        <f t="shared" si="166"/>
        <v>421</v>
      </c>
      <c r="BP320">
        <f t="shared" si="167"/>
        <v>416</v>
      </c>
      <c r="BQ320" s="17">
        <f t="shared" si="168"/>
        <v>424</v>
      </c>
      <c r="BR320" t="str">
        <f t="shared" si="169"/>
        <v>event_team_player_1</v>
      </c>
      <c r="BS320">
        <f>COUNTIFS(S$3:S320,"="&amp;S320,AI$3:AI320,"="&amp;AI320)</f>
        <v>1</v>
      </c>
      <c r="BT320" t="str">
        <f>IFERROR(VLOOKUP(BB320&amp;BU320&amp;X320,game_rosters!U:W,3,FALSE),"")</f>
        <v>P100108</v>
      </c>
      <c r="BU320" t="str">
        <f t="shared" si="170"/>
        <v>Velodrome</v>
      </c>
    </row>
    <row r="321" spans="1:73" x14ac:dyDescent="0.2">
      <c r="A321">
        <f t="shared" si="157"/>
        <v>1</v>
      </c>
      <c r="E321" s="4"/>
      <c r="F321" s="43"/>
      <c r="G321" s="4"/>
      <c r="H321" s="46"/>
      <c r="J321" s="44" t="str">
        <f t="shared" si="171"/>
        <v/>
      </c>
      <c r="K321" t="s">
        <v>7</v>
      </c>
      <c r="L321" t="s">
        <v>172</v>
      </c>
      <c r="M321" t="s">
        <v>68</v>
      </c>
      <c r="N321" t="str">
        <f t="shared" si="174"/>
        <v>s</v>
      </c>
      <c r="Q321" t="str">
        <f t="shared" si="172"/>
        <v/>
      </c>
      <c r="S321">
        <v>184</v>
      </c>
      <c r="U321" t="str">
        <f>IF(B321=1,MAX($U$2:$U320)+1,IF(AND($T321&lt;&gt;"",$T321=$T320),$U320,IF(B321="x",U320,"")))</f>
        <v/>
      </c>
      <c r="V321" t="str">
        <f>IF(C321=1,MAX($V$2:$V320)+1,IF(AND($T321&lt;&gt;"",$T321=$T320),$U320,IF(C321="x",V320,"")))</f>
        <v/>
      </c>
      <c r="W321" t="str">
        <f t="shared" si="146"/>
        <v>a</v>
      </c>
      <c r="X321">
        <v>22</v>
      </c>
      <c r="Y321" t="e">
        <f>IF(X321&lt;&gt;"",VLOOKUP(X321,game_rosters!$C$43:$E$64,3,FALSE))</f>
        <v>#N/A</v>
      </c>
      <c r="Z321" cm="1">
        <f t="array" ref="Z321">IFERROR(IF(_xlfn._xlws.FILTER(game_rosters!$J:$J,(game_rosters!$G:$G=events!$AN321)*(game_rosters!$J:$J=events!$X321))&gt;0,1,""),"")</f>
        <v>1</v>
      </c>
      <c r="AA321">
        <f t="shared" si="147"/>
        <v>1184</v>
      </c>
      <c r="AB321" t="str">
        <f t="shared" si="148"/>
        <v/>
      </c>
      <c r="AC321">
        <f t="shared" si="145"/>
        <v>1184</v>
      </c>
      <c r="AD321" s="6">
        <v>1</v>
      </c>
      <c r="AE321" t="s">
        <v>910</v>
      </c>
      <c r="AF321" t="s">
        <v>733</v>
      </c>
      <c r="AG321" t="s">
        <v>756</v>
      </c>
      <c r="AH321" t="s">
        <v>756</v>
      </c>
      <c r="AI321" t="s">
        <v>367</v>
      </c>
      <c r="AJ321" t="str">
        <f t="shared" si="176"/>
        <v/>
      </c>
      <c r="AK321" t="str">
        <f t="shared" si="176"/>
        <v/>
      </c>
      <c r="AL321" t="str">
        <f t="shared" si="150"/>
        <v/>
      </c>
      <c r="AN321" t="s">
        <v>862</v>
      </c>
      <c r="AO321" t="str">
        <f t="shared" si="151"/>
        <v>a</v>
      </c>
      <c r="AP321" t="str">
        <f t="shared" si="158"/>
        <v/>
      </c>
      <c r="AQ321" t="str">
        <f t="shared" si="159"/>
        <v/>
      </c>
      <c r="AR321" t="str">
        <f t="shared" si="160"/>
        <v>Away</v>
      </c>
      <c r="AS321" t="str">
        <f t="shared" si="161"/>
        <v>a</v>
      </c>
      <c r="AT321" t="str">
        <f t="shared" si="162"/>
        <v>Offensive</v>
      </c>
      <c r="BA321" s="6">
        <f t="shared" si="152"/>
        <v>76</v>
      </c>
      <c r="BB321">
        <f t="shared" si="153"/>
        <v>18981</v>
      </c>
      <c r="BC321" t="str">
        <f t="shared" si="154"/>
        <v>Nelson</v>
      </c>
      <c r="BD321" t="str">
        <f t="shared" si="155"/>
        <v>Velodrome</v>
      </c>
      <c r="BE321" t="s">
        <v>7</v>
      </c>
      <c r="BF321" t="s">
        <v>172</v>
      </c>
      <c r="BG321" t="s">
        <v>68</v>
      </c>
      <c r="BI321" cm="1">
        <f t="array" ref="BI321">IFERROR(_xlfn._xlws.FILTER(shifts!A:A,(shifts!B:B=events!AD321)*(shifts!AG:AG&gt;=events!BK321)*(shifts!AH:AH&lt;=events!BL321)),BI320)</f>
        <v>16</v>
      </c>
      <c r="BJ321" s="15">
        <f t="shared" si="156"/>
        <v>0</v>
      </c>
      <c r="BK321">
        <f t="shared" si="163"/>
        <v>656</v>
      </c>
      <c r="BL321">
        <f t="shared" si="164"/>
        <v>656</v>
      </c>
      <c r="BM321" s="15">
        <f>SUMIFS(BJ$2:BJ321,K$2:K321,"=Intermission")+SUMIFS(BJ$2:BJ321,K$2:K321,"=Timeout")</f>
        <v>0</v>
      </c>
      <c r="BN321">
        <f t="shared" si="165"/>
        <v>0</v>
      </c>
      <c r="BO321" s="19">
        <f t="shared" si="166"/>
        <v>424</v>
      </c>
      <c r="BP321">
        <f t="shared" si="167"/>
        <v>419</v>
      </c>
      <c r="BQ321" s="17">
        <f t="shared" si="168"/>
        <v>424</v>
      </c>
      <c r="BR321" t="str">
        <f t="shared" si="169"/>
        <v>event_team_player_1</v>
      </c>
      <c r="BS321">
        <f>COUNTIFS(S$3:S321,"="&amp;S321,AI$3:AI321,"="&amp;AI321)</f>
        <v>1</v>
      </c>
      <c r="BT321" t="str">
        <f>IFERROR(VLOOKUP(BB321&amp;BU321&amp;X321,game_rosters!U:W,3,FALSE),"")</f>
        <v>P100108</v>
      </c>
      <c r="BU321" t="str">
        <f t="shared" si="170"/>
        <v>Velodrome</v>
      </c>
    </row>
    <row r="322" spans="1:73" x14ac:dyDescent="0.2">
      <c r="A322">
        <f t="shared" si="157"/>
        <v>1</v>
      </c>
      <c r="E322" s="4"/>
      <c r="F322" s="43"/>
      <c r="G322" s="4"/>
      <c r="H322" s="46"/>
      <c r="J322" s="44" t="str">
        <f t="shared" si="171"/>
        <v/>
      </c>
      <c r="K322" t="s">
        <v>7</v>
      </c>
      <c r="L322" t="s">
        <v>172</v>
      </c>
      <c r="M322" t="s">
        <v>68</v>
      </c>
      <c r="N322" t="str">
        <f t="shared" si="174"/>
        <v>s</v>
      </c>
      <c r="Q322" t="str">
        <f t="shared" si="172"/>
        <v/>
      </c>
      <c r="S322">
        <v>184</v>
      </c>
      <c r="U322" t="str">
        <f>IF(B322=1,MAX($U$2:$U321)+1,IF(AND($T322&lt;&gt;"",$T322=$T321),$U321,IF(B322="x",U321,"")))</f>
        <v/>
      </c>
      <c r="V322" t="str">
        <f>IF(C322=1,MAX($V$2:$V321)+1,IF(AND($T322&lt;&gt;"",$T322=$T321),$U321,IF(C322="x",V321,"")))</f>
        <v/>
      </c>
      <c r="W322" t="str">
        <f t="shared" si="146"/>
        <v>a</v>
      </c>
      <c r="X322">
        <v>70</v>
      </c>
      <c r="Y322" t="e">
        <f>IF(X322&lt;&gt;"",VLOOKUP(X322,game_rosters!$C$43:$E$64,3,FALSE))</f>
        <v>#N/A</v>
      </c>
      <c r="Z322" cm="1">
        <f t="array" ref="Z322">IFERROR(IF(_xlfn._xlws.FILTER(game_rosters!$J:$J,(game_rosters!$G:$G=events!$AN322)*(game_rosters!$J:$J=events!$X322))&gt;0,1,""),"")</f>
        <v>1</v>
      </c>
      <c r="AA322">
        <f t="shared" si="147"/>
        <v>1184</v>
      </c>
      <c r="AB322" t="str">
        <f t="shared" si="148"/>
        <v/>
      </c>
      <c r="AC322">
        <f t="shared" ref="AC322:AC385" si="177">IF(AB322&lt;&gt;"",AB322,S322+1000)</f>
        <v>1184</v>
      </c>
      <c r="AD322" s="6">
        <v>1</v>
      </c>
      <c r="AE322" t="s">
        <v>910</v>
      </c>
      <c r="AF322" t="s">
        <v>733</v>
      </c>
      <c r="AG322" t="s">
        <v>756</v>
      </c>
      <c r="AH322" t="s">
        <v>756</v>
      </c>
      <c r="AI322" t="s">
        <v>367</v>
      </c>
      <c r="AJ322" t="str">
        <f t="shared" si="176"/>
        <v/>
      </c>
      <c r="AK322" t="str">
        <f t="shared" si="176"/>
        <v/>
      </c>
      <c r="AL322" t="str">
        <f t="shared" si="150"/>
        <v/>
      </c>
      <c r="AN322" t="s">
        <v>862</v>
      </c>
      <c r="AO322" t="str">
        <f t="shared" si="151"/>
        <v>a</v>
      </c>
      <c r="AP322" t="str">
        <f t="shared" si="158"/>
        <v/>
      </c>
      <c r="AQ322" t="str">
        <f t="shared" si="159"/>
        <v/>
      </c>
      <c r="AR322" t="str">
        <f t="shared" si="160"/>
        <v>Away</v>
      </c>
      <c r="AS322" t="str">
        <f t="shared" si="161"/>
        <v>a</v>
      </c>
      <c r="AT322" t="str">
        <f t="shared" si="162"/>
        <v>Offensive</v>
      </c>
      <c r="BA322" s="6">
        <f t="shared" si="152"/>
        <v>76</v>
      </c>
      <c r="BB322">
        <f t="shared" si="153"/>
        <v>18981</v>
      </c>
      <c r="BC322" t="str">
        <f t="shared" si="154"/>
        <v>Nelson</v>
      </c>
      <c r="BD322" t="str">
        <f t="shared" si="155"/>
        <v>Velodrome</v>
      </c>
      <c r="BE322" t="s">
        <v>7</v>
      </c>
      <c r="BF322" t="s">
        <v>172</v>
      </c>
      <c r="BG322" t="s">
        <v>68</v>
      </c>
      <c r="BI322" cm="1">
        <f t="array" ref="BI322">IFERROR(_xlfn._xlws.FILTER(shifts!A:A,(shifts!B:B=events!AD322)*(shifts!AG:AG&gt;=events!BK322)*(shifts!AH:AH&lt;=events!BL322)),BI321)</f>
        <v>16</v>
      </c>
      <c r="BJ322" s="15">
        <f t="shared" si="156"/>
        <v>0</v>
      </c>
      <c r="BK322">
        <f t="shared" si="163"/>
        <v>656</v>
      </c>
      <c r="BL322">
        <f t="shared" si="164"/>
        <v>656</v>
      </c>
      <c r="BM322" s="15">
        <f>SUMIFS(BJ$2:BJ322,K$2:K322,"=Intermission")+SUMIFS(BJ$2:BJ322,K$2:K322,"=Timeout")</f>
        <v>0</v>
      </c>
      <c r="BN322">
        <f t="shared" si="165"/>
        <v>0</v>
      </c>
      <c r="BO322" s="19">
        <f t="shared" si="166"/>
        <v>424</v>
      </c>
      <c r="BP322">
        <f t="shared" si="167"/>
        <v>419</v>
      </c>
      <c r="BQ322" s="17">
        <f t="shared" si="168"/>
        <v>424</v>
      </c>
      <c r="BR322" t="str">
        <f t="shared" si="169"/>
        <v>event_team_player_2</v>
      </c>
      <c r="BS322">
        <f>COUNTIFS(S$3:S322,"="&amp;S322,AI$3:AI322,"="&amp;AI322)</f>
        <v>2</v>
      </c>
      <c r="BT322" t="str">
        <f>IFERROR(VLOOKUP(BB322&amp;BU322&amp;X322,game_rosters!U:W,3,FALSE),"")</f>
        <v>P100001</v>
      </c>
      <c r="BU322" t="str">
        <f t="shared" si="170"/>
        <v>Velodrome</v>
      </c>
    </row>
    <row r="323" spans="1:73" x14ac:dyDescent="0.2">
      <c r="A323">
        <f t="shared" si="157"/>
        <v>1</v>
      </c>
      <c r="E323" s="4"/>
      <c r="F323" s="43"/>
      <c r="G323" s="4"/>
      <c r="H323" s="46"/>
      <c r="J323" s="44" t="str">
        <f t="shared" si="171"/>
        <v/>
      </c>
      <c r="K323" t="s">
        <v>13</v>
      </c>
      <c r="L323" t="s">
        <v>756</v>
      </c>
      <c r="M323" t="s">
        <v>756</v>
      </c>
      <c r="N323" t="str">
        <f t="shared" si="174"/>
        <v/>
      </c>
      <c r="Q323" t="str">
        <f t="shared" si="172"/>
        <v/>
      </c>
      <c r="S323">
        <v>185</v>
      </c>
      <c r="U323" t="str">
        <f>IF(B323=1,MAX($U$2:$U322)+1,IF(AND($T323&lt;&gt;"",$T323=$T322),$U322,IF(B323="x",U322,"")))</f>
        <v/>
      </c>
      <c r="V323" t="str">
        <f>IF(C323=1,MAX($V$2:$V322)+1,IF(AND($T323&lt;&gt;"",$T323=$T322),$U322,IF(C323="x",V322,"")))</f>
        <v/>
      </c>
      <c r="W323" t="str">
        <f t="shared" si="146"/>
        <v>a</v>
      </c>
      <c r="X323">
        <v>70</v>
      </c>
      <c r="Y323" t="e">
        <f>IF(X323&lt;&gt;"",VLOOKUP(X323,game_rosters!$C$43:$E$64,3,FALSE))</f>
        <v>#N/A</v>
      </c>
      <c r="Z323" cm="1">
        <f t="array" ref="Z323">IFERROR(IF(_xlfn._xlws.FILTER(game_rosters!$J:$J,(game_rosters!$G:$G=events!$AN323)*(game_rosters!$J:$J=events!$X323))&gt;0,1,""),"")</f>
        <v>1</v>
      </c>
      <c r="AA323">
        <f t="shared" si="147"/>
        <v>1185</v>
      </c>
      <c r="AB323" t="str">
        <f t="shared" si="148"/>
        <v/>
      </c>
      <c r="AC323">
        <f t="shared" si="177"/>
        <v>1185</v>
      </c>
      <c r="AD323" s="6">
        <v>1</v>
      </c>
      <c r="AE323" t="s">
        <v>910</v>
      </c>
      <c r="AF323" t="s">
        <v>753</v>
      </c>
      <c r="AG323" t="s">
        <v>910</v>
      </c>
      <c r="AH323" t="s">
        <v>921</v>
      </c>
      <c r="AI323" t="s">
        <v>367</v>
      </c>
      <c r="AJ323" t="str">
        <f t="shared" si="176"/>
        <v/>
      </c>
      <c r="AK323" t="str">
        <f t="shared" si="176"/>
        <v/>
      </c>
      <c r="AL323" t="str">
        <f t="shared" si="150"/>
        <v/>
      </c>
      <c r="AN323" t="s">
        <v>862</v>
      </c>
      <c r="AO323" t="str">
        <f t="shared" si="151"/>
        <v>a</v>
      </c>
      <c r="AP323" t="str">
        <f t="shared" si="158"/>
        <v/>
      </c>
      <c r="AQ323" t="str">
        <f t="shared" si="159"/>
        <v/>
      </c>
      <c r="AR323" t="str">
        <f t="shared" si="160"/>
        <v>Away</v>
      </c>
      <c r="AS323" t="str">
        <f t="shared" si="161"/>
        <v>a</v>
      </c>
      <c r="AT323" t="str">
        <f t="shared" si="162"/>
        <v>Offensive</v>
      </c>
      <c r="BA323" s="6">
        <f t="shared" si="152"/>
        <v>76</v>
      </c>
      <c r="BB323">
        <f t="shared" si="153"/>
        <v>18981</v>
      </c>
      <c r="BC323" t="str">
        <f t="shared" si="154"/>
        <v>Nelson</v>
      </c>
      <c r="BD323" t="str">
        <f t="shared" si="155"/>
        <v>Velodrome</v>
      </c>
      <c r="BE323" t="s">
        <v>13</v>
      </c>
      <c r="BF323" t="s">
        <v>756</v>
      </c>
      <c r="BG323" t="s">
        <v>756</v>
      </c>
      <c r="BI323" cm="1">
        <f t="array" ref="BI323">IFERROR(_xlfn._xlws.FILTER(shifts!A:A,(shifts!B:B=events!AD323)*(shifts!AG:AG&gt;=events!BK323)*(shifts!AH:AH&lt;=events!BL323)),BI322)</f>
        <v>16</v>
      </c>
      <c r="BJ323" s="15">
        <f t="shared" si="156"/>
        <v>2</v>
      </c>
      <c r="BK323">
        <f t="shared" si="163"/>
        <v>655</v>
      </c>
      <c r="BL323">
        <f t="shared" si="164"/>
        <v>653</v>
      </c>
      <c r="BM323" s="15">
        <f>SUMIFS(BJ$2:BJ323,K$2:K323,"=Intermission")+SUMIFS(BJ$2:BJ323,K$2:K323,"=Timeout")</f>
        <v>0</v>
      </c>
      <c r="BN323">
        <f t="shared" si="165"/>
        <v>0</v>
      </c>
      <c r="BO323" s="19">
        <f t="shared" si="166"/>
        <v>425</v>
      </c>
      <c r="BP323">
        <f t="shared" si="167"/>
        <v>420</v>
      </c>
      <c r="BQ323" s="17">
        <f t="shared" si="168"/>
        <v>427</v>
      </c>
      <c r="BR323" t="str">
        <f t="shared" si="169"/>
        <v>event_team_player_1</v>
      </c>
      <c r="BS323">
        <f>COUNTIFS(S$3:S323,"="&amp;S323,AI$3:AI323,"="&amp;AI323)</f>
        <v>1</v>
      </c>
      <c r="BT323" t="str">
        <f>IFERROR(VLOOKUP(BB323&amp;BU323&amp;X323,game_rosters!U:W,3,FALSE),"")</f>
        <v>P100001</v>
      </c>
      <c r="BU323" t="str">
        <f t="shared" si="170"/>
        <v>Velodrome</v>
      </c>
    </row>
    <row r="324" spans="1:73" x14ac:dyDescent="0.2">
      <c r="A324">
        <f t="shared" si="157"/>
        <v>1</v>
      </c>
      <c r="E324" s="4"/>
      <c r="F324" s="43"/>
      <c r="G324" s="4"/>
      <c r="H324" s="46"/>
      <c r="J324" s="44" t="str">
        <f t="shared" si="171"/>
        <v/>
      </c>
      <c r="K324" t="s">
        <v>13</v>
      </c>
      <c r="L324" t="s">
        <v>756</v>
      </c>
      <c r="M324" t="s">
        <v>756</v>
      </c>
      <c r="N324" t="str">
        <f t="shared" si="174"/>
        <v/>
      </c>
      <c r="Q324" t="str">
        <f t="shared" si="172"/>
        <v/>
      </c>
      <c r="S324">
        <v>186</v>
      </c>
      <c r="U324" t="str">
        <f>IF(B324=1,MAX($U$2:$U323)+1,IF(AND($T324&lt;&gt;"",$T324=$T323),$U323,IF(B324="x",U323,"")))</f>
        <v/>
      </c>
      <c r="V324" t="str">
        <f>IF(C324=1,MAX($V$2:$V323)+1,IF(AND($T324&lt;&gt;"",$T324=$T323),$U323,IF(C324="x",V323,"")))</f>
        <v/>
      </c>
      <c r="W324" t="str">
        <f t="shared" ref="W324:W387" si="178">IF(AN324="Away","a",IF(AN324="Home","h",""))</f>
        <v>a</v>
      </c>
      <c r="X324">
        <v>70</v>
      </c>
      <c r="Y324" t="e">
        <f>IF(X324&lt;&gt;"",VLOOKUP(X324,game_rosters!$C$43:$E$64,3,FALSE))</f>
        <v>#N/A</v>
      </c>
      <c r="Z324" cm="1">
        <f t="array" ref="Z324">IFERROR(IF(_xlfn._xlws.FILTER(game_rosters!$J:$J,(game_rosters!$G:$G=events!$AN324)*(game_rosters!$J:$J=events!$X324))&gt;0,1,""),"")</f>
        <v>1</v>
      </c>
      <c r="AA324">
        <f t="shared" ref="AA324:AA387" si="179">S324+1000</f>
        <v>1186</v>
      </c>
      <c r="AB324" t="str">
        <f t="shared" ref="AB324:AB387" si="180">IF(T324&lt;&gt;"",9000+T324,"")</f>
        <v/>
      </c>
      <c r="AC324">
        <f t="shared" si="177"/>
        <v>1186</v>
      </c>
      <c r="AD324" s="6">
        <v>1</v>
      </c>
      <c r="AE324" t="s">
        <v>910</v>
      </c>
      <c r="AF324" t="s">
        <v>921</v>
      </c>
      <c r="AG324" t="s">
        <v>910</v>
      </c>
      <c r="AH324" t="s">
        <v>899</v>
      </c>
      <c r="AI324" t="s">
        <v>367</v>
      </c>
      <c r="AJ324" t="str">
        <f t="shared" ref="AJ324:AK339" si="181">IF($J324&lt;&gt;"",$J324,IF($AC324=$AC323,AJ323,""))</f>
        <v/>
      </c>
      <c r="AK324" t="str">
        <f t="shared" si="181"/>
        <v/>
      </c>
      <c r="AL324" t="str">
        <f t="shared" ref="AL324:AL387" si="182">IF($W324="","",IF($AJ324="","",IF($W324="h",$AJ324,IF($AJ324="n","n",IF(AND($W324="a",$AJ324="d"),"o",IF(AND($W324="a",$AJ324="o"),"d"))))))</f>
        <v/>
      </c>
      <c r="AN324" t="s">
        <v>862</v>
      </c>
      <c r="AO324" t="str">
        <f t="shared" ref="AO324:AO387" si="183">IF($W324&lt;&gt;"",$W324,IF($AC324=$AC323,AO323,""))</f>
        <v>a</v>
      </c>
      <c r="AP324" t="str">
        <f t="shared" si="158"/>
        <v/>
      </c>
      <c r="AQ324" t="str">
        <f t="shared" si="159"/>
        <v/>
      </c>
      <c r="AR324" t="str">
        <f t="shared" si="160"/>
        <v>Away</v>
      </c>
      <c r="AS324" t="str">
        <f t="shared" si="161"/>
        <v>a</v>
      </c>
      <c r="AT324" t="str">
        <f t="shared" si="162"/>
        <v>Offensive</v>
      </c>
      <c r="BA324" s="6">
        <f t="shared" ref="BA324:BA387" si="184">IF(OR(L324="Zone_Entry",L324="Zone_Exit"),BA323+1,BA323)</f>
        <v>76</v>
      </c>
      <c r="BB324">
        <f t="shared" ref="BB324:BB387" si="185">BB323</f>
        <v>18981</v>
      </c>
      <c r="BC324" t="str">
        <f t="shared" ref="BC324:BC387" si="186">BC323</f>
        <v>Nelson</v>
      </c>
      <c r="BD324" t="str">
        <f t="shared" ref="BD324:BD387" si="187">BD323</f>
        <v>Velodrome</v>
      </c>
      <c r="BE324" t="s">
        <v>13</v>
      </c>
      <c r="BF324" t="s">
        <v>756</v>
      </c>
      <c r="BG324" t="s">
        <v>756</v>
      </c>
      <c r="BI324" cm="1">
        <f t="array" ref="BI324">IFERROR(_xlfn._xlws.FILTER(shifts!A:A,(shifts!B:B=events!AD324)*(shifts!AG:AG&gt;=events!BK324)*(shifts!AH:AH&lt;=events!BL324)),BI323)</f>
        <v>16</v>
      </c>
      <c r="BJ324" s="15">
        <f t="shared" ref="BJ324:BJ387" si="188">IF(AND(AG324="",AH324=""),0,((AE324*60)+AF324)-((AG324*60)+AH324))</f>
        <v>5</v>
      </c>
      <c r="BK324">
        <f t="shared" si="163"/>
        <v>653</v>
      </c>
      <c r="BL324">
        <f t="shared" si="164"/>
        <v>648</v>
      </c>
      <c r="BM324" s="15">
        <f>SUMIFS(BJ$2:BJ324,K$2:K324,"=Intermission")+SUMIFS(BJ$2:BJ324,K$2:K324,"=Timeout")</f>
        <v>0</v>
      </c>
      <c r="BN324">
        <f t="shared" si="165"/>
        <v>0</v>
      </c>
      <c r="BO324" s="19">
        <f t="shared" si="166"/>
        <v>427</v>
      </c>
      <c r="BP324">
        <f t="shared" si="167"/>
        <v>422</v>
      </c>
      <c r="BQ324" s="17">
        <f t="shared" si="168"/>
        <v>432</v>
      </c>
      <c r="BR324" t="str">
        <f t="shared" si="169"/>
        <v>event_team_player_1</v>
      </c>
      <c r="BS324">
        <f>COUNTIFS(S$3:S324,"="&amp;S324,AI$3:AI324,"="&amp;AI324)</f>
        <v>1</v>
      </c>
      <c r="BT324" t="str">
        <f>IFERROR(VLOOKUP(BB324&amp;BU324&amp;X324,game_rosters!U:W,3,FALSE),"")</f>
        <v>P100001</v>
      </c>
      <c r="BU324" t="str">
        <f t="shared" si="170"/>
        <v>Velodrome</v>
      </c>
    </row>
    <row r="325" spans="1:73" x14ac:dyDescent="0.2">
      <c r="A325">
        <f t="shared" ref="A325:A388" si="189">IF(K325&lt;&gt;"",1,IF(D325="x","x",""))</f>
        <v>1</v>
      </c>
      <c r="E325" s="4"/>
      <c r="F325" s="43"/>
      <c r="G325" s="4"/>
      <c r="H325" s="46"/>
      <c r="J325" s="44" t="str">
        <f t="shared" si="171"/>
        <v>d</v>
      </c>
      <c r="K325" t="s">
        <v>238</v>
      </c>
      <c r="L325" t="s">
        <v>184</v>
      </c>
      <c r="M325" t="s">
        <v>90</v>
      </c>
      <c r="N325" t="str">
        <f t="shared" si="174"/>
        <v>s</v>
      </c>
      <c r="Q325" t="str">
        <f t="shared" si="172"/>
        <v/>
      </c>
      <c r="S325">
        <v>187</v>
      </c>
      <c r="U325" t="str">
        <f>IF(B325=1,MAX($U$2:$U324)+1,IF(AND($T325&lt;&gt;"",$T325=$T324),$U324,IF(B325="x",U324,"")))</f>
        <v/>
      </c>
      <c r="V325" t="str">
        <f>IF(C325=1,MAX($V$2:$V324)+1,IF(AND($T325&lt;&gt;"",$T325=$T324),$U324,IF(C325="x",V324,"")))</f>
        <v/>
      </c>
      <c r="W325" t="str">
        <f t="shared" si="178"/>
        <v>a</v>
      </c>
      <c r="X325">
        <v>70</v>
      </c>
      <c r="Y325" t="e">
        <f>IF(X325&lt;&gt;"",VLOOKUP(X325,game_rosters!$C$43:$E$64,3,FALSE))</f>
        <v>#N/A</v>
      </c>
      <c r="Z325" cm="1">
        <f t="array" ref="Z325">IFERROR(IF(_xlfn._xlws.FILTER(game_rosters!$J:$J,(game_rosters!$G:$G=events!$AN325)*(game_rosters!$J:$J=events!$X325))&gt;0,1,""),"")</f>
        <v>1</v>
      </c>
      <c r="AA325">
        <f t="shared" si="179"/>
        <v>1187</v>
      </c>
      <c r="AB325" t="str">
        <f t="shared" si="180"/>
        <v/>
      </c>
      <c r="AC325">
        <f t="shared" si="177"/>
        <v>1187</v>
      </c>
      <c r="AD325" s="6">
        <v>1</v>
      </c>
      <c r="AE325" t="s">
        <v>910</v>
      </c>
      <c r="AF325" t="s">
        <v>899</v>
      </c>
      <c r="AG325" t="s">
        <v>756</v>
      </c>
      <c r="AH325" t="s">
        <v>756</v>
      </c>
      <c r="AI325" t="s">
        <v>367</v>
      </c>
      <c r="AJ325" t="str">
        <f t="shared" si="181"/>
        <v>d</v>
      </c>
      <c r="AK325" t="str">
        <f t="shared" si="181"/>
        <v>d</v>
      </c>
      <c r="AL325" t="str">
        <f t="shared" si="182"/>
        <v>o</v>
      </c>
      <c r="AN325" t="s">
        <v>862</v>
      </c>
      <c r="AO325" t="str">
        <f t="shared" si="183"/>
        <v>a</v>
      </c>
      <c r="AP325" t="str">
        <f t="shared" ref="AP325:AP388" si="190">IF(AL325&lt;&gt;"",AL325,IF($AC325=$AC324,AP324,""))</f>
        <v>o</v>
      </c>
      <c r="AQ325" t="str">
        <f t="shared" ref="AQ325:AQ388" si="191">IF(AM325&lt;&gt;"",AM325,IF($AC325=$AC324,AQ324,""))</f>
        <v/>
      </c>
      <c r="AR325" t="str">
        <f t="shared" ref="AR325:AR388" si="192">IF(AN325&lt;&gt;"",AN325,IF($AC325=$AC324,AR324,""))</f>
        <v>Away</v>
      </c>
      <c r="AS325" t="str">
        <f t="shared" ref="AS325:AS388" si="193">IF(AO325&lt;&gt;"",AO325,IF($AC325=$AC324,AS324,""))</f>
        <v>a</v>
      </c>
      <c r="AT325" t="str">
        <f t="shared" ref="AT325:AT388" si="194">IF(AND(AI325="e",OR(BE325="Save",BF325="Turnover_Takeaway",BF325="Play_Defensive")),"Defensive",IF(AND(AI325="o",OR(BE325="Save",BF325="Turnover_Takeaway",BF325="Play_Defensive")),"Offensive",IF(OR(BE325="Deadice",BE325="Stoppage",BE325="Intermission"),"",IF(AI325="e","Offensive",IF(AI325="o","Defensive","")))))</f>
        <v>Offensive</v>
      </c>
      <c r="BA325" s="6">
        <f t="shared" si="184"/>
        <v>77</v>
      </c>
      <c r="BB325">
        <f t="shared" si="185"/>
        <v>18981</v>
      </c>
      <c r="BC325" t="str">
        <f t="shared" si="186"/>
        <v>Nelson</v>
      </c>
      <c r="BD325" t="str">
        <f t="shared" si="187"/>
        <v>Velodrome</v>
      </c>
      <c r="BE325" t="s">
        <v>238</v>
      </c>
      <c r="BF325" t="s">
        <v>184</v>
      </c>
      <c r="BG325" t="s">
        <v>90</v>
      </c>
      <c r="BI325" cm="1">
        <f t="array" ref="BI325">IFERROR(_xlfn._xlws.FILTER(shifts!A:A,(shifts!B:B=events!AD325)*(shifts!AG:AG&gt;=events!BK325)*(shifts!AH:AH&lt;=events!BL325)),BI324)</f>
        <v>17</v>
      </c>
      <c r="BJ325" s="15">
        <f t="shared" si="188"/>
        <v>0</v>
      </c>
      <c r="BK325">
        <f t="shared" ref="BK325:BK388" si="195">(AE325*60)+AF325</f>
        <v>648</v>
      </c>
      <c r="BL325">
        <f t="shared" ref="BL325:BL388" si="196">IF(AND(AG325="",AH325=""),BK325,((AG325*60)+AH325))</f>
        <v>648</v>
      </c>
      <c r="BM325" s="15">
        <f>SUMIFS(BJ$2:BJ325,K$2:K325,"=Intermission")+SUMIFS(BJ$2:BJ325,K$2:K325,"=Timeout")</f>
        <v>0</v>
      </c>
      <c r="BN325">
        <f t="shared" ref="BN325:BN388" si="197">IF(AD325=1,0,IF(AD325=2,1080+BM325,IF(AD325=3,(1080*2)+BM325,0)))</f>
        <v>0</v>
      </c>
      <c r="BO325" s="19">
        <f t="shared" ref="BO325:BO388" si="198">IF(K325="Intermission",BO324,((1080)-((AE325*60)+AF325))+BN325)</f>
        <v>432</v>
      </c>
      <c r="BP325">
        <f t="shared" ref="BP325:BP388" si="199">IF(BO325&lt;5,0,BO325-5)</f>
        <v>427</v>
      </c>
      <c r="BQ325" s="17">
        <f t="shared" ref="BQ325:BQ388" si="200">BP325+BJ325+5</f>
        <v>432</v>
      </c>
      <c r="BR325" t="str">
        <f t="shared" ref="BR325:BR388" si="201">IF(AI325="e","event_team_player_"&amp;BS325,IF(AI325="o","opp_team_player_"&amp;BS325,""))</f>
        <v>event_team_player_1</v>
      </c>
      <c r="BS325">
        <f>COUNTIFS(S$3:S325,"="&amp;S325,AI$3:AI325,"="&amp;AI325)</f>
        <v>1</v>
      </c>
      <c r="BT325" t="str">
        <f>IFERROR(VLOOKUP(BB325&amp;BU325&amp;X325,game_rosters!U:W,3,FALSE),"")</f>
        <v>P100001</v>
      </c>
      <c r="BU325" t="str">
        <f t="shared" ref="BU325:BU388" si="202">IF(AR325="","",IF(AND(AR325="Away",AI325="e"),BD325,IF(AND(AR325="Home",AI325="e"),BC325,IF(AND(AR325="Away",AI325="o"),BC325,IF(AND(AR325="Home",AI325="o"),BD325)))))</f>
        <v>Velodrome</v>
      </c>
    </row>
    <row r="326" spans="1:73" x14ac:dyDescent="0.2">
      <c r="A326">
        <f t="shared" si="189"/>
        <v>1</v>
      </c>
      <c r="E326" s="4"/>
      <c r="F326" s="43"/>
      <c r="G326" s="4"/>
      <c r="H326" s="46"/>
      <c r="J326" s="44" t="str">
        <f t="shared" ref="J326:J389" si="203">IF(OR(K326="Goal",K326="Shot",L326="Zone_Entry",M326="Stoppage-Goal",M325="Stoppage-Goal"),"o",IF(OR(K326="Save",K326="Rebound",L326="Zone_Exit",M326="Stoppage-GoalieStoppage",M325="Stoppage-GoalieStoppage"),"d",IF(OR(L326="Faceoff_AfterGoal",L326="Faceoff_PeriodStart",698="Faceoff_GameStart",M325="Stoppage-Goal"),"n","")))</f>
        <v>o</v>
      </c>
      <c r="K326" t="s">
        <v>238</v>
      </c>
      <c r="L326" t="s">
        <v>174</v>
      </c>
      <c r="M326" t="s">
        <v>375</v>
      </c>
      <c r="N326" t="str">
        <f t="shared" si="174"/>
        <v>u</v>
      </c>
      <c r="Q326" t="str">
        <f t="shared" si="172"/>
        <v/>
      </c>
      <c r="S326">
        <v>188</v>
      </c>
      <c r="U326" t="str">
        <f>IF(B326=1,MAX($U$2:$U325)+1,IF(AND($T326&lt;&gt;"",$T326=$T325),$U325,IF(B326="x",U325,"")))</f>
        <v/>
      </c>
      <c r="V326" t="str">
        <f>IF(C326=1,MAX($V$2:$V325)+1,IF(AND($T326&lt;&gt;"",$T326=$T325),$U325,IF(C326="x",V325,"")))</f>
        <v/>
      </c>
      <c r="W326" t="str">
        <f t="shared" si="178"/>
        <v>a</v>
      </c>
      <c r="X326">
        <v>70</v>
      </c>
      <c r="Y326" t="e">
        <f>IF(X326&lt;&gt;"",VLOOKUP(X326,game_rosters!$C$43:$E$64,3,FALSE))</f>
        <v>#N/A</v>
      </c>
      <c r="Z326" cm="1">
        <f t="array" ref="Z326">IFERROR(IF(_xlfn._xlws.FILTER(game_rosters!$J:$J,(game_rosters!$G:$G=events!$AN326)*(game_rosters!$J:$J=events!$X326))&gt;0,1,""),"")</f>
        <v>1</v>
      </c>
      <c r="AA326">
        <f t="shared" si="179"/>
        <v>1188</v>
      </c>
      <c r="AB326" t="str">
        <f t="shared" si="180"/>
        <v/>
      </c>
      <c r="AC326">
        <f t="shared" si="177"/>
        <v>1188</v>
      </c>
      <c r="AD326" s="6">
        <v>1</v>
      </c>
      <c r="AE326" t="s">
        <v>910</v>
      </c>
      <c r="AF326" t="s">
        <v>899</v>
      </c>
      <c r="AG326" t="s">
        <v>756</v>
      </c>
      <c r="AH326" t="s">
        <v>756</v>
      </c>
      <c r="AI326" t="s">
        <v>367</v>
      </c>
      <c r="AJ326" t="str">
        <f t="shared" si="181"/>
        <v>o</v>
      </c>
      <c r="AK326" t="str">
        <f t="shared" si="181"/>
        <v>o</v>
      </c>
      <c r="AL326" t="str">
        <f t="shared" si="182"/>
        <v>d</v>
      </c>
      <c r="AN326" t="s">
        <v>862</v>
      </c>
      <c r="AO326" t="str">
        <f t="shared" si="183"/>
        <v>a</v>
      </c>
      <c r="AP326" t="str">
        <f t="shared" si="190"/>
        <v>d</v>
      </c>
      <c r="AQ326" t="str">
        <f t="shared" si="191"/>
        <v/>
      </c>
      <c r="AR326" t="str">
        <f t="shared" si="192"/>
        <v>Away</v>
      </c>
      <c r="AS326" t="str">
        <f t="shared" si="193"/>
        <v>a</v>
      </c>
      <c r="AT326" t="str">
        <f t="shared" si="194"/>
        <v>Offensive</v>
      </c>
      <c r="BA326" s="6">
        <f t="shared" si="184"/>
        <v>78</v>
      </c>
      <c r="BB326">
        <f t="shared" si="185"/>
        <v>18981</v>
      </c>
      <c r="BC326" t="str">
        <f t="shared" si="186"/>
        <v>Nelson</v>
      </c>
      <c r="BD326" t="str">
        <f t="shared" si="187"/>
        <v>Velodrome</v>
      </c>
      <c r="BE326" t="s">
        <v>238</v>
      </c>
      <c r="BF326" t="s">
        <v>174</v>
      </c>
      <c r="BG326" t="s">
        <v>375</v>
      </c>
      <c r="BI326" cm="1">
        <f t="array" ref="BI326">IFERROR(_xlfn._xlws.FILTER(shifts!A:A,(shifts!B:B=events!AD326)*(shifts!AG:AG&gt;=events!BK326)*(shifts!AH:AH&lt;=events!BL326)),BI325)</f>
        <v>17</v>
      </c>
      <c r="BJ326" s="15">
        <f t="shared" si="188"/>
        <v>0</v>
      </c>
      <c r="BK326">
        <f t="shared" si="195"/>
        <v>648</v>
      </c>
      <c r="BL326">
        <f t="shared" si="196"/>
        <v>648</v>
      </c>
      <c r="BM326" s="15">
        <f>SUMIFS(BJ$2:BJ326,K$2:K326,"=Intermission")+SUMIFS(BJ$2:BJ326,K$2:K326,"=Timeout")</f>
        <v>0</v>
      </c>
      <c r="BN326">
        <f t="shared" si="197"/>
        <v>0</v>
      </c>
      <c r="BO326" s="19">
        <f t="shared" si="198"/>
        <v>432</v>
      </c>
      <c r="BP326">
        <f t="shared" si="199"/>
        <v>427</v>
      </c>
      <c r="BQ326" s="17">
        <f t="shared" si="200"/>
        <v>432</v>
      </c>
      <c r="BR326" t="str">
        <f t="shared" si="201"/>
        <v>event_team_player_1</v>
      </c>
      <c r="BS326">
        <f>COUNTIFS(S$3:S326,"="&amp;S326,AI$3:AI326,"="&amp;AI326)</f>
        <v>1</v>
      </c>
      <c r="BT326" t="str">
        <f>IFERROR(VLOOKUP(BB326&amp;BU326&amp;X326,game_rosters!U:W,3,FALSE),"")</f>
        <v>P100001</v>
      </c>
      <c r="BU326" t="str">
        <f t="shared" si="202"/>
        <v>Velodrome</v>
      </c>
    </row>
    <row r="327" spans="1:73" x14ac:dyDescent="0.2">
      <c r="A327">
        <f t="shared" si="189"/>
        <v>1</v>
      </c>
      <c r="E327" s="4"/>
      <c r="F327" s="43"/>
      <c r="G327" s="4"/>
      <c r="H327" s="46"/>
      <c r="J327" s="44" t="str">
        <f t="shared" si="203"/>
        <v>d</v>
      </c>
      <c r="K327" t="s">
        <v>238</v>
      </c>
      <c r="L327" t="s">
        <v>184</v>
      </c>
      <c r="M327" t="s">
        <v>376</v>
      </c>
      <c r="N327" t="str">
        <f t="shared" si="174"/>
        <v>u</v>
      </c>
      <c r="Q327" t="str">
        <f t="shared" si="172"/>
        <v/>
      </c>
      <c r="S327">
        <v>189</v>
      </c>
      <c r="U327" t="str">
        <f>IF(B327=1,MAX($U$2:$U326)+1,IF(AND($T327&lt;&gt;"",$T327=$T326),$U326,IF(B327="x",U326,"")))</f>
        <v/>
      </c>
      <c r="V327" t="str">
        <f>IF(C327=1,MAX($V$2:$V326)+1,IF(AND($T327&lt;&gt;"",$T327=$T326),$U326,IF(C327="x",V326,"")))</f>
        <v/>
      </c>
      <c r="W327" t="str">
        <f t="shared" si="178"/>
        <v>h</v>
      </c>
      <c r="X327">
        <v>8</v>
      </c>
      <c r="Y327" t="b">
        <f>IF(X327&lt;&gt;"",VLOOKUP(X327,game_rosters!$C$43:$E$64,3,FALSE))</f>
        <v>0</v>
      </c>
      <c r="Z327" cm="1">
        <f t="array" ref="Z327">IFERROR(IF(_xlfn._xlws.FILTER(game_rosters!$J:$J,(game_rosters!$G:$G=events!$AN327)*(game_rosters!$J:$J=events!$X327))&gt;0,1,""),"")</f>
        <v>1</v>
      </c>
      <c r="AA327">
        <f t="shared" si="179"/>
        <v>1189</v>
      </c>
      <c r="AB327" t="str">
        <f t="shared" si="180"/>
        <v/>
      </c>
      <c r="AC327">
        <f t="shared" si="177"/>
        <v>1189</v>
      </c>
      <c r="AD327" s="6">
        <v>1</v>
      </c>
      <c r="AE327" t="s">
        <v>910</v>
      </c>
      <c r="AF327" t="s">
        <v>902</v>
      </c>
      <c r="AG327" t="s">
        <v>756</v>
      </c>
      <c r="AH327" t="s">
        <v>756</v>
      </c>
      <c r="AI327" t="s">
        <v>367</v>
      </c>
      <c r="AJ327" t="str">
        <f t="shared" si="181"/>
        <v>d</v>
      </c>
      <c r="AK327" t="str">
        <f t="shared" si="181"/>
        <v>d</v>
      </c>
      <c r="AL327" t="str">
        <f t="shared" si="182"/>
        <v>d</v>
      </c>
      <c r="AN327" t="s">
        <v>861</v>
      </c>
      <c r="AO327" t="str">
        <f t="shared" si="183"/>
        <v>h</v>
      </c>
      <c r="AP327" t="str">
        <f t="shared" si="190"/>
        <v>d</v>
      </c>
      <c r="AQ327" t="str">
        <f t="shared" si="191"/>
        <v/>
      </c>
      <c r="AR327" t="str">
        <f t="shared" si="192"/>
        <v>Home</v>
      </c>
      <c r="AS327" t="str">
        <f t="shared" si="193"/>
        <v>h</v>
      </c>
      <c r="AT327" t="str">
        <f t="shared" si="194"/>
        <v>Offensive</v>
      </c>
      <c r="BA327" s="6">
        <f t="shared" si="184"/>
        <v>79</v>
      </c>
      <c r="BB327">
        <f t="shared" si="185"/>
        <v>18981</v>
      </c>
      <c r="BC327" t="str">
        <f t="shared" si="186"/>
        <v>Nelson</v>
      </c>
      <c r="BD327" t="str">
        <f t="shared" si="187"/>
        <v>Velodrome</v>
      </c>
      <c r="BE327" t="s">
        <v>238</v>
      </c>
      <c r="BF327" t="s">
        <v>184</v>
      </c>
      <c r="BG327" t="s">
        <v>376</v>
      </c>
      <c r="BI327" cm="1">
        <f t="array" ref="BI327">IFERROR(_xlfn._xlws.FILTER(shifts!A:A,(shifts!B:B=events!AD327)*(shifts!AG:AG&gt;=events!BK327)*(shifts!AH:AH&lt;=events!BL327)),BI326)</f>
        <v>18</v>
      </c>
      <c r="BJ327" s="15">
        <f t="shared" si="188"/>
        <v>0</v>
      </c>
      <c r="BK327">
        <f t="shared" si="195"/>
        <v>642</v>
      </c>
      <c r="BL327">
        <f t="shared" si="196"/>
        <v>642</v>
      </c>
      <c r="BM327" s="15">
        <f>SUMIFS(BJ$2:BJ327,K$2:K327,"=Intermission")+SUMIFS(BJ$2:BJ327,K$2:K327,"=Timeout")</f>
        <v>0</v>
      </c>
      <c r="BN327">
        <f t="shared" si="197"/>
        <v>0</v>
      </c>
      <c r="BO327" s="19">
        <f t="shared" si="198"/>
        <v>438</v>
      </c>
      <c r="BP327">
        <f t="shared" si="199"/>
        <v>433</v>
      </c>
      <c r="BQ327" s="17">
        <f t="shared" si="200"/>
        <v>438</v>
      </c>
      <c r="BR327" t="str">
        <f t="shared" si="201"/>
        <v>event_team_player_1</v>
      </c>
      <c r="BS327">
        <f>COUNTIFS(S$3:S327,"="&amp;S327,AI$3:AI327,"="&amp;AI327)</f>
        <v>1</v>
      </c>
      <c r="BT327" t="str">
        <f>IFERROR(VLOOKUP(BB327&amp;BU327&amp;X327,game_rosters!U:W,3,FALSE),"")</f>
        <v>P100074</v>
      </c>
      <c r="BU327" t="str">
        <f t="shared" si="202"/>
        <v>Nelson</v>
      </c>
    </row>
    <row r="328" spans="1:73" x14ac:dyDescent="0.2">
      <c r="A328">
        <f t="shared" si="189"/>
        <v>1</v>
      </c>
      <c r="E328" s="4"/>
      <c r="F328" s="43"/>
      <c r="G328" s="4"/>
      <c r="H328" s="46"/>
      <c r="J328" s="44" t="str">
        <f t="shared" si="203"/>
        <v>d</v>
      </c>
      <c r="K328" t="s">
        <v>238</v>
      </c>
      <c r="L328" t="s">
        <v>184</v>
      </c>
      <c r="M328" t="s">
        <v>376</v>
      </c>
      <c r="N328" t="str">
        <f t="shared" si="174"/>
        <v>u</v>
      </c>
      <c r="Q328" t="str">
        <f t="shared" si="172"/>
        <v/>
      </c>
      <c r="S328">
        <v>189</v>
      </c>
      <c r="U328" t="str">
        <f>IF(B328=1,MAX($U$2:$U327)+1,IF(AND($T328&lt;&gt;"",$T328=$T327),$U327,IF(B328="x",U327,"")))</f>
        <v/>
      </c>
      <c r="V328" t="str">
        <f>IF(C328=1,MAX($V$2:$V327)+1,IF(AND($T328&lt;&gt;"",$T328=$T327),$U327,IF(C328="x",V327,"")))</f>
        <v/>
      </c>
      <c r="W328" t="str">
        <f t="shared" si="178"/>
        <v>h</v>
      </c>
      <c r="X328">
        <v>91</v>
      </c>
      <c r="Y328" t="e">
        <f>IF(X328&lt;&gt;"",VLOOKUP(X328,game_rosters!$C$43:$E$64,3,FALSE))</f>
        <v>#N/A</v>
      </c>
      <c r="Z328" t="str" cm="1">
        <f t="array" ref="Z328">IFERROR(IF(_xlfn._xlws.FILTER(game_rosters!$J:$J,(game_rosters!$G:$G=events!$AN328)*(game_rosters!$J:$J=events!$X328))&gt;0,1,""),"")</f>
        <v/>
      </c>
      <c r="AA328">
        <f t="shared" si="179"/>
        <v>1189</v>
      </c>
      <c r="AB328" t="str">
        <f t="shared" si="180"/>
        <v/>
      </c>
      <c r="AC328">
        <f t="shared" si="177"/>
        <v>1189</v>
      </c>
      <c r="AD328" s="6">
        <v>1</v>
      </c>
      <c r="AE328" t="s">
        <v>910</v>
      </c>
      <c r="AF328" t="s">
        <v>902</v>
      </c>
      <c r="AG328" t="s">
        <v>756</v>
      </c>
      <c r="AH328" t="s">
        <v>756</v>
      </c>
      <c r="AI328" t="s">
        <v>368</v>
      </c>
      <c r="AJ328" t="str">
        <f t="shared" si="181"/>
        <v>d</v>
      </c>
      <c r="AK328" t="str">
        <f t="shared" si="181"/>
        <v>d</v>
      </c>
      <c r="AL328" t="str">
        <f t="shared" si="182"/>
        <v>d</v>
      </c>
      <c r="AN328" t="s">
        <v>861</v>
      </c>
      <c r="AO328" t="str">
        <f t="shared" si="183"/>
        <v>h</v>
      </c>
      <c r="AP328" t="str">
        <f t="shared" si="190"/>
        <v>d</v>
      </c>
      <c r="AQ328" t="str">
        <f t="shared" si="191"/>
        <v/>
      </c>
      <c r="AR328" t="str">
        <f t="shared" si="192"/>
        <v>Home</v>
      </c>
      <c r="AS328" t="str">
        <f t="shared" si="193"/>
        <v>h</v>
      </c>
      <c r="AT328" t="str">
        <f t="shared" si="194"/>
        <v>Defensive</v>
      </c>
      <c r="BA328" s="6">
        <f t="shared" si="184"/>
        <v>80</v>
      </c>
      <c r="BB328">
        <f t="shared" si="185"/>
        <v>18981</v>
      </c>
      <c r="BC328" t="str">
        <f t="shared" si="186"/>
        <v>Nelson</v>
      </c>
      <c r="BD328" t="str">
        <f t="shared" si="187"/>
        <v>Velodrome</v>
      </c>
      <c r="BE328" t="s">
        <v>238</v>
      </c>
      <c r="BF328" t="s">
        <v>184</v>
      </c>
      <c r="BG328" t="s">
        <v>376</v>
      </c>
      <c r="BI328" cm="1">
        <f t="array" ref="BI328">IFERROR(_xlfn._xlws.FILTER(shifts!A:A,(shifts!B:B=events!AD328)*(shifts!AG:AG&gt;=events!BK328)*(shifts!AH:AH&lt;=events!BL328)),BI327)</f>
        <v>18</v>
      </c>
      <c r="BJ328" s="15">
        <f t="shared" si="188"/>
        <v>0</v>
      </c>
      <c r="BK328">
        <f t="shared" si="195"/>
        <v>642</v>
      </c>
      <c r="BL328">
        <f t="shared" si="196"/>
        <v>642</v>
      </c>
      <c r="BM328" s="15">
        <f>SUMIFS(BJ$2:BJ328,K$2:K328,"=Intermission")+SUMIFS(BJ$2:BJ328,K$2:K328,"=Timeout")</f>
        <v>0</v>
      </c>
      <c r="BN328">
        <f t="shared" si="197"/>
        <v>0</v>
      </c>
      <c r="BO328" s="19">
        <f t="shared" si="198"/>
        <v>438</v>
      </c>
      <c r="BP328">
        <f t="shared" si="199"/>
        <v>433</v>
      </c>
      <c r="BQ328" s="17">
        <f t="shared" si="200"/>
        <v>438</v>
      </c>
      <c r="BR328" t="str">
        <f t="shared" si="201"/>
        <v>opp_team_player_1</v>
      </c>
      <c r="BS328">
        <f>COUNTIFS(S$3:S328,"="&amp;S328,AI$3:AI328,"="&amp;AI328)</f>
        <v>1</v>
      </c>
      <c r="BT328" t="str">
        <f>IFERROR(VLOOKUP(BB328&amp;BU328&amp;X328,game_rosters!U:W,3,FALSE),"")</f>
        <v>P100002</v>
      </c>
      <c r="BU328" t="str">
        <f t="shared" si="202"/>
        <v>Velodrome</v>
      </c>
    </row>
    <row r="329" spans="1:73" x14ac:dyDescent="0.2">
      <c r="A329">
        <f t="shared" si="189"/>
        <v>1</v>
      </c>
      <c r="E329" s="4"/>
      <c r="F329" s="43"/>
      <c r="G329" s="4"/>
      <c r="H329" s="46"/>
      <c r="J329" s="44" t="str">
        <f t="shared" si="203"/>
        <v/>
      </c>
      <c r="K329" t="s">
        <v>13</v>
      </c>
      <c r="L329" t="s">
        <v>756</v>
      </c>
      <c r="M329" t="s">
        <v>756</v>
      </c>
      <c r="N329" t="str">
        <f t="shared" si="174"/>
        <v/>
      </c>
      <c r="Q329" t="str">
        <f t="shared" si="172"/>
        <v/>
      </c>
      <c r="S329">
        <v>190</v>
      </c>
      <c r="U329" t="str">
        <f>IF(B329=1,MAX($U$2:$U328)+1,IF(AND($T329&lt;&gt;"",$T329=$T328),$U328,IF(B329="x",U328,"")))</f>
        <v/>
      </c>
      <c r="V329" t="str">
        <f>IF(C329=1,MAX($V$2:$V328)+1,IF(AND($T329&lt;&gt;"",$T329=$T328),$U328,IF(C329="x",V328,"")))</f>
        <v/>
      </c>
      <c r="W329" t="str">
        <f t="shared" si="178"/>
        <v>h</v>
      </c>
      <c r="X329">
        <v>10</v>
      </c>
      <c r="Y329" t="b">
        <f>IF(X329&lt;&gt;"",VLOOKUP(X329,game_rosters!$C$43:$E$64,3,FALSE))</f>
        <v>0</v>
      </c>
      <c r="Z329" cm="1">
        <f t="array" ref="Z329">IFERROR(IF(_xlfn._xlws.FILTER(game_rosters!$J:$J,(game_rosters!$G:$G=events!$AN329)*(game_rosters!$J:$J=events!$X329))&gt;0,1,""),"")</f>
        <v>1</v>
      </c>
      <c r="AA329">
        <f t="shared" si="179"/>
        <v>1190</v>
      </c>
      <c r="AB329" t="str">
        <f t="shared" si="180"/>
        <v/>
      </c>
      <c r="AC329">
        <f t="shared" si="177"/>
        <v>1190</v>
      </c>
      <c r="AD329" s="6">
        <v>1</v>
      </c>
      <c r="AE329" t="s">
        <v>910</v>
      </c>
      <c r="AF329" t="s">
        <v>924</v>
      </c>
      <c r="AG329" t="s">
        <v>910</v>
      </c>
      <c r="AH329" t="s">
        <v>749</v>
      </c>
      <c r="AI329" t="s">
        <v>367</v>
      </c>
      <c r="AJ329" t="str">
        <f t="shared" si="181"/>
        <v/>
      </c>
      <c r="AK329" t="str">
        <f t="shared" si="181"/>
        <v/>
      </c>
      <c r="AL329" t="str">
        <f t="shared" si="182"/>
        <v/>
      </c>
      <c r="AN329" t="s">
        <v>861</v>
      </c>
      <c r="AO329" t="str">
        <f t="shared" si="183"/>
        <v>h</v>
      </c>
      <c r="AP329" t="str">
        <f t="shared" si="190"/>
        <v/>
      </c>
      <c r="AQ329" t="str">
        <f t="shared" si="191"/>
        <v/>
      </c>
      <c r="AR329" t="str">
        <f t="shared" si="192"/>
        <v>Home</v>
      </c>
      <c r="AS329" t="str">
        <f t="shared" si="193"/>
        <v>h</v>
      </c>
      <c r="AT329" t="str">
        <f t="shared" si="194"/>
        <v>Offensive</v>
      </c>
      <c r="BA329" s="6">
        <f t="shared" si="184"/>
        <v>80</v>
      </c>
      <c r="BB329">
        <f t="shared" si="185"/>
        <v>18981</v>
      </c>
      <c r="BC329" t="str">
        <f t="shared" si="186"/>
        <v>Nelson</v>
      </c>
      <c r="BD329" t="str">
        <f t="shared" si="187"/>
        <v>Velodrome</v>
      </c>
      <c r="BE329" t="s">
        <v>13</v>
      </c>
      <c r="BF329" t="s">
        <v>756</v>
      </c>
      <c r="BG329" t="s">
        <v>756</v>
      </c>
      <c r="BI329" cm="1">
        <f t="array" ref="BI329">IFERROR(_xlfn._xlws.FILTER(shifts!A:A,(shifts!B:B=events!AD329)*(shifts!AG:AG&gt;=events!BK329)*(shifts!AH:AH&lt;=events!BL329)),BI328)</f>
        <v>18</v>
      </c>
      <c r="BJ329" s="15">
        <f t="shared" si="188"/>
        <v>2</v>
      </c>
      <c r="BK329">
        <f t="shared" si="195"/>
        <v>641</v>
      </c>
      <c r="BL329">
        <f t="shared" si="196"/>
        <v>639</v>
      </c>
      <c r="BM329" s="15">
        <f>SUMIFS(BJ$2:BJ329,K$2:K329,"=Intermission")+SUMIFS(BJ$2:BJ329,K$2:K329,"=Timeout")</f>
        <v>0</v>
      </c>
      <c r="BN329">
        <f t="shared" si="197"/>
        <v>0</v>
      </c>
      <c r="BO329" s="19">
        <f t="shared" si="198"/>
        <v>439</v>
      </c>
      <c r="BP329">
        <f t="shared" si="199"/>
        <v>434</v>
      </c>
      <c r="BQ329" s="17">
        <f t="shared" si="200"/>
        <v>441</v>
      </c>
      <c r="BR329" t="str">
        <f t="shared" si="201"/>
        <v>event_team_player_1</v>
      </c>
      <c r="BS329">
        <f>COUNTIFS(S$3:S329,"="&amp;S329,AI$3:AI329,"="&amp;AI329)</f>
        <v>1</v>
      </c>
      <c r="BT329" t="str">
        <f>IFERROR(VLOOKUP(BB329&amp;BU329&amp;X329,game_rosters!U:W,3,FALSE),"")</f>
        <v>P100078</v>
      </c>
      <c r="BU329" t="str">
        <f t="shared" si="202"/>
        <v>Nelson</v>
      </c>
    </row>
    <row r="330" spans="1:73" x14ac:dyDescent="0.2">
      <c r="A330">
        <f t="shared" si="189"/>
        <v>1</v>
      </c>
      <c r="E330" s="4"/>
      <c r="F330" s="43"/>
      <c r="G330" s="4"/>
      <c r="H330" s="46"/>
      <c r="J330" s="44" t="str">
        <f t="shared" si="203"/>
        <v/>
      </c>
      <c r="K330" t="s">
        <v>13</v>
      </c>
      <c r="L330" t="s">
        <v>756</v>
      </c>
      <c r="M330" t="s">
        <v>756</v>
      </c>
      <c r="N330" t="str">
        <f t="shared" si="174"/>
        <v/>
      </c>
      <c r="Q330" t="str">
        <f t="shared" si="172"/>
        <v/>
      </c>
      <c r="S330">
        <v>190</v>
      </c>
      <c r="U330" t="str">
        <f>IF(B330=1,MAX($U$2:$U329)+1,IF(AND($T330&lt;&gt;"",$T330=$T329),$U329,IF(B330="x",U329,"")))</f>
        <v/>
      </c>
      <c r="V330" t="str">
        <f>IF(C330=1,MAX($V$2:$V329)+1,IF(AND($T330&lt;&gt;"",$T330=$T329),$U329,IF(C330="x",V329,"")))</f>
        <v/>
      </c>
      <c r="W330" t="str">
        <f t="shared" si="178"/>
        <v>h</v>
      </c>
      <c r="X330">
        <v>70</v>
      </c>
      <c r="Y330" t="e">
        <f>IF(X330&lt;&gt;"",VLOOKUP(X330,game_rosters!$C$43:$E$64,3,FALSE))</f>
        <v>#N/A</v>
      </c>
      <c r="Z330" t="str" cm="1">
        <f t="array" ref="Z330">IFERROR(IF(_xlfn._xlws.FILTER(game_rosters!$J:$J,(game_rosters!$G:$G=events!$AN330)*(game_rosters!$J:$J=events!$X330))&gt;0,1,""),"")</f>
        <v/>
      </c>
      <c r="AA330">
        <f t="shared" si="179"/>
        <v>1190</v>
      </c>
      <c r="AB330" t="str">
        <f t="shared" si="180"/>
        <v/>
      </c>
      <c r="AC330">
        <f t="shared" si="177"/>
        <v>1190</v>
      </c>
      <c r="AD330" s="6">
        <v>1</v>
      </c>
      <c r="AE330" t="s">
        <v>910</v>
      </c>
      <c r="AF330" t="s">
        <v>924</v>
      </c>
      <c r="AG330" t="s">
        <v>910</v>
      </c>
      <c r="AH330" t="s">
        <v>749</v>
      </c>
      <c r="AI330" t="s">
        <v>368</v>
      </c>
      <c r="AJ330" t="str">
        <f t="shared" si="181"/>
        <v/>
      </c>
      <c r="AK330" t="str">
        <f t="shared" si="181"/>
        <v/>
      </c>
      <c r="AL330" t="str">
        <f t="shared" si="182"/>
        <v/>
      </c>
      <c r="AN330" t="s">
        <v>861</v>
      </c>
      <c r="AO330" t="str">
        <f t="shared" si="183"/>
        <v>h</v>
      </c>
      <c r="AP330" t="str">
        <f t="shared" si="190"/>
        <v/>
      </c>
      <c r="AQ330" t="str">
        <f t="shared" si="191"/>
        <v/>
      </c>
      <c r="AR330" t="str">
        <f t="shared" si="192"/>
        <v>Home</v>
      </c>
      <c r="AS330" t="str">
        <f t="shared" si="193"/>
        <v>h</v>
      </c>
      <c r="AT330" t="str">
        <f t="shared" si="194"/>
        <v>Defensive</v>
      </c>
      <c r="BA330" s="6">
        <f t="shared" si="184"/>
        <v>80</v>
      </c>
      <c r="BB330">
        <f t="shared" si="185"/>
        <v>18981</v>
      </c>
      <c r="BC330" t="str">
        <f t="shared" si="186"/>
        <v>Nelson</v>
      </c>
      <c r="BD330" t="str">
        <f t="shared" si="187"/>
        <v>Velodrome</v>
      </c>
      <c r="BE330" t="s">
        <v>13</v>
      </c>
      <c r="BF330" t="s">
        <v>756</v>
      </c>
      <c r="BG330" t="s">
        <v>756</v>
      </c>
      <c r="BI330" cm="1">
        <f t="array" ref="BI330">IFERROR(_xlfn._xlws.FILTER(shifts!A:A,(shifts!B:B=events!AD330)*(shifts!AG:AG&gt;=events!BK330)*(shifts!AH:AH&lt;=events!BL330)),BI329)</f>
        <v>18</v>
      </c>
      <c r="BJ330" s="15">
        <f t="shared" si="188"/>
        <v>2</v>
      </c>
      <c r="BK330">
        <f t="shared" si="195"/>
        <v>641</v>
      </c>
      <c r="BL330">
        <f t="shared" si="196"/>
        <v>639</v>
      </c>
      <c r="BM330" s="15">
        <f>SUMIFS(BJ$2:BJ330,K$2:K330,"=Intermission")+SUMIFS(BJ$2:BJ330,K$2:K330,"=Timeout")</f>
        <v>0</v>
      </c>
      <c r="BN330">
        <f t="shared" si="197"/>
        <v>0</v>
      </c>
      <c r="BO330" s="19">
        <f t="shared" si="198"/>
        <v>439</v>
      </c>
      <c r="BP330">
        <f t="shared" si="199"/>
        <v>434</v>
      </c>
      <c r="BQ330" s="17">
        <f t="shared" si="200"/>
        <v>441</v>
      </c>
      <c r="BR330" t="str">
        <f t="shared" si="201"/>
        <v>opp_team_player_1</v>
      </c>
      <c r="BS330">
        <f>COUNTIFS(S$3:S330,"="&amp;S330,AI$3:AI330,"="&amp;AI330)</f>
        <v>1</v>
      </c>
      <c r="BT330" t="str">
        <f>IFERROR(VLOOKUP(BB330&amp;BU330&amp;X330,game_rosters!U:W,3,FALSE),"")</f>
        <v>P100001</v>
      </c>
      <c r="BU330" t="str">
        <f t="shared" si="202"/>
        <v>Velodrome</v>
      </c>
    </row>
    <row r="331" spans="1:73" x14ac:dyDescent="0.2">
      <c r="A331">
        <f t="shared" si="189"/>
        <v>1</v>
      </c>
      <c r="E331" s="4"/>
      <c r="F331" s="43"/>
      <c r="G331" s="4"/>
      <c r="H331" s="46"/>
      <c r="J331" s="44" t="str">
        <f t="shared" si="203"/>
        <v>o</v>
      </c>
      <c r="K331" t="s">
        <v>238</v>
      </c>
      <c r="L331" t="s">
        <v>174</v>
      </c>
      <c r="M331" t="s">
        <v>85</v>
      </c>
      <c r="N331" t="str">
        <f t="shared" si="174"/>
        <v>s</v>
      </c>
      <c r="Q331" t="str">
        <f t="shared" si="172"/>
        <v/>
      </c>
      <c r="S331">
        <v>191</v>
      </c>
      <c r="U331" t="str">
        <f>IF(B331=1,MAX($U$2:$U330)+1,IF(AND($T331&lt;&gt;"",$T331=$T330),$U330,IF(B331="x",U330,"")))</f>
        <v/>
      </c>
      <c r="V331" t="str">
        <f>IF(C331=1,MAX($V$2:$V330)+1,IF(AND($T331&lt;&gt;"",$T331=$T330),$U330,IF(C331="x",V330,"")))</f>
        <v/>
      </c>
      <c r="W331" t="str">
        <f t="shared" si="178"/>
        <v>h</v>
      </c>
      <c r="X331">
        <v>10</v>
      </c>
      <c r="Y331" t="b">
        <f>IF(X331&lt;&gt;"",VLOOKUP(X331,game_rosters!$C$43:$E$64,3,FALSE))</f>
        <v>0</v>
      </c>
      <c r="Z331" cm="1">
        <f t="array" ref="Z331">IFERROR(IF(_xlfn._xlws.FILTER(game_rosters!$J:$J,(game_rosters!$G:$G=events!$AN331)*(game_rosters!$J:$J=events!$X331))&gt;0,1,""),"")</f>
        <v>1</v>
      </c>
      <c r="AA331">
        <f t="shared" si="179"/>
        <v>1191</v>
      </c>
      <c r="AB331" t="str">
        <f t="shared" si="180"/>
        <v/>
      </c>
      <c r="AC331">
        <f t="shared" si="177"/>
        <v>1191</v>
      </c>
      <c r="AD331" s="6">
        <v>1</v>
      </c>
      <c r="AE331" t="s">
        <v>910</v>
      </c>
      <c r="AF331" t="s">
        <v>749</v>
      </c>
      <c r="AG331" t="s">
        <v>910</v>
      </c>
      <c r="AH331" t="s">
        <v>928</v>
      </c>
      <c r="AI331" t="s">
        <v>367</v>
      </c>
      <c r="AJ331" t="str">
        <f t="shared" si="181"/>
        <v>o</v>
      </c>
      <c r="AK331" t="str">
        <f t="shared" si="181"/>
        <v>o</v>
      </c>
      <c r="AL331" t="str">
        <f t="shared" si="182"/>
        <v>o</v>
      </c>
      <c r="AN331" t="s">
        <v>861</v>
      </c>
      <c r="AO331" t="str">
        <f t="shared" si="183"/>
        <v>h</v>
      </c>
      <c r="AP331" t="str">
        <f t="shared" si="190"/>
        <v>o</v>
      </c>
      <c r="AQ331" t="str">
        <f t="shared" si="191"/>
        <v/>
      </c>
      <c r="AR331" t="str">
        <f t="shared" si="192"/>
        <v>Home</v>
      </c>
      <c r="AS331" t="str">
        <f t="shared" si="193"/>
        <v>h</v>
      </c>
      <c r="AT331" t="str">
        <f t="shared" si="194"/>
        <v>Offensive</v>
      </c>
      <c r="BA331" s="6">
        <f t="shared" si="184"/>
        <v>81</v>
      </c>
      <c r="BB331">
        <f t="shared" si="185"/>
        <v>18981</v>
      </c>
      <c r="BC331" t="str">
        <f t="shared" si="186"/>
        <v>Nelson</v>
      </c>
      <c r="BD331" t="str">
        <f t="shared" si="187"/>
        <v>Velodrome</v>
      </c>
      <c r="BE331" t="s">
        <v>238</v>
      </c>
      <c r="BF331" t="s">
        <v>174</v>
      </c>
      <c r="BG331" t="s">
        <v>85</v>
      </c>
      <c r="BI331" cm="1">
        <f t="array" ref="BI331">IFERROR(_xlfn._xlws.FILTER(shifts!A:A,(shifts!B:B=events!AD331)*(shifts!AG:AG&gt;=events!BK331)*(shifts!AH:AH&lt;=events!BL331)),BI330)</f>
        <v>18</v>
      </c>
      <c r="BJ331" s="15">
        <f t="shared" si="188"/>
        <v>2</v>
      </c>
      <c r="BK331">
        <f t="shared" si="195"/>
        <v>639</v>
      </c>
      <c r="BL331">
        <f t="shared" si="196"/>
        <v>637</v>
      </c>
      <c r="BM331" s="15">
        <f>SUMIFS(BJ$2:BJ331,K$2:K331,"=Intermission")+SUMIFS(BJ$2:BJ331,K$2:K331,"=Timeout")</f>
        <v>0</v>
      </c>
      <c r="BN331">
        <f t="shared" si="197"/>
        <v>0</v>
      </c>
      <c r="BO331" s="19">
        <f t="shared" si="198"/>
        <v>441</v>
      </c>
      <c r="BP331">
        <f t="shared" si="199"/>
        <v>436</v>
      </c>
      <c r="BQ331" s="17">
        <f t="shared" si="200"/>
        <v>443</v>
      </c>
      <c r="BR331" t="str">
        <f t="shared" si="201"/>
        <v>event_team_player_1</v>
      </c>
      <c r="BS331">
        <f>COUNTIFS(S$3:S331,"="&amp;S331,AI$3:AI331,"="&amp;AI331)</f>
        <v>1</v>
      </c>
      <c r="BT331" t="str">
        <f>IFERROR(VLOOKUP(BB331&amp;BU331&amp;X331,game_rosters!U:W,3,FALSE),"")</f>
        <v>P100078</v>
      </c>
      <c r="BU331" t="str">
        <f t="shared" si="202"/>
        <v>Nelson</v>
      </c>
    </row>
    <row r="332" spans="1:73" x14ac:dyDescent="0.2">
      <c r="A332">
        <f t="shared" si="189"/>
        <v>1</v>
      </c>
      <c r="E332" s="4"/>
      <c r="F332" s="43"/>
      <c r="G332" s="4"/>
      <c r="H332" s="46"/>
      <c r="J332" s="44" t="str">
        <f t="shared" si="203"/>
        <v>o</v>
      </c>
      <c r="K332" t="s">
        <v>238</v>
      </c>
      <c r="L332" t="s">
        <v>174</v>
      </c>
      <c r="M332" t="s">
        <v>85</v>
      </c>
      <c r="N332" t="str">
        <f t="shared" si="174"/>
        <v>s</v>
      </c>
      <c r="Q332" t="str">
        <f t="shared" si="172"/>
        <v/>
      </c>
      <c r="S332">
        <v>191</v>
      </c>
      <c r="U332" t="str">
        <f>IF(B332=1,MAX($U$2:$U331)+1,IF(AND($T332&lt;&gt;"",$T332=$T331),$U331,IF(B332="x",U331,"")))</f>
        <v/>
      </c>
      <c r="V332" t="str">
        <f>IF(C332=1,MAX($V$2:$V331)+1,IF(AND($T332&lt;&gt;"",$T332=$T331),$U331,IF(C332="x",V331,"")))</f>
        <v/>
      </c>
      <c r="W332" t="str">
        <f t="shared" si="178"/>
        <v>h</v>
      </c>
      <c r="X332">
        <v>93</v>
      </c>
      <c r="Y332" t="e">
        <f>IF(X332&lt;&gt;"",VLOOKUP(X332,game_rosters!$C$43:$E$64,3,FALSE))</f>
        <v>#N/A</v>
      </c>
      <c r="Z332" t="str" cm="1">
        <f t="array" ref="Z332">IFERROR(IF(_xlfn._xlws.FILTER(game_rosters!$J:$J,(game_rosters!$G:$G=events!$AN332)*(game_rosters!$J:$J=events!$X332))&gt;0,1,""),"")</f>
        <v/>
      </c>
      <c r="AA332">
        <f t="shared" si="179"/>
        <v>1191</v>
      </c>
      <c r="AB332" t="str">
        <f t="shared" si="180"/>
        <v/>
      </c>
      <c r="AC332">
        <f t="shared" si="177"/>
        <v>1191</v>
      </c>
      <c r="AD332" s="6">
        <v>1</v>
      </c>
      <c r="AE332" t="s">
        <v>910</v>
      </c>
      <c r="AF332" t="s">
        <v>749</v>
      </c>
      <c r="AG332" t="s">
        <v>910</v>
      </c>
      <c r="AH332" t="s">
        <v>928</v>
      </c>
      <c r="AI332" t="s">
        <v>368</v>
      </c>
      <c r="AJ332" t="str">
        <f t="shared" si="181"/>
        <v>o</v>
      </c>
      <c r="AK332" t="str">
        <f t="shared" si="181"/>
        <v>o</v>
      </c>
      <c r="AL332" t="str">
        <f t="shared" si="182"/>
        <v>o</v>
      </c>
      <c r="AN332" t="s">
        <v>861</v>
      </c>
      <c r="AO332" t="str">
        <f t="shared" si="183"/>
        <v>h</v>
      </c>
      <c r="AP332" t="str">
        <f t="shared" si="190"/>
        <v>o</v>
      </c>
      <c r="AQ332" t="str">
        <f t="shared" si="191"/>
        <v/>
      </c>
      <c r="AR332" t="str">
        <f t="shared" si="192"/>
        <v>Home</v>
      </c>
      <c r="AS332" t="str">
        <f t="shared" si="193"/>
        <v>h</v>
      </c>
      <c r="AT332" t="str">
        <f t="shared" si="194"/>
        <v>Defensive</v>
      </c>
      <c r="BA332" s="6">
        <f t="shared" si="184"/>
        <v>82</v>
      </c>
      <c r="BB332">
        <f t="shared" si="185"/>
        <v>18981</v>
      </c>
      <c r="BC332" t="str">
        <f t="shared" si="186"/>
        <v>Nelson</v>
      </c>
      <c r="BD332" t="str">
        <f t="shared" si="187"/>
        <v>Velodrome</v>
      </c>
      <c r="BE332" t="s">
        <v>238</v>
      </c>
      <c r="BF332" t="s">
        <v>174</v>
      </c>
      <c r="BG332" t="s">
        <v>85</v>
      </c>
      <c r="BI332" cm="1">
        <f t="array" ref="BI332">IFERROR(_xlfn._xlws.FILTER(shifts!A:A,(shifts!B:B=events!AD332)*(shifts!AG:AG&gt;=events!BK332)*(shifts!AH:AH&lt;=events!BL332)),BI331)</f>
        <v>18</v>
      </c>
      <c r="BJ332" s="15">
        <f t="shared" si="188"/>
        <v>2</v>
      </c>
      <c r="BK332">
        <f t="shared" si="195"/>
        <v>639</v>
      </c>
      <c r="BL332">
        <f t="shared" si="196"/>
        <v>637</v>
      </c>
      <c r="BM332" s="15">
        <f>SUMIFS(BJ$2:BJ332,K$2:K332,"=Intermission")+SUMIFS(BJ$2:BJ332,K$2:K332,"=Timeout")</f>
        <v>0</v>
      </c>
      <c r="BN332">
        <f t="shared" si="197"/>
        <v>0</v>
      </c>
      <c r="BO332" s="19">
        <f t="shared" si="198"/>
        <v>441</v>
      </c>
      <c r="BP332">
        <f t="shared" si="199"/>
        <v>436</v>
      </c>
      <c r="BQ332" s="17">
        <f t="shared" si="200"/>
        <v>443</v>
      </c>
      <c r="BR332" t="str">
        <f t="shared" si="201"/>
        <v>opp_team_player_1</v>
      </c>
      <c r="BS332">
        <f>COUNTIFS(S$3:S332,"="&amp;S332,AI$3:AI332,"="&amp;AI332)</f>
        <v>1</v>
      </c>
      <c r="BT332" t="str">
        <f>IFERROR(VLOOKUP(BB332&amp;BU332&amp;X332,game_rosters!U:W,3,FALSE),"")</f>
        <v>P100093</v>
      </c>
      <c r="BU332" t="str">
        <f t="shared" si="202"/>
        <v>Velodrome</v>
      </c>
    </row>
    <row r="333" spans="1:73" x14ac:dyDescent="0.2">
      <c r="A333">
        <f t="shared" si="189"/>
        <v>1</v>
      </c>
      <c r="E333" s="4"/>
      <c r="F333" s="43"/>
      <c r="G333" s="4"/>
      <c r="H333" s="46"/>
      <c r="J333" s="44" t="str">
        <f t="shared" si="203"/>
        <v>o</v>
      </c>
      <c r="K333" t="s">
        <v>238</v>
      </c>
      <c r="L333" t="s">
        <v>174</v>
      </c>
      <c r="M333" t="s">
        <v>85</v>
      </c>
      <c r="N333" t="str">
        <f t="shared" si="174"/>
        <v>s</v>
      </c>
      <c r="Q333" t="str">
        <f t="shared" si="172"/>
        <v/>
      </c>
      <c r="S333">
        <v>191</v>
      </c>
      <c r="U333" t="str">
        <f>IF(B333=1,MAX($U$2:$U332)+1,IF(AND($T333&lt;&gt;"",$T333=$T332),$U332,IF(B333="x",U332,"")))</f>
        <v/>
      </c>
      <c r="V333" t="str">
        <f>IF(C333=1,MAX($V$2:$V332)+1,IF(AND($T333&lt;&gt;"",$T333=$T332),$U332,IF(C333="x",V332,"")))</f>
        <v/>
      </c>
      <c r="W333" t="str">
        <f t="shared" si="178"/>
        <v>h</v>
      </c>
      <c r="X333">
        <v>84</v>
      </c>
      <c r="Y333" t="e">
        <f>IF(X333&lt;&gt;"",VLOOKUP(X333,game_rosters!$C$43:$E$64,3,FALSE))</f>
        <v>#N/A</v>
      </c>
      <c r="Z333" t="str" cm="1">
        <f t="array" ref="Z333">IFERROR(IF(_xlfn._xlws.FILTER(game_rosters!$J:$J,(game_rosters!$G:$G=events!$AN333)*(game_rosters!$J:$J=events!$X333))&gt;0,1,""),"")</f>
        <v/>
      </c>
      <c r="AA333">
        <f t="shared" si="179"/>
        <v>1191</v>
      </c>
      <c r="AB333" t="str">
        <f t="shared" si="180"/>
        <v/>
      </c>
      <c r="AC333">
        <f t="shared" si="177"/>
        <v>1191</v>
      </c>
      <c r="AD333" s="6">
        <v>1</v>
      </c>
      <c r="AE333" t="s">
        <v>910</v>
      </c>
      <c r="AF333" t="s">
        <v>749</v>
      </c>
      <c r="AG333" t="s">
        <v>910</v>
      </c>
      <c r="AH333" t="s">
        <v>928</v>
      </c>
      <c r="AI333" t="s">
        <v>368</v>
      </c>
      <c r="AJ333" t="str">
        <f t="shared" si="181"/>
        <v>o</v>
      </c>
      <c r="AK333" t="str">
        <f t="shared" si="181"/>
        <v>o</v>
      </c>
      <c r="AL333" t="str">
        <f t="shared" si="182"/>
        <v>o</v>
      </c>
      <c r="AN333" t="s">
        <v>861</v>
      </c>
      <c r="AO333" t="str">
        <f t="shared" si="183"/>
        <v>h</v>
      </c>
      <c r="AP333" t="str">
        <f t="shared" si="190"/>
        <v>o</v>
      </c>
      <c r="AQ333" t="str">
        <f t="shared" si="191"/>
        <v/>
      </c>
      <c r="AR333" t="str">
        <f t="shared" si="192"/>
        <v>Home</v>
      </c>
      <c r="AS333" t="str">
        <f t="shared" si="193"/>
        <v>h</v>
      </c>
      <c r="AT333" t="str">
        <f t="shared" si="194"/>
        <v>Defensive</v>
      </c>
      <c r="BA333" s="6">
        <f t="shared" si="184"/>
        <v>83</v>
      </c>
      <c r="BB333">
        <f t="shared" si="185"/>
        <v>18981</v>
      </c>
      <c r="BC333" t="str">
        <f t="shared" si="186"/>
        <v>Nelson</v>
      </c>
      <c r="BD333" t="str">
        <f t="shared" si="187"/>
        <v>Velodrome</v>
      </c>
      <c r="BE333" t="s">
        <v>238</v>
      </c>
      <c r="BF333" t="s">
        <v>174</v>
      </c>
      <c r="BG333" t="s">
        <v>85</v>
      </c>
      <c r="BI333" cm="1">
        <f t="array" ref="BI333">IFERROR(_xlfn._xlws.FILTER(shifts!A:A,(shifts!B:B=events!AD333)*(shifts!AG:AG&gt;=events!BK333)*(shifts!AH:AH&lt;=events!BL333)),BI332)</f>
        <v>18</v>
      </c>
      <c r="BJ333" s="15">
        <f t="shared" si="188"/>
        <v>2</v>
      </c>
      <c r="BK333">
        <f t="shared" si="195"/>
        <v>639</v>
      </c>
      <c r="BL333">
        <f t="shared" si="196"/>
        <v>637</v>
      </c>
      <c r="BM333" s="15">
        <f>SUMIFS(BJ$2:BJ333,K$2:K333,"=Intermission")+SUMIFS(BJ$2:BJ333,K$2:K333,"=Timeout")</f>
        <v>0</v>
      </c>
      <c r="BN333">
        <f t="shared" si="197"/>
        <v>0</v>
      </c>
      <c r="BO333" s="19">
        <f t="shared" si="198"/>
        <v>441</v>
      </c>
      <c r="BP333">
        <f t="shared" si="199"/>
        <v>436</v>
      </c>
      <c r="BQ333" s="17">
        <f t="shared" si="200"/>
        <v>443</v>
      </c>
      <c r="BR333" t="str">
        <f t="shared" si="201"/>
        <v>opp_team_player_2</v>
      </c>
      <c r="BS333">
        <f>COUNTIFS(S$3:S333,"="&amp;S333,AI$3:AI333,"="&amp;AI333)</f>
        <v>2</v>
      </c>
      <c r="BT333" t="str">
        <f>IFERROR(VLOOKUP(BB333&amp;BU333&amp;X333,game_rosters!U:W,3,FALSE),"")</f>
        <v>P100198</v>
      </c>
      <c r="BU333" t="str">
        <f t="shared" si="202"/>
        <v>Velodrome</v>
      </c>
    </row>
    <row r="334" spans="1:73" x14ac:dyDescent="0.2">
      <c r="A334">
        <f t="shared" si="189"/>
        <v>1</v>
      </c>
      <c r="E334" s="4"/>
      <c r="F334" s="43"/>
      <c r="G334" s="4"/>
      <c r="H334" s="46"/>
      <c r="J334" s="44" t="str">
        <f t="shared" si="203"/>
        <v>o</v>
      </c>
      <c r="K334" t="s">
        <v>238</v>
      </c>
      <c r="L334" t="s">
        <v>174</v>
      </c>
      <c r="M334" t="s">
        <v>85</v>
      </c>
      <c r="N334" t="str">
        <f t="shared" si="174"/>
        <v>s</v>
      </c>
      <c r="Q334" t="str">
        <f t="shared" si="172"/>
        <v/>
      </c>
      <c r="S334">
        <v>191</v>
      </c>
      <c r="U334" t="str">
        <f>IF(B334=1,MAX($U$2:$U333)+1,IF(AND($T334&lt;&gt;"",$T334=$T333),$U333,IF(B334="x",U333,"")))</f>
        <v/>
      </c>
      <c r="V334" t="str">
        <f>IF(C334=1,MAX($V$2:$V333)+1,IF(AND($T334&lt;&gt;"",$T334=$T333),$U333,IF(C334="x",V333,"")))</f>
        <v/>
      </c>
      <c r="W334" t="str">
        <f t="shared" si="178"/>
        <v>h</v>
      </c>
      <c r="X334">
        <v>91</v>
      </c>
      <c r="Y334" t="e">
        <f>IF(X334&lt;&gt;"",VLOOKUP(X334,game_rosters!$C$43:$E$64,3,FALSE))</f>
        <v>#N/A</v>
      </c>
      <c r="Z334" t="str" cm="1">
        <f t="array" ref="Z334">IFERROR(IF(_xlfn._xlws.FILTER(game_rosters!$J:$J,(game_rosters!$G:$G=events!$AN334)*(game_rosters!$J:$J=events!$X334))&gt;0,1,""),"")</f>
        <v/>
      </c>
      <c r="AA334">
        <f t="shared" si="179"/>
        <v>1191</v>
      </c>
      <c r="AB334" t="str">
        <f t="shared" si="180"/>
        <v/>
      </c>
      <c r="AC334">
        <f t="shared" si="177"/>
        <v>1191</v>
      </c>
      <c r="AD334" s="6">
        <v>1</v>
      </c>
      <c r="AE334" t="s">
        <v>910</v>
      </c>
      <c r="AF334" t="s">
        <v>749</v>
      </c>
      <c r="AG334" t="s">
        <v>910</v>
      </c>
      <c r="AH334" t="s">
        <v>928</v>
      </c>
      <c r="AI334" t="s">
        <v>368</v>
      </c>
      <c r="AJ334" t="str">
        <f t="shared" si="181"/>
        <v>o</v>
      </c>
      <c r="AK334" t="str">
        <f t="shared" si="181"/>
        <v>o</v>
      </c>
      <c r="AL334" t="str">
        <f t="shared" si="182"/>
        <v>o</v>
      </c>
      <c r="AN334" t="s">
        <v>861</v>
      </c>
      <c r="AO334" t="str">
        <f t="shared" si="183"/>
        <v>h</v>
      </c>
      <c r="AP334" t="str">
        <f t="shared" si="190"/>
        <v>o</v>
      </c>
      <c r="AQ334" t="str">
        <f t="shared" si="191"/>
        <v/>
      </c>
      <c r="AR334" t="str">
        <f t="shared" si="192"/>
        <v>Home</v>
      </c>
      <c r="AS334" t="str">
        <f t="shared" si="193"/>
        <v>h</v>
      </c>
      <c r="AT334" t="str">
        <f t="shared" si="194"/>
        <v>Defensive</v>
      </c>
      <c r="BA334" s="6">
        <f t="shared" si="184"/>
        <v>84</v>
      </c>
      <c r="BB334">
        <f t="shared" si="185"/>
        <v>18981</v>
      </c>
      <c r="BC334" t="str">
        <f t="shared" si="186"/>
        <v>Nelson</v>
      </c>
      <c r="BD334" t="str">
        <f t="shared" si="187"/>
        <v>Velodrome</v>
      </c>
      <c r="BE334" t="s">
        <v>238</v>
      </c>
      <c r="BF334" t="s">
        <v>174</v>
      </c>
      <c r="BG334" t="s">
        <v>85</v>
      </c>
      <c r="BI334" cm="1">
        <f t="array" ref="BI334">IFERROR(_xlfn._xlws.FILTER(shifts!A:A,(shifts!B:B=events!AD334)*(shifts!AG:AG&gt;=events!BK334)*(shifts!AH:AH&lt;=events!BL334)),BI333)</f>
        <v>18</v>
      </c>
      <c r="BJ334" s="15">
        <f t="shared" si="188"/>
        <v>2</v>
      </c>
      <c r="BK334">
        <f t="shared" si="195"/>
        <v>639</v>
      </c>
      <c r="BL334">
        <f t="shared" si="196"/>
        <v>637</v>
      </c>
      <c r="BM334" s="15">
        <f>SUMIFS(BJ$2:BJ334,K$2:K334,"=Intermission")+SUMIFS(BJ$2:BJ334,K$2:K334,"=Timeout")</f>
        <v>0</v>
      </c>
      <c r="BN334">
        <f t="shared" si="197"/>
        <v>0</v>
      </c>
      <c r="BO334" s="19">
        <f t="shared" si="198"/>
        <v>441</v>
      </c>
      <c r="BP334">
        <f t="shared" si="199"/>
        <v>436</v>
      </c>
      <c r="BQ334" s="17">
        <f t="shared" si="200"/>
        <v>443</v>
      </c>
      <c r="BR334" t="str">
        <f t="shared" si="201"/>
        <v>opp_team_player_3</v>
      </c>
      <c r="BS334">
        <f>COUNTIFS(S$3:S334,"="&amp;S334,AI$3:AI334,"="&amp;AI334)</f>
        <v>3</v>
      </c>
      <c r="BT334" t="str">
        <f>IFERROR(VLOOKUP(BB334&amp;BU334&amp;X334,game_rosters!U:W,3,FALSE),"")</f>
        <v>P100002</v>
      </c>
      <c r="BU334" t="str">
        <f t="shared" si="202"/>
        <v>Velodrome</v>
      </c>
    </row>
    <row r="335" spans="1:73" x14ac:dyDescent="0.2">
      <c r="A335">
        <f t="shared" si="189"/>
        <v>1</v>
      </c>
      <c r="E335" s="4"/>
      <c r="F335" s="43"/>
      <c r="G335" s="4"/>
      <c r="H335" s="46"/>
      <c r="J335" s="44" t="str">
        <f t="shared" si="203"/>
        <v/>
      </c>
      <c r="K335" t="s">
        <v>9</v>
      </c>
      <c r="L335" t="s">
        <v>183</v>
      </c>
      <c r="M335" t="s">
        <v>80</v>
      </c>
      <c r="N335" t="str">
        <f t="shared" si="174"/>
        <v/>
      </c>
      <c r="Q335" t="str">
        <f t="shared" si="172"/>
        <v/>
      </c>
      <c r="S335">
        <v>192</v>
      </c>
      <c r="U335" t="str">
        <f>IF(B335=1,MAX($U$2:$U334)+1,IF(AND($T335&lt;&gt;"",$T335=$T334),$U334,IF(B335="x",U334,"")))</f>
        <v/>
      </c>
      <c r="V335" t="str">
        <f>IF(C335=1,MAX($V$2:$V334)+1,IF(AND($T335&lt;&gt;"",$T335=$T334),$U334,IF(C335="x",V334,"")))</f>
        <v/>
      </c>
      <c r="W335" t="str">
        <f t="shared" si="178"/>
        <v>a</v>
      </c>
      <c r="X335">
        <v>39</v>
      </c>
      <c r="Y335" t="e">
        <f>IF(X335&lt;&gt;"",VLOOKUP(X335,game_rosters!$C$43:$E$64,3,FALSE))</f>
        <v>#N/A</v>
      </c>
      <c r="Z335" cm="1">
        <f t="array" ref="Z335">IFERROR(IF(_xlfn._xlws.FILTER(game_rosters!$J:$J,(game_rosters!$G:$G=events!$AN335)*(game_rosters!$J:$J=events!$X335))&gt;0,1,""),"")</f>
        <v>1</v>
      </c>
      <c r="AA335">
        <f t="shared" si="179"/>
        <v>1192</v>
      </c>
      <c r="AB335" t="str">
        <f t="shared" si="180"/>
        <v/>
      </c>
      <c r="AC335">
        <f t="shared" si="177"/>
        <v>1192</v>
      </c>
      <c r="AD335" s="6">
        <v>1</v>
      </c>
      <c r="AE335" t="s">
        <v>910</v>
      </c>
      <c r="AF335" t="s">
        <v>928</v>
      </c>
      <c r="AG335" t="s">
        <v>756</v>
      </c>
      <c r="AH335" t="s">
        <v>756</v>
      </c>
      <c r="AI335" t="s">
        <v>367</v>
      </c>
      <c r="AJ335" t="str">
        <f t="shared" si="181"/>
        <v/>
      </c>
      <c r="AK335" t="str">
        <f t="shared" si="181"/>
        <v/>
      </c>
      <c r="AL335" t="str">
        <f t="shared" si="182"/>
        <v/>
      </c>
      <c r="AN335" t="s">
        <v>862</v>
      </c>
      <c r="AO335" t="str">
        <f t="shared" si="183"/>
        <v>a</v>
      </c>
      <c r="AP335" t="str">
        <f t="shared" si="190"/>
        <v/>
      </c>
      <c r="AQ335" t="str">
        <f t="shared" si="191"/>
        <v/>
      </c>
      <c r="AR335" t="str">
        <f t="shared" si="192"/>
        <v>Away</v>
      </c>
      <c r="AS335" t="str">
        <f t="shared" si="193"/>
        <v>a</v>
      </c>
      <c r="AT335" t="str">
        <f t="shared" si="194"/>
        <v>Defensive</v>
      </c>
      <c r="BA335" s="6">
        <f t="shared" si="184"/>
        <v>84</v>
      </c>
      <c r="BB335">
        <f t="shared" si="185"/>
        <v>18981</v>
      </c>
      <c r="BC335" t="str">
        <f t="shared" si="186"/>
        <v>Nelson</v>
      </c>
      <c r="BD335" t="str">
        <f t="shared" si="187"/>
        <v>Velodrome</v>
      </c>
      <c r="BE335" t="s">
        <v>9</v>
      </c>
      <c r="BF335" t="s">
        <v>183</v>
      </c>
      <c r="BG335" t="s">
        <v>80</v>
      </c>
      <c r="BI335" cm="1">
        <f t="array" ref="BI335">IFERROR(_xlfn._xlws.FILTER(shifts!A:A,(shifts!B:B=events!AD335)*(shifts!AG:AG&gt;=events!BK335)*(shifts!AH:AH&lt;=events!BL335)),BI334)</f>
        <v>19</v>
      </c>
      <c r="BJ335" s="15">
        <f t="shared" si="188"/>
        <v>0</v>
      </c>
      <c r="BK335">
        <f t="shared" si="195"/>
        <v>637</v>
      </c>
      <c r="BL335">
        <f t="shared" si="196"/>
        <v>637</v>
      </c>
      <c r="BM335" s="15">
        <f>SUMIFS(BJ$2:BJ335,K$2:K335,"=Intermission")+SUMIFS(BJ$2:BJ335,K$2:K335,"=Timeout")</f>
        <v>0</v>
      </c>
      <c r="BN335">
        <f t="shared" si="197"/>
        <v>0</v>
      </c>
      <c r="BO335" s="19">
        <f t="shared" si="198"/>
        <v>443</v>
      </c>
      <c r="BP335">
        <f t="shared" si="199"/>
        <v>438</v>
      </c>
      <c r="BQ335" s="17">
        <f t="shared" si="200"/>
        <v>443</v>
      </c>
      <c r="BR335" t="str">
        <f t="shared" si="201"/>
        <v>event_team_player_1</v>
      </c>
      <c r="BS335">
        <f>COUNTIFS(S$3:S335,"="&amp;S335,AI$3:AI335,"="&amp;AI335)</f>
        <v>1</v>
      </c>
      <c r="BT335" t="str">
        <f>IFERROR(VLOOKUP(BB335&amp;BU335&amp;X335,game_rosters!U:W,3,FALSE),"")</f>
        <v>P100016</v>
      </c>
      <c r="BU335" t="str">
        <f t="shared" si="202"/>
        <v>Velodrome</v>
      </c>
    </row>
    <row r="336" spans="1:73" x14ac:dyDescent="0.2">
      <c r="A336">
        <f t="shared" si="189"/>
        <v>1</v>
      </c>
      <c r="E336" s="4"/>
      <c r="F336" s="43"/>
      <c r="G336" s="4"/>
      <c r="H336" s="46"/>
      <c r="J336" s="44" t="str">
        <f t="shared" si="203"/>
        <v/>
      </c>
      <c r="K336" t="s">
        <v>9</v>
      </c>
      <c r="L336" t="s">
        <v>183</v>
      </c>
      <c r="M336" t="s">
        <v>80</v>
      </c>
      <c r="N336" t="str">
        <f t="shared" si="174"/>
        <v/>
      </c>
      <c r="Q336" t="str">
        <f t="shared" ref="Q336:Q399" si="204">IF(O336="","",IF(AND(N336&lt;&gt;"",OR(O336&lt;&gt;"",P336&lt;&gt;"")),N336,IF(OR(ISNUMBER(SEARCH("attemp",O336)),ISNUMBER(SEARCH("beat",O336)),ISNUMBER(SEARCH("mis",O336)),ISNUMBER(SEARCH("fail",O336)),ISNUMBER(SEARCH("loss",O336)),ISNUMBER(SEARCH("lost",O336)),ISNUMBER(SEARCH("attemp",P336)),ISNUMBER(SEARCH("mis",P336)),ISNUMBER(SEARCH("fail",P336)),ISNUMBER(SEARCH("loss",P336)),ISNUMBER(SEARCH("beat",P336)),ISNUMBER(SEARCH("lost",P336))),"u","")))</f>
        <v/>
      </c>
      <c r="S336">
        <v>192</v>
      </c>
      <c r="U336" t="str">
        <f>IF(B336=1,MAX($U$2:$U335)+1,IF(AND($T336&lt;&gt;"",$T336=$T335),$U335,IF(B336="x",U335,"")))</f>
        <v/>
      </c>
      <c r="V336" t="str">
        <f>IF(C336=1,MAX($V$2:$V335)+1,IF(AND($T336&lt;&gt;"",$T336=$T335),$U335,IF(C336="x",V335,"")))</f>
        <v/>
      </c>
      <c r="W336" t="str">
        <f t="shared" si="178"/>
        <v>a</v>
      </c>
      <c r="X336">
        <v>93</v>
      </c>
      <c r="Y336" t="e">
        <f>IF(X336&lt;&gt;"",VLOOKUP(X336,game_rosters!$C$43:$E$64,3,FALSE))</f>
        <v>#N/A</v>
      </c>
      <c r="Z336" cm="1">
        <f t="array" ref="Z336">IFERROR(IF(_xlfn._xlws.FILTER(game_rosters!$J:$J,(game_rosters!$G:$G=events!$AN336)*(game_rosters!$J:$J=events!$X336))&gt;0,1,""),"")</f>
        <v>1</v>
      </c>
      <c r="AA336">
        <f t="shared" si="179"/>
        <v>1192</v>
      </c>
      <c r="AB336" t="str">
        <f t="shared" si="180"/>
        <v/>
      </c>
      <c r="AC336">
        <f t="shared" si="177"/>
        <v>1192</v>
      </c>
      <c r="AD336" s="6">
        <v>1</v>
      </c>
      <c r="AE336" t="s">
        <v>910</v>
      </c>
      <c r="AF336" t="s">
        <v>928</v>
      </c>
      <c r="AG336" t="s">
        <v>756</v>
      </c>
      <c r="AH336" t="s">
        <v>756</v>
      </c>
      <c r="AI336" t="s">
        <v>368</v>
      </c>
      <c r="AJ336" t="str">
        <f t="shared" si="181"/>
        <v/>
      </c>
      <c r="AK336" t="str">
        <f t="shared" si="181"/>
        <v/>
      </c>
      <c r="AL336" t="str">
        <f t="shared" si="182"/>
        <v/>
      </c>
      <c r="AN336" t="s">
        <v>862</v>
      </c>
      <c r="AO336" t="str">
        <f t="shared" si="183"/>
        <v>a</v>
      </c>
      <c r="AP336" t="str">
        <f t="shared" si="190"/>
        <v/>
      </c>
      <c r="AQ336" t="str">
        <f t="shared" si="191"/>
        <v/>
      </c>
      <c r="AR336" t="str">
        <f t="shared" si="192"/>
        <v>Away</v>
      </c>
      <c r="AS336" t="str">
        <f t="shared" si="193"/>
        <v>a</v>
      </c>
      <c r="AT336" t="str">
        <f t="shared" si="194"/>
        <v>Offensive</v>
      </c>
      <c r="BA336" s="6">
        <f t="shared" si="184"/>
        <v>84</v>
      </c>
      <c r="BB336">
        <f t="shared" si="185"/>
        <v>18981</v>
      </c>
      <c r="BC336" t="str">
        <f t="shared" si="186"/>
        <v>Nelson</v>
      </c>
      <c r="BD336" t="str">
        <f t="shared" si="187"/>
        <v>Velodrome</v>
      </c>
      <c r="BE336" t="s">
        <v>9</v>
      </c>
      <c r="BF336" t="s">
        <v>183</v>
      </c>
      <c r="BG336" t="s">
        <v>80</v>
      </c>
      <c r="BI336" cm="1">
        <f t="array" ref="BI336">IFERROR(_xlfn._xlws.FILTER(shifts!A:A,(shifts!B:B=events!AD336)*(shifts!AG:AG&gt;=events!BK336)*(shifts!AH:AH&lt;=events!BL336)),BI335)</f>
        <v>19</v>
      </c>
      <c r="BJ336" s="15">
        <f t="shared" si="188"/>
        <v>0</v>
      </c>
      <c r="BK336">
        <f t="shared" si="195"/>
        <v>637</v>
      </c>
      <c r="BL336">
        <f t="shared" si="196"/>
        <v>637</v>
      </c>
      <c r="BM336" s="15">
        <f>SUMIFS(BJ$2:BJ336,K$2:K336,"=Intermission")+SUMIFS(BJ$2:BJ336,K$2:K336,"=Timeout")</f>
        <v>0</v>
      </c>
      <c r="BN336">
        <f t="shared" si="197"/>
        <v>0</v>
      </c>
      <c r="BO336" s="19">
        <f t="shared" si="198"/>
        <v>443</v>
      </c>
      <c r="BP336">
        <f t="shared" si="199"/>
        <v>438</v>
      </c>
      <c r="BQ336" s="17">
        <f t="shared" si="200"/>
        <v>443</v>
      </c>
      <c r="BR336" t="str">
        <f t="shared" si="201"/>
        <v>opp_team_player_1</v>
      </c>
      <c r="BS336">
        <f>COUNTIFS(S$3:S336,"="&amp;S336,AI$3:AI336,"="&amp;AI336)</f>
        <v>1</v>
      </c>
      <c r="BT336" t="str">
        <f>IFERROR(VLOOKUP(BB336&amp;BU336&amp;X336,game_rosters!U:W,3,FALSE),"")</f>
        <v>P100093</v>
      </c>
      <c r="BU336" t="s">
        <v>521</v>
      </c>
    </row>
    <row r="337" spans="1:73" x14ac:dyDescent="0.2">
      <c r="A337">
        <f t="shared" si="189"/>
        <v>1</v>
      </c>
      <c r="E337" s="4"/>
      <c r="F337" s="43"/>
      <c r="G337" s="4"/>
      <c r="H337" s="46"/>
      <c r="J337" s="44" t="str">
        <f t="shared" si="203"/>
        <v/>
      </c>
      <c r="K337" t="s">
        <v>9</v>
      </c>
      <c r="L337" t="s">
        <v>183</v>
      </c>
      <c r="M337" t="s">
        <v>80</v>
      </c>
      <c r="N337" t="str">
        <f t="shared" si="174"/>
        <v/>
      </c>
      <c r="Q337" t="str">
        <f t="shared" si="204"/>
        <v/>
      </c>
      <c r="S337">
        <v>192</v>
      </c>
      <c r="U337" t="str">
        <f>IF(B337=1,MAX($U$2:$U336)+1,IF(AND($T337&lt;&gt;"",$T337=$T336),$U336,IF(B337="x",U336,"")))</f>
        <v/>
      </c>
      <c r="V337" t="str">
        <f>IF(C337=1,MAX($V$2:$V336)+1,IF(AND($T337&lt;&gt;"",$T337=$T336),$U336,IF(C337="x",V336,"")))</f>
        <v/>
      </c>
      <c r="W337" t="str">
        <f t="shared" si="178"/>
        <v>a</v>
      </c>
      <c r="X337">
        <v>10</v>
      </c>
      <c r="Y337" t="b">
        <f>IF(X337&lt;&gt;"",VLOOKUP(X337,game_rosters!$C$43:$E$64,3,FALSE))</f>
        <v>0</v>
      </c>
      <c r="Z337" t="str" cm="1">
        <f t="array" ref="Z337">IFERROR(IF(_xlfn._xlws.FILTER(game_rosters!$J:$J,(game_rosters!$G:$G=events!$AN337)*(game_rosters!$J:$J=events!$X337))&gt;0,1,""),"")</f>
        <v/>
      </c>
      <c r="AA337">
        <f t="shared" si="179"/>
        <v>1192</v>
      </c>
      <c r="AB337" t="str">
        <f t="shared" si="180"/>
        <v/>
      </c>
      <c r="AC337">
        <f t="shared" si="177"/>
        <v>1192</v>
      </c>
      <c r="AD337" s="6">
        <v>1</v>
      </c>
      <c r="AE337" t="s">
        <v>910</v>
      </c>
      <c r="AF337" t="s">
        <v>928</v>
      </c>
      <c r="AG337" t="s">
        <v>756</v>
      </c>
      <c r="AH337" t="s">
        <v>756</v>
      </c>
      <c r="AI337" t="s">
        <v>368</v>
      </c>
      <c r="AJ337" t="str">
        <f t="shared" si="181"/>
        <v/>
      </c>
      <c r="AK337" t="str">
        <f t="shared" si="181"/>
        <v/>
      </c>
      <c r="AL337" t="str">
        <f t="shared" si="182"/>
        <v/>
      </c>
      <c r="AN337" t="s">
        <v>862</v>
      </c>
      <c r="AO337" t="str">
        <f t="shared" si="183"/>
        <v>a</v>
      </c>
      <c r="AP337" t="str">
        <f t="shared" si="190"/>
        <v/>
      </c>
      <c r="AQ337" t="str">
        <f t="shared" si="191"/>
        <v/>
      </c>
      <c r="AR337" t="str">
        <f t="shared" si="192"/>
        <v>Away</v>
      </c>
      <c r="AS337" t="str">
        <f t="shared" si="193"/>
        <v>a</v>
      </c>
      <c r="AT337" t="str">
        <f t="shared" si="194"/>
        <v>Offensive</v>
      </c>
      <c r="BA337" s="6">
        <f t="shared" si="184"/>
        <v>84</v>
      </c>
      <c r="BB337">
        <f t="shared" si="185"/>
        <v>18981</v>
      </c>
      <c r="BC337" t="str">
        <f t="shared" si="186"/>
        <v>Nelson</v>
      </c>
      <c r="BD337" t="str">
        <f t="shared" si="187"/>
        <v>Velodrome</v>
      </c>
      <c r="BE337" t="s">
        <v>9</v>
      </c>
      <c r="BF337" t="s">
        <v>183</v>
      </c>
      <c r="BG337" t="s">
        <v>80</v>
      </c>
      <c r="BI337" cm="1">
        <f t="array" ref="BI337">IFERROR(_xlfn._xlws.FILTER(shifts!A:A,(shifts!B:B=events!AD337)*(shifts!AG:AG&gt;=events!BK337)*(shifts!AH:AH&lt;=events!BL337)),BI336)</f>
        <v>19</v>
      </c>
      <c r="BJ337" s="15">
        <f t="shared" si="188"/>
        <v>0</v>
      </c>
      <c r="BK337">
        <f t="shared" si="195"/>
        <v>637</v>
      </c>
      <c r="BL337">
        <f t="shared" si="196"/>
        <v>637</v>
      </c>
      <c r="BM337" s="15">
        <f>SUMIFS(BJ$2:BJ337,K$2:K337,"=Intermission")+SUMIFS(BJ$2:BJ337,K$2:K337,"=Timeout")</f>
        <v>0</v>
      </c>
      <c r="BN337">
        <f t="shared" si="197"/>
        <v>0</v>
      </c>
      <c r="BO337" s="19">
        <f t="shared" si="198"/>
        <v>443</v>
      </c>
      <c r="BP337">
        <f t="shared" si="199"/>
        <v>438</v>
      </c>
      <c r="BQ337" s="17">
        <f t="shared" si="200"/>
        <v>443</v>
      </c>
      <c r="BR337" t="str">
        <f t="shared" si="201"/>
        <v>opp_team_player_2</v>
      </c>
      <c r="BS337">
        <f>COUNTIFS(S$3:S337,"="&amp;S337,AI$3:AI337,"="&amp;AI337)</f>
        <v>2</v>
      </c>
      <c r="BT337" t="str">
        <f>IFERROR(VLOOKUP(BB337&amp;BU337&amp;X337,game_rosters!U:W,3,FALSE),"")</f>
        <v>P100078</v>
      </c>
      <c r="BU337" t="str">
        <f t="shared" si="202"/>
        <v>Nelson</v>
      </c>
    </row>
    <row r="338" spans="1:73" x14ac:dyDescent="0.2">
      <c r="A338">
        <f t="shared" si="189"/>
        <v>1</v>
      </c>
      <c r="E338" s="4"/>
      <c r="F338" s="43"/>
      <c r="G338" s="4"/>
      <c r="H338" s="46"/>
      <c r="J338" s="44" t="str">
        <f t="shared" si="203"/>
        <v/>
      </c>
      <c r="K338" t="s">
        <v>13</v>
      </c>
      <c r="L338" t="s">
        <v>756</v>
      </c>
      <c r="M338" t="s">
        <v>756</v>
      </c>
      <c r="N338" t="str">
        <f t="shared" si="174"/>
        <v/>
      </c>
      <c r="Q338" t="str">
        <f t="shared" si="204"/>
        <v/>
      </c>
      <c r="S338">
        <v>193</v>
      </c>
      <c r="U338" t="str">
        <f>IF(B338=1,MAX($U$2:$U337)+1,IF(AND($T338&lt;&gt;"",$T338=$T337),$U337,IF(B338="x",U337,"")))</f>
        <v/>
      </c>
      <c r="V338" t="str">
        <f>IF(C338=1,MAX($V$2:$V337)+1,IF(AND($T338&lt;&gt;"",$T338=$T337),$U337,IF(C338="x",V337,"")))</f>
        <v/>
      </c>
      <c r="W338" t="str">
        <f t="shared" si="178"/>
        <v>a</v>
      </c>
      <c r="X338">
        <v>70</v>
      </c>
      <c r="Y338" t="e">
        <f>IF(X338&lt;&gt;"",VLOOKUP(X338,game_rosters!$C$43:$E$64,3,FALSE))</f>
        <v>#N/A</v>
      </c>
      <c r="Z338" cm="1">
        <f t="array" ref="Z338">IFERROR(IF(_xlfn._xlws.FILTER(game_rosters!$J:$J,(game_rosters!$G:$G=events!$AN338)*(game_rosters!$J:$J=events!$X338))&gt;0,1,""),"")</f>
        <v>1</v>
      </c>
      <c r="AA338">
        <f t="shared" si="179"/>
        <v>1193</v>
      </c>
      <c r="AB338" t="str">
        <f t="shared" si="180"/>
        <v/>
      </c>
      <c r="AC338">
        <f t="shared" si="177"/>
        <v>1193</v>
      </c>
      <c r="AD338" s="6">
        <v>1</v>
      </c>
      <c r="AE338" t="s">
        <v>910</v>
      </c>
      <c r="AF338" t="s">
        <v>928</v>
      </c>
      <c r="AG338" t="s">
        <v>910</v>
      </c>
      <c r="AH338" t="s">
        <v>929</v>
      </c>
      <c r="AI338" t="s">
        <v>367</v>
      </c>
      <c r="AJ338" t="str">
        <f t="shared" si="181"/>
        <v/>
      </c>
      <c r="AK338" t="str">
        <f t="shared" si="181"/>
        <v/>
      </c>
      <c r="AL338" t="str">
        <f t="shared" si="182"/>
        <v/>
      </c>
      <c r="AN338" t="s">
        <v>862</v>
      </c>
      <c r="AO338" t="str">
        <f t="shared" si="183"/>
        <v>a</v>
      </c>
      <c r="AP338" t="str">
        <f t="shared" si="190"/>
        <v/>
      </c>
      <c r="AQ338" t="str">
        <f t="shared" si="191"/>
        <v/>
      </c>
      <c r="AR338" t="str">
        <f t="shared" si="192"/>
        <v>Away</v>
      </c>
      <c r="AS338" t="str">
        <f t="shared" si="193"/>
        <v>a</v>
      </c>
      <c r="AT338" t="str">
        <f t="shared" si="194"/>
        <v>Offensive</v>
      </c>
      <c r="BA338" s="6">
        <f t="shared" si="184"/>
        <v>84</v>
      </c>
      <c r="BB338">
        <f t="shared" si="185"/>
        <v>18981</v>
      </c>
      <c r="BC338" t="str">
        <f t="shared" si="186"/>
        <v>Nelson</v>
      </c>
      <c r="BD338" t="str">
        <f t="shared" si="187"/>
        <v>Velodrome</v>
      </c>
      <c r="BE338" t="s">
        <v>13</v>
      </c>
      <c r="BF338" t="s">
        <v>756</v>
      </c>
      <c r="BG338" t="s">
        <v>756</v>
      </c>
      <c r="BI338" cm="1">
        <f t="array" ref="BI338">IFERROR(_xlfn._xlws.FILTER(shifts!A:A,(shifts!B:B=events!AD338)*(shifts!AG:AG&gt;=events!BK338)*(shifts!AH:AH&lt;=events!BL338)),BI337)</f>
        <v>19</v>
      </c>
      <c r="BJ338" s="15">
        <f t="shared" si="188"/>
        <v>3</v>
      </c>
      <c r="BK338">
        <f t="shared" si="195"/>
        <v>637</v>
      </c>
      <c r="BL338">
        <f t="shared" si="196"/>
        <v>634</v>
      </c>
      <c r="BM338" s="15">
        <f>SUMIFS(BJ$2:BJ338,K$2:K338,"=Intermission")+SUMIFS(BJ$2:BJ338,K$2:K338,"=Timeout")</f>
        <v>0</v>
      </c>
      <c r="BN338">
        <f t="shared" si="197"/>
        <v>0</v>
      </c>
      <c r="BO338" s="19">
        <f t="shared" si="198"/>
        <v>443</v>
      </c>
      <c r="BP338">
        <f t="shared" si="199"/>
        <v>438</v>
      </c>
      <c r="BQ338" s="17">
        <f t="shared" si="200"/>
        <v>446</v>
      </c>
      <c r="BR338" t="str">
        <f t="shared" si="201"/>
        <v>event_team_player_1</v>
      </c>
      <c r="BS338">
        <f>COUNTIFS(S$3:S338,"="&amp;S338,AI$3:AI338,"="&amp;AI338)</f>
        <v>1</v>
      </c>
      <c r="BT338" t="str">
        <f>IFERROR(VLOOKUP(BB338&amp;BU338&amp;X338,game_rosters!U:W,3,FALSE),"")</f>
        <v>P100001</v>
      </c>
      <c r="BU338" t="str">
        <f t="shared" si="202"/>
        <v>Velodrome</v>
      </c>
    </row>
    <row r="339" spans="1:73" x14ac:dyDescent="0.2">
      <c r="A339">
        <f t="shared" si="189"/>
        <v>1</v>
      </c>
      <c r="E339" s="4"/>
      <c r="F339" s="43"/>
      <c r="G339" s="4"/>
      <c r="H339" s="46"/>
      <c r="J339" s="44" t="str">
        <f t="shared" si="203"/>
        <v/>
      </c>
      <c r="K339" t="s">
        <v>7</v>
      </c>
      <c r="L339" t="s">
        <v>172</v>
      </c>
      <c r="M339" t="s">
        <v>381</v>
      </c>
      <c r="N339" t="str">
        <f t="shared" si="174"/>
        <v>s</v>
      </c>
      <c r="Q339" t="str">
        <f t="shared" si="204"/>
        <v/>
      </c>
      <c r="S339">
        <v>194</v>
      </c>
      <c r="U339" t="str">
        <f>IF(B339=1,MAX($U$2:$U338)+1,IF(AND($T339&lt;&gt;"",$T339=$T338),$U338,IF(B339="x",U338,"")))</f>
        <v/>
      </c>
      <c r="V339" t="str">
        <f>IF(C339=1,MAX($V$2:$V338)+1,IF(AND($T339&lt;&gt;"",$T339=$T338),$U338,IF(C339="x",V338,"")))</f>
        <v/>
      </c>
      <c r="W339" t="str">
        <f t="shared" si="178"/>
        <v>a</v>
      </c>
      <c r="X339">
        <v>70</v>
      </c>
      <c r="Y339" t="e">
        <f>IF(X339&lt;&gt;"",VLOOKUP(X339,game_rosters!$C$43:$E$64,3,FALSE))</f>
        <v>#N/A</v>
      </c>
      <c r="Z339" cm="1">
        <f t="array" ref="Z339">IFERROR(IF(_xlfn._xlws.FILTER(game_rosters!$J:$J,(game_rosters!$G:$G=events!$AN339)*(game_rosters!$J:$J=events!$X339))&gt;0,1,""),"")</f>
        <v>1</v>
      </c>
      <c r="AA339">
        <f t="shared" si="179"/>
        <v>1194</v>
      </c>
      <c r="AB339" t="str">
        <f t="shared" si="180"/>
        <v/>
      </c>
      <c r="AC339">
        <f t="shared" si="177"/>
        <v>1194</v>
      </c>
      <c r="AD339" s="6">
        <v>1</v>
      </c>
      <c r="AE339" t="s">
        <v>910</v>
      </c>
      <c r="AF339" t="s">
        <v>929</v>
      </c>
      <c r="AG339" t="s">
        <v>756</v>
      </c>
      <c r="AH339" t="s">
        <v>756</v>
      </c>
      <c r="AI339" t="s">
        <v>367</v>
      </c>
      <c r="AJ339" t="str">
        <f t="shared" si="181"/>
        <v/>
      </c>
      <c r="AK339" t="str">
        <f t="shared" si="181"/>
        <v/>
      </c>
      <c r="AL339" t="str">
        <f t="shared" si="182"/>
        <v/>
      </c>
      <c r="AN339" t="s">
        <v>862</v>
      </c>
      <c r="AO339" t="str">
        <f t="shared" si="183"/>
        <v>a</v>
      </c>
      <c r="AP339" t="str">
        <f t="shared" si="190"/>
        <v/>
      </c>
      <c r="AQ339" t="str">
        <f t="shared" si="191"/>
        <v/>
      </c>
      <c r="AR339" t="str">
        <f t="shared" si="192"/>
        <v>Away</v>
      </c>
      <c r="AS339" t="str">
        <f t="shared" si="193"/>
        <v>a</v>
      </c>
      <c r="AT339" t="str">
        <f t="shared" si="194"/>
        <v>Offensive</v>
      </c>
      <c r="BA339" s="6">
        <f t="shared" si="184"/>
        <v>84</v>
      </c>
      <c r="BB339">
        <f t="shared" si="185"/>
        <v>18981</v>
      </c>
      <c r="BC339" t="str">
        <f t="shared" si="186"/>
        <v>Nelson</v>
      </c>
      <c r="BD339" t="str">
        <f t="shared" si="187"/>
        <v>Velodrome</v>
      </c>
      <c r="BE339" t="s">
        <v>7</v>
      </c>
      <c r="BF339" t="s">
        <v>172</v>
      </c>
      <c r="BG339" t="s">
        <v>381</v>
      </c>
      <c r="BI339" cm="1">
        <f t="array" ref="BI339">IFERROR(_xlfn._xlws.FILTER(shifts!A:A,(shifts!B:B=events!AD339)*(shifts!AG:AG&gt;=events!BK339)*(shifts!AH:AH&lt;=events!BL339)),BI338)</f>
        <v>19</v>
      </c>
      <c r="BJ339" s="15">
        <f t="shared" si="188"/>
        <v>0</v>
      </c>
      <c r="BK339">
        <f t="shared" si="195"/>
        <v>634</v>
      </c>
      <c r="BL339">
        <f t="shared" si="196"/>
        <v>634</v>
      </c>
      <c r="BM339" s="15">
        <f>SUMIFS(BJ$2:BJ339,K$2:K339,"=Intermission")+SUMIFS(BJ$2:BJ339,K$2:K339,"=Timeout")</f>
        <v>0</v>
      </c>
      <c r="BN339">
        <f t="shared" si="197"/>
        <v>0</v>
      </c>
      <c r="BO339" s="19">
        <f t="shared" si="198"/>
        <v>446</v>
      </c>
      <c r="BP339">
        <f t="shared" si="199"/>
        <v>441</v>
      </c>
      <c r="BQ339" s="17">
        <f t="shared" si="200"/>
        <v>446</v>
      </c>
      <c r="BR339" t="str">
        <f t="shared" si="201"/>
        <v>event_team_player_1</v>
      </c>
      <c r="BS339">
        <f>COUNTIFS(S$3:S339,"="&amp;S339,AI$3:AI339,"="&amp;AI339)</f>
        <v>1</v>
      </c>
      <c r="BT339" t="str">
        <f>IFERROR(VLOOKUP(BB339&amp;BU339&amp;X339,game_rosters!U:W,3,FALSE),"")</f>
        <v>P100001</v>
      </c>
      <c r="BU339" t="str">
        <f t="shared" si="202"/>
        <v>Velodrome</v>
      </c>
    </row>
    <row r="340" spans="1:73" x14ac:dyDescent="0.2">
      <c r="A340">
        <f t="shared" si="189"/>
        <v>1</v>
      </c>
      <c r="E340" s="4"/>
      <c r="F340" s="43"/>
      <c r="G340" s="4"/>
      <c r="H340" s="46"/>
      <c r="J340" s="44" t="str">
        <f t="shared" si="203"/>
        <v/>
      </c>
      <c r="K340" t="s">
        <v>7</v>
      </c>
      <c r="L340" t="s">
        <v>172</v>
      </c>
      <c r="M340" t="s">
        <v>381</v>
      </c>
      <c r="N340" t="str">
        <f t="shared" si="174"/>
        <v>s</v>
      </c>
      <c r="Q340" t="str">
        <f t="shared" si="204"/>
        <v/>
      </c>
      <c r="S340">
        <v>194</v>
      </c>
      <c r="U340" t="str">
        <f>IF(B340=1,MAX($U$2:$U339)+1,IF(AND($T340&lt;&gt;"",$T340=$T339),$U339,IF(B340="x",U339,"")))</f>
        <v/>
      </c>
      <c r="V340" t="str">
        <f>IF(C340=1,MAX($V$2:$V339)+1,IF(AND($T340&lt;&gt;"",$T340=$T339),$U339,IF(C340="x",V339,"")))</f>
        <v/>
      </c>
      <c r="W340" t="str">
        <f t="shared" si="178"/>
        <v>a</v>
      </c>
      <c r="X340">
        <v>24</v>
      </c>
      <c r="Y340" t="e">
        <f>IF(X340&lt;&gt;"",VLOOKUP(X340,game_rosters!$C$43:$E$64,3,FALSE))</f>
        <v>#N/A</v>
      </c>
      <c r="Z340" cm="1">
        <f t="array" ref="Z340">IFERROR(IF(_xlfn._xlws.FILTER(game_rosters!$J:$J,(game_rosters!$G:$G=events!$AN340)*(game_rosters!$J:$J=events!$X340))&gt;0,1,""),"")</f>
        <v>1</v>
      </c>
      <c r="AA340">
        <f t="shared" si="179"/>
        <v>1194</v>
      </c>
      <c r="AB340" t="str">
        <f t="shared" si="180"/>
        <v/>
      </c>
      <c r="AC340">
        <f t="shared" si="177"/>
        <v>1194</v>
      </c>
      <c r="AD340" s="6">
        <v>1</v>
      </c>
      <c r="AE340" t="s">
        <v>910</v>
      </c>
      <c r="AF340" t="s">
        <v>929</v>
      </c>
      <c r="AG340" t="s">
        <v>756</v>
      </c>
      <c r="AH340" t="s">
        <v>756</v>
      </c>
      <c r="AI340" t="s">
        <v>367</v>
      </c>
      <c r="AJ340" t="str">
        <f t="shared" ref="AJ340:AK355" si="205">IF($J340&lt;&gt;"",$J340,IF($AC340=$AC339,AJ339,""))</f>
        <v/>
      </c>
      <c r="AK340" t="str">
        <f t="shared" si="205"/>
        <v/>
      </c>
      <c r="AL340" t="str">
        <f t="shared" si="182"/>
        <v/>
      </c>
      <c r="AN340" t="s">
        <v>862</v>
      </c>
      <c r="AO340" t="str">
        <f t="shared" si="183"/>
        <v>a</v>
      </c>
      <c r="AP340" t="str">
        <f t="shared" si="190"/>
        <v/>
      </c>
      <c r="AQ340" t="str">
        <f t="shared" si="191"/>
        <v/>
      </c>
      <c r="AR340" t="str">
        <f t="shared" si="192"/>
        <v>Away</v>
      </c>
      <c r="AS340" t="str">
        <f t="shared" si="193"/>
        <v>a</v>
      </c>
      <c r="AT340" t="str">
        <f t="shared" si="194"/>
        <v>Offensive</v>
      </c>
      <c r="BA340" s="6">
        <f t="shared" si="184"/>
        <v>84</v>
      </c>
      <c r="BB340">
        <f t="shared" si="185"/>
        <v>18981</v>
      </c>
      <c r="BC340" t="str">
        <f t="shared" si="186"/>
        <v>Nelson</v>
      </c>
      <c r="BD340" t="str">
        <f t="shared" si="187"/>
        <v>Velodrome</v>
      </c>
      <c r="BE340" t="s">
        <v>7</v>
      </c>
      <c r="BF340" t="s">
        <v>172</v>
      </c>
      <c r="BG340" t="s">
        <v>381</v>
      </c>
      <c r="BI340" cm="1">
        <f t="array" ref="BI340">IFERROR(_xlfn._xlws.FILTER(shifts!A:A,(shifts!B:B=events!AD340)*(shifts!AG:AG&gt;=events!BK340)*(shifts!AH:AH&lt;=events!BL340)),BI339)</f>
        <v>19</v>
      </c>
      <c r="BJ340" s="15">
        <f t="shared" si="188"/>
        <v>0</v>
      </c>
      <c r="BK340">
        <f t="shared" si="195"/>
        <v>634</v>
      </c>
      <c r="BL340">
        <f t="shared" si="196"/>
        <v>634</v>
      </c>
      <c r="BM340" s="15">
        <f>SUMIFS(BJ$2:BJ340,K$2:K340,"=Intermission")+SUMIFS(BJ$2:BJ340,K$2:K340,"=Timeout")</f>
        <v>0</v>
      </c>
      <c r="BN340">
        <f t="shared" si="197"/>
        <v>0</v>
      </c>
      <c r="BO340" s="19">
        <f t="shared" si="198"/>
        <v>446</v>
      </c>
      <c r="BP340">
        <f t="shared" si="199"/>
        <v>441</v>
      </c>
      <c r="BQ340" s="17">
        <f t="shared" si="200"/>
        <v>446</v>
      </c>
      <c r="BR340" t="str">
        <f t="shared" si="201"/>
        <v>event_team_player_2</v>
      </c>
      <c r="BS340">
        <f>COUNTIFS(S$3:S340,"="&amp;S340,AI$3:AI340,"="&amp;AI340)</f>
        <v>2</v>
      </c>
      <c r="BT340" t="str">
        <f>IFERROR(VLOOKUP(BB340&amp;BU340&amp;X340,game_rosters!U:W,3,FALSE),"")</f>
        <v>P100230</v>
      </c>
      <c r="BU340" t="str">
        <f t="shared" si="202"/>
        <v>Velodrome</v>
      </c>
    </row>
    <row r="341" spans="1:73" x14ac:dyDescent="0.2">
      <c r="A341">
        <f t="shared" si="189"/>
        <v>1</v>
      </c>
      <c r="E341" s="4"/>
      <c r="F341" s="43"/>
      <c r="G341" s="4"/>
      <c r="H341" s="46"/>
      <c r="J341" s="44" t="str">
        <f t="shared" si="203"/>
        <v/>
      </c>
      <c r="K341" t="s">
        <v>7</v>
      </c>
      <c r="L341" t="s">
        <v>172</v>
      </c>
      <c r="M341" t="s">
        <v>381</v>
      </c>
      <c r="N341" t="str">
        <f t="shared" ref="N341:N404" si="206">IF(K341="","",IF(K341="Goal","s",IF(AND(K341="Zone_Entry_Exit",OR(ISNUMBER(SEARCH("fail",L341)),ISNUMBER(SEARCH("FromExitClear",M341)),ISNUMBER(SEARCH("miss",M341)))),"u",IF(AND(K341="Zone_Entry_Exit",OR(NOT(ISNUMBER(SEARCH("fail",L341))),NOT(ISNUMBER(SEARCH("FromExitClear",M341))),NOT(ISNUMBER(SEARCH("miss",M341))))),"s",IF(AND(OR(K341="Shot",K341="Pass"),OR(ISNUMBER(SEARCH("complete",L341)),ISNUMBER(SEARCH("goal",L341)),ISNUMBER(SEARCH("OnNet",L341)))),"s",IF(L341="Turnover_Giveaway","u",IF(AND(OR(K341="Shot",K341="Pass"),OR(ISNUMBER(SEARCH("fail",L341)),NOT(ISNUMBER(SEARCH("complete",L341))),NOT(ISNUMBER(SEARCH("OnNet",L341))))),"u","")))))))</f>
        <v>s</v>
      </c>
      <c r="Q341" t="str">
        <f t="shared" si="204"/>
        <v/>
      </c>
      <c r="S341">
        <v>194</v>
      </c>
      <c r="U341" t="str">
        <f>IF(B341=1,MAX($U$2:$U340)+1,IF(AND($T341&lt;&gt;"",$T341=$T340),$U340,IF(B341="x",U340,"")))</f>
        <v/>
      </c>
      <c r="V341" t="str">
        <f>IF(C341=1,MAX($V$2:$V340)+1,IF(AND($T341&lt;&gt;"",$T341=$T340),$U340,IF(C341="x",V340,"")))</f>
        <v/>
      </c>
      <c r="W341" t="str">
        <f t="shared" si="178"/>
        <v>a</v>
      </c>
      <c r="X341">
        <v>3</v>
      </c>
      <c r="Y341" t="b">
        <f>IF(X341&lt;&gt;"",VLOOKUP(X341,game_rosters!$C$43:$E$64,3,FALSE))</f>
        <v>0</v>
      </c>
      <c r="Z341" t="str" cm="1">
        <f t="array" ref="Z341">IFERROR(IF(_xlfn._xlws.FILTER(game_rosters!$J:$J,(game_rosters!$G:$G=events!$AN341)*(game_rosters!$J:$J=events!$X341))&gt;0,1,""),"")</f>
        <v/>
      </c>
      <c r="AA341">
        <f t="shared" si="179"/>
        <v>1194</v>
      </c>
      <c r="AB341" t="str">
        <f t="shared" si="180"/>
        <v/>
      </c>
      <c r="AC341">
        <f t="shared" si="177"/>
        <v>1194</v>
      </c>
      <c r="AD341" s="6">
        <v>1</v>
      </c>
      <c r="AE341" t="s">
        <v>910</v>
      </c>
      <c r="AF341" t="s">
        <v>929</v>
      </c>
      <c r="AG341" t="s">
        <v>756</v>
      </c>
      <c r="AH341" t="s">
        <v>756</v>
      </c>
      <c r="AI341" t="s">
        <v>368</v>
      </c>
      <c r="AJ341" t="str">
        <f t="shared" si="205"/>
        <v/>
      </c>
      <c r="AK341" t="str">
        <f t="shared" si="205"/>
        <v/>
      </c>
      <c r="AL341" t="str">
        <f t="shared" si="182"/>
        <v/>
      </c>
      <c r="AN341" t="s">
        <v>862</v>
      </c>
      <c r="AO341" t="str">
        <f t="shared" si="183"/>
        <v>a</v>
      </c>
      <c r="AP341" t="str">
        <f t="shared" si="190"/>
        <v/>
      </c>
      <c r="AQ341" t="str">
        <f t="shared" si="191"/>
        <v/>
      </c>
      <c r="AR341" t="str">
        <f t="shared" si="192"/>
        <v>Away</v>
      </c>
      <c r="AS341" t="str">
        <f t="shared" si="193"/>
        <v>a</v>
      </c>
      <c r="AT341" t="str">
        <f t="shared" si="194"/>
        <v>Defensive</v>
      </c>
      <c r="BA341" s="6">
        <f t="shared" si="184"/>
        <v>84</v>
      </c>
      <c r="BB341">
        <f t="shared" si="185"/>
        <v>18981</v>
      </c>
      <c r="BC341" t="str">
        <f t="shared" si="186"/>
        <v>Nelson</v>
      </c>
      <c r="BD341" t="str">
        <f t="shared" si="187"/>
        <v>Velodrome</v>
      </c>
      <c r="BE341" t="s">
        <v>7</v>
      </c>
      <c r="BF341" t="s">
        <v>172</v>
      </c>
      <c r="BG341" t="s">
        <v>381</v>
      </c>
      <c r="BI341" cm="1">
        <f t="array" ref="BI341">IFERROR(_xlfn._xlws.FILTER(shifts!A:A,(shifts!B:B=events!AD341)*(shifts!AG:AG&gt;=events!BK341)*(shifts!AH:AH&lt;=events!BL341)),BI340)</f>
        <v>19</v>
      </c>
      <c r="BJ341" s="15">
        <f t="shared" si="188"/>
        <v>0</v>
      </c>
      <c r="BK341">
        <f t="shared" si="195"/>
        <v>634</v>
      </c>
      <c r="BL341">
        <f t="shared" si="196"/>
        <v>634</v>
      </c>
      <c r="BM341" s="15">
        <f>SUMIFS(BJ$2:BJ341,K$2:K341,"=Intermission")+SUMIFS(BJ$2:BJ341,K$2:K341,"=Timeout")</f>
        <v>0</v>
      </c>
      <c r="BN341">
        <f t="shared" si="197"/>
        <v>0</v>
      </c>
      <c r="BO341" s="19">
        <f t="shared" si="198"/>
        <v>446</v>
      </c>
      <c r="BP341">
        <f t="shared" si="199"/>
        <v>441</v>
      </c>
      <c r="BQ341" s="17">
        <f t="shared" si="200"/>
        <v>446</v>
      </c>
      <c r="BR341" t="str">
        <f t="shared" si="201"/>
        <v>opp_team_player_1</v>
      </c>
      <c r="BS341">
        <f>COUNTIFS(S$3:S341,"="&amp;S341,AI$3:AI341,"="&amp;AI341)</f>
        <v>1</v>
      </c>
      <c r="BT341" t="str">
        <f>IFERROR(VLOOKUP(BB341&amp;BU341&amp;X341,game_rosters!U:W,3,FALSE),"")</f>
        <v>P100111</v>
      </c>
      <c r="BU341" t="str">
        <f t="shared" si="202"/>
        <v>Nelson</v>
      </c>
    </row>
    <row r="342" spans="1:73" x14ac:dyDescent="0.2">
      <c r="A342">
        <f t="shared" si="189"/>
        <v>1</v>
      </c>
      <c r="E342" s="4"/>
      <c r="F342" s="43"/>
      <c r="G342" s="4"/>
      <c r="H342" s="46"/>
      <c r="J342" s="44" t="str">
        <f t="shared" si="203"/>
        <v>d</v>
      </c>
      <c r="K342" t="s">
        <v>238</v>
      </c>
      <c r="L342" t="s">
        <v>184</v>
      </c>
      <c r="M342" t="s">
        <v>380</v>
      </c>
      <c r="N342" t="str">
        <f t="shared" si="206"/>
        <v>s</v>
      </c>
      <c r="Q342" t="str">
        <f t="shared" si="204"/>
        <v/>
      </c>
      <c r="S342">
        <v>195</v>
      </c>
      <c r="U342" t="str">
        <f>IF(B342=1,MAX($U$2:$U341)+1,IF(AND($T342&lt;&gt;"",$T342=$T341),$U341,IF(B342="x",U341,"")))</f>
        <v/>
      </c>
      <c r="V342" t="str">
        <f>IF(C342=1,MAX($V$2:$V341)+1,IF(AND($T342&lt;&gt;"",$T342=$T341),$U341,IF(C342="x",V341,"")))</f>
        <v/>
      </c>
      <c r="W342" t="str">
        <f t="shared" si="178"/>
        <v>a</v>
      </c>
      <c r="X342">
        <v>70</v>
      </c>
      <c r="Y342" t="e">
        <f>IF(X342&lt;&gt;"",VLOOKUP(X342,game_rosters!$C$43:$E$64,3,FALSE))</f>
        <v>#N/A</v>
      </c>
      <c r="Z342" cm="1">
        <f t="array" ref="Z342">IFERROR(IF(_xlfn._xlws.FILTER(game_rosters!$J:$J,(game_rosters!$G:$G=events!$AN342)*(game_rosters!$J:$J=events!$X342))&gt;0,1,""),"")</f>
        <v>1</v>
      </c>
      <c r="AA342">
        <f t="shared" si="179"/>
        <v>1195</v>
      </c>
      <c r="AB342" t="str">
        <f t="shared" si="180"/>
        <v/>
      </c>
      <c r="AC342">
        <f t="shared" si="177"/>
        <v>1195</v>
      </c>
      <c r="AD342" s="6">
        <v>1</v>
      </c>
      <c r="AE342" t="s">
        <v>910</v>
      </c>
      <c r="AF342" t="s">
        <v>929</v>
      </c>
      <c r="AG342" t="s">
        <v>756</v>
      </c>
      <c r="AH342" t="s">
        <v>756</v>
      </c>
      <c r="AI342" t="s">
        <v>367</v>
      </c>
      <c r="AJ342" t="str">
        <f t="shared" si="205"/>
        <v>d</v>
      </c>
      <c r="AK342" t="str">
        <f t="shared" si="205"/>
        <v>d</v>
      </c>
      <c r="AL342" t="str">
        <f t="shared" si="182"/>
        <v>o</v>
      </c>
      <c r="AN342" t="s">
        <v>862</v>
      </c>
      <c r="AO342" t="str">
        <f t="shared" si="183"/>
        <v>a</v>
      </c>
      <c r="AP342" t="str">
        <f t="shared" si="190"/>
        <v>o</v>
      </c>
      <c r="AQ342" t="str">
        <f t="shared" si="191"/>
        <v/>
      </c>
      <c r="AR342" t="str">
        <f t="shared" si="192"/>
        <v>Away</v>
      </c>
      <c r="AS342" t="str">
        <f t="shared" si="193"/>
        <v>a</v>
      </c>
      <c r="AT342" t="str">
        <f t="shared" si="194"/>
        <v>Offensive</v>
      </c>
      <c r="BA342" s="6">
        <f t="shared" si="184"/>
        <v>85</v>
      </c>
      <c r="BB342">
        <f t="shared" si="185"/>
        <v>18981</v>
      </c>
      <c r="BC342" t="str">
        <f t="shared" si="186"/>
        <v>Nelson</v>
      </c>
      <c r="BD342" t="str">
        <f t="shared" si="187"/>
        <v>Velodrome</v>
      </c>
      <c r="BE342" t="s">
        <v>238</v>
      </c>
      <c r="BF342" t="s">
        <v>184</v>
      </c>
      <c r="BG342" t="s">
        <v>380</v>
      </c>
      <c r="BI342" cm="1">
        <f t="array" ref="BI342">IFERROR(_xlfn._xlws.FILTER(shifts!A:A,(shifts!B:B=events!AD342)*(shifts!AG:AG&gt;=events!BK342)*(shifts!AH:AH&lt;=events!BL342)),BI341)</f>
        <v>19</v>
      </c>
      <c r="BJ342" s="15">
        <f t="shared" si="188"/>
        <v>0</v>
      </c>
      <c r="BK342">
        <f t="shared" si="195"/>
        <v>634</v>
      </c>
      <c r="BL342">
        <f t="shared" si="196"/>
        <v>634</v>
      </c>
      <c r="BM342" s="15">
        <f>SUMIFS(BJ$2:BJ342,K$2:K342,"=Intermission")+SUMIFS(BJ$2:BJ342,K$2:K342,"=Timeout")</f>
        <v>0</v>
      </c>
      <c r="BN342">
        <f t="shared" si="197"/>
        <v>0</v>
      </c>
      <c r="BO342" s="19">
        <f t="shared" si="198"/>
        <v>446</v>
      </c>
      <c r="BP342">
        <f t="shared" si="199"/>
        <v>441</v>
      </c>
      <c r="BQ342" s="17">
        <f t="shared" si="200"/>
        <v>446</v>
      </c>
      <c r="BR342" t="str">
        <f t="shared" si="201"/>
        <v>event_team_player_1</v>
      </c>
      <c r="BS342">
        <f>COUNTIFS(S$3:S342,"="&amp;S342,AI$3:AI342,"="&amp;AI342)</f>
        <v>1</v>
      </c>
      <c r="BT342" t="str">
        <f>IFERROR(VLOOKUP(BB342&amp;BU342&amp;X342,game_rosters!U:W,3,FALSE),"")</f>
        <v>P100001</v>
      </c>
      <c r="BU342" t="str">
        <f t="shared" si="202"/>
        <v>Velodrome</v>
      </c>
    </row>
    <row r="343" spans="1:73" x14ac:dyDescent="0.2">
      <c r="A343">
        <f t="shared" si="189"/>
        <v>1</v>
      </c>
      <c r="E343" s="4"/>
      <c r="F343" s="43"/>
      <c r="G343" s="4"/>
      <c r="H343" s="46"/>
      <c r="J343" s="44" t="str">
        <f t="shared" si="203"/>
        <v>d</v>
      </c>
      <c r="K343" t="s">
        <v>238</v>
      </c>
      <c r="L343" t="s">
        <v>184</v>
      </c>
      <c r="M343" t="s">
        <v>380</v>
      </c>
      <c r="N343" t="str">
        <f t="shared" si="206"/>
        <v>s</v>
      </c>
      <c r="Q343" t="str">
        <f t="shared" si="204"/>
        <v/>
      </c>
      <c r="S343">
        <v>195</v>
      </c>
      <c r="U343" t="str">
        <f>IF(B343=1,MAX($U$2:$U342)+1,IF(AND($T343&lt;&gt;"",$T343=$T342),$U342,IF(B343="x",U342,"")))</f>
        <v/>
      </c>
      <c r="V343" t="str">
        <f>IF(C343=1,MAX($V$2:$V342)+1,IF(AND($T343&lt;&gt;"",$T343=$T342),$U342,IF(C343="x",V342,"")))</f>
        <v/>
      </c>
      <c r="W343" t="str">
        <f t="shared" si="178"/>
        <v>a</v>
      </c>
      <c r="X343">
        <v>24</v>
      </c>
      <c r="Y343" t="e">
        <f>IF(X343&lt;&gt;"",VLOOKUP(X343,game_rosters!$C$43:$E$64,3,FALSE))</f>
        <v>#N/A</v>
      </c>
      <c r="Z343" cm="1">
        <f t="array" ref="Z343">IFERROR(IF(_xlfn._xlws.FILTER(game_rosters!$J:$J,(game_rosters!$G:$G=events!$AN343)*(game_rosters!$J:$J=events!$X343))&gt;0,1,""),"")</f>
        <v>1</v>
      </c>
      <c r="AA343">
        <f t="shared" si="179"/>
        <v>1195</v>
      </c>
      <c r="AB343" t="str">
        <f t="shared" si="180"/>
        <v/>
      </c>
      <c r="AC343">
        <f t="shared" si="177"/>
        <v>1195</v>
      </c>
      <c r="AD343" s="6">
        <v>1</v>
      </c>
      <c r="AE343" t="s">
        <v>910</v>
      </c>
      <c r="AF343" t="s">
        <v>929</v>
      </c>
      <c r="AG343" t="s">
        <v>756</v>
      </c>
      <c r="AH343" t="s">
        <v>756</v>
      </c>
      <c r="AI343" t="s">
        <v>367</v>
      </c>
      <c r="AJ343" t="str">
        <f t="shared" si="205"/>
        <v>d</v>
      </c>
      <c r="AK343" t="str">
        <f t="shared" si="205"/>
        <v>d</v>
      </c>
      <c r="AL343" t="str">
        <f t="shared" si="182"/>
        <v>o</v>
      </c>
      <c r="AN343" t="s">
        <v>862</v>
      </c>
      <c r="AO343" t="str">
        <f t="shared" si="183"/>
        <v>a</v>
      </c>
      <c r="AP343" t="str">
        <f t="shared" si="190"/>
        <v>o</v>
      </c>
      <c r="AQ343" t="str">
        <f t="shared" si="191"/>
        <v/>
      </c>
      <c r="AR343" t="str">
        <f t="shared" si="192"/>
        <v>Away</v>
      </c>
      <c r="AS343" t="str">
        <f t="shared" si="193"/>
        <v>a</v>
      </c>
      <c r="AT343" t="str">
        <f t="shared" si="194"/>
        <v>Offensive</v>
      </c>
      <c r="BA343" s="6">
        <f t="shared" si="184"/>
        <v>86</v>
      </c>
      <c r="BB343">
        <f t="shared" si="185"/>
        <v>18981</v>
      </c>
      <c r="BC343" t="str">
        <f t="shared" si="186"/>
        <v>Nelson</v>
      </c>
      <c r="BD343" t="str">
        <f t="shared" si="187"/>
        <v>Velodrome</v>
      </c>
      <c r="BE343" t="s">
        <v>238</v>
      </c>
      <c r="BF343" t="s">
        <v>184</v>
      </c>
      <c r="BG343" t="s">
        <v>380</v>
      </c>
      <c r="BI343" cm="1">
        <f t="array" ref="BI343">IFERROR(_xlfn._xlws.FILTER(shifts!A:A,(shifts!B:B=events!AD343)*(shifts!AG:AG&gt;=events!BK343)*(shifts!AH:AH&lt;=events!BL343)),BI342)</f>
        <v>19</v>
      </c>
      <c r="BJ343" s="15">
        <f t="shared" si="188"/>
        <v>0</v>
      </c>
      <c r="BK343">
        <f t="shared" si="195"/>
        <v>634</v>
      </c>
      <c r="BL343">
        <f t="shared" si="196"/>
        <v>634</v>
      </c>
      <c r="BM343" s="15">
        <f>SUMIFS(BJ$2:BJ343,K$2:K343,"=Intermission")+SUMIFS(BJ$2:BJ343,K$2:K343,"=Timeout")</f>
        <v>0</v>
      </c>
      <c r="BN343">
        <f t="shared" si="197"/>
        <v>0</v>
      </c>
      <c r="BO343" s="19">
        <f t="shared" si="198"/>
        <v>446</v>
      </c>
      <c r="BP343">
        <f t="shared" si="199"/>
        <v>441</v>
      </c>
      <c r="BQ343" s="17">
        <f t="shared" si="200"/>
        <v>446</v>
      </c>
      <c r="BR343" t="str">
        <f t="shared" si="201"/>
        <v>event_team_player_2</v>
      </c>
      <c r="BS343">
        <f>COUNTIFS(S$3:S343,"="&amp;S343,AI$3:AI343,"="&amp;AI343)</f>
        <v>2</v>
      </c>
      <c r="BT343" t="str">
        <f>IFERROR(VLOOKUP(BB343&amp;BU343&amp;X343,game_rosters!U:W,3,FALSE),"")</f>
        <v>P100230</v>
      </c>
      <c r="BU343" t="str">
        <f t="shared" si="202"/>
        <v>Velodrome</v>
      </c>
    </row>
    <row r="344" spans="1:73" x14ac:dyDescent="0.2">
      <c r="A344">
        <f t="shared" si="189"/>
        <v>1</v>
      </c>
      <c r="E344" s="4"/>
      <c r="F344" s="43"/>
      <c r="G344" s="4"/>
      <c r="H344" s="46"/>
      <c r="J344" s="44" t="str">
        <f t="shared" si="203"/>
        <v>d</v>
      </c>
      <c r="K344" t="s">
        <v>238</v>
      </c>
      <c r="L344" t="s">
        <v>184</v>
      </c>
      <c r="M344" t="s">
        <v>380</v>
      </c>
      <c r="N344" t="str">
        <f t="shared" si="206"/>
        <v>s</v>
      </c>
      <c r="Q344" t="str">
        <f t="shared" si="204"/>
        <v/>
      </c>
      <c r="S344">
        <v>195</v>
      </c>
      <c r="U344" t="str">
        <f>IF(B344=1,MAX($U$2:$U343)+1,IF(AND($T344&lt;&gt;"",$T344=$T343),$U343,IF(B344="x",U343,"")))</f>
        <v/>
      </c>
      <c r="V344" t="str">
        <f>IF(C344=1,MAX($V$2:$V343)+1,IF(AND($T344&lt;&gt;"",$T344=$T343),$U343,IF(C344="x",V343,"")))</f>
        <v/>
      </c>
      <c r="W344" t="str">
        <f t="shared" si="178"/>
        <v>a</v>
      </c>
      <c r="X344">
        <v>3</v>
      </c>
      <c r="Y344" t="b">
        <f>IF(X344&lt;&gt;"",VLOOKUP(X344,game_rosters!$C$43:$E$64,3,FALSE))</f>
        <v>0</v>
      </c>
      <c r="Z344" t="str" cm="1">
        <f t="array" ref="Z344">IFERROR(IF(_xlfn._xlws.FILTER(game_rosters!$J:$J,(game_rosters!$G:$G=events!$AN344)*(game_rosters!$J:$J=events!$X344))&gt;0,1,""),"")</f>
        <v/>
      </c>
      <c r="AA344">
        <f t="shared" si="179"/>
        <v>1195</v>
      </c>
      <c r="AB344" t="str">
        <f t="shared" si="180"/>
        <v/>
      </c>
      <c r="AC344">
        <f t="shared" si="177"/>
        <v>1195</v>
      </c>
      <c r="AD344" s="6">
        <v>1</v>
      </c>
      <c r="AE344" t="s">
        <v>910</v>
      </c>
      <c r="AF344" t="s">
        <v>929</v>
      </c>
      <c r="AG344" t="s">
        <v>756</v>
      </c>
      <c r="AH344" t="s">
        <v>756</v>
      </c>
      <c r="AI344" t="s">
        <v>368</v>
      </c>
      <c r="AJ344" t="str">
        <f t="shared" si="205"/>
        <v>d</v>
      </c>
      <c r="AK344" t="str">
        <f t="shared" si="205"/>
        <v>d</v>
      </c>
      <c r="AL344" t="str">
        <f t="shared" si="182"/>
        <v>o</v>
      </c>
      <c r="AN344" t="s">
        <v>862</v>
      </c>
      <c r="AO344" t="str">
        <f t="shared" si="183"/>
        <v>a</v>
      </c>
      <c r="AP344" t="str">
        <f t="shared" si="190"/>
        <v>o</v>
      </c>
      <c r="AQ344" t="str">
        <f t="shared" si="191"/>
        <v/>
      </c>
      <c r="AR344" t="str">
        <f t="shared" si="192"/>
        <v>Away</v>
      </c>
      <c r="AS344" t="str">
        <f t="shared" si="193"/>
        <v>a</v>
      </c>
      <c r="AT344" t="str">
        <f t="shared" si="194"/>
        <v>Defensive</v>
      </c>
      <c r="BA344" s="6">
        <f t="shared" si="184"/>
        <v>87</v>
      </c>
      <c r="BB344">
        <f t="shared" si="185"/>
        <v>18981</v>
      </c>
      <c r="BC344" t="str">
        <f t="shared" si="186"/>
        <v>Nelson</v>
      </c>
      <c r="BD344" t="str">
        <f t="shared" si="187"/>
        <v>Velodrome</v>
      </c>
      <c r="BE344" t="s">
        <v>238</v>
      </c>
      <c r="BF344" t="s">
        <v>184</v>
      </c>
      <c r="BG344" t="s">
        <v>380</v>
      </c>
      <c r="BI344" cm="1">
        <f t="array" ref="BI344">IFERROR(_xlfn._xlws.FILTER(shifts!A:A,(shifts!B:B=events!AD344)*(shifts!AG:AG&gt;=events!BK344)*(shifts!AH:AH&lt;=events!BL344)),BI343)</f>
        <v>19</v>
      </c>
      <c r="BJ344" s="15">
        <f t="shared" si="188"/>
        <v>0</v>
      </c>
      <c r="BK344">
        <f t="shared" si="195"/>
        <v>634</v>
      </c>
      <c r="BL344">
        <f t="shared" si="196"/>
        <v>634</v>
      </c>
      <c r="BM344" s="15">
        <f>SUMIFS(BJ$2:BJ344,K$2:K344,"=Intermission")+SUMIFS(BJ$2:BJ344,K$2:K344,"=Timeout")</f>
        <v>0</v>
      </c>
      <c r="BN344">
        <f t="shared" si="197"/>
        <v>0</v>
      </c>
      <c r="BO344" s="19">
        <f t="shared" si="198"/>
        <v>446</v>
      </c>
      <c r="BP344">
        <f t="shared" si="199"/>
        <v>441</v>
      </c>
      <c r="BQ344" s="17">
        <f t="shared" si="200"/>
        <v>446</v>
      </c>
      <c r="BR344" t="str">
        <f t="shared" si="201"/>
        <v>opp_team_player_1</v>
      </c>
      <c r="BS344">
        <f>COUNTIFS(S$3:S344,"="&amp;S344,AI$3:AI344,"="&amp;AI344)</f>
        <v>1</v>
      </c>
      <c r="BT344" t="str">
        <f>IFERROR(VLOOKUP(BB344&amp;BU344&amp;X344,game_rosters!U:W,3,FALSE),"")</f>
        <v>P100111</v>
      </c>
      <c r="BU344" t="str">
        <f t="shared" si="202"/>
        <v>Nelson</v>
      </c>
    </row>
    <row r="345" spans="1:73" x14ac:dyDescent="0.2">
      <c r="A345">
        <f t="shared" si="189"/>
        <v>1</v>
      </c>
      <c r="E345" s="4"/>
      <c r="F345" s="43"/>
      <c r="G345" s="4"/>
      <c r="H345" s="46"/>
      <c r="J345" s="44" t="str">
        <f t="shared" si="203"/>
        <v/>
      </c>
      <c r="K345" t="s">
        <v>13</v>
      </c>
      <c r="L345" t="s">
        <v>756</v>
      </c>
      <c r="M345" t="s">
        <v>756</v>
      </c>
      <c r="N345" t="str">
        <f t="shared" si="206"/>
        <v/>
      </c>
      <c r="Q345" t="str">
        <f t="shared" si="204"/>
        <v/>
      </c>
      <c r="S345">
        <v>196</v>
      </c>
      <c r="U345" t="str">
        <f>IF(B345=1,MAX($U$2:$U344)+1,IF(AND($T345&lt;&gt;"",$T345=$T344),$U344,IF(B345="x",U344,"")))</f>
        <v/>
      </c>
      <c r="V345" t="str">
        <f>IF(C345=1,MAX($V$2:$V344)+1,IF(AND($T345&lt;&gt;"",$T345=$T344),$U344,IF(C345="x",V344,"")))</f>
        <v/>
      </c>
      <c r="W345" t="str">
        <f t="shared" si="178"/>
        <v>a</v>
      </c>
      <c r="X345">
        <v>24</v>
      </c>
      <c r="Y345" t="e">
        <f>IF(X345&lt;&gt;"",VLOOKUP(X345,game_rosters!$C$43:$E$64,3,FALSE))</f>
        <v>#N/A</v>
      </c>
      <c r="Z345" cm="1">
        <f t="array" ref="Z345">IFERROR(IF(_xlfn._xlws.FILTER(game_rosters!$J:$J,(game_rosters!$G:$G=events!$AN345)*(game_rosters!$J:$J=events!$X345))&gt;0,1,""),"")</f>
        <v>1</v>
      </c>
      <c r="AA345">
        <f t="shared" si="179"/>
        <v>1196</v>
      </c>
      <c r="AB345" t="str">
        <f t="shared" si="180"/>
        <v/>
      </c>
      <c r="AC345">
        <f t="shared" si="177"/>
        <v>1196</v>
      </c>
      <c r="AD345" s="6">
        <v>1</v>
      </c>
      <c r="AE345" t="s">
        <v>910</v>
      </c>
      <c r="AF345" t="s">
        <v>738</v>
      </c>
      <c r="AG345" t="s">
        <v>910</v>
      </c>
      <c r="AH345" t="s">
        <v>906</v>
      </c>
      <c r="AI345" t="s">
        <v>367</v>
      </c>
      <c r="AJ345" t="str">
        <f t="shared" si="205"/>
        <v/>
      </c>
      <c r="AK345" t="str">
        <f t="shared" si="205"/>
        <v/>
      </c>
      <c r="AL345" t="str">
        <f t="shared" si="182"/>
        <v/>
      </c>
      <c r="AN345" t="s">
        <v>862</v>
      </c>
      <c r="AO345" t="str">
        <f t="shared" si="183"/>
        <v>a</v>
      </c>
      <c r="AP345" t="str">
        <f t="shared" si="190"/>
        <v/>
      </c>
      <c r="AQ345" t="str">
        <f t="shared" si="191"/>
        <v/>
      </c>
      <c r="AR345" t="str">
        <f t="shared" si="192"/>
        <v>Away</v>
      </c>
      <c r="AS345" t="str">
        <f t="shared" si="193"/>
        <v>a</v>
      </c>
      <c r="AT345" t="str">
        <f t="shared" si="194"/>
        <v>Offensive</v>
      </c>
      <c r="BA345" s="6">
        <f t="shared" si="184"/>
        <v>87</v>
      </c>
      <c r="BB345">
        <f t="shared" si="185"/>
        <v>18981</v>
      </c>
      <c r="BC345" t="str">
        <f t="shared" si="186"/>
        <v>Nelson</v>
      </c>
      <c r="BD345" t="str">
        <f t="shared" si="187"/>
        <v>Velodrome</v>
      </c>
      <c r="BE345" t="s">
        <v>13</v>
      </c>
      <c r="BF345" t="s">
        <v>756</v>
      </c>
      <c r="BG345" t="s">
        <v>756</v>
      </c>
      <c r="BI345" cm="1">
        <f t="array" ref="BI345">IFERROR(_xlfn._xlws.FILTER(shifts!A:A,(shifts!B:B=events!AD345)*(shifts!AG:AG&gt;=events!BK345)*(shifts!AH:AH&lt;=events!BL345)),BI344)</f>
        <v>19</v>
      </c>
      <c r="BJ345" s="15">
        <f t="shared" si="188"/>
        <v>2</v>
      </c>
      <c r="BK345">
        <f t="shared" si="195"/>
        <v>631</v>
      </c>
      <c r="BL345">
        <f t="shared" si="196"/>
        <v>629</v>
      </c>
      <c r="BM345" s="15">
        <f>SUMIFS(BJ$2:BJ345,K$2:K345,"=Intermission")+SUMIFS(BJ$2:BJ345,K$2:K345,"=Timeout")</f>
        <v>0</v>
      </c>
      <c r="BN345">
        <f t="shared" si="197"/>
        <v>0</v>
      </c>
      <c r="BO345" s="19">
        <f t="shared" si="198"/>
        <v>449</v>
      </c>
      <c r="BP345">
        <f t="shared" si="199"/>
        <v>444</v>
      </c>
      <c r="BQ345" s="17">
        <f t="shared" si="200"/>
        <v>451</v>
      </c>
      <c r="BR345" t="str">
        <f t="shared" si="201"/>
        <v>event_team_player_1</v>
      </c>
      <c r="BS345">
        <f>COUNTIFS(S$3:S345,"="&amp;S345,AI$3:AI345,"="&amp;AI345)</f>
        <v>1</v>
      </c>
      <c r="BT345" t="str">
        <f>IFERROR(VLOOKUP(BB345&amp;BU345&amp;X345,game_rosters!U:W,3,FALSE),"")</f>
        <v>P100230</v>
      </c>
      <c r="BU345" t="str">
        <f t="shared" si="202"/>
        <v>Velodrome</v>
      </c>
    </row>
    <row r="346" spans="1:73" x14ac:dyDescent="0.2">
      <c r="A346">
        <f t="shared" si="189"/>
        <v>1</v>
      </c>
      <c r="E346" s="4"/>
      <c r="F346" s="43"/>
      <c r="G346" s="4"/>
      <c r="H346" s="46"/>
      <c r="J346" s="44" t="str">
        <f t="shared" si="203"/>
        <v/>
      </c>
      <c r="K346" t="s">
        <v>13</v>
      </c>
      <c r="L346" t="s">
        <v>756</v>
      </c>
      <c r="M346" t="s">
        <v>756</v>
      </c>
      <c r="N346" t="str">
        <f t="shared" si="206"/>
        <v/>
      </c>
      <c r="Q346" t="str">
        <f t="shared" si="204"/>
        <v/>
      </c>
      <c r="S346">
        <v>196</v>
      </c>
      <c r="U346" t="str">
        <f>IF(B346=1,MAX($U$2:$U345)+1,IF(AND($T346&lt;&gt;"",$T346=$T345),$U345,IF(B346="x",U345,"")))</f>
        <v/>
      </c>
      <c r="V346" t="str">
        <f>IF(C346=1,MAX($V$2:$V345)+1,IF(AND($T346&lt;&gt;"",$T346=$T345),$U345,IF(C346="x",V345,"")))</f>
        <v/>
      </c>
      <c r="W346" t="str">
        <f t="shared" si="178"/>
        <v>a</v>
      </c>
      <c r="X346">
        <v>80</v>
      </c>
      <c r="Y346" t="b">
        <f>IF(X346&lt;&gt;"",VLOOKUP(X346,game_rosters!$C$43:$E$64,3,FALSE))</f>
        <v>0</v>
      </c>
      <c r="Z346" t="str" cm="1">
        <f t="array" ref="Z346">IFERROR(IF(_xlfn._xlws.FILTER(game_rosters!$J:$J,(game_rosters!$G:$G=events!$AN346)*(game_rosters!$J:$J=events!$X346))&gt;0,1,""),"")</f>
        <v/>
      </c>
      <c r="AA346">
        <f t="shared" si="179"/>
        <v>1196</v>
      </c>
      <c r="AB346" t="str">
        <f t="shared" si="180"/>
        <v/>
      </c>
      <c r="AC346">
        <f t="shared" si="177"/>
        <v>1196</v>
      </c>
      <c r="AD346" s="6">
        <v>1</v>
      </c>
      <c r="AE346" t="s">
        <v>910</v>
      </c>
      <c r="AF346" t="s">
        <v>738</v>
      </c>
      <c r="AG346" t="s">
        <v>910</v>
      </c>
      <c r="AH346" t="s">
        <v>906</v>
      </c>
      <c r="AI346" t="s">
        <v>368</v>
      </c>
      <c r="AJ346" t="str">
        <f t="shared" si="205"/>
        <v/>
      </c>
      <c r="AK346" t="str">
        <f t="shared" si="205"/>
        <v/>
      </c>
      <c r="AL346" t="str">
        <f t="shared" si="182"/>
        <v/>
      </c>
      <c r="AN346" t="s">
        <v>862</v>
      </c>
      <c r="AO346" t="str">
        <f t="shared" si="183"/>
        <v>a</v>
      </c>
      <c r="AP346" t="str">
        <f t="shared" si="190"/>
        <v/>
      </c>
      <c r="AQ346" t="str">
        <f t="shared" si="191"/>
        <v/>
      </c>
      <c r="AR346" t="str">
        <f t="shared" si="192"/>
        <v>Away</v>
      </c>
      <c r="AS346" t="str">
        <f t="shared" si="193"/>
        <v>a</v>
      </c>
      <c r="AT346" t="str">
        <f t="shared" si="194"/>
        <v>Defensive</v>
      </c>
      <c r="BA346" s="6">
        <f t="shared" si="184"/>
        <v>87</v>
      </c>
      <c r="BB346">
        <f t="shared" si="185"/>
        <v>18981</v>
      </c>
      <c r="BC346" t="str">
        <f t="shared" si="186"/>
        <v>Nelson</v>
      </c>
      <c r="BD346" t="str">
        <f t="shared" si="187"/>
        <v>Velodrome</v>
      </c>
      <c r="BE346" t="s">
        <v>13</v>
      </c>
      <c r="BF346" t="s">
        <v>756</v>
      </c>
      <c r="BG346" t="s">
        <v>756</v>
      </c>
      <c r="BI346" cm="1">
        <f t="array" ref="BI346">IFERROR(_xlfn._xlws.FILTER(shifts!A:A,(shifts!B:B=events!AD346)*(shifts!AG:AG&gt;=events!BK346)*(shifts!AH:AH&lt;=events!BL346)),BI345)</f>
        <v>19</v>
      </c>
      <c r="BJ346" s="15">
        <f t="shared" si="188"/>
        <v>2</v>
      </c>
      <c r="BK346">
        <f t="shared" si="195"/>
        <v>631</v>
      </c>
      <c r="BL346">
        <f t="shared" si="196"/>
        <v>629</v>
      </c>
      <c r="BM346" s="15">
        <f>SUMIFS(BJ$2:BJ346,K$2:K346,"=Intermission")+SUMIFS(BJ$2:BJ346,K$2:K346,"=Timeout")</f>
        <v>0</v>
      </c>
      <c r="BN346">
        <f t="shared" si="197"/>
        <v>0</v>
      </c>
      <c r="BO346" s="19">
        <f t="shared" si="198"/>
        <v>449</v>
      </c>
      <c r="BP346">
        <f t="shared" si="199"/>
        <v>444</v>
      </c>
      <c r="BQ346" s="17">
        <f t="shared" si="200"/>
        <v>451</v>
      </c>
      <c r="BR346" t="str">
        <f t="shared" si="201"/>
        <v>opp_team_player_1</v>
      </c>
      <c r="BS346">
        <f>COUNTIFS(S$3:S346,"="&amp;S346,AI$3:AI346,"="&amp;AI346)</f>
        <v>1</v>
      </c>
      <c r="BT346" t="str">
        <f>IFERROR(VLOOKUP(BB346&amp;BU346&amp;X346,game_rosters!U:W,3,FALSE),"")</f>
        <v>P100197</v>
      </c>
      <c r="BU346" t="str">
        <f t="shared" si="202"/>
        <v>Nelson</v>
      </c>
    </row>
    <row r="347" spans="1:73" x14ac:dyDescent="0.2">
      <c r="A347">
        <f t="shared" si="189"/>
        <v>1</v>
      </c>
      <c r="E347" s="4"/>
      <c r="F347" s="43"/>
      <c r="G347" s="4"/>
      <c r="H347" s="46"/>
      <c r="J347" s="44" t="str">
        <f t="shared" si="203"/>
        <v>o</v>
      </c>
      <c r="K347" t="s">
        <v>238</v>
      </c>
      <c r="L347" t="s">
        <v>174</v>
      </c>
      <c r="M347" t="s">
        <v>85</v>
      </c>
      <c r="N347" t="str">
        <f t="shared" si="206"/>
        <v>s</v>
      </c>
      <c r="Q347" t="str">
        <f t="shared" si="204"/>
        <v/>
      </c>
      <c r="S347">
        <v>197</v>
      </c>
      <c r="U347" t="str">
        <f>IF(B347=1,MAX($U$2:$U346)+1,IF(AND($T347&lt;&gt;"",$T347=$T346),$U346,IF(B347="x",U346,"")))</f>
        <v/>
      </c>
      <c r="V347" t="str">
        <f>IF(C347=1,MAX($V$2:$V346)+1,IF(AND($T347&lt;&gt;"",$T347=$T346),$U346,IF(C347="x",V346,"")))</f>
        <v/>
      </c>
      <c r="W347" t="str">
        <f t="shared" si="178"/>
        <v>a</v>
      </c>
      <c r="X347">
        <v>24</v>
      </c>
      <c r="Y347" t="e">
        <f>IF(X347&lt;&gt;"",VLOOKUP(X347,game_rosters!$C$43:$E$64,3,FALSE))</f>
        <v>#N/A</v>
      </c>
      <c r="Z347" cm="1">
        <f t="array" ref="Z347">IFERROR(IF(_xlfn._xlws.FILTER(game_rosters!$J:$J,(game_rosters!$G:$G=events!$AN347)*(game_rosters!$J:$J=events!$X347))&gt;0,1,""),"")</f>
        <v>1</v>
      </c>
      <c r="AA347">
        <f t="shared" si="179"/>
        <v>1197</v>
      </c>
      <c r="AB347" t="str">
        <f t="shared" si="180"/>
        <v/>
      </c>
      <c r="AC347">
        <f t="shared" si="177"/>
        <v>1197</v>
      </c>
      <c r="AD347" s="6">
        <v>1</v>
      </c>
      <c r="AE347" t="s">
        <v>910</v>
      </c>
      <c r="AF347" t="s">
        <v>906</v>
      </c>
      <c r="AG347" t="s">
        <v>910</v>
      </c>
      <c r="AH347" t="s">
        <v>930</v>
      </c>
      <c r="AI347" t="s">
        <v>367</v>
      </c>
      <c r="AJ347" t="str">
        <f t="shared" si="205"/>
        <v>o</v>
      </c>
      <c r="AK347" t="str">
        <f t="shared" si="205"/>
        <v>o</v>
      </c>
      <c r="AL347" t="str">
        <f t="shared" si="182"/>
        <v>d</v>
      </c>
      <c r="AN347" t="s">
        <v>862</v>
      </c>
      <c r="AO347" t="str">
        <f t="shared" si="183"/>
        <v>a</v>
      </c>
      <c r="AP347" t="str">
        <f t="shared" si="190"/>
        <v>d</v>
      </c>
      <c r="AQ347" t="str">
        <f t="shared" si="191"/>
        <v/>
      </c>
      <c r="AR347" t="str">
        <f t="shared" si="192"/>
        <v>Away</v>
      </c>
      <c r="AS347" t="str">
        <f t="shared" si="193"/>
        <v>a</v>
      </c>
      <c r="AT347" t="str">
        <f t="shared" si="194"/>
        <v>Offensive</v>
      </c>
      <c r="BA347" s="6">
        <f t="shared" si="184"/>
        <v>88</v>
      </c>
      <c r="BB347">
        <f t="shared" si="185"/>
        <v>18981</v>
      </c>
      <c r="BC347" t="str">
        <f t="shared" si="186"/>
        <v>Nelson</v>
      </c>
      <c r="BD347" t="str">
        <f t="shared" si="187"/>
        <v>Velodrome</v>
      </c>
      <c r="BE347" t="s">
        <v>238</v>
      </c>
      <c r="BF347" t="s">
        <v>174</v>
      </c>
      <c r="BG347" t="s">
        <v>85</v>
      </c>
      <c r="BI347" cm="1">
        <f t="array" ref="BI347">IFERROR(_xlfn._xlws.FILTER(shifts!A:A,(shifts!B:B=events!AD347)*(shifts!AG:AG&gt;=events!BK347)*(shifts!AH:AH&lt;=events!BL347)),BI346)</f>
        <v>19</v>
      </c>
      <c r="BJ347" s="15">
        <f t="shared" si="188"/>
        <v>1</v>
      </c>
      <c r="BK347">
        <f t="shared" si="195"/>
        <v>629</v>
      </c>
      <c r="BL347">
        <f t="shared" si="196"/>
        <v>628</v>
      </c>
      <c r="BM347" s="15">
        <f>SUMIFS(BJ$2:BJ347,K$2:K347,"=Intermission")+SUMIFS(BJ$2:BJ347,K$2:K347,"=Timeout")</f>
        <v>0</v>
      </c>
      <c r="BN347">
        <f t="shared" si="197"/>
        <v>0</v>
      </c>
      <c r="BO347" s="19">
        <f t="shared" si="198"/>
        <v>451</v>
      </c>
      <c r="BP347">
        <f t="shared" si="199"/>
        <v>446</v>
      </c>
      <c r="BQ347" s="17">
        <f t="shared" si="200"/>
        <v>452</v>
      </c>
      <c r="BR347" t="str">
        <f t="shared" si="201"/>
        <v>event_team_player_1</v>
      </c>
      <c r="BS347">
        <f>COUNTIFS(S$3:S347,"="&amp;S347,AI$3:AI347,"="&amp;AI347)</f>
        <v>1</v>
      </c>
      <c r="BT347" t="str">
        <f>IFERROR(VLOOKUP(BB347&amp;BU347&amp;X347,game_rosters!U:W,3,FALSE),"")</f>
        <v>P100230</v>
      </c>
      <c r="BU347" t="str">
        <f t="shared" si="202"/>
        <v>Velodrome</v>
      </c>
    </row>
    <row r="348" spans="1:73" x14ac:dyDescent="0.2">
      <c r="A348">
        <f t="shared" si="189"/>
        <v>1</v>
      </c>
      <c r="E348" s="4"/>
      <c r="F348" s="43"/>
      <c r="G348" s="4"/>
      <c r="H348" s="46"/>
      <c r="J348" s="44" t="str">
        <f t="shared" si="203"/>
        <v>o</v>
      </c>
      <c r="K348" t="s">
        <v>238</v>
      </c>
      <c r="L348" t="s">
        <v>174</v>
      </c>
      <c r="M348" t="s">
        <v>85</v>
      </c>
      <c r="N348" t="str">
        <f t="shared" si="206"/>
        <v>s</v>
      </c>
      <c r="Q348" t="str">
        <f t="shared" si="204"/>
        <v/>
      </c>
      <c r="S348">
        <v>197</v>
      </c>
      <c r="U348" t="str">
        <f>IF(B348=1,MAX($U$2:$U347)+1,IF(AND($T348&lt;&gt;"",$T348=$T347),$U347,IF(B348="x",U347,"")))</f>
        <v/>
      </c>
      <c r="V348" t="str">
        <f>IF(C348=1,MAX($V$2:$V347)+1,IF(AND($T348&lt;&gt;"",$T348=$T347),$U347,IF(C348="x",V347,"")))</f>
        <v/>
      </c>
      <c r="W348" t="str">
        <f t="shared" si="178"/>
        <v>a</v>
      </c>
      <c r="X348">
        <v>91</v>
      </c>
      <c r="Y348" t="e">
        <f>IF(X348&lt;&gt;"",VLOOKUP(X348,game_rosters!$C$43:$E$64,3,FALSE))</f>
        <v>#N/A</v>
      </c>
      <c r="Z348" cm="1">
        <f t="array" ref="Z348">IFERROR(IF(_xlfn._xlws.FILTER(game_rosters!$J:$J,(game_rosters!$G:$G=events!$AN348)*(game_rosters!$J:$J=events!$X348))&gt;0,1,""),"")</f>
        <v>1</v>
      </c>
      <c r="AA348">
        <f t="shared" si="179"/>
        <v>1197</v>
      </c>
      <c r="AB348" t="str">
        <f t="shared" si="180"/>
        <v/>
      </c>
      <c r="AC348">
        <f t="shared" si="177"/>
        <v>1197</v>
      </c>
      <c r="AD348" s="6">
        <v>1</v>
      </c>
      <c r="AE348" t="s">
        <v>910</v>
      </c>
      <c r="AF348" t="s">
        <v>906</v>
      </c>
      <c r="AG348" t="s">
        <v>910</v>
      </c>
      <c r="AH348" t="s">
        <v>930</v>
      </c>
      <c r="AI348" t="s">
        <v>367</v>
      </c>
      <c r="AJ348" t="str">
        <f t="shared" si="205"/>
        <v>o</v>
      </c>
      <c r="AK348" t="str">
        <f t="shared" si="205"/>
        <v>o</v>
      </c>
      <c r="AL348" t="str">
        <f t="shared" si="182"/>
        <v>d</v>
      </c>
      <c r="AN348" t="s">
        <v>862</v>
      </c>
      <c r="AO348" t="str">
        <f t="shared" si="183"/>
        <v>a</v>
      </c>
      <c r="AP348" t="str">
        <f t="shared" si="190"/>
        <v>d</v>
      </c>
      <c r="AQ348" t="str">
        <f t="shared" si="191"/>
        <v/>
      </c>
      <c r="AR348" t="str">
        <f t="shared" si="192"/>
        <v>Away</v>
      </c>
      <c r="AS348" t="str">
        <f t="shared" si="193"/>
        <v>a</v>
      </c>
      <c r="AT348" t="str">
        <f t="shared" si="194"/>
        <v>Offensive</v>
      </c>
      <c r="BA348" s="6">
        <f t="shared" si="184"/>
        <v>89</v>
      </c>
      <c r="BB348">
        <f t="shared" si="185"/>
        <v>18981</v>
      </c>
      <c r="BC348" t="str">
        <f t="shared" si="186"/>
        <v>Nelson</v>
      </c>
      <c r="BD348" t="str">
        <f t="shared" si="187"/>
        <v>Velodrome</v>
      </c>
      <c r="BE348" t="s">
        <v>238</v>
      </c>
      <c r="BF348" t="s">
        <v>174</v>
      </c>
      <c r="BG348" t="s">
        <v>85</v>
      </c>
      <c r="BI348" cm="1">
        <f t="array" ref="BI348">IFERROR(_xlfn._xlws.FILTER(shifts!A:A,(shifts!B:B=events!AD348)*(shifts!AG:AG&gt;=events!BK348)*(shifts!AH:AH&lt;=events!BL348)),BI347)</f>
        <v>19</v>
      </c>
      <c r="BJ348" s="15">
        <f t="shared" si="188"/>
        <v>1</v>
      </c>
      <c r="BK348">
        <f t="shared" si="195"/>
        <v>629</v>
      </c>
      <c r="BL348">
        <f t="shared" si="196"/>
        <v>628</v>
      </c>
      <c r="BM348" s="15">
        <f>SUMIFS(BJ$2:BJ348,K$2:K348,"=Intermission")+SUMIFS(BJ$2:BJ348,K$2:K348,"=Timeout")</f>
        <v>0</v>
      </c>
      <c r="BN348">
        <f t="shared" si="197"/>
        <v>0</v>
      </c>
      <c r="BO348" s="19">
        <f t="shared" si="198"/>
        <v>451</v>
      </c>
      <c r="BP348">
        <f t="shared" si="199"/>
        <v>446</v>
      </c>
      <c r="BQ348" s="17">
        <f t="shared" si="200"/>
        <v>452</v>
      </c>
      <c r="BR348" t="str">
        <f t="shared" si="201"/>
        <v>event_team_player_2</v>
      </c>
      <c r="BS348">
        <f>COUNTIFS(S$3:S348,"="&amp;S348,AI$3:AI348,"="&amp;AI348)</f>
        <v>2</v>
      </c>
      <c r="BT348" t="str">
        <f>IFERROR(VLOOKUP(BB348&amp;BU348&amp;X348,game_rosters!U:W,3,FALSE),"")</f>
        <v>P100002</v>
      </c>
      <c r="BU348" t="str">
        <f t="shared" si="202"/>
        <v>Velodrome</v>
      </c>
    </row>
    <row r="349" spans="1:73" x14ac:dyDescent="0.2">
      <c r="A349">
        <f t="shared" si="189"/>
        <v>1</v>
      </c>
      <c r="E349" s="4"/>
      <c r="F349" s="43"/>
      <c r="G349" s="4"/>
      <c r="H349" s="46"/>
      <c r="J349" s="44" t="str">
        <f t="shared" si="203"/>
        <v>o</v>
      </c>
      <c r="K349" t="s">
        <v>238</v>
      </c>
      <c r="L349" t="s">
        <v>174</v>
      </c>
      <c r="M349" t="s">
        <v>85</v>
      </c>
      <c r="N349" t="str">
        <f t="shared" si="206"/>
        <v>s</v>
      </c>
      <c r="Q349" t="str">
        <f t="shared" si="204"/>
        <v/>
      </c>
      <c r="S349">
        <v>197</v>
      </c>
      <c r="U349" t="str">
        <f>IF(B349=1,MAX($U$2:$U348)+1,IF(AND($T349&lt;&gt;"",$T349=$T348),$U348,IF(B349="x",U348,"")))</f>
        <v/>
      </c>
      <c r="V349" t="str">
        <f>IF(C349=1,MAX($V$2:$V348)+1,IF(AND($T349&lt;&gt;"",$T349=$T348),$U348,IF(C349="x",V348,"")))</f>
        <v/>
      </c>
      <c r="W349" t="str">
        <f t="shared" si="178"/>
        <v>a</v>
      </c>
      <c r="X349">
        <v>80</v>
      </c>
      <c r="Y349" t="b">
        <f>IF(X349&lt;&gt;"",VLOOKUP(X349,game_rosters!$C$43:$E$64,3,FALSE))</f>
        <v>0</v>
      </c>
      <c r="Z349" t="str" cm="1">
        <f t="array" ref="Z349">IFERROR(IF(_xlfn._xlws.FILTER(game_rosters!$J:$J,(game_rosters!$G:$G=events!$AN349)*(game_rosters!$J:$J=events!$X349))&gt;0,1,""),"")</f>
        <v/>
      </c>
      <c r="AA349">
        <f t="shared" si="179"/>
        <v>1197</v>
      </c>
      <c r="AB349" t="str">
        <f t="shared" si="180"/>
        <v/>
      </c>
      <c r="AC349">
        <f t="shared" si="177"/>
        <v>1197</v>
      </c>
      <c r="AD349" s="6">
        <v>1</v>
      </c>
      <c r="AE349" t="s">
        <v>910</v>
      </c>
      <c r="AF349" t="s">
        <v>906</v>
      </c>
      <c r="AG349" t="s">
        <v>910</v>
      </c>
      <c r="AH349" t="s">
        <v>930</v>
      </c>
      <c r="AI349" t="s">
        <v>368</v>
      </c>
      <c r="AJ349" t="str">
        <f t="shared" si="205"/>
        <v>o</v>
      </c>
      <c r="AK349" t="str">
        <f t="shared" si="205"/>
        <v>o</v>
      </c>
      <c r="AL349" t="str">
        <f t="shared" si="182"/>
        <v>d</v>
      </c>
      <c r="AN349" t="s">
        <v>862</v>
      </c>
      <c r="AO349" t="str">
        <f t="shared" si="183"/>
        <v>a</v>
      </c>
      <c r="AP349" t="str">
        <f t="shared" si="190"/>
        <v>d</v>
      </c>
      <c r="AQ349" t="str">
        <f t="shared" si="191"/>
        <v/>
      </c>
      <c r="AR349" t="str">
        <f t="shared" si="192"/>
        <v>Away</v>
      </c>
      <c r="AS349" t="str">
        <f t="shared" si="193"/>
        <v>a</v>
      </c>
      <c r="AT349" t="str">
        <f t="shared" si="194"/>
        <v>Defensive</v>
      </c>
      <c r="BA349" s="6">
        <f t="shared" si="184"/>
        <v>90</v>
      </c>
      <c r="BB349">
        <f t="shared" si="185"/>
        <v>18981</v>
      </c>
      <c r="BC349" t="str">
        <f t="shared" si="186"/>
        <v>Nelson</v>
      </c>
      <c r="BD349" t="str">
        <f t="shared" si="187"/>
        <v>Velodrome</v>
      </c>
      <c r="BE349" t="s">
        <v>238</v>
      </c>
      <c r="BF349" t="s">
        <v>174</v>
      </c>
      <c r="BG349" t="s">
        <v>85</v>
      </c>
      <c r="BI349" cm="1">
        <f t="array" ref="BI349">IFERROR(_xlfn._xlws.FILTER(shifts!A:A,(shifts!B:B=events!AD349)*(shifts!AG:AG&gt;=events!BK349)*(shifts!AH:AH&lt;=events!BL349)),BI348)</f>
        <v>19</v>
      </c>
      <c r="BJ349" s="15">
        <f t="shared" si="188"/>
        <v>1</v>
      </c>
      <c r="BK349">
        <f t="shared" si="195"/>
        <v>629</v>
      </c>
      <c r="BL349">
        <f t="shared" si="196"/>
        <v>628</v>
      </c>
      <c r="BM349" s="15">
        <f>SUMIFS(BJ$2:BJ349,K$2:K349,"=Intermission")+SUMIFS(BJ$2:BJ349,K$2:K349,"=Timeout")</f>
        <v>0</v>
      </c>
      <c r="BN349">
        <f t="shared" si="197"/>
        <v>0</v>
      </c>
      <c r="BO349" s="19">
        <f t="shared" si="198"/>
        <v>451</v>
      </c>
      <c r="BP349">
        <f t="shared" si="199"/>
        <v>446</v>
      </c>
      <c r="BQ349" s="17">
        <f t="shared" si="200"/>
        <v>452</v>
      </c>
      <c r="BR349" t="str">
        <f t="shared" si="201"/>
        <v>opp_team_player_1</v>
      </c>
      <c r="BS349">
        <f>COUNTIFS(S$3:S349,"="&amp;S349,AI$3:AI349,"="&amp;AI349)</f>
        <v>1</v>
      </c>
      <c r="BT349" t="str">
        <f>IFERROR(VLOOKUP(BB349&amp;BU349&amp;X349,game_rosters!U:W,3,FALSE),"")</f>
        <v>P100197</v>
      </c>
      <c r="BU349" t="str">
        <f t="shared" si="202"/>
        <v>Nelson</v>
      </c>
    </row>
    <row r="350" spans="1:73" x14ac:dyDescent="0.2">
      <c r="A350">
        <f t="shared" si="189"/>
        <v>1</v>
      </c>
      <c r="E350" s="4"/>
      <c r="F350" s="43"/>
      <c r="G350" s="4"/>
      <c r="H350" s="46"/>
      <c r="J350" s="44" t="str">
        <f t="shared" si="203"/>
        <v>o</v>
      </c>
      <c r="K350" t="s">
        <v>238</v>
      </c>
      <c r="L350" t="s">
        <v>174</v>
      </c>
      <c r="M350" t="s">
        <v>85</v>
      </c>
      <c r="N350" t="str">
        <f t="shared" si="206"/>
        <v>s</v>
      </c>
      <c r="Q350" t="str">
        <f t="shared" si="204"/>
        <v/>
      </c>
      <c r="S350">
        <v>197</v>
      </c>
      <c r="U350" t="str">
        <f>IF(B350=1,MAX($U$2:$U349)+1,IF(AND($T350&lt;&gt;"",$T350=$T349),$U349,IF(B350="x",U349,"")))</f>
        <v/>
      </c>
      <c r="V350" t="str">
        <f>IF(C350=1,MAX($V$2:$V349)+1,IF(AND($T350&lt;&gt;"",$T350=$T349),$U349,IF(C350="x",V349,"")))</f>
        <v/>
      </c>
      <c r="W350" t="str">
        <f t="shared" si="178"/>
        <v>a</v>
      </c>
      <c r="X350">
        <v>23</v>
      </c>
      <c r="Y350" t="b">
        <f>IF(X350&lt;&gt;"",VLOOKUP(X350,game_rosters!$C$43:$E$64,3,FALSE))</f>
        <v>0</v>
      </c>
      <c r="Z350" t="str" cm="1">
        <f t="array" ref="Z350">IFERROR(IF(_xlfn._xlws.FILTER(game_rosters!$J:$J,(game_rosters!$G:$G=events!$AN350)*(game_rosters!$J:$J=events!$X350))&gt;0,1,""),"")</f>
        <v/>
      </c>
      <c r="AA350">
        <f t="shared" si="179"/>
        <v>1197</v>
      </c>
      <c r="AB350" t="str">
        <f t="shared" si="180"/>
        <v/>
      </c>
      <c r="AC350">
        <f t="shared" si="177"/>
        <v>1197</v>
      </c>
      <c r="AD350" s="6">
        <v>1</v>
      </c>
      <c r="AE350" t="s">
        <v>910</v>
      </c>
      <c r="AF350" t="s">
        <v>906</v>
      </c>
      <c r="AG350" t="s">
        <v>910</v>
      </c>
      <c r="AH350" t="s">
        <v>930</v>
      </c>
      <c r="AI350" t="s">
        <v>368</v>
      </c>
      <c r="AJ350" t="str">
        <f t="shared" si="205"/>
        <v>o</v>
      </c>
      <c r="AK350" t="str">
        <f t="shared" si="205"/>
        <v>o</v>
      </c>
      <c r="AL350" t="str">
        <f t="shared" si="182"/>
        <v>d</v>
      </c>
      <c r="AN350" t="s">
        <v>862</v>
      </c>
      <c r="AO350" t="str">
        <f t="shared" si="183"/>
        <v>a</v>
      </c>
      <c r="AP350" t="str">
        <f t="shared" si="190"/>
        <v>d</v>
      </c>
      <c r="AQ350" t="str">
        <f t="shared" si="191"/>
        <v/>
      </c>
      <c r="AR350" t="str">
        <f t="shared" si="192"/>
        <v>Away</v>
      </c>
      <c r="AS350" t="str">
        <f t="shared" si="193"/>
        <v>a</v>
      </c>
      <c r="AT350" t="str">
        <f t="shared" si="194"/>
        <v>Defensive</v>
      </c>
      <c r="BA350" s="6">
        <f t="shared" si="184"/>
        <v>91</v>
      </c>
      <c r="BB350">
        <f t="shared" si="185"/>
        <v>18981</v>
      </c>
      <c r="BC350" t="str">
        <f t="shared" si="186"/>
        <v>Nelson</v>
      </c>
      <c r="BD350" t="str">
        <f t="shared" si="187"/>
        <v>Velodrome</v>
      </c>
      <c r="BE350" t="s">
        <v>238</v>
      </c>
      <c r="BF350" t="s">
        <v>174</v>
      </c>
      <c r="BG350" t="s">
        <v>85</v>
      </c>
      <c r="BI350" cm="1">
        <f t="array" ref="BI350">IFERROR(_xlfn._xlws.FILTER(shifts!A:A,(shifts!B:B=events!AD350)*(shifts!AG:AG&gt;=events!BK350)*(shifts!AH:AH&lt;=events!BL350)),BI349)</f>
        <v>19</v>
      </c>
      <c r="BJ350" s="15">
        <f t="shared" si="188"/>
        <v>1</v>
      </c>
      <c r="BK350">
        <f t="shared" si="195"/>
        <v>629</v>
      </c>
      <c r="BL350">
        <f t="shared" si="196"/>
        <v>628</v>
      </c>
      <c r="BM350" s="15">
        <f>SUMIFS(BJ$2:BJ350,K$2:K350,"=Intermission")+SUMIFS(BJ$2:BJ350,K$2:K350,"=Timeout")</f>
        <v>0</v>
      </c>
      <c r="BN350">
        <f t="shared" si="197"/>
        <v>0</v>
      </c>
      <c r="BO350" s="19">
        <f t="shared" si="198"/>
        <v>451</v>
      </c>
      <c r="BP350">
        <f t="shared" si="199"/>
        <v>446</v>
      </c>
      <c r="BQ350" s="17">
        <f t="shared" si="200"/>
        <v>452</v>
      </c>
      <c r="BR350" t="str">
        <f t="shared" si="201"/>
        <v>opp_team_player_2</v>
      </c>
      <c r="BS350">
        <f>COUNTIFS(S$3:S350,"="&amp;S350,AI$3:AI350,"="&amp;AI350)</f>
        <v>2</v>
      </c>
      <c r="BT350" t="str">
        <f>IFERROR(VLOOKUP(BB350&amp;BU350&amp;X350,game_rosters!U:W,3,FALSE),"")</f>
        <v>P100061</v>
      </c>
      <c r="BU350" t="str">
        <f t="shared" si="202"/>
        <v>Nelson</v>
      </c>
    </row>
    <row r="351" spans="1:73" x14ac:dyDescent="0.2">
      <c r="A351">
        <f t="shared" si="189"/>
        <v>1</v>
      </c>
      <c r="E351" s="4"/>
      <c r="F351" s="43"/>
      <c r="G351" s="4"/>
      <c r="H351" s="46"/>
      <c r="J351" s="44" t="str">
        <f t="shared" si="203"/>
        <v/>
      </c>
      <c r="K351" t="s">
        <v>230</v>
      </c>
      <c r="L351" t="s">
        <v>389</v>
      </c>
      <c r="M351" t="s">
        <v>156</v>
      </c>
      <c r="N351" t="str">
        <f t="shared" si="206"/>
        <v/>
      </c>
      <c r="Q351" t="str">
        <f t="shared" si="204"/>
        <v/>
      </c>
      <c r="S351">
        <v>198</v>
      </c>
      <c r="U351" t="str">
        <f>IF(B351=1,MAX($U$2:$U350)+1,IF(AND($T351&lt;&gt;"",$T351=$T350),$U350,IF(B351="x",U350,"")))</f>
        <v/>
      </c>
      <c r="V351" t="str">
        <f>IF(C351=1,MAX($V$2:$V350)+1,IF(AND($T351&lt;&gt;"",$T351=$T350),$U350,IF(C351="x",V350,"")))</f>
        <v/>
      </c>
      <c r="W351" t="str">
        <f t="shared" si="178"/>
        <v>h</v>
      </c>
      <c r="X351">
        <v>80</v>
      </c>
      <c r="Y351" t="b">
        <f>IF(X351&lt;&gt;"",VLOOKUP(X351,game_rosters!$C$43:$E$64,3,FALSE))</f>
        <v>0</v>
      </c>
      <c r="Z351" cm="1">
        <f t="array" ref="Z351">IFERROR(IF(_xlfn._xlws.FILTER(game_rosters!$J:$J,(game_rosters!$G:$G=events!$AN351)*(game_rosters!$J:$J=events!$X351))&gt;0,1,""),"")</f>
        <v>1</v>
      </c>
      <c r="AA351">
        <f t="shared" si="179"/>
        <v>1198</v>
      </c>
      <c r="AB351" t="str">
        <f t="shared" si="180"/>
        <v/>
      </c>
      <c r="AC351">
        <f t="shared" si="177"/>
        <v>1198</v>
      </c>
      <c r="AD351" s="6">
        <v>1</v>
      </c>
      <c r="AE351" t="s">
        <v>910</v>
      </c>
      <c r="AF351" t="s">
        <v>930</v>
      </c>
      <c r="AG351" t="s">
        <v>756</v>
      </c>
      <c r="AH351" t="s">
        <v>756</v>
      </c>
      <c r="AI351" t="s">
        <v>367</v>
      </c>
      <c r="AJ351" t="str">
        <f t="shared" si="205"/>
        <v/>
      </c>
      <c r="AK351" t="str">
        <f t="shared" si="205"/>
        <v/>
      </c>
      <c r="AL351" t="str">
        <f t="shared" si="182"/>
        <v/>
      </c>
      <c r="AN351" t="s">
        <v>861</v>
      </c>
      <c r="AO351" t="str">
        <f t="shared" si="183"/>
        <v>h</v>
      </c>
      <c r="AP351" t="str">
        <f t="shared" si="190"/>
        <v/>
      </c>
      <c r="AQ351" t="str">
        <f t="shared" si="191"/>
        <v/>
      </c>
      <c r="AR351" t="str">
        <f t="shared" si="192"/>
        <v>Home</v>
      </c>
      <c r="AS351" t="str">
        <f t="shared" si="193"/>
        <v>h</v>
      </c>
      <c r="AT351" t="str">
        <f t="shared" si="194"/>
        <v>Defensive</v>
      </c>
      <c r="BA351" s="6">
        <f t="shared" si="184"/>
        <v>91</v>
      </c>
      <c r="BB351">
        <f t="shared" si="185"/>
        <v>18981</v>
      </c>
      <c r="BC351" t="str">
        <f t="shared" si="186"/>
        <v>Nelson</v>
      </c>
      <c r="BD351" t="str">
        <f t="shared" si="187"/>
        <v>Velodrome</v>
      </c>
      <c r="BE351" t="s">
        <v>230</v>
      </c>
      <c r="BF351" t="s">
        <v>389</v>
      </c>
      <c r="BG351" t="s">
        <v>156</v>
      </c>
      <c r="BI351">
        <v>19</v>
      </c>
      <c r="BJ351" s="15">
        <f t="shared" si="188"/>
        <v>0</v>
      </c>
      <c r="BK351">
        <f t="shared" si="195"/>
        <v>628</v>
      </c>
      <c r="BL351">
        <f t="shared" si="196"/>
        <v>628</v>
      </c>
      <c r="BM351" s="15">
        <f>SUMIFS(BJ$2:BJ351,K$2:K351,"=Intermission")+SUMIFS(BJ$2:BJ351,K$2:K351,"=Timeout")</f>
        <v>0</v>
      </c>
      <c r="BN351">
        <f t="shared" si="197"/>
        <v>0</v>
      </c>
      <c r="BO351" s="19">
        <f t="shared" si="198"/>
        <v>452</v>
      </c>
      <c r="BP351">
        <f t="shared" si="199"/>
        <v>447</v>
      </c>
      <c r="BQ351" s="17">
        <f t="shared" si="200"/>
        <v>452</v>
      </c>
      <c r="BR351" t="str">
        <f t="shared" si="201"/>
        <v>event_team_player_1</v>
      </c>
      <c r="BS351">
        <f>COUNTIFS(S$3:S351,"="&amp;S351,AI$3:AI351,"="&amp;AI351)</f>
        <v>1</v>
      </c>
      <c r="BT351" t="str">
        <f>IFERROR(VLOOKUP(BB351&amp;BU351&amp;X351,game_rosters!U:W,3,FALSE),"")</f>
        <v>P100197</v>
      </c>
      <c r="BU351" t="str">
        <f t="shared" si="202"/>
        <v>Nelson</v>
      </c>
    </row>
    <row r="352" spans="1:73" x14ac:dyDescent="0.2">
      <c r="A352">
        <f t="shared" si="189"/>
        <v>1</v>
      </c>
      <c r="E352" s="4"/>
      <c r="F352" s="43"/>
      <c r="G352" s="4"/>
      <c r="H352" s="46"/>
      <c r="J352" s="44" t="str">
        <f t="shared" si="203"/>
        <v/>
      </c>
      <c r="K352" t="s">
        <v>230</v>
      </c>
      <c r="L352" t="s">
        <v>389</v>
      </c>
      <c r="M352" t="s">
        <v>156</v>
      </c>
      <c r="N352" t="str">
        <f t="shared" si="206"/>
        <v/>
      </c>
      <c r="Q352" t="str">
        <f t="shared" si="204"/>
        <v/>
      </c>
      <c r="S352">
        <v>198</v>
      </c>
      <c r="U352" t="str">
        <f>IF(B352=1,MAX($U$2:$U351)+1,IF(AND($T352&lt;&gt;"",$T352=$T351),$U351,IF(B352="x",U351,"")))</f>
        <v/>
      </c>
      <c r="V352" t="str">
        <f>IF(C352=1,MAX($V$2:$V351)+1,IF(AND($T352&lt;&gt;"",$T352=$T351),$U351,IF(C352="x",V351,"")))</f>
        <v/>
      </c>
      <c r="W352" t="str">
        <f t="shared" si="178"/>
        <v>h</v>
      </c>
      <c r="X352">
        <v>24</v>
      </c>
      <c r="Y352" t="e">
        <f>IF(X352&lt;&gt;"",VLOOKUP(X352,game_rosters!$C$43:$E$64,3,FALSE))</f>
        <v>#N/A</v>
      </c>
      <c r="Z352" t="str" cm="1">
        <f t="array" ref="Z352">IFERROR(IF(_xlfn._xlws.FILTER(game_rosters!$J:$J,(game_rosters!$G:$G=events!$AN352)*(game_rosters!$J:$J=events!$X352))&gt;0,1,""),"")</f>
        <v/>
      </c>
      <c r="AA352">
        <f t="shared" si="179"/>
        <v>1198</v>
      </c>
      <c r="AB352" t="str">
        <f t="shared" si="180"/>
        <v/>
      </c>
      <c r="AC352">
        <f t="shared" si="177"/>
        <v>1198</v>
      </c>
      <c r="AD352" s="6">
        <v>1</v>
      </c>
      <c r="AE352" t="s">
        <v>910</v>
      </c>
      <c r="AF352" t="s">
        <v>930</v>
      </c>
      <c r="AG352" t="s">
        <v>756</v>
      </c>
      <c r="AH352" t="s">
        <v>756</v>
      </c>
      <c r="AI352" t="s">
        <v>368</v>
      </c>
      <c r="AJ352" t="str">
        <f t="shared" si="205"/>
        <v/>
      </c>
      <c r="AK352" t="str">
        <f t="shared" si="205"/>
        <v/>
      </c>
      <c r="AL352" t="str">
        <f t="shared" si="182"/>
        <v/>
      </c>
      <c r="AN352" t="s">
        <v>861</v>
      </c>
      <c r="AO352" t="str">
        <f t="shared" si="183"/>
        <v>h</v>
      </c>
      <c r="AP352" t="str">
        <f t="shared" si="190"/>
        <v/>
      </c>
      <c r="AQ352" t="str">
        <f t="shared" si="191"/>
        <v/>
      </c>
      <c r="AR352" t="str">
        <f t="shared" si="192"/>
        <v>Home</v>
      </c>
      <c r="AS352" t="str">
        <f t="shared" si="193"/>
        <v>h</v>
      </c>
      <c r="AT352" t="str">
        <f t="shared" si="194"/>
        <v>Offensive</v>
      </c>
      <c r="BA352" s="6">
        <f t="shared" si="184"/>
        <v>91</v>
      </c>
      <c r="BB352">
        <f t="shared" si="185"/>
        <v>18981</v>
      </c>
      <c r="BC352" t="str">
        <f t="shared" si="186"/>
        <v>Nelson</v>
      </c>
      <c r="BD352" t="str">
        <f t="shared" si="187"/>
        <v>Velodrome</v>
      </c>
      <c r="BE352" t="s">
        <v>230</v>
      </c>
      <c r="BF352" t="s">
        <v>389</v>
      </c>
      <c r="BG352" t="s">
        <v>156</v>
      </c>
      <c r="BI352">
        <v>19</v>
      </c>
      <c r="BJ352" s="15">
        <f t="shared" si="188"/>
        <v>0</v>
      </c>
      <c r="BK352">
        <f t="shared" si="195"/>
        <v>628</v>
      </c>
      <c r="BL352">
        <f t="shared" si="196"/>
        <v>628</v>
      </c>
      <c r="BM352" s="15">
        <f>SUMIFS(BJ$2:BJ352,K$2:K352,"=Intermission")+SUMIFS(BJ$2:BJ352,K$2:K352,"=Timeout")</f>
        <v>0</v>
      </c>
      <c r="BN352">
        <f t="shared" si="197"/>
        <v>0</v>
      </c>
      <c r="BO352" s="19">
        <f t="shared" si="198"/>
        <v>452</v>
      </c>
      <c r="BP352">
        <f t="shared" si="199"/>
        <v>447</v>
      </c>
      <c r="BQ352" s="17">
        <f t="shared" si="200"/>
        <v>452</v>
      </c>
      <c r="BR352" t="str">
        <f t="shared" si="201"/>
        <v>opp_team_player_1</v>
      </c>
      <c r="BS352">
        <f>COUNTIFS(S$3:S352,"="&amp;S352,AI$3:AI352,"="&amp;AI352)</f>
        <v>1</v>
      </c>
      <c r="BT352" t="str">
        <f>IFERROR(VLOOKUP(BB352&amp;BU352&amp;X352,game_rosters!U:W,3,FALSE),"")</f>
        <v>P100230</v>
      </c>
      <c r="BU352" t="str">
        <f t="shared" si="202"/>
        <v>Velodrome</v>
      </c>
    </row>
    <row r="353" spans="1:73" x14ac:dyDescent="0.2">
      <c r="A353">
        <f t="shared" si="189"/>
        <v>1</v>
      </c>
      <c r="E353" s="4"/>
      <c r="F353" s="43"/>
      <c r="G353" s="4"/>
      <c r="H353" s="46"/>
      <c r="J353" s="44" t="str">
        <f t="shared" si="203"/>
        <v/>
      </c>
      <c r="K353" t="s">
        <v>13</v>
      </c>
      <c r="L353" t="s">
        <v>756</v>
      </c>
      <c r="M353" t="s">
        <v>756</v>
      </c>
      <c r="N353" t="str">
        <f t="shared" si="206"/>
        <v/>
      </c>
      <c r="Q353" t="str">
        <f t="shared" si="204"/>
        <v/>
      </c>
      <c r="S353">
        <v>199</v>
      </c>
      <c r="U353" t="str">
        <f>IF(B353=1,MAX($U$2:$U352)+1,IF(AND($T353&lt;&gt;"",$T353=$T352),$U352,IF(B353="x",U352,"")))</f>
        <v/>
      </c>
      <c r="V353" t="str">
        <f>IF(C353=1,MAX($V$2:$V352)+1,IF(AND($T353&lt;&gt;"",$T353=$T352),$U352,IF(C353="x",V352,"")))</f>
        <v/>
      </c>
      <c r="W353" t="str">
        <f t="shared" si="178"/>
        <v>a</v>
      </c>
      <c r="X353">
        <v>42</v>
      </c>
      <c r="Y353" t="e">
        <f>IF(X353&lt;&gt;"",VLOOKUP(X353,game_rosters!$C$43:$E$64,3,FALSE))</f>
        <v>#N/A</v>
      </c>
      <c r="Z353" cm="1">
        <f t="array" ref="Z353">IFERROR(IF(_xlfn._xlws.FILTER(game_rosters!$J:$J,(game_rosters!$G:$G=events!$AN353)*(game_rosters!$J:$J=events!$X353))&gt;0,1,""),"")</f>
        <v>1</v>
      </c>
      <c r="AA353">
        <f t="shared" si="179"/>
        <v>1199</v>
      </c>
      <c r="AB353" t="str">
        <f t="shared" si="180"/>
        <v/>
      </c>
      <c r="AC353">
        <f t="shared" si="177"/>
        <v>1199</v>
      </c>
      <c r="AD353" s="6">
        <v>1</v>
      </c>
      <c r="AE353" t="s">
        <v>910</v>
      </c>
      <c r="AF353" t="s">
        <v>741</v>
      </c>
      <c r="AG353" t="s">
        <v>910</v>
      </c>
      <c r="AH353" t="s">
        <v>743</v>
      </c>
      <c r="AI353" t="s">
        <v>367</v>
      </c>
      <c r="AJ353" t="str">
        <f t="shared" si="205"/>
        <v/>
      </c>
      <c r="AK353" t="str">
        <f t="shared" si="205"/>
        <v/>
      </c>
      <c r="AL353" t="str">
        <f t="shared" si="182"/>
        <v/>
      </c>
      <c r="AN353" t="s">
        <v>862</v>
      </c>
      <c r="AO353" t="str">
        <f t="shared" si="183"/>
        <v>a</v>
      </c>
      <c r="AP353" t="str">
        <f t="shared" si="190"/>
        <v/>
      </c>
      <c r="AQ353" t="str">
        <f t="shared" si="191"/>
        <v/>
      </c>
      <c r="AR353" t="str">
        <f t="shared" si="192"/>
        <v>Away</v>
      </c>
      <c r="AS353" t="str">
        <f t="shared" si="193"/>
        <v>a</v>
      </c>
      <c r="AT353" t="str">
        <f t="shared" si="194"/>
        <v>Offensive</v>
      </c>
      <c r="BA353" s="6">
        <f t="shared" si="184"/>
        <v>91</v>
      </c>
      <c r="BB353">
        <f t="shared" si="185"/>
        <v>18981</v>
      </c>
      <c r="BC353" t="str">
        <f t="shared" si="186"/>
        <v>Nelson</v>
      </c>
      <c r="BD353" t="str">
        <f t="shared" si="187"/>
        <v>Velodrome</v>
      </c>
      <c r="BE353" t="s">
        <v>13</v>
      </c>
      <c r="BF353" t="s">
        <v>756</v>
      </c>
      <c r="BG353" t="s">
        <v>756</v>
      </c>
      <c r="BI353" cm="1">
        <f t="array" ref="BI353">IFERROR(_xlfn._xlws.FILTER(shifts!A:A,(shifts!B:B=events!AD353)*(shifts!AG:AG&gt;=events!BK353)*(shifts!AH:AH&lt;=events!BL353)),BI352)</f>
        <v>20</v>
      </c>
      <c r="BJ353" s="15">
        <f t="shared" si="188"/>
        <v>3</v>
      </c>
      <c r="BK353">
        <f t="shared" si="195"/>
        <v>621</v>
      </c>
      <c r="BL353">
        <f t="shared" si="196"/>
        <v>618</v>
      </c>
      <c r="BM353" s="15">
        <f>SUMIFS(BJ$2:BJ353,K$2:K353,"=Intermission")+SUMIFS(BJ$2:BJ353,K$2:K353,"=Timeout")</f>
        <v>0</v>
      </c>
      <c r="BN353">
        <f t="shared" si="197"/>
        <v>0</v>
      </c>
      <c r="BO353" s="19">
        <f t="shared" si="198"/>
        <v>459</v>
      </c>
      <c r="BP353">
        <f t="shared" si="199"/>
        <v>454</v>
      </c>
      <c r="BQ353" s="17">
        <f t="shared" si="200"/>
        <v>462</v>
      </c>
      <c r="BR353" t="str">
        <f t="shared" si="201"/>
        <v>event_team_player_1</v>
      </c>
      <c r="BS353">
        <f>COUNTIFS(S$3:S353,"="&amp;S353,AI$3:AI353,"="&amp;AI353)</f>
        <v>1</v>
      </c>
      <c r="BT353" t="str">
        <f>IFERROR(VLOOKUP(BB353&amp;BU353&amp;X353,game_rosters!U:W,3,FALSE),"")</f>
        <v>P100201</v>
      </c>
      <c r="BU353" t="str">
        <f t="shared" si="202"/>
        <v>Velodrome</v>
      </c>
    </row>
    <row r="354" spans="1:73" x14ac:dyDescent="0.2">
      <c r="A354">
        <f t="shared" si="189"/>
        <v>1</v>
      </c>
      <c r="E354" s="4"/>
      <c r="F354" s="43"/>
      <c r="G354" s="4"/>
      <c r="H354" s="46"/>
      <c r="J354" s="44" t="str">
        <f t="shared" si="203"/>
        <v/>
      </c>
      <c r="K354" t="s">
        <v>13</v>
      </c>
      <c r="L354" t="s">
        <v>756</v>
      </c>
      <c r="M354" t="s">
        <v>756</v>
      </c>
      <c r="N354" t="str">
        <f t="shared" si="206"/>
        <v/>
      </c>
      <c r="Q354" t="str">
        <f t="shared" si="204"/>
        <v/>
      </c>
      <c r="S354">
        <v>199</v>
      </c>
      <c r="U354" t="str">
        <f>IF(B354=1,MAX($U$2:$U353)+1,IF(AND($T354&lt;&gt;"",$T354=$T353),$U353,IF(B354="x",U353,"")))</f>
        <v/>
      </c>
      <c r="V354" t="str">
        <f>IF(C354=1,MAX($V$2:$V353)+1,IF(AND($T354&lt;&gt;"",$T354=$T353),$U353,IF(C354="x",V353,"")))</f>
        <v/>
      </c>
      <c r="W354" t="str">
        <f t="shared" si="178"/>
        <v>a</v>
      </c>
      <c r="X354">
        <v>23</v>
      </c>
      <c r="Y354" t="b">
        <f>IF(X354&lt;&gt;"",VLOOKUP(X354,game_rosters!$C$43:$E$64,3,FALSE))</f>
        <v>0</v>
      </c>
      <c r="Z354" t="str" cm="1">
        <f t="array" ref="Z354">IFERROR(IF(_xlfn._xlws.FILTER(game_rosters!$J:$J,(game_rosters!$G:$G=events!$AN354)*(game_rosters!$J:$J=events!$X354))&gt;0,1,""),"")</f>
        <v/>
      </c>
      <c r="AA354">
        <f t="shared" si="179"/>
        <v>1199</v>
      </c>
      <c r="AB354" t="str">
        <f t="shared" si="180"/>
        <v/>
      </c>
      <c r="AC354">
        <f t="shared" si="177"/>
        <v>1199</v>
      </c>
      <c r="AD354" s="6">
        <v>1</v>
      </c>
      <c r="AE354" t="s">
        <v>910</v>
      </c>
      <c r="AF354" t="s">
        <v>741</v>
      </c>
      <c r="AG354" t="s">
        <v>910</v>
      </c>
      <c r="AH354" t="s">
        <v>743</v>
      </c>
      <c r="AI354" t="s">
        <v>367</v>
      </c>
      <c r="AJ354" t="str">
        <f t="shared" si="205"/>
        <v/>
      </c>
      <c r="AK354" t="str">
        <f t="shared" si="205"/>
        <v/>
      </c>
      <c r="AL354" t="str">
        <f t="shared" si="182"/>
        <v/>
      </c>
      <c r="AN354" t="s">
        <v>862</v>
      </c>
      <c r="AO354" t="str">
        <f t="shared" si="183"/>
        <v>a</v>
      </c>
      <c r="AP354" t="str">
        <f t="shared" si="190"/>
        <v/>
      </c>
      <c r="AQ354" t="str">
        <f t="shared" si="191"/>
        <v/>
      </c>
      <c r="AR354" t="str">
        <f t="shared" si="192"/>
        <v>Away</v>
      </c>
      <c r="AS354" t="str">
        <f t="shared" si="193"/>
        <v>a</v>
      </c>
      <c r="AT354" t="str">
        <f t="shared" si="194"/>
        <v>Offensive</v>
      </c>
      <c r="BA354" s="6">
        <f t="shared" si="184"/>
        <v>91</v>
      </c>
      <c r="BB354">
        <f t="shared" si="185"/>
        <v>18981</v>
      </c>
      <c r="BC354" t="str">
        <f t="shared" si="186"/>
        <v>Nelson</v>
      </c>
      <c r="BD354" t="str">
        <f t="shared" si="187"/>
        <v>Velodrome</v>
      </c>
      <c r="BE354" t="s">
        <v>13</v>
      </c>
      <c r="BF354" t="s">
        <v>756</v>
      </c>
      <c r="BG354" t="s">
        <v>756</v>
      </c>
      <c r="BI354" cm="1">
        <f t="array" ref="BI354">IFERROR(_xlfn._xlws.FILTER(shifts!A:A,(shifts!B:B=events!AD354)*(shifts!AG:AG&gt;=events!BK354)*(shifts!AH:AH&lt;=events!BL354)),BI353)</f>
        <v>20</v>
      </c>
      <c r="BJ354" s="15">
        <f t="shared" si="188"/>
        <v>3</v>
      </c>
      <c r="BK354">
        <f t="shared" si="195"/>
        <v>621</v>
      </c>
      <c r="BL354">
        <f t="shared" si="196"/>
        <v>618</v>
      </c>
      <c r="BM354" s="15">
        <f>SUMIFS(BJ$2:BJ354,K$2:K354,"=Intermission")+SUMIFS(BJ$2:BJ354,K$2:K354,"=Timeout")</f>
        <v>0</v>
      </c>
      <c r="BN354">
        <f t="shared" si="197"/>
        <v>0</v>
      </c>
      <c r="BO354" s="19">
        <f t="shared" si="198"/>
        <v>459</v>
      </c>
      <c r="BP354">
        <f t="shared" si="199"/>
        <v>454</v>
      </c>
      <c r="BQ354" s="17">
        <f t="shared" si="200"/>
        <v>462</v>
      </c>
      <c r="BR354" t="str">
        <f t="shared" si="201"/>
        <v>event_team_player_2</v>
      </c>
      <c r="BS354">
        <f>COUNTIFS(S$3:S354,"="&amp;S354,AI$3:AI354,"="&amp;AI354)</f>
        <v>2</v>
      </c>
      <c r="BT354" t="str">
        <f>IFERROR(VLOOKUP(BB354&amp;BU354&amp;X354,game_rosters!U:W,3,FALSE),"")</f>
        <v>P100061</v>
      </c>
      <c r="BU354" t="s">
        <v>944</v>
      </c>
    </row>
    <row r="355" spans="1:73" x14ac:dyDescent="0.2">
      <c r="A355">
        <f t="shared" si="189"/>
        <v>1</v>
      </c>
      <c r="E355" s="4"/>
      <c r="F355" s="43"/>
      <c r="G355" s="4"/>
      <c r="H355" s="46"/>
      <c r="J355" s="44" t="str">
        <f t="shared" si="203"/>
        <v/>
      </c>
      <c r="K355" t="s">
        <v>9</v>
      </c>
      <c r="L355" t="s">
        <v>173</v>
      </c>
      <c r="M355" t="s">
        <v>73</v>
      </c>
      <c r="N355" t="str">
        <f t="shared" si="206"/>
        <v>u</v>
      </c>
      <c r="Q355" t="str">
        <f t="shared" si="204"/>
        <v/>
      </c>
      <c r="S355">
        <v>200</v>
      </c>
      <c r="U355" t="str">
        <f>IF(B355=1,MAX($U$2:$U354)+1,IF(AND($T355&lt;&gt;"",$T355=$T354),$U354,IF(B355="x",U354,"")))</f>
        <v/>
      </c>
      <c r="V355" t="str">
        <f>IF(C355=1,MAX($V$2:$V354)+1,IF(AND($T355&lt;&gt;"",$T355=$T354),$U354,IF(C355="x",V354,"")))</f>
        <v/>
      </c>
      <c r="W355" t="str">
        <f t="shared" si="178"/>
        <v>a</v>
      </c>
      <c r="X355">
        <v>42</v>
      </c>
      <c r="Y355" t="e">
        <f>IF(X355&lt;&gt;"",VLOOKUP(X355,game_rosters!$C$43:$E$64,3,FALSE))</f>
        <v>#N/A</v>
      </c>
      <c r="Z355" cm="1">
        <f t="array" ref="Z355">IFERROR(IF(_xlfn._xlws.FILTER(game_rosters!$J:$J,(game_rosters!$G:$G=events!$AN355)*(game_rosters!$J:$J=events!$X355))&gt;0,1,""),"")</f>
        <v>1</v>
      </c>
      <c r="AA355">
        <f t="shared" si="179"/>
        <v>1200</v>
      </c>
      <c r="AB355" t="str">
        <f t="shared" si="180"/>
        <v/>
      </c>
      <c r="AC355">
        <f t="shared" si="177"/>
        <v>1200</v>
      </c>
      <c r="AD355" s="6">
        <v>1</v>
      </c>
      <c r="AE355" t="s">
        <v>910</v>
      </c>
      <c r="AF355" t="s">
        <v>743</v>
      </c>
      <c r="AG355" t="s">
        <v>756</v>
      </c>
      <c r="AH355" t="s">
        <v>756</v>
      </c>
      <c r="AI355" t="s">
        <v>367</v>
      </c>
      <c r="AJ355" t="str">
        <f t="shared" si="205"/>
        <v/>
      </c>
      <c r="AK355" t="str">
        <f t="shared" si="205"/>
        <v/>
      </c>
      <c r="AL355" t="str">
        <f t="shared" si="182"/>
        <v/>
      </c>
      <c r="AN355" t="s">
        <v>862</v>
      </c>
      <c r="AO355" t="str">
        <f t="shared" si="183"/>
        <v>a</v>
      </c>
      <c r="AP355" t="str">
        <f t="shared" si="190"/>
        <v/>
      </c>
      <c r="AQ355" t="str">
        <f t="shared" si="191"/>
        <v/>
      </c>
      <c r="AR355" t="str">
        <f t="shared" si="192"/>
        <v>Away</v>
      </c>
      <c r="AS355" t="str">
        <f t="shared" si="193"/>
        <v>a</v>
      </c>
      <c r="AT355" t="str">
        <f t="shared" si="194"/>
        <v>Offensive</v>
      </c>
      <c r="BA355" s="6">
        <f t="shared" si="184"/>
        <v>91</v>
      </c>
      <c r="BB355">
        <f t="shared" si="185"/>
        <v>18981</v>
      </c>
      <c r="BC355" t="str">
        <f t="shared" si="186"/>
        <v>Nelson</v>
      </c>
      <c r="BD355" t="str">
        <f t="shared" si="187"/>
        <v>Velodrome</v>
      </c>
      <c r="BE355" t="s">
        <v>9</v>
      </c>
      <c r="BF355" t="s">
        <v>173</v>
      </c>
      <c r="BG355" t="s">
        <v>73</v>
      </c>
      <c r="BI355" cm="1">
        <f t="array" ref="BI355">IFERROR(_xlfn._xlws.FILTER(shifts!A:A,(shifts!B:B=events!AD355)*(shifts!AG:AG&gt;=events!BK355)*(shifts!AH:AH&lt;=events!BL355)),BI354)</f>
        <v>20</v>
      </c>
      <c r="BJ355" s="15">
        <f t="shared" si="188"/>
        <v>0</v>
      </c>
      <c r="BK355">
        <f t="shared" si="195"/>
        <v>618</v>
      </c>
      <c r="BL355">
        <f t="shared" si="196"/>
        <v>618</v>
      </c>
      <c r="BM355" s="15">
        <f>SUMIFS(BJ$2:BJ355,K$2:K355,"=Intermission")+SUMIFS(BJ$2:BJ355,K$2:K355,"=Timeout")</f>
        <v>0</v>
      </c>
      <c r="BN355">
        <f t="shared" si="197"/>
        <v>0</v>
      </c>
      <c r="BO355" s="19">
        <f t="shared" si="198"/>
        <v>462</v>
      </c>
      <c r="BP355">
        <f t="shared" si="199"/>
        <v>457</v>
      </c>
      <c r="BQ355" s="17">
        <f t="shared" si="200"/>
        <v>462</v>
      </c>
      <c r="BR355" t="str">
        <f t="shared" si="201"/>
        <v>event_team_player_1</v>
      </c>
      <c r="BS355">
        <f>COUNTIFS(S$3:S355,"="&amp;S355,AI$3:AI355,"="&amp;AI355)</f>
        <v>1</v>
      </c>
      <c r="BT355" t="str">
        <f>IFERROR(VLOOKUP(BB355&amp;BU355&amp;X355,game_rosters!U:W,3,FALSE),"")</f>
        <v>P100201</v>
      </c>
      <c r="BU355" t="str">
        <f t="shared" si="202"/>
        <v>Velodrome</v>
      </c>
    </row>
    <row r="356" spans="1:73" x14ac:dyDescent="0.2">
      <c r="A356">
        <f t="shared" si="189"/>
        <v>1</v>
      </c>
      <c r="E356" s="4"/>
      <c r="F356" s="43"/>
      <c r="G356" s="4"/>
      <c r="H356" s="46"/>
      <c r="J356" s="44" t="str">
        <f t="shared" si="203"/>
        <v/>
      </c>
      <c r="K356" t="s">
        <v>9</v>
      </c>
      <c r="L356" t="s">
        <v>173</v>
      </c>
      <c r="M356" t="s">
        <v>73</v>
      </c>
      <c r="N356" t="str">
        <f t="shared" si="206"/>
        <v>u</v>
      </c>
      <c r="Q356" t="str">
        <f t="shared" si="204"/>
        <v/>
      </c>
      <c r="S356">
        <v>200</v>
      </c>
      <c r="U356" t="str">
        <f>IF(B356=1,MAX($U$2:$U355)+1,IF(AND($T356&lt;&gt;"",$T356=$T355),$U355,IF(B356="x",U355,"")))</f>
        <v/>
      </c>
      <c r="V356" t="str">
        <f>IF(C356=1,MAX($V$2:$V355)+1,IF(AND($T356&lt;&gt;"",$T356=$T355),$U355,IF(C356="x",V355,"")))</f>
        <v/>
      </c>
      <c r="W356" t="str">
        <f t="shared" si="178"/>
        <v>a</v>
      </c>
      <c r="X356">
        <v>16</v>
      </c>
      <c r="Y356" t="b">
        <f>IF(X356&lt;&gt;"",VLOOKUP(X356,game_rosters!$C$43:$E$64,3,FALSE))</f>
        <v>0</v>
      </c>
      <c r="Z356" t="str" cm="1">
        <f t="array" ref="Z356">IFERROR(IF(_xlfn._xlws.FILTER(game_rosters!$J:$J,(game_rosters!$G:$G=events!$AN356)*(game_rosters!$J:$J=events!$X356))&gt;0,1,""),"")</f>
        <v/>
      </c>
      <c r="AA356">
        <f t="shared" si="179"/>
        <v>1200</v>
      </c>
      <c r="AB356" t="str">
        <f t="shared" si="180"/>
        <v/>
      </c>
      <c r="AC356">
        <f t="shared" si="177"/>
        <v>1200</v>
      </c>
      <c r="AD356" s="6">
        <v>1</v>
      </c>
      <c r="AE356" t="s">
        <v>910</v>
      </c>
      <c r="AF356" t="s">
        <v>743</v>
      </c>
      <c r="AG356" t="s">
        <v>756</v>
      </c>
      <c r="AH356" t="s">
        <v>756</v>
      </c>
      <c r="AI356" t="s">
        <v>368</v>
      </c>
      <c r="AJ356" t="str">
        <f t="shared" ref="AJ356:AK371" si="207">IF($J356&lt;&gt;"",$J356,IF($AC356=$AC355,AJ355,""))</f>
        <v/>
      </c>
      <c r="AK356" t="str">
        <f t="shared" si="207"/>
        <v/>
      </c>
      <c r="AL356" t="str">
        <f t="shared" si="182"/>
        <v/>
      </c>
      <c r="AN356" t="s">
        <v>862</v>
      </c>
      <c r="AO356" t="str">
        <f t="shared" si="183"/>
        <v>a</v>
      </c>
      <c r="AP356" t="str">
        <f t="shared" si="190"/>
        <v/>
      </c>
      <c r="AQ356" t="str">
        <f t="shared" si="191"/>
        <v/>
      </c>
      <c r="AR356" t="str">
        <f t="shared" si="192"/>
        <v>Away</v>
      </c>
      <c r="AS356" t="str">
        <f t="shared" si="193"/>
        <v>a</v>
      </c>
      <c r="AT356" t="str">
        <f t="shared" si="194"/>
        <v>Defensive</v>
      </c>
      <c r="BA356" s="6">
        <f t="shared" si="184"/>
        <v>91</v>
      </c>
      <c r="BB356">
        <f t="shared" si="185"/>
        <v>18981</v>
      </c>
      <c r="BC356" t="str">
        <f t="shared" si="186"/>
        <v>Nelson</v>
      </c>
      <c r="BD356" t="str">
        <f t="shared" si="187"/>
        <v>Velodrome</v>
      </c>
      <c r="BE356" t="s">
        <v>9</v>
      </c>
      <c r="BF356" t="s">
        <v>173</v>
      </c>
      <c r="BG356" t="s">
        <v>73</v>
      </c>
      <c r="BI356" cm="1">
        <f t="array" ref="BI356">IFERROR(_xlfn._xlws.FILTER(shifts!A:A,(shifts!B:B=events!AD356)*(shifts!AG:AG&gt;=events!BK356)*(shifts!AH:AH&lt;=events!BL356)),BI355)</f>
        <v>20</v>
      </c>
      <c r="BJ356" s="15">
        <f t="shared" si="188"/>
        <v>0</v>
      </c>
      <c r="BK356">
        <f t="shared" si="195"/>
        <v>618</v>
      </c>
      <c r="BL356">
        <f t="shared" si="196"/>
        <v>618</v>
      </c>
      <c r="BM356" s="15">
        <f>SUMIFS(BJ$2:BJ356,K$2:K356,"=Intermission")+SUMIFS(BJ$2:BJ356,K$2:K356,"=Timeout")</f>
        <v>0</v>
      </c>
      <c r="BN356">
        <f t="shared" si="197"/>
        <v>0</v>
      </c>
      <c r="BO356" s="19">
        <f t="shared" si="198"/>
        <v>462</v>
      </c>
      <c r="BP356">
        <f t="shared" si="199"/>
        <v>457</v>
      </c>
      <c r="BQ356" s="17">
        <f t="shared" si="200"/>
        <v>462</v>
      </c>
      <c r="BR356" t="str">
        <f t="shared" si="201"/>
        <v>opp_team_player_1</v>
      </c>
      <c r="BS356">
        <f>COUNTIFS(S$3:S356,"="&amp;S356,AI$3:AI356,"="&amp;AI356)</f>
        <v>1</v>
      </c>
      <c r="BT356" t="str">
        <f>IFERROR(VLOOKUP(BB356&amp;BU356&amp;X356,game_rosters!U:W,3,FALSE),"")</f>
        <v>P100164</v>
      </c>
      <c r="BU356" t="str">
        <f t="shared" si="202"/>
        <v>Nelson</v>
      </c>
    </row>
    <row r="357" spans="1:73" x14ac:dyDescent="0.2">
      <c r="A357">
        <f t="shared" si="189"/>
        <v>1</v>
      </c>
      <c r="E357" s="4"/>
      <c r="F357" s="43"/>
      <c r="G357" s="4"/>
      <c r="H357" s="46"/>
      <c r="J357" s="44" t="str">
        <f t="shared" si="203"/>
        <v/>
      </c>
      <c r="K357" t="s">
        <v>9</v>
      </c>
      <c r="L357" t="s">
        <v>173</v>
      </c>
      <c r="M357" t="s">
        <v>73</v>
      </c>
      <c r="N357" t="str">
        <f t="shared" si="206"/>
        <v>u</v>
      </c>
      <c r="Q357" t="str">
        <f t="shared" si="204"/>
        <v/>
      </c>
      <c r="S357">
        <v>200</v>
      </c>
      <c r="U357" t="str">
        <f>IF(B357=1,MAX($U$2:$U356)+1,IF(AND($T357&lt;&gt;"",$T357=$T356),$U356,IF(B357="x",U356,"")))</f>
        <v/>
      </c>
      <c r="V357" t="str">
        <f>IF(C357=1,MAX($V$2:$V356)+1,IF(AND($T357&lt;&gt;"",$T357=$T356),$U356,IF(C357="x",V356,"")))</f>
        <v/>
      </c>
      <c r="W357" t="str">
        <f t="shared" si="178"/>
        <v>a</v>
      </c>
      <c r="X357">
        <v>23</v>
      </c>
      <c r="Y357" t="b">
        <f>IF(X357&lt;&gt;"",VLOOKUP(X357,game_rosters!$C$43:$E$64,3,FALSE))</f>
        <v>0</v>
      </c>
      <c r="Z357" t="str" cm="1">
        <f t="array" ref="Z357">IFERROR(IF(_xlfn._xlws.FILTER(game_rosters!$J:$J,(game_rosters!$G:$G=events!$AN357)*(game_rosters!$J:$J=events!$X357))&gt;0,1,""),"")</f>
        <v/>
      </c>
      <c r="AA357">
        <f t="shared" si="179"/>
        <v>1200</v>
      </c>
      <c r="AB357" t="str">
        <f t="shared" si="180"/>
        <v/>
      </c>
      <c r="AC357">
        <f t="shared" si="177"/>
        <v>1200</v>
      </c>
      <c r="AD357" s="6">
        <v>1</v>
      </c>
      <c r="AE357" t="s">
        <v>910</v>
      </c>
      <c r="AF357" t="s">
        <v>743</v>
      </c>
      <c r="AG357" t="s">
        <v>756</v>
      </c>
      <c r="AH357" t="s">
        <v>756</v>
      </c>
      <c r="AI357" t="s">
        <v>368</v>
      </c>
      <c r="AJ357" t="str">
        <f t="shared" si="207"/>
        <v/>
      </c>
      <c r="AK357" t="str">
        <f t="shared" si="207"/>
        <v/>
      </c>
      <c r="AL357" t="str">
        <f t="shared" si="182"/>
        <v/>
      </c>
      <c r="AN357" t="s">
        <v>862</v>
      </c>
      <c r="AO357" t="str">
        <f t="shared" si="183"/>
        <v>a</v>
      </c>
      <c r="AP357" t="str">
        <f t="shared" si="190"/>
        <v/>
      </c>
      <c r="AQ357" t="str">
        <f t="shared" si="191"/>
        <v/>
      </c>
      <c r="AR357" t="str">
        <f t="shared" si="192"/>
        <v>Away</v>
      </c>
      <c r="AS357" t="str">
        <f t="shared" si="193"/>
        <v>a</v>
      </c>
      <c r="AT357" t="str">
        <f t="shared" si="194"/>
        <v>Defensive</v>
      </c>
      <c r="BA357" s="6">
        <f t="shared" si="184"/>
        <v>91</v>
      </c>
      <c r="BB357">
        <f t="shared" si="185"/>
        <v>18981</v>
      </c>
      <c r="BC357" t="str">
        <f t="shared" si="186"/>
        <v>Nelson</v>
      </c>
      <c r="BD357" t="str">
        <f t="shared" si="187"/>
        <v>Velodrome</v>
      </c>
      <c r="BE357" t="s">
        <v>9</v>
      </c>
      <c r="BF357" t="s">
        <v>173</v>
      </c>
      <c r="BG357" t="s">
        <v>73</v>
      </c>
      <c r="BI357" cm="1">
        <f t="array" ref="BI357">IFERROR(_xlfn._xlws.FILTER(shifts!A:A,(shifts!B:B=events!AD357)*(shifts!AG:AG&gt;=events!BK357)*(shifts!AH:AH&lt;=events!BL357)),BI356)</f>
        <v>20</v>
      </c>
      <c r="BJ357" s="15">
        <f t="shared" si="188"/>
        <v>0</v>
      </c>
      <c r="BK357">
        <f t="shared" si="195"/>
        <v>618</v>
      </c>
      <c r="BL357">
        <f t="shared" si="196"/>
        <v>618</v>
      </c>
      <c r="BM357" s="15">
        <f>SUMIFS(BJ$2:BJ357,K$2:K357,"=Intermission")+SUMIFS(BJ$2:BJ357,K$2:K357,"=Timeout")</f>
        <v>0</v>
      </c>
      <c r="BN357">
        <f t="shared" si="197"/>
        <v>0</v>
      </c>
      <c r="BO357" s="19">
        <f t="shared" si="198"/>
        <v>462</v>
      </c>
      <c r="BP357">
        <f t="shared" si="199"/>
        <v>457</v>
      </c>
      <c r="BQ357" s="17">
        <f t="shared" si="200"/>
        <v>462</v>
      </c>
      <c r="BR357" t="str">
        <f t="shared" si="201"/>
        <v>opp_team_player_2</v>
      </c>
      <c r="BS357">
        <f>COUNTIFS(S$3:S357,"="&amp;S357,AI$3:AI357,"="&amp;AI357)</f>
        <v>2</v>
      </c>
      <c r="BT357" t="str">
        <f>IFERROR(VLOOKUP(BB357&amp;BU357&amp;X357,game_rosters!U:W,3,FALSE),"")</f>
        <v>P100061</v>
      </c>
      <c r="BU357" t="str">
        <f t="shared" si="202"/>
        <v>Nelson</v>
      </c>
    </row>
    <row r="358" spans="1:73" x14ac:dyDescent="0.2">
      <c r="A358">
        <f t="shared" si="189"/>
        <v>1</v>
      </c>
      <c r="E358" s="4"/>
      <c r="F358" s="43"/>
      <c r="G358" s="4"/>
      <c r="H358" s="46"/>
      <c r="J358" s="44" t="str">
        <f t="shared" si="203"/>
        <v>d</v>
      </c>
      <c r="K358" t="s">
        <v>238</v>
      </c>
      <c r="L358" t="s">
        <v>184</v>
      </c>
      <c r="M358" t="s">
        <v>88</v>
      </c>
      <c r="N358" t="str">
        <f t="shared" si="206"/>
        <v>s</v>
      </c>
      <c r="Q358" t="str">
        <f t="shared" si="204"/>
        <v/>
      </c>
      <c r="S358">
        <v>201</v>
      </c>
      <c r="U358" t="str">
        <f>IF(B358=1,MAX($U$2:$U357)+1,IF(AND($T358&lt;&gt;"",$T358=$T357),$U357,IF(B358="x",U357,"")))</f>
        <v/>
      </c>
      <c r="V358" t="str">
        <f>IF(C358=1,MAX($V$2:$V357)+1,IF(AND($T358&lt;&gt;"",$T358=$T357),$U357,IF(C358="x",V357,"")))</f>
        <v/>
      </c>
      <c r="W358" t="str">
        <f t="shared" si="178"/>
        <v>h</v>
      </c>
      <c r="X358">
        <v>16</v>
      </c>
      <c r="Y358" t="b">
        <f>IF(X358&lt;&gt;"",VLOOKUP(X358,game_rosters!$C$43:$E$64,3,FALSE))</f>
        <v>0</v>
      </c>
      <c r="Z358" cm="1">
        <f t="array" ref="Z358">IFERROR(IF(_xlfn._xlws.FILTER(game_rosters!$J:$J,(game_rosters!$G:$G=events!$AN358)*(game_rosters!$J:$J=events!$X358))&gt;0,1,""),"")</f>
        <v>1</v>
      </c>
      <c r="AA358">
        <f t="shared" si="179"/>
        <v>1201</v>
      </c>
      <c r="AB358" t="str">
        <f t="shared" si="180"/>
        <v/>
      </c>
      <c r="AC358">
        <f t="shared" si="177"/>
        <v>1201</v>
      </c>
      <c r="AD358" s="6">
        <v>1</v>
      </c>
      <c r="AE358" t="s">
        <v>910</v>
      </c>
      <c r="AF358" t="s">
        <v>732</v>
      </c>
      <c r="AG358" t="s">
        <v>910</v>
      </c>
      <c r="AH358" t="s">
        <v>745</v>
      </c>
      <c r="AI358" t="s">
        <v>367</v>
      </c>
      <c r="AJ358" t="str">
        <f t="shared" si="207"/>
        <v>d</v>
      </c>
      <c r="AK358" t="str">
        <f t="shared" si="207"/>
        <v>d</v>
      </c>
      <c r="AL358" t="str">
        <f t="shared" si="182"/>
        <v>d</v>
      </c>
      <c r="AN358" t="s">
        <v>861</v>
      </c>
      <c r="AO358" t="str">
        <f t="shared" si="183"/>
        <v>h</v>
      </c>
      <c r="AP358" t="str">
        <f t="shared" si="190"/>
        <v>d</v>
      </c>
      <c r="AQ358" t="str">
        <f t="shared" si="191"/>
        <v/>
      </c>
      <c r="AR358" t="str">
        <f t="shared" si="192"/>
        <v>Home</v>
      </c>
      <c r="AS358" t="str">
        <f t="shared" si="193"/>
        <v>h</v>
      </c>
      <c r="AT358" t="str">
        <f t="shared" si="194"/>
        <v>Offensive</v>
      </c>
      <c r="BA358" s="6">
        <f t="shared" si="184"/>
        <v>92</v>
      </c>
      <c r="BB358">
        <f t="shared" si="185"/>
        <v>18981</v>
      </c>
      <c r="BC358" t="str">
        <f t="shared" si="186"/>
        <v>Nelson</v>
      </c>
      <c r="BD358" t="str">
        <f t="shared" si="187"/>
        <v>Velodrome</v>
      </c>
      <c r="BE358" t="s">
        <v>238</v>
      </c>
      <c r="BF358" t="s">
        <v>184</v>
      </c>
      <c r="BG358" t="s">
        <v>88</v>
      </c>
      <c r="BI358" cm="1">
        <f t="array" ref="BI358">IFERROR(_xlfn._xlws.FILTER(shifts!A:A,(shifts!B:B=events!AD358)*(shifts!AG:AG&gt;=events!BK358)*(shifts!AH:AH&lt;=events!BL358)),BI357)</f>
        <v>20</v>
      </c>
      <c r="BJ358" s="15">
        <f t="shared" si="188"/>
        <v>3</v>
      </c>
      <c r="BK358">
        <f t="shared" si="195"/>
        <v>617</v>
      </c>
      <c r="BL358">
        <f t="shared" si="196"/>
        <v>614</v>
      </c>
      <c r="BM358" s="15">
        <f>SUMIFS(BJ$2:BJ358,K$2:K358,"=Intermission")+SUMIFS(BJ$2:BJ358,K$2:K358,"=Timeout")</f>
        <v>0</v>
      </c>
      <c r="BN358">
        <f t="shared" si="197"/>
        <v>0</v>
      </c>
      <c r="BO358" s="19">
        <f t="shared" si="198"/>
        <v>463</v>
      </c>
      <c r="BP358">
        <f t="shared" si="199"/>
        <v>458</v>
      </c>
      <c r="BQ358" s="17">
        <f t="shared" si="200"/>
        <v>466</v>
      </c>
      <c r="BR358" t="str">
        <f t="shared" si="201"/>
        <v>event_team_player_1</v>
      </c>
      <c r="BS358">
        <f>COUNTIFS(S$3:S358,"="&amp;S358,AI$3:AI358,"="&amp;AI358)</f>
        <v>1</v>
      </c>
      <c r="BT358" t="str">
        <f>IFERROR(VLOOKUP(BB358&amp;BU358&amp;X358,game_rosters!U:W,3,FALSE),"")</f>
        <v>P100164</v>
      </c>
      <c r="BU358" t="str">
        <f t="shared" si="202"/>
        <v>Nelson</v>
      </c>
    </row>
    <row r="359" spans="1:73" x14ac:dyDescent="0.2">
      <c r="A359">
        <f t="shared" si="189"/>
        <v>1</v>
      </c>
      <c r="E359" s="4"/>
      <c r="F359" s="43"/>
      <c r="G359" s="4"/>
      <c r="H359" s="46"/>
      <c r="J359" s="44" t="str">
        <f t="shared" si="203"/>
        <v/>
      </c>
      <c r="K359" t="s">
        <v>13</v>
      </c>
      <c r="L359" t="s">
        <v>756</v>
      </c>
      <c r="M359" t="s">
        <v>756</v>
      </c>
      <c r="N359" t="str">
        <f t="shared" si="206"/>
        <v/>
      </c>
      <c r="Q359" t="str">
        <f t="shared" si="204"/>
        <v/>
      </c>
      <c r="S359">
        <v>202</v>
      </c>
      <c r="U359" t="str">
        <f>IF(B359=1,MAX($U$2:$U358)+1,IF(AND($T359&lt;&gt;"",$T359=$T358),$U358,IF(B359="x",U358,"")))</f>
        <v/>
      </c>
      <c r="V359" t="str">
        <f>IF(C359=1,MAX($V$2:$V358)+1,IF(AND($T359&lt;&gt;"",$T359=$T358),$U358,IF(C359="x",V358,"")))</f>
        <v/>
      </c>
      <c r="W359" t="str">
        <f t="shared" si="178"/>
        <v>h</v>
      </c>
      <c r="X359">
        <v>16</v>
      </c>
      <c r="Y359" t="b">
        <f>IF(X359&lt;&gt;"",VLOOKUP(X359,game_rosters!$C$43:$E$64,3,FALSE))</f>
        <v>0</v>
      </c>
      <c r="Z359" cm="1">
        <f t="array" ref="Z359">IFERROR(IF(_xlfn._xlws.FILTER(game_rosters!$J:$J,(game_rosters!$G:$G=events!$AN359)*(game_rosters!$J:$J=events!$X359))&gt;0,1,""),"")</f>
        <v>1</v>
      </c>
      <c r="AA359">
        <f t="shared" si="179"/>
        <v>1202</v>
      </c>
      <c r="AB359" t="str">
        <f t="shared" si="180"/>
        <v/>
      </c>
      <c r="AC359">
        <f t="shared" si="177"/>
        <v>1202</v>
      </c>
      <c r="AD359" s="6">
        <v>1</v>
      </c>
      <c r="AE359" t="s">
        <v>910</v>
      </c>
      <c r="AF359" t="s">
        <v>745</v>
      </c>
      <c r="AG359" t="s">
        <v>910</v>
      </c>
      <c r="AH359" t="s">
        <v>746</v>
      </c>
      <c r="AI359" t="s">
        <v>367</v>
      </c>
      <c r="AJ359" t="str">
        <f t="shared" si="207"/>
        <v/>
      </c>
      <c r="AK359" t="str">
        <f t="shared" si="207"/>
        <v/>
      </c>
      <c r="AL359" t="str">
        <f t="shared" si="182"/>
        <v/>
      </c>
      <c r="AN359" t="s">
        <v>861</v>
      </c>
      <c r="AO359" t="str">
        <f t="shared" si="183"/>
        <v>h</v>
      </c>
      <c r="AP359" t="str">
        <f t="shared" si="190"/>
        <v/>
      </c>
      <c r="AQ359" t="str">
        <f t="shared" si="191"/>
        <v/>
      </c>
      <c r="AR359" t="str">
        <f t="shared" si="192"/>
        <v>Home</v>
      </c>
      <c r="AS359" t="str">
        <f t="shared" si="193"/>
        <v>h</v>
      </c>
      <c r="AT359" t="str">
        <f t="shared" si="194"/>
        <v>Offensive</v>
      </c>
      <c r="BA359" s="6">
        <f t="shared" si="184"/>
        <v>92</v>
      </c>
      <c r="BB359">
        <f t="shared" si="185"/>
        <v>18981</v>
      </c>
      <c r="BC359" t="str">
        <f t="shared" si="186"/>
        <v>Nelson</v>
      </c>
      <c r="BD359" t="str">
        <f t="shared" si="187"/>
        <v>Velodrome</v>
      </c>
      <c r="BE359" t="s">
        <v>13</v>
      </c>
      <c r="BF359" t="s">
        <v>756</v>
      </c>
      <c r="BG359" t="s">
        <v>756</v>
      </c>
      <c r="BI359" cm="1">
        <f t="array" ref="BI359">IFERROR(_xlfn._xlws.FILTER(shifts!A:A,(shifts!B:B=events!AD359)*(shifts!AG:AG&gt;=events!BK359)*(shifts!AH:AH&lt;=events!BL359)),BI358)</f>
        <v>20</v>
      </c>
      <c r="BJ359" s="15">
        <f t="shared" si="188"/>
        <v>2</v>
      </c>
      <c r="BK359">
        <f t="shared" si="195"/>
        <v>614</v>
      </c>
      <c r="BL359">
        <f t="shared" si="196"/>
        <v>612</v>
      </c>
      <c r="BM359" s="15">
        <f>SUMIFS(BJ$2:BJ359,K$2:K359,"=Intermission")+SUMIFS(BJ$2:BJ359,K$2:K359,"=Timeout")</f>
        <v>0</v>
      </c>
      <c r="BN359">
        <f t="shared" si="197"/>
        <v>0</v>
      </c>
      <c r="BO359" s="19">
        <f t="shared" si="198"/>
        <v>466</v>
      </c>
      <c r="BP359">
        <f t="shared" si="199"/>
        <v>461</v>
      </c>
      <c r="BQ359" s="17">
        <f t="shared" si="200"/>
        <v>468</v>
      </c>
      <c r="BR359" t="str">
        <f t="shared" si="201"/>
        <v>event_team_player_1</v>
      </c>
      <c r="BS359">
        <f>COUNTIFS(S$3:S359,"="&amp;S359,AI$3:AI359,"="&amp;AI359)</f>
        <v>1</v>
      </c>
      <c r="BT359" t="str">
        <f>IFERROR(VLOOKUP(BB359&amp;BU359&amp;X359,game_rosters!U:W,3,FALSE),"")</f>
        <v>P100164</v>
      </c>
      <c r="BU359" t="str">
        <f t="shared" si="202"/>
        <v>Nelson</v>
      </c>
    </row>
    <row r="360" spans="1:73" x14ac:dyDescent="0.2">
      <c r="A360">
        <f t="shared" si="189"/>
        <v>1</v>
      </c>
      <c r="E360" s="4"/>
      <c r="F360" s="43"/>
      <c r="G360" s="4"/>
      <c r="H360" s="46"/>
      <c r="J360" s="44" t="str">
        <f t="shared" si="203"/>
        <v>d</v>
      </c>
      <c r="K360" t="s">
        <v>238</v>
      </c>
      <c r="L360" t="s">
        <v>184</v>
      </c>
      <c r="M360" t="s">
        <v>88</v>
      </c>
      <c r="N360" t="str">
        <f t="shared" si="206"/>
        <v>s</v>
      </c>
      <c r="Q360" t="str">
        <f t="shared" si="204"/>
        <v/>
      </c>
      <c r="S360">
        <v>203</v>
      </c>
      <c r="U360" t="str">
        <f>IF(B360=1,MAX($U$2:$U359)+1,IF(AND($T360&lt;&gt;"",$T360=$T359),$U359,IF(B360="x",U359,"")))</f>
        <v/>
      </c>
      <c r="V360" t="str">
        <f>IF(C360=1,MAX($V$2:$V359)+1,IF(AND($T360&lt;&gt;"",$T360=$T359),$U359,IF(C360="x",V359,"")))</f>
        <v/>
      </c>
      <c r="W360" t="str">
        <f t="shared" si="178"/>
        <v>h</v>
      </c>
      <c r="X360">
        <v>16</v>
      </c>
      <c r="Y360" t="b">
        <f>IF(X360&lt;&gt;"",VLOOKUP(X360,game_rosters!$C$43:$E$64,3,FALSE))</f>
        <v>0</v>
      </c>
      <c r="Z360" cm="1">
        <f t="array" ref="Z360">IFERROR(IF(_xlfn._xlws.FILTER(game_rosters!$J:$J,(game_rosters!$G:$G=events!$AN360)*(game_rosters!$J:$J=events!$X360))&gt;0,1,""),"")</f>
        <v>1</v>
      </c>
      <c r="AA360">
        <f t="shared" si="179"/>
        <v>1203</v>
      </c>
      <c r="AB360" t="str">
        <f t="shared" si="180"/>
        <v/>
      </c>
      <c r="AC360">
        <f t="shared" si="177"/>
        <v>1203</v>
      </c>
      <c r="AD360" s="6">
        <v>1</v>
      </c>
      <c r="AE360" t="s">
        <v>910</v>
      </c>
      <c r="AF360" t="s">
        <v>746</v>
      </c>
      <c r="AG360" t="s">
        <v>910</v>
      </c>
      <c r="AH360" t="s">
        <v>920</v>
      </c>
      <c r="AI360" t="s">
        <v>367</v>
      </c>
      <c r="AJ360" t="str">
        <f t="shared" si="207"/>
        <v>d</v>
      </c>
      <c r="AK360" t="str">
        <f t="shared" si="207"/>
        <v>d</v>
      </c>
      <c r="AL360" t="str">
        <f t="shared" si="182"/>
        <v>d</v>
      </c>
      <c r="AN360" t="s">
        <v>861</v>
      </c>
      <c r="AO360" t="str">
        <f t="shared" si="183"/>
        <v>h</v>
      </c>
      <c r="AP360" t="str">
        <f t="shared" si="190"/>
        <v>d</v>
      </c>
      <c r="AQ360" t="str">
        <f t="shared" si="191"/>
        <v/>
      </c>
      <c r="AR360" t="str">
        <f t="shared" si="192"/>
        <v>Home</v>
      </c>
      <c r="AS360" t="str">
        <f t="shared" si="193"/>
        <v>h</v>
      </c>
      <c r="AT360" t="str">
        <f t="shared" si="194"/>
        <v>Offensive</v>
      </c>
      <c r="BA360" s="6">
        <f t="shared" si="184"/>
        <v>93</v>
      </c>
      <c r="BB360">
        <f t="shared" si="185"/>
        <v>18981</v>
      </c>
      <c r="BC360" t="str">
        <f t="shared" si="186"/>
        <v>Nelson</v>
      </c>
      <c r="BD360" t="str">
        <f t="shared" si="187"/>
        <v>Velodrome</v>
      </c>
      <c r="BE360" t="s">
        <v>238</v>
      </c>
      <c r="BF360" t="s">
        <v>184</v>
      </c>
      <c r="BG360" t="s">
        <v>88</v>
      </c>
      <c r="BI360" cm="1">
        <f t="array" ref="BI360">IFERROR(_xlfn._xlws.FILTER(shifts!A:A,(shifts!B:B=events!AD360)*(shifts!AG:AG&gt;=events!BK360)*(shifts!AH:AH&lt;=events!BL360)),BI359)</f>
        <v>20</v>
      </c>
      <c r="BJ360" s="15">
        <f t="shared" si="188"/>
        <v>3</v>
      </c>
      <c r="BK360">
        <f t="shared" si="195"/>
        <v>612</v>
      </c>
      <c r="BL360">
        <f t="shared" si="196"/>
        <v>609</v>
      </c>
      <c r="BM360" s="15">
        <f>SUMIFS(BJ$2:BJ360,K$2:K360,"=Intermission")+SUMIFS(BJ$2:BJ360,K$2:K360,"=Timeout")</f>
        <v>0</v>
      </c>
      <c r="BN360">
        <f t="shared" si="197"/>
        <v>0</v>
      </c>
      <c r="BO360" s="19">
        <f t="shared" si="198"/>
        <v>468</v>
      </c>
      <c r="BP360">
        <f t="shared" si="199"/>
        <v>463</v>
      </c>
      <c r="BQ360" s="17">
        <f t="shared" si="200"/>
        <v>471</v>
      </c>
      <c r="BR360" t="str">
        <f t="shared" si="201"/>
        <v>event_team_player_1</v>
      </c>
      <c r="BS360">
        <f>COUNTIFS(S$3:S360,"="&amp;S360,AI$3:AI360,"="&amp;AI360)</f>
        <v>1</v>
      </c>
      <c r="BT360" t="str">
        <f>IFERROR(VLOOKUP(BB360&amp;BU360&amp;X360,game_rosters!U:W,3,FALSE),"")</f>
        <v>P100164</v>
      </c>
      <c r="BU360" t="str">
        <f t="shared" si="202"/>
        <v>Nelson</v>
      </c>
    </row>
    <row r="361" spans="1:73" x14ac:dyDescent="0.2">
      <c r="A361">
        <f t="shared" si="189"/>
        <v>1</v>
      </c>
      <c r="E361" s="4"/>
      <c r="F361" s="43"/>
      <c r="G361" s="4"/>
      <c r="H361" s="46"/>
      <c r="J361" s="44" t="str">
        <f t="shared" si="203"/>
        <v>d</v>
      </c>
      <c r="K361" t="s">
        <v>238</v>
      </c>
      <c r="L361" t="s">
        <v>184</v>
      </c>
      <c r="M361" t="s">
        <v>88</v>
      </c>
      <c r="N361" t="str">
        <f t="shared" si="206"/>
        <v>s</v>
      </c>
      <c r="Q361" t="str">
        <f t="shared" si="204"/>
        <v/>
      </c>
      <c r="S361">
        <v>203</v>
      </c>
      <c r="U361" t="str">
        <f>IF(B361=1,MAX($U$2:$U360)+1,IF(AND($T361&lt;&gt;"",$T361=$T360),$U360,IF(B361="x",U360,"")))</f>
        <v/>
      </c>
      <c r="V361" t="str">
        <f>IF(C361=1,MAX($V$2:$V360)+1,IF(AND($T361&lt;&gt;"",$T361=$T360),$U360,IF(C361="x",V360,"")))</f>
        <v/>
      </c>
      <c r="W361" t="str">
        <f t="shared" si="178"/>
        <v>h</v>
      </c>
      <c r="X361">
        <v>7</v>
      </c>
      <c r="Y361" t="b">
        <f>IF(X361&lt;&gt;"",VLOOKUP(X361,game_rosters!$C$43:$E$64,3,FALSE))</f>
        <v>0</v>
      </c>
      <c r="Z361" cm="1">
        <f t="array" ref="Z361">IFERROR(IF(_xlfn._xlws.FILTER(game_rosters!$J:$J,(game_rosters!$G:$G=events!$AN361)*(game_rosters!$J:$J=events!$X361))&gt;0,1,""),"")</f>
        <v>1</v>
      </c>
      <c r="AA361">
        <f t="shared" si="179"/>
        <v>1203</v>
      </c>
      <c r="AB361" t="str">
        <f t="shared" si="180"/>
        <v/>
      </c>
      <c r="AC361">
        <f t="shared" si="177"/>
        <v>1203</v>
      </c>
      <c r="AD361" s="6">
        <v>1</v>
      </c>
      <c r="AE361" t="s">
        <v>910</v>
      </c>
      <c r="AF361" t="s">
        <v>746</v>
      </c>
      <c r="AG361" t="s">
        <v>910</v>
      </c>
      <c r="AH361" t="s">
        <v>920</v>
      </c>
      <c r="AI361" t="s">
        <v>367</v>
      </c>
      <c r="AJ361" t="str">
        <f t="shared" si="207"/>
        <v>d</v>
      </c>
      <c r="AK361" t="str">
        <f t="shared" si="207"/>
        <v>d</v>
      </c>
      <c r="AL361" t="str">
        <f t="shared" si="182"/>
        <v>d</v>
      </c>
      <c r="AN361" t="s">
        <v>861</v>
      </c>
      <c r="AO361" t="str">
        <f t="shared" si="183"/>
        <v>h</v>
      </c>
      <c r="AP361" t="str">
        <f t="shared" si="190"/>
        <v>d</v>
      </c>
      <c r="AQ361" t="str">
        <f t="shared" si="191"/>
        <v/>
      </c>
      <c r="AR361" t="str">
        <f t="shared" si="192"/>
        <v>Home</v>
      </c>
      <c r="AS361" t="str">
        <f t="shared" si="193"/>
        <v>h</v>
      </c>
      <c r="AT361" t="str">
        <f t="shared" si="194"/>
        <v>Offensive</v>
      </c>
      <c r="BA361" s="6">
        <f t="shared" si="184"/>
        <v>94</v>
      </c>
      <c r="BB361">
        <f t="shared" si="185"/>
        <v>18981</v>
      </c>
      <c r="BC361" t="str">
        <f t="shared" si="186"/>
        <v>Nelson</v>
      </c>
      <c r="BD361" t="str">
        <f t="shared" si="187"/>
        <v>Velodrome</v>
      </c>
      <c r="BE361" t="s">
        <v>238</v>
      </c>
      <c r="BF361" t="s">
        <v>184</v>
      </c>
      <c r="BG361" t="s">
        <v>88</v>
      </c>
      <c r="BI361" cm="1">
        <f t="array" ref="BI361">IFERROR(_xlfn._xlws.FILTER(shifts!A:A,(shifts!B:B=events!AD361)*(shifts!AG:AG&gt;=events!BK361)*(shifts!AH:AH&lt;=events!BL361)),BI360)</f>
        <v>20</v>
      </c>
      <c r="BJ361" s="15">
        <f t="shared" si="188"/>
        <v>3</v>
      </c>
      <c r="BK361">
        <f t="shared" si="195"/>
        <v>612</v>
      </c>
      <c r="BL361">
        <f t="shared" si="196"/>
        <v>609</v>
      </c>
      <c r="BM361" s="15">
        <f>SUMIFS(BJ$2:BJ361,K$2:K361,"=Intermission")+SUMIFS(BJ$2:BJ361,K$2:K361,"=Timeout")</f>
        <v>0</v>
      </c>
      <c r="BN361">
        <f t="shared" si="197"/>
        <v>0</v>
      </c>
      <c r="BO361" s="19">
        <f t="shared" si="198"/>
        <v>468</v>
      </c>
      <c r="BP361">
        <f t="shared" si="199"/>
        <v>463</v>
      </c>
      <c r="BQ361" s="17">
        <f t="shared" si="200"/>
        <v>471</v>
      </c>
      <c r="BR361" t="str">
        <f t="shared" si="201"/>
        <v>event_team_player_2</v>
      </c>
      <c r="BS361">
        <f>COUNTIFS(S$3:S361,"="&amp;S361,AI$3:AI361,"="&amp;AI361)</f>
        <v>2</v>
      </c>
      <c r="BT361" t="str">
        <f>IFERROR(VLOOKUP(BB361&amp;BU361&amp;X361,game_rosters!U:W,3,FALSE),"")</f>
        <v>P100072</v>
      </c>
      <c r="BU361" t="str">
        <f t="shared" si="202"/>
        <v>Nelson</v>
      </c>
    </row>
    <row r="362" spans="1:73" x14ac:dyDescent="0.2">
      <c r="A362">
        <f t="shared" si="189"/>
        <v>1</v>
      </c>
      <c r="E362" s="4"/>
      <c r="F362" s="43"/>
      <c r="G362" s="4"/>
      <c r="H362" s="46"/>
      <c r="J362" s="44" t="str">
        <f t="shared" si="203"/>
        <v>d</v>
      </c>
      <c r="K362" t="s">
        <v>238</v>
      </c>
      <c r="L362" t="s">
        <v>184</v>
      </c>
      <c r="M362" t="s">
        <v>88</v>
      </c>
      <c r="N362" t="str">
        <f t="shared" si="206"/>
        <v>s</v>
      </c>
      <c r="Q362" t="str">
        <f t="shared" si="204"/>
        <v/>
      </c>
      <c r="S362">
        <v>203</v>
      </c>
      <c r="U362" t="str">
        <f>IF(B362=1,MAX($U$2:$U361)+1,IF(AND($T362&lt;&gt;"",$T362=$T361),$U361,IF(B362="x",U361,"")))</f>
        <v/>
      </c>
      <c r="V362" t="str">
        <f>IF(C362=1,MAX($V$2:$V361)+1,IF(AND($T362&lt;&gt;"",$T362=$T361),$U361,IF(C362="x",V361,"")))</f>
        <v/>
      </c>
      <c r="W362" t="str">
        <f t="shared" si="178"/>
        <v>h</v>
      </c>
      <c r="X362">
        <v>84</v>
      </c>
      <c r="Y362" t="e">
        <f>IF(X362&lt;&gt;"",VLOOKUP(X362,game_rosters!$C$43:$E$64,3,FALSE))</f>
        <v>#N/A</v>
      </c>
      <c r="Z362" t="str" cm="1">
        <f t="array" ref="Z362">IFERROR(IF(_xlfn._xlws.FILTER(game_rosters!$J:$J,(game_rosters!$G:$G=events!$AN362)*(game_rosters!$J:$J=events!$X362))&gt;0,1,""),"")</f>
        <v/>
      </c>
      <c r="AA362">
        <f t="shared" si="179"/>
        <v>1203</v>
      </c>
      <c r="AB362" t="str">
        <f t="shared" si="180"/>
        <v/>
      </c>
      <c r="AC362">
        <f t="shared" si="177"/>
        <v>1203</v>
      </c>
      <c r="AD362" s="6">
        <v>1</v>
      </c>
      <c r="AE362" t="s">
        <v>910</v>
      </c>
      <c r="AF362" t="s">
        <v>746</v>
      </c>
      <c r="AG362" t="s">
        <v>910</v>
      </c>
      <c r="AH362" t="s">
        <v>920</v>
      </c>
      <c r="AI362" t="s">
        <v>368</v>
      </c>
      <c r="AJ362" t="str">
        <f t="shared" si="207"/>
        <v>d</v>
      </c>
      <c r="AK362" t="str">
        <f t="shared" si="207"/>
        <v>d</v>
      </c>
      <c r="AL362" t="str">
        <f t="shared" si="182"/>
        <v>d</v>
      </c>
      <c r="AN362" t="s">
        <v>861</v>
      </c>
      <c r="AO362" t="str">
        <f t="shared" si="183"/>
        <v>h</v>
      </c>
      <c r="AP362" t="str">
        <f t="shared" si="190"/>
        <v>d</v>
      </c>
      <c r="AQ362" t="str">
        <f t="shared" si="191"/>
        <v/>
      </c>
      <c r="AR362" t="str">
        <f t="shared" si="192"/>
        <v>Home</v>
      </c>
      <c r="AS362" t="str">
        <f t="shared" si="193"/>
        <v>h</v>
      </c>
      <c r="AT362" t="str">
        <f t="shared" si="194"/>
        <v>Defensive</v>
      </c>
      <c r="BA362" s="6">
        <f t="shared" si="184"/>
        <v>95</v>
      </c>
      <c r="BB362">
        <f t="shared" si="185"/>
        <v>18981</v>
      </c>
      <c r="BC362" t="str">
        <f t="shared" si="186"/>
        <v>Nelson</v>
      </c>
      <c r="BD362" t="str">
        <f t="shared" si="187"/>
        <v>Velodrome</v>
      </c>
      <c r="BE362" t="s">
        <v>238</v>
      </c>
      <c r="BF362" t="s">
        <v>184</v>
      </c>
      <c r="BG362" t="s">
        <v>88</v>
      </c>
      <c r="BI362" cm="1">
        <f t="array" ref="BI362">IFERROR(_xlfn._xlws.FILTER(shifts!A:A,(shifts!B:B=events!AD362)*(shifts!AG:AG&gt;=events!BK362)*(shifts!AH:AH&lt;=events!BL362)),BI361)</f>
        <v>20</v>
      </c>
      <c r="BJ362" s="15">
        <f t="shared" si="188"/>
        <v>3</v>
      </c>
      <c r="BK362">
        <f t="shared" si="195"/>
        <v>612</v>
      </c>
      <c r="BL362">
        <f t="shared" si="196"/>
        <v>609</v>
      </c>
      <c r="BM362" s="15">
        <f>SUMIFS(BJ$2:BJ362,K$2:K362,"=Intermission")+SUMIFS(BJ$2:BJ362,K$2:K362,"=Timeout")</f>
        <v>0</v>
      </c>
      <c r="BN362">
        <f t="shared" si="197"/>
        <v>0</v>
      </c>
      <c r="BO362" s="19">
        <f t="shared" si="198"/>
        <v>468</v>
      </c>
      <c r="BP362">
        <f t="shared" si="199"/>
        <v>463</v>
      </c>
      <c r="BQ362" s="17">
        <f t="shared" si="200"/>
        <v>471</v>
      </c>
      <c r="BR362" t="str">
        <f t="shared" si="201"/>
        <v>opp_team_player_1</v>
      </c>
      <c r="BS362">
        <f>COUNTIFS(S$3:S362,"="&amp;S362,AI$3:AI362,"="&amp;AI362)</f>
        <v>1</v>
      </c>
      <c r="BT362" t="str">
        <f>IFERROR(VLOOKUP(BB362&amp;BU362&amp;X362,game_rosters!U:W,3,FALSE),"")</f>
        <v>P100198</v>
      </c>
      <c r="BU362" t="str">
        <f t="shared" si="202"/>
        <v>Velodrome</v>
      </c>
    </row>
    <row r="363" spans="1:73" x14ac:dyDescent="0.2">
      <c r="A363">
        <f t="shared" si="189"/>
        <v>1</v>
      </c>
      <c r="E363" s="4"/>
      <c r="F363" s="43"/>
      <c r="G363" s="4"/>
      <c r="H363" s="46"/>
      <c r="J363" s="44" t="str">
        <f t="shared" si="203"/>
        <v>d</v>
      </c>
      <c r="K363" t="s">
        <v>238</v>
      </c>
      <c r="L363" t="s">
        <v>184</v>
      </c>
      <c r="M363" t="s">
        <v>88</v>
      </c>
      <c r="N363" t="str">
        <f t="shared" si="206"/>
        <v>s</v>
      </c>
      <c r="Q363" t="str">
        <f t="shared" si="204"/>
        <v/>
      </c>
      <c r="S363">
        <v>203</v>
      </c>
      <c r="U363" t="str">
        <f>IF(B363=1,MAX($U$2:$U362)+1,IF(AND($T363&lt;&gt;"",$T363=$T362),$U362,IF(B363="x",U362,"")))</f>
        <v/>
      </c>
      <c r="V363" t="str">
        <f>IF(C363=1,MAX($V$2:$V362)+1,IF(AND($T363&lt;&gt;"",$T363=$T362),$U362,IF(C363="x",V362,"")))</f>
        <v/>
      </c>
      <c r="W363" t="str">
        <f t="shared" si="178"/>
        <v>h</v>
      </c>
      <c r="X363">
        <v>93</v>
      </c>
      <c r="Y363" t="e">
        <f>IF(X363&lt;&gt;"",VLOOKUP(X363,game_rosters!$C$43:$E$64,3,FALSE))</f>
        <v>#N/A</v>
      </c>
      <c r="Z363" t="str" cm="1">
        <f t="array" ref="Z363">IFERROR(IF(_xlfn._xlws.FILTER(game_rosters!$J:$J,(game_rosters!$G:$G=events!$AN363)*(game_rosters!$J:$J=events!$X363))&gt;0,1,""),"")</f>
        <v/>
      </c>
      <c r="AA363">
        <f t="shared" si="179"/>
        <v>1203</v>
      </c>
      <c r="AB363" t="str">
        <f t="shared" si="180"/>
        <v/>
      </c>
      <c r="AC363">
        <f t="shared" si="177"/>
        <v>1203</v>
      </c>
      <c r="AD363" s="6">
        <v>1</v>
      </c>
      <c r="AE363" t="s">
        <v>910</v>
      </c>
      <c r="AF363" t="s">
        <v>746</v>
      </c>
      <c r="AG363" t="s">
        <v>910</v>
      </c>
      <c r="AH363" t="s">
        <v>920</v>
      </c>
      <c r="AI363" t="s">
        <v>368</v>
      </c>
      <c r="AJ363" t="str">
        <f t="shared" si="207"/>
        <v>d</v>
      </c>
      <c r="AK363" t="str">
        <f t="shared" si="207"/>
        <v>d</v>
      </c>
      <c r="AL363" t="str">
        <f t="shared" si="182"/>
        <v>d</v>
      </c>
      <c r="AN363" t="s">
        <v>861</v>
      </c>
      <c r="AO363" t="str">
        <f t="shared" si="183"/>
        <v>h</v>
      </c>
      <c r="AP363" t="str">
        <f t="shared" si="190"/>
        <v>d</v>
      </c>
      <c r="AQ363" t="str">
        <f t="shared" si="191"/>
        <v/>
      </c>
      <c r="AR363" t="str">
        <f t="shared" si="192"/>
        <v>Home</v>
      </c>
      <c r="AS363" t="str">
        <f t="shared" si="193"/>
        <v>h</v>
      </c>
      <c r="AT363" t="str">
        <f t="shared" si="194"/>
        <v>Defensive</v>
      </c>
      <c r="BA363" s="6">
        <f t="shared" si="184"/>
        <v>96</v>
      </c>
      <c r="BB363">
        <f t="shared" si="185"/>
        <v>18981</v>
      </c>
      <c r="BC363" t="str">
        <f t="shared" si="186"/>
        <v>Nelson</v>
      </c>
      <c r="BD363" t="str">
        <f t="shared" si="187"/>
        <v>Velodrome</v>
      </c>
      <c r="BE363" t="s">
        <v>238</v>
      </c>
      <c r="BF363" t="s">
        <v>184</v>
      </c>
      <c r="BG363" t="s">
        <v>88</v>
      </c>
      <c r="BI363" cm="1">
        <f t="array" ref="BI363">IFERROR(_xlfn._xlws.FILTER(shifts!A:A,(shifts!B:B=events!AD363)*(shifts!AG:AG&gt;=events!BK363)*(shifts!AH:AH&lt;=events!BL363)),BI362)</f>
        <v>20</v>
      </c>
      <c r="BJ363" s="15">
        <f t="shared" si="188"/>
        <v>3</v>
      </c>
      <c r="BK363">
        <f t="shared" si="195"/>
        <v>612</v>
      </c>
      <c r="BL363">
        <f t="shared" si="196"/>
        <v>609</v>
      </c>
      <c r="BM363" s="15">
        <f>SUMIFS(BJ$2:BJ363,K$2:K363,"=Intermission")+SUMIFS(BJ$2:BJ363,K$2:K363,"=Timeout")</f>
        <v>0</v>
      </c>
      <c r="BN363">
        <f t="shared" si="197"/>
        <v>0</v>
      </c>
      <c r="BO363" s="19">
        <f t="shared" si="198"/>
        <v>468</v>
      </c>
      <c r="BP363">
        <f t="shared" si="199"/>
        <v>463</v>
      </c>
      <c r="BQ363" s="17">
        <f t="shared" si="200"/>
        <v>471</v>
      </c>
      <c r="BR363" t="str">
        <f t="shared" si="201"/>
        <v>opp_team_player_2</v>
      </c>
      <c r="BS363">
        <f>COUNTIFS(S$3:S363,"="&amp;S363,AI$3:AI363,"="&amp;AI363)</f>
        <v>2</v>
      </c>
      <c r="BT363" t="str">
        <f>IFERROR(VLOOKUP(BB363&amp;BU363&amp;X363,game_rosters!U:W,3,FALSE),"")</f>
        <v>P100093</v>
      </c>
      <c r="BU363" t="str">
        <f t="shared" si="202"/>
        <v>Velodrome</v>
      </c>
    </row>
    <row r="364" spans="1:73" x14ac:dyDescent="0.2">
      <c r="A364">
        <f t="shared" si="189"/>
        <v>1</v>
      </c>
      <c r="E364" s="4"/>
      <c r="F364" s="43"/>
      <c r="G364" s="4"/>
      <c r="H364" s="46"/>
      <c r="J364" s="44" t="str">
        <f t="shared" si="203"/>
        <v>o</v>
      </c>
      <c r="K364" t="s">
        <v>6</v>
      </c>
      <c r="L364" t="s">
        <v>181</v>
      </c>
      <c r="M364" t="s">
        <v>51</v>
      </c>
      <c r="N364" t="str">
        <f t="shared" si="206"/>
        <v>u</v>
      </c>
      <c r="Q364" t="str">
        <f t="shared" si="204"/>
        <v/>
      </c>
      <c r="S364">
        <v>204</v>
      </c>
      <c r="U364" t="str">
        <f>IF(B364=1,MAX($U$2:$U363)+1,IF(AND($T364&lt;&gt;"",$T364=$T363),$U363,IF(B364="x",U363,"")))</f>
        <v/>
      </c>
      <c r="V364" t="str">
        <f>IF(C364=1,MAX($V$2:$V363)+1,IF(AND($T364&lt;&gt;"",$T364=$T363),$U363,IF(C364="x",V363,"")))</f>
        <v/>
      </c>
      <c r="W364" t="str">
        <f t="shared" si="178"/>
        <v>h</v>
      </c>
      <c r="X364">
        <v>16</v>
      </c>
      <c r="Y364" t="b">
        <f>IF(X364&lt;&gt;"",VLOOKUP(X364,game_rosters!$C$43:$E$64,3,FALSE))</f>
        <v>0</v>
      </c>
      <c r="Z364" cm="1">
        <f t="array" ref="Z364">IFERROR(IF(_xlfn._xlws.FILTER(game_rosters!$J:$J,(game_rosters!$G:$G=events!$AN364)*(game_rosters!$J:$J=events!$X364))&gt;0,1,""),"")</f>
        <v>1</v>
      </c>
      <c r="AA364">
        <f t="shared" si="179"/>
        <v>1204</v>
      </c>
      <c r="AB364" t="str">
        <f t="shared" si="180"/>
        <v/>
      </c>
      <c r="AC364">
        <f t="shared" si="177"/>
        <v>1204</v>
      </c>
      <c r="AD364" s="6">
        <v>1</v>
      </c>
      <c r="AE364" t="s">
        <v>910</v>
      </c>
      <c r="AF364" t="s">
        <v>920</v>
      </c>
      <c r="AG364" t="s">
        <v>756</v>
      </c>
      <c r="AH364" t="s">
        <v>756</v>
      </c>
      <c r="AI364" t="s">
        <v>367</v>
      </c>
      <c r="AJ364" t="str">
        <f t="shared" si="207"/>
        <v>o</v>
      </c>
      <c r="AK364" t="str">
        <f t="shared" si="207"/>
        <v>o</v>
      </c>
      <c r="AL364" t="str">
        <f t="shared" si="182"/>
        <v>o</v>
      </c>
      <c r="AN364" t="s">
        <v>861</v>
      </c>
      <c r="AO364" t="str">
        <f t="shared" si="183"/>
        <v>h</v>
      </c>
      <c r="AP364" t="str">
        <f t="shared" si="190"/>
        <v>o</v>
      </c>
      <c r="AQ364" t="str">
        <f t="shared" si="191"/>
        <v/>
      </c>
      <c r="AR364" t="str">
        <f t="shared" si="192"/>
        <v>Home</v>
      </c>
      <c r="AS364" t="str">
        <f t="shared" si="193"/>
        <v>h</v>
      </c>
      <c r="AT364" t="str">
        <f t="shared" si="194"/>
        <v>Offensive</v>
      </c>
      <c r="BA364" s="6">
        <f t="shared" si="184"/>
        <v>96</v>
      </c>
      <c r="BB364">
        <f t="shared" si="185"/>
        <v>18981</v>
      </c>
      <c r="BC364" t="str">
        <f t="shared" si="186"/>
        <v>Nelson</v>
      </c>
      <c r="BD364" t="str">
        <f t="shared" si="187"/>
        <v>Velodrome</v>
      </c>
      <c r="BE364" t="s">
        <v>6</v>
      </c>
      <c r="BF364" t="s">
        <v>181</v>
      </c>
      <c r="BG364" t="s">
        <v>51</v>
      </c>
      <c r="BI364" cm="1">
        <f t="array" ref="BI364">IFERROR(_xlfn._xlws.FILTER(shifts!A:A,(shifts!B:B=events!AD364)*(shifts!AG:AG&gt;=events!BK364)*(shifts!AH:AH&lt;=events!BL364)),BI363)</f>
        <v>21</v>
      </c>
      <c r="BJ364" s="15">
        <f t="shared" si="188"/>
        <v>0</v>
      </c>
      <c r="BK364">
        <f t="shared" si="195"/>
        <v>609</v>
      </c>
      <c r="BL364">
        <f t="shared" si="196"/>
        <v>609</v>
      </c>
      <c r="BM364" s="15">
        <f>SUMIFS(BJ$2:BJ364,K$2:K364,"=Intermission")+SUMIFS(BJ$2:BJ364,K$2:K364,"=Timeout")</f>
        <v>0</v>
      </c>
      <c r="BN364">
        <f t="shared" si="197"/>
        <v>0</v>
      </c>
      <c r="BO364" s="19">
        <f t="shared" si="198"/>
        <v>471</v>
      </c>
      <c r="BP364">
        <f t="shared" si="199"/>
        <v>466</v>
      </c>
      <c r="BQ364" s="17">
        <f t="shared" si="200"/>
        <v>471</v>
      </c>
      <c r="BR364" t="str">
        <f t="shared" si="201"/>
        <v>event_team_player_1</v>
      </c>
      <c r="BS364">
        <f>COUNTIFS(S$3:S364,"="&amp;S364,AI$3:AI364,"="&amp;AI364)</f>
        <v>1</v>
      </c>
      <c r="BT364" t="str">
        <f>IFERROR(VLOOKUP(BB364&amp;BU364&amp;X364,game_rosters!U:W,3,FALSE),"")</f>
        <v>P100164</v>
      </c>
      <c r="BU364" t="str">
        <f t="shared" si="202"/>
        <v>Nelson</v>
      </c>
    </row>
    <row r="365" spans="1:73" x14ac:dyDescent="0.2">
      <c r="A365">
        <f t="shared" si="189"/>
        <v>1</v>
      </c>
      <c r="E365" s="4"/>
      <c r="F365" s="43"/>
      <c r="G365" s="4"/>
      <c r="H365" s="46"/>
      <c r="J365" s="44" t="str">
        <f t="shared" si="203"/>
        <v>o</v>
      </c>
      <c r="K365" t="s">
        <v>6</v>
      </c>
      <c r="L365" t="s">
        <v>181</v>
      </c>
      <c r="M365" t="s">
        <v>51</v>
      </c>
      <c r="N365" t="str">
        <f t="shared" si="206"/>
        <v>u</v>
      </c>
      <c r="Q365" t="str">
        <f t="shared" si="204"/>
        <v/>
      </c>
      <c r="S365">
        <v>204</v>
      </c>
      <c r="U365" t="str">
        <f>IF(B365=1,MAX($U$2:$U364)+1,IF(AND($T365&lt;&gt;"",$T365=$T364),$U364,IF(B365="x",U364,"")))</f>
        <v/>
      </c>
      <c r="V365" t="str">
        <f>IF(C365=1,MAX($V$2:$V364)+1,IF(AND($T365&lt;&gt;"",$T365=$T364),$U364,IF(C365="x",V364,"")))</f>
        <v/>
      </c>
      <c r="W365" t="str">
        <f t="shared" si="178"/>
        <v>h</v>
      </c>
      <c r="X365">
        <v>84</v>
      </c>
      <c r="Y365" t="e">
        <f>IF(X365&lt;&gt;"",VLOOKUP(X365,game_rosters!$C$43:$E$64,3,FALSE))</f>
        <v>#N/A</v>
      </c>
      <c r="Z365" t="str" cm="1">
        <f t="array" ref="Z365">IFERROR(IF(_xlfn._xlws.FILTER(game_rosters!$J:$J,(game_rosters!$G:$G=events!$AN365)*(game_rosters!$J:$J=events!$X365))&gt;0,1,""),"")</f>
        <v/>
      </c>
      <c r="AA365">
        <f t="shared" si="179"/>
        <v>1204</v>
      </c>
      <c r="AB365" t="str">
        <f t="shared" si="180"/>
        <v/>
      </c>
      <c r="AC365">
        <f t="shared" si="177"/>
        <v>1204</v>
      </c>
      <c r="AD365" s="6">
        <v>1</v>
      </c>
      <c r="AE365" t="s">
        <v>910</v>
      </c>
      <c r="AF365" t="s">
        <v>920</v>
      </c>
      <c r="AG365" t="s">
        <v>756</v>
      </c>
      <c r="AH365" t="s">
        <v>756</v>
      </c>
      <c r="AI365" t="s">
        <v>368</v>
      </c>
      <c r="AJ365" t="str">
        <f t="shared" si="207"/>
        <v>o</v>
      </c>
      <c r="AK365" t="str">
        <f t="shared" si="207"/>
        <v>o</v>
      </c>
      <c r="AL365" t="str">
        <f t="shared" si="182"/>
        <v>o</v>
      </c>
      <c r="AN365" t="s">
        <v>861</v>
      </c>
      <c r="AO365" t="str">
        <f t="shared" si="183"/>
        <v>h</v>
      </c>
      <c r="AP365" t="str">
        <f t="shared" si="190"/>
        <v>o</v>
      </c>
      <c r="AQ365" t="str">
        <f t="shared" si="191"/>
        <v/>
      </c>
      <c r="AR365" t="str">
        <f t="shared" si="192"/>
        <v>Home</v>
      </c>
      <c r="AS365" t="str">
        <f t="shared" si="193"/>
        <v>h</v>
      </c>
      <c r="AT365" t="str">
        <f t="shared" si="194"/>
        <v>Defensive</v>
      </c>
      <c r="BA365" s="6">
        <f t="shared" si="184"/>
        <v>96</v>
      </c>
      <c r="BB365">
        <f t="shared" si="185"/>
        <v>18981</v>
      </c>
      <c r="BC365" t="str">
        <f t="shared" si="186"/>
        <v>Nelson</v>
      </c>
      <c r="BD365" t="str">
        <f t="shared" si="187"/>
        <v>Velodrome</v>
      </c>
      <c r="BE365" t="s">
        <v>6</v>
      </c>
      <c r="BF365" t="s">
        <v>181</v>
      </c>
      <c r="BG365" t="s">
        <v>51</v>
      </c>
      <c r="BI365" cm="1">
        <f t="array" ref="BI365">IFERROR(_xlfn._xlws.FILTER(shifts!A:A,(shifts!B:B=events!AD365)*(shifts!AG:AG&gt;=events!BK365)*(shifts!AH:AH&lt;=events!BL365)),BI364)</f>
        <v>21</v>
      </c>
      <c r="BJ365" s="15">
        <f t="shared" si="188"/>
        <v>0</v>
      </c>
      <c r="BK365">
        <f t="shared" si="195"/>
        <v>609</v>
      </c>
      <c r="BL365">
        <f t="shared" si="196"/>
        <v>609</v>
      </c>
      <c r="BM365" s="15">
        <f>SUMIFS(BJ$2:BJ365,K$2:K365,"=Intermission")+SUMIFS(BJ$2:BJ365,K$2:K365,"=Timeout")</f>
        <v>0</v>
      </c>
      <c r="BN365">
        <f t="shared" si="197"/>
        <v>0</v>
      </c>
      <c r="BO365" s="19">
        <f t="shared" si="198"/>
        <v>471</v>
      </c>
      <c r="BP365">
        <f t="shared" si="199"/>
        <v>466</v>
      </c>
      <c r="BQ365" s="17">
        <f t="shared" si="200"/>
        <v>471</v>
      </c>
      <c r="BR365" t="str">
        <f t="shared" si="201"/>
        <v>opp_team_player_1</v>
      </c>
      <c r="BS365">
        <f>COUNTIFS(S$3:S365,"="&amp;S365,AI$3:AI365,"="&amp;AI365)</f>
        <v>1</v>
      </c>
      <c r="BT365" t="str">
        <f>IFERROR(VLOOKUP(BB365&amp;BU365&amp;X365,game_rosters!U:W,3,FALSE),"")</f>
        <v>P100198</v>
      </c>
      <c r="BU365" t="str">
        <f t="shared" si="202"/>
        <v>Velodrome</v>
      </c>
    </row>
    <row r="366" spans="1:73" x14ac:dyDescent="0.2">
      <c r="A366">
        <f t="shared" si="189"/>
        <v>1</v>
      </c>
      <c r="E366" s="4"/>
      <c r="F366" s="43"/>
      <c r="G366" s="4"/>
      <c r="H366" s="46"/>
      <c r="J366" s="44" t="str">
        <f t="shared" si="203"/>
        <v>o</v>
      </c>
      <c r="K366" t="s">
        <v>6</v>
      </c>
      <c r="L366" t="s">
        <v>181</v>
      </c>
      <c r="M366" t="s">
        <v>51</v>
      </c>
      <c r="N366" t="str">
        <f t="shared" si="206"/>
        <v>u</v>
      </c>
      <c r="Q366" t="str">
        <f t="shared" si="204"/>
        <v/>
      </c>
      <c r="S366">
        <v>204</v>
      </c>
      <c r="U366" t="str">
        <f>IF(B366=1,MAX($U$2:$U365)+1,IF(AND($T366&lt;&gt;"",$T366=$T365),$U365,IF(B366="x",U365,"")))</f>
        <v/>
      </c>
      <c r="V366" t="str">
        <f>IF(C366=1,MAX($V$2:$V365)+1,IF(AND($T366&lt;&gt;"",$T366=$T365),$U365,IF(C366="x",V365,"")))</f>
        <v/>
      </c>
      <c r="W366" t="str">
        <f t="shared" si="178"/>
        <v>h</v>
      </c>
      <c r="X366">
        <v>39</v>
      </c>
      <c r="Y366" t="e">
        <f>IF(X366&lt;&gt;"",VLOOKUP(X366,game_rosters!$C$43:$E$64,3,FALSE))</f>
        <v>#N/A</v>
      </c>
      <c r="Z366" t="str" cm="1">
        <f t="array" ref="Z366">IFERROR(IF(_xlfn._xlws.FILTER(game_rosters!$J:$J,(game_rosters!$G:$G=events!$AN366)*(game_rosters!$J:$J=events!$X366))&gt;0,1,""),"")</f>
        <v/>
      </c>
      <c r="AA366">
        <f t="shared" si="179"/>
        <v>1204</v>
      </c>
      <c r="AB366" t="str">
        <f t="shared" si="180"/>
        <v/>
      </c>
      <c r="AC366">
        <f t="shared" si="177"/>
        <v>1204</v>
      </c>
      <c r="AD366" s="6">
        <v>1</v>
      </c>
      <c r="AE366" t="s">
        <v>910</v>
      </c>
      <c r="AF366" t="s">
        <v>920</v>
      </c>
      <c r="AG366" t="s">
        <v>756</v>
      </c>
      <c r="AH366" t="s">
        <v>756</v>
      </c>
      <c r="AI366" t="s">
        <v>368</v>
      </c>
      <c r="AJ366" t="str">
        <f t="shared" si="207"/>
        <v>o</v>
      </c>
      <c r="AK366" t="str">
        <f t="shared" si="207"/>
        <v>o</v>
      </c>
      <c r="AL366" t="str">
        <f t="shared" si="182"/>
        <v>o</v>
      </c>
      <c r="AN366" t="s">
        <v>861</v>
      </c>
      <c r="AO366" t="str">
        <f t="shared" si="183"/>
        <v>h</v>
      </c>
      <c r="AP366" t="str">
        <f t="shared" si="190"/>
        <v>o</v>
      </c>
      <c r="AQ366" t="str">
        <f t="shared" si="191"/>
        <v/>
      </c>
      <c r="AR366" t="str">
        <f t="shared" si="192"/>
        <v>Home</v>
      </c>
      <c r="AS366" t="str">
        <f t="shared" si="193"/>
        <v>h</v>
      </c>
      <c r="AT366" t="str">
        <f t="shared" si="194"/>
        <v>Defensive</v>
      </c>
      <c r="BA366" s="6">
        <f t="shared" si="184"/>
        <v>96</v>
      </c>
      <c r="BB366">
        <f t="shared" si="185"/>
        <v>18981</v>
      </c>
      <c r="BC366" t="str">
        <f t="shared" si="186"/>
        <v>Nelson</v>
      </c>
      <c r="BD366" t="str">
        <f t="shared" si="187"/>
        <v>Velodrome</v>
      </c>
      <c r="BE366" t="s">
        <v>6</v>
      </c>
      <c r="BF366" t="s">
        <v>181</v>
      </c>
      <c r="BG366" t="s">
        <v>51</v>
      </c>
      <c r="BI366" cm="1">
        <f t="array" ref="BI366">IFERROR(_xlfn._xlws.FILTER(shifts!A:A,(shifts!B:B=events!AD366)*(shifts!AG:AG&gt;=events!BK366)*(shifts!AH:AH&lt;=events!BL366)),BI365)</f>
        <v>21</v>
      </c>
      <c r="BJ366" s="15">
        <f t="shared" si="188"/>
        <v>0</v>
      </c>
      <c r="BK366">
        <f t="shared" si="195"/>
        <v>609</v>
      </c>
      <c r="BL366">
        <f t="shared" si="196"/>
        <v>609</v>
      </c>
      <c r="BM366" s="15">
        <f>SUMIFS(BJ$2:BJ366,K$2:K366,"=Intermission")+SUMIFS(BJ$2:BJ366,K$2:K366,"=Timeout")</f>
        <v>0</v>
      </c>
      <c r="BN366">
        <f t="shared" si="197"/>
        <v>0</v>
      </c>
      <c r="BO366" s="19">
        <f t="shared" si="198"/>
        <v>471</v>
      </c>
      <c r="BP366">
        <f t="shared" si="199"/>
        <v>466</v>
      </c>
      <c r="BQ366" s="17">
        <f t="shared" si="200"/>
        <v>471</v>
      </c>
      <c r="BR366" t="str">
        <f t="shared" si="201"/>
        <v>opp_team_player_2</v>
      </c>
      <c r="BS366">
        <f>COUNTIFS(S$3:S366,"="&amp;S366,AI$3:AI366,"="&amp;AI366)</f>
        <v>2</v>
      </c>
      <c r="BT366" t="str">
        <f>IFERROR(VLOOKUP(BB366&amp;BU366&amp;X366,game_rosters!U:W,3,FALSE),"")</f>
        <v>P100016</v>
      </c>
      <c r="BU366" t="str">
        <f t="shared" si="202"/>
        <v>Velodrome</v>
      </c>
    </row>
    <row r="367" spans="1:73" x14ac:dyDescent="0.2">
      <c r="A367">
        <f t="shared" si="189"/>
        <v>1</v>
      </c>
      <c r="E367" s="4"/>
      <c r="F367" s="43"/>
      <c r="G367" s="4"/>
      <c r="H367" s="46"/>
      <c r="J367" s="44" t="str">
        <f t="shared" si="203"/>
        <v/>
      </c>
      <c r="K367" t="s">
        <v>7</v>
      </c>
      <c r="L367" t="s">
        <v>192</v>
      </c>
      <c r="M367" t="s">
        <v>68</v>
      </c>
      <c r="N367" t="str">
        <f t="shared" si="206"/>
        <v>u</v>
      </c>
      <c r="Q367" t="str">
        <f t="shared" si="204"/>
        <v/>
      </c>
      <c r="S367">
        <v>205</v>
      </c>
      <c r="U367" t="str">
        <f>IF(B367=1,MAX($U$2:$U366)+1,IF(AND($T367&lt;&gt;"",$T367=$T366),$U366,IF(B367="x",U366,"")))</f>
        <v/>
      </c>
      <c r="V367" t="str">
        <f>IF(C367=1,MAX($V$2:$V366)+1,IF(AND($T367&lt;&gt;"",$T367=$T366),$U366,IF(C367="x",V366,"")))</f>
        <v/>
      </c>
      <c r="W367" t="str">
        <f t="shared" si="178"/>
        <v>h</v>
      </c>
      <c r="X367">
        <v>16</v>
      </c>
      <c r="Y367" t="b">
        <f>IF(X367&lt;&gt;"",VLOOKUP(X367,game_rosters!$C$43:$E$64,3,FALSE))</f>
        <v>0</v>
      </c>
      <c r="Z367" cm="1">
        <f t="array" ref="Z367">IFERROR(IF(_xlfn._xlws.FILTER(game_rosters!$J:$J,(game_rosters!$G:$G=events!$AN367)*(game_rosters!$J:$J=events!$X367))&gt;0,1,""),"")</f>
        <v>1</v>
      </c>
      <c r="AA367">
        <f t="shared" si="179"/>
        <v>1205</v>
      </c>
      <c r="AB367" t="str">
        <f t="shared" si="180"/>
        <v/>
      </c>
      <c r="AC367">
        <f t="shared" si="177"/>
        <v>1205</v>
      </c>
      <c r="AD367" s="6">
        <v>1</v>
      </c>
      <c r="AE367" t="s">
        <v>910</v>
      </c>
      <c r="AF367" t="s">
        <v>747</v>
      </c>
      <c r="AG367" t="s">
        <v>756</v>
      </c>
      <c r="AH367" t="s">
        <v>756</v>
      </c>
      <c r="AI367" t="s">
        <v>367</v>
      </c>
      <c r="AJ367" t="str">
        <f t="shared" si="207"/>
        <v/>
      </c>
      <c r="AK367" t="str">
        <f t="shared" si="207"/>
        <v/>
      </c>
      <c r="AL367" t="str">
        <f t="shared" si="182"/>
        <v/>
      </c>
      <c r="AN367" t="s">
        <v>861</v>
      </c>
      <c r="AO367" t="str">
        <f t="shared" si="183"/>
        <v>h</v>
      </c>
      <c r="AP367" t="str">
        <f t="shared" si="190"/>
        <v/>
      </c>
      <c r="AQ367" t="str">
        <f t="shared" si="191"/>
        <v/>
      </c>
      <c r="AR367" t="str">
        <f t="shared" si="192"/>
        <v>Home</v>
      </c>
      <c r="AS367" t="str">
        <f t="shared" si="193"/>
        <v>h</v>
      </c>
      <c r="AT367" t="str">
        <f t="shared" si="194"/>
        <v>Offensive</v>
      </c>
      <c r="BA367" s="6">
        <f t="shared" si="184"/>
        <v>96</v>
      </c>
      <c r="BB367">
        <f t="shared" si="185"/>
        <v>18981</v>
      </c>
      <c r="BC367" t="str">
        <f t="shared" si="186"/>
        <v>Nelson</v>
      </c>
      <c r="BD367" t="str">
        <f t="shared" si="187"/>
        <v>Velodrome</v>
      </c>
      <c r="BE367" t="s">
        <v>7</v>
      </c>
      <c r="BF367" t="s">
        <v>192</v>
      </c>
      <c r="BG367" t="s">
        <v>68</v>
      </c>
      <c r="BI367" cm="1">
        <f t="array" ref="BI367">IFERROR(_xlfn._xlws.FILTER(shifts!A:A,(shifts!B:B=events!AD367)*(shifts!AG:AG&gt;=events!BK367)*(shifts!AH:AH&lt;=events!BL367)),BI366)</f>
        <v>21</v>
      </c>
      <c r="BJ367" s="15">
        <f t="shared" si="188"/>
        <v>0</v>
      </c>
      <c r="BK367">
        <f t="shared" si="195"/>
        <v>607</v>
      </c>
      <c r="BL367">
        <f t="shared" si="196"/>
        <v>607</v>
      </c>
      <c r="BM367" s="15">
        <f>SUMIFS(BJ$2:BJ367,K$2:K367,"=Intermission")+SUMIFS(BJ$2:BJ367,K$2:K367,"=Timeout")</f>
        <v>0</v>
      </c>
      <c r="BN367">
        <f t="shared" si="197"/>
        <v>0</v>
      </c>
      <c r="BO367" s="19">
        <f t="shared" si="198"/>
        <v>473</v>
      </c>
      <c r="BP367">
        <f t="shared" si="199"/>
        <v>468</v>
      </c>
      <c r="BQ367" s="17">
        <f t="shared" si="200"/>
        <v>473</v>
      </c>
      <c r="BR367" t="str">
        <f t="shared" si="201"/>
        <v>event_team_player_1</v>
      </c>
      <c r="BS367">
        <f>COUNTIFS(S$3:S367,"="&amp;S367,AI$3:AI367,"="&amp;AI367)</f>
        <v>1</v>
      </c>
      <c r="BT367" t="str">
        <f>IFERROR(VLOOKUP(BB367&amp;BU367&amp;X367,game_rosters!U:W,3,FALSE),"")</f>
        <v>P100164</v>
      </c>
      <c r="BU367" t="str">
        <f t="shared" si="202"/>
        <v>Nelson</v>
      </c>
    </row>
    <row r="368" spans="1:73" x14ac:dyDescent="0.2">
      <c r="A368">
        <f t="shared" si="189"/>
        <v>1</v>
      </c>
      <c r="E368" s="4"/>
      <c r="F368" s="43"/>
      <c r="G368" s="4"/>
      <c r="H368" s="46"/>
      <c r="J368" s="44" t="str">
        <f t="shared" si="203"/>
        <v/>
      </c>
      <c r="K368" t="s">
        <v>7</v>
      </c>
      <c r="L368" t="s">
        <v>192</v>
      </c>
      <c r="M368" t="s">
        <v>68</v>
      </c>
      <c r="N368" t="str">
        <f t="shared" si="206"/>
        <v>u</v>
      </c>
      <c r="Q368" t="str">
        <f t="shared" si="204"/>
        <v/>
      </c>
      <c r="S368">
        <v>205</v>
      </c>
      <c r="U368" t="str">
        <f>IF(B368=1,MAX($U$2:$U367)+1,IF(AND($T368&lt;&gt;"",$T368=$T367),$U367,IF(B368="x",U367,"")))</f>
        <v/>
      </c>
      <c r="V368" t="str">
        <f>IF(C368=1,MAX($V$2:$V367)+1,IF(AND($T368&lt;&gt;"",$T368=$T367),$U367,IF(C368="x",V367,"")))</f>
        <v/>
      </c>
      <c r="W368" t="str">
        <f t="shared" si="178"/>
        <v>h</v>
      </c>
      <c r="X368">
        <v>93</v>
      </c>
      <c r="Y368" t="e">
        <f>IF(X368&lt;&gt;"",VLOOKUP(X368,game_rosters!$C$43:$E$64,3,FALSE))</f>
        <v>#N/A</v>
      </c>
      <c r="Z368" t="str" cm="1">
        <f t="array" ref="Z368">IFERROR(IF(_xlfn._xlws.FILTER(game_rosters!$J:$J,(game_rosters!$G:$G=events!$AN368)*(game_rosters!$J:$J=events!$X368))&gt;0,1,""),"")</f>
        <v/>
      </c>
      <c r="AA368">
        <f t="shared" si="179"/>
        <v>1205</v>
      </c>
      <c r="AB368" t="str">
        <f t="shared" si="180"/>
        <v/>
      </c>
      <c r="AC368">
        <f t="shared" si="177"/>
        <v>1205</v>
      </c>
      <c r="AD368" s="6">
        <v>1</v>
      </c>
      <c r="AE368" t="s">
        <v>910</v>
      </c>
      <c r="AF368" t="s">
        <v>747</v>
      </c>
      <c r="AG368" t="s">
        <v>756</v>
      </c>
      <c r="AH368" t="s">
        <v>756</v>
      </c>
      <c r="AI368" t="s">
        <v>368</v>
      </c>
      <c r="AJ368" t="str">
        <f t="shared" si="207"/>
        <v/>
      </c>
      <c r="AK368" t="str">
        <f t="shared" si="207"/>
        <v/>
      </c>
      <c r="AL368" t="str">
        <f t="shared" si="182"/>
        <v/>
      </c>
      <c r="AN368" t="s">
        <v>861</v>
      </c>
      <c r="AO368" t="str">
        <f t="shared" si="183"/>
        <v>h</v>
      </c>
      <c r="AP368" t="str">
        <f t="shared" si="190"/>
        <v/>
      </c>
      <c r="AQ368" t="str">
        <f t="shared" si="191"/>
        <v/>
      </c>
      <c r="AR368" t="str">
        <f t="shared" si="192"/>
        <v>Home</v>
      </c>
      <c r="AS368" t="str">
        <f t="shared" si="193"/>
        <v>h</v>
      </c>
      <c r="AT368" t="str">
        <f t="shared" si="194"/>
        <v>Defensive</v>
      </c>
      <c r="BA368" s="6">
        <f t="shared" si="184"/>
        <v>96</v>
      </c>
      <c r="BB368">
        <f t="shared" si="185"/>
        <v>18981</v>
      </c>
      <c r="BC368" t="str">
        <f t="shared" si="186"/>
        <v>Nelson</v>
      </c>
      <c r="BD368" t="str">
        <f t="shared" si="187"/>
        <v>Velodrome</v>
      </c>
      <c r="BE368" t="s">
        <v>7</v>
      </c>
      <c r="BF368" t="s">
        <v>192</v>
      </c>
      <c r="BG368" t="s">
        <v>68</v>
      </c>
      <c r="BI368" cm="1">
        <f t="array" ref="BI368">IFERROR(_xlfn._xlws.FILTER(shifts!A:A,(shifts!B:B=events!AD368)*(shifts!AG:AG&gt;=events!BK368)*(shifts!AH:AH&lt;=events!BL368)),BI367)</f>
        <v>21</v>
      </c>
      <c r="BJ368" s="15">
        <f t="shared" si="188"/>
        <v>0</v>
      </c>
      <c r="BK368">
        <f t="shared" si="195"/>
        <v>607</v>
      </c>
      <c r="BL368">
        <f t="shared" si="196"/>
        <v>607</v>
      </c>
      <c r="BM368" s="15">
        <f>SUMIFS(BJ$2:BJ368,K$2:K368,"=Intermission")+SUMIFS(BJ$2:BJ368,K$2:K368,"=Timeout")</f>
        <v>0</v>
      </c>
      <c r="BN368">
        <f t="shared" si="197"/>
        <v>0</v>
      </c>
      <c r="BO368" s="19">
        <f t="shared" si="198"/>
        <v>473</v>
      </c>
      <c r="BP368">
        <f t="shared" si="199"/>
        <v>468</v>
      </c>
      <c r="BQ368" s="17">
        <f t="shared" si="200"/>
        <v>473</v>
      </c>
      <c r="BR368" t="str">
        <f t="shared" si="201"/>
        <v>opp_team_player_1</v>
      </c>
      <c r="BS368">
        <f>COUNTIFS(S$3:S368,"="&amp;S368,AI$3:AI368,"="&amp;AI368)</f>
        <v>1</v>
      </c>
      <c r="BT368" t="str">
        <f>IFERROR(VLOOKUP(BB368&amp;BU368&amp;X368,game_rosters!U:W,3,FALSE),"")</f>
        <v>P100093</v>
      </c>
      <c r="BU368" t="str">
        <f t="shared" si="202"/>
        <v>Velodrome</v>
      </c>
    </row>
    <row r="369" spans="1:73" x14ac:dyDescent="0.2">
      <c r="A369">
        <f t="shared" si="189"/>
        <v>1</v>
      </c>
      <c r="E369" s="4"/>
      <c r="F369" s="43"/>
      <c r="G369" s="4"/>
      <c r="H369" s="46"/>
      <c r="J369" s="44" t="str">
        <f t="shared" si="203"/>
        <v/>
      </c>
      <c r="K369" t="s">
        <v>7</v>
      </c>
      <c r="L369" t="s">
        <v>192</v>
      </c>
      <c r="M369" t="s">
        <v>68</v>
      </c>
      <c r="N369" t="str">
        <f t="shared" si="206"/>
        <v>u</v>
      </c>
      <c r="Q369" t="str">
        <f t="shared" si="204"/>
        <v/>
      </c>
      <c r="S369">
        <v>205</v>
      </c>
      <c r="U369" t="str">
        <f>IF(B369=1,MAX($U$2:$U368)+1,IF(AND($T369&lt;&gt;"",$T369=$T368),$U368,IF(B369="x",U368,"")))</f>
        <v/>
      </c>
      <c r="V369" t="str">
        <f>IF(C369=1,MAX($V$2:$V368)+1,IF(AND($T369&lt;&gt;"",$T369=$T368),$U368,IF(C369="x",V368,"")))</f>
        <v/>
      </c>
      <c r="W369" t="str">
        <f t="shared" si="178"/>
        <v>h</v>
      </c>
      <c r="X369">
        <v>84</v>
      </c>
      <c r="Y369" t="e">
        <f>IF(X369&lt;&gt;"",VLOOKUP(X369,game_rosters!$C$43:$E$64,3,FALSE))</f>
        <v>#N/A</v>
      </c>
      <c r="Z369" t="str" cm="1">
        <f t="array" ref="Z369">IFERROR(IF(_xlfn._xlws.FILTER(game_rosters!$J:$J,(game_rosters!$G:$G=events!$AN369)*(game_rosters!$J:$J=events!$X369))&gt;0,1,""),"")</f>
        <v/>
      </c>
      <c r="AA369">
        <f t="shared" si="179"/>
        <v>1205</v>
      </c>
      <c r="AB369" t="str">
        <f t="shared" si="180"/>
        <v/>
      </c>
      <c r="AC369">
        <f t="shared" si="177"/>
        <v>1205</v>
      </c>
      <c r="AD369" s="6">
        <v>1</v>
      </c>
      <c r="AE369" t="s">
        <v>910</v>
      </c>
      <c r="AF369" t="s">
        <v>747</v>
      </c>
      <c r="AG369" t="s">
        <v>756</v>
      </c>
      <c r="AH369" t="s">
        <v>756</v>
      </c>
      <c r="AI369" t="s">
        <v>368</v>
      </c>
      <c r="AJ369" t="str">
        <f t="shared" si="207"/>
        <v/>
      </c>
      <c r="AK369" t="str">
        <f t="shared" si="207"/>
        <v/>
      </c>
      <c r="AL369" t="str">
        <f t="shared" si="182"/>
        <v/>
      </c>
      <c r="AN369" t="s">
        <v>861</v>
      </c>
      <c r="AO369" t="str">
        <f t="shared" si="183"/>
        <v>h</v>
      </c>
      <c r="AP369" t="str">
        <f t="shared" si="190"/>
        <v/>
      </c>
      <c r="AQ369" t="str">
        <f t="shared" si="191"/>
        <v/>
      </c>
      <c r="AR369" t="str">
        <f t="shared" si="192"/>
        <v>Home</v>
      </c>
      <c r="AS369" t="str">
        <f t="shared" si="193"/>
        <v>h</v>
      </c>
      <c r="AT369" t="str">
        <f t="shared" si="194"/>
        <v>Defensive</v>
      </c>
      <c r="BA369" s="6">
        <f t="shared" si="184"/>
        <v>96</v>
      </c>
      <c r="BB369">
        <f t="shared" si="185"/>
        <v>18981</v>
      </c>
      <c r="BC369" t="str">
        <f t="shared" si="186"/>
        <v>Nelson</v>
      </c>
      <c r="BD369" t="str">
        <f t="shared" si="187"/>
        <v>Velodrome</v>
      </c>
      <c r="BE369" t="s">
        <v>7</v>
      </c>
      <c r="BF369" t="s">
        <v>192</v>
      </c>
      <c r="BG369" t="s">
        <v>68</v>
      </c>
      <c r="BI369" cm="1">
        <f t="array" ref="BI369">IFERROR(_xlfn._xlws.FILTER(shifts!A:A,(shifts!B:B=events!AD369)*(shifts!AG:AG&gt;=events!BK369)*(shifts!AH:AH&lt;=events!BL369)),BI368)</f>
        <v>21</v>
      </c>
      <c r="BJ369" s="15">
        <f t="shared" si="188"/>
        <v>0</v>
      </c>
      <c r="BK369">
        <f t="shared" si="195"/>
        <v>607</v>
      </c>
      <c r="BL369">
        <f t="shared" si="196"/>
        <v>607</v>
      </c>
      <c r="BM369" s="15">
        <f>SUMIFS(BJ$2:BJ369,K$2:K369,"=Intermission")+SUMIFS(BJ$2:BJ369,K$2:K369,"=Timeout")</f>
        <v>0</v>
      </c>
      <c r="BN369">
        <f t="shared" si="197"/>
        <v>0</v>
      </c>
      <c r="BO369" s="19">
        <f t="shared" si="198"/>
        <v>473</v>
      </c>
      <c r="BP369">
        <f t="shared" si="199"/>
        <v>468</v>
      </c>
      <c r="BQ369" s="17">
        <f t="shared" si="200"/>
        <v>473</v>
      </c>
      <c r="BR369" t="str">
        <f t="shared" si="201"/>
        <v>opp_team_player_2</v>
      </c>
      <c r="BS369">
        <f>COUNTIFS(S$3:S369,"="&amp;S369,AI$3:AI369,"="&amp;AI369)</f>
        <v>2</v>
      </c>
      <c r="BT369" t="str">
        <f>IFERROR(VLOOKUP(BB369&amp;BU369&amp;X369,game_rosters!U:W,3,FALSE),"")</f>
        <v>P100198</v>
      </c>
      <c r="BU369" t="str">
        <f t="shared" si="202"/>
        <v>Velodrome</v>
      </c>
    </row>
    <row r="370" spans="1:73" x14ac:dyDescent="0.2">
      <c r="A370">
        <f t="shared" si="189"/>
        <v>1</v>
      </c>
      <c r="E370" s="4"/>
      <c r="F370" s="43"/>
      <c r="G370" s="4"/>
      <c r="H370" s="46"/>
      <c r="J370" s="44" t="str">
        <f t="shared" si="203"/>
        <v/>
      </c>
      <c r="K370" t="s">
        <v>9</v>
      </c>
      <c r="L370" t="s">
        <v>173</v>
      </c>
      <c r="M370" t="s">
        <v>75</v>
      </c>
      <c r="N370" t="str">
        <f t="shared" si="206"/>
        <v>u</v>
      </c>
      <c r="Q370" t="str">
        <f t="shared" si="204"/>
        <v/>
      </c>
      <c r="S370">
        <v>206</v>
      </c>
      <c r="U370" t="str">
        <f>IF(B370=1,MAX($U$2:$U369)+1,IF(AND($T370&lt;&gt;"",$T370=$T369),$U369,IF(B370="x",U369,"")))</f>
        <v/>
      </c>
      <c r="V370" t="str">
        <f>IF(C370=1,MAX($V$2:$V369)+1,IF(AND($T370&lt;&gt;"",$T370=$T369),$U369,IF(C370="x",V369,"")))</f>
        <v/>
      </c>
      <c r="W370" t="str">
        <f t="shared" si="178"/>
        <v>h</v>
      </c>
      <c r="X370">
        <v>16</v>
      </c>
      <c r="Y370" t="b">
        <f>IF(X370&lt;&gt;"",VLOOKUP(X370,game_rosters!$C$43:$E$64,3,FALSE))</f>
        <v>0</v>
      </c>
      <c r="Z370" cm="1">
        <f t="array" ref="Z370">IFERROR(IF(_xlfn._xlws.FILTER(game_rosters!$J:$J,(game_rosters!$G:$G=events!$AN370)*(game_rosters!$J:$J=events!$X370))&gt;0,1,""),"")</f>
        <v>1</v>
      </c>
      <c r="AA370">
        <f t="shared" si="179"/>
        <v>1206</v>
      </c>
      <c r="AB370" t="str">
        <f t="shared" si="180"/>
        <v/>
      </c>
      <c r="AC370">
        <f t="shared" si="177"/>
        <v>1206</v>
      </c>
      <c r="AD370" s="6">
        <v>1</v>
      </c>
      <c r="AE370" t="s">
        <v>910</v>
      </c>
      <c r="AF370" t="s">
        <v>747</v>
      </c>
      <c r="AG370" t="s">
        <v>756</v>
      </c>
      <c r="AH370" t="s">
        <v>756</v>
      </c>
      <c r="AI370" t="s">
        <v>367</v>
      </c>
      <c r="AJ370" t="str">
        <f t="shared" si="207"/>
        <v/>
      </c>
      <c r="AK370" t="str">
        <f t="shared" si="207"/>
        <v/>
      </c>
      <c r="AL370" t="str">
        <f t="shared" si="182"/>
        <v/>
      </c>
      <c r="AN370" t="s">
        <v>861</v>
      </c>
      <c r="AO370" t="str">
        <f t="shared" si="183"/>
        <v>h</v>
      </c>
      <c r="AP370" t="str">
        <f t="shared" si="190"/>
        <v/>
      </c>
      <c r="AQ370" t="str">
        <f t="shared" si="191"/>
        <v/>
      </c>
      <c r="AR370" t="str">
        <f t="shared" si="192"/>
        <v>Home</v>
      </c>
      <c r="AS370" t="str">
        <f t="shared" si="193"/>
        <v>h</v>
      </c>
      <c r="AT370" t="str">
        <f t="shared" si="194"/>
        <v>Offensive</v>
      </c>
      <c r="BA370" s="6">
        <f t="shared" si="184"/>
        <v>96</v>
      </c>
      <c r="BB370">
        <f t="shared" si="185"/>
        <v>18981</v>
      </c>
      <c r="BC370" t="str">
        <f t="shared" si="186"/>
        <v>Nelson</v>
      </c>
      <c r="BD370" t="str">
        <f t="shared" si="187"/>
        <v>Velodrome</v>
      </c>
      <c r="BE370" t="s">
        <v>9</v>
      </c>
      <c r="BF370" t="s">
        <v>173</v>
      </c>
      <c r="BG370" t="s">
        <v>75</v>
      </c>
      <c r="BI370" cm="1">
        <f t="array" ref="BI370">IFERROR(_xlfn._xlws.FILTER(shifts!A:A,(shifts!B:B=events!AD370)*(shifts!AG:AG&gt;=events!BK370)*(shifts!AH:AH&lt;=events!BL370)),BI369)</f>
        <v>21</v>
      </c>
      <c r="BJ370" s="15">
        <f t="shared" si="188"/>
        <v>0</v>
      </c>
      <c r="BK370">
        <f t="shared" si="195"/>
        <v>607</v>
      </c>
      <c r="BL370">
        <f t="shared" si="196"/>
        <v>607</v>
      </c>
      <c r="BM370" s="15">
        <f>SUMIFS(BJ$2:BJ370,K$2:K370,"=Intermission")+SUMIFS(BJ$2:BJ370,K$2:K370,"=Timeout")</f>
        <v>0</v>
      </c>
      <c r="BN370">
        <f t="shared" si="197"/>
        <v>0</v>
      </c>
      <c r="BO370" s="19">
        <f t="shared" si="198"/>
        <v>473</v>
      </c>
      <c r="BP370">
        <f t="shared" si="199"/>
        <v>468</v>
      </c>
      <c r="BQ370" s="17">
        <f t="shared" si="200"/>
        <v>473</v>
      </c>
      <c r="BR370" t="str">
        <f t="shared" si="201"/>
        <v>event_team_player_1</v>
      </c>
      <c r="BS370">
        <f>COUNTIFS(S$3:S370,"="&amp;S370,AI$3:AI370,"="&amp;AI370)</f>
        <v>1</v>
      </c>
      <c r="BT370" t="str">
        <f>IFERROR(VLOOKUP(BB370&amp;BU370&amp;X370,game_rosters!U:W,3,FALSE),"")</f>
        <v>P100164</v>
      </c>
      <c r="BU370" t="str">
        <f t="shared" si="202"/>
        <v>Nelson</v>
      </c>
    </row>
    <row r="371" spans="1:73" x14ac:dyDescent="0.2">
      <c r="A371">
        <f t="shared" si="189"/>
        <v>1</v>
      </c>
      <c r="E371" s="4"/>
      <c r="F371" s="43"/>
      <c r="G371" s="4"/>
      <c r="H371" s="46"/>
      <c r="J371" s="44" t="str">
        <f t="shared" si="203"/>
        <v/>
      </c>
      <c r="K371" t="s">
        <v>9</v>
      </c>
      <c r="L371" t="s">
        <v>173</v>
      </c>
      <c r="M371" t="s">
        <v>75</v>
      </c>
      <c r="N371" t="str">
        <f t="shared" si="206"/>
        <v>u</v>
      </c>
      <c r="Q371" t="str">
        <f t="shared" si="204"/>
        <v/>
      </c>
      <c r="S371">
        <v>206</v>
      </c>
      <c r="U371" t="str">
        <f>IF(B371=1,MAX($U$2:$U370)+1,IF(AND($T371&lt;&gt;"",$T371=$T370),$U370,IF(B371="x",U370,"")))</f>
        <v/>
      </c>
      <c r="V371" t="str">
        <f>IF(C371=1,MAX($V$2:$V370)+1,IF(AND($T371&lt;&gt;"",$T371=$T370),$U370,IF(C371="x",V370,"")))</f>
        <v/>
      </c>
      <c r="W371" t="str">
        <f t="shared" si="178"/>
        <v>h</v>
      </c>
      <c r="X371">
        <v>93</v>
      </c>
      <c r="Y371" t="e">
        <f>IF(X371&lt;&gt;"",VLOOKUP(X371,game_rosters!$C$43:$E$64,3,FALSE))</f>
        <v>#N/A</v>
      </c>
      <c r="Z371" t="str" cm="1">
        <f t="array" ref="Z371">IFERROR(IF(_xlfn._xlws.FILTER(game_rosters!$J:$J,(game_rosters!$G:$G=events!$AN371)*(game_rosters!$J:$J=events!$X371))&gt;0,1,""),"")</f>
        <v/>
      </c>
      <c r="AA371">
        <f t="shared" si="179"/>
        <v>1206</v>
      </c>
      <c r="AB371" t="str">
        <f t="shared" si="180"/>
        <v/>
      </c>
      <c r="AC371">
        <f t="shared" si="177"/>
        <v>1206</v>
      </c>
      <c r="AD371" s="6">
        <v>1</v>
      </c>
      <c r="AE371" t="s">
        <v>910</v>
      </c>
      <c r="AF371" t="s">
        <v>747</v>
      </c>
      <c r="AG371" t="s">
        <v>756</v>
      </c>
      <c r="AH371" t="s">
        <v>756</v>
      </c>
      <c r="AI371" t="s">
        <v>368</v>
      </c>
      <c r="AJ371" t="str">
        <f t="shared" si="207"/>
        <v/>
      </c>
      <c r="AK371" t="str">
        <f t="shared" si="207"/>
        <v/>
      </c>
      <c r="AL371" t="str">
        <f t="shared" si="182"/>
        <v/>
      </c>
      <c r="AN371" t="s">
        <v>861</v>
      </c>
      <c r="AO371" t="str">
        <f t="shared" si="183"/>
        <v>h</v>
      </c>
      <c r="AP371" t="str">
        <f t="shared" si="190"/>
        <v/>
      </c>
      <c r="AQ371" t="str">
        <f t="shared" si="191"/>
        <v/>
      </c>
      <c r="AR371" t="str">
        <f t="shared" si="192"/>
        <v>Home</v>
      </c>
      <c r="AS371" t="str">
        <f t="shared" si="193"/>
        <v>h</v>
      </c>
      <c r="AT371" t="str">
        <f t="shared" si="194"/>
        <v>Defensive</v>
      </c>
      <c r="BA371" s="6">
        <f t="shared" si="184"/>
        <v>96</v>
      </c>
      <c r="BB371">
        <f t="shared" si="185"/>
        <v>18981</v>
      </c>
      <c r="BC371" t="str">
        <f t="shared" si="186"/>
        <v>Nelson</v>
      </c>
      <c r="BD371" t="str">
        <f t="shared" si="187"/>
        <v>Velodrome</v>
      </c>
      <c r="BE371" t="s">
        <v>9</v>
      </c>
      <c r="BF371" t="s">
        <v>173</v>
      </c>
      <c r="BG371" t="s">
        <v>75</v>
      </c>
      <c r="BI371" cm="1">
        <f t="array" ref="BI371">IFERROR(_xlfn._xlws.FILTER(shifts!A:A,(shifts!B:B=events!AD371)*(shifts!AG:AG&gt;=events!BK371)*(shifts!AH:AH&lt;=events!BL371)),BI370)</f>
        <v>21</v>
      </c>
      <c r="BJ371" s="15">
        <f t="shared" si="188"/>
        <v>0</v>
      </c>
      <c r="BK371">
        <f t="shared" si="195"/>
        <v>607</v>
      </c>
      <c r="BL371">
        <f t="shared" si="196"/>
        <v>607</v>
      </c>
      <c r="BM371" s="15">
        <f>SUMIFS(BJ$2:BJ371,K$2:K371,"=Intermission")+SUMIFS(BJ$2:BJ371,K$2:K371,"=Timeout")</f>
        <v>0</v>
      </c>
      <c r="BN371">
        <f t="shared" si="197"/>
        <v>0</v>
      </c>
      <c r="BO371" s="19">
        <f t="shared" si="198"/>
        <v>473</v>
      </c>
      <c r="BP371">
        <f t="shared" si="199"/>
        <v>468</v>
      </c>
      <c r="BQ371" s="17">
        <f t="shared" si="200"/>
        <v>473</v>
      </c>
      <c r="BR371" t="str">
        <f t="shared" si="201"/>
        <v>opp_team_player_1</v>
      </c>
      <c r="BS371">
        <f>COUNTIFS(S$3:S371,"="&amp;S371,AI$3:AI371,"="&amp;AI371)</f>
        <v>1</v>
      </c>
      <c r="BT371" t="str">
        <f>IFERROR(VLOOKUP(BB371&amp;BU371&amp;X371,game_rosters!U:W,3,FALSE),"")</f>
        <v>P100093</v>
      </c>
      <c r="BU371" t="str">
        <f t="shared" si="202"/>
        <v>Velodrome</v>
      </c>
    </row>
    <row r="372" spans="1:73" x14ac:dyDescent="0.2">
      <c r="A372">
        <f t="shared" si="189"/>
        <v>1</v>
      </c>
      <c r="E372" s="4"/>
      <c r="F372" s="43"/>
      <c r="G372" s="4"/>
      <c r="H372" s="46"/>
      <c r="J372" s="44" t="str">
        <f t="shared" si="203"/>
        <v/>
      </c>
      <c r="K372" t="s">
        <v>9</v>
      </c>
      <c r="L372" t="s">
        <v>173</v>
      </c>
      <c r="M372" t="s">
        <v>75</v>
      </c>
      <c r="N372" t="str">
        <f t="shared" si="206"/>
        <v>u</v>
      </c>
      <c r="Q372" t="str">
        <f t="shared" si="204"/>
        <v/>
      </c>
      <c r="S372">
        <v>206</v>
      </c>
      <c r="U372" t="str">
        <f>IF(B372=1,MAX($U$2:$U371)+1,IF(AND($T372&lt;&gt;"",$T372=$T371),$U371,IF(B372="x",U371,"")))</f>
        <v/>
      </c>
      <c r="V372" t="str">
        <f>IF(C372=1,MAX($V$2:$V371)+1,IF(AND($T372&lt;&gt;"",$T372=$T371),$U371,IF(C372="x",V371,"")))</f>
        <v/>
      </c>
      <c r="W372" t="str">
        <f t="shared" si="178"/>
        <v>h</v>
      </c>
      <c r="X372">
        <v>84</v>
      </c>
      <c r="Y372" t="e">
        <f>IF(X372&lt;&gt;"",VLOOKUP(X372,game_rosters!$C$43:$E$64,3,FALSE))</f>
        <v>#N/A</v>
      </c>
      <c r="Z372" t="str" cm="1">
        <f t="array" ref="Z372">IFERROR(IF(_xlfn._xlws.FILTER(game_rosters!$J:$J,(game_rosters!$G:$G=events!$AN372)*(game_rosters!$J:$J=events!$X372))&gt;0,1,""),"")</f>
        <v/>
      </c>
      <c r="AA372">
        <f t="shared" si="179"/>
        <v>1206</v>
      </c>
      <c r="AB372" t="str">
        <f t="shared" si="180"/>
        <v/>
      </c>
      <c r="AC372">
        <f t="shared" si="177"/>
        <v>1206</v>
      </c>
      <c r="AD372" s="6">
        <v>1</v>
      </c>
      <c r="AE372" t="s">
        <v>910</v>
      </c>
      <c r="AF372" t="s">
        <v>747</v>
      </c>
      <c r="AG372" t="s">
        <v>756</v>
      </c>
      <c r="AH372" t="s">
        <v>756</v>
      </c>
      <c r="AI372" t="s">
        <v>368</v>
      </c>
      <c r="AJ372" t="str">
        <f t="shared" ref="AJ372:AK387" si="208">IF($J372&lt;&gt;"",$J372,IF($AC372=$AC371,AJ371,""))</f>
        <v/>
      </c>
      <c r="AK372" t="str">
        <f t="shared" si="208"/>
        <v/>
      </c>
      <c r="AL372" t="str">
        <f t="shared" si="182"/>
        <v/>
      </c>
      <c r="AN372" t="s">
        <v>861</v>
      </c>
      <c r="AO372" t="str">
        <f t="shared" si="183"/>
        <v>h</v>
      </c>
      <c r="AP372" t="str">
        <f t="shared" si="190"/>
        <v/>
      </c>
      <c r="AQ372" t="str">
        <f t="shared" si="191"/>
        <v/>
      </c>
      <c r="AR372" t="str">
        <f t="shared" si="192"/>
        <v>Home</v>
      </c>
      <c r="AS372" t="str">
        <f t="shared" si="193"/>
        <v>h</v>
      </c>
      <c r="AT372" t="str">
        <f t="shared" si="194"/>
        <v>Defensive</v>
      </c>
      <c r="BA372" s="6">
        <f t="shared" si="184"/>
        <v>96</v>
      </c>
      <c r="BB372">
        <f t="shared" si="185"/>
        <v>18981</v>
      </c>
      <c r="BC372" t="str">
        <f t="shared" si="186"/>
        <v>Nelson</v>
      </c>
      <c r="BD372" t="str">
        <f t="shared" si="187"/>
        <v>Velodrome</v>
      </c>
      <c r="BE372" t="s">
        <v>9</v>
      </c>
      <c r="BF372" t="s">
        <v>173</v>
      </c>
      <c r="BG372" t="s">
        <v>75</v>
      </c>
      <c r="BI372" cm="1">
        <f t="array" ref="BI372">IFERROR(_xlfn._xlws.FILTER(shifts!A:A,(shifts!B:B=events!AD372)*(shifts!AG:AG&gt;=events!BK372)*(shifts!AH:AH&lt;=events!BL372)),BI371)</f>
        <v>21</v>
      </c>
      <c r="BJ372" s="15">
        <f t="shared" si="188"/>
        <v>0</v>
      </c>
      <c r="BK372">
        <f t="shared" si="195"/>
        <v>607</v>
      </c>
      <c r="BL372">
        <f t="shared" si="196"/>
        <v>607</v>
      </c>
      <c r="BM372" s="15">
        <f>SUMIFS(BJ$2:BJ372,K$2:K372,"=Intermission")+SUMIFS(BJ$2:BJ372,K$2:K372,"=Timeout")</f>
        <v>0</v>
      </c>
      <c r="BN372">
        <f t="shared" si="197"/>
        <v>0</v>
      </c>
      <c r="BO372" s="19">
        <f t="shared" si="198"/>
        <v>473</v>
      </c>
      <c r="BP372">
        <f t="shared" si="199"/>
        <v>468</v>
      </c>
      <c r="BQ372" s="17">
        <f t="shared" si="200"/>
        <v>473</v>
      </c>
      <c r="BR372" t="str">
        <f t="shared" si="201"/>
        <v>opp_team_player_2</v>
      </c>
      <c r="BS372">
        <f>COUNTIFS(S$3:S372,"="&amp;S372,AI$3:AI372,"="&amp;AI372)</f>
        <v>2</v>
      </c>
      <c r="BT372" t="str">
        <f>IFERROR(VLOOKUP(BB372&amp;BU372&amp;X372,game_rosters!U:W,3,FALSE),"")</f>
        <v>P100198</v>
      </c>
      <c r="BU372" t="str">
        <f t="shared" si="202"/>
        <v>Velodrome</v>
      </c>
    </row>
    <row r="373" spans="1:73" x14ac:dyDescent="0.2">
      <c r="A373">
        <f t="shared" si="189"/>
        <v>1</v>
      </c>
      <c r="E373" s="4"/>
      <c r="F373" s="43"/>
      <c r="G373" s="4"/>
      <c r="H373" s="46"/>
      <c r="J373" s="44" t="str">
        <f t="shared" si="203"/>
        <v/>
      </c>
      <c r="K373" t="s">
        <v>13</v>
      </c>
      <c r="L373" t="s">
        <v>756</v>
      </c>
      <c r="M373" t="s">
        <v>756</v>
      </c>
      <c r="N373" t="str">
        <f t="shared" si="206"/>
        <v/>
      </c>
      <c r="Q373" t="str">
        <f t="shared" si="204"/>
        <v/>
      </c>
      <c r="S373">
        <v>207</v>
      </c>
      <c r="U373" t="str">
        <f>IF(B373=1,MAX($U$2:$U372)+1,IF(AND($T373&lt;&gt;"",$T373=$T372),$U372,IF(B373="x",U372,"")))</f>
        <v/>
      </c>
      <c r="V373" t="str">
        <f>IF(C373=1,MAX($V$2:$V372)+1,IF(AND($T373&lt;&gt;"",$T373=$T372),$U372,IF(C373="x",V372,"")))</f>
        <v/>
      </c>
      <c r="W373" t="str">
        <f t="shared" si="178"/>
        <v>a</v>
      </c>
      <c r="X373">
        <v>84</v>
      </c>
      <c r="Y373" t="e">
        <f>IF(X373&lt;&gt;"",VLOOKUP(X373,game_rosters!$C$43:$E$64,3,FALSE))</f>
        <v>#N/A</v>
      </c>
      <c r="Z373" cm="1">
        <f t="array" ref="Z373">IFERROR(IF(_xlfn._xlws.FILTER(game_rosters!$J:$J,(game_rosters!$G:$G=events!$AN373)*(game_rosters!$J:$J=events!$X373))&gt;0,1,""),"")</f>
        <v>1</v>
      </c>
      <c r="AA373">
        <f t="shared" si="179"/>
        <v>1207</v>
      </c>
      <c r="AB373" t="str">
        <f t="shared" si="180"/>
        <v/>
      </c>
      <c r="AC373">
        <f t="shared" si="177"/>
        <v>1207</v>
      </c>
      <c r="AD373" s="6">
        <v>1</v>
      </c>
      <c r="AE373" t="s">
        <v>910</v>
      </c>
      <c r="AF373" t="s">
        <v>931</v>
      </c>
      <c r="AG373" t="s">
        <v>910</v>
      </c>
      <c r="AH373" t="s">
        <v>748</v>
      </c>
      <c r="AI373" t="s">
        <v>367</v>
      </c>
      <c r="AJ373" t="str">
        <f t="shared" si="208"/>
        <v/>
      </c>
      <c r="AK373" t="str">
        <f t="shared" si="208"/>
        <v/>
      </c>
      <c r="AL373" t="str">
        <f t="shared" si="182"/>
        <v/>
      </c>
      <c r="AN373" t="s">
        <v>862</v>
      </c>
      <c r="AO373" t="str">
        <f t="shared" si="183"/>
        <v>a</v>
      </c>
      <c r="AP373" t="str">
        <f t="shared" si="190"/>
        <v/>
      </c>
      <c r="AQ373" t="str">
        <f t="shared" si="191"/>
        <v/>
      </c>
      <c r="AR373" t="str">
        <f t="shared" si="192"/>
        <v>Away</v>
      </c>
      <c r="AS373" t="str">
        <f t="shared" si="193"/>
        <v>a</v>
      </c>
      <c r="AT373" t="str">
        <f t="shared" si="194"/>
        <v>Offensive</v>
      </c>
      <c r="BA373" s="6">
        <f t="shared" si="184"/>
        <v>96</v>
      </c>
      <c r="BB373">
        <f t="shared" si="185"/>
        <v>18981</v>
      </c>
      <c r="BC373" t="str">
        <f t="shared" si="186"/>
        <v>Nelson</v>
      </c>
      <c r="BD373" t="str">
        <f t="shared" si="187"/>
        <v>Velodrome</v>
      </c>
      <c r="BE373" t="s">
        <v>13</v>
      </c>
      <c r="BF373" t="s">
        <v>756</v>
      </c>
      <c r="BG373" t="s">
        <v>756</v>
      </c>
      <c r="BI373" cm="1">
        <f t="array" ref="BI373">IFERROR(_xlfn._xlws.FILTER(shifts!A:A,(shifts!B:B=events!AD373)*(shifts!AG:AG&gt;=events!BK373)*(shifts!AH:AH&lt;=events!BL373)),BI372)</f>
        <v>21</v>
      </c>
      <c r="BJ373" s="15">
        <f t="shared" si="188"/>
        <v>3</v>
      </c>
      <c r="BK373">
        <f t="shared" si="195"/>
        <v>604</v>
      </c>
      <c r="BL373">
        <f t="shared" si="196"/>
        <v>601</v>
      </c>
      <c r="BM373" s="15">
        <f>SUMIFS(BJ$2:BJ373,K$2:K373,"=Intermission")+SUMIFS(BJ$2:BJ373,K$2:K373,"=Timeout")</f>
        <v>0</v>
      </c>
      <c r="BN373">
        <f t="shared" si="197"/>
        <v>0</v>
      </c>
      <c r="BO373" s="19">
        <f t="shared" si="198"/>
        <v>476</v>
      </c>
      <c r="BP373">
        <f t="shared" si="199"/>
        <v>471</v>
      </c>
      <c r="BQ373" s="17">
        <f t="shared" si="200"/>
        <v>479</v>
      </c>
      <c r="BR373" t="str">
        <f t="shared" si="201"/>
        <v>event_team_player_1</v>
      </c>
      <c r="BS373">
        <f>COUNTIFS(S$3:S373,"="&amp;S373,AI$3:AI373,"="&amp;AI373)</f>
        <v>1</v>
      </c>
      <c r="BT373" t="str">
        <f>IFERROR(VLOOKUP(BB373&amp;BU373&amp;X373,game_rosters!U:W,3,FALSE),"")</f>
        <v>P100198</v>
      </c>
      <c r="BU373" t="str">
        <f t="shared" si="202"/>
        <v>Velodrome</v>
      </c>
    </row>
    <row r="374" spans="1:73" x14ac:dyDescent="0.2">
      <c r="A374">
        <f t="shared" si="189"/>
        <v>1</v>
      </c>
      <c r="E374" s="4"/>
      <c r="F374" s="43"/>
      <c r="G374" s="4"/>
      <c r="H374" s="46"/>
      <c r="J374" s="44" t="str">
        <f t="shared" si="203"/>
        <v/>
      </c>
      <c r="K374" t="s">
        <v>13</v>
      </c>
      <c r="L374" t="s">
        <v>756</v>
      </c>
      <c r="M374" t="s">
        <v>756</v>
      </c>
      <c r="N374" t="str">
        <f t="shared" si="206"/>
        <v/>
      </c>
      <c r="Q374" t="str">
        <f t="shared" si="204"/>
        <v/>
      </c>
      <c r="S374">
        <v>207</v>
      </c>
      <c r="U374" t="str">
        <f>IF(B374=1,MAX($U$2:$U373)+1,IF(AND($T374&lt;&gt;"",$T374=$T373),$U373,IF(B374="x",U373,"")))</f>
        <v/>
      </c>
      <c r="V374" t="str">
        <f>IF(C374=1,MAX($V$2:$V373)+1,IF(AND($T374&lt;&gt;"",$T374=$T373),$U373,IF(C374="x",V373,"")))</f>
        <v/>
      </c>
      <c r="W374" t="str">
        <f t="shared" si="178"/>
        <v>a</v>
      </c>
      <c r="X374">
        <v>7</v>
      </c>
      <c r="Y374" t="b">
        <f>IF(X374&lt;&gt;"",VLOOKUP(X374,game_rosters!$C$43:$E$64,3,FALSE))</f>
        <v>0</v>
      </c>
      <c r="Z374" t="str" cm="1">
        <f t="array" ref="Z374">IFERROR(IF(_xlfn._xlws.FILTER(game_rosters!$J:$J,(game_rosters!$G:$G=events!$AN374)*(game_rosters!$J:$J=events!$X374))&gt;0,1,""),"")</f>
        <v/>
      </c>
      <c r="AA374">
        <f t="shared" si="179"/>
        <v>1207</v>
      </c>
      <c r="AB374" t="str">
        <f t="shared" si="180"/>
        <v/>
      </c>
      <c r="AC374">
        <f t="shared" si="177"/>
        <v>1207</v>
      </c>
      <c r="AD374" s="6">
        <v>1</v>
      </c>
      <c r="AE374" t="s">
        <v>910</v>
      </c>
      <c r="AF374" t="s">
        <v>931</v>
      </c>
      <c r="AG374" t="s">
        <v>910</v>
      </c>
      <c r="AH374" t="s">
        <v>748</v>
      </c>
      <c r="AI374" t="s">
        <v>368</v>
      </c>
      <c r="AJ374" t="str">
        <f t="shared" si="208"/>
        <v/>
      </c>
      <c r="AK374" t="str">
        <f t="shared" si="208"/>
        <v/>
      </c>
      <c r="AL374" t="str">
        <f t="shared" si="182"/>
        <v/>
      </c>
      <c r="AN374" t="s">
        <v>862</v>
      </c>
      <c r="AO374" t="str">
        <f t="shared" si="183"/>
        <v>a</v>
      </c>
      <c r="AP374" t="str">
        <f t="shared" si="190"/>
        <v/>
      </c>
      <c r="AQ374" t="str">
        <f t="shared" si="191"/>
        <v/>
      </c>
      <c r="AR374" t="str">
        <f t="shared" si="192"/>
        <v>Away</v>
      </c>
      <c r="AS374" t="str">
        <f t="shared" si="193"/>
        <v>a</v>
      </c>
      <c r="AT374" t="str">
        <f t="shared" si="194"/>
        <v>Defensive</v>
      </c>
      <c r="BA374" s="6">
        <f t="shared" si="184"/>
        <v>96</v>
      </c>
      <c r="BB374">
        <f t="shared" si="185"/>
        <v>18981</v>
      </c>
      <c r="BC374" t="str">
        <f t="shared" si="186"/>
        <v>Nelson</v>
      </c>
      <c r="BD374" t="str">
        <f t="shared" si="187"/>
        <v>Velodrome</v>
      </c>
      <c r="BE374" t="s">
        <v>13</v>
      </c>
      <c r="BF374" t="s">
        <v>756</v>
      </c>
      <c r="BG374" t="s">
        <v>756</v>
      </c>
      <c r="BI374" cm="1">
        <f t="array" ref="BI374">IFERROR(_xlfn._xlws.FILTER(shifts!A:A,(shifts!B:B=events!AD374)*(shifts!AG:AG&gt;=events!BK374)*(shifts!AH:AH&lt;=events!BL374)),BI373)</f>
        <v>21</v>
      </c>
      <c r="BJ374" s="15">
        <f t="shared" si="188"/>
        <v>3</v>
      </c>
      <c r="BK374">
        <f t="shared" si="195"/>
        <v>604</v>
      </c>
      <c r="BL374">
        <f t="shared" si="196"/>
        <v>601</v>
      </c>
      <c r="BM374" s="15">
        <f>SUMIFS(BJ$2:BJ374,K$2:K374,"=Intermission")+SUMIFS(BJ$2:BJ374,K$2:K374,"=Timeout")</f>
        <v>0</v>
      </c>
      <c r="BN374">
        <f t="shared" si="197"/>
        <v>0</v>
      </c>
      <c r="BO374" s="19">
        <f t="shared" si="198"/>
        <v>476</v>
      </c>
      <c r="BP374">
        <f t="shared" si="199"/>
        <v>471</v>
      </c>
      <c r="BQ374" s="17">
        <f t="shared" si="200"/>
        <v>479</v>
      </c>
      <c r="BR374" t="str">
        <f t="shared" si="201"/>
        <v>opp_team_player_1</v>
      </c>
      <c r="BS374">
        <f>COUNTIFS(S$3:S374,"="&amp;S374,AI$3:AI374,"="&amp;AI374)</f>
        <v>1</v>
      </c>
      <c r="BT374" t="str">
        <f>IFERROR(VLOOKUP(BB374&amp;BU374&amp;X374,game_rosters!U:W,3,FALSE),"")</f>
        <v>P100072</v>
      </c>
      <c r="BU374" t="str">
        <f t="shared" si="202"/>
        <v>Nelson</v>
      </c>
    </row>
    <row r="375" spans="1:73" x14ac:dyDescent="0.2">
      <c r="A375">
        <f t="shared" si="189"/>
        <v>1</v>
      </c>
      <c r="E375" s="4"/>
      <c r="F375" s="43"/>
      <c r="G375" s="4"/>
      <c r="H375" s="46"/>
      <c r="J375" s="44" t="str">
        <f t="shared" si="203"/>
        <v/>
      </c>
      <c r="K375" t="s">
        <v>9</v>
      </c>
      <c r="L375" t="s">
        <v>173</v>
      </c>
      <c r="M375" t="s">
        <v>365</v>
      </c>
      <c r="N375" t="str">
        <f t="shared" si="206"/>
        <v>u</v>
      </c>
      <c r="Q375" t="str">
        <f t="shared" si="204"/>
        <v/>
      </c>
      <c r="S375">
        <v>208</v>
      </c>
      <c r="U375" t="str">
        <f>IF(B375=1,MAX($U$2:$U374)+1,IF(AND($T375&lt;&gt;"",$T375=$T374),$U374,IF(B375="x",U374,"")))</f>
        <v/>
      </c>
      <c r="V375" t="str">
        <f>IF(C375=1,MAX($V$2:$V374)+1,IF(AND($T375&lt;&gt;"",$T375=$T374),$U374,IF(C375="x",V374,"")))</f>
        <v/>
      </c>
      <c r="W375" t="str">
        <f t="shared" si="178"/>
        <v>a</v>
      </c>
      <c r="X375">
        <v>84</v>
      </c>
      <c r="Y375" t="e">
        <f>IF(X375&lt;&gt;"",VLOOKUP(X375,game_rosters!$C$43:$E$64,3,FALSE))</f>
        <v>#N/A</v>
      </c>
      <c r="Z375" cm="1">
        <f t="array" ref="Z375">IFERROR(IF(_xlfn._xlws.FILTER(game_rosters!$J:$J,(game_rosters!$G:$G=events!$AN375)*(game_rosters!$J:$J=events!$X375))&gt;0,1,""),"")</f>
        <v>1</v>
      </c>
      <c r="AA375">
        <f t="shared" si="179"/>
        <v>1208</v>
      </c>
      <c r="AB375" t="str">
        <f t="shared" si="180"/>
        <v/>
      </c>
      <c r="AC375">
        <f t="shared" si="177"/>
        <v>1208</v>
      </c>
      <c r="AD375" s="6">
        <v>1</v>
      </c>
      <c r="AE375" t="s">
        <v>910</v>
      </c>
      <c r="AF375" t="s">
        <v>748</v>
      </c>
      <c r="AG375" t="s">
        <v>756</v>
      </c>
      <c r="AH375" t="s">
        <v>756</v>
      </c>
      <c r="AI375" t="s">
        <v>367</v>
      </c>
      <c r="AJ375" t="str">
        <f t="shared" si="208"/>
        <v/>
      </c>
      <c r="AK375" t="str">
        <f t="shared" si="208"/>
        <v/>
      </c>
      <c r="AL375" t="str">
        <f t="shared" si="182"/>
        <v/>
      </c>
      <c r="AN375" t="s">
        <v>862</v>
      </c>
      <c r="AO375" t="str">
        <f t="shared" si="183"/>
        <v>a</v>
      </c>
      <c r="AP375" t="str">
        <f t="shared" si="190"/>
        <v/>
      </c>
      <c r="AQ375" t="str">
        <f t="shared" si="191"/>
        <v/>
      </c>
      <c r="AR375" t="str">
        <f t="shared" si="192"/>
        <v>Away</v>
      </c>
      <c r="AS375" t="str">
        <f t="shared" si="193"/>
        <v>a</v>
      </c>
      <c r="AT375" t="str">
        <f t="shared" si="194"/>
        <v>Offensive</v>
      </c>
      <c r="BA375" s="6">
        <f t="shared" si="184"/>
        <v>96</v>
      </c>
      <c r="BB375">
        <f t="shared" si="185"/>
        <v>18981</v>
      </c>
      <c r="BC375" t="str">
        <f t="shared" si="186"/>
        <v>Nelson</v>
      </c>
      <c r="BD375" t="str">
        <f t="shared" si="187"/>
        <v>Velodrome</v>
      </c>
      <c r="BE375" t="s">
        <v>9</v>
      </c>
      <c r="BF375" t="s">
        <v>173</v>
      </c>
      <c r="BG375" t="s">
        <v>365</v>
      </c>
      <c r="BI375" cm="1">
        <f t="array" ref="BI375">IFERROR(_xlfn._xlws.FILTER(shifts!A:A,(shifts!B:B=events!AD375)*(shifts!AG:AG&gt;=events!BK375)*(shifts!AH:AH&lt;=events!BL375)),BI374)</f>
        <v>21</v>
      </c>
      <c r="BJ375" s="15">
        <f t="shared" si="188"/>
        <v>0</v>
      </c>
      <c r="BK375">
        <f t="shared" si="195"/>
        <v>601</v>
      </c>
      <c r="BL375">
        <f t="shared" si="196"/>
        <v>601</v>
      </c>
      <c r="BM375" s="15">
        <f>SUMIFS(BJ$2:BJ375,K$2:K375,"=Intermission")+SUMIFS(BJ$2:BJ375,K$2:K375,"=Timeout")</f>
        <v>0</v>
      </c>
      <c r="BN375">
        <f t="shared" si="197"/>
        <v>0</v>
      </c>
      <c r="BO375" s="19">
        <f t="shared" si="198"/>
        <v>479</v>
      </c>
      <c r="BP375">
        <f t="shared" si="199"/>
        <v>474</v>
      </c>
      <c r="BQ375" s="17">
        <f t="shared" si="200"/>
        <v>479</v>
      </c>
      <c r="BR375" t="str">
        <f t="shared" si="201"/>
        <v>event_team_player_1</v>
      </c>
      <c r="BS375">
        <f>COUNTIFS(S$3:S375,"="&amp;S375,AI$3:AI375,"="&amp;AI375)</f>
        <v>1</v>
      </c>
      <c r="BT375" t="str">
        <f>IFERROR(VLOOKUP(BB375&amp;BU375&amp;X375,game_rosters!U:W,3,FALSE),"")</f>
        <v>P100198</v>
      </c>
      <c r="BU375" t="str">
        <f t="shared" si="202"/>
        <v>Velodrome</v>
      </c>
    </row>
    <row r="376" spans="1:73" x14ac:dyDescent="0.2">
      <c r="A376">
        <f t="shared" si="189"/>
        <v>1</v>
      </c>
      <c r="E376" s="4"/>
      <c r="F376" s="43"/>
      <c r="G376" s="4"/>
      <c r="H376" s="46"/>
      <c r="J376" s="44" t="str">
        <f t="shared" si="203"/>
        <v/>
      </c>
      <c r="K376" t="s">
        <v>9</v>
      </c>
      <c r="L376" t="s">
        <v>173</v>
      </c>
      <c r="M376" t="s">
        <v>365</v>
      </c>
      <c r="N376" t="str">
        <f t="shared" si="206"/>
        <v>u</v>
      </c>
      <c r="Q376" t="str">
        <f t="shared" si="204"/>
        <v/>
      </c>
      <c r="S376">
        <v>208</v>
      </c>
      <c r="U376" t="str">
        <f>IF(B376=1,MAX($U$2:$U375)+1,IF(AND($T376&lt;&gt;"",$T376=$T375),$U375,IF(B376="x",U375,"")))</f>
        <v/>
      </c>
      <c r="V376" t="str">
        <f>IF(C376=1,MAX($V$2:$V375)+1,IF(AND($T376&lt;&gt;"",$T376=$T375),$U375,IF(C376="x",V375,"")))</f>
        <v/>
      </c>
      <c r="W376" t="str">
        <f t="shared" si="178"/>
        <v>a</v>
      </c>
      <c r="X376">
        <v>7</v>
      </c>
      <c r="Y376" t="b">
        <f>IF(X376&lt;&gt;"",VLOOKUP(X376,game_rosters!$C$43:$E$64,3,FALSE))</f>
        <v>0</v>
      </c>
      <c r="Z376" t="str" cm="1">
        <f t="array" ref="Z376">IFERROR(IF(_xlfn._xlws.FILTER(game_rosters!$J:$J,(game_rosters!$G:$G=events!$AN376)*(game_rosters!$J:$J=events!$X376))&gt;0,1,""),"")</f>
        <v/>
      </c>
      <c r="AA376">
        <f t="shared" si="179"/>
        <v>1208</v>
      </c>
      <c r="AB376" t="str">
        <f t="shared" si="180"/>
        <v/>
      </c>
      <c r="AC376">
        <f t="shared" si="177"/>
        <v>1208</v>
      </c>
      <c r="AD376" s="6">
        <v>1</v>
      </c>
      <c r="AE376" t="s">
        <v>910</v>
      </c>
      <c r="AF376" t="s">
        <v>748</v>
      </c>
      <c r="AG376" t="s">
        <v>756</v>
      </c>
      <c r="AH376" t="s">
        <v>756</v>
      </c>
      <c r="AI376" t="s">
        <v>368</v>
      </c>
      <c r="AJ376" t="str">
        <f t="shared" si="208"/>
        <v/>
      </c>
      <c r="AK376" t="str">
        <f t="shared" si="208"/>
        <v/>
      </c>
      <c r="AL376" t="str">
        <f t="shared" si="182"/>
        <v/>
      </c>
      <c r="AN376" t="s">
        <v>862</v>
      </c>
      <c r="AO376" t="str">
        <f t="shared" si="183"/>
        <v>a</v>
      </c>
      <c r="AP376" t="str">
        <f t="shared" si="190"/>
        <v/>
      </c>
      <c r="AQ376" t="str">
        <f t="shared" si="191"/>
        <v/>
      </c>
      <c r="AR376" t="str">
        <f t="shared" si="192"/>
        <v>Away</v>
      </c>
      <c r="AS376" t="str">
        <f t="shared" si="193"/>
        <v>a</v>
      </c>
      <c r="AT376" t="str">
        <f t="shared" si="194"/>
        <v>Defensive</v>
      </c>
      <c r="BA376" s="6">
        <f t="shared" si="184"/>
        <v>96</v>
      </c>
      <c r="BB376">
        <f t="shared" si="185"/>
        <v>18981</v>
      </c>
      <c r="BC376" t="str">
        <f t="shared" si="186"/>
        <v>Nelson</v>
      </c>
      <c r="BD376" t="str">
        <f t="shared" si="187"/>
        <v>Velodrome</v>
      </c>
      <c r="BE376" t="s">
        <v>9</v>
      </c>
      <c r="BF376" t="s">
        <v>173</v>
      </c>
      <c r="BG376" t="s">
        <v>365</v>
      </c>
      <c r="BI376" cm="1">
        <f t="array" ref="BI376">IFERROR(_xlfn._xlws.FILTER(shifts!A:A,(shifts!B:B=events!AD376)*(shifts!AG:AG&gt;=events!BK376)*(shifts!AH:AH&lt;=events!BL376)),BI375)</f>
        <v>21</v>
      </c>
      <c r="BJ376" s="15">
        <f t="shared" si="188"/>
        <v>0</v>
      </c>
      <c r="BK376">
        <f t="shared" si="195"/>
        <v>601</v>
      </c>
      <c r="BL376">
        <f t="shared" si="196"/>
        <v>601</v>
      </c>
      <c r="BM376" s="15">
        <f>SUMIFS(BJ$2:BJ376,K$2:K376,"=Intermission")+SUMIFS(BJ$2:BJ376,K$2:K376,"=Timeout")</f>
        <v>0</v>
      </c>
      <c r="BN376">
        <f t="shared" si="197"/>
        <v>0</v>
      </c>
      <c r="BO376" s="19">
        <f t="shared" si="198"/>
        <v>479</v>
      </c>
      <c r="BP376">
        <f t="shared" si="199"/>
        <v>474</v>
      </c>
      <c r="BQ376" s="17">
        <f t="shared" si="200"/>
        <v>479</v>
      </c>
      <c r="BR376" t="str">
        <f t="shared" si="201"/>
        <v>opp_team_player_1</v>
      </c>
      <c r="BS376">
        <f>COUNTIFS(S$3:S376,"="&amp;S376,AI$3:AI376,"="&amp;AI376)</f>
        <v>1</v>
      </c>
      <c r="BT376" t="str">
        <f>IFERROR(VLOOKUP(BB376&amp;BU376&amp;X376,game_rosters!U:W,3,FALSE),"")</f>
        <v>P100072</v>
      </c>
      <c r="BU376" t="str">
        <f t="shared" si="202"/>
        <v>Nelson</v>
      </c>
    </row>
    <row r="377" spans="1:73" x14ac:dyDescent="0.2">
      <c r="A377">
        <f t="shared" si="189"/>
        <v>1</v>
      </c>
      <c r="E377" s="4"/>
      <c r="F377" s="43"/>
      <c r="G377" s="4"/>
      <c r="H377" s="46"/>
      <c r="J377" s="44" t="str">
        <f t="shared" si="203"/>
        <v/>
      </c>
      <c r="K377" t="s">
        <v>238</v>
      </c>
      <c r="L377" t="s">
        <v>193</v>
      </c>
      <c r="M377" t="s">
        <v>91</v>
      </c>
      <c r="N377" t="str">
        <f t="shared" si="206"/>
        <v>s</v>
      </c>
      <c r="Q377" t="str">
        <f t="shared" si="204"/>
        <v/>
      </c>
      <c r="S377">
        <v>209</v>
      </c>
      <c r="U377" t="str">
        <f>IF(B377=1,MAX($U$2:$U376)+1,IF(AND($T377&lt;&gt;"",$T377=$T376),$U376,IF(B377="x",U376,"")))</f>
        <v/>
      </c>
      <c r="V377" t="str">
        <f>IF(C377=1,MAX($V$2:$V376)+1,IF(AND($T377&lt;&gt;"",$T377=$T376),$U376,IF(C377="x",V376,"")))</f>
        <v/>
      </c>
      <c r="W377" t="str">
        <f t="shared" si="178"/>
        <v>h</v>
      </c>
      <c r="X377">
        <v>79</v>
      </c>
      <c r="Y377" t="b">
        <f>IF(X377&lt;&gt;"",VLOOKUP(X377,game_rosters!$C$43:$E$64,3,FALSE))</f>
        <v>0</v>
      </c>
      <c r="Z377" cm="1">
        <f t="array" ref="Z377">IFERROR(IF(_xlfn._xlws.FILTER(game_rosters!$J:$J,(game_rosters!$G:$G=events!$AN377)*(game_rosters!$J:$J=events!$X377))&gt;0,1,""),"")</f>
        <v>1</v>
      </c>
      <c r="AA377">
        <f t="shared" si="179"/>
        <v>1209</v>
      </c>
      <c r="AB377" t="str">
        <f t="shared" si="180"/>
        <v/>
      </c>
      <c r="AC377">
        <f t="shared" si="177"/>
        <v>1209</v>
      </c>
      <c r="AD377" s="6">
        <v>1</v>
      </c>
      <c r="AE377" t="s">
        <v>933</v>
      </c>
      <c r="AF377" t="s">
        <v>932</v>
      </c>
      <c r="AG377" t="s">
        <v>756</v>
      </c>
      <c r="AH377" t="s">
        <v>756</v>
      </c>
      <c r="AI377" t="s">
        <v>367</v>
      </c>
      <c r="AJ377" t="str">
        <f t="shared" si="208"/>
        <v/>
      </c>
      <c r="AK377" t="str">
        <f t="shared" si="208"/>
        <v/>
      </c>
      <c r="AL377" t="str">
        <f t="shared" si="182"/>
        <v/>
      </c>
      <c r="AN377" t="s">
        <v>861</v>
      </c>
      <c r="AO377" t="str">
        <f t="shared" si="183"/>
        <v>h</v>
      </c>
      <c r="AP377" t="str">
        <f t="shared" si="190"/>
        <v/>
      </c>
      <c r="AQ377" t="str">
        <f t="shared" si="191"/>
        <v/>
      </c>
      <c r="AR377" t="str">
        <f t="shared" si="192"/>
        <v>Home</v>
      </c>
      <c r="AS377" t="str">
        <f t="shared" si="193"/>
        <v>h</v>
      </c>
      <c r="AT377" t="str">
        <f t="shared" si="194"/>
        <v>Offensive</v>
      </c>
      <c r="BA377" s="6">
        <f t="shared" si="184"/>
        <v>96</v>
      </c>
      <c r="BB377">
        <f t="shared" si="185"/>
        <v>18981</v>
      </c>
      <c r="BC377" t="str">
        <f t="shared" si="186"/>
        <v>Nelson</v>
      </c>
      <c r="BD377" t="str">
        <f t="shared" si="187"/>
        <v>Velodrome</v>
      </c>
      <c r="BE377" t="s">
        <v>238</v>
      </c>
      <c r="BF377" t="s">
        <v>193</v>
      </c>
      <c r="BG377" t="s">
        <v>91</v>
      </c>
      <c r="BI377" cm="1">
        <f t="array" ref="BI377">IFERROR(_xlfn._xlws.FILTER(shifts!A:A,(shifts!B:B=events!AD377)*(shifts!AG:AG&gt;=events!BK377)*(shifts!AH:AH&lt;=events!BL377)),BI376)</f>
        <v>22</v>
      </c>
      <c r="BJ377" s="15">
        <f t="shared" si="188"/>
        <v>0</v>
      </c>
      <c r="BK377">
        <f t="shared" si="195"/>
        <v>598</v>
      </c>
      <c r="BL377">
        <f t="shared" si="196"/>
        <v>598</v>
      </c>
      <c r="BM377" s="15">
        <f>SUMIFS(BJ$2:BJ377,K$2:K377,"=Intermission")+SUMIFS(BJ$2:BJ377,K$2:K377,"=Timeout")</f>
        <v>0</v>
      </c>
      <c r="BN377">
        <f t="shared" si="197"/>
        <v>0</v>
      </c>
      <c r="BO377" s="19">
        <f t="shared" si="198"/>
        <v>482</v>
      </c>
      <c r="BP377">
        <f t="shared" si="199"/>
        <v>477</v>
      </c>
      <c r="BQ377" s="17">
        <f t="shared" si="200"/>
        <v>482</v>
      </c>
      <c r="BR377" t="str">
        <f t="shared" si="201"/>
        <v>event_team_player_1</v>
      </c>
      <c r="BS377">
        <f>COUNTIFS(S$3:S377,"="&amp;S377,AI$3:AI377,"="&amp;AI377)</f>
        <v>1</v>
      </c>
      <c r="BT377" t="str">
        <f>IFERROR(VLOOKUP(BB377&amp;BU377&amp;X377,game_rosters!U:W,3,FALSE),"")</f>
        <v>P100066</v>
      </c>
      <c r="BU377" t="str">
        <f t="shared" si="202"/>
        <v>Nelson</v>
      </c>
    </row>
    <row r="378" spans="1:73" x14ac:dyDescent="0.2">
      <c r="A378">
        <f t="shared" si="189"/>
        <v>1</v>
      </c>
      <c r="E378" s="4"/>
      <c r="F378" s="43"/>
      <c r="G378" s="4"/>
      <c r="H378" s="46"/>
      <c r="J378" s="44" t="str">
        <f t="shared" si="203"/>
        <v>o</v>
      </c>
      <c r="K378" t="s">
        <v>6</v>
      </c>
      <c r="L378" t="s">
        <v>201</v>
      </c>
      <c r="M378" t="s">
        <v>51</v>
      </c>
      <c r="N378" t="str">
        <f t="shared" si="206"/>
        <v>u</v>
      </c>
      <c r="Q378" t="str">
        <f t="shared" si="204"/>
        <v/>
      </c>
      <c r="S378">
        <v>210</v>
      </c>
      <c r="U378" t="str">
        <f>IF(B378=1,MAX($U$2:$U377)+1,IF(AND($T378&lt;&gt;"",$T378=$T377),$U377,IF(B378="x",U377,"")))</f>
        <v/>
      </c>
      <c r="V378" t="str">
        <f>IF(C378=1,MAX($V$2:$V377)+1,IF(AND($T378&lt;&gt;"",$T378=$T377),$U377,IF(C378="x",V377,"")))</f>
        <v/>
      </c>
      <c r="W378" t="str">
        <f t="shared" si="178"/>
        <v>a</v>
      </c>
      <c r="X378">
        <v>79</v>
      </c>
      <c r="Y378" t="b">
        <f>IF(X378&lt;&gt;"",VLOOKUP(X378,game_rosters!$C$43:$E$64,3,FALSE))</f>
        <v>0</v>
      </c>
      <c r="Z378" t="str" cm="1">
        <f t="array" ref="Z378">IFERROR(IF(_xlfn._xlws.FILTER(game_rosters!$J:$J,(game_rosters!$G:$G=events!$AN378)*(game_rosters!$J:$J=events!$X378))&gt;0,1,""),"")</f>
        <v/>
      </c>
      <c r="AA378">
        <f t="shared" si="179"/>
        <v>1210</v>
      </c>
      <c r="AB378" t="str">
        <f t="shared" si="180"/>
        <v/>
      </c>
      <c r="AC378">
        <f t="shared" si="177"/>
        <v>1210</v>
      </c>
      <c r="AD378" s="6">
        <v>1</v>
      </c>
      <c r="AE378" t="s">
        <v>933</v>
      </c>
      <c r="AF378" t="s">
        <v>932</v>
      </c>
      <c r="AG378" t="s">
        <v>756</v>
      </c>
      <c r="AH378" t="s">
        <v>756</v>
      </c>
      <c r="AI378" t="s">
        <v>367</v>
      </c>
      <c r="AJ378" t="str">
        <f t="shared" si="208"/>
        <v>o</v>
      </c>
      <c r="AK378" t="str">
        <f t="shared" si="208"/>
        <v>o</v>
      </c>
      <c r="AL378" t="str">
        <f t="shared" si="182"/>
        <v>d</v>
      </c>
      <c r="AN378" t="s">
        <v>862</v>
      </c>
      <c r="AO378" t="str">
        <f t="shared" si="183"/>
        <v>a</v>
      </c>
      <c r="AP378" t="str">
        <f t="shared" si="190"/>
        <v>d</v>
      </c>
      <c r="AQ378" t="str">
        <f t="shared" si="191"/>
        <v/>
      </c>
      <c r="AR378" t="str">
        <f t="shared" si="192"/>
        <v>Away</v>
      </c>
      <c r="AS378" t="str">
        <f t="shared" si="193"/>
        <v>a</v>
      </c>
      <c r="AT378" t="str">
        <f t="shared" si="194"/>
        <v>Offensive</v>
      </c>
      <c r="BA378" s="6">
        <f t="shared" si="184"/>
        <v>96</v>
      </c>
      <c r="BB378">
        <f t="shared" si="185"/>
        <v>18981</v>
      </c>
      <c r="BC378" t="str">
        <f t="shared" si="186"/>
        <v>Nelson</v>
      </c>
      <c r="BD378" t="str">
        <f t="shared" si="187"/>
        <v>Velodrome</v>
      </c>
      <c r="BE378" t="s">
        <v>6</v>
      </c>
      <c r="BF378" t="s">
        <v>201</v>
      </c>
      <c r="BG378" t="s">
        <v>51</v>
      </c>
      <c r="BI378" cm="1">
        <f t="array" ref="BI378">IFERROR(_xlfn._xlws.FILTER(shifts!A:A,(shifts!B:B=events!AD378)*(shifts!AG:AG&gt;=events!BK378)*(shifts!AH:AH&lt;=events!BL378)),BI377)</f>
        <v>22</v>
      </c>
      <c r="BJ378" s="15">
        <f t="shared" si="188"/>
        <v>0</v>
      </c>
      <c r="BK378">
        <f t="shared" si="195"/>
        <v>598</v>
      </c>
      <c r="BL378">
        <f t="shared" si="196"/>
        <v>598</v>
      </c>
      <c r="BM378" s="15">
        <f>SUMIFS(BJ$2:BJ378,K$2:K378,"=Intermission")+SUMIFS(BJ$2:BJ378,K$2:K378,"=Timeout")</f>
        <v>0</v>
      </c>
      <c r="BN378">
        <f t="shared" si="197"/>
        <v>0</v>
      </c>
      <c r="BO378" s="19">
        <f t="shared" si="198"/>
        <v>482</v>
      </c>
      <c r="BP378">
        <f t="shared" si="199"/>
        <v>477</v>
      </c>
      <c r="BQ378" s="17">
        <f t="shared" si="200"/>
        <v>482</v>
      </c>
      <c r="BR378" t="str">
        <f t="shared" si="201"/>
        <v>event_team_player_1</v>
      </c>
      <c r="BS378">
        <f>COUNTIFS(S$3:S378,"="&amp;S378,AI$3:AI378,"="&amp;AI378)</f>
        <v>1</v>
      </c>
      <c r="BT378" t="str">
        <f>IFERROR(VLOOKUP(BB378&amp;BU378&amp;X378,game_rosters!U:W,3,FALSE),"")</f>
        <v>P100066</v>
      </c>
      <c r="BU378" t="s">
        <v>944</v>
      </c>
    </row>
    <row r="379" spans="1:73" x14ac:dyDescent="0.2">
      <c r="A379">
        <f t="shared" si="189"/>
        <v>1</v>
      </c>
      <c r="E379" s="4"/>
      <c r="F379" s="43"/>
      <c r="G379" s="4"/>
      <c r="H379" s="46"/>
      <c r="J379" s="44" t="str">
        <f t="shared" si="203"/>
        <v>o</v>
      </c>
      <c r="K379" t="s">
        <v>6</v>
      </c>
      <c r="L379" t="s">
        <v>201</v>
      </c>
      <c r="M379" t="s">
        <v>51</v>
      </c>
      <c r="N379" t="str">
        <f t="shared" si="206"/>
        <v>u</v>
      </c>
      <c r="Q379" t="str">
        <f t="shared" si="204"/>
        <v/>
      </c>
      <c r="S379">
        <v>210</v>
      </c>
      <c r="U379" t="str">
        <f>IF(B379=1,MAX($U$2:$U378)+1,IF(AND($T379&lt;&gt;"",$T379=$T378),$U378,IF(B379="x",U378,"")))</f>
        <v/>
      </c>
      <c r="V379" t="str">
        <f>IF(C379=1,MAX($V$2:$V378)+1,IF(AND($T379&lt;&gt;"",$T379=$T378),$U378,IF(C379="x",V378,"")))</f>
        <v/>
      </c>
      <c r="W379" t="str">
        <f t="shared" si="178"/>
        <v>a</v>
      </c>
      <c r="X379">
        <v>93</v>
      </c>
      <c r="Y379" t="e">
        <f>IF(X379&lt;&gt;"",VLOOKUP(X379,game_rosters!$C$43:$E$64,3,FALSE))</f>
        <v>#N/A</v>
      </c>
      <c r="Z379" cm="1">
        <f t="array" ref="Z379">IFERROR(IF(_xlfn._xlws.FILTER(game_rosters!$J:$J,(game_rosters!$G:$G=events!$AN379)*(game_rosters!$J:$J=events!$X379))&gt;0,1,""),"")</f>
        <v>1</v>
      </c>
      <c r="AA379">
        <f t="shared" si="179"/>
        <v>1210</v>
      </c>
      <c r="AB379" t="str">
        <f t="shared" si="180"/>
        <v/>
      </c>
      <c r="AC379">
        <f t="shared" si="177"/>
        <v>1210</v>
      </c>
      <c r="AD379" s="6">
        <v>1</v>
      </c>
      <c r="AE379" t="s">
        <v>933</v>
      </c>
      <c r="AF379" t="s">
        <v>932</v>
      </c>
      <c r="AG379" t="s">
        <v>756</v>
      </c>
      <c r="AH379" t="s">
        <v>756</v>
      </c>
      <c r="AI379" t="s">
        <v>368</v>
      </c>
      <c r="AJ379" t="str">
        <f t="shared" si="208"/>
        <v>o</v>
      </c>
      <c r="AK379" t="str">
        <f t="shared" si="208"/>
        <v>o</v>
      </c>
      <c r="AL379" t="str">
        <f t="shared" si="182"/>
        <v>d</v>
      </c>
      <c r="AN379" t="s">
        <v>862</v>
      </c>
      <c r="AO379" t="str">
        <f t="shared" si="183"/>
        <v>a</v>
      </c>
      <c r="AP379" t="str">
        <f t="shared" si="190"/>
        <v>d</v>
      </c>
      <c r="AQ379" t="str">
        <f t="shared" si="191"/>
        <v/>
      </c>
      <c r="AR379" t="str">
        <f t="shared" si="192"/>
        <v>Away</v>
      </c>
      <c r="AS379" t="str">
        <f t="shared" si="193"/>
        <v>a</v>
      </c>
      <c r="AT379" t="str">
        <f t="shared" si="194"/>
        <v>Defensive</v>
      </c>
      <c r="BA379" s="6">
        <f t="shared" si="184"/>
        <v>96</v>
      </c>
      <c r="BB379">
        <f t="shared" si="185"/>
        <v>18981</v>
      </c>
      <c r="BC379" t="str">
        <f t="shared" si="186"/>
        <v>Nelson</v>
      </c>
      <c r="BD379" t="str">
        <f t="shared" si="187"/>
        <v>Velodrome</v>
      </c>
      <c r="BE379" t="s">
        <v>6</v>
      </c>
      <c r="BF379" t="s">
        <v>201</v>
      </c>
      <c r="BG379" t="s">
        <v>51</v>
      </c>
      <c r="BI379" cm="1">
        <f t="array" ref="BI379">IFERROR(_xlfn._xlws.FILTER(shifts!A:A,(shifts!B:B=events!AD379)*(shifts!AG:AG&gt;=events!BK379)*(shifts!AH:AH&lt;=events!BL379)),BI378)</f>
        <v>22</v>
      </c>
      <c r="BJ379" s="15">
        <f t="shared" si="188"/>
        <v>0</v>
      </c>
      <c r="BK379">
        <f t="shared" si="195"/>
        <v>598</v>
      </c>
      <c r="BL379">
        <f t="shared" si="196"/>
        <v>598</v>
      </c>
      <c r="BM379" s="15">
        <f>SUMIFS(BJ$2:BJ379,K$2:K379,"=Intermission")+SUMIFS(BJ$2:BJ379,K$2:K379,"=Timeout")</f>
        <v>0</v>
      </c>
      <c r="BN379">
        <f t="shared" si="197"/>
        <v>0</v>
      </c>
      <c r="BO379" s="19">
        <f t="shared" si="198"/>
        <v>482</v>
      </c>
      <c r="BP379">
        <f t="shared" si="199"/>
        <v>477</v>
      </c>
      <c r="BQ379" s="17">
        <f t="shared" si="200"/>
        <v>482</v>
      </c>
      <c r="BR379" t="str">
        <f t="shared" si="201"/>
        <v>opp_team_player_1</v>
      </c>
      <c r="BS379">
        <f>COUNTIFS(S$3:S379,"="&amp;S379,AI$3:AI379,"="&amp;AI379)</f>
        <v>1</v>
      </c>
      <c r="BT379" t="str">
        <f>IFERROR(VLOOKUP(BB379&amp;BU379&amp;X379,game_rosters!U:W,3,FALSE),"")</f>
        <v>P100093</v>
      </c>
      <c r="BU379" t="s">
        <v>521</v>
      </c>
    </row>
    <row r="380" spans="1:73" x14ac:dyDescent="0.2">
      <c r="A380">
        <f t="shared" si="189"/>
        <v>1</v>
      </c>
      <c r="E380" s="4"/>
      <c r="F380" s="43"/>
      <c r="G380" s="4"/>
      <c r="H380" s="46"/>
      <c r="J380" s="44" t="str">
        <f t="shared" si="203"/>
        <v/>
      </c>
      <c r="K380" t="s">
        <v>9</v>
      </c>
      <c r="L380" t="s">
        <v>173</v>
      </c>
      <c r="M380" t="s">
        <v>75</v>
      </c>
      <c r="N380" t="str">
        <f t="shared" si="206"/>
        <v>u</v>
      </c>
      <c r="Q380" t="str">
        <f t="shared" si="204"/>
        <v/>
      </c>
      <c r="S380">
        <v>211</v>
      </c>
      <c r="U380" t="str">
        <f>IF(B380=1,MAX($U$2:$U379)+1,IF(AND($T380&lt;&gt;"",$T380=$T379),$U379,IF(B380="x",U379,"")))</f>
        <v/>
      </c>
      <c r="V380" t="str">
        <f>IF(C380=1,MAX($V$2:$V379)+1,IF(AND($T380&lt;&gt;"",$T380=$T379),$U379,IF(C380="x",V379,"")))</f>
        <v/>
      </c>
      <c r="W380" t="str">
        <f t="shared" si="178"/>
        <v>a</v>
      </c>
      <c r="X380">
        <v>79</v>
      </c>
      <c r="Y380" t="b">
        <f>IF(X380&lt;&gt;"",VLOOKUP(X380,game_rosters!$C$43:$E$64,3,FALSE))</f>
        <v>0</v>
      </c>
      <c r="Z380" t="str" cm="1">
        <f t="array" ref="Z380">IFERROR(IF(_xlfn._xlws.FILTER(game_rosters!$J:$J,(game_rosters!$G:$G=events!$AN380)*(game_rosters!$J:$J=events!$X380))&gt;0,1,""),"")</f>
        <v/>
      </c>
      <c r="AA380">
        <f t="shared" si="179"/>
        <v>1211</v>
      </c>
      <c r="AB380" t="str">
        <f t="shared" si="180"/>
        <v/>
      </c>
      <c r="AC380">
        <f t="shared" si="177"/>
        <v>1211</v>
      </c>
      <c r="AD380" s="6">
        <v>1</v>
      </c>
      <c r="AE380" t="s">
        <v>933</v>
      </c>
      <c r="AF380" t="s">
        <v>932</v>
      </c>
      <c r="AG380" t="s">
        <v>756</v>
      </c>
      <c r="AH380" t="s">
        <v>756</v>
      </c>
      <c r="AI380" t="s">
        <v>367</v>
      </c>
      <c r="AJ380" t="str">
        <f t="shared" si="208"/>
        <v/>
      </c>
      <c r="AK380" t="str">
        <f t="shared" si="208"/>
        <v/>
      </c>
      <c r="AL380" t="str">
        <f t="shared" si="182"/>
        <v/>
      </c>
      <c r="AN380" t="s">
        <v>862</v>
      </c>
      <c r="AO380" t="str">
        <f t="shared" si="183"/>
        <v>a</v>
      </c>
      <c r="AP380" t="str">
        <f t="shared" si="190"/>
        <v/>
      </c>
      <c r="AQ380" t="str">
        <f t="shared" si="191"/>
        <v/>
      </c>
      <c r="AR380" t="str">
        <f t="shared" si="192"/>
        <v>Away</v>
      </c>
      <c r="AS380" t="str">
        <f t="shared" si="193"/>
        <v>a</v>
      </c>
      <c r="AT380" t="str">
        <f t="shared" si="194"/>
        <v>Offensive</v>
      </c>
      <c r="BA380" s="6">
        <f t="shared" si="184"/>
        <v>96</v>
      </c>
      <c r="BB380">
        <f t="shared" si="185"/>
        <v>18981</v>
      </c>
      <c r="BC380" t="str">
        <f t="shared" si="186"/>
        <v>Nelson</v>
      </c>
      <c r="BD380" t="str">
        <f t="shared" si="187"/>
        <v>Velodrome</v>
      </c>
      <c r="BE380" t="s">
        <v>9</v>
      </c>
      <c r="BF380" t="s">
        <v>173</v>
      </c>
      <c r="BG380" t="s">
        <v>75</v>
      </c>
      <c r="BI380" cm="1">
        <f t="array" ref="BI380">IFERROR(_xlfn._xlws.FILTER(shifts!A:A,(shifts!B:B=events!AD380)*(shifts!AG:AG&gt;=events!BK380)*(shifts!AH:AH&lt;=events!BL380)),BI379)</f>
        <v>22</v>
      </c>
      <c r="BJ380" s="15">
        <f t="shared" si="188"/>
        <v>0</v>
      </c>
      <c r="BK380">
        <f t="shared" si="195"/>
        <v>598</v>
      </c>
      <c r="BL380">
        <f t="shared" si="196"/>
        <v>598</v>
      </c>
      <c r="BM380" s="15">
        <f>SUMIFS(BJ$2:BJ380,K$2:K380,"=Intermission")+SUMIFS(BJ$2:BJ380,K$2:K380,"=Timeout")</f>
        <v>0</v>
      </c>
      <c r="BN380">
        <f t="shared" si="197"/>
        <v>0</v>
      </c>
      <c r="BO380" s="19">
        <f t="shared" si="198"/>
        <v>482</v>
      </c>
      <c r="BP380">
        <f t="shared" si="199"/>
        <v>477</v>
      </c>
      <c r="BQ380" s="17">
        <f t="shared" si="200"/>
        <v>482</v>
      </c>
      <c r="BR380" t="str">
        <f t="shared" si="201"/>
        <v>event_team_player_1</v>
      </c>
      <c r="BS380">
        <f>COUNTIFS(S$3:S380,"="&amp;S380,AI$3:AI380,"="&amp;AI380)</f>
        <v>1</v>
      </c>
      <c r="BT380" t="str">
        <f>IFERROR(VLOOKUP(BB380&amp;BU380&amp;X380,game_rosters!U:W,3,FALSE),"")</f>
        <v>P100066</v>
      </c>
      <c r="BU380" t="s">
        <v>944</v>
      </c>
    </row>
    <row r="381" spans="1:73" x14ac:dyDescent="0.2">
      <c r="A381">
        <f t="shared" si="189"/>
        <v>1</v>
      </c>
      <c r="E381" s="4"/>
      <c r="F381" s="43"/>
      <c r="G381" s="4"/>
      <c r="H381" s="46"/>
      <c r="J381" s="44" t="str">
        <f t="shared" si="203"/>
        <v/>
      </c>
      <c r="K381" t="s">
        <v>9</v>
      </c>
      <c r="L381" t="s">
        <v>173</v>
      </c>
      <c r="M381" t="s">
        <v>75</v>
      </c>
      <c r="N381" t="str">
        <f t="shared" si="206"/>
        <v>u</v>
      </c>
      <c r="Q381" t="str">
        <f t="shared" si="204"/>
        <v/>
      </c>
      <c r="S381">
        <v>211</v>
      </c>
      <c r="U381" t="str">
        <f>IF(B381=1,MAX($U$2:$U380)+1,IF(AND($T381&lt;&gt;"",$T381=$T380),$U380,IF(B381="x",U380,"")))</f>
        <v/>
      </c>
      <c r="V381" t="str">
        <f>IF(C381=1,MAX($V$2:$V380)+1,IF(AND($T381&lt;&gt;"",$T381=$T380),$U380,IF(C381="x",V380,"")))</f>
        <v/>
      </c>
      <c r="W381" t="str">
        <f t="shared" si="178"/>
        <v>a</v>
      </c>
      <c r="X381">
        <v>93</v>
      </c>
      <c r="Y381" t="e">
        <f>IF(X381&lt;&gt;"",VLOOKUP(X381,game_rosters!$C$43:$E$64,3,FALSE))</f>
        <v>#N/A</v>
      </c>
      <c r="Z381" cm="1">
        <f t="array" ref="Z381">IFERROR(IF(_xlfn._xlws.FILTER(game_rosters!$J:$J,(game_rosters!$G:$G=events!$AN381)*(game_rosters!$J:$J=events!$X381))&gt;0,1,""),"")</f>
        <v>1</v>
      </c>
      <c r="AA381">
        <f t="shared" si="179"/>
        <v>1211</v>
      </c>
      <c r="AB381" t="str">
        <f t="shared" si="180"/>
        <v/>
      </c>
      <c r="AC381">
        <f t="shared" si="177"/>
        <v>1211</v>
      </c>
      <c r="AD381" s="6">
        <v>1</v>
      </c>
      <c r="AE381" t="s">
        <v>933</v>
      </c>
      <c r="AF381" t="s">
        <v>932</v>
      </c>
      <c r="AG381" t="s">
        <v>756</v>
      </c>
      <c r="AH381" t="s">
        <v>756</v>
      </c>
      <c r="AI381" t="s">
        <v>368</v>
      </c>
      <c r="AJ381" t="str">
        <f t="shared" si="208"/>
        <v/>
      </c>
      <c r="AK381" t="str">
        <f t="shared" si="208"/>
        <v/>
      </c>
      <c r="AL381" t="str">
        <f t="shared" si="182"/>
        <v/>
      </c>
      <c r="AN381" t="s">
        <v>862</v>
      </c>
      <c r="AO381" t="str">
        <f t="shared" si="183"/>
        <v>a</v>
      </c>
      <c r="AP381" t="str">
        <f t="shared" si="190"/>
        <v/>
      </c>
      <c r="AQ381" t="str">
        <f t="shared" si="191"/>
        <v/>
      </c>
      <c r="AR381" t="str">
        <f t="shared" si="192"/>
        <v>Away</v>
      </c>
      <c r="AS381" t="str">
        <f t="shared" si="193"/>
        <v>a</v>
      </c>
      <c r="AT381" t="str">
        <f t="shared" si="194"/>
        <v>Defensive</v>
      </c>
      <c r="BA381" s="6">
        <f t="shared" si="184"/>
        <v>96</v>
      </c>
      <c r="BB381">
        <f t="shared" si="185"/>
        <v>18981</v>
      </c>
      <c r="BC381" t="str">
        <f t="shared" si="186"/>
        <v>Nelson</v>
      </c>
      <c r="BD381" t="str">
        <f t="shared" si="187"/>
        <v>Velodrome</v>
      </c>
      <c r="BE381" t="s">
        <v>9</v>
      </c>
      <c r="BF381" t="s">
        <v>173</v>
      </c>
      <c r="BG381" t="s">
        <v>75</v>
      </c>
      <c r="BI381" cm="1">
        <f t="array" ref="BI381">IFERROR(_xlfn._xlws.FILTER(shifts!A:A,(shifts!B:B=events!AD381)*(shifts!AG:AG&gt;=events!BK381)*(shifts!AH:AH&lt;=events!BL381)),BI380)</f>
        <v>22</v>
      </c>
      <c r="BJ381" s="15">
        <f t="shared" si="188"/>
        <v>0</v>
      </c>
      <c r="BK381">
        <f t="shared" si="195"/>
        <v>598</v>
      </c>
      <c r="BL381">
        <f t="shared" si="196"/>
        <v>598</v>
      </c>
      <c r="BM381" s="15">
        <f>SUMIFS(BJ$2:BJ381,K$2:K381,"=Intermission")+SUMIFS(BJ$2:BJ381,K$2:K381,"=Timeout")</f>
        <v>0</v>
      </c>
      <c r="BN381">
        <f t="shared" si="197"/>
        <v>0</v>
      </c>
      <c r="BO381" s="19">
        <f t="shared" si="198"/>
        <v>482</v>
      </c>
      <c r="BP381">
        <f t="shared" si="199"/>
        <v>477</v>
      </c>
      <c r="BQ381" s="17">
        <f t="shared" si="200"/>
        <v>482</v>
      </c>
      <c r="BR381" t="str">
        <f t="shared" si="201"/>
        <v>opp_team_player_1</v>
      </c>
      <c r="BS381">
        <f>COUNTIFS(S$3:S381,"="&amp;S381,AI$3:AI381,"="&amp;AI381)</f>
        <v>1</v>
      </c>
      <c r="BT381" t="str">
        <f>IFERROR(VLOOKUP(BB381&amp;BU381&amp;X381,game_rosters!U:W,3,FALSE),"")</f>
        <v>P100093</v>
      </c>
      <c r="BU381" t="s">
        <v>521</v>
      </c>
    </row>
    <row r="382" spans="1:73" x14ac:dyDescent="0.2">
      <c r="A382">
        <f t="shared" si="189"/>
        <v>1</v>
      </c>
      <c r="E382" s="4"/>
      <c r="F382" s="43"/>
      <c r="G382" s="4"/>
      <c r="H382" s="46"/>
      <c r="J382" s="44" t="str">
        <f t="shared" si="203"/>
        <v>d</v>
      </c>
      <c r="K382" t="s">
        <v>238</v>
      </c>
      <c r="L382" t="s">
        <v>184</v>
      </c>
      <c r="M382" t="s">
        <v>88</v>
      </c>
      <c r="N382" t="str">
        <f t="shared" si="206"/>
        <v>s</v>
      </c>
      <c r="Q382" t="str">
        <f t="shared" si="204"/>
        <v/>
      </c>
      <c r="S382">
        <v>212</v>
      </c>
      <c r="U382" t="str">
        <f>IF(B382=1,MAX($U$2:$U381)+1,IF(AND($T382&lt;&gt;"",$T382=$T381),$U381,IF(B382="x",U381,"")))</f>
        <v/>
      </c>
      <c r="V382" t="str">
        <f>IF(C382=1,MAX($V$2:$V381)+1,IF(AND($T382&lt;&gt;"",$T382=$T381),$U381,IF(C382="x",V381,"")))</f>
        <v/>
      </c>
      <c r="W382" t="str">
        <f t="shared" si="178"/>
        <v>a</v>
      </c>
      <c r="X382">
        <v>93</v>
      </c>
      <c r="Y382" t="e">
        <f>IF(X382&lt;&gt;"",VLOOKUP(X382,game_rosters!$C$43:$E$64,3,FALSE))</f>
        <v>#N/A</v>
      </c>
      <c r="Z382" cm="1">
        <f t="array" ref="Z382">IFERROR(IF(_xlfn._xlws.FILTER(game_rosters!$J:$J,(game_rosters!$G:$G=events!$AN382)*(game_rosters!$J:$J=events!$X382))&gt;0,1,""),"")</f>
        <v>1</v>
      </c>
      <c r="AA382">
        <f t="shared" si="179"/>
        <v>1212</v>
      </c>
      <c r="AB382" t="str">
        <f t="shared" si="180"/>
        <v/>
      </c>
      <c r="AC382">
        <f t="shared" si="177"/>
        <v>1212</v>
      </c>
      <c r="AD382" s="6">
        <v>1</v>
      </c>
      <c r="AE382" t="s">
        <v>933</v>
      </c>
      <c r="AF382" t="s">
        <v>934</v>
      </c>
      <c r="AG382" t="s">
        <v>933</v>
      </c>
      <c r="AH382" t="s">
        <v>922</v>
      </c>
      <c r="AI382" t="s">
        <v>367</v>
      </c>
      <c r="AJ382" t="str">
        <f t="shared" si="208"/>
        <v>d</v>
      </c>
      <c r="AK382" t="str">
        <f t="shared" si="208"/>
        <v>d</v>
      </c>
      <c r="AL382" t="str">
        <f t="shared" si="182"/>
        <v>o</v>
      </c>
      <c r="AN382" t="s">
        <v>862</v>
      </c>
      <c r="AO382" t="str">
        <f t="shared" si="183"/>
        <v>a</v>
      </c>
      <c r="AP382" t="str">
        <f t="shared" si="190"/>
        <v>o</v>
      </c>
      <c r="AQ382" t="str">
        <f t="shared" si="191"/>
        <v/>
      </c>
      <c r="AR382" t="str">
        <f t="shared" si="192"/>
        <v>Away</v>
      </c>
      <c r="AS382" t="str">
        <f t="shared" si="193"/>
        <v>a</v>
      </c>
      <c r="AT382" t="str">
        <f t="shared" si="194"/>
        <v>Offensive</v>
      </c>
      <c r="BA382" s="6">
        <f t="shared" si="184"/>
        <v>97</v>
      </c>
      <c r="BB382">
        <f t="shared" si="185"/>
        <v>18981</v>
      </c>
      <c r="BC382" t="str">
        <f t="shared" si="186"/>
        <v>Nelson</v>
      </c>
      <c r="BD382" t="str">
        <f t="shared" si="187"/>
        <v>Velodrome</v>
      </c>
      <c r="BE382" t="s">
        <v>238</v>
      </c>
      <c r="BF382" t="s">
        <v>184</v>
      </c>
      <c r="BG382" t="s">
        <v>88</v>
      </c>
      <c r="BI382" cm="1">
        <f t="array" ref="BI382">IFERROR(_xlfn._xlws.FILTER(shifts!A:A,(shifts!B:B=events!AD382)*(shifts!AG:AG&gt;=events!BK382)*(shifts!AH:AH&lt;=events!BL382)),BI381)</f>
        <v>22</v>
      </c>
      <c r="BJ382" s="15">
        <f t="shared" si="188"/>
        <v>4</v>
      </c>
      <c r="BK382">
        <f t="shared" si="195"/>
        <v>594</v>
      </c>
      <c r="BL382">
        <f t="shared" si="196"/>
        <v>590</v>
      </c>
      <c r="BM382" s="15">
        <f>SUMIFS(BJ$2:BJ382,K$2:K382,"=Intermission")+SUMIFS(BJ$2:BJ382,K$2:K382,"=Timeout")</f>
        <v>0</v>
      </c>
      <c r="BN382">
        <f t="shared" si="197"/>
        <v>0</v>
      </c>
      <c r="BO382" s="19">
        <f t="shared" si="198"/>
        <v>486</v>
      </c>
      <c r="BP382">
        <f t="shared" si="199"/>
        <v>481</v>
      </c>
      <c r="BQ382" s="17">
        <f t="shared" si="200"/>
        <v>490</v>
      </c>
      <c r="BR382" t="str">
        <f t="shared" si="201"/>
        <v>event_team_player_1</v>
      </c>
      <c r="BS382">
        <f>COUNTIFS(S$3:S382,"="&amp;S382,AI$3:AI382,"="&amp;AI382)</f>
        <v>1</v>
      </c>
      <c r="BT382" t="str">
        <f>IFERROR(VLOOKUP(BB382&amp;BU382&amp;X382,game_rosters!U:W,3,FALSE),"")</f>
        <v>P100093</v>
      </c>
      <c r="BU382" t="str">
        <f t="shared" si="202"/>
        <v>Velodrome</v>
      </c>
    </row>
    <row r="383" spans="1:73" x14ac:dyDescent="0.2">
      <c r="A383">
        <f t="shared" si="189"/>
        <v>1</v>
      </c>
      <c r="E383" s="4"/>
      <c r="F383" s="43"/>
      <c r="G383" s="4"/>
      <c r="H383" s="46"/>
      <c r="J383" s="44" t="str">
        <f t="shared" si="203"/>
        <v>d</v>
      </c>
      <c r="K383" t="s">
        <v>238</v>
      </c>
      <c r="L383" t="s">
        <v>184</v>
      </c>
      <c r="M383" t="s">
        <v>88</v>
      </c>
      <c r="N383" t="str">
        <f t="shared" si="206"/>
        <v>s</v>
      </c>
      <c r="Q383" t="str">
        <f t="shared" si="204"/>
        <v/>
      </c>
      <c r="S383">
        <v>212</v>
      </c>
      <c r="U383" t="str">
        <f>IF(B383=1,MAX($U$2:$U382)+1,IF(AND($T383&lt;&gt;"",$T383=$T382),$U382,IF(B383="x",U382,"")))</f>
        <v/>
      </c>
      <c r="V383" t="str">
        <f>IF(C383=1,MAX($V$2:$V382)+1,IF(AND($T383&lt;&gt;"",$T383=$T382),$U382,IF(C383="x",V382,"")))</f>
        <v/>
      </c>
      <c r="W383" t="str">
        <f t="shared" si="178"/>
        <v>a</v>
      </c>
      <c r="X383">
        <v>79</v>
      </c>
      <c r="Y383" t="b">
        <f>IF(X383&lt;&gt;"",VLOOKUP(X383,game_rosters!$C$43:$E$64,3,FALSE))</f>
        <v>0</v>
      </c>
      <c r="Z383" t="str" cm="1">
        <f t="array" ref="Z383">IFERROR(IF(_xlfn._xlws.FILTER(game_rosters!$J:$J,(game_rosters!$G:$G=events!$AN383)*(game_rosters!$J:$J=events!$X383))&gt;0,1,""),"")</f>
        <v/>
      </c>
      <c r="AA383">
        <f t="shared" si="179"/>
        <v>1212</v>
      </c>
      <c r="AB383" t="str">
        <f t="shared" si="180"/>
        <v/>
      </c>
      <c r="AC383">
        <f t="shared" si="177"/>
        <v>1212</v>
      </c>
      <c r="AD383" s="6">
        <v>1</v>
      </c>
      <c r="AE383" t="s">
        <v>933</v>
      </c>
      <c r="AF383" t="s">
        <v>934</v>
      </c>
      <c r="AG383" t="s">
        <v>933</v>
      </c>
      <c r="AH383" t="s">
        <v>922</v>
      </c>
      <c r="AI383" t="s">
        <v>368</v>
      </c>
      <c r="AJ383" t="str">
        <f t="shared" si="208"/>
        <v>d</v>
      </c>
      <c r="AK383" t="str">
        <f t="shared" si="208"/>
        <v>d</v>
      </c>
      <c r="AL383" t="str">
        <f t="shared" si="182"/>
        <v>o</v>
      </c>
      <c r="AN383" t="s">
        <v>862</v>
      </c>
      <c r="AO383" t="str">
        <f t="shared" si="183"/>
        <v>a</v>
      </c>
      <c r="AP383" t="str">
        <f t="shared" si="190"/>
        <v>o</v>
      </c>
      <c r="AQ383" t="str">
        <f t="shared" si="191"/>
        <v/>
      </c>
      <c r="AR383" t="str">
        <f t="shared" si="192"/>
        <v>Away</v>
      </c>
      <c r="AS383" t="str">
        <f t="shared" si="193"/>
        <v>a</v>
      </c>
      <c r="AT383" t="str">
        <f t="shared" si="194"/>
        <v>Defensive</v>
      </c>
      <c r="BA383" s="6">
        <f t="shared" si="184"/>
        <v>98</v>
      </c>
      <c r="BB383">
        <f t="shared" si="185"/>
        <v>18981</v>
      </c>
      <c r="BC383" t="str">
        <f t="shared" si="186"/>
        <v>Nelson</v>
      </c>
      <c r="BD383" t="str">
        <f t="shared" si="187"/>
        <v>Velodrome</v>
      </c>
      <c r="BE383" t="s">
        <v>238</v>
      </c>
      <c r="BF383" t="s">
        <v>184</v>
      </c>
      <c r="BG383" t="s">
        <v>88</v>
      </c>
      <c r="BI383" cm="1">
        <f t="array" ref="BI383">IFERROR(_xlfn._xlws.FILTER(shifts!A:A,(shifts!B:B=events!AD383)*(shifts!AG:AG&gt;=events!BK383)*(shifts!AH:AH&lt;=events!BL383)),BI382)</f>
        <v>22</v>
      </c>
      <c r="BJ383" s="15">
        <f t="shared" si="188"/>
        <v>4</v>
      </c>
      <c r="BK383">
        <f t="shared" si="195"/>
        <v>594</v>
      </c>
      <c r="BL383">
        <f t="shared" si="196"/>
        <v>590</v>
      </c>
      <c r="BM383" s="15">
        <f>SUMIFS(BJ$2:BJ383,K$2:K383,"=Intermission")+SUMIFS(BJ$2:BJ383,K$2:K383,"=Timeout")</f>
        <v>0</v>
      </c>
      <c r="BN383">
        <f t="shared" si="197"/>
        <v>0</v>
      </c>
      <c r="BO383" s="19">
        <f t="shared" si="198"/>
        <v>486</v>
      </c>
      <c r="BP383">
        <f t="shared" si="199"/>
        <v>481</v>
      </c>
      <c r="BQ383" s="17">
        <f t="shared" si="200"/>
        <v>490</v>
      </c>
      <c r="BR383" t="str">
        <f t="shared" si="201"/>
        <v>opp_team_player_1</v>
      </c>
      <c r="BS383">
        <f>COUNTIFS(S$3:S383,"="&amp;S383,AI$3:AI383,"="&amp;AI383)</f>
        <v>1</v>
      </c>
      <c r="BT383" t="str">
        <f>IFERROR(VLOOKUP(BB383&amp;BU383&amp;X383,game_rosters!U:W,3,FALSE),"")</f>
        <v>P100066</v>
      </c>
      <c r="BU383" t="str">
        <f t="shared" si="202"/>
        <v>Nelson</v>
      </c>
    </row>
    <row r="384" spans="1:73" x14ac:dyDescent="0.2">
      <c r="A384">
        <f t="shared" si="189"/>
        <v>1</v>
      </c>
      <c r="E384" s="4"/>
      <c r="F384" s="43"/>
      <c r="G384" s="4"/>
      <c r="H384" s="46"/>
      <c r="J384" s="44" t="str">
        <f t="shared" si="203"/>
        <v/>
      </c>
      <c r="K384" t="s">
        <v>13</v>
      </c>
      <c r="L384" t="s">
        <v>756</v>
      </c>
      <c r="M384" t="s">
        <v>756</v>
      </c>
      <c r="N384" t="str">
        <f t="shared" si="206"/>
        <v/>
      </c>
      <c r="Q384" t="str">
        <f t="shared" si="204"/>
        <v/>
      </c>
      <c r="S384">
        <v>213</v>
      </c>
      <c r="U384" t="str">
        <f>IF(B384=1,MAX($U$2:$U383)+1,IF(AND($T384&lt;&gt;"",$T384=$T383),$U383,IF(B384="x",U383,"")))</f>
        <v/>
      </c>
      <c r="V384" t="str">
        <f>IF(C384=1,MAX($V$2:$V383)+1,IF(AND($T384&lt;&gt;"",$T384=$T383),$U383,IF(C384="x",V383,"")))</f>
        <v/>
      </c>
      <c r="W384" t="str">
        <f t="shared" si="178"/>
        <v>a</v>
      </c>
      <c r="X384">
        <v>93</v>
      </c>
      <c r="Y384" t="e">
        <f>IF(X384&lt;&gt;"",VLOOKUP(X384,game_rosters!$C$43:$E$64,3,FALSE))</f>
        <v>#N/A</v>
      </c>
      <c r="Z384" cm="1">
        <f t="array" ref="Z384">IFERROR(IF(_xlfn._xlws.FILTER(game_rosters!$J:$J,(game_rosters!$G:$G=events!$AN384)*(game_rosters!$J:$J=events!$X384))&gt;0,1,""),"")</f>
        <v>1</v>
      </c>
      <c r="AA384">
        <f t="shared" si="179"/>
        <v>1213</v>
      </c>
      <c r="AB384" t="str">
        <f t="shared" si="180"/>
        <v/>
      </c>
      <c r="AC384">
        <f t="shared" si="177"/>
        <v>1213</v>
      </c>
      <c r="AD384" s="6">
        <v>1</v>
      </c>
      <c r="AE384" t="s">
        <v>933</v>
      </c>
      <c r="AF384" t="s">
        <v>922</v>
      </c>
      <c r="AG384" t="s">
        <v>933</v>
      </c>
      <c r="AH384" t="s">
        <v>899</v>
      </c>
      <c r="AI384" t="s">
        <v>367</v>
      </c>
      <c r="AJ384" t="str">
        <f t="shared" si="208"/>
        <v/>
      </c>
      <c r="AK384" t="str">
        <f t="shared" si="208"/>
        <v/>
      </c>
      <c r="AL384" t="str">
        <f t="shared" si="182"/>
        <v/>
      </c>
      <c r="AN384" t="s">
        <v>862</v>
      </c>
      <c r="AO384" t="str">
        <f t="shared" si="183"/>
        <v>a</v>
      </c>
      <c r="AP384" t="str">
        <f t="shared" si="190"/>
        <v/>
      </c>
      <c r="AQ384" t="str">
        <f t="shared" si="191"/>
        <v/>
      </c>
      <c r="AR384" t="str">
        <f t="shared" si="192"/>
        <v>Away</v>
      </c>
      <c r="AS384" t="str">
        <f t="shared" si="193"/>
        <v>a</v>
      </c>
      <c r="AT384" t="str">
        <f t="shared" si="194"/>
        <v>Offensive</v>
      </c>
      <c r="BA384" s="6">
        <f t="shared" si="184"/>
        <v>98</v>
      </c>
      <c r="BB384">
        <f t="shared" si="185"/>
        <v>18981</v>
      </c>
      <c r="BC384" t="str">
        <f t="shared" si="186"/>
        <v>Nelson</v>
      </c>
      <c r="BD384" t="str">
        <f t="shared" si="187"/>
        <v>Velodrome</v>
      </c>
      <c r="BE384" t="s">
        <v>13</v>
      </c>
      <c r="BF384" t="s">
        <v>756</v>
      </c>
      <c r="BG384" t="s">
        <v>756</v>
      </c>
      <c r="BI384" cm="1">
        <f t="array" ref="BI384">IFERROR(_xlfn._xlws.FILTER(shifts!A:A,(shifts!B:B=events!AD384)*(shifts!AG:AG&gt;=events!BK384)*(shifts!AH:AH&lt;=events!BL384)),BI383)</f>
        <v>22</v>
      </c>
      <c r="BJ384" s="15">
        <f t="shared" si="188"/>
        <v>2</v>
      </c>
      <c r="BK384">
        <f t="shared" si="195"/>
        <v>590</v>
      </c>
      <c r="BL384">
        <f t="shared" si="196"/>
        <v>588</v>
      </c>
      <c r="BM384" s="15">
        <f>SUMIFS(BJ$2:BJ384,K$2:K384,"=Intermission")+SUMIFS(BJ$2:BJ384,K$2:K384,"=Timeout")</f>
        <v>0</v>
      </c>
      <c r="BN384">
        <f t="shared" si="197"/>
        <v>0</v>
      </c>
      <c r="BO384" s="19">
        <f t="shared" si="198"/>
        <v>490</v>
      </c>
      <c r="BP384">
        <f t="shared" si="199"/>
        <v>485</v>
      </c>
      <c r="BQ384" s="17">
        <f t="shared" si="200"/>
        <v>492</v>
      </c>
      <c r="BR384" t="str">
        <f t="shared" si="201"/>
        <v>event_team_player_1</v>
      </c>
      <c r="BS384">
        <f>COUNTIFS(S$3:S384,"="&amp;S384,AI$3:AI384,"="&amp;AI384)</f>
        <v>1</v>
      </c>
      <c r="BT384" t="str">
        <f>IFERROR(VLOOKUP(BB384&amp;BU384&amp;X384,game_rosters!U:W,3,FALSE),"")</f>
        <v>P100093</v>
      </c>
      <c r="BU384" t="str">
        <f t="shared" si="202"/>
        <v>Velodrome</v>
      </c>
    </row>
    <row r="385" spans="1:73" x14ac:dyDescent="0.2">
      <c r="A385">
        <f t="shared" si="189"/>
        <v>1</v>
      </c>
      <c r="E385" s="4"/>
      <c r="F385" s="43"/>
      <c r="G385" s="4"/>
      <c r="H385" s="46"/>
      <c r="J385" s="44" t="str">
        <f t="shared" si="203"/>
        <v/>
      </c>
      <c r="K385" t="s">
        <v>13</v>
      </c>
      <c r="L385" t="s">
        <v>756</v>
      </c>
      <c r="M385" t="s">
        <v>756</v>
      </c>
      <c r="N385" t="str">
        <f t="shared" si="206"/>
        <v/>
      </c>
      <c r="Q385" t="str">
        <f t="shared" si="204"/>
        <v/>
      </c>
      <c r="S385">
        <v>213</v>
      </c>
      <c r="U385" t="str">
        <f>IF(B385=1,MAX($U$2:$U384)+1,IF(AND($T385&lt;&gt;"",$T385=$T384),$U384,IF(B385="x",U384,"")))</f>
        <v/>
      </c>
      <c r="V385" t="str">
        <f>IF(C385=1,MAX($V$2:$V384)+1,IF(AND($T385&lt;&gt;"",$T385=$T384),$U384,IF(C385="x",V384,"")))</f>
        <v/>
      </c>
      <c r="W385" t="str">
        <f t="shared" si="178"/>
        <v>a</v>
      </c>
      <c r="X385">
        <v>79</v>
      </c>
      <c r="Y385" t="b">
        <f>IF(X385&lt;&gt;"",VLOOKUP(X385,game_rosters!$C$43:$E$64,3,FALSE))</f>
        <v>0</v>
      </c>
      <c r="Z385" t="str" cm="1">
        <f t="array" ref="Z385">IFERROR(IF(_xlfn._xlws.FILTER(game_rosters!$J:$J,(game_rosters!$G:$G=events!$AN385)*(game_rosters!$J:$J=events!$X385))&gt;0,1,""),"")</f>
        <v/>
      </c>
      <c r="AA385">
        <f t="shared" si="179"/>
        <v>1213</v>
      </c>
      <c r="AB385" t="str">
        <f t="shared" si="180"/>
        <v/>
      </c>
      <c r="AC385">
        <f t="shared" si="177"/>
        <v>1213</v>
      </c>
      <c r="AD385" s="6">
        <v>1</v>
      </c>
      <c r="AE385" t="s">
        <v>933</v>
      </c>
      <c r="AF385" t="s">
        <v>922</v>
      </c>
      <c r="AG385" t="s">
        <v>933</v>
      </c>
      <c r="AH385" t="s">
        <v>899</v>
      </c>
      <c r="AI385" t="s">
        <v>368</v>
      </c>
      <c r="AJ385" t="str">
        <f t="shared" si="208"/>
        <v/>
      </c>
      <c r="AK385" t="str">
        <f t="shared" si="208"/>
        <v/>
      </c>
      <c r="AL385" t="str">
        <f t="shared" si="182"/>
        <v/>
      </c>
      <c r="AN385" t="s">
        <v>862</v>
      </c>
      <c r="AO385" t="str">
        <f t="shared" si="183"/>
        <v>a</v>
      </c>
      <c r="AP385" t="str">
        <f t="shared" si="190"/>
        <v/>
      </c>
      <c r="AQ385" t="str">
        <f t="shared" si="191"/>
        <v/>
      </c>
      <c r="AR385" t="str">
        <f t="shared" si="192"/>
        <v>Away</v>
      </c>
      <c r="AS385" t="str">
        <f t="shared" si="193"/>
        <v>a</v>
      </c>
      <c r="AT385" t="str">
        <f t="shared" si="194"/>
        <v>Defensive</v>
      </c>
      <c r="BA385" s="6">
        <f t="shared" si="184"/>
        <v>98</v>
      </c>
      <c r="BB385">
        <f t="shared" si="185"/>
        <v>18981</v>
      </c>
      <c r="BC385" t="str">
        <f t="shared" si="186"/>
        <v>Nelson</v>
      </c>
      <c r="BD385" t="str">
        <f t="shared" si="187"/>
        <v>Velodrome</v>
      </c>
      <c r="BE385" t="s">
        <v>13</v>
      </c>
      <c r="BF385" t="s">
        <v>756</v>
      </c>
      <c r="BG385" t="s">
        <v>756</v>
      </c>
      <c r="BI385" cm="1">
        <f t="array" ref="BI385">IFERROR(_xlfn._xlws.FILTER(shifts!A:A,(shifts!B:B=events!AD385)*(shifts!AG:AG&gt;=events!BK385)*(shifts!AH:AH&lt;=events!BL385)),BI384)</f>
        <v>22</v>
      </c>
      <c r="BJ385" s="15">
        <f t="shared" si="188"/>
        <v>2</v>
      </c>
      <c r="BK385">
        <f t="shared" si="195"/>
        <v>590</v>
      </c>
      <c r="BL385">
        <f t="shared" si="196"/>
        <v>588</v>
      </c>
      <c r="BM385" s="15">
        <f>SUMIFS(BJ$2:BJ385,K$2:K385,"=Intermission")+SUMIFS(BJ$2:BJ385,K$2:K385,"=Timeout")</f>
        <v>0</v>
      </c>
      <c r="BN385">
        <f t="shared" si="197"/>
        <v>0</v>
      </c>
      <c r="BO385" s="19">
        <f t="shared" si="198"/>
        <v>490</v>
      </c>
      <c r="BP385">
        <f t="shared" si="199"/>
        <v>485</v>
      </c>
      <c r="BQ385" s="17">
        <f t="shared" si="200"/>
        <v>492</v>
      </c>
      <c r="BR385" t="str">
        <f t="shared" si="201"/>
        <v>opp_team_player_1</v>
      </c>
      <c r="BS385">
        <f>COUNTIFS(S$3:S385,"="&amp;S385,AI$3:AI385,"="&amp;AI385)</f>
        <v>1</v>
      </c>
      <c r="BT385" t="str">
        <f>IFERROR(VLOOKUP(BB385&amp;BU385&amp;X385,game_rosters!U:W,3,FALSE),"")</f>
        <v>P100066</v>
      </c>
      <c r="BU385" t="str">
        <f t="shared" si="202"/>
        <v>Nelson</v>
      </c>
    </row>
    <row r="386" spans="1:73" x14ac:dyDescent="0.2">
      <c r="A386">
        <f t="shared" si="189"/>
        <v>1</v>
      </c>
      <c r="E386" s="4"/>
      <c r="F386" s="43"/>
      <c r="G386" s="4"/>
      <c r="H386" s="46"/>
      <c r="J386" s="44" t="str">
        <f t="shared" si="203"/>
        <v>o</v>
      </c>
      <c r="K386" t="s">
        <v>238</v>
      </c>
      <c r="L386" t="s">
        <v>174</v>
      </c>
      <c r="M386" t="s">
        <v>87</v>
      </c>
      <c r="N386" t="str">
        <f t="shared" si="206"/>
        <v>s</v>
      </c>
      <c r="Q386" t="str">
        <f t="shared" si="204"/>
        <v/>
      </c>
      <c r="S386">
        <v>214</v>
      </c>
      <c r="U386" t="str">
        <f>IF(B386=1,MAX($U$2:$U385)+1,IF(AND($T386&lt;&gt;"",$T386=$T385),$U385,IF(B386="x",U385,"")))</f>
        <v/>
      </c>
      <c r="V386" t="str">
        <f>IF(C386=1,MAX($V$2:$V385)+1,IF(AND($T386&lt;&gt;"",$T386=$T385),$U385,IF(C386="x",V385,"")))</f>
        <v/>
      </c>
      <c r="W386" t="str">
        <f t="shared" si="178"/>
        <v>a</v>
      </c>
      <c r="X386">
        <v>93</v>
      </c>
      <c r="Y386" t="e">
        <f>IF(X386&lt;&gt;"",VLOOKUP(X386,game_rosters!$C$43:$E$64,3,FALSE))</f>
        <v>#N/A</v>
      </c>
      <c r="Z386" cm="1">
        <f t="array" ref="Z386">IFERROR(IF(_xlfn._xlws.FILTER(game_rosters!$J:$J,(game_rosters!$G:$G=events!$AN386)*(game_rosters!$J:$J=events!$X386))&gt;0,1,""),"")</f>
        <v>1</v>
      </c>
      <c r="AA386">
        <f t="shared" si="179"/>
        <v>1214</v>
      </c>
      <c r="AB386" t="str">
        <f t="shared" si="180"/>
        <v/>
      </c>
      <c r="AC386">
        <f t="shared" ref="AC386:AC449" si="209">IF(AB386&lt;&gt;"",AB386,S386+1000)</f>
        <v>1214</v>
      </c>
      <c r="AD386" s="6">
        <v>1</v>
      </c>
      <c r="AE386" t="s">
        <v>933</v>
      </c>
      <c r="AF386" t="s">
        <v>899</v>
      </c>
      <c r="AG386" t="s">
        <v>756</v>
      </c>
      <c r="AH386" t="s">
        <v>756</v>
      </c>
      <c r="AI386" t="s">
        <v>367</v>
      </c>
      <c r="AJ386" t="str">
        <f t="shared" si="208"/>
        <v>o</v>
      </c>
      <c r="AK386" t="str">
        <f t="shared" si="208"/>
        <v>o</v>
      </c>
      <c r="AL386" t="str">
        <f t="shared" si="182"/>
        <v>d</v>
      </c>
      <c r="AN386" t="s">
        <v>862</v>
      </c>
      <c r="AO386" t="str">
        <f t="shared" si="183"/>
        <v>a</v>
      </c>
      <c r="AP386" t="str">
        <f t="shared" si="190"/>
        <v>d</v>
      </c>
      <c r="AQ386" t="str">
        <f t="shared" si="191"/>
        <v/>
      </c>
      <c r="AR386" t="str">
        <f t="shared" si="192"/>
        <v>Away</v>
      </c>
      <c r="AS386" t="str">
        <f t="shared" si="193"/>
        <v>a</v>
      </c>
      <c r="AT386" t="str">
        <f t="shared" si="194"/>
        <v>Offensive</v>
      </c>
      <c r="BA386" s="6">
        <f t="shared" si="184"/>
        <v>99</v>
      </c>
      <c r="BB386">
        <f t="shared" si="185"/>
        <v>18981</v>
      </c>
      <c r="BC386" t="str">
        <f t="shared" si="186"/>
        <v>Nelson</v>
      </c>
      <c r="BD386" t="str">
        <f t="shared" si="187"/>
        <v>Velodrome</v>
      </c>
      <c r="BE386" t="s">
        <v>238</v>
      </c>
      <c r="BF386" t="s">
        <v>174</v>
      </c>
      <c r="BG386" t="s">
        <v>87</v>
      </c>
      <c r="BI386" cm="1">
        <f t="array" ref="BI386">IFERROR(_xlfn._xlws.FILTER(shifts!A:A,(shifts!B:B=events!AD386)*(shifts!AG:AG&gt;=events!BK386)*(shifts!AH:AH&lt;=events!BL386)),BI385)</f>
        <v>22</v>
      </c>
      <c r="BJ386" s="15">
        <f t="shared" si="188"/>
        <v>0</v>
      </c>
      <c r="BK386">
        <f t="shared" si="195"/>
        <v>588</v>
      </c>
      <c r="BL386">
        <f t="shared" si="196"/>
        <v>588</v>
      </c>
      <c r="BM386" s="15">
        <f>SUMIFS(BJ$2:BJ386,K$2:K386,"=Intermission")+SUMIFS(BJ$2:BJ386,K$2:K386,"=Timeout")</f>
        <v>0</v>
      </c>
      <c r="BN386">
        <f t="shared" si="197"/>
        <v>0</v>
      </c>
      <c r="BO386" s="19">
        <f t="shared" si="198"/>
        <v>492</v>
      </c>
      <c r="BP386">
        <f t="shared" si="199"/>
        <v>487</v>
      </c>
      <c r="BQ386" s="17">
        <f t="shared" si="200"/>
        <v>492</v>
      </c>
      <c r="BR386" t="str">
        <f t="shared" si="201"/>
        <v>event_team_player_1</v>
      </c>
      <c r="BS386">
        <f>COUNTIFS(S$3:S386,"="&amp;S386,AI$3:AI386,"="&amp;AI386)</f>
        <v>1</v>
      </c>
      <c r="BT386" t="str">
        <f>IFERROR(VLOOKUP(BB386&amp;BU386&amp;X386,game_rosters!U:W,3,FALSE),"")</f>
        <v>P100093</v>
      </c>
      <c r="BU386" t="str">
        <f t="shared" si="202"/>
        <v>Velodrome</v>
      </c>
    </row>
    <row r="387" spans="1:73" x14ac:dyDescent="0.2">
      <c r="A387">
        <f t="shared" si="189"/>
        <v>1</v>
      </c>
      <c r="E387" s="4"/>
      <c r="F387" s="43"/>
      <c r="G387" s="4"/>
      <c r="H387" s="46"/>
      <c r="J387" s="44" t="str">
        <f t="shared" si="203"/>
        <v>o</v>
      </c>
      <c r="K387" t="s">
        <v>238</v>
      </c>
      <c r="L387" t="s">
        <v>174</v>
      </c>
      <c r="M387" t="s">
        <v>87</v>
      </c>
      <c r="N387" t="str">
        <f t="shared" si="206"/>
        <v>s</v>
      </c>
      <c r="Q387" t="str">
        <f t="shared" si="204"/>
        <v/>
      </c>
      <c r="S387">
        <v>214</v>
      </c>
      <c r="U387" t="str">
        <f>IF(B387=1,MAX($U$2:$U386)+1,IF(AND($T387&lt;&gt;"",$T387=$T386),$U386,IF(B387="x",U386,"")))</f>
        <v/>
      </c>
      <c r="V387" t="str">
        <f>IF(C387=1,MAX($V$2:$V386)+1,IF(AND($T387&lt;&gt;"",$T387=$T386),$U386,IF(C387="x",V386,"")))</f>
        <v/>
      </c>
      <c r="W387" t="str">
        <f t="shared" si="178"/>
        <v>a</v>
      </c>
      <c r="X387">
        <v>79</v>
      </c>
      <c r="Y387" t="b">
        <f>IF(X387&lt;&gt;"",VLOOKUP(X387,game_rosters!$C$43:$E$64,3,FALSE))</f>
        <v>0</v>
      </c>
      <c r="Z387" t="str" cm="1">
        <f t="array" ref="Z387">IFERROR(IF(_xlfn._xlws.FILTER(game_rosters!$J:$J,(game_rosters!$G:$G=events!$AN387)*(game_rosters!$J:$J=events!$X387))&gt;0,1,""),"")</f>
        <v/>
      </c>
      <c r="AA387">
        <f t="shared" si="179"/>
        <v>1214</v>
      </c>
      <c r="AB387" t="str">
        <f t="shared" si="180"/>
        <v/>
      </c>
      <c r="AC387">
        <f t="shared" si="209"/>
        <v>1214</v>
      </c>
      <c r="AD387" s="6">
        <v>1</v>
      </c>
      <c r="AE387" t="s">
        <v>933</v>
      </c>
      <c r="AF387" t="s">
        <v>899</v>
      </c>
      <c r="AG387" t="s">
        <v>756</v>
      </c>
      <c r="AH387" t="s">
        <v>756</v>
      </c>
      <c r="AI387" t="s">
        <v>368</v>
      </c>
      <c r="AJ387" t="str">
        <f t="shared" si="208"/>
        <v>o</v>
      </c>
      <c r="AK387" t="str">
        <f t="shared" si="208"/>
        <v>o</v>
      </c>
      <c r="AL387" t="str">
        <f t="shared" si="182"/>
        <v>d</v>
      </c>
      <c r="AN387" t="s">
        <v>862</v>
      </c>
      <c r="AO387" t="str">
        <f t="shared" si="183"/>
        <v>a</v>
      </c>
      <c r="AP387" t="str">
        <f t="shared" si="190"/>
        <v>d</v>
      </c>
      <c r="AQ387" t="str">
        <f t="shared" si="191"/>
        <v/>
      </c>
      <c r="AR387" t="str">
        <f t="shared" si="192"/>
        <v>Away</v>
      </c>
      <c r="AS387" t="str">
        <f t="shared" si="193"/>
        <v>a</v>
      </c>
      <c r="AT387" t="str">
        <f t="shared" si="194"/>
        <v>Defensive</v>
      </c>
      <c r="BA387" s="6">
        <f t="shared" si="184"/>
        <v>100</v>
      </c>
      <c r="BB387">
        <f t="shared" si="185"/>
        <v>18981</v>
      </c>
      <c r="BC387" t="str">
        <f t="shared" si="186"/>
        <v>Nelson</v>
      </c>
      <c r="BD387" t="str">
        <f t="shared" si="187"/>
        <v>Velodrome</v>
      </c>
      <c r="BE387" t="s">
        <v>238</v>
      </c>
      <c r="BF387" t="s">
        <v>174</v>
      </c>
      <c r="BG387" t="s">
        <v>87</v>
      </c>
      <c r="BI387" cm="1">
        <f t="array" ref="BI387">IFERROR(_xlfn._xlws.FILTER(shifts!A:A,(shifts!B:B=events!AD387)*(shifts!AG:AG&gt;=events!BK387)*(shifts!AH:AH&lt;=events!BL387)),BI386)</f>
        <v>22</v>
      </c>
      <c r="BJ387" s="15">
        <f t="shared" si="188"/>
        <v>0</v>
      </c>
      <c r="BK387">
        <f t="shared" si="195"/>
        <v>588</v>
      </c>
      <c r="BL387">
        <f t="shared" si="196"/>
        <v>588</v>
      </c>
      <c r="BM387" s="15">
        <f>SUMIFS(BJ$2:BJ387,K$2:K387,"=Intermission")+SUMIFS(BJ$2:BJ387,K$2:K387,"=Timeout")</f>
        <v>0</v>
      </c>
      <c r="BN387">
        <f t="shared" si="197"/>
        <v>0</v>
      </c>
      <c r="BO387" s="19">
        <f t="shared" si="198"/>
        <v>492</v>
      </c>
      <c r="BP387">
        <f t="shared" si="199"/>
        <v>487</v>
      </c>
      <c r="BQ387" s="17">
        <f t="shared" si="200"/>
        <v>492</v>
      </c>
      <c r="BR387" t="str">
        <f t="shared" si="201"/>
        <v>opp_team_player_1</v>
      </c>
      <c r="BS387">
        <f>COUNTIFS(S$3:S387,"="&amp;S387,AI$3:AI387,"="&amp;AI387)</f>
        <v>1</v>
      </c>
      <c r="BT387" t="str">
        <f>IFERROR(VLOOKUP(BB387&amp;BU387&amp;X387,game_rosters!U:W,3,FALSE),"")</f>
        <v>P100066</v>
      </c>
      <c r="BU387" t="str">
        <f t="shared" si="202"/>
        <v>Nelson</v>
      </c>
    </row>
    <row r="388" spans="1:73" x14ac:dyDescent="0.2">
      <c r="A388">
        <f t="shared" si="189"/>
        <v>1</v>
      </c>
      <c r="E388" s="4"/>
      <c r="F388" s="43"/>
      <c r="G388" s="4"/>
      <c r="H388" s="46"/>
      <c r="J388" s="44" t="str">
        <f t="shared" si="203"/>
        <v/>
      </c>
      <c r="K388" t="s">
        <v>9</v>
      </c>
      <c r="L388" t="s">
        <v>173</v>
      </c>
      <c r="M388" t="s">
        <v>354</v>
      </c>
      <c r="N388" t="str">
        <f t="shared" si="206"/>
        <v>u</v>
      </c>
      <c r="Q388" t="str">
        <f t="shared" si="204"/>
        <v/>
      </c>
      <c r="S388">
        <v>215</v>
      </c>
      <c r="U388" t="str">
        <f>IF(B388=1,MAX($U$2:$U387)+1,IF(AND($T388&lt;&gt;"",$T388=$T387),$U387,IF(B388="x",U387,"")))</f>
        <v/>
      </c>
      <c r="V388" t="str">
        <f>IF(C388=1,MAX($V$2:$V387)+1,IF(AND($T388&lt;&gt;"",$T388=$T387),$U387,IF(C388="x",V387,"")))</f>
        <v/>
      </c>
      <c r="W388" t="str">
        <f t="shared" ref="W388:W451" si="210">IF(AN388="Away","a",IF(AN388="Home","h",""))</f>
        <v>a</v>
      </c>
      <c r="X388">
        <v>93</v>
      </c>
      <c r="Y388" t="e">
        <f>IF(X388&lt;&gt;"",VLOOKUP(X388,game_rosters!$C$43:$E$64,3,FALSE))</f>
        <v>#N/A</v>
      </c>
      <c r="Z388" cm="1">
        <f t="array" ref="Z388">IFERROR(IF(_xlfn._xlws.FILTER(game_rosters!$J:$J,(game_rosters!$G:$G=events!$AN388)*(game_rosters!$J:$J=events!$X388))&gt;0,1,""),"")</f>
        <v>1</v>
      </c>
      <c r="AA388">
        <f t="shared" ref="AA388:AA451" si="211">S388+1000</f>
        <v>1215</v>
      </c>
      <c r="AB388" t="str">
        <f t="shared" ref="AB388:AB451" si="212">IF(T388&lt;&gt;"",9000+T388,"")</f>
        <v/>
      </c>
      <c r="AC388">
        <f t="shared" si="209"/>
        <v>1215</v>
      </c>
      <c r="AD388" s="6">
        <v>1</v>
      </c>
      <c r="AE388" t="s">
        <v>933</v>
      </c>
      <c r="AF388" t="s">
        <v>900</v>
      </c>
      <c r="AG388" t="s">
        <v>756</v>
      </c>
      <c r="AH388" t="s">
        <v>756</v>
      </c>
      <c r="AI388" t="s">
        <v>367</v>
      </c>
      <c r="AJ388" t="str">
        <f t="shared" ref="AJ388:AK403" si="213">IF($J388&lt;&gt;"",$J388,IF($AC388=$AC387,AJ387,""))</f>
        <v/>
      </c>
      <c r="AK388" t="str">
        <f t="shared" si="213"/>
        <v/>
      </c>
      <c r="AL388" t="str">
        <f t="shared" ref="AL388:AL451" si="214">IF($W388="","",IF($AJ388="","",IF($W388="h",$AJ388,IF($AJ388="n","n",IF(AND($W388="a",$AJ388="d"),"o",IF(AND($W388="a",$AJ388="o"),"d"))))))</f>
        <v/>
      </c>
      <c r="AN388" t="s">
        <v>862</v>
      </c>
      <c r="AO388" t="str">
        <f t="shared" ref="AO388:AO451" si="215">IF($W388&lt;&gt;"",$W388,IF($AC388=$AC387,AO387,""))</f>
        <v>a</v>
      </c>
      <c r="AP388" t="str">
        <f t="shared" si="190"/>
        <v/>
      </c>
      <c r="AQ388" t="str">
        <f t="shared" si="191"/>
        <v/>
      </c>
      <c r="AR388" t="str">
        <f t="shared" si="192"/>
        <v>Away</v>
      </c>
      <c r="AS388" t="str">
        <f t="shared" si="193"/>
        <v>a</v>
      </c>
      <c r="AT388" t="str">
        <f t="shared" si="194"/>
        <v>Offensive</v>
      </c>
      <c r="BA388" s="6">
        <f t="shared" ref="BA388:BA451" si="216">IF(OR(L388="Zone_Entry",L388="Zone_Exit"),BA387+1,BA387)</f>
        <v>100</v>
      </c>
      <c r="BB388">
        <f t="shared" ref="BB388:BB451" si="217">BB387</f>
        <v>18981</v>
      </c>
      <c r="BC388" t="str">
        <f t="shared" ref="BC388:BC451" si="218">BC387</f>
        <v>Nelson</v>
      </c>
      <c r="BD388" t="str">
        <f t="shared" ref="BD388:BD451" si="219">BD387</f>
        <v>Velodrome</v>
      </c>
      <c r="BE388" t="s">
        <v>9</v>
      </c>
      <c r="BF388" t="s">
        <v>173</v>
      </c>
      <c r="BG388" t="s">
        <v>354</v>
      </c>
      <c r="BI388" cm="1">
        <f t="array" ref="BI388">IFERROR(_xlfn._xlws.FILTER(shifts!A:A,(shifts!B:B=events!AD388)*(shifts!AG:AG&gt;=events!BK388)*(shifts!AH:AH&lt;=events!BL388)),BI387)</f>
        <v>22</v>
      </c>
      <c r="BJ388" s="15">
        <f t="shared" ref="BJ388:BJ451" si="220">IF(AND(AG388="",AH388=""),0,((AE388*60)+AF388)-((AG388*60)+AH388))</f>
        <v>0</v>
      </c>
      <c r="BK388">
        <f t="shared" si="195"/>
        <v>587</v>
      </c>
      <c r="BL388">
        <f t="shared" si="196"/>
        <v>587</v>
      </c>
      <c r="BM388" s="15">
        <f>SUMIFS(BJ$2:BJ388,K$2:K388,"=Intermission")+SUMIFS(BJ$2:BJ388,K$2:K388,"=Timeout")</f>
        <v>0</v>
      </c>
      <c r="BN388">
        <f t="shared" si="197"/>
        <v>0</v>
      </c>
      <c r="BO388" s="19">
        <f t="shared" si="198"/>
        <v>493</v>
      </c>
      <c r="BP388">
        <f t="shared" si="199"/>
        <v>488</v>
      </c>
      <c r="BQ388" s="17">
        <f t="shared" si="200"/>
        <v>493</v>
      </c>
      <c r="BR388" t="str">
        <f t="shared" si="201"/>
        <v>event_team_player_1</v>
      </c>
      <c r="BS388">
        <f>COUNTIFS(S$3:S388,"="&amp;S388,AI$3:AI388,"="&amp;AI388)</f>
        <v>1</v>
      </c>
      <c r="BT388" t="str">
        <f>IFERROR(VLOOKUP(BB388&amp;BU388&amp;X388,game_rosters!U:W,3,FALSE),"")</f>
        <v>P100093</v>
      </c>
      <c r="BU388" t="str">
        <f t="shared" si="202"/>
        <v>Velodrome</v>
      </c>
    </row>
    <row r="389" spans="1:73" x14ac:dyDescent="0.2">
      <c r="A389">
        <f t="shared" ref="A389:A452" si="221">IF(K389&lt;&gt;"",1,IF(D389="x","x",""))</f>
        <v>1</v>
      </c>
      <c r="E389" s="4"/>
      <c r="F389" s="43"/>
      <c r="G389" s="4"/>
      <c r="H389" s="46"/>
      <c r="J389" s="44" t="str">
        <f t="shared" si="203"/>
        <v/>
      </c>
      <c r="K389" t="s">
        <v>13</v>
      </c>
      <c r="L389" t="s">
        <v>756</v>
      </c>
      <c r="M389" t="s">
        <v>756</v>
      </c>
      <c r="N389" t="str">
        <f t="shared" si="206"/>
        <v/>
      </c>
      <c r="Q389" t="str">
        <f t="shared" si="204"/>
        <v/>
      </c>
      <c r="S389">
        <v>216</v>
      </c>
      <c r="U389" t="str">
        <f>IF(B389=1,MAX($U$2:$U388)+1,IF(AND($T389&lt;&gt;"",$T389=$T388),$U388,IF(B389="x",U388,"")))</f>
        <v/>
      </c>
      <c r="V389" t="str">
        <f>IF(C389=1,MAX($V$2:$V388)+1,IF(AND($T389&lt;&gt;"",$T389=$T388),$U388,IF(C389="x",V388,"")))</f>
        <v/>
      </c>
      <c r="W389" t="str">
        <f t="shared" si="210"/>
        <v>h</v>
      </c>
      <c r="X389">
        <v>79</v>
      </c>
      <c r="Y389" t="b">
        <f>IF(X389&lt;&gt;"",VLOOKUP(X389,game_rosters!$C$43:$E$64,3,FALSE))</f>
        <v>0</v>
      </c>
      <c r="Z389" cm="1">
        <f t="array" ref="Z389">IFERROR(IF(_xlfn._xlws.FILTER(game_rosters!$J:$J,(game_rosters!$G:$G=events!$AN389)*(game_rosters!$J:$J=events!$X389))&gt;0,1,""),"")</f>
        <v>1</v>
      </c>
      <c r="AA389">
        <f t="shared" si="211"/>
        <v>1216</v>
      </c>
      <c r="AB389" t="str">
        <f t="shared" si="212"/>
        <v/>
      </c>
      <c r="AC389">
        <f t="shared" si="209"/>
        <v>1216</v>
      </c>
      <c r="AD389" s="6">
        <v>1</v>
      </c>
      <c r="AE389" t="s">
        <v>933</v>
      </c>
      <c r="AF389" t="s">
        <v>900</v>
      </c>
      <c r="AG389" t="s">
        <v>933</v>
      </c>
      <c r="AH389" t="s">
        <v>935</v>
      </c>
      <c r="AI389" t="s">
        <v>367</v>
      </c>
      <c r="AJ389" t="str">
        <f t="shared" si="213"/>
        <v/>
      </c>
      <c r="AK389" t="str">
        <f t="shared" si="213"/>
        <v/>
      </c>
      <c r="AL389" t="str">
        <f t="shared" si="214"/>
        <v/>
      </c>
      <c r="AN389" t="s">
        <v>861</v>
      </c>
      <c r="AO389" t="str">
        <f t="shared" si="215"/>
        <v>h</v>
      </c>
      <c r="AP389" t="str">
        <f t="shared" ref="AP389:AP452" si="222">IF(AL389&lt;&gt;"",AL389,IF($AC389=$AC388,AP388,""))</f>
        <v/>
      </c>
      <c r="AQ389" t="str">
        <f t="shared" ref="AQ389:AQ452" si="223">IF(AM389&lt;&gt;"",AM389,IF($AC389=$AC388,AQ388,""))</f>
        <v/>
      </c>
      <c r="AR389" t="str">
        <f t="shared" ref="AR389:AR452" si="224">IF(AN389&lt;&gt;"",AN389,IF($AC389=$AC388,AR388,""))</f>
        <v>Home</v>
      </c>
      <c r="AS389" t="str">
        <f t="shared" ref="AS389:AS452" si="225">IF(AO389&lt;&gt;"",AO389,IF($AC389=$AC388,AS388,""))</f>
        <v>h</v>
      </c>
      <c r="AT389" t="str">
        <f t="shared" ref="AT389:AT452" si="226">IF(AND(AI389="e",OR(BE389="Save",BF389="Turnover_Takeaway",BF389="Play_Defensive")),"Defensive",IF(AND(AI389="o",OR(BE389="Save",BF389="Turnover_Takeaway",BF389="Play_Defensive")),"Offensive",IF(OR(BE389="Deadice",BE389="Stoppage",BE389="Intermission"),"",IF(AI389="e","Offensive",IF(AI389="o","Defensive","")))))</f>
        <v>Offensive</v>
      </c>
      <c r="BA389" s="6">
        <f t="shared" si="216"/>
        <v>100</v>
      </c>
      <c r="BB389">
        <f t="shared" si="217"/>
        <v>18981</v>
      </c>
      <c r="BC389" t="str">
        <f t="shared" si="218"/>
        <v>Nelson</v>
      </c>
      <c r="BD389" t="str">
        <f t="shared" si="219"/>
        <v>Velodrome</v>
      </c>
      <c r="BE389" t="s">
        <v>13</v>
      </c>
      <c r="BF389" t="s">
        <v>756</v>
      </c>
      <c r="BG389" t="s">
        <v>756</v>
      </c>
      <c r="BI389" cm="1">
        <f t="array" ref="BI389">IFERROR(_xlfn._xlws.FILTER(shifts!A:A,(shifts!B:B=events!AD389)*(shifts!AG:AG&gt;=events!BK389)*(shifts!AH:AH&lt;=events!BL389)),BI388)</f>
        <v>22</v>
      </c>
      <c r="BJ389" s="15">
        <f t="shared" si="220"/>
        <v>2</v>
      </c>
      <c r="BK389">
        <f t="shared" ref="BK389:BK452" si="227">(AE389*60)+AF389</f>
        <v>587</v>
      </c>
      <c r="BL389">
        <f t="shared" ref="BL389:BL452" si="228">IF(AND(AG389="",AH389=""),BK389,((AG389*60)+AH389))</f>
        <v>585</v>
      </c>
      <c r="BM389" s="15">
        <f>SUMIFS(BJ$2:BJ389,K$2:K389,"=Intermission")+SUMIFS(BJ$2:BJ389,K$2:K389,"=Timeout")</f>
        <v>0</v>
      </c>
      <c r="BN389">
        <f t="shared" ref="BN389:BN452" si="229">IF(AD389=1,0,IF(AD389=2,1080+BM389,IF(AD389=3,(1080*2)+BM389,0)))</f>
        <v>0</v>
      </c>
      <c r="BO389" s="19">
        <f t="shared" ref="BO389:BO452" si="230">IF(K389="Intermission",BO388,((1080)-((AE389*60)+AF389))+BN389)</f>
        <v>493</v>
      </c>
      <c r="BP389">
        <f t="shared" ref="BP389:BP452" si="231">IF(BO389&lt;5,0,BO389-5)</f>
        <v>488</v>
      </c>
      <c r="BQ389" s="17">
        <f t="shared" ref="BQ389:BQ452" si="232">BP389+BJ389+5</f>
        <v>495</v>
      </c>
      <c r="BR389" t="str">
        <f t="shared" ref="BR389:BR452" si="233">IF(AI389="e","event_team_player_"&amp;BS389,IF(AI389="o","opp_team_player_"&amp;BS389,""))</f>
        <v>event_team_player_1</v>
      </c>
      <c r="BS389">
        <f>COUNTIFS(S$3:S389,"="&amp;S389,AI$3:AI389,"="&amp;AI389)</f>
        <v>1</v>
      </c>
      <c r="BT389" t="str">
        <f>IFERROR(VLOOKUP(BB389&amp;BU389&amp;X389,game_rosters!U:W,3,FALSE),"")</f>
        <v>P100066</v>
      </c>
      <c r="BU389" t="str">
        <f t="shared" ref="BU389:BU452" si="234">IF(AR389="","",IF(AND(AR389="Away",AI389="e"),BD389,IF(AND(AR389="Home",AI389="e"),BC389,IF(AND(AR389="Away",AI389="o"),BC389,IF(AND(AR389="Home",AI389="o"),BD389)))))</f>
        <v>Nelson</v>
      </c>
    </row>
    <row r="390" spans="1:73" x14ac:dyDescent="0.2">
      <c r="A390">
        <f t="shared" si="221"/>
        <v>1</v>
      </c>
      <c r="E390" s="4"/>
      <c r="F390" s="43"/>
      <c r="G390" s="4"/>
      <c r="H390" s="46"/>
      <c r="J390" s="44" t="str">
        <f t="shared" ref="J390:J453" si="235">IF(OR(K390="Goal",K390="Shot",L390="Zone_Entry",M390="Stoppage-Goal",M389="Stoppage-Goal"),"o",IF(OR(K390="Save",K390="Rebound",L390="Zone_Exit",M390="Stoppage-GoalieStoppage",M389="Stoppage-GoalieStoppage"),"d",IF(OR(L390="Faceoff_AfterGoal",L390="Faceoff_PeriodStart",698="Faceoff_GameStart",M389="Stoppage-Goal"),"n","")))</f>
        <v/>
      </c>
      <c r="K390" t="s">
        <v>7</v>
      </c>
      <c r="L390" t="s">
        <v>192</v>
      </c>
      <c r="M390" t="s">
        <v>68</v>
      </c>
      <c r="N390" t="str">
        <f t="shared" si="206"/>
        <v>u</v>
      </c>
      <c r="Q390" t="str">
        <f t="shared" si="204"/>
        <v/>
      </c>
      <c r="S390">
        <v>217</v>
      </c>
      <c r="U390" t="str">
        <f>IF(B390=1,MAX($U$2:$U389)+1,IF(AND($T390&lt;&gt;"",$T390=$T389),$U389,IF(B390="x",U389,"")))</f>
        <v/>
      </c>
      <c r="V390" t="str">
        <f>IF(C390=1,MAX($V$2:$V389)+1,IF(AND($T390&lt;&gt;"",$T390=$T389),$U389,IF(C390="x",V389,"")))</f>
        <v/>
      </c>
      <c r="W390" t="str">
        <f t="shared" si="210"/>
        <v>h</v>
      </c>
      <c r="X390">
        <v>79</v>
      </c>
      <c r="Y390" t="b">
        <f>IF(X390&lt;&gt;"",VLOOKUP(X390,game_rosters!$C$43:$E$64,3,FALSE))</f>
        <v>0</v>
      </c>
      <c r="Z390" cm="1">
        <f t="array" ref="Z390">IFERROR(IF(_xlfn._xlws.FILTER(game_rosters!$J:$J,(game_rosters!$G:$G=events!$AN390)*(game_rosters!$J:$J=events!$X390))&gt;0,1,""),"")</f>
        <v>1</v>
      </c>
      <c r="AA390">
        <f t="shared" si="211"/>
        <v>1217</v>
      </c>
      <c r="AB390" t="str">
        <f t="shared" si="212"/>
        <v/>
      </c>
      <c r="AC390">
        <f t="shared" si="209"/>
        <v>1217</v>
      </c>
      <c r="AD390" s="6">
        <v>1</v>
      </c>
      <c r="AE390" t="s">
        <v>933</v>
      </c>
      <c r="AF390" t="s">
        <v>935</v>
      </c>
      <c r="AG390" t="s">
        <v>756</v>
      </c>
      <c r="AH390" t="s">
        <v>756</v>
      </c>
      <c r="AI390" t="s">
        <v>367</v>
      </c>
      <c r="AJ390" t="str">
        <f t="shared" si="213"/>
        <v/>
      </c>
      <c r="AK390" t="str">
        <f t="shared" si="213"/>
        <v/>
      </c>
      <c r="AL390" t="str">
        <f t="shared" si="214"/>
        <v/>
      </c>
      <c r="AN390" t="s">
        <v>861</v>
      </c>
      <c r="AO390" t="str">
        <f t="shared" si="215"/>
        <v>h</v>
      </c>
      <c r="AP390" t="str">
        <f t="shared" si="222"/>
        <v/>
      </c>
      <c r="AQ390" t="str">
        <f t="shared" si="223"/>
        <v/>
      </c>
      <c r="AR390" t="str">
        <f t="shared" si="224"/>
        <v>Home</v>
      </c>
      <c r="AS390" t="str">
        <f t="shared" si="225"/>
        <v>h</v>
      </c>
      <c r="AT390" t="str">
        <f t="shared" si="226"/>
        <v>Offensive</v>
      </c>
      <c r="BA390" s="6">
        <f t="shared" si="216"/>
        <v>100</v>
      </c>
      <c r="BB390">
        <f t="shared" si="217"/>
        <v>18981</v>
      </c>
      <c r="BC390" t="str">
        <f t="shared" si="218"/>
        <v>Nelson</v>
      </c>
      <c r="BD390" t="str">
        <f t="shared" si="219"/>
        <v>Velodrome</v>
      </c>
      <c r="BE390" t="s">
        <v>7</v>
      </c>
      <c r="BF390" t="s">
        <v>192</v>
      </c>
      <c r="BG390" t="s">
        <v>68</v>
      </c>
      <c r="BI390" cm="1">
        <f t="array" ref="BI390">IFERROR(_xlfn._xlws.FILTER(shifts!A:A,(shifts!B:B=events!AD390)*(shifts!AG:AG&gt;=events!BK390)*(shifts!AH:AH&lt;=events!BL390)),BI389)</f>
        <v>22</v>
      </c>
      <c r="BJ390" s="15">
        <f t="shared" si="220"/>
        <v>0</v>
      </c>
      <c r="BK390">
        <f t="shared" si="227"/>
        <v>585</v>
      </c>
      <c r="BL390">
        <f t="shared" si="228"/>
        <v>585</v>
      </c>
      <c r="BM390" s="15">
        <f>SUMIFS(BJ$2:BJ390,K$2:K390,"=Intermission")+SUMIFS(BJ$2:BJ390,K$2:K390,"=Timeout")</f>
        <v>0</v>
      </c>
      <c r="BN390">
        <f t="shared" si="229"/>
        <v>0</v>
      </c>
      <c r="BO390" s="19">
        <f t="shared" si="230"/>
        <v>495</v>
      </c>
      <c r="BP390">
        <f t="shared" si="231"/>
        <v>490</v>
      </c>
      <c r="BQ390" s="17">
        <f t="shared" si="232"/>
        <v>495</v>
      </c>
      <c r="BR390" t="str">
        <f t="shared" si="233"/>
        <v>event_team_player_1</v>
      </c>
      <c r="BS390">
        <f>COUNTIFS(S$3:S390,"="&amp;S390,AI$3:AI390,"="&amp;AI390)</f>
        <v>1</v>
      </c>
      <c r="BT390" t="str">
        <f>IFERROR(VLOOKUP(BB390&amp;BU390&amp;X390,game_rosters!U:W,3,FALSE),"")</f>
        <v>P100066</v>
      </c>
      <c r="BU390" t="str">
        <f t="shared" si="234"/>
        <v>Nelson</v>
      </c>
    </row>
    <row r="391" spans="1:73" x14ac:dyDescent="0.2">
      <c r="A391">
        <f t="shared" si="221"/>
        <v>1</v>
      </c>
      <c r="E391" s="4"/>
      <c r="F391" s="43"/>
      <c r="G391" s="4"/>
      <c r="H391" s="46"/>
      <c r="J391" s="44" t="str">
        <f t="shared" si="235"/>
        <v/>
      </c>
      <c r="K391" t="s">
        <v>7</v>
      </c>
      <c r="L391" t="s">
        <v>192</v>
      </c>
      <c r="M391" t="s">
        <v>68</v>
      </c>
      <c r="N391" t="str">
        <f t="shared" si="206"/>
        <v>u</v>
      </c>
      <c r="Q391" t="str">
        <f t="shared" si="204"/>
        <v/>
      </c>
      <c r="S391">
        <v>217</v>
      </c>
      <c r="U391" t="str">
        <f>IF(B391=1,MAX($U$2:$U390)+1,IF(AND($T391&lt;&gt;"",$T391=$T390),$U390,IF(B391="x",U390,"")))</f>
        <v/>
      </c>
      <c r="V391" t="str">
        <f>IF(C391=1,MAX($V$2:$V390)+1,IF(AND($T391&lt;&gt;"",$T391=$T390),$U390,IF(C391="x",V390,"")))</f>
        <v/>
      </c>
      <c r="W391" t="str">
        <f t="shared" si="210"/>
        <v>h</v>
      </c>
      <c r="X391">
        <v>37</v>
      </c>
      <c r="Y391" t="b">
        <f>IF(X391&lt;&gt;"",VLOOKUP(X391,game_rosters!$C$43:$E$64,3,FALSE))</f>
        <v>0</v>
      </c>
      <c r="Z391" cm="1">
        <f t="array" ref="Z391">IFERROR(IF(_xlfn._xlws.FILTER(game_rosters!$J:$J,(game_rosters!$G:$G=events!$AN391)*(game_rosters!$J:$J=events!$X391))&gt;0,1,""),"")</f>
        <v>1</v>
      </c>
      <c r="AA391">
        <f t="shared" si="211"/>
        <v>1217</v>
      </c>
      <c r="AB391" t="str">
        <f t="shared" si="212"/>
        <v/>
      </c>
      <c r="AC391">
        <f t="shared" si="209"/>
        <v>1217</v>
      </c>
      <c r="AD391" s="6">
        <v>1</v>
      </c>
      <c r="AE391" t="s">
        <v>933</v>
      </c>
      <c r="AF391" t="s">
        <v>935</v>
      </c>
      <c r="AG391" t="s">
        <v>756</v>
      </c>
      <c r="AH391" t="s">
        <v>756</v>
      </c>
      <c r="AI391" t="s">
        <v>367</v>
      </c>
      <c r="AJ391" t="str">
        <f t="shared" si="213"/>
        <v/>
      </c>
      <c r="AK391" t="str">
        <f t="shared" si="213"/>
        <v/>
      </c>
      <c r="AL391" t="str">
        <f t="shared" si="214"/>
        <v/>
      </c>
      <c r="AN391" t="s">
        <v>861</v>
      </c>
      <c r="AO391" t="str">
        <f t="shared" si="215"/>
        <v>h</v>
      </c>
      <c r="AP391" t="str">
        <f t="shared" si="222"/>
        <v/>
      </c>
      <c r="AQ391" t="str">
        <f t="shared" si="223"/>
        <v/>
      </c>
      <c r="AR391" t="str">
        <f t="shared" si="224"/>
        <v>Home</v>
      </c>
      <c r="AS391" t="str">
        <f t="shared" si="225"/>
        <v>h</v>
      </c>
      <c r="AT391" t="str">
        <f t="shared" si="226"/>
        <v>Offensive</v>
      </c>
      <c r="BA391" s="6">
        <f t="shared" si="216"/>
        <v>100</v>
      </c>
      <c r="BB391">
        <f t="shared" si="217"/>
        <v>18981</v>
      </c>
      <c r="BC391" t="str">
        <f t="shared" si="218"/>
        <v>Nelson</v>
      </c>
      <c r="BD391" t="str">
        <f t="shared" si="219"/>
        <v>Velodrome</v>
      </c>
      <c r="BE391" t="s">
        <v>7</v>
      </c>
      <c r="BF391" t="s">
        <v>192</v>
      </c>
      <c r="BG391" t="s">
        <v>68</v>
      </c>
      <c r="BI391" cm="1">
        <f t="array" ref="BI391">IFERROR(_xlfn._xlws.FILTER(shifts!A:A,(shifts!B:B=events!AD391)*(shifts!AG:AG&gt;=events!BK391)*(shifts!AH:AH&lt;=events!BL391)),BI390)</f>
        <v>22</v>
      </c>
      <c r="BJ391" s="15">
        <f t="shared" si="220"/>
        <v>0</v>
      </c>
      <c r="BK391">
        <f t="shared" si="227"/>
        <v>585</v>
      </c>
      <c r="BL391">
        <f t="shared" si="228"/>
        <v>585</v>
      </c>
      <c r="BM391" s="15">
        <f>SUMIFS(BJ$2:BJ391,K$2:K391,"=Intermission")+SUMIFS(BJ$2:BJ391,K$2:K391,"=Timeout")</f>
        <v>0</v>
      </c>
      <c r="BN391">
        <f t="shared" si="229"/>
        <v>0</v>
      </c>
      <c r="BO391" s="19">
        <f t="shared" si="230"/>
        <v>495</v>
      </c>
      <c r="BP391">
        <f t="shared" si="231"/>
        <v>490</v>
      </c>
      <c r="BQ391" s="17">
        <f t="shared" si="232"/>
        <v>495</v>
      </c>
      <c r="BR391" t="str">
        <f t="shared" si="233"/>
        <v>event_team_player_2</v>
      </c>
      <c r="BS391">
        <f>COUNTIFS(S$3:S391,"="&amp;S391,AI$3:AI391,"="&amp;AI391)</f>
        <v>2</v>
      </c>
      <c r="BT391" t="str">
        <f>IFERROR(VLOOKUP(BB391&amp;BU391&amp;X391,game_rosters!U:W,3,FALSE),"")</f>
        <v>P100119</v>
      </c>
      <c r="BU391" t="str">
        <f t="shared" si="234"/>
        <v>Nelson</v>
      </c>
    </row>
    <row r="392" spans="1:73" x14ac:dyDescent="0.2">
      <c r="A392">
        <f t="shared" si="221"/>
        <v>1</v>
      </c>
      <c r="E392" s="4"/>
      <c r="F392" s="43"/>
      <c r="G392" s="4"/>
      <c r="H392" s="46"/>
      <c r="J392" s="44" t="str">
        <f t="shared" si="235"/>
        <v/>
      </c>
      <c r="K392" t="s">
        <v>7</v>
      </c>
      <c r="L392" t="s">
        <v>192</v>
      </c>
      <c r="M392" t="s">
        <v>68</v>
      </c>
      <c r="N392" t="str">
        <f t="shared" si="206"/>
        <v>u</v>
      </c>
      <c r="Q392" t="str">
        <f t="shared" si="204"/>
        <v/>
      </c>
      <c r="S392">
        <v>217</v>
      </c>
      <c r="U392" t="str">
        <f>IF(B392=1,MAX($U$2:$U391)+1,IF(AND($T392&lt;&gt;"",$T392=$T391),$U391,IF(B392="x",U391,"")))</f>
        <v/>
      </c>
      <c r="V392" t="str">
        <f>IF(C392=1,MAX($V$2:$V391)+1,IF(AND($T392&lt;&gt;"",$T392=$T391),$U391,IF(C392="x",V391,"")))</f>
        <v/>
      </c>
      <c r="W392" t="str">
        <f t="shared" si="210"/>
        <v>h</v>
      </c>
      <c r="X392">
        <v>91</v>
      </c>
      <c r="Y392" t="e">
        <f>IF(X392&lt;&gt;"",VLOOKUP(X392,game_rosters!$C$43:$E$64,3,FALSE))</f>
        <v>#N/A</v>
      </c>
      <c r="Z392" t="str" cm="1">
        <f t="array" ref="Z392">IFERROR(IF(_xlfn._xlws.FILTER(game_rosters!$J:$J,(game_rosters!$G:$G=events!$AN392)*(game_rosters!$J:$J=events!$X392))&gt;0,1,""),"")</f>
        <v/>
      </c>
      <c r="AA392">
        <f t="shared" si="211"/>
        <v>1217</v>
      </c>
      <c r="AB392" t="str">
        <f t="shared" si="212"/>
        <v/>
      </c>
      <c r="AC392">
        <f t="shared" si="209"/>
        <v>1217</v>
      </c>
      <c r="AD392" s="6">
        <v>1</v>
      </c>
      <c r="AE392" t="s">
        <v>933</v>
      </c>
      <c r="AF392" t="s">
        <v>935</v>
      </c>
      <c r="AG392" t="s">
        <v>756</v>
      </c>
      <c r="AH392" t="s">
        <v>756</v>
      </c>
      <c r="AI392" t="s">
        <v>368</v>
      </c>
      <c r="AJ392" t="str">
        <f t="shared" si="213"/>
        <v/>
      </c>
      <c r="AK392" t="str">
        <f t="shared" si="213"/>
        <v/>
      </c>
      <c r="AL392" t="str">
        <f t="shared" si="214"/>
        <v/>
      </c>
      <c r="AN392" t="s">
        <v>861</v>
      </c>
      <c r="AO392" t="str">
        <f t="shared" si="215"/>
        <v>h</v>
      </c>
      <c r="AP392" t="str">
        <f t="shared" si="222"/>
        <v/>
      </c>
      <c r="AQ392" t="str">
        <f t="shared" si="223"/>
        <v/>
      </c>
      <c r="AR392" t="str">
        <f t="shared" si="224"/>
        <v>Home</v>
      </c>
      <c r="AS392" t="str">
        <f t="shared" si="225"/>
        <v>h</v>
      </c>
      <c r="AT392" t="str">
        <f t="shared" si="226"/>
        <v>Defensive</v>
      </c>
      <c r="BA392" s="6">
        <f t="shared" si="216"/>
        <v>100</v>
      </c>
      <c r="BB392">
        <f t="shared" si="217"/>
        <v>18981</v>
      </c>
      <c r="BC392" t="str">
        <f t="shared" si="218"/>
        <v>Nelson</v>
      </c>
      <c r="BD392" t="str">
        <f t="shared" si="219"/>
        <v>Velodrome</v>
      </c>
      <c r="BE392" t="s">
        <v>7</v>
      </c>
      <c r="BF392" t="s">
        <v>192</v>
      </c>
      <c r="BG392" t="s">
        <v>68</v>
      </c>
      <c r="BI392" cm="1">
        <f t="array" ref="BI392">IFERROR(_xlfn._xlws.FILTER(shifts!A:A,(shifts!B:B=events!AD392)*(shifts!AG:AG&gt;=events!BK392)*(shifts!AH:AH&lt;=events!BL392)),BI391)</f>
        <v>22</v>
      </c>
      <c r="BJ392" s="15">
        <f t="shared" si="220"/>
        <v>0</v>
      </c>
      <c r="BK392">
        <f t="shared" si="227"/>
        <v>585</v>
      </c>
      <c r="BL392">
        <f t="shared" si="228"/>
        <v>585</v>
      </c>
      <c r="BM392" s="15">
        <f>SUMIFS(BJ$2:BJ392,K$2:K392,"=Intermission")+SUMIFS(BJ$2:BJ392,K$2:K392,"=Timeout")</f>
        <v>0</v>
      </c>
      <c r="BN392">
        <f t="shared" si="229"/>
        <v>0</v>
      </c>
      <c r="BO392" s="19">
        <f t="shared" si="230"/>
        <v>495</v>
      </c>
      <c r="BP392">
        <f t="shared" si="231"/>
        <v>490</v>
      </c>
      <c r="BQ392" s="17">
        <f t="shared" si="232"/>
        <v>495</v>
      </c>
      <c r="BR392" t="str">
        <f t="shared" si="233"/>
        <v>opp_team_player_1</v>
      </c>
      <c r="BS392">
        <f>COUNTIFS(S$3:S392,"="&amp;S392,AI$3:AI392,"="&amp;AI392)</f>
        <v>1</v>
      </c>
      <c r="BT392" t="str">
        <f>IFERROR(VLOOKUP(BB392&amp;BU392&amp;X392,game_rosters!U:W,3,FALSE),"")</f>
        <v>P100002</v>
      </c>
      <c r="BU392" t="str">
        <f t="shared" si="234"/>
        <v>Velodrome</v>
      </c>
    </row>
    <row r="393" spans="1:73" x14ac:dyDescent="0.2">
      <c r="A393">
        <f t="shared" si="221"/>
        <v>1</v>
      </c>
      <c r="E393" s="4"/>
      <c r="F393" s="43"/>
      <c r="G393" s="4"/>
      <c r="H393" s="46"/>
      <c r="J393" s="44" t="str">
        <f t="shared" si="235"/>
        <v/>
      </c>
      <c r="K393" t="s">
        <v>11</v>
      </c>
      <c r="L393" t="s">
        <v>187</v>
      </c>
      <c r="M393" t="s">
        <v>105</v>
      </c>
      <c r="N393" t="str">
        <f t="shared" si="206"/>
        <v/>
      </c>
      <c r="Q393" t="str">
        <f t="shared" si="204"/>
        <v/>
      </c>
      <c r="S393">
        <v>218</v>
      </c>
      <c r="U393" t="str">
        <f>IF(B393=1,MAX($U$2:$U392)+1,IF(AND($T393&lt;&gt;"",$T393=$T392),$U392,IF(B393="x",U392,"")))</f>
        <v/>
      </c>
      <c r="V393" t="str">
        <f>IF(C393=1,MAX($V$2:$V392)+1,IF(AND($T393&lt;&gt;"",$T393=$T392),$U392,IF(C393="x",V392,"")))</f>
        <v/>
      </c>
      <c r="W393" t="str">
        <f t="shared" si="210"/>
        <v>a</v>
      </c>
      <c r="X393">
        <v>91</v>
      </c>
      <c r="Y393" t="e">
        <f>IF(X393&lt;&gt;"",VLOOKUP(X393,game_rosters!$C$43:$E$64,3,FALSE))</f>
        <v>#N/A</v>
      </c>
      <c r="Z393" cm="1">
        <f t="array" ref="Z393">IFERROR(IF(_xlfn._xlws.FILTER(game_rosters!$J:$J,(game_rosters!$G:$G=events!$AN393)*(game_rosters!$J:$J=events!$X393))&gt;0,1,""),"")</f>
        <v>1</v>
      </c>
      <c r="AA393">
        <f t="shared" si="211"/>
        <v>1218</v>
      </c>
      <c r="AB393" t="str">
        <f t="shared" si="212"/>
        <v/>
      </c>
      <c r="AC393">
        <f t="shared" si="209"/>
        <v>1218</v>
      </c>
      <c r="AD393" s="6">
        <v>1</v>
      </c>
      <c r="AE393" t="s">
        <v>933</v>
      </c>
      <c r="AF393" t="s">
        <v>935</v>
      </c>
      <c r="AG393" t="s">
        <v>756</v>
      </c>
      <c r="AH393" t="s">
        <v>756</v>
      </c>
      <c r="AI393" t="s">
        <v>367</v>
      </c>
      <c r="AJ393" t="str">
        <f t="shared" si="213"/>
        <v/>
      </c>
      <c r="AK393" t="str">
        <f t="shared" si="213"/>
        <v/>
      </c>
      <c r="AL393" t="str">
        <f t="shared" si="214"/>
        <v/>
      </c>
      <c r="AN393" t="s">
        <v>862</v>
      </c>
      <c r="AO393" t="str">
        <f t="shared" si="215"/>
        <v>a</v>
      </c>
      <c r="AP393" t="str">
        <f t="shared" si="222"/>
        <v/>
      </c>
      <c r="AQ393" t="str">
        <f t="shared" si="223"/>
        <v/>
      </c>
      <c r="AR393" t="str">
        <f t="shared" si="224"/>
        <v>Away</v>
      </c>
      <c r="AS393" t="str">
        <f t="shared" si="225"/>
        <v>a</v>
      </c>
      <c r="AT393" t="str">
        <f t="shared" si="226"/>
        <v/>
      </c>
      <c r="BA393" s="6">
        <f t="shared" si="216"/>
        <v>100</v>
      </c>
      <c r="BB393">
        <f t="shared" si="217"/>
        <v>18981</v>
      </c>
      <c r="BC393" t="str">
        <f t="shared" si="218"/>
        <v>Nelson</v>
      </c>
      <c r="BD393" t="str">
        <f t="shared" si="219"/>
        <v>Velodrome</v>
      </c>
      <c r="BE393" t="s">
        <v>11</v>
      </c>
      <c r="BF393" t="s">
        <v>187</v>
      </c>
      <c r="BG393" t="s">
        <v>105</v>
      </c>
      <c r="BI393" cm="1">
        <f t="array" ref="BI393">IFERROR(_xlfn._xlws.FILTER(shifts!A:A,(shifts!B:B=events!AD393)*(shifts!AG:AG&gt;=events!BK393)*(shifts!AH:AH&lt;=events!BL393)),BI392)</f>
        <v>22</v>
      </c>
      <c r="BJ393" s="15">
        <f t="shared" si="220"/>
        <v>0</v>
      </c>
      <c r="BK393">
        <f t="shared" si="227"/>
        <v>585</v>
      </c>
      <c r="BL393">
        <f t="shared" si="228"/>
        <v>585</v>
      </c>
      <c r="BM393" s="15">
        <f>SUMIFS(BJ$2:BJ393,K$2:K393,"=Intermission")+SUMIFS(BJ$2:BJ393,K$2:K393,"=Timeout")</f>
        <v>0</v>
      </c>
      <c r="BN393">
        <f t="shared" si="229"/>
        <v>0</v>
      </c>
      <c r="BO393" s="19">
        <f t="shared" si="230"/>
        <v>495</v>
      </c>
      <c r="BP393">
        <f t="shared" si="231"/>
        <v>490</v>
      </c>
      <c r="BQ393" s="17">
        <f t="shared" si="232"/>
        <v>495</v>
      </c>
      <c r="BR393" t="str">
        <f t="shared" si="233"/>
        <v>event_team_player_1</v>
      </c>
      <c r="BS393">
        <f>COUNTIFS(S$3:S393,"="&amp;S393,AI$3:AI393,"="&amp;AI393)</f>
        <v>1</v>
      </c>
      <c r="BT393" t="str">
        <f>IFERROR(VLOOKUP(BB393&amp;BU393&amp;X393,game_rosters!U:W,3,FALSE),"")</f>
        <v>P100002</v>
      </c>
      <c r="BU393" t="str">
        <f t="shared" si="234"/>
        <v>Velodrome</v>
      </c>
    </row>
    <row r="394" spans="1:73" x14ac:dyDescent="0.2">
      <c r="A394">
        <f t="shared" si="221"/>
        <v>1</v>
      </c>
      <c r="E394" s="4"/>
      <c r="F394" s="43"/>
      <c r="G394" s="4"/>
      <c r="H394" s="46"/>
      <c r="J394" s="44" t="str">
        <f t="shared" si="235"/>
        <v/>
      </c>
      <c r="K394" t="s">
        <v>241</v>
      </c>
      <c r="L394" t="s">
        <v>756</v>
      </c>
      <c r="M394" t="s">
        <v>756</v>
      </c>
      <c r="N394" t="str">
        <f t="shared" si="206"/>
        <v/>
      </c>
      <c r="Q394" t="str">
        <f t="shared" si="204"/>
        <v/>
      </c>
      <c r="S394">
        <v>219</v>
      </c>
      <c r="U394" t="str">
        <f>IF(B394=1,MAX($U$2:$U393)+1,IF(AND($T394&lt;&gt;"",$T394=$T393),$U393,IF(B394="x",U393,"")))</f>
        <v/>
      </c>
      <c r="V394" t="str">
        <f>IF(C394=1,MAX($V$2:$V393)+1,IF(AND($T394&lt;&gt;"",$T394=$T393),$U393,IF(C394="x",V393,"")))</f>
        <v/>
      </c>
      <c r="W394" t="str">
        <f t="shared" si="210"/>
        <v>a</v>
      </c>
      <c r="X394">
        <v>91</v>
      </c>
      <c r="Y394" t="e">
        <f>IF(X394&lt;&gt;"",VLOOKUP(X394,game_rosters!$C$43:$E$64,3,FALSE))</f>
        <v>#N/A</v>
      </c>
      <c r="Z394" cm="1">
        <f t="array" ref="Z394">IFERROR(IF(_xlfn._xlws.FILTER(game_rosters!$J:$J,(game_rosters!$G:$G=events!$AN394)*(game_rosters!$J:$J=events!$X394))&gt;0,1,""),"")</f>
        <v>1</v>
      </c>
      <c r="AA394">
        <f t="shared" si="211"/>
        <v>1219</v>
      </c>
      <c r="AB394" t="str">
        <f t="shared" si="212"/>
        <v/>
      </c>
      <c r="AC394">
        <f t="shared" si="209"/>
        <v>1219</v>
      </c>
      <c r="AD394" s="6">
        <v>1</v>
      </c>
      <c r="AE394" t="s">
        <v>933</v>
      </c>
      <c r="AF394" t="s">
        <v>935</v>
      </c>
      <c r="AG394" t="s">
        <v>933</v>
      </c>
      <c r="AH394" t="s">
        <v>917</v>
      </c>
      <c r="AI394" t="s">
        <v>367</v>
      </c>
      <c r="AJ394" t="str">
        <f t="shared" si="213"/>
        <v/>
      </c>
      <c r="AK394" t="str">
        <f t="shared" si="213"/>
        <v/>
      </c>
      <c r="AL394" t="str">
        <f t="shared" si="214"/>
        <v/>
      </c>
      <c r="AN394" t="s">
        <v>862</v>
      </c>
      <c r="AO394" t="str">
        <f t="shared" si="215"/>
        <v>a</v>
      </c>
      <c r="AP394" t="str">
        <f t="shared" si="222"/>
        <v/>
      </c>
      <c r="AQ394" t="str">
        <f t="shared" si="223"/>
        <v/>
      </c>
      <c r="AR394" t="str">
        <f t="shared" si="224"/>
        <v>Away</v>
      </c>
      <c r="AS394" t="str">
        <f t="shared" si="225"/>
        <v>a</v>
      </c>
      <c r="AT394" t="str">
        <f t="shared" si="226"/>
        <v/>
      </c>
      <c r="BA394" s="6">
        <f t="shared" si="216"/>
        <v>100</v>
      </c>
      <c r="BB394">
        <f t="shared" si="217"/>
        <v>18981</v>
      </c>
      <c r="BC394" t="str">
        <f t="shared" si="218"/>
        <v>Nelson</v>
      </c>
      <c r="BD394" t="str">
        <f t="shared" si="219"/>
        <v>Velodrome</v>
      </c>
      <c r="BE394" t="s">
        <v>241</v>
      </c>
      <c r="BF394" t="s">
        <v>756</v>
      </c>
      <c r="BG394" t="s">
        <v>756</v>
      </c>
      <c r="BI394" cm="1">
        <f t="array" ref="BI394">IFERROR(_xlfn._xlws.FILTER(shifts!A:A,(shifts!B:B=events!AD394)*(shifts!AG:AG&gt;=events!BK394)*(shifts!AH:AH&lt;=events!BL394)),BI393)</f>
        <v>22</v>
      </c>
      <c r="BJ394" s="15">
        <f t="shared" si="220"/>
        <v>22</v>
      </c>
      <c r="BK394">
        <f t="shared" si="227"/>
        <v>585</v>
      </c>
      <c r="BL394">
        <f t="shared" si="228"/>
        <v>563</v>
      </c>
      <c r="BM394" s="15">
        <f>SUMIFS(BJ$2:BJ394,K$2:K394,"=Intermission")+SUMIFS(BJ$2:BJ394,K$2:K394,"=Timeout")</f>
        <v>0</v>
      </c>
      <c r="BN394">
        <f t="shared" si="229"/>
        <v>0</v>
      </c>
      <c r="BO394" s="19">
        <f t="shared" si="230"/>
        <v>495</v>
      </c>
      <c r="BP394">
        <f t="shared" si="231"/>
        <v>490</v>
      </c>
      <c r="BQ394" s="17">
        <f t="shared" si="232"/>
        <v>517</v>
      </c>
      <c r="BR394" t="str">
        <f t="shared" si="233"/>
        <v>event_team_player_1</v>
      </c>
      <c r="BS394">
        <f>COUNTIFS(S$3:S394,"="&amp;S394,AI$3:AI394,"="&amp;AI394)</f>
        <v>1</v>
      </c>
      <c r="BT394" t="str">
        <f>IFERROR(VLOOKUP(BB394&amp;BU394&amp;X394,game_rosters!U:W,3,FALSE),"")</f>
        <v>P100002</v>
      </c>
      <c r="BU394" t="str">
        <f t="shared" si="234"/>
        <v>Velodrome</v>
      </c>
    </row>
    <row r="395" spans="1:73" x14ac:dyDescent="0.2">
      <c r="A395">
        <f t="shared" si="221"/>
        <v>1</v>
      </c>
      <c r="E395" s="4"/>
      <c r="F395" s="43"/>
      <c r="G395" s="4"/>
      <c r="H395" s="46"/>
      <c r="J395" s="44" t="str">
        <f t="shared" si="235"/>
        <v/>
      </c>
      <c r="K395" t="s">
        <v>5</v>
      </c>
      <c r="L395" t="s">
        <v>236</v>
      </c>
      <c r="M395" t="s">
        <v>756</v>
      </c>
      <c r="N395" t="str">
        <f t="shared" si="206"/>
        <v/>
      </c>
      <c r="Q395" t="str">
        <f t="shared" si="204"/>
        <v/>
      </c>
      <c r="S395">
        <v>220</v>
      </c>
      <c r="U395" t="str">
        <f>IF(B395=1,MAX($U$2:$U394)+1,IF(AND($T395&lt;&gt;"",$T395=$T394),$U394,IF(B395="x",U394,"")))</f>
        <v/>
      </c>
      <c r="V395" t="str">
        <f>IF(C395=1,MAX($V$2:$V394)+1,IF(AND($T395&lt;&gt;"",$T395=$T394),$U394,IF(C395="x",V394,"")))</f>
        <v/>
      </c>
      <c r="W395" t="str">
        <f t="shared" si="210"/>
        <v>h</v>
      </c>
      <c r="X395">
        <v>79</v>
      </c>
      <c r="Y395" t="b">
        <f>IF(X395&lt;&gt;"",VLOOKUP(X395,game_rosters!$C$43:$E$64,3,FALSE))</f>
        <v>0</v>
      </c>
      <c r="Z395" cm="1">
        <f t="array" ref="Z395">IFERROR(IF(_xlfn._xlws.FILTER(game_rosters!$J:$J,(game_rosters!$G:$G=events!$AN395)*(game_rosters!$J:$J=events!$X395))&gt;0,1,""),"")</f>
        <v>1</v>
      </c>
      <c r="AA395">
        <f t="shared" si="211"/>
        <v>1220</v>
      </c>
      <c r="AB395" t="str">
        <f t="shared" si="212"/>
        <v/>
      </c>
      <c r="AC395">
        <f t="shared" si="209"/>
        <v>1220</v>
      </c>
      <c r="AD395" s="6">
        <v>1</v>
      </c>
      <c r="AE395" t="s">
        <v>933</v>
      </c>
      <c r="AF395" t="s">
        <v>917</v>
      </c>
      <c r="AG395" t="s">
        <v>756</v>
      </c>
      <c r="AH395" t="s">
        <v>756</v>
      </c>
      <c r="AI395" t="s">
        <v>367</v>
      </c>
      <c r="AJ395" t="str">
        <f t="shared" si="213"/>
        <v/>
      </c>
      <c r="AK395" t="str">
        <f t="shared" si="213"/>
        <v/>
      </c>
      <c r="AL395" t="str">
        <f t="shared" si="214"/>
        <v/>
      </c>
      <c r="AN395" t="s">
        <v>861</v>
      </c>
      <c r="AO395" t="str">
        <f t="shared" si="215"/>
        <v>h</v>
      </c>
      <c r="AP395" t="str">
        <f t="shared" si="222"/>
        <v/>
      </c>
      <c r="AQ395" t="str">
        <f t="shared" si="223"/>
        <v/>
      </c>
      <c r="AR395" t="str">
        <f t="shared" si="224"/>
        <v>Home</v>
      </c>
      <c r="AS395" t="str">
        <f t="shared" si="225"/>
        <v>h</v>
      </c>
      <c r="AT395" t="str">
        <f t="shared" si="226"/>
        <v>Offensive</v>
      </c>
      <c r="BA395" s="6">
        <f t="shared" si="216"/>
        <v>100</v>
      </c>
      <c r="BB395">
        <f t="shared" si="217"/>
        <v>18981</v>
      </c>
      <c r="BC395" t="str">
        <f t="shared" si="218"/>
        <v>Nelson</v>
      </c>
      <c r="BD395" t="str">
        <f t="shared" si="219"/>
        <v>Velodrome</v>
      </c>
      <c r="BE395" t="s">
        <v>5</v>
      </c>
      <c r="BF395" t="s">
        <v>236</v>
      </c>
      <c r="BG395" t="s">
        <v>756</v>
      </c>
      <c r="BI395" cm="1">
        <f t="array" ref="BI395">IFERROR(_xlfn._xlws.FILTER(shifts!A:A,(shifts!B:B=events!AD395)*(shifts!AG:AG&gt;=events!BK395)*(shifts!AH:AH&lt;=events!BL395)),BI394)</f>
        <v>23</v>
      </c>
      <c r="BJ395" s="15">
        <f t="shared" si="220"/>
        <v>0</v>
      </c>
      <c r="BK395">
        <f t="shared" si="227"/>
        <v>563</v>
      </c>
      <c r="BL395">
        <f t="shared" si="228"/>
        <v>563</v>
      </c>
      <c r="BM395" s="15">
        <f>SUMIFS(BJ$2:BJ395,K$2:K395,"=Intermission")+SUMIFS(BJ$2:BJ395,K$2:K395,"=Timeout")</f>
        <v>0</v>
      </c>
      <c r="BN395">
        <f t="shared" si="229"/>
        <v>0</v>
      </c>
      <c r="BO395" s="19">
        <f t="shared" si="230"/>
        <v>517</v>
      </c>
      <c r="BP395">
        <f t="shared" si="231"/>
        <v>512</v>
      </c>
      <c r="BQ395" s="17">
        <f t="shared" si="232"/>
        <v>517</v>
      </c>
      <c r="BR395" t="str">
        <f t="shared" si="233"/>
        <v>event_team_player_1</v>
      </c>
      <c r="BS395">
        <f>COUNTIFS(S$3:S395,"="&amp;S395,AI$3:AI395,"="&amp;AI395)</f>
        <v>1</v>
      </c>
      <c r="BT395" t="str">
        <f>IFERROR(VLOOKUP(BB395&amp;BU395&amp;X395,game_rosters!U:W,3,FALSE),"")</f>
        <v>P100066</v>
      </c>
      <c r="BU395" t="str">
        <f t="shared" si="234"/>
        <v>Nelson</v>
      </c>
    </row>
    <row r="396" spans="1:73" x14ac:dyDescent="0.2">
      <c r="A396">
        <f t="shared" si="221"/>
        <v>1</v>
      </c>
      <c r="E396" s="4"/>
      <c r="F396" s="43"/>
      <c r="G396" s="4"/>
      <c r="H396" s="46"/>
      <c r="J396" s="44" t="str">
        <f t="shared" si="235"/>
        <v/>
      </c>
      <c r="K396" t="s">
        <v>5</v>
      </c>
      <c r="L396" t="s">
        <v>236</v>
      </c>
      <c r="M396" t="s">
        <v>756</v>
      </c>
      <c r="N396" t="str">
        <f t="shared" si="206"/>
        <v/>
      </c>
      <c r="Q396" t="str">
        <f t="shared" si="204"/>
        <v/>
      </c>
      <c r="S396">
        <v>220</v>
      </c>
      <c r="U396" t="str">
        <f>IF(B396=1,MAX($U$2:$U395)+1,IF(AND($T396&lt;&gt;"",$T396=$T395),$U395,IF(B396="x",U395,"")))</f>
        <v/>
      </c>
      <c r="V396" t="str">
        <f>IF(C396=1,MAX($V$2:$V395)+1,IF(AND($T396&lt;&gt;"",$T396=$T395),$U395,IF(C396="x",V395,"")))</f>
        <v/>
      </c>
      <c r="W396" t="str">
        <f t="shared" si="210"/>
        <v>h</v>
      </c>
      <c r="X396">
        <v>37</v>
      </c>
      <c r="Y396" t="b">
        <f>IF(X396&lt;&gt;"",VLOOKUP(X396,game_rosters!$C$43:$E$64,3,FALSE))</f>
        <v>0</v>
      </c>
      <c r="Z396" cm="1">
        <f t="array" ref="Z396">IFERROR(IF(_xlfn._xlws.FILTER(game_rosters!$J:$J,(game_rosters!$G:$G=events!$AN396)*(game_rosters!$J:$J=events!$X396))&gt;0,1,""),"")</f>
        <v>1</v>
      </c>
      <c r="AA396">
        <f t="shared" si="211"/>
        <v>1220</v>
      </c>
      <c r="AB396" t="str">
        <f t="shared" si="212"/>
        <v/>
      </c>
      <c r="AC396">
        <f t="shared" si="209"/>
        <v>1220</v>
      </c>
      <c r="AD396" s="6">
        <v>1</v>
      </c>
      <c r="AE396" t="s">
        <v>933</v>
      </c>
      <c r="AF396" t="s">
        <v>917</v>
      </c>
      <c r="AG396" t="s">
        <v>756</v>
      </c>
      <c r="AH396" t="s">
        <v>756</v>
      </c>
      <c r="AI396" t="s">
        <v>367</v>
      </c>
      <c r="AJ396" t="str">
        <f t="shared" si="213"/>
        <v/>
      </c>
      <c r="AK396" t="str">
        <f t="shared" si="213"/>
        <v/>
      </c>
      <c r="AL396" t="str">
        <f t="shared" si="214"/>
        <v/>
      </c>
      <c r="AN396" t="s">
        <v>861</v>
      </c>
      <c r="AO396" t="str">
        <f t="shared" si="215"/>
        <v>h</v>
      </c>
      <c r="AP396" t="str">
        <f t="shared" si="222"/>
        <v/>
      </c>
      <c r="AQ396" t="str">
        <f t="shared" si="223"/>
        <v/>
      </c>
      <c r="AR396" t="str">
        <f t="shared" si="224"/>
        <v>Home</v>
      </c>
      <c r="AS396" t="str">
        <f t="shared" si="225"/>
        <v>h</v>
      </c>
      <c r="AT396" t="str">
        <f t="shared" si="226"/>
        <v>Offensive</v>
      </c>
      <c r="BA396" s="6">
        <f t="shared" si="216"/>
        <v>100</v>
      </c>
      <c r="BB396">
        <f t="shared" si="217"/>
        <v>18981</v>
      </c>
      <c r="BC396" t="str">
        <f t="shared" si="218"/>
        <v>Nelson</v>
      </c>
      <c r="BD396" t="str">
        <f t="shared" si="219"/>
        <v>Velodrome</v>
      </c>
      <c r="BE396" t="s">
        <v>5</v>
      </c>
      <c r="BF396" t="s">
        <v>236</v>
      </c>
      <c r="BG396" t="s">
        <v>756</v>
      </c>
      <c r="BI396" cm="1">
        <f t="array" ref="BI396">IFERROR(_xlfn._xlws.FILTER(shifts!A:A,(shifts!B:B=events!AD396)*(shifts!AG:AG&gt;=events!BK396)*(shifts!AH:AH&lt;=events!BL396)),BI395)</f>
        <v>23</v>
      </c>
      <c r="BJ396" s="15">
        <f t="shared" si="220"/>
        <v>0</v>
      </c>
      <c r="BK396">
        <f t="shared" si="227"/>
        <v>563</v>
      </c>
      <c r="BL396">
        <f t="shared" si="228"/>
        <v>563</v>
      </c>
      <c r="BM396" s="15">
        <f>SUMIFS(BJ$2:BJ396,K$2:K396,"=Intermission")+SUMIFS(BJ$2:BJ396,K$2:K396,"=Timeout")</f>
        <v>0</v>
      </c>
      <c r="BN396">
        <f t="shared" si="229"/>
        <v>0</v>
      </c>
      <c r="BO396" s="19">
        <f t="shared" si="230"/>
        <v>517</v>
      </c>
      <c r="BP396">
        <f t="shared" si="231"/>
        <v>512</v>
      </c>
      <c r="BQ396" s="17">
        <f t="shared" si="232"/>
        <v>517</v>
      </c>
      <c r="BR396" t="str">
        <f t="shared" si="233"/>
        <v>event_team_player_2</v>
      </c>
      <c r="BS396">
        <f>COUNTIFS(S$3:S396,"="&amp;S396,AI$3:AI396,"="&amp;AI396)</f>
        <v>2</v>
      </c>
      <c r="BT396" t="str">
        <f>IFERROR(VLOOKUP(BB396&amp;BU396&amp;X396,game_rosters!U:W,3,FALSE),"")</f>
        <v>P100119</v>
      </c>
      <c r="BU396" t="str">
        <f t="shared" si="234"/>
        <v>Nelson</v>
      </c>
    </row>
    <row r="397" spans="1:73" x14ac:dyDescent="0.2">
      <c r="A397">
        <f t="shared" si="221"/>
        <v>1</v>
      </c>
      <c r="E397" s="4"/>
      <c r="F397" s="43"/>
      <c r="G397" s="4"/>
      <c r="H397" s="46"/>
      <c r="J397" s="44" t="str">
        <f t="shared" si="235"/>
        <v/>
      </c>
      <c r="K397" t="s">
        <v>5</v>
      </c>
      <c r="L397" t="s">
        <v>236</v>
      </c>
      <c r="M397" t="s">
        <v>756</v>
      </c>
      <c r="N397" t="str">
        <f t="shared" si="206"/>
        <v/>
      </c>
      <c r="Q397" t="str">
        <f t="shared" si="204"/>
        <v/>
      </c>
      <c r="S397">
        <v>220</v>
      </c>
      <c r="U397" t="str">
        <f>IF(B397=1,MAX($U$2:$U396)+1,IF(AND($T397&lt;&gt;"",$T397=$T396),$U396,IF(B397="x",U396,"")))</f>
        <v/>
      </c>
      <c r="V397" t="str">
        <f>IF(C397=1,MAX($V$2:$V396)+1,IF(AND($T397&lt;&gt;"",$T397=$T396),$U396,IF(C397="x",V396,"")))</f>
        <v/>
      </c>
      <c r="W397" t="str">
        <f t="shared" si="210"/>
        <v>h</v>
      </c>
      <c r="X397">
        <v>42</v>
      </c>
      <c r="Y397" t="e">
        <f>IF(X397&lt;&gt;"",VLOOKUP(X397,game_rosters!$C$43:$E$64,3,FALSE))</f>
        <v>#N/A</v>
      </c>
      <c r="Z397" t="str" cm="1">
        <f t="array" ref="Z397">IFERROR(IF(_xlfn._xlws.FILTER(game_rosters!$J:$J,(game_rosters!$G:$G=events!$AN397)*(game_rosters!$J:$J=events!$X397))&gt;0,1,""),"")</f>
        <v/>
      </c>
      <c r="AA397">
        <f t="shared" si="211"/>
        <v>1220</v>
      </c>
      <c r="AB397" t="str">
        <f t="shared" si="212"/>
        <v/>
      </c>
      <c r="AC397">
        <f t="shared" si="209"/>
        <v>1220</v>
      </c>
      <c r="AD397" s="6">
        <v>1</v>
      </c>
      <c r="AE397" t="s">
        <v>933</v>
      </c>
      <c r="AF397" t="s">
        <v>917</v>
      </c>
      <c r="AG397" t="s">
        <v>756</v>
      </c>
      <c r="AH397" t="s">
        <v>756</v>
      </c>
      <c r="AI397" t="s">
        <v>368</v>
      </c>
      <c r="AJ397" t="str">
        <f t="shared" si="213"/>
        <v/>
      </c>
      <c r="AK397" t="str">
        <f t="shared" si="213"/>
        <v/>
      </c>
      <c r="AL397" t="str">
        <f t="shared" si="214"/>
        <v/>
      </c>
      <c r="AN397" t="s">
        <v>861</v>
      </c>
      <c r="AO397" t="str">
        <f t="shared" si="215"/>
        <v>h</v>
      </c>
      <c r="AP397" t="str">
        <f t="shared" si="222"/>
        <v/>
      </c>
      <c r="AQ397" t="str">
        <f t="shared" si="223"/>
        <v/>
      </c>
      <c r="AR397" t="str">
        <f t="shared" si="224"/>
        <v>Home</v>
      </c>
      <c r="AS397" t="str">
        <f t="shared" si="225"/>
        <v>h</v>
      </c>
      <c r="AT397" t="str">
        <f t="shared" si="226"/>
        <v>Defensive</v>
      </c>
      <c r="BA397" s="6">
        <f t="shared" si="216"/>
        <v>100</v>
      </c>
      <c r="BB397">
        <f t="shared" si="217"/>
        <v>18981</v>
      </c>
      <c r="BC397" t="str">
        <f t="shared" si="218"/>
        <v>Nelson</v>
      </c>
      <c r="BD397" t="str">
        <f t="shared" si="219"/>
        <v>Velodrome</v>
      </c>
      <c r="BE397" t="s">
        <v>5</v>
      </c>
      <c r="BF397" t="s">
        <v>236</v>
      </c>
      <c r="BG397" t="s">
        <v>756</v>
      </c>
      <c r="BI397" cm="1">
        <f t="array" ref="BI397">IFERROR(_xlfn._xlws.FILTER(shifts!A:A,(shifts!B:B=events!AD397)*(shifts!AG:AG&gt;=events!BK397)*(shifts!AH:AH&lt;=events!BL397)),BI396)</f>
        <v>23</v>
      </c>
      <c r="BJ397" s="15">
        <f t="shared" si="220"/>
        <v>0</v>
      </c>
      <c r="BK397">
        <f t="shared" si="227"/>
        <v>563</v>
      </c>
      <c r="BL397">
        <f t="shared" si="228"/>
        <v>563</v>
      </c>
      <c r="BM397" s="15">
        <f>SUMIFS(BJ$2:BJ397,K$2:K397,"=Intermission")+SUMIFS(BJ$2:BJ397,K$2:K397,"=Timeout")</f>
        <v>0</v>
      </c>
      <c r="BN397">
        <f t="shared" si="229"/>
        <v>0</v>
      </c>
      <c r="BO397" s="19">
        <f t="shared" si="230"/>
        <v>517</v>
      </c>
      <c r="BP397">
        <f t="shared" si="231"/>
        <v>512</v>
      </c>
      <c r="BQ397" s="17">
        <f t="shared" si="232"/>
        <v>517</v>
      </c>
      <c r="BR397" t="str">
        <f t="shared" si="233"/>
        <v>opp_team_player_1</v>
      </c>
      <c r="BS397">
        <f>COUNTIFS(S$3:S397,"="&amp;S397,AI$3:AI397,"="&amp;AI397)</f>
        <v>1</v>
      </c>
      <c r="BT397" t="str">
        <f>IFERROR(VLOOKUP(BB397&amp;BU397&amp;X397,game_rosters!U:W,3,FALSE),"")</f>
        <v>P100201</v>
      </c>
      <c r="BU397" t="str">
        <f t="shared" si="234"/>
        <v>Velodrome</v>
      </c>
    </row>
    <row r="398" spans="1:73" x14ac:dyDescent="0.2">
      <c r="A398">
        <f t="shared" si="221"/>
        <v>1</v>
      </c>
      <c r="E398" s="4"/>
      <c r="F398" s="43"/>
      <c r="G398" s="4"/>
      <c r="H398" s="46"/>
      <c r="J398" s="44" t="str">
        <f t="shared" si="235"/>
        <v/>
      </c>
      <c r="K398" t="s">
        <v>9</v>
      </c>
      <c r="L398" t="s">
        <v>173</v>
      </c>
      <c r="M398" t="s">
        <v>365</v>
      </c>
      <c r="N398" t="str">
        <f t="shared" si="206"/>
        <v>u</v>
      </c>
      <c r="Q398" t="str">
        <f t="shared" si="204"/>
        <v/>
      </c>
      <c r="S398">
        <v>221</v>
      </c>
      <c r="U398" t="str">
        <f>IF(B398=1,MAX($U$2:$U397)+1,IF(AND($T398&lt;&gt;"",$T398=$T397),$U397,IF(B398="x",U397,"")))</f>
        <v/>
      </c>
      <c r="V398" t="str">
        <f>IF(C398=1,MAX($V$2:$V397)+1,IF(AND($T398&lt;&gt;"",$T398=$T397),$U397,IF(C398="x",V397,"")))</f>
        <v/>
      </c>
      <c r="W398" t="str">
        <f t="shared" si="210"/>
        <v>h</v>
      </c>
      <c r="X398">
        <v>37</v>
      </c>
      <c r="Y398" t="b">
        <f>IF(X398&lt;&gt;"",VLOOKUP(X398,game_rosters!$C$43:$E$64,3,FALSE))</f>
        <v>0</v>
      </c>
      <c r="Z398" cm="1">
        <f t="array" ref="Z398">IFERROR(IF(_xlfn._xlws.FILTER(game_rosters!$J:$J,(game_rosters!$G:$G=events!$AN398)*(game_rosters!$J:$J=events!$X398))&gt;0,1,""),"")</f>
        <v>1</v>
      </c>
      <c r="AA398">
        <f t="shared" si="211"/>
        <v>1221</v>
      </c>
      <c r="AB398" t="str">
        <f t="shared" si="212"/>
        <v/>
      </c>
      <c r="AC398">
        <f t="shared" si="209"/>
        <v>1221</v>
      </c>
      <c r="AD398" s="6">
        <v>1</v>
      </c>
      <c r="AE398" t="s">
        <v>933</v>
      </c>
      <c r="AF398" t="s">
        <v>918</v>
      </c>
      <c r="AG398" t="s">
        <v>756</v>
      </c>
      <c r="AH398" t="s">
        <v>756</v>
      </c>
      <c r="AI398" t="s">
        <v>367</v>
      </c>
      <c r="AJ398" t="str">
        <f t="shared" si="213"/>
        <v/>
      </c>
      <c r="AK398" t="str">
        <f t="shared" si="213"/>
        <v/>
      </c>
      <c r="AL398" t="str">
        <f t="shared" si="214"/>
        <v/>
      </c>
      <c r="AN398" t="s">
        <v>861</v>
      </c>
      <c r="AO398" t="str">
        <f t="shared" si="215"/>
        <v>h</v>
      </c>
      <c r="AP398" t="str">
        <f t="shared" si="222"/>
        <v/>
      </c>
      <c r="AQ398" t="str">
        <f t="shared" si="223"/>
        <v/>
      </c>
      <c r="AR398" t="str">
        <f t="shared" si="224"/>
        <v>Home</v>
      </c>
      <c r="AS398" t="str">
        <f t="shared" si="225"/>
        <v>h</v>
      </c>
      <c r="AT398" t="str">
        <f t="shared" si="226"/>
        <v>Offensive</v>
      </c>
      <c r="BA398" s="6">
        <f t="shared" si="216"/>
        <v>100</v>
      </c>
      <c r="BB398">
        <f t="shared" si="217"/>
        <v>18981</v>
      </c>
      <c r="BC398" t="str">
        <f t="shared" si="218"/>
        <v>Nelson</v>
      </c>
      <c r="BD398" t="str">
        <f t="shared" si="219"/>
        <v>Velodrome</v>
      </c>
      <c r="BE398" t="s">
        <v>9</v>
      </c>
      <c r="BF398" t="s">
        <v>173</v>
      </c>
      <c r="BG398" t="s">
        <v>365</v>
      </c>
      <c r="BI398" cm="1">
        <f t="array" ref="BI398">IFERROR(_xlfn._xlws.FILTER(shifts!A:A,(shifts!B:B=events!AD398)*(shifts!AG:AG&gt;=events!BK398)*(shifts!AH:AH&lt;=events!BL398)),BI397)</f>
        <v>23</v>
      </c>
      <c r="BJ398" s="15">
        <f t="shared" si="220"/>
        <v>0</v>
      </c>
      <c r="BK398">
        <f t="shared" si="227"/>
        <v>562</v>
      </c>
      <c r="BL398">
        <f t="shared" si="228"/>
        <v>562</v>
      </c>
      <c r="BM398" s="15">
        <f>SUMIFS(BJ$2:BJ398,K$2:K398,"=Intermission")+SUMIFS(BJ$2:BJ398,K$2:K398,"=Timeout")</f>
        <v>0</v>
      </c>
      <c r="BN398">
        <f t="shared" si="229"/>
        <v>0</v>
      </c>
      <c r="BO398" s="19">
        <f t="shared" si="230"/>
        <v>518</v>
      </c>
      <c r="BP398">
        <f t="shared" si="231"/>
        <v>513</v>
      </c>
      <c r="BQ398" s="17">
        <f t="shared" si="232"/>
        <v>518</v>
      </c>
      <c r="BR398" t="str">
        <f t="shared" si="233"/>
        <v>event_team_player_1</v>
      </c>
      <c r="BS398">
        <f>COUNTIFS(S$3:S398,"="&amp;S398,AI$3:AI398,"="&amp;AI398)</f>
        <v>1</v>
      </c>
      <c r="BT398" t="str">
        <f>IFERROR(VLOOKUP(BB398&amp;BU398&amp;X398,game_rosters!U:W,3,FALSE),"")</f>
        <v>P100119</v>
      </c>
      <c r="BU398" t="str">
        <f t="shared" si="234"/>
        <v>Nelson</v>
      </c>
    </row>
    <row r="399" spans="1:73" x14ac:dyDescent="0.2">
      <c r="A399">
        <f t="shared" si="221"/>
        <v>1</v>
      </c>
      <c r="E399" s="4"/>
      <c r="F399" s="43"/>
      <c r="G399" s="4"/>
      <c r="H399" s="46"/>
      <c r="J399" s="44" t="str">
        <f t="shared" si="235"/>
        <v/>
      </c>
      <c r="K399" t="s">
        <v>238</v>
      </c>
      <c r="L399" t="s">
        <v>193</v>
      </c>
      <c r="M399" t="s">
        <v>91</v>
      </c>
      <c r="N399" t="str">
        <f t="shared" si="206"/>
        <v>s</v>
      </c>
      <c r="Q399" t="str">
        <f t="shared" si="204"/>
        <v/>
      </c>
      <c r="S399">
        <v>222</v>
      </c>
      <c r="U399" t="str">
        <f>IF(B399=1,MAX($U$2:$U398)+1,IF(AND($T399&lt;&gt;"",$T399=$T398),$U398,IF(B399="x",U398,"")))</f>
        <v/>
      </c>
      <c r="V399" t="str">
        <f>IF(C399=1,MAX($V$2:$V398)+1,IF(AND($T399&lt;&gt;"",$T399=$T398),$U398,IF(C399="x",V398,"")))</f>
        <v/>
      </c>
      <c r="W399" t="str">
        <f t="shared" si="210"/>
        <v>a</v>
      </c>
      <c r="X399">
        <v>93</v>
      </c>
      <c r="Y399" t="e">
        <f>IF(X399&lt;&gt;"",VLOOKUP(X399,game_rosters!$C$43:$E$64,3,FALSE))</f>
        <v>#N/A</v>
      </c>
      <c r="Z399" cm="1">
        <f t="array" ref="Z399">IFERROR(IF(_xlfn._xlws.FILTER(game_rosters!$J:$J,(game_rosters!$G:$G=events!$AN399)*(game_rosters!$J:$J=events!$X399))&gt;0,1,""),"")</f>
        <v>1</v>
      </c>
      <c r="AA399">
        <f t="shared" si="211"/>
        <v>1222</v>
      </c>
      <c r="AB399" t="str">
        <f t="shared" si="212"/>
        <v/>
      </c>
      <c r="AC399">
        <f t="shared" si="209"/>
        <v>1222</v>
      </c>
      <c r="AD399" s="6">
        <v>1</v>
      </c>
      <c r="AE399" t="s">
        <v>933</v>
      </c>
      <c r="AF399" t="s">
        <v>743</v>
      </c>
      <c r="AG399" t="s">
        <v>756</v>
      </c>
      <c r="AH399" t="s">
        <v>756</v>
      </c>
      <c r="AI399" t="s">
        <v>367</v>
      </c>
      <c r="AJ399" t="str">
        <f t="shared" si="213"/>
        <v/>
      </c>
      <c r="AK399" t="str">
        <f t="shared" si="213"/>
        <v/>
      </c>
      <c r="AL399" t="str">
        <f t="shared" si="214"/>
        <v/>
      </c>
      <c r="AN399" t="s">
        <v>862</v>
      </c>
      <c r="AO399" t="str">
        <f t="shared" si="215"/>
        <v>a</v>
      </c>
      <c r="AP399" t="str">
        <f t="shared" si="222"/>
        <v/>
      </c>
      <c r="AQ399" t="str">
        <f t="shared" si="223"/>
        <v/>
      </c>
      <c r="AR399" t="str">
        <f t="shared" si="224"/>
        <v>Away</v>
      </c>
      <c r="AS399" t="str">
        <f t="shared" si="225"/>
        <v>a</v>
      </c>
      <c r="AT399" t="str">
        <f t="shared" si="226"/>
        <v>Offensive</v>
      </c>
      <c r="BA399" s="6">
        <f t="shared" si="216"/>
        <v>100</v>
      </c>
      <c r="BB399">
        <f t="shared" si="217"/>
        <v>18981</v>
      </c>
      <c r="BC399" t="str">
        <f t="shared" si="218"/>
        <v>Nelson</v>
      </c>
      <c r="BD399" t="str">
        <f t="shared" si="219"/>
        <v>Velodrome</v>
      </c>
      <c r="BE399" t="s">
        <v>238</v>
      </c>
      <c r="BF399" t="s">
        <v>193</v>
      </c>
      <c r="BG399" t="s">
        <v>91</v>
      </c>
      <c r="BI399" cm="1">
        <f t="array" ref="BI399">IFERROR(_xlfn._xlws.FILTER(shifts!A:A,(shifts!B:B=events!AD399)*(shifts!AG:AG&gt;=events!BK399)*(shifts!AH:AH&lt;=events!BL399)),BI398)</f>
        <v>23</v>
      </c>
      <c r="BJ399" s="15">
        <f t="shared" si="220"/>
        <v>0</v>
      </c>
      <c r="BK399">
        <f t="shared" si="227"/>
        <v>558</v>
      </c>
      <c r="BL399">
        <f t="shared" si="228"/>
        <v>558</v>
      </c>
      <c r="BM399" s="15">
        <f>SUMIFS(BJ$2:BJ399,K$2:K399,"=Intermission")+SUMIFS(BJ$2:BJ399,K$2:K399,"=Timeout")</f>
        <v>0</v>
      </c>
      <c r="BN399">
        <f t="shared" si="229"/>
        <v>0</v>
      </c>
      <c r="BO399" s="19">
        <f t="shared" si="230"/>
        <v>522</v>
      </c>
      <c r="BP399">
        <f t="shared" si="231"/>
        <v>517</v>
      </c>
      <c r="BQ399" s="17">
        <f t="shared" si="232"/>
        <v>522</v>
      </c>
      <c r="BR399" t="str">
        <f t="shared" si="233"/>
        <v>event_team_player_1</v>
      </c>
      <c r="BS399">
        <f>COUNTIFS(S$3:S399,"="&amp;S399,AI$3:AI399,"="&amp;AI399)</f>
        <v>1</v>
      </c>
      <c r="BT399" t="str">
        <f>IFERROR(VLOOKUP(BB399&amp;BU399&amp;X399,game_rosters!U:W,3,FALSE),"")</f>
        <v>P100093</v>
      </c>
      <c r="BU399" t="str">
        <f t="shared" si="234"/>
        <v>Velodrome</v>
      </c>
    </row>
    <row r="400" spans="1:73" x14ac:dyDescent="0.2">
      <c r="A400">
        <f t="shared" si="221"/>
        <v>1</v>
      </c>
      <c r="E400" s="4"/>
      <c r="F400" s="43"/>
      <c r="G400" s="4"/>
      <c r="H400" s="46"/>
      <c r="J400" s="44" t="str">
        <f t="shared" si="235"/>
        <v/>
      </c>
      <c r="K400" t="s">
        <v>238</v>
      </c>
      <c r="L400" t="s">
        <v>193</v>
      </c>
      <c r="M400" t="s">
        <v>91</v>
      </c>
      <c r="N400" t="str">
        <f t="shared" si="206"/>
        <v>s</v>
      </c>
      <c r="Q400" t="str">
        <f t="shared" ref="Q400:Q463" si="236">IF(O400="","",IF(AND(N400&lt;&gt;"",OR(O400&lt;&gt;"",P400&lt;&gt;"")),N400,IF(OR(ISNUMBER(SEARCH("attemp",O400)),ISNUMBER(SEARCH("beat",O400)),ISNUMBER(SEARCH("mis",O400)),ISNUMBER(SEARCH("fail",O400)),ISNUMBER(SEARCH("loss",O400)),ISNUMBER(SEARCH("lost",O400)),ISNUMBER(SEARCH("attemp",P400)),ISNUMBER(SEARCH("mis",P400)),ISNUMBER(SEARCH("fail",P400)),ISNUMBER(SEARCH("loss",P400)),ISNUMBER(SEARCH("beat",P400)),ISNUMBER(SEARCH("lost",P400))),"u","")))</f>
        <v/>
      </c>
      <c r="S400">
        <v>222</v>
      </c>
      <c r="U400" t="str">
        <f>IF(B400=1,MAX($U$2:$U399)+1,IF(AND($T400&lt;&gt;"",$T400=$T399),$U399,IF(B400="x",U399,"")))</f>
        <v/>
      </c>
      <c r="V400" t="str">
        <f>IF(C400=1,MAX($V$2:$V399)+1,IF(AND($T400&lt;&gt;"",$T400=$T399),$U399,IF(C400="x",V399,"")))</f>
        <v/>
      </c>
      <c r="W400" t="str">
        <f t="shared" si="210"/>
        <v>a</v>
      </c>
      <c r="X400">
        <v>44</v>
      </c>
      <c r="Y400" t="b">
        <f>IF(X400&lt;&gt;"",VLOOKUP(X400,game_rosters!$C$43:$E$64,3,FALSE))</f>
        <v>0</v>
      </c>
      <c r="Z400" t="str" cm="1">
        <f t="array" ref="Z400">IFERROR(IF(_xlfn._xlws.FILTER(game_rosters!$J:$J,(game_rosters!$G:$G=events!$AN400)*(game_rosters!$J:$J=events!$X400))&gt;0,1,""),"")</f>
        <v/>
      </c>
      <c r="AA400">
        <f t="shared" si="211"/>
        <v>1222</v>
      </c>
      <c r="AB400" t="str">
        <f t="shared" si="212"/>
        <v/>
      </c>
      <c r="AC400">
        <f t="shared" si="209"/>
        <v>1222</v>
      </c>
      <c r="AD400" s="6">
        <v>1</v>
      </c>
      <c r="AE400" t="s">
        <v>933</v>
      </c>
      <c r="AF400" t="s">
        <v>743</v>
      </c>
      <c r="AG400" t="s">
        <v>756</v>
      </c>
      <c r="AH400" t="s">
        <v>756</v>
      </c>
      <c r="AI400" t="s">
        <v>368</v>
      </c>
      <c r="AJ400" t="str">
        <f t="shared" si="213"/>
        <v/>
      </c>
      <c r="AK400" t="str">
        <f t="shared" si="213"/>
        <v/>
      </c>
      <c r="AL400" t="str">
        <f t="shared" si="214"/>
        <v/>
      </c>
      <c r="AN400" t="s">
        <v>862</v>
      </c>
      <c r="AO400" t="str">
        <f t="shared" si="215"/>
        <v>a</v>
      </c>
      <c r="AP400" t="str">
        <f t="shared" si="222"/>
        <v/>
      </c>
      <c r="AQ400" t="str">
        <f t="shared" si="223"/>
        <v/>
      </c>
      <c r="AR400" t="str">
        <f t="shared" si="224"/>
        <v>Away</v>
      </c>
      <c r="AS400" t="str">
        <f t="shared" si="225"/>
        <v>a</v>
      </c>
      <c r="AT400" t="str">
        <f t="shared" si="226"/>
        <v>Defensive</v>
      </c>
      <c r="BA400" s="6">
        <f t="shared" si="216"/>
        <v>100</v>
      </c>
      <c r="BB400">
        <f t="shared" si="217"/>
        <v>18981</v>
      </c>
      <c r="BC400" t="str">
        <f t="shared" si="218"/>
        <v>Nelson</v>
      </c>
      <c r="BD400" t="str">
        <f t="shared" si="219"/>
        <v>Velodrome</v>
      </c>
      <c r="BE400" t="s">
        <v>238</v>
      </c>
      <c r="BF400" t="s">
        <v>193</v>
      </c>
      <c r="BG400" t="s">
        <v>91</v>
      </c>
      <c r="BI400" cm="1">
        <f t="array" ref="BI400">IFERROR(_xlfn._xlws.FILTER(shifts!A:A,(shifts!B:B=events!AD400)*(shifts!AG:AG&gt;=events!BK400)*(shifts!AH:AH&lt;=events!BL400)),BI399)</f>
        <v>23</v>
      </c>
      <c r="BJ400" s="15">
        <f t="shared" si="220"/>
        <v>0</v>
      </c>
      <c r="BK400">
        <f t="shared" si="227"/>
        <v>558</v>
      </c>
      <c r="BL400">
        <f t="shared" si="228"/>
        <v>558</v>
      </c>
      <c r="BM400" s="15">
        <f>SUMIFS(BJ$2:BJ400,K$2:K400,"=Intermission")+SUMIFS(BJ$2:BJ400,K$2:K400,"=Timeout")</f>
        <v>0</v>
      </c>
      <c r="BN400">
        <f t="shared" si="229"/>
        <v>0</v>
      </c>
      <c r="BO400" s="19">
        <f t="shared" si="230"/>
        <v>522</v>
      </c>
      <c r="BP400">
        <f t="shared" si="231"/>
        <v>517</v>
      </c>
      <c r="BQ400" s="17">
        <f t="shared" si="232"/>
        <v>522</v>
      </c>
      <c r="BR400" t="str">
        <f t="shared" si="233"/>
        <v>opp_team_player_1</v>
      </c>
      <c r="BS400">
        <f>COUNTIFS(S$3:S400,"="&amp;S400,AI$3:AI400,"="&amp;AI400)</f>
        <v>1</v>
      </c>
      <c r="BT400" t="str">
        <f>IFERROR(VLOOKUP(BB400&amp;BU400&amp;X400,game_rosters!U:W,3,FALSE),"")</f>
        <v>P100079</v>
      </c>
      <c r="BU400" t="str">
        <f t="shared" si="234"/>
        <v>Nelson</v>
      </c>
    </row>
    <row r="401" spans="1:73" x14ac:dyDescent="0.2">
      <c r="A401">
        <f t="shared" si="221"/>
        <v>1</v>
      </c>
      <c r="E401" s="4"/>
      <c r="F401" s="43"/>
      <c r="G401" s="4"/>
      <c r="H401" s="46"/>
      <c r="J401" s="44" t="str">
        <f t="shared" si="235"/>
        <v/>
      </c>
      <c r="K401" t="s">
        <v>13</v>
      </c>
      <c r="L401" t="s">
        <v>756</v>
      </c>
      <c r="M401" t="s">
        <v>756</v>
      </c>
      <c r="N401" t="str">
        <f t="shared" si="206"/>
        <v/>
      </c>
      <c r="Q401" t="str">
        <f t="shared" si="236"/>
        <v/>
      </c>
      <c r="S401">
        <v>223</v>
      </c>
      <c r="U401" t="str">
        <f>IF(B401=1,MAX($U$2:$U400)+1,IF(AND($T401&lt;&gt;"",$T401=$T400),$U400,IF(B401="x",U400,"")))</f>
        <v/>
      </c>
      <c r="V401" t="str">
        <f>IF(C401=1,MAX($V$2:$V400)+1,IF(AND($T401&lt;&gt;"",$T401=$T400),$U400,IF(C401="x",V400,"")))</f>
        <v/>
      </c>
      <c r="W401" t="str">
        <f t="shared" si="210"/>
        <v>a</v>
      </c>
      <c r="X401">
        <v>93</v>
      </c>
      <c r="Y401" t="e">
        <f>IF(X401&lt;&gt;"",VLOOKUP(X401,game_rosters!$C$43:$E$64,3,FALSE))</f>
        <v>#N/A</v>
      </c>
      <c r="Z401" cm="1">
        <f t="array" ref="Z401">IFERROR(IF(_xlfn._xlws.FILTER(game_rosters!$J:$J,(game_rosters!$G:$G=events!$AN401)*(game_rosters!$J:$J=events!$X401))&gt;0,1,""),"")</f>
        <v>1</v>
      </c>
      <c r="AA401">
        <f t="shared" si="211"/>
        <v>1223</v>
      </c>
      <c r="AB401" t="str">
        <f t="shared" si="212"/>
        <v/>
      </c>
      <c r="AC401">
        <f t="shared" si="209"/>
        <v>1223</v>
      </c>
      <c r="AD401" s="6">
        <v>1</v>
      </c>
      <c r="AE401" t="s">
        <v>933</v>
      </c>
      <c r="AF401" t="s">
        <v>743</v>
      </c>
      <c r="AG401" t="s">
        <v>933</v>
      </c>
      <c r="AH401" t="s">
        <v>745</v>
      </c>
      <c r="AI401" t="s">
        <v>367</v>
      </c>
      <c r="AJ401" t="str">
        <f t="shared" si="213"/>
        <v/>
      </c>
      <c r="AK401" t="str">
        <f t="shared" si="213"/>
        <v/>
      </c>
      <c r="AL401" t="str">
        <f t="shared" si="214"/>
        <v/>
      </c>
      <c r="AN401" t="s">
        <v>862</v>
      </c>
      <c r="AO401" t="str">
        <f t="shared" si="215"/>
        <v>a</v>
      </c>
      <c r="AP401" t="str">
        <f t="shared" si="222"/>
        <v/>
      </c>
      <c r="AQ401" t="str">
        <f t="shared" si="223"/>
        <v/>
      </c>
      <c r="AR401" t="str">
        <f t="shared" si="224"/>
        <v>Away</v>
      </c>
      <c r="AS401" t="str">
        <f t="shared" si="225"/>
        <v>a</v>
      </c>
      <c r="AT401" t="str">
        <f t="shared" si="226"/>
        <v>Offensive</v>
      </c>
      <c r="BA401" s="6">
        <f t="shared" si="216"/>
        <v>100</v>
      </c>
      <c r="BB401">
        <f t="shared" si="217"/>
        <v>18981</v>
      </c>
      <c r="BC401" t="str">
        <f t="shared" si="218"/>
        <v>Nelson</v>
      </c>
      <c r="BD401" t="str">
        <f t="shared" si="219"/>
        <v>Velodrome</v>
      </c>
      <c r="BE401" t="s">
        <v>13</v>
      </c>
      <c r="BF401" t="s">
        <v>756</v>
      </c>
      <c r="BG401" t="s">
        <v>756</v>
      </c>
      <c r="BI401" cm="1">
        <f t="array" ref="BI401">IFERROR(_xlfn._xlws.FILTER(shifts!A:A,(shifts!B:B=events!AD401)*(shifts!AG:AG&gt;=events!BK401)*(shifts!AH:AH&lt;=events!BL401)),BI400)</f>
        <v>23</v>
      </c>
      <c r="BJ401" s="15">
        <f t="shared" si="220"/>
        <v>4</v>
      </c>
      <c r="BK401">
        <f t="shared" si="227"/>
        <v>558</v>
      </c>
      <c r="BL401">
        <f t="shared" si="228"/>
        <v>554</v>
      </c>
      <c r="BM401" s="15">
        <f>SUMIFS(BJ$2:BJ401,K$2:K401,"=Intermission")+SUMIFS(BJ$2:BJ401,K$2:K401,"=Timeout")</f>
        <v>0</v>
      </c>
      <c r="BN401">
        <f t="shared" si="229"/>
        <v>0</v>
      </c>
      <c r="BO401" s="19">
        <f t="shared" si="230"/>
        <v>522</v>
      </c>
      <c r="BP401">
        <f t="shared" si="231"/>
        <v>517</v>
      </c>
      <c r="BQ401" s="17">
        <f t="shared" si="232"/>
        <v>526</v>
      </c>
      <c r="BR401" t="str">
        <f t="shared" si="233"/>
        <v>event_team_player_1</v>
      </c>
      <c r="BS401">
        <f>COUNTIFS(S$3:S401,"="&amp;S401,AI$3:AI401,"="&amp;AI401)</f>
        <v>1</v>
      </c>
      <c r="BT401" t="str">
        <f>IFERROR(VLOOKUP(BB401&amp;BU401&amp;X401,game_rosters!U:W,3,FALSE),"")</f>
        <v>P100093</v>
      </c>
      <c r="BU401" t="str">
        <f t="shared" si="234"/>
        <v>Velodrome</v>
      </c>
    </row>
    <row r="402" spans="1:73" x14ac:dyDescent="0.2">
      <c r="A402">
        <f t="shared" si="221"/>
        <v>1</v>
      </c>
      <c r="E402" s="4"/>
      <c r="F402" s="43"/>
      <c r="G402" s="4"/>
      <c r="H402" s="46"/>
      <c r="J402" s="44" t="str">
        <f t="shared" si="235"/>
        <v/>
      </c>
      <c r="K402" t="s">
        <v>13</v>
      </c>
      <c r="L402" t="s">
        <v>756</v>
      </c>
      <c r="M402" t="s">
        <v>756</v>
      </c>
      <c r="N402" t="str">
        <f t="shared" si="206"/>
        <v/>
      </c>
      <c r="Q402" t="str">
        <f t="shared" si="236"/>
        <v/>
      </c>
      <c r="S402">
        <v>223</v>
      </c>
      <c r="U402" t="str">
        <f>IF(B402=1,MAX($U$2:$U401)+1,IF(AND($T402&lt;&gt;"",$T402=$T401),$U401,IF(B402="x",U401,"")))</f>
        <v/>
      </c>
      <c r="V402" t="str">
        <f>IF(C402=1,MAX($V$2:$V401)+1,IF(AND($T402&lt;&gt;"",$T402=$T401),$U401,IF(C402="x",V401,"")))</f>
        <v/>
      </c>
      <c r="W402" t="str">
        <f t="shared" si="210"/>
        <v>a</v>
      </c>
      <c r="X402">
        <v>44</v>
      </c>
      <c r="Y402" t="b">
        <f>IF(X402&lt;&gt;"",VLOOKUP(X402,game_rosters!$C$43:$E$64,3,FALSE))</f>
        <v>0</v>
      </c>
      <c r="Z402" t="str" cm="1">
        <f t="array" ref="Z402">IFERROR(IF(_xlfn._xlws.FILTER(game_rosters!$J:$J,(game_rosters!$G:$G=events!$AN402)*(game_rosters!$J:$J=events!$X402))&gt;0,1,""),"")</f>
        <v/>
      </c>
      <c r="AA402">
        <f t="shared" si="211"/>
        <v>1223</v>
      </c>
      <c r="AB402" t="str">
        <f t="shared" si="212"/>
        <v/>
      </c>
      <c r="AC402">
        <f t="shared" si="209"/>
        <v>1223</v>
      </c>
      <c r="AD402" s="6">
        <v>1</v>
      </c>
      <c r="AE402" t="s">
        <v>933</v>
      </c>
      <c r="AF402" t="s">
        <v>743</v>
      </c>
      <c r="AG402" t="s">
        <v>933</v>
      </c>
      <c r="AH402" t="s">
        <v>745</v>
      </c>
      <c r="AI402" t="s">
        <v>368</v>
      </c>
      <c r="AJ402" t="str">
        <f t="shared" si="213"/>
        <v/>
      </c>
      <c r="AK402" t="str">
        <f t="shared" si="213"/>
        <v/>
      </c>
      <c r="AL402" t="str">
        <f t="shared" si="214"/>
        <v/>
      </c>
      <c r="AN402" t="s">
        <v>862</v>
      </c>
      <c r="AO402" t="str">
        <f t="shared" si="215"/>
        <v>a</v>
      </c>
      <c r="AP402" t="str">
        <f t="shared" si="222"/>
        <v/>
      </c>
      <c r="AQ402" t="str">
        <f t="shared" si="223"/>
        <v/>
      </c>
      <c r="AR402" t="str">
        <f t="shared" si="224"/>
        <v>Away</v>
      </c>
      <c r="AS402" t="str">
        <f t="shared" si="225"/>
        <v>a</v>
      </c>
      <c r="AT402" t="str">
        <f t="shared" si="226"/>
        <v>Defensive</v>
      </c>
      <c r="BA402" s="6">
        <f t="shared" si="216"/>
        <v>100</v>
      </c>
      <c r="BB402">
        <f t="shared" si="217"/>
        <v>18981</v>
      </c>
      <c r="BC402" t="str">
        <f t="shared" si="218"/>
        <v>Nelson</v>
      </c>
      <c r="BD402" t="str">
        <f t="shared" si="219"/>
        <v>Velodrome</v>
      </c>
      <c r="BE402" t="s">
        <v>13</v>
      </c>
      <c r="BF402" t="s">
        <v>756</v>
      </c>
      <c r="BG402" t="s">
        <v>756</v>
      </c>
      <c r="BI402" cm="1">
        <f t="array" ref="BI402">IFERROR(_xlfn._xlws.FILTER(shifts!A:A,(shifts!B:B=events!AD402)*(shifts!AG:AG&gt;=events!BK402)*(shifts!AH:AH&lt;=events!BL402)),BI401)</f>
        <v>23</v>
      </c>
      <c r="BJ402" s="15">
        <f t="shared" si="220"/>
        <v>4</v>
      </c>
      <c r="BK402">
        <f t="shared" si="227"/>
        <v>558</v>
      </c>
      <c r="BL402">
        <f t="shared" si="228"/>
        <v>554</v>
      </c>
      <c r="BM402" s="15">
        <f>SUMIFS(BJ$2:BJ402,K$2:K402,"=Intermission")+SUMIFS(BJ$2:BJ402,K$2:K402,"=Timeout")</f>
        <v>0</v>
      </c>
      <c r="BN402">
        <f t="shared" si="229"/>
        <v>0</v>
      </c>
      <c r="BO402" s="19">
        <f t="shared" si="230"/>
        <v>522</v>
      </c>
      <c r="BP402">
        <f t="shared" si="231"/>
        <v>517</v>
      </c>
      <c r="BQ402" s="17">
        <f t="shared" si="232"/>
        <v>526</v>
      </c>
      <c r="BR402" t="str">
        <f t="shared" si="233"/>
        <v>opp_team_player_1</v>
      </c>
      <c r="BS402">
        <f>COUNTIFS(S$3:S402,"="&amp;S402,AI$3:AI402,"="&amp;AI402)</f>
        <v>1</v>
      </c>
      <c r="BT402" t="str">
        <f>IFERROR(VLOOKUP(BB402&amp;BU402&amp;X402,game_rosters!U:W,3,FALSE),"")</f>
        <v>P100079</v>
      </c>
      <c r="BU402" t="str">
        <f t="shared" si="234"/>
        <v>Nelson</v>
      </c>
    </row>
    <row r="403" spans="1:73" x14ac:dyDescent="0.2">
      <c r="A403">
        <f t="shared" si="221"/>
        <v>1</v>
      </c>
      <c r="E403" s="4"/>
      <c r="F403" s="43"/>
      <c r="G403" s="4"/>
      <c r="H403" s="46"/>
      <c r="J403" s="44" t="str">
        <f t="shared" si="235"/>
        <v>o</v>
      </c>
      <c r="K403" t="s">
        <v>6</v>
      </c>
      <c r="L403" t="s">
        <v>181</v>
      </c>
      <c r="M403" t="s">
        <v>51</v>
      </c>
      <c r="N403" t="str">
        <f t="shared" si="206"/>
        <v>u</v>
      </c>
      <c r="Q403" t="str">
        <f t="shared" si="236"/>
        <v/>
      </c>
      <c r="S403">
        <v>224</v>
      </c>
      <c r="U403" t="str">
        <f>IF(B403=1,MAX($U$2:$U402)+1,IF(AND($T403&lt;&gt;"",$T403=$T402),$U402,IF(B403="x",U402,"")))</f>
        <v/>
      </c>
      <c r="V403" t="str">
        <f>IF(C403=1,MAX($V$2:$V402)+1,IF(AND($T403&lt;&gt;"",$T403=$T402),$U402,IF(C403="x",V402,"")))</f>
        <v/>
      </c>
      <c r="W403" t="str">
        <f t="shared" si="210"/>
        <v>a</v>
      </c>
      <c r="X403">
        <v>93</v>
      </c>
      <c r="Y403" t="e">
        <f>IF(X403&lt;&gt;"",VLOOKUP(X403,game_rosters!$C$43:$E$64,3,FALSE))</f>
        <v>#N/A</v>
      </c>
      <c r="Z403" cm="1">
        <f t="array" ref="Z403">IFERROR(IF(_xlfn._xlws.FILTER(game_rosters!$J:$J,(game_rosters!$G:$G=events!$AN403)*(game_rosters!$J:$J=events!$X403))&gt;0,1,""),"")</f>
        <v>1</v>
      </c>
      <c r="AA403">
        <f t="shared" si="211"/>
        <v>1224</v>
      </c>
      <c r="AB403" t="str">
        <f t="shared" si="212"/>
        <v/>
      </c>
      <c r="AC403">
        <f t="shared" si="209"/>
        <v>1224</v>
      </c>
      <c r="AD403" s="6">
        <v>1</v>
      </c>
      <c r="AE403" t="s">
        <v>933</v>
      </c>
      <c r="AF403" t="s">
        <v>745</v>
      </c>
      <c r="AG403" t="s">
        <v>756</v>
      </c>
      <c r="AH403" t="s">
        <v>756</v>
      </c>
      <c r="AI403" t="s">
        <v>367</v>
      </c>
      <c r="AJ403" t="str">
        <f t="shared" si="213"/>
        <v>o</v>
      </c>
      <c r="AK403" t="str">
        <f t="shared" si="213"/>
        <v>o</v>
      </c>
      <c r="AL403" t="str">
        <f t="shared" si="214"/>
        <v>d</v>
      </c>
      <c r="AN403" t="s">
        <v>862</v>
      </c>
      <c r="AO403" t="str">
        <f t="shared" si="215"/>
        <v>a</v>
      </c>
      <c r="AP403" t="str">
        <f t="shared" si="222"/>
        <v>d</v>
      </c>
      <c r="AQ403" t="str">
        <f t="shared" si="223"/>
        <v/>
      </c>
      <c r="AR403" t="str">
        <f t="shared" si="224"/>
        <v>Away</v>
      </c>
      <c r="AS403" t="str">
        <f t="shared" si="225"/>
        <v>a</v>
      </c>
      <c r="AT403" t="str">
        <f t="shared" si="226"/>
        <v>Offensive</v>
      </c>
      <c r="BA403" s="6">
        <f t="shared" si="216"/>
        <v>100</v>
      </c>
      <c r="BB403">
        <f t="shared" si="217"/>
        <v>18981</v>
      </c>
      <c r="BC403" t="str">
        <f t="shared" si="218"/>
        <v>Nelson</v>
      </c>
      <c r="BD403" t="str">
        <f t="shared" si="219"/>
        <v>Velodrome</v>
      </c>
      <c r="BE403" t="s">
        <v>6</v>
      </c>
      <c r="BF403" t="s">
        <v>181</v>
      </c>
      <c r="BG403" t="s">
        <v>51</v>
      </c>
      <c r="BI403" cm="1">
        <f t="array" ref="BI403">IFERROR(_xlfn._xlws.FILTER(shifts!A:A,(shifts!B:B=events!AD403)*(shifts!AG:AG&gt;=events!BK403)*(shifts!AH:AH&lt;=events!BL403)),BI402)</f>
        <v>23</v>
      </c>
      <c r="BJ403" s="15">
        <f t="shared" si="220"/>
        <v>0</v>
      </c>
      <c r="BK403">
        <f t="shared" si="227"/>
        <v>554</v>
      </c>
      <c r="BL403">
        <f t="shared" si="228"/>
        <v>554</v>
      </c>
      <c r="BM403" s="15">
        <f>SUMIFS(BJ$2:BJ403,K$2:K403,"=Intermission")+SUMIFS(BJ$2:BJ403,K$2:K403,"=Timeout")</f>
        <v>0</v>
      </c>
      <c r="BN403">
        <f t="shared" si="229"/>
        <v>0</v>
      </c>
      <c r="BO403" s="19">
        <f t="shared" si="230"/>
        <v>526</v>
      </c>
      <c r="BP403">
        <f t="shared" si="231"/>
        <v>521</v>
      </c>
      <c r="BQ403" s="17">
        <f t="shared" si="232"/>
        <v>526</v>
      </c>
      <c r="BR403" t="str">
        <f t="shared" si="233"/>
        <v>event_team_player_1</v>
      </c>
      <c r="BS403">
        <f>COUNTIFS(S$3:S403,"="&amp;S403,AI$3:AI403,"="&amp;AI403)</f>
        <v>1</v>
      </c>
      <c r="BT403" t="str">
        <f>IFERROR(VLOOKUP(BB403&amp;BU403&amp;X403,game_rosters!U:W,3,FALSE),"")</f>
        <v>P100093</v>
      </c>
      <c r="BU403" t="str">
        <f t="shared" si="234"/>
        <v>Velodrome</v>
      </c>
    </row>
    <row r="404" spans="1:73" x14ac:dyDescent="0.2">
      <c r="A404">
        <f t="shared" si="221"/>
        <v>1</v>
      </c>
      <c r="E404" s="4"/>
      <c r="F404" s="43"/>
      <c r="G404" s="4"/>
      <c r="H404" s="46"/>
      <c r="J404" s="44" t="str">
        <f t="shared" si="235"/>
        <v>o</v>
      </c>
      <c r="K404" t="s">
        <v>6</v>
      </c>
      <c r="L404" t="s">
        <v>181</v>
      </c>
      <c r="M404" t="s">
        <v>51</v>
      </c>
      <c r="N404" t="str">
        <f t="shared" si="206"/>
        <v>u</v>
      </c>
      <c r="Q404" t="str">
        <f t="shared" si="236"/>
        <v/>
      </c>
      <c r="S404">
        <v>224</v>
      </c>
      <c r="U404" t="str">
        <f>IF(B404=1,MAX($U$2:$U403)+1,IF(AND($T404&lt;&gt;"",$T404=$T403),$U403,IF(B404="x",U403,"")))</f>
        <v/>
      </c>
      <c r="V404" t="str">
        <f>IF(C404=1,MAX($V$2:$V403)+1,IF(AND($T404&lt;&gt;"",$T404=$T403),$U403,IF(C404="x",V403,"")))</f>
        <v/>
      </c>
      <c r="W404" t="str">
        <f t="shared" si="210"/>
        <v>a</v>
      </c>
      <c r="X404">
        <v>37</v>
      </c>
      <c r="Y404" t="b">
        <f>IF(X404&lt;&gt;"",VLOOKUP(X404,game_rosters!$C$43:$E$64,3,FALSE))</f>
        <v>0</v>
      </c>
      <c r="Z404" t="str" cm="1">
        <f t="array" ref="Z404">IFERROR(IF(_xlfn._xlws.FILTER(game_rosters!$J:$J,(game_rosters!$G:$G=events!$AN404)*(game_rosters!$J:$J=events!$X404))&gt;0,1,""),"")</f>
        <v/>
      </c>
      <c r="AA404">
        <f t="shared" si="211"/>
        <v>1224</v>
      </c>
      <c r="AB404" t="str">
        <f t="shared" si="212"/>
        <v/>
      </c>
      <c r="AC404">
        <f t="shared" si="209"/>
        <v>1224</v>
      </c>
      <c r="AD404" s="6">
        <v>1</v>
      </c>
      <c r="AE404" t="s">
        <v>933</v>
      </c>
      <c r="AF404" t="s">
        <v>745</v>
      </c>
      <c r="AG404" t="s">
        <v>756</v>
      </c>
      <c r="AH404" t="s">
        <v>756</v>
      </c>
      <c r="AI404" t="s">
        <v>368</v>
      </c>
      <c r="AJ404" t="str">
        <f t="shared" ref="AJ404:AK419" si="237">IF($J404&lt;&gt;"",$J404,IF($AC404=$AC403,AJ403,""))</f>
        <v>o</v>
      </c>
      <c r="AK404" t="str">
        <f t="shared" si="237"/>
        <v>o</v>
      </c>
      <c r="AL404" t="str">
        <f t="shared" si="214"/>
        <v>d</v>
      </c>
      <c r="AN404" t="s">
        <v>862</v>
      </c>
      <c r="AO404" t="str">
        <f t="shared" si="215"/>
        <v>a</v>
      </c>
      <c r="AP404" t="str">
        <f t="shared" si="222"/>
        <v>d</v>
      </c>
      <c r="AQ404" t="str">
        <f t="shared" si="223"/>
        <v/>
      </c>
      <c r="AR404" t="str">
        <f t="shared" si="224"/>
        <v>Away</v>
      </c>
      <c r="AS404" t="str">
        <f t="shared" si="225"/>
        <v>a</v>
      </c>
      <c r="AT404" t="str">
        <f t="shared" si="226"/>
        <v>Defensive</v>
      </c>
      <c r="BA404" s="6">
        <f t="shared" si="216"/>
        <v>100</v>
      </c>
      <c r="BB404">
        <f t="shared" si="217"/>
        <v>18981</v>
      </c>
      <c r="BC404" t="str">
        <f t="shared" si="218"/>
        <v>Nelson</v>
      </c>
      <c r="BD404" t="str">
        <f t="shared" si="219"/>
        <v>Velodrome</v>
      </c>
      <c r="BE404" t="s">
        <v>6</v>
      </c>
      <c r="BF404" t="s">
        <v>181</v>
      </c>
      <c r="BG404" t="s">
        <v>51</v>
      </c>
      <c r="BI404" cm="1">
        <f t="array" ref="BI404">IFERROR(_xlfn._xlws.FILTER(shifts!A:A,(shifts!B:B=events!AD404)*(shifts!AG:AG&gt;=events!BK404)*(shifts!AH:AH&lt;=events!BL404)),BI403)</f>
        <v>23</v>
      </c>
      <c r="BJ404" s="15">
        <f t="shared" si="220"/>
        <v>0</v>
      </c>
      <c r="BK404">
        <f t="shared" si="227"/>
        <v>554</v>
      </c>
      <c r="BL404">
        <f t="shared" si="228"/>
        <v>554</v>
      </c>
      <c r="BM404" s="15">
        <f>SUMIFS(BJ$2:BJ404,K$2:K404,"=Intermission")+SUMIFS(BJ$2:BJ404,K$2:K404,"=Timeout")</f>
        <v>0</v>
      </c>
      <c r="BN404">
        <f t="shared" si="229"/>
        <v>0</v>
      </c>
      <c r="BO404" s="19">
        <f t="shared" si="230"/>
        <v>526</v>
      </c>
      <c r="BP404">
        <f t="shared" si="231"/>
        <v>521</v>
      </c>
      <c r="BQ404" s="17">
        <f t="shared" si="232"/>
        <v>526</v>
      </c>
      <c r="BR404" t="str">
        <f t="shared" si="233"/>
        <v>opp_team_player_1</v>
      </c>
      <c r="BS404">
        <f>COUNTIFS(S$3:S404,"="&amp;S404,AI$3:AI404,"="&amp;AI404)</f>
        <v>1</v>
      </c>
      <c r="BT404" t="str">
        <f>IFERROR(VLOOKUP(BB404&amp;BU404&amp;X404,game_rosters!U:W,3,FALSE),"")</f>
        <v>P100119</v>
      </c>
      <c r="BU404" t="str">
        <f t="shared" si="234"/>
        <v>Nelson</v>
      </c>
    </row>
    <row r="405" spans="1:73" x14ac:dyDescent="0.2">
      <c r="A405">
        <f t="shared" si="221"/>
        <v>1</v>
      </c>
      <c r="E405" s="4"/>
      <c r="F405" s="43"/>
      <c r="G405" s="4"/>
      <c r="H405" s="46"/>
      <c r="J405" s="44" t="str">
        <f t="shared" si="235"/>
        <v/>
      </c>
      <c r="K405" t="s">
        <v>13</v>
      </c>
      <c r="L405" t="s">
        <v>756</v>
      </c>
      <c r="M405" t="s">
        <v>756</v>
      </c>
      <c r="N405" t="str">
        <f t="shared" ref="N405:N468" si="238">IF(K405="","",IF(K405="Goal","s",IF(AND(K405="Zone_Entry_Exit",OR(ISNUMBER(SEARCH("fail",L405)),ISNUMBER(SEARCH("FromExitClear",M405)),ISNUMBER(SEARCH("miss",M405)))),"u",IF(AND(K405="Zone_Entry_Exit",OR(NOT(ISNUMBER(SEARCH("fail",L405))),NOT(ISNUMBER(SEARCH("FromExitClear",M405))),NOT(ISNUMBER(SEARCH("miss",M405))))),"s",IF(AND(OR(K405="Shot",K405="Pass"),OR(ISNUMBER(SEARCH("complete",L405)),ISNUMBER(SEARCH("goal",L405)),ISNUMBER(SEARCH("OnNet",L405)))),"s",IF(L405="Turnover_Giveaway","u",IF(AND(OR(K405="Shot",K405="Pass"),OR(ISNUMBER(SEARCH("fail",L405)),NOT(ISNUMBER(SEARCH("complete",L405))),NOT(ISNUMBER(SEARCH("OnNet",L405))))),"u","")))))))</f>
        <v/>
      </c>
      <c r="Q405" t="str">
        <f t="shared" si="236"/>
        <v/>
      </c>
      <c r="S405">
        <v>225</v>
      </c>
      <c r="U405" t="str">
        <f>IF(B405=1,MAX($U$2:$U404)+1,IF(AND($T405&lt;&gt;"",$T405=$T404),$U404,IF(B405="x",U404,"")))</f>
        <v/>
      </c>
      <c r="V405" t="str">
        <f>IF(C405=1,MAX($V$2:$V404)+1,IF(AND($T405&lt;&gt;"",$T405=$T404),$U404,IF(C405="x",V404,"")))</f>
        <v/>
      </c>
      <c r="W405" t="str">
        <f t="shared" si="210"/>
        <v>a</v>
      </c>
      <c r="X405">
        <v>91</v>
      </c>
      <c r="Y405" t="e">
        <f>IF(X405&lt;&gt;"",VLOOKUP(X405,game_rosters!$C$43:$E$64,3,FALSE))</f>
        <v>#N/A</v>
      </c>
      <c r="Z405" cm="1">
        <f t="array" ref="Z405">IFERROR(IF(_xlfn._xlws.FILTER(game_rosters!$J:$J,(game_rosters!$G:$G=events!$AN405)*(game_rosters!$J:$J=events!$X405))&gt;0,1,""),"")</f>
        <v>1</v>
      </c>
      <c r="AA405">
        <f t="shared" si="211"/>
        <v>1225</v>
      </c>
      <c r="AB405" t="str">
        <f t="shared" si="212"/>
        <v/>
      </c>
      <c r="AC405">
        <f t="shared" si="209"/>
        <v>1225</v>
      </c>
      <c r="AD405" s="6">
        <v>1</v>
      </c>
      <c r="AE405" t="s">
        <v>933</v>
      </c>
      <c r="AF405" t="s">
        <v>746</v>
      </c>
      <c r="AG405" t="s">
        <v>933</v>
      </c>
      <c r="AH405" t="s">
        <v>910</v>
      </c>
      <c r="AI405" t="s">
        <v>367</v>
      </c>
      <c r="AJ405" t="str">
        <f t="shared" si="237"/>
        <v/>
      </c>
      <c r="AK405" t="str">
        <f t="shared" si="237"/>
        <v/>
      </c>
      <c r="AL405" t="str">
        <f t="shared" si="214"/>
        <v/>
      </c>
      <c r="AN405" t="s">
        <v>862</v>
      </c>
      <c r="AO405" t="str">
        <f t="shared" si="215"/>
        <v>a</v>
      </c>
      <c r="AP405" t="str">
        <f t="shared" si="222"/>
        <v/>
      </c>
      <c r="AQ405" t="str">
        <f t="shared" si="223"/>
        <v/>
      </c>
      <c r="AR405" t="str">
        <f t="shared" si="224"/>
        <v>Away</v>
      </c>
      <c r="AS405" t="str">
        <f t="shared" si="225"/>
        <v>a</v>
      </c>
      <c r="AT405" t="str">
        <f t="shared" si="226"/>
        <v>Offensive</v>
      </c>
      <c r="BA405" s="6">
        <f t="shared" si="216"/>
        <v>100</v>
      </c>
      <c r="BB405">
        <f t="shared" si="217"/>
        <v>18981</v>
      </c>
      <c r="BC405" t="str">
        <f t="shared" si="218"/>
        <v>Nelson</v>
      </c>
      <c r="BD405" t="str">
        <f t="shared" si="219"/>
        <v>Velodrome</v>
      </c>
      <c r="BE405" t="s">
        <v>13</v>
      </c>
      <c r="BF405" t="s">
        <v>756</v>
      </c>
      <c r="BG405" t="s">
        <v>756</v>
      </c>
      <c r="BI405" cm="1">
        <f t="array" ref="BI405">IFERROR(_xlfn._xlws.FILTER(shifts!A:A,(shifts!B:B=events!AD405)*(shifts!AG:AG&gt;=events!BK405)*(shifts!AH:AH&lt;=events!BL405)),BI404)</f>
        <v>23</v>
      </c>
      <c r="BJ405" s="15">
        <f t="shared" si="220"/>
        <v>2</v>
      </c>
      <c r="BK405">
        <f t="shared" si="227"/>
        <v>552</v>
      </c>
      <c r="BL405">
        <f t="shared" si="228"/>
        <v>550</v>
      </c>
      <c r="BM405" s="15">
        <f>SUMIFS(BJ$2:BJ405,K$2:K405,"=Intermission")+SUMIFS(BJ$2:BJ405,K$2:K405,"=Timeout")</f>
        <v>0</v>
      </c>
      <c r="BN405">
        <f t="shared" si="229"/>
        <v>0</v>
      </c>
      <c r="BO405" s="19">
        <f t="shared" si="230"/>
        <v>528</v>
      </c>
      <c r="BP405">
        <f t="shared" si="231"/>
        <v>523</v>
      </c>
      <c r="BQ405" s="17">
        <f t="shared" si="232"/>
        <v>530</v>
      </c>
      <c r="BR405" t="str">
        <f t="shared" si="233"/>
        <v>event_team_player_1</v>
      </c>
      <c r="BS405">
        <f>COUNTIFS(S$3:S405,"="&amp;S405,AI$3:AI405,"="&amp;AI405)</f>
        <v>1</v>
      </c>
      <c r="BT405" t="str">
        <f>IFERROR(VLOOKUP(BB405&amp;BU405&amp;X405,game_rosters!U:W,3,FALSE),"")</f>
        <v>P100002</v>
      </c>
      <c r="BU405" t="str">
        <f t="shared" si="234"/>
        <v>Velodrome</v>
      </c>
    </row>
    <row r="406" spans="1:73" x14ac:dyDescent="0.2">
      <c r="A406">
        <f t="shared" si="221"/>
        <v>1</v>
      </c>
      <c r="E406" s="4"/>
      <c r="F406" s="43"/>
      <c r="G406" s="4"/>
      <c r="H406" s="46"/>
      <c r="J406" s="44" t="str">
        <f t="shared" si="235"/>
        <v/>
      </c>
      <c r="K406" t="s">
        <v>13</v>
      </c>
      <c r="L406" t="s">
        <v>756</v>
      </c>
      <c r="M406" t="s">
        <v>756</v>
      </c>
      <c r="N406" t="str">
        <f t="shared" si="238"/>
        <v/>
      </c>
      <c r="Q406" t="str">
        <f t="shared" si="236"/>
        <v/>
      </c>
      <c r="S406">
        <v>225</v>
      </c>
      <c r="U406" t="str">
        <f>IF(B406=1,MAX($U$2:$U405)+1,IF(AND($T406&lt;&gt;"",$T406=$T405),$U405,IF(B406="x",U405,"")))</f>
        <v/>
      </c>
      <c r="V406" t="str">
        <f>IF(C406=1,MAX($V$2:$V405)+1,IF(AND($T406&lt;&gt;"",$T406=$T405),$U405,IF(C406="x",V405,"")))</f>
        <v/>
      </c>
      <c r="W406" t="str">
        <f t="shared" si="210"/>
        <v>a</v>
      </c>
      <c r="X406">
        <v>7</v>
      </c>
      <c r="Y406" t="b">
        <f>IF(X406&lt;&gt;"",VLOOKUP(X406,game_rosters!$C$43:$E$64,3,FALSE))</f>
        <v>0</v>
      </c>
      <c r="Z406" t="str" cm="1">
        <f t="array" ref="Z406">IFERROR(IF(_xlfn._xlws.FILTER(game_rosters!$J:$J,(game_rosters!$G:$G=events!$AN406)*(game_rosters!$J:$J=events!$X406))&gt;0,1,""),"")</f>
        <v/>
      </c>
      <c r="AA406">
        <f t="shared" si="211"/>
        <v>1225</v>
      </c>
      <c r="AB406" t="str">
        <f t="shared" si="212"/>
        <v/>
      </c>
      <c r="AC406">
        <f t="shared" si="209"/>
        <v>1225</v>
      </c>
      <c r="AD406" s="6">
        <v>1</v>
      </c>
      <c r="AE406" t="s">
        <v>933</v>
      </c>
      <c r="AF406" t="s">
        <v>746</v>
      </c>
      <c r="AG406" t="s">
        <v>933</v>
      </c>
      <c r="AH406" t="s">
        <v>910</v>
      </c>
      <c r="AI406" t="s">
        <v>368</v>
      </c>
      <c r="AJ406" t="str">
        <f t="shared" si="237"/>
        <v/>
      </c>
      <c r="AK406" t="str">
        <f t="shared" si="237"/>
        <v/>
      </c>
      <c r="AL406" t="str">
        <f t="shared" si="214"/>
        <v/>
      </c>
      <c r="AN406" t="s">
        <v>862</v>
      </c>
      <c r="AO406" t="str">
        <f t="shared" si="215"/>
        <v>a</v>
      </c>
      <c r="AP406" t="str">
        <f t="shared" si="222"/>
        <v/>
      </c>
      <c r="AQ406" t="str">
        <f t="shared" si="223"/>
        <v/>
      </c>
      <c r="AR406" t="str">
        <f t="shared" si="224"/>
        <v>Away</v>
      </c>
      <c r="AS406" t="str">
        <f t="shared" si="225"/>
        <v>a</v>
      </c>
      <c r="AT406" t="str">
        <f t="shared" si="226"/>
        <v>Defensive</v>
      </c>
      <c r="BA406" s="6">
        <f t="shared" si="216"/>
        <v>100</v>
      </c>
      <c r="BB406">
        <f t="shared" si="217"/>
        <v>18981</v>
      </c>
      <c r="BC406" t="str">
        <f t="shared" si="218"/>
        <v>Nelson</v>
      </c>
      <c r="BD406" t="str">
        <f t="shared" si="219"/>
        <v>Velodrome</v>
      </c>
      <c r="BE406" t="s">
        <v>13</v>
      </c>
      <c r="BF406" t="s">
        <v>756</v>
      </c>
      <c r="BG406" t="s">
        <v>756</v>
      </c>
      <c r="BI406" cm="1">
        <f t="array" ref="BI406">IFERROR(_xlfn._xlws.FILTER(shifts!A:A,(shifts!B:B=events!AD406)*(shifts!AG:AG&gt;=events!BK406)*(shifts!AH:AH&lt;=events!BL406)),BI405)</f>
        <v>23</v>
      </c>
      <c r="BJ406" s="15">
        <f t="shared" si="220"/>
        <v>2</v>
      </c>
      <c r="BK406">
        <f t="shared" si="227"/>
        <v>552</v>
      </c>
      <c r="BL406">
        <f t="shared" si="228"/>
        <v>550</v>
      </c>
      <c r="BM406" s="15">
        <f>SUMIFS(BJ$2:BJ406,K$2:K406,"=Intermission")+SUMIFS(BJ$2:BJ406,K$2:K406,"=Timeout")</f>
        <v>0</v>
      </c>
      <c r="BN406">
        <f t="shared" si="229"/>
        <v>0</v>
      </c>
      <c r="BO406" s="19">
        <f t="shared" si="230"/>
        <v>528</v>
      </c>
      <c r="BP406">
        <f t="shared" si="231"/>
        <v>523</v>
      </c>
      <c r="BQ406" s="17">
        <f t="shared" si="232"/>
        <v>530</v>
      </c>
      <c r="BR406" t="str">
        <f t="shared" si="233"/>
        <v>opp_team_player_1</v>
      </c>
      <c r="BS406">
        <f>COUNTIFS(S$3:S406,"="&amp;S406,AI$3:AI406,"="&amp;AI406)</f>
        <v>1</v>
      </c>
      <c r="BT406" t="str">
        <f>IFERROR(VLOOKUP(BB406&amp;BU406&amp;X406,game_rosters!U:W,3,FALSE),"")</f>
        <v>P100072</v>
      </c>
      <c r="BU406" t="str">
        <f t="shared" si="234"/>
        <v>Nelson</v>
      </c>
    </row>
    <row r="407" spans="1:73" x14ac:dyDescent="0.2">
      <c r="A407">
        <f t="shared" si="221"/>
        <v>1</v>
      </c>
      <c r="E407" s="4"/>
      <c r="F407" s="43"/>
      <c r="G407" s="4"/>
      <c r="H407" s="46"/>
      <c r="J407" s="44" t="str">
        <f t="shared" si="235"/>
        <v/>
      </c>
      <c r="K407" t="s">
        <v>7</v>
      </c>
      <c r="L407" t="s">
        <v>172</v>
      </c>
      <c r="M407" t="s">
        <v>66</v>
      </c>
      <c r="N407" t="str">
        <f t="shared" si="238"/>
        <v>s</v>
      </c>
      <c r="Q407" t="str">
        <f t="shared" si="236"/>
        <v/>
      </c>
      <c r="S407">
        <v>226</v>
      </c>
      <c r="U407" t="str">
        <f>IF(B407=1,MAX($U$2:$U406)+1,IF(AND($T407&lt;&gt;"",$T407=$T406),$U406,IF(B407="x",U406,"")))</f>
        <v/>
      </c>
      <c r="V407" t="str">
        <f>IF(C407=1,MAX($V$2:$V406)+1,IF(AND($T407&lt;&gt;"",$T407=$T406),$U406,IF(C407="x",V406,"")))</f>
        <v/>
      </c>
      <c r="W407" t="str">
        <f t="shared" si="210"/>
        <v>a</v>
      </c>
      <c r="X407">
        <v>91</v>
      </c>
      <c r="Y407" t="e">
        <f>IF(X407&lt;&gt;"",VLOOKUP(X407,game_rosters!$C$43:$E$64,3,FALSE))</f>
        <v>#N/A</v>
      </c>
      <c r="Z407" cm="1">
        <f t="array" ref="Z407">IFERROR(IF(_xlfn._xlws.FILTER(game_rosters!$J:$J,(game_rosters!$G:$G=events!$AN407)*(game_rosters!$J:$J=events!$X407))&gt;0,1,""),"")</f>
        <v>1</v>
      </c>
      <c r="AA407">
        <f t="shared" si="211"/>
        <v>1226</v>
      </c>
      <c r="AB407" t="str">
        <f t="shared" si="212"/>
        <v/>
      </c>
      <c r="AC407">
        <f t="shared" si="209"/>
        <v>1226</v>
      </c>
      <c r="AD407" s="6">
        <v>1</v>
      </c>
      <c r="AE407" t="s">
        <v>933</v>
      </c>
      <c r="AF407" t="s">
        <v>910</v>
      </c>
      <c r="AG407" t="s">
        <v>756</v>
      </c>
      <c r="AH407" t="s">
        <v>756</v>
      </c>
      <c r="AI407" t="s">
        <v>367</v>
      </c>
      <c r="AJ407" t="str">
        <f t="shared" si="237"/>
        <v/>
      </c>
      <c r="AK407" t="str">
        <f t="shared" si="237"/>
        <v/>
      </c>
      <c r="AL407" t="str">
        <f t="shared" si="214"/>
        <v/>
      </c>
      <c r="AN407" t="s">
        <v>862</v>
      </c>
      <c r="AO407" t="str">
        <f t="shared" si="215"/>
        <v>a</v>
      </c>
      <c r="AP407" t="str">
        <f t="shared" si="222"/>
        <v/>
      </c>
      <c r="AQ407" t="str">
        <f t="shared" si="223"/>
        <v/>
      </c>
      <c r="AR407" t="str">
        <f t="shared" si="224"/>
        <v>Away</v>
      </c>
      <c r="AS407" t="str">
        <f t="shared" si="225"/>
        <v>a</v>
      </c>
      <c r="AT407" t="str">
        <f t="shared" si="226"/>
        <v>Offensive</v>
      </c>
      <c r="BA407" s="6">
        <f t="shared" si="216"/>
        <v>100</v>
      </c>
      <c r="BB407">
        <f t="shared" si="217"/>
        <v>18981</v>
      </c>
      <c r="BC407" t="str">
        <f t="shared" si="218"/>
        <v>Nelson</v>
      </c>
      <c r="BD407" t="str">
        <f t="shared" si="219"/>
        <v>Velodrome</v>
      </c>
      <c r="BE407" t="s">
        <v>7</v>
      </c>
      <c r="BF407" t="s">
        <v>172</v>
      </c>
      <c r="BG407" t="s">
        <v>66</v>
      </c>
      <c r="BI407" cm="1">
        <f t="array" ref="BI407">IFERROR(_xlfn._xlws.FILTER(shifts!A:A,(shifts!B:B=events!AD407)*(shifts!AG:AG&gt;=events!BK407)*(shifts!AH:AH&lt;=events!BL407)),BI406)</f>
        <v>23</v>
      </c>
      <c r="BJ407" s="15">
        <f t="shared" si="220"/>
        <v>0</v>
      </c>
      <c r="BK407">
        <f t="shared" si="227"/>
        <v>550</v>
      </c>
      <c r="BL407">
        <f t="shared" si="228"/>
        <v>550</v>
      </c>
      <c r="BM407" s="15">
        <f>SUMIFS(BJ$2:BJ407,K$2:K407,"=Intermission")+SUMIFS(BJ$2:BJ407,K$2:K407,"=Timeout")</f>
        <v>0</v>
      </c>
      <c r="BN407">
        <f t="shared" si="229"/>
        <v>0</v>
      </c>
      <c r="BO407" s="19">
        <f t="shared" si="230"/>
        <v>530</v>
      </c>
      <c r="BP407">
        <f t="shared" si="231"/>
        <v>525</v>
      </c>
      <c r="BQ407" s="17">
        <f t="shared" si="232"/>
        <v>530</v>
      </c>
      <c r="BR407" t="str">
        <f t="shared" si="233"/>
        <v>event_team_player_1</v>
      </c>
      <c r="BS407">
        <f>COUNTIFS(S$3:S407,"="&amp;S407,AI$3:AI407,"="&amp;AI407)</f>
        <v>1</v>
      </c>
      <c r="BT407" t="str">
        <f>IFERROR(VLOOKUP(BB407&amp;BU407&amp;X407,game_rosters!U:W,3,FALSE),"")</f>
        <v>P100002</v>
      </c>
      <c r="BU407" t="str">
        <f t="shared" si="234"/>
        <v>Velodrome</v>
      </c>
    </row>
    <row r="408" spans="1:73" x14ac:dyDescent="0.2">
      <c r="A408">
        <f t="shared" si="221"/>
        <v>1</v>
      </c>
      <c r="E408" s="4"/>
      <c r="F408" s="43"/>
      <c r="G408" s="4"/>
      <c r="H408" s="46"/>
      <c r="J408" s="44" t="str">
        <f t="shared" si="235"/>
        <v/>
      </c>
      <c r="K408" t="s">
        <v>7</v>
      </c>
      <c r="L408" t="s">
        <v>172</v>
      </c>
      <c r="M408" t="s">
        <v>66</v>
      </c>
      <c r="N408" t="str">
        <f t="shared" si="238"/>
        <v>s</v>
      </c>
      <c r="Q408" t="str">
        <f t="shared" si="236"/>
        <v/>
      </c>
      <c r="S408">
        <v>226</v>
      </c>
      <c r="U408" t="str">
        <f>IF(B408=1,MAX($U$2:$U407)+1,IF(AND($T408&lt;&gt;"",$T408=$T407),$U407,IF(B408="x",U407,"")))</f>
        <v/>
      </c>
      <c r="V408" t="str">
        <f>IF(C408=1,MAX($V$2:$V407)+1,IF(AND($T408&lt;&gt;"",$T408=$T407),$U407,IF(C408="x",V407,"")))</f>
        <v/>
      </c>
      <c r="W408" t="str">
        <f t="shared" si="210"/>
        <v>a</v>
      </c>
      <c r="X408">
        <v>42</v>
      </c>
      <c r="Y408" t="e">
        <f>IF(X408&lt;&gt;"",VLOOKUP(X408,game_rosters!$C$43:$E$64,3,FALSE))</f>
        <v>#N/A</v>
      </c>
      <c r="Z408" cm="1">
        <f t="array" ref="Z408">IFERROR(IF(_xlfn._xlws.FILTER(game_rosters!$J:$J,(game_rosters!$G:$G=events!$AN408)*(game_rosters!$J:$J=events!$X408))&gt;0,1,""),"")</f>
        <v>1</v>
      </c>
      <c r="AA408">
        <f t="shared" si="211"/>
        <v>1226</v>
      </c>
      <c r="AB408" t="str">
        <f t="shared" si="212"/>
        <v/>
      </c>
      <c r="AC408">
        <f t="shared" si="209"/>
        <v>1226</v>
      </c>
      <c r="AD408" s="6">
        <v>1</v>
      </c>
      <c r="AE408" t="s">
        <v>933</v>
      </c>
      <c r="AF408" t="s">
        <v>910</v>
      </c>
      <c r="AG408" t="s">
        <v>756</v>
      </c>
      <c r="AH408" t="s">
        <v>756</v>
      </c>
      <c r="AI408" t="s">
        <v>367</v>
      </c>
      <c r="AJ408" t="str">
        <f t="shared" si="237"/>
        <v/>
      </c>
      <c r="AK408" t="str">
        <f t="shared" si="237"/>
        <v/>
      </c>
      <c r="AL408" t="str">
        <f t="shared" si="214"/>
        <v/>
      </c>
      <c r="AN408" t="s">
        <v>862</v>
      </c>
      <c r="AO408" t="str">
        <f t="shared" si="215"/>
        <v>a</v>
      </c>
      <c r="AP408" t="str">
        <f t="shared" si="222"/>
        <v/>
      </c>
      <c r="AQ408" t="str">
        <f t="shared" si="223"/>
        <v/>
      </c>
      <c r="AR408" t="str">
        <f t="shared" si="224"/>
        <v>Away</v>
      </c>
      <c r="AS408" t="str">
        <f t="shared" si="225"/>
        <v>a</v>
      </c>
      <c r="AT408" t="str">
        <f t="shared" si="226"/>
        <v>Offensive</v>
      </c>
      <c r="BA408" s="6">
        <f t="shared" si="216"/>
        <v>100</v>
      </c>
      <c r="BB408">
        <f t="shared" si="217"/>
        <v>18981</v>
      </c>
      <c r="BC408" t="str">
        <f t="shared" si="218"/>
        <v>Nelson</v>
      </c>
      <c r="BD408" t="str">
        <f t="shared" si="219"/>
        <v>Velodrome</v>
      </c>
      <c r="BE408" t="s">
        <v>7</v>
      </c>
      <c r="BF408" t="s">
        <v>172</v>
      </c>
      <c r="BG408" t="s">
        <v>66</v>
      </c>
      <c r="BI408" cm="1">
        <f t="array" ref="BI408">IFERROR(_xlfn._xlws.FILTER(shifts!A:A,(shifts!B:B=events!AD408)*(shifts!AG:AG&gt;=events!BK408)*(shifts!AH:AH&lt;=events!BL408)),BI407)</f>
        <v>23</v>
      </c>
      <c r="BJ408" s="15">
        <f t="shared" si="220"/>
        <v>0</v>
      </c>
      <c r="BK408">
        <f t="shared" si="227"/>
        <v>550</v>
      </c>
      <c r="BL408">
        <f t="shared" si="228"/>
        <v>550</v>
      </c>
      <c r="BM408" s="15">
        <f>SUMIFS(BJ$2:BJ408,K$2:K408,"=Intermission")+SUMIFS(BJ$2:BJ408,K$2:K408,"=Timeout")</f>
        <v>0</v>
      </c>
      <c r="BN408">
        <f t="shared" si="229"/>
        <v>0</v>
      </c>
      <c r="BO408" s="19">
        <f t="shared" si="230"/>
        <v>530</v>
      </c>
      <c r="BP408">
        <f t="shared" si="231"/>
        <v>525</v>
      </c>
      <c r="BQ408" s="17">
        <f t="shared" si="232"/>
        <v>530</v>
      </c>
      <c r="BR408" t="str">
        <f t="shared" si="233"/>
        <v>event_team_player_2</v>
      </c>
      <c r="BS408">
        <f>COUNTIFS(S$3:S408,"="&amp;S408,AI$3:AI408,"="&amp;AI408)</f>
        <v>2</v>
      </c>
      <c r="BT408" t="str">
        <f>IFERROR(VLOOKUP(BB408&amp;BU408&amp;X408,game_rosters!U:W,3,FALSE),"")</f>
        <v>P100201</v>
      </c>
      <c r="BU408" t="str">
        <f t="shared" si="234"/>
        <v>Velodrome</v>
      </c>
    </row>
    <row r="409" spans="1:73" x14ac:dyDescent="0.2">
      <c r="A409">
        <f t="shared" si="221"/>
        <v>1</v>
      </c>
      <c r="E409" s="4"/>
      <c r="F409" s="43"/>
      <c r="G409" s="4"/>
      <c r="H409" s="46"/>
      <c r="J409" s="44" t="str">
        <f t="shared" si="235"/>
        <v/>
      </c>
      <c r="K409" t="s">
        <v>7</v>
      </c>
      <c r="L409" t="s">
        <v>172</v>
      </c>
      <c r="M409" t="s">
        <v>66</v>
      </c>
      <c r="N409" t="str">
        <f t="shared" si="238"/>
        <v>s</v>
      </c>
      <c r="Q409" t="str">
        <f t="shared" si="236"/>
        <v/>
      </c>
      <c r="S409">
        <v>226</v>
      </c>
      <c r="U409" t="str">
        <f>IF(B409=1,MAX($U$2:$U408)+1,IF(AND($T409&lt;&gt;"",$T409=$T408),$U408,IF(B409="x",U408,"")))</f>
        <v/>
      </c>
      <c r="V409" t="str">
        <f>IF(C409=1,MAX($V$2:$V408)+1,IF(AND($T409&lt;&gt;"",$T409=$T408),$U408,IF(C409="x",V408,"")))</f>
        <v/>
      </c>
      <c r="W409" t="str">
        <f t="shared" si="210"/>
        <v>a</v>
      </c>
      <c r="X409">
        <v>7</v>
      </c>
      <c r="Y409" t="b">
        <f>IF(X409&lt;&gt;"",VLOOKUP(X409,game_rosters!$C$43:$E$64,3,FALSE))</f>
        <v>0</v>
      </c>
      <c r="Z409" t="str" cm="1">
        <f t="array" ref="Z409">IFERROR(IF(_xlfn._xlws.FILTER(game_rosters!$J:$J,(game_rosters!$G:$G=events!$AN409)*(game_rosters!$J:$J=events!$X409))&gt;0,1,""),"")</f>
        <v/>
      </c>
      <c r="AA409">
        <f t="shared" si="211"/>
        <v>1226</v>
      </c>
      <c r="AB409" t="str">
        <f t="shared" si="212"/>
        <v/>
      </c>
      <c r="AC409">
        <f t="shared" si="209"/>
        <v>1226</v>
      </c>
      <c r="AD409" s="6">
        <v>1</v>
      </c>
      <c r="AE409" t="s">
        <v>933</v>
      </c>
      <c r="AF409" t="s">
        <v>910</v>
      </c>
      <c r="AG409" t="s">
        <v>756</v>
      </c>
      <c r="AH409" t="s">
        <v>756</v>
      </c>
      <c r="AI409" t="s">
        <v>368</v>
      </c>
      <c r="AJ409" t="str">
        <f t="shared" si="237"/>
        <v/>
      </c>
      <c r="AK409" t="str">
        <f t="shared" si="237"/>
        <v/>
      </c>
      <c r="AL409" t="str">
        <f t="shared" si="214"/>
        <v/>
      </c>
      <c r="AN409" t="s">
        <v>862</v>
      </c>
      <c r="AO409" t="str">
        <f t="shared" si="215"/>
        <v>a</v>
      </c>
      <c r="AP409" t="str">
        <f t="shared" si="222"/>
        <v/>
      </c>
      <c r="AQ409" t="str">
        <f t="shared" si="223"/>
        <v/>
      </c>
      <c r="AR409" t="str">
        <f t="shared" si="224"/>
        <v>Away</v>
      </c>
      <c r="AS409" t="str">
        <f t="shared" si="225"/>
        <v>a</v>
      </c>
      <c r="AT409" t="str">
        <f t="shared" si="226"/>
        <v>Defensive</v>
      </c>
      <c r="BA409" s="6">
        <f t="shared" si="216"/>
        <v>100</v>
      </c>
      <c r="BB409">
        <f t="shared" si="217"/>
        <v>18981</v>
      </c>
      <c r="BC409" t="str">
        <f t="shared" si="218"/>
        <v>Nelson</v>
      </c>
      <c r="BD409" t="str">
        <f t="shared" si="219"/>
        <v>Velodrome</v>
      </c>
      <c r="BE409" t="s">
        <v>7</v>
      </c>
      <c r="BF409" t="s">
        <v>172</v>
      </c>
      <c r="BG409" t="s">
        <v>66</v>
      </c>
      <c r="BI409" cm="1">
        <f t="array" ref="BI409">IFERROR(_xlfn._xlws.FILTER(shifts!A:A,(shifts!B:B=events!AD409)*(shifts!AG:AG&gt;=events!BK409)*(shifts!AH:AH&lt;=events!BL409)),BI408)</f>
        <v>23</v>
      </c>
      <c r="BJ409" s="15">
        <f t="shared" si="220"/>
        <v>0</v>
      </c>
      <c r="BK409">
        <f t="shared" si="227"/>
        <v>550</v>
      </c>
      <c r="BL409">
        <f t="shared" si="228"/>
        <v>550</v>
      </c>
      <c r="BM409" s="15">
        <f>SUMIFS(BJ$2:BJ409,K$2:K409,"=Intermission")+SUMIFS(BJ$2:BJ409,K$2:K409,"=Timeout")</f>
        <v>0</v>
      </c>
      <c r="BN409">
        <f t="shared" si="229"/>
        <v>0</v>
      </c>
      <c r="BO409" s="19">
        <f t="shared" si="230"/>
        <v>530</v>
      </c>
      <c r="BP409">
        <f t="shared" si="231"/>
        <v>525</v>
      </c>
      <c r="BQ409" s="17">
        <f t="shared" si="232"/>
        <v>530</v>
      </c>
      <c r="BR409" t="str">
        <f t="shared" si="233"/>
        <v>opp_team_player_1</v>
      </c>
      <c r="BS409">
        <f>COUNTIFS(S$3:S409,"="&amp;S409,AI$3:AI409,"="&amp;AI409)</f>
        <v>1</v>
      </c>
      <c r="BT409" t="str">
        <f>IFERROR(VLOOKUP(BB409&amp;BU409&amp;X409,game_rosters!U:W,3,FALSE),"")</f>
        <v>P100072</v>
      </c>
      <c r="BU409" t="str">
        <f t="shared" si="234"/>
        <v>Nelson</v>
      </c>
    </row>
    <row r="410" spans="1:73" x14ac:dyDescent="0.2">
      <c r="A410">
        <f t="shared" si="221"/>
        <v>1</v>
      </c>
      <c r="E410" s="4"/>
      <c r="F410" s="43"/>
      <c r="G410" s="4"/>
      <c r="H410" s="46"/>
      <c r="J410" s="44" t="str">
        <f t="shared" si="235"/>
        <v/>
      </c>
      <c r="K410" t="s">
        <v>13</v>
      </c>
      <c r="L410" t="s">
        <v>756</v>
      </c>
      <c r="M410" t="s">
        <v>756</v>
      </c>
      <c r="N410" t="str">
        <f t="shared" si="238"/>
        <v/>
      </c>
      <c r="Q410" t="str">
        <f t="shared" si="236"/>
        <v/>
      </c>
      <c r="S410">
        <v>227</v>
      </c>
      <c r="U410" t="str">
        <f>IF(B410=1,MAX($U$2:$U409)+1,IF(AND($T410&lt;&gt;"",$T410=$T409),$U409,IF(B410="x",U409,"")))</f>
        <v/>
      </c>
      <c r="V410" t="str">
        <f>IF(C410=1,MAX($V$2:$V409)+1,IF(AND($T410&lt;&gt;"",$T410=$T409),$U409,IF(C410="x",V409,"")))</f>
        <v/>
      </c>
      <c r="W410" t="str">
        <f t="shared" si="210"/>
        <v>a</v>
      </c>
      <c r="X410">
        <v>42</v>
      </c>
      <c r="Y410" t="e">
        <f>IF(X410&lt;&gt;"",VLOOKUP(X410,game_rosters!$C$43:$E$64,3,FALSE))</f>
        <v>#N/A</v>
      </c>
      <c r="Z410" cm="1">
        <f t="array" ref="Z410">IFERROR(IF(_xlfn._xlws.FILTER(game_rosters!$J:$J,(game_rosters!$G:$G=events!$AN410)*(game_rosters!$J:$J=events!$X410))&gt;0,1,""),"")</f>
        <v>1</v>
      </c>
      <c r="AA410">
        <f t="shared" si="211"/>
        <v>1227</v>
      </c>
      <c r="AB410" t="str">
        <f t="shared" si="212"/>
        <v/>
      </c>
      <c r="AC410">
        <f t="shared" si="209"/>
        <v>1227</v>
      </c>
      <c r="AD410" s="6">
        <v>1</v>
      </c>
      <c r="AE410" t="s">
        <v>933</v>
      </c>
      <c r="AF410" t="s">
        <v>920</v>
      </c>
      <c r="AG410" t="s">
        <v>933</v>
      </c>
      <c r="AH410" t="s">
        <v>912</v>
      </c>
      <c r="AI410" t="s">
        <v>367</v>
      </c>
      <c r="AJ410" t="str">
        <f t="shared" si="237"/>
        <v/>
      </c>
      <c r="AK410" t="str">
        <f t="shared" si="237"/>
        <v/>
      </c>
      <c r="AL410" t="str">
        <f t="shared" si="214"/>
        <v/>
      </c>
      <c r="AN410" t="s">
        <v>862</v>
      </c>
      <c r="AO410" t="str">
        <f t="shared" si="215"/>
        <v>a</v>
      </c>
      <c r="AP410" t="str">
        <f t="shared" si="222"/>
        <v/>
      </c>
      <c r="AQ410" t="str">
        <f t="shared" si="223"/>
        <v/>
      </c>
      <c r="AR410" t="str">
        <f t="shared" si="224"/>
        <v>Away</v>
      </c>
      <c r="AS410" t="str">
        <f t="shared" si="225"/>
        <v>a</v>
      </c>
      <c r="AT410" t="str">
        <f t="shared" si="226"/>
        <v>Offensive</v>
      </c>
      <c r="BA410" s="6">
        <f t="shared" si="216"/>
        <v>100</v>
      </c>
      <c r="BB410">
        <f t="shared" si="217"/>
        <v>18981</v>
      </c>
      <c r="BC410" t="str">
        <f t="shared" si="218"/>
        <v>Nelson</v>
      </c>
      <c r="BD410" t="str">
        <f t="shared" si="219"/>
        <v>Velodrome</v>
      </c>
      <c r="BE410" t="s">
        <v>13</v>
      </c>
      <c r="BF410" t="s">
        <v>756</v>
      </c>
      <c r="BG410" t="s">
        <v>756</v>
      </c>
      <c r="BI410" cm="1">
        <f t="array" ref="BI410">IFERROR(_xlfn._xlws.FILTER(shifts!A:A,(shifts!B:B=events!AD410)*(shifts!AG:AG&gt;=events!BK410)*(shifts!AH:AH&lt;=events!BL410)),BI409)</f>
        <v>23</v>
      </c>
      <c r="BJ410" s="15">
        <f t="shared" si="220"/>
        <v>4</v>
      </c>
      <c r="BK410">
        <f t="shared" si="227"/>
        <v>549</v>
      </c>
      <c r="BL410">
        <f t="shared" si="228"/>
        <v>545</v>
      </c>
      <c r="BM410" s="15">
        <f>SUMIFS(BJ$2:BJ410,K$2:K410,"=Intermission")+SUMIFS(BJ$2:BJ410,K$2:K410,"=Timeout")</f>
        <v>0</v>
      </c>
      <c r="BN410">
        <f t="shared" si="229"/>
        <v>0</v>
      </c>
      <c r="BO410" s="19">
        <f t="shared" si="230"/>
        <v>531</v>
      </c>
      <c r="BP410">
        <f t="shared" si="231"/>
        <v>526</v>
      </c>
      <c r="BQ410" s="17">
        <f t="shared" si="232"/>
        <v>535</v>
      </c>
      <c r="BR410" t="str">
        <f t="shared" si="233"/>
        <v>event_team_player_1</v>
      </c>
      <c r="BS410">
        <f>COUNTIFS(S$3:S410,"="&amp;S410,AI$3:AI410,"="&amp;AI410)</f>
        <v>1</v>
      </c>
      <c r="BT410" t="str">
        <f>IFERROR(VLOOKUP(BB410&amp;BU410&amp;X410,game_rosters!U:W,3,FALSE),"")</f>
        <v>P100201</v>
      </c>
      <c r="BU410" t="str">
        <f t="shared" si="234"/>
        <v>Velodrome</v>
      </c>
    </row>
    <row r="411" spans="1:73" x14ac:dyDescent="0.2">
      <c r="A411">
        <f t="shared" si="221"/>
        <v>1</v>
      </c>
      <c r="E411" s="4"/>
      <c r="F411" s="43"/>
      <c r="G411" s="4"/>
      <c r="H411" s="46"/>
      <c r="J411" s="44" t="str">
        <f t="shared" si="235"/>
        <v/>
      </c>
      <c r="K411" t="s">
        <v>13</v>
      </c>
      <c r="L411" t="s">
        <v>756</v>
      </c>
      <c r="M411" t="s">
        <v>756</v>
      </c>
      <c r="N411" t="str">
        <f t="shared" si="238"/>
        <v/>
      </c>
      <c r="Q411" t="str">
        <f t="shared" si="236"/>
        <v/>
      </c>
      <c r="S411">
        <v>227</v>
      </c>
      <c r="U411" t="str">
        <f>IF(B411=1,MAX($U$2:$U410)+1,IF(AND($T411&lt;&gt;"",$T411=$T410),$U410,IF(B411="x",U410,"")))</f>
        <v/>
      </c>
      <c r="V411" t="str">
        <f>IF(C411=1,MAX($V$2:$V410)+1,IF(AND($T411&lt;&gt;"",$T411=$T410),$U410,IF(C411="x",V410,"")))</f>
        <v/>
      </c>
      <c r="W411" t="str">
        <f t="shared" si="210"/>
        <v>a</v>
      </c>
      <c r="X411">
        <v>37</v>
      </c>
      <c r="Y411" t="b">
        <f>IF(X411&lt;&gt;"",VLOOKUP(X411,game_rosters!$C$43:$E$64,3,FALSE))</f>
        <v>0</v>
      </c>
      <c r="Z411" t="str" cm="1">
        <f t="array" ref="Z411">IFERROR(IF(_xlfn._xlws.FILTER(game_rosters!$J:$J,(game_rosters!$G:$G=events!$AN411)*(game_rosters!$J:$J=events!$X411))&gt;0,1,""),"")</f>
        <v/>
      </c>
      <c r="AA411">
        <f t="shared" si="211"/>
        <v>1227</v>
      </c>
      <c r="AB411" t="str">
        <f t="shared" si="212"/>
        <v/>
      </c>
      <c r="AC411">
        <f t="shared" si="209"/>
        <v>1227</v>
      </c>
      <c r="AD411" s="6">
        <v>1</v>
      </c>
      <c r="AE411" t="s">
        <v>933</v>
      </c>
      <c r="AF411" t="s">
        <v>920</v>
      </c>
      <c r="AG411" t="s">
        <v>933</v>
      </c>
      <c r="AH411" t="s">
        <v>912</v>
      </c>
      <c r="AI411" t="s">
        <v>368</v>
      </c>
      <c r="AJ411" t="str">
        <f t="shared" si="237"/>
        <v/>
      </c>
      <c r="AK411" t="str">
        <f t="shared" si="237"/>
        <v/>
      </c>
      <c r="AL411" t="str">
        <f t="shared" si="214"/>
        <v/>
      </c>
      <c r="AN411" t="s">
        <v>862</v>
      </c>
      <c r="AO411" t="str">
        <f t="shared" si="215"/>
        <v>a</v>
      </c>
      <c r="AP411" t="str">
        <f t="shared" si="222"/>
        <v/>
      </c>
      <c r="AQ411" t="str">
        <f t="shared" si="223"/>
        <v/>
      </c>
      <c r="AR411" t="str">
        <f t="shared" si="224"/>
        <v>Away</v>
      </c>
      <c r="AS411" t="str">
        <f t="shared" si="225"/>
        <v>a</v>
      </c>
      <c r="AT411" t="str">
        <f t="shared" si="226"/>
        <v>Defensive</v>
      </c>
      <c r="BA411" s="6">
        <f t="shared" si="216"/>
        <v>100</v>
      </c>
      <c r="BB411">
        <f t="shared" si="217"/>
        <v>18981</v>
      </c>
      <c r="BC411" t="str">
        <f t="shared" si="218"/>
        <v>Nelson</v>
      </c>
      <c r="BD411" t="str">
        <f t="shared" si="219"/>
        <v>Velodrome</v>
      </c>
      <c r="BE411" t="s">
        <v>13</v>
      </c>
      <c r="BF411" t="s">
        <v>756</v>
      </c>
      <c r="BG411" t="s">
        <v>756</v>
      </c>
      <c r="BI411" cm="1">
        <f t="array" ref="BI411">IFERROR(_xlfn._xlws.FILTER(shifts!A:A,(shifts!B:B=events!AD411)*(shifts!AG:AG&gt;=events!BK411)*(shifts!AH:AH&lt;=events!BL411)),BI410)</f>
        <v>23</v>
      </c>
      <c r="BJ411" s="15">
        <f t="shared" si="220"/>
        <v>4</v>
      </c>
      <c r="BK411">
        <f t="shared" si="227"/>
        <v>549</v>
      </c>
      <c r="BL411">
        <f t="shared" si="228"/>
        <v>545</v>
      </c>
      <c r="BM411" s="15">
        <f>SUMIFS(BJ$2:BJ411,K$2:K411,"=Intermission")+SUMIFS(BJ$2:BJ411,K$2:K411,"=Timeout")</f>
        <v>0</v>
      </c>
      <c r="BN411">
        <f t="shared" si="229"/>
        <v>0</v>
      </c>
      <c r="BO411" s="19">
        <f t="shared" si="230"/>
        <v>531</v>
      </c>
      <c r="BP411">
        <f t="shared" si="231"/>
        <v>526</v>
      </c>
      <c r="BQ411" s="17">
        <f t="shared" si="232"/>
        <v>535</v>
      </c>
      <c r="BR411" t="str">
        <f t="shared" si="233"/>
        <v>opp_team_player_1</v>
      </c>
      <c r="BS411">
        <f>COUNTIFS(S$3:S411,"="&amp;S411,AI$3:AI411,"="&amp;AI411)</f>
        <v>1</v>
      </c>
      <c r="BT411" t="str">
        <f>IFERROR(VLOOKUP(BB411&amp;BU411&amp;X411,game_rosters!U:W,3,FALSE),"")</f>
        <v>P100119</v>
      </c>
      <c r="BU411" t="str">
        <f t="shared" si="234"/>
        <v>Nelson</v>
      </c>
    </row>
    <row r="412" spans="1:73" x14ac:dyDescent="0.2">
      <c r="A412">
        <f t="shared" si="221"/>
        <v>1</v>
      </c>
      <c r="E412" s="4"/>
      <c r="F412" s="43"/>
      <c r="G412" s="4"/>
      <c r="H412" s="46"/>
      <c r="J412" s="44" t="str">
        <f t="shared" si="235"/>
        <v/>
      </c>
      <c r="K412" t="s">
        <v>7</v>
      </c>
      <c r="L412" t="s">
        <v>172</v>
      </c>
      <c r="M412" t="s">
        <v>381</v>
      </c>
      <c r="N412" t="str">
        <f t="shared" si="238"/>
        <v>s</v>
      </c>
      <c r="Q412" t="str">
        <f t="shared" si="236"/>
        <v/>
      </c>
      <c r="S412">
        <v>228</v>
      </c>
      <c r="U412" t="str">
        <f>IF(B412=1,MAX($U$2:$U411)+1,IF(AND($T412&lt;&gt;"",$T412=$T411),$U411,IF(B412="x",U411,"")))</f>
        <v/>
      </c>
      <c r="V412" t="str">
        <f>IF(C412=1,MAX($V$2:$V411)+1,IF(AND($T412&lt;&gt;"",$T412=$T411),$U411,IF(C412="x",V411,"")))</f>
        <v/>
      </c>
      <c r="W412" t="str">
        <f t="shared" si="210"/>
        <v>a</v>
      </c>
      <c r="X412">
        <v>42</v>
      </c>
      <c r="Y412" t="e">
        <f>IF(X412&lt;&gt;"",VLOOKUP(X412,game_rosters!$C$43:$E$64,3,FALSE))</f>
        <v>#N/A</v>
      </c>
      <c r="Z412" cm="1">
        <f t="array" ref="Z412">IFERROR(IF(_xlfn._xlws.FILTER(game_rosters!$J:$J,(game_rosters!$G:$G=events!$AN412)*(game_rosters!$J:$J=events!$X412))&gt;0,1,""),"")</f>
        <v>1</v>
      </c>
      <c r="AA412">
        <f t="shared" si="211"/>
        <v>1228</v>
      </c>
      <c r="AB412" t="str">
        <f t="shared" si="212"/>
        <v/>
      </c>
      <c r="AC412">
        <f t="shared" si="209"/>
        <v>1228</v>
      </c>
      <c r="AD412" s="6">
        <v>1</v>
      </c>
      <c r="AE412" t="s">
        <v>933</v>
      </c>
      <c r="AF412" t="s">
        <v>912</v>
      </c>
      <c r="AG412" t="s">
        <v>756</v>
      </c>
      <c r="AH412" t="s">
        <v>756</v>
      </c>
      <c r="AI412" t="s">
        <v>367</v>
      </c>
      <c r="AJ412" t="str">
        <f t="shared" si="237"/>
        <v/>
      </c>
      <c r="AK412" t="str">
        <f t="shared" si="237"/>
        <v/>
      </c>
      <c r="AL412" t="str">
        <f t="shared" si="214"/>
        <v/>
      </c>
      <c r="AN412" t="s">
        <v>862</v>
      </c>
      <c r="AO412" t="str">
        <f t="shared" si="215"/>
        <v>a</v>
      </c>
      <c r="AP412" t="str">
        <f t="shared" si="222"/>
        <v/>
      </c>
      <c r="AQ412" t="str">
        <f t="shared" si="223"/>
        <v/>
      </c>
      <c r="AR412" t="str">
        <f t="shared" si="224"/>
        <v>Away</v>
      </c>
      <c r="AS412" t="str">
        <f t="shared" si="225"/>
        <v>a</v>
      </c>
      <c r="AT412" t="str">
        <f t="shared" si="226"/>
        <v>Offensive</v>
      </c>
      <c r="BA412" s="6">
        <f t="shared" si="216"/>
        <v>100</v>
      </c>
      <c r="BB412">
        <f t="shared" si="217"/>
        <v>18981</v>
      </c>
      <c r="BC412" t="str">
        <f t="shared" si="218"/>
        <v>Nelson</v>
      </c>
      <c r="BD412" t="str">
        <f t="shared" si="219"/>
        <v>Velodrome</v>
      </c>
      <c r="BE412" t="s">
        <v>7</v>
      </c>
      <c r="BF412" t="s">
        <v>172</v>
      </c>
      <c r="BG412" t="s">
        <v>381</v>
      </c>
      <c r="BI412" cm="1">
        <f t="array" ref="BI412">IFERROR(_xlfn._xlws.FILTER(shifts!A:A,(shifts!B:B=events!AD412)*(shifts!AG:AG&gt;=events!BK412)*(shifts!AH:AH&lt;=events!BL412)),BI411)</f>
        <v>23</v>
      </c>
      <c r="BJ412" s="15">
        <f t="shared" si="220"/>
        <v>0</v>
      </c>
      <c r="BK412">
        <f t="shared" si="227"/>
        <v>545</v>
      </c>
      <c r="BL412">
        <f t="shared" si="228"/>
        <v>545</v>
      </c>
      <c r="BM412" s="15">
        <f>SUMIFS(BJ$2:BJ412,K$2:K412,"=Intermission")+SUMIFS(BJ$2:BJ412,K$2:K412,"=Timeout")</f>
        <v>0</v>
      </c>
      <c r="BN412">
        <f t="shared" si="229"/>
        <v>0</v>
      </c>
      <c r="BO412" s="19">
        <f t="shared" si="230"/>
        <v>535</v>
      </c>
      <c r="BP412">
        <f t="shared" si="231"/>
        <v>530</v>
      </c>
      <c r="BQ412" s="17">
        <f t="shared" si="232"/>
        <v>535</v>
      </c>
      <c r="BR412" t="str">
        <f t="shared" si="233"/>
        <v>event_team_player_1</v>
      </c>
      <c r="BS412">
        <f>COUNTIFS(S$3:S412,"="&amp;S412,AI$3:AI412,"="&amp;AI412)</f>
        <v>1</v>
      </c>
      <c r="BT412" t="str">
        <f>IFERROR(VLOOKUP(BB412&amp;BU412&amp;X412,game_rosters!U:W,3,FALSE),"")</f>
        <v>P100201</v>
      </c>
      <c r="BU412" t="str">
        <f t="shared" si="234"/>
        <v>Velodrome</v>
      </c>
    </row>
    <row r="413" spans="1:73" x14ac:dyDescent="0.2">
      <c r="A413">
        <f t="shared" si="221"/>
        <v>1</v>
      </c>
      <c r="E413" s="4"/>
      <c r="F413" s="43"/>
      <c r="G413" s="4"/>
      <c r="H413" s="46"/>
      <c r="J413" s="44" t="str">
        <f t="shared" si="235"/>
        <v/>
      </c>
      <c r="K413" t="s">
        <v>7</v>
      </c>
      <c r="L413" t="s">
        <v>172</v>
      </c>
      <c r="M413" t="s">
        <v>381</v>
      </c>
      <c r="N413" t="str">
        <f t="shared" si="238"/>
        <v>s</v>
      </c>
      <c r="Q413" t="str">
        <f t="shared" si="236"/>
        <v/>
      </c>
      <c r="S413">
        <v>228</v>
      </c>
      <c r="U413" t="str">
        <f>IF(B413=1,MAX($U$2:$U412)+1,IF(AND($T413&lt;&gt;"",$T413=$T412),$U412,IF(B413="x",U412,"")))</f>
        <v/>
      </c>
      <c r="V413" t="str">
        <f>IF(C413=1,MAX($V$2:$V412)+1,IF(AND($T413&lt;&gt;"",$T413=$T412),$U412,IF(C413="x",V412,"")))</f>
        <v/>
      </c>
      <c r="W413" t="str">
        <f t="shared" si="210"/>
        <v>a</v>
      </c>
      <c r="X413">
        <v>91</v>
      </c>
      <c r="Y413" t="e">
        <f>IF(X413&lt;&gt;"",VLOOKUP(X413,game_rosters!$C$43:$E$64,3,FALSE))</f>
        <v>#N/A</v>
      </c>
      <c r="Z413" cm="1">
        <f t="array" ref="Z413">IFERROR(IF(_xlfn._xlws.FILTER(game_rosters!$J:$J,(game_rosters!$G:$G=events!$AN413)*(game_rosters!$J:$J=events!$X413))&gt;0,1,""),"")</f>
        <v>1</v>
      </c>
      <c r="AA413">
        <f t="shared" si="211"/>
        <v>1228</v>
      </c>
      <c r="AB413" t="str">
        <f t="shared" si="212"/>
        <v/>
      </c>
      <c r="AC413">
        <f t="shared" si="209"/>
        <v>1228</v>
      </c>
      <c r="AD413" s="6">
        <v>1</v>
      </c>
      <c r="AE413" t="s">
        <v>933</v>
      </c>
      <c r="AF413" t="s">
        <v>912</v>
      </c>
      <c r="AG413" t="s">
        <v>756</v>
      </c>
      <c r="AH413" t="s">
        <v>756</v>
      </c>
      <c r="AI413" t="s">
        <v>367</v>
      </c>
      <c r="AJ413" t="str">
        <f t="shared" si="237"/>
        <v/>
      </c>
      <c r="AK413" t="str">
        <f t="shared" si="237"/>
        <v/>
      </c>
      <c r="AL413" t="str">
        <f t="shared" si="214"/>
        <v/>
      </c>
      <c r="AN413" t="s">
        <v>862</v>
      </c>
      <c r="AO413" t="str">
        <f t="shared" si="215"/>
        <v>a</v>
      </c>
      <c r="AP413" t="str">
        <f t="shared" si="222"/>
        <v/>
      </c>
      <c r="AQ413" t="str">
        <f t="shared" si="223"/>
        <v/>
      </c>
      <c r="AR413" t="str">
        <f t="shared" si="224"/>
        <v>Away</v>
      </c>
      <c r="AS413" t="str">
        <f t="shared" si="225"/>
        <v>a</v>
      </c>
      <c r="AT413" t="str">
        <f t="shared" si="226"/>
        <v>Offensive</v>
      </c>
      <c r="BA413" s="6">
        <f t="shared" si="216"/>
        <v>100</v>
      </c>
      <c r="BB413">
        <f t="shared" si="217"/>
        <v>18981</v>
      </c>
      <c r="BC413" t="str">
        <f t="shared" si="218"/>
        <v>Nelson</v>
      </c>
      <c r="BD413" t="str">
        <f t="shared" si="219"/>
        <v>Velodrome</v>
      </c>
      <c r="BE413" t="s">
        <v>7</v>
      </c>
      <c r="BF413" t="s">
        <v>172</v>
      </c>
      <c r="BG413" t="s">
        <v>381</v>
      </c>
      <c r="BI413" cm="1">
        <f t="array" ref="BI413">IFERROR(_xlfn._xlws.FILTER(shifts!A:A,(shifts!B:B=events!AD413)*(shifts!AG:AG&gt;=events!BK413)*(shifts!AH:AH&lt;=events!BL413)),BI412)</f>
        <v>23</v>
      </c>
      <c r="BJ413" s="15">
        <f t="shared" si="220"/>
        <v>0</v>
      </c>
      <c r="BK413">
        <f t="shared" si="227"/>
        <v>545</v>
      </c>
      <c r="BL413">
        <f t="shared" si="228"/>
        <v>545</v>
      </c>
      <c r="BM413" s="15">
        <f>SUMIFS(BJ$2:BJ413,K$2:K413,"=Intermission")+SUMIFS(BJ$2:BJ413,K$2:K413,"=Timeout")</f>
        <v>0</v>
      </c>
      <c r="BN413">
        <f t="shared" si="229"/>
        <v>0</v>
      </c>
      <c r="BO413" s="19">
        <f t="shared" si="230"/>
        <v>535</v>
      </c>
      <c r="BP413">
        <f t="shared" si="231"/>
        <v>530</v>
      </c>
      <c r="BQ413" s="17">
        <f t="shared" si="232"/>
        <v>535</v>
      </c>
      <c r="BR413" t="str">
        <f t="shared" si="233"/>
        <v>event_team_player_2</v>
      </c>
      <c r="BS413">
        <f>COUNTIFS(S$3:S413,"="&amp;S413,AI$3:AI413,"="&amp;AI413)</f>
        <v>2</v>
      </c>
      <c r="BT413" t="str">
        <f>IFERROR(VLOOKUP(BB413&amp;BU413&amp;X413,game_rosters!U:W,3,FALSE),"")</f>
        <v>P100002</v>
      </c>
      <c r="BU413" t="str">
        <f t="shared" si="234"/>
        <v>Velodrome</v>
      </c>
    </row>
    <row r="414" spans="1:73" x14ac:dyDescent="0.2">
      <c r="A414">
        <f t="shared" si="221"/>
        <v>1</v>
      </c>
      <c r="E414" s="4"/>
      <c r="F414" s="43"/>
      <c r="G414" s="4"/>
      <c r="H414" s="46"/>
      <c r="J414" s="44" t="str">
        <f t="shared" si="235"/>
        <v/>
      </c>
      <c r="K414" t="s">
        <v>7</v>
      </c>
      <c r="L414" t="s">
        <v>172</v>
      </c>
      <c r="M414" t="s">
        <v>381</v>
      </c>
      <c r="N414" t="str">
        <f t="shared" si="238"/>
        <v>s</v>
      </c>
      <c r="Q414" t="str">
        <f t="shared" si="236"/>
        <v/>
      </c>
      <c r="S414">
        <v>228</v>
      </c>
      <c r="U414" t="str">
        <f>IF(B414=1,MAX($U$2:$U413)+1,IF(AND($T414&lt;&gt;"",$T414=$T413),$U413,IF(B414="x",U413,"")))</f>
        <v/>
      </c>
      <c r="V414" t="str">
        <f>IF(C414=1,MAX($V$2:$V413)+1,IF(AND($T414&lt;&gt;"",$T414=$T413),$U413,IF(C414="x",V413,"")))</f>
        <v/>
      </c>
      <c r="W414" t="str">
        <f t="shared" si="210"/>
        <v>a</v>
      </c>
      <c r="X414">
        <v>37</v>
      </c>
      <c r="Y414" t="b">
        <f>IF(X414&lt;&gt;"",VLOOKUP(X414,game_rosters!$C$43:$E$64,3,FALSE))</f>
        <v>0</v>
      </c>
      <c r="Z414" t="str" cm="1">
        <f t="array" ref="Z414">IFERROR(IF(_xlfn._xlws.FILTER(game_rosters!$J:$J,(game_rosters!$G:$G=events!$AN414)*(game_rosters!$J:$J=events!$X414))&gt;0,1,""),"")</f>
        <v/>
      </c>
      <c r="AA414">
        <f t="shared" si="211"/>
        <v>1228</v>
      </c>
      <c r="AB414" t="str">
        <f t="shared" si="212"/>
        <v/>
      </c>
      <c r="AC414">
        <f t="shared" si="209"/>
        <v>1228</v>
      </c>
      <c r="AD414" s="6">
        <v>1</v>
      </c>
      <c r="AE414" t="s">
        <v>933</v>
      </c>
      <c r="AF414" t="s">
        <v>912</v>
      </c>
      <c r="AG414" t="s">
        <v>756</v>
      </c>
      <c r="AH414" t="s">
        <v>756</v>
      </c>
      <c r="AI414" t="s">
        <v>368</v>
      </c>
      <c r="AJ414" t="str">
        <f t="shared" si="237"/>
        <v/>
      </c>
      <c r="AK414" t="str">
        <f t="shared" si="237"/>
        <v/>
      </c>
      <c r="AL414" t="str">
        <f t="shared" si="214"/>
        <v/>
      </c>
      <c r="AN414" t="s">
        <v>862</v>
      </c>
      <c r="AO414" t="str">
        <f t="shared" si="215"/>
        <v>a</v>
      </c>
      <c r="AP414" t="str">
        <f t="shared" si="222"/>
        <v/>
      </c>
      <c r="AQ414" t="str">
        <f t="shared" si="223"/>
        <v/>
      </c>
      <c r="AR414" t="str">
        <f t="shared" si="224"/>
        <v>Away</v>
      </c>
      <c r="AS414" t="str">
        <f t="shared" si="225"/>
        <v>a</v>
      </c>
      <c r="AT414" t="str">
        <f t="shared" si="226"/>
        <v>Defensive</v>
      </c>
      <c r="BA414" s="6">
        <f t="shared" si="216"/>
        <v>100</v>
      </c>
      <c r="BB414">
        <f t="shared" si="217"/>
        <v>18981</v>
      </c>
      <c r="BC414" t="str">
        <f t="shared" si="218"/>
        <v>Nelson</v>
      </c>
      <c r="BD414" t="str">
        <f t="shared" si="219"/>
        <v>Velodrome</v>
      </c>
      <c r="BE414" t="s">
        <v>7</v>
      </c>
      <c r="BF414" t="s">
        <v>172</v>
      </c>
      <c r="BG414" t="s">
        <v>381</v>
      </c>
      <c r="BI414" cm="1">
        <f t="array" ref="BI414">IFERROR(_xlfn._xlws.FILTER(shifts!A:A,(shifts!B:B=events!AD414)*(shifts!AG:AG&gt;=events!BK414)*(shifts!AH:AH&lt;=events!BL414)),BI413)</f>
        <v>23</v>
      </c>
      <c r="BJ414" s="15">
        <f t="shared" si="220"/>
        <v>0</v>
      </c>
      <c r="BK414">
        <f t="shared" si="227"/>
        <v>545</v>
      </c>
      <c r="BL414">
        <f t="shared" si="228"/>
        <v>545</v>
      </c>
      <c r="BM414" s="15">
        <f>SUMIFS(BJ$2:BJ414,K$2:K414,"=Intermission")+SUMIFS(BJ$2:BJ414,K$2:K414,"=Timeout")</f>
        <v>0</v>
      </c>
      <c r="BN414">
        <f t="shared" si="229"/>
        <v>0</v>
      </c>
      <c r="BO414" s="19">
        <f t="shared" si="230"/>
        <v>535</v>
      </c>
      <c r="BP414">
        <f t="shared" si="231"/>
        <v>530</v>
      </c>
      <c r="BQ414" s="17">
        <f t="shared" si="232"/>
        <v>535</v>
      </c>
      <c r="BR414" t="str">
        <f t="shared" si="233"/>
        <v>opp_team_player_1</v>
      </c>
      <c r="BS414">
        <f>COUNTIFS(S$3:S414,"="&amp;S414,AI$3:AI414,"="&amp;AI414)</f>
        <v>1</v>
      </c>
      <c r="BT414" t="str">
        <f>IFERROR(VLOOKUP(BB414&amp;BU414&amp;X414,game_rosters!U:W,3,FALSE),"")</f>
        <v>P100119</v>
      </c>
      <c r="BU414" t="str">
        <f t="shared" si="234"/>
        <v>Nelson</v>
      </c>
    </row>
    <row r="415" spans="1:73" x14ac:dyDescent="0.2">
      <c r="A415">
        <f t="shared" si="221"/>
        <v>1</v>
      </c>
      <c r="E415" s="4"/>
      <c r="F415" s="43"/>
      <c r="G415" s="4"/>
      <c r="H415" s="46"/>
      <c r="J415" s="44" t="str">
        <f t="shared" si="235"/>
        <v>o</v>
      </c>
      <c r="K415" t="s">
        <v>6</v>
      </c>
      <c r="L415" t="s">
        <v>191</v>
      </c>
      <c r="M415" t="s">
        <v>51</v>
      </c>
      <c r="N415" t="str">
        <f t="shared" si="238"/>
        <v>u</v>
      </c>
      <c r="Q415" t="str">
        <f t="shared" si="236"/>
        <v/>
      </c>
      <c r="S415">
        <v>229</v>
      </c>
      <c r="U415" t="str">
        <f>IF(B415=1,MAX($U$2:$U414)+1,IF(AND($T415&lt;&gt;"",$T415=$T414),$U414,IF(B415="x",U414,"")))</f>
        <v/>
      </c>
      <c r="V415" t="str">
        <f>IF(C415=1,MAX($V$2:$V414)+1,IF(AND($T415&lt;&gt;"",$T415=$T414),$U414,IF(C415="x",V414,"")))</f>
        <v/>
      </c>
      <c r="W415" t="str">
        <f t="shared" si="210"/>
        <v>a</v>
      </c>
      <c r="X415">
        <v>91</v>
      </c>
      <c r="Y415" t="e">
        <f>IF(X415&lt;&gt;"",VLOOKUP(X415,game_rosters!$C$43:$E$64,3,FALSE))</f>
        <v>#N/A</v>
      </c>
      <c r="Z415" cm="1">
        <f t="array" ref="Z415">IFERROR(IF(_xlfn._xlws.FILTER(game_rosters!$J:$J,(game_rosters!$G:$G=events!$AN415)*(game_rosters!$J:$J=events!$X415))&gt;0,1,""),"")</f>
        <v>1</v>
      </c>
      <c r="AA415">
        <f t="shared" si="211"/>
        <v>1229</v>
      </c>
      <c r="AB415" t="str">
        <f t="shared" si="212"/>
        <v/>
      </c>
      <c r="AC415">
        <f t="shared" si="209"/>
        <v>1229</v>
      </c>
      <c r="AD415" s="6">
        <v>1</v>
      </c>
      <c r="AE415" t="s">
        <v>933</v>
      </c>
      <c r="AF415" t="s">
        <v>913</v>
      </c>
      <c r="AG415" t="s">
        <v>756</v>
      </c>
      <c r="AH415" t="s">
        <v>756</v>
      </c>
      <c r="AI415" t="s">
        <v>367</v>
      </c>
      <c r="AJ415" t="str">
        <f t="shared" si="237"/>
        <v>o</v>
      </c>
      <c r="AK415" t="str">
        <f t="shared" si="237"/>
        <v>o</v>
      </c>
      <c r="AL415" t="str">
        <f t="shared" si="214"/>
        <v>d</v>
      </c>
      <c r="AN415" t="s">
        <v>862</v>
      </c>
      <c r="AO415" t="str">
        <f t="shared" si="215"/>
        <v>a</v>
      </c>
      <c r="AP415" t="str">
        <f t="shared" si="222"/>
        <v>d</v>
      </c>
      <c r="AQ415" t="str">
        <f t="shared" si="223"/>
        <v/>
      </c>
      <c r="AR415" t="str">
        <f t="shared" si="224"/>
        <v>Away</v>
      </c>
      <c r="AS415" t="str">
        <f t="shared" si="225"/>
        <v>a</v>
      </c>
      <c r="AT415" t="str">
        <f t="shared" si="226"/>
        <v>Offensive</v>
      </c>
      <c r="BA415" s="6">
        <f t="shared" si="216"/>
        <v>100</v>
      </c>
      <c r="BB415">
        <f t="shared" si="217"/>
        <v>18981</v>
      </c>
      <c r="BC415" t="str">
        <f t="shared" si="218"/>
        <v>Nelson</v>
      </c>
      <c r="BD415" t="str">
        <f t="shared" si="219"/>
        <v>Velodrome</v>
      </c>
      <c r="BE415" t="s">
        <v>6</v>
      </c>
      <c r="BF415" t="s">
        <v>191</v>
      </c>
      <c r="BG415" t="s">
        <v>51</v>
      </c>
      <c r="BI415" cm="1">
        <f t="array" ref="BI415">IFERROR(_xlfn._xlws.FILTER(shifts!A:A,(shifts!B:B=events!AD415)*(shifts!AG:AG&gt;=events!BK415)*(shifts!AH:AH&lt;=events!BL415)),BI414)</f>
        <v>23</v>
      </c>
      <c r="BJ415" s="15">
        <f t="shared" si="220"/>
        <v>0</v>
      </c>
      <c r="BK415">
        <f t="shared" si="227"/>
        <v>542</v>
      </c>
      <c r="BL415">
        <f t="shared" si="228"/>
        <v>542</v>
      </c>
      <c r="BM415" s="15">
        <f>SUMIFS(BJ$2:BJ415,K$2:K415,"=Intermission")+SUMIFS(BJ$2:BJ415,K$2:K415,"=Timeout")</f>
        <v>0</v>
      </c>
      <c r="BN415">
        <f t="shared" si="229"/>
        <v>0</v>
      </c>
      <c r="BO415" s="19">
        <f t="shared" si="230"/>
        <v>538</v>
      </c>
      <c r="BP415">
        <f t="shared" si="231"/>
        <v>533</v>
      </c>
      <c r="BQ415" s="17">
        <f t="shared" si="232"/>
        <v>538</v>
      </c>
      <c r="BR415" t="str">
        <f t="shared" si="233"/>
        <v>event_team_player_1</v>
      </c>
      <c r="BS415">
        <f>COUNTIFS(S$3:S415,"="&amp;S415,AI$3:AI415,"="&amp;AI415)</f>
        <v>1</v>
      </c>
      <c r="BT415" t="str">
        <f>IFERROR(VLOOKUP(BB415&amp;BU415&amp;X415,game_rosters!U:W,3,FALSE),"")</f>
        <v>P100002</v>
      </c>
      <c r="BU415" t="str">
        <f t="shared" si="234"/>
        <v>Velodrome</v>
      </c>
    </row>
    <row r="416" spans="1:73" x14ac:dyDescent="0.2">
      <c r="A416">
        <f t="shared" si="221"/>
        <v>1</v>
      </c>
      <c r="E416" s="4"/>
      <c r="F416" s="43"/>
      <c r="G416" s="4"/>
      <c r="H416" s="46"/>
      <c r="J416" s="44" t="str">
        <f t="shared" si="235"/>
        <v>o</v>
      </c>
      <c r="K416" t="s">
        <v>6</v>
      </c>
      <c r="L416" t="s">
        <v>191</v>
      </c>
      <c r="M416" t="s">
        <v>51</v>
      </c>
      <c r="N416" t="str">
        <f t="shared" si="238"/>
        <v>u</v>
      </c>
      <c r="Q416" t="str">
        <f t="shared" si="236"/>
        <v/>
      </c>
      <c r="S416">
        <v>229</v>
      </c>
      <c r="U416" t="str">
        <f>IF(B416=1,MAX($U$2:$U415)+1,IF(AND($T416&lt;&gt;"",$T416=$T415),$U415,IF(B416="x",U415,"")))</f>
        <v/>
      </c>
      <c r="V416" t="str">
        <f>IF(C416=1,MAX($V$2:$V415)+1,IF(AND($T416&lt;&gt;"",$T416=$T415),$U415,IF(C416="x",V415,"")))</f>
        <v/>
      </c>
      <c r="W416" t="str">
        <f t="shared" si="210"/>
        <v>a</v>
      </c>
      <c r="X416">
        <v>79</v>
      </c>
      <c r="Y416" t="b">
        <f>IF(X416&lt;&gt;"",VLOOKUP(X416,game_rosters!$C$43:$E$64,3,FALSE))</f>
        <v>0</v>
      </c>
      <c r="Z416" t="str" cm="1">
        <f t="array" ref="Z416">IFERROR(IF(_xlfn._xlws.FILTER(game_rosters!$J:$J,(game_rosters!$G:$G=events!$AN416)*(game_rosters!$J:$J=events!$X416))&gt;0,1,""),"")</f>
        <v/>
      </c>
      <c r="AA416">
        <f t="shared" si="211"/>
        <v>1229</v>
      </c>
      <c r="AB416" t="str">
        <f t="shared" si="212"/>
        <v/>
      </c>
      <c r="AC416">
        <f t="shared" si="209"/>
        <v>1229</v>
      </c>
      <c r="AD416" s="6">
        <v>1</v>
      </c>
      <c r="AE416" t="s">
        <v>933</v>
      </c>
      <c r="AF416" t="s">
        <v>913</v>
      </c>
      <c r="AG416" t="s">
        <v>756</v>
      </c>
      <c r="AH416" t="s">
        <v>756</v>
      </c>
      <c r="AI416" t="s">
        <v>368</v>
      </c>
      <c r="AJ416" t="str">
        <f t="shared" si="237"/>
        <v>o</v>
      </c>
      <c r="AK416" t="str">
        <f t="shared" si="237"/>
        <v>o</v>
      </c>
      <c r="AL416" t="str">
        <f t="shared" si="214"/>
        <v>d</v>
      </c>
      <c r="AN416" t="s">
        <v>862</v>
      </c>
      <c r="AO416" t="str">
        <f t="shared" si="215"/>
        <v>a</v>
      </c>
      <c r="AP416" t="str">
        <f t="shared" si="222"/>
        <v>d</v>
      </c>
      <c r="AQ416" t="str">
        <f t="shared" si="223"/>
        <v/>
      </c>
      <c r="AR416" t="str">
        <f t="shared" si="224"/>
        <v>Away</v>
      </c>
      <c r="AS416" t="str">
        <f t="shared" si="225"/>
        <v>a</v>
      </c>
      <c r="AT416" t="str">
        <f t="shared" si="226"/>
        <v>Defensive</v>
      </c>
      <c r="BA416" s="6">
        <f t="shared" si="216"/>
        <v>100</v>
      </c>
      <c r="BB416">
        <f t="shared" si="217"/>
        <v>18981</v>
      </c>
      <c r="BC416" t="str">
        <f t="shared" si="218"/>
        <v>Nelson</v>
      </c>
      <c r="BD416" t="str">
        <f t="shared" si="219"/>
        <v>Velodrome</v>
      </c>
      <c r="BE416" t="s">
        <v>6</v>
      </c>
      <c r="BF416" t="s">
        <v>191</v>
      </c>
      <c r="BG416" t="s">
        <v>51</v>
      </c>
      <c r="BI416" cm="1">
        <f t="array" ref="BI416">IFERROR(_xlfn._xlws.FILTER(shifts!A:A,(shifts!B:B=events!AD416)*(shifts!AG:AG&gt;=events!BK416)*(shifts!AH:AH&lt;=events!BL416)),BI415)</f>
        <v>23</v>
      </c>
      <c r="BJ416" s="15">
        <f t="shared" si="220"/>
        <v>0</v>
      </c>
      <c r="BK416">
        <f t="shared" si="227"/>
        <v>542</v>
      </c>
      <c r="BL416">
        <f t="shared" si="228"/>
        <v>542</v>
      </c>
      <c r="BM416" s="15">
        <f>SUMIFS(BJ$2:BJ416,K$2:K416,"=Intermission")+SUMIFS(BJ$2:BJ416,K$2:K416,"=Timeout")</f>
        <v>0</v>
      </c>
      <c r="BN416">
        <f t="shared" si="229"/>
        <v>0</v>
      </c>
      <c r="BO416" s="19">
        <f t="shared" si="230"/>
        <v>538</v>
      </c>
      <c r="BP416">
        <f t="shared" si="231"/>
        <v>533</v>
      </c>
      <c r="BQ416" s="17">
        <f t="shared" si="232"/>
        <v>538</v>
      </c>
      <c r="BR416" t="str">
        <f t="shared" si="233"/>
        <v>opp_team_player_1</v>
      </c>
      <c r="BS416">
        <f>COUNTIFS(S$3:S416,"="&amp;S416,AI$3:AI416,"="&amp;AI416)</f>
        <v>1</v>
      </c>
      <c r="BT416" t="str">
        <f>IFERROR(VLOOKUP(BB416&amp;BU416&amp;X416,game_rosters!U:W,3,FALSE),"")</f>
        <v>P100066</v>
      </c>
      <c r="BU416" t="str">
        <f t="shared" si="234"/>
        <v>Nelson</v>
      </c>
    </row>
    <row r="417" spans="1:73" x14ac:dyDescent="0.2">
      <c r="A417">
        <f t="shared" si="221"/>
        <v>1</v>
      </c>
      <c r="E417" s="4"/>
      <c r="F417" s="43"/>
      <c r="G417" s="4"/>
      <c r="H417" s="46"/>
      <c r="J417" s="44" t="str">
        <f t="shared" si="235"/>
        <v/>
      </c>
      <c r="K417" t="s">
        <v>13</v>
      </c>
      <c r="L417" t="s">
        <v>756</v>
      </c>
      <c r="M417" t="s">
        <v>756</v>
      </c>
      <c r="N417" t="str">
        <f t="shared" si="238"/>
        <v/>
      </c>
      <c r="Q417" t="str">
        <f t="shared" si="236"/>
        <v/>
      </c>
      <c r="S417">
        <v>230</v>
      </c>
      <c r="U417" t="str">
        <f>IF(B417=1,MAX($U$2:$U416)+1,IF(AND($T417&lt;&gt;"",$T417=$T416),$U416,IF(B417="x",U416,"")))</f>
        <v/>
      </c>
      <c r="V417" t="str">
        <f>IF(C417=1,MAX($V$2:$V416)+1,IF(AND($T417&lt;&gt;"",$T417=$T416),$U416,IF(C417="x",V416,"")))</f>
        <v/>
      </c>
      <c r="W417" t="str">
        <f t="shared" si="210"/>
        <v>a</v>
      </c>
      <c r="X417">
        <v>91</v>
      </c>
      <c r="Y417" t="e">
        <f>IF(X417&lt;&gt;"",VLOOKUP(X417,game_rosters!$C$43:$E$64,3,FALSE))</f>
        <v>#N/A</v>
      </c>
      <c r="Z417" cm="1">
        <f t="array" ref="Z417">IFERROR(IF(_xlfn._xlws.FILTER(game_rosters!$J:$J,(game_rosters!$G:$G=events!$AN417)*(game_rosters!$J:$J=events!$X417))&gt;0,1,""),"")</f>
        <v>1</v>
      </c>
      <c r="AA417">
        <f t="shared" si="211"/>
        <v>1230</v>
      </c>
      <c r="AB417" t="str">
        <f t="shared" si="212"/>
        <v/>
      </c>
      <c r="AC417">
        <f t="shared" si="209"/>
        <v>1230</v>
      </c>
      <c r="AD417" s="6">
        <v>1</v>
      </c>
      <c r="AE417" t="s">
        <v>936</v>
      </c>
      <c r="AF417" t="s">
        <v>896</v>
      </c>
      <c r="AG417" t="s">
        <v>936</v>
      </c>
      <c r="AH417" t="s">
        <v>927</v>
      </c>
      <c r="AI417" t="s">
        <v>367</v>
      </c>
      <c r="AJ417" t="str">
        <f t="shared" si="237"/>
        <v/>
      </c>
      <c r="AK417" t="str">
        <f t="shared" si="237"/>
        <v/>
      </c>
      <c r="AL417" t="str">
        <f t="shared" si="214"/>
        <v/>
      </c>
      <c r="AN417" t="s">
        <v>862</v>
      </c>
      <c r="AO417" t="str">
        <f t="shared" si="215"/>
        <v>a</v>
      </c>
      <c r="AP417" t="str">
        <f t="shared" si="222"/>
        <v/>
      </c>
      <c r="AQ417" t="str">
        <f t="shared" si="223"/>
        <v/>
      </c>
      <c r="AR417" t="str">
        <f t="shared" si="224"/>
        <v>Away</v>
      </c>
      <c r="AS417" t="str">
        <f t="shared" si="225"/>
        <v>a</v>
      </c>
      <c r="AT417" t="str">
        <f t="shared" si="226"/>
        <v>Offensive</v>
      </c>
      <c r="BA417" s="6">
        <f t="shared" si="216"/>
        <v>100</v>
      </c>
      <c r="BB417">
        <f t="shared" si="217"/>
        <v>18981</v>
      </c>
      <c r="BC417" t="str">
        <f t="shared" si="218"/>
        <v>Nelson</v>
      </c>
      <c r="BD417" t="str">
        <f t="shared" si="219"/>
        <v>Velodrome</v>
      </c>
      <c r="BE417" t="s">
        <v>13</v>
      </c>
      <c r="BF417" t="s">
        <v>756</v>
      </c>
      <c r="BG417" t="s">
        <v>756</v>
      </c>
      <c r="BI417" cm="1">
        <f t="array" ref="BI417">IFERROR(_xlfn._xlws.FILTER(shifts!A:A,(shifts!B:B=events!AD417)*(shifts!AG:AG&gt;=events!BK417)*(shifts!AH:AH&lt;=events!BL417)),BI416)</f>
        <v>23</v>
      </c>
      <c r="BJ417" s="15">
        <f t="shared" si="220"/>
        <v>2</v>
      </c>
      <c r="BK417">
        <f t="shared" si="227"/>
        <v>539</v>
      </c>
      <c r="BL417">
        <f t="shared" si="228"/>
        <v>537</v>
      </c>
      <c r="BM417" s="15">
        <f>SUMIFS(BJ$2:BJ417,K$2:K417,"=Intermission")+SUMIFS(BJ$2:BJ417,K$2:K417,"=Timeout")</f>
        <v>0</v>
      </c>
      <c r="BN417">
        <f t="shared" si="229"/>
        <v>0</v>
      </c>
      <c r="BO417" s="19">
        <f t="shared" si="230"/>
        <v>541</v>
      </c>
      <c r="BP417">
        <f t="shared" si="231"/>
        <v>536</v>
      </c>
      <c r="BQ417" s="17">
        <f t="shared" si="232"/>
        <v>543</v>
      </c>
      <c r="BR417" t="str">
        <f t="shared" si="233"/>
        <v>event_team_player_1</v>
      </c>
      <c r="BS417">
        <f>COUNTIFS(S$3:S417,"="&amp;S417,AI$3:AI417,"="&amp;AI417)</f>
        <v>1</v>
      </c>
      <c r="BT417" t="str">
        <f>IFERROR(VLOOKUP(BB417&amp;BU417&amp;X417,game_rosters!U:W,3,FALSE),"")</f>
        <v>P100002</v>
      </c>
      <c r="BU417" t="str">
        <f t="shared" si="234"/>
        <v>Velodrome</v>
      </c>
    </row>
    <row r="418" spans="1:73" x14ac:dyDescent="0.2">
      <c r="A418">
        <f t="shared" si="221"/>
        <v>1</v>
      </c>
      <c r="E418" s="4"/>
      <c r="F418" s="43"/>
      <c r="G418" s="4"/>
      <c r="H418" s="46"/>
      <c r="J418" s="44" t="str">
        <f t="shared" si="235"/>
        <v/>
      </c>
      <c r="K418" t="s">
        <v>13</v>
      </c>
      <c r="L418" t="s">
        <v>756</v>
      </c>
      <c r="M418" t="s">
        <v>756</v>
      </c>
      <c r="N418" t="str">
        <f t="shared" si="238"/>
        <v/>
      </c>
      <c r="Q418" t="str">
        <f t="shared" si="236"/>
        <v/>
      </c>
      <c r="S418">
        <v>230</v>
      </c>
      <c r="U418" t="str">
        <f>IF(B418=1,MAX($U$2:$U417)+1,IF(AND($T418&lt;&gt;"",$T418=$T417),$U417,IF(B418="x",U417,"")))</f>
        <v/>
      </c>
      <c r="V418" t="str">
        <f>IF(C418=1,MAX($V$2:$V417)+1,IF(AND($T418&lt;&gt;"",$T418=$T417),$U417,IF(C418="x",V417,"")))</f>
        <v/>
      </c>
      <c r="W418" t="str">
        <f t="shared" si="210"/>
        <v>a</v>
      </c>
      <c r="X418">
        <v>23</v>
      </c>
      <c r="Y418" t="b">
        <f>IF(X418&lt;&gt;"",VLOOKUP(X418,game_rosters!$C$43:$E$64,3,FALSE))</f>
        <v>0</v>
      </c>
      <c r="Z418" t="str" cm="1">
        <f t="array" ref="Z418">IFERROR(IF(_xlfn._xlws.FILTER(game_rosters!$J:$J,(game_rosters!$G:$G=events!$AN418)*(game_rosters!$J:$J=events!$X418))&gt;0,1,""),"")</f>
        <v/>
      </c>
      <c r="AA418">
        <f t="shared" si="211"/>
        <v>1230</v>
      </c>
      <c r="AB418" t="str">
        <f t="shared" si="212"/>
        <v/>
      </c>
      <c r="AC418">
        <f t="shared" si="209"/>
        <v>1230</v>
      </c>
      <c r="AD418" s="6">
        <v>1</v>
      </c>
      <c r="AE418" t="s">
        <v>936</v>
      </c>
      <c r="AF418" t="s">
        <v>896</v>
      </c>
      <c r="AG418" t="s">
        <v>936</v>
      </c>
      <c r="AH418" t="s">
        <v>927</v>
      </c>
      <c r="AI418" t="s">
        <v>368</v>
      </c>
      <c r="AJ418" t="str">
        <f t="shared" si="237"/>
        <v/>
      </c>
      <c r="AK418" t="str">
        <f t="shared" si="237"/>
        <v/>
      </c>
      <c r="AL418" t="str">
        <f t="shared" si="214"/>
        <v/>
      </c>
      <c r="AN418" t="s">
        <v>862</v>
      </c>
      <c r="AO418" t="str">
        <f t="shared" si="215"/>
        <v>a</v>
      </c>
      <c r="AP418" t="str">
        <f t="shared" si="222"/>
        <v/>
      </c>
      <c r="AQ418" t="str">
        <f t="shared" si="223"/>
        <v/>
      </c>
      <c r="AR418" t="str">
        <f t="shared" si="224"/>
        <v>Away</v>
      </c>
      <c r="AS418" t="str">
        <f t="shared" si="225"/>
        <v>a</v>
      </c>
      <c r="AT418" t="str">
        <f t="shared" si="226"/>
        <v>Defensive</v>
      </c>
      <c r="BA418" s="6">
        <f t="shared" si="216"/>
        <v>100</v>
      </c>
      <c r="BB418">
        <f t="shared" si="217"/>
        <v>18981</v>
      </c>
      <c r="BC418" t="str">
        <f t="shared" si="218"/>
        <v>Nelson</v>
      </c>
      <c r="BD418" t="str">
        <f t="shared" si="219"/>
        <v>Velodrome</v>
      </c>
      <c r="BE418" t="s">
        <v>13</v>
      </c>
      <c r="BF418" t="s">
        <v>756</v>
      </c>
      <c r="BG418" t="s">
        <v>756</v>
      </c>
      <c r="BI418" cm="1">
        <f t="array" ref="BI418">IFERROR(_xlfn._xlws.FILTER(shifts!A:A,(shifts!B:B=events!AD418)*(shifts!AG:AG&gt;=events!BK418)*(shifts!AH:AH&lt;=events!BL418)),BI417)</f>
        <v>23</v>
      </c>
      <c r="BJ418" s="15">
        <f t="shared" si="220"/>
        <v>2</v>
      </c>
      <c r="BK418">
        <f t="shared" si="227"/>
        <v>539</v>
      </c>
      <c r="BL418">
        <f t="shared" si="228"/>
        <v>537</v>
      </c>
      <c r="BM418" s="15">
        <f>SUMIFS(BJ$2:BJ418,K$2:K418,"=Intermission")+SUMIFS(BJ$2:BJ418,K$2:K418,"=Timeout")</f>
        <v>0</v>
      </c>
      <c r="BN418">
        <f t="shared" si="229"/>
        <v>0</v>
      </c>
      <c r="BO418" s="19">
        <f t="shared" si="230"/>
        <v>541</v>
      </c>
      <c r="BP418">
        <f t="shared" si="231"/>
        <v>536</v>
      </c>
      <c r="BQ418" s="17">
        <f t="shared" si="232"/>
        <v>543</v>
      </c>
      <c r="BR418" t="str">
        <f t="shared" si="233"/>
        <v>opp_team_player_1</v>
      </c>
      <c r="BS418">
        <f>COUNTIFS(S$3:S418,"="&amp;S418,AI$3:AI418,"="&amp;AI418)</f>
        <v>1</v>
      </c>
      <c r="BT418" t="str">
        <f>IFERROR(VLOOKUP(BB418&amp;BU418&amp;X418,game_rosters!U:W,3,FALSE),"")</f>
        <v>P100061</v>
      </c>
      <c r="BU418" t="str">
        <f t="shared" si="234"/>
        <v>Nelson</v>
      </c>
    </row>
    <row r="419" spans="1:73" x14ac:dyDescent="0.2">
      <c r="A419">
        <f t="shared" si="221"/>
        <v>1</v>
      </c>
      <c r="E419" s="4"/>
      <c r="F419" s="43"/>
      <c r="G419" s="4"/>
      <c r="H419" s="46"/>
      <c r="J419" s="44" t="str">
        <f t="shared" si="235"/>
        <v/>
      </c>
      <c r="K419" t="s">
        <v>7</v>
      </c>
      <c r="L419" t="s">
        <v>192</v>
      </c>
      <c r="M419" t="s">
        <v>68</v>
      </c>
      <c r="N419" t="str">
        <f t="shared" si="238"/>
        <v>u</v>
      </c>
      <c r="Q419" t="str">
        <f t="shared" si="236"/>
        <v/>
      </c>
      <c r="S419">
        <v>231</v>
      </c>
      <c r="U419" t="str">
        <f>IF(B419=1,MAX($U$2:$U418)+1,IF(AND($T419&lt;&gt;"",$T419=$T418),$U418,IF(B419="x",U418,"")))</f>
        <v/>
      </c>
      <c r="V419" t="str">
        <f>IF(C419=1,MAX($V$2:$V418)+1,IF(AND($T419&lt;&gt;"",$T419=$T418),$U418,IF(C419="x",V418,"")))</f>
        <v/>
      </c>
      <c r="W419" t="str">
        <f t="shared" si="210"/>
        <v>a</v>
      </c>
      <c r="X419">
        <v>91</v>
      </c>
      <c r="Y419" t="e">
        <f>IF(X419&lt;&gt;"",VLOOKUP(X419,game_rosters!$C$43:$E$64,3,FALSE))</f>
        <v>#N/A</v>
      </c>
      <c r="Z419" cm="1">
        <f t="array" ref="Z419">IFERROR(IF(_xlfn._xlws.FILTER(game_rosters!$J:$J,(game_rosters!$G:$G=events!$AN419)*(game_rosters!$J:$J=events!$X419))&gt;0,1,""),"")</f>
        <v>1</v>
      </c>
      <c r="AA419">
        <f t="shared" si="211"/>
        <v>1231</v>
      </c>
      <c r="AB419" t="str">
        <f t="shared" si="212"/>
        <v/>
      </c>
      <c r="AC419">
        <f t="shared" si="209"/>
        <v>1231</v>
      </c>
      <c r="AD419" s="6">
        <v>1</v>
      </c>
      <c r="AE419" t="s">
        <v>936</v>
      </c>
      <c r="AF419" t="s">
        <v>927</v>
      </c>
      <c r="AG419" t="s">
        <v>756</v>
      </c>
      <c r="AH419" t="s">
        <v>756</v>
      </c>
      <c r="AI419" t="s">
        <v>367</v>
      </c>
      <c r="AJ419" t="str">
        <f t="shared" si="237"/>
        <v/>
      </c>
      <c r="AK419" t="str">
        <f t="shared" si="237"/>
        <v/>
      </c>
      <c r="AL419" t="str">
        <f t="shared" si="214"/>
        <v/>
      </c>
      <c r="AN419" t="s">
        <v>862</v>
      </c>
      <c r="AO419" t="str">
        <f t="shared" si="215"/>
        <v>a</v>
      </c>
      <c r="AP419" t="str">
        <f t="shared" si="222"/>
        <v/>
      </c>
      <c r="AQ419" t="str">
        <f t="shared" si="223"/>
        <v/>
      </c>
      <c r="AR419" t="str">
        <f t="shared" si="224"/>
        <v>Away</v>
      </c>
      <c r="AS419" t="str">
        <f t="shared" si="225"/>
        <v>a</v>
      </c>
      <c r="AT419" t="str">
        <f t="shared" si="226"/>
        <v>Offensive</v>
      </c>
      <c r="BA419" s="6">
        <f t="shared" si="216"/>
        <v>100</v>
      </c>
      <c r="BB419">
        <f t="shared" si="217"/>
        <v>18981</v>
      </c>
      <c r="BC419" t="str">
        <f t="shared" si="218"/>
        <v>Nelson</v>
      </c>
      <c r="BD419" t="str">
        <f t="shared" si="219"/>
        <v>Velodrome</v>
      </c>
      <c r="BE419" t="s">
        <v>7</v>
      </c>
      <c r="BF419" t="s">
        <v>192</v>
      </c>
      <c r="BG419" t="s">
        <v>68</v>
      </c>
      <c r="BI419" cm="1">
        <f t="array" ref="BI419">IFERROR(_xlfn._xlws.FILTER(shifts!A:A,(shifts!B:B=events!AD419)*(shifts!AG:AG&gt;=events!BK419)*(shifts!AH:AH&lt;=events!BL419)),BI418)</f>
        <v>23</v>
      </c>
      <c r="BJ419" s="15">
        <f t="shared" si="220"/>
        <v>0</v>
      </c>
      <c r="BK419">
        <f t="shared" si="227"/>
        <v>537</v>
      </c>
      <c r="BL419">
        <f t="shared" si="228"/>
        <v>537</v>
      </c>
      <c r="BM419" s="15">
        <f>SUMIFS(BJ$2:BJ419,K$2:K419,"=Intermission")+SUMIFS(BJ$2:BJ419,K$2:K419,"=Timeout")</f>
        <v>0</v>
      </c>
      <c r="BN419">
        <f t="shared" si="229"/>
        <v>0</v>
      </c>
      <c r="BO419" s="19">
        <f t="shared" si="230"/>
        <v>543</v>
      </c>
      <c r="BP419">
        <f t="shared" si="231"/>
        <v>538</v>
      </c>
      <c r="BQ419" s="17">
        <f t="shared" si="232"/>
        <v>543</v>
      </c>
      <c r="BR419" t="str">
        <f t="shared" si="233"/>
        <v>event_team_player_1</v>
      </c>
      <c r="BS419">
        <f>COUNTIFS(S$3:S419,"="&amp;S419,AI$3:AI419,"="&amp;AI419)</f>
        <v>1</v>
      </c>
      <c r="BT419" t="str">
        <f>IFERROR(VLOOKUP(BB419&amp;BU419&amp;X419,game_rosters!U:W,3,FALSE),"")</f>
        <v>P100002</v>
      </c>
      <c r="BU419" t="str">
        <f t="shared" si="234"/>
        <v>Velodrome</v>
      </c>
    </row>
    <row r="420" spans="1:73" x14ac:dyDescent="0.2">
      <c r="A420">
        <f t="shared" si="221"/>
        <v>1</v>
      </c>
      <c r="E420" s="4"/>
      <c r="F420" s="43"/>
      <c r="G420" s="4"/>
      <c r="H420" s="46"/>
      <c r="J420" s="44" t="str">
        <f t="shared" si="235"/>
        <v/>
      </c>
      <c r="K420" t="s">
        <v>7</v>
      </c>
      <c r="L420" t="s">
        <v>192</v>
      </c>
      <c r="M420" t="s">
        <v>68</v>
      </c>
      <c r="N420" t="str">
        <f t="shared" si="238"/>
        <v>u</v>
      </c>
      <c r="Q420" t="str">
        <f t="shared" si="236"/>
        <v/>
      </c>
      <c r="S420">
        <v>231</v>
      </c>
      <c r="U420" t="str">
        <f>IF(B420=1,MAX($U$2:$U419)+1,IF(AND($T420&lt;&gt;"",$T420=$T419),$U419,IF(B420="x",U419,"")))</f>
        <v/>
      </c>
      <c r="V420" t="str">
        <f>IF(C420=1,MAX($V$2:$V419)+1,IF(AND($T420&lt;&gt;"",$T420=$T419),$U419,IF(C420="x",V419,"")))</f>
        <v/>
      </c>
      <c r="W420" t="str">
        <f t="shared" si="210"/>
        <v>a</v>
      </c>
      <c r="X420">
        <v>24</v>
      </c>
      <c r="Y420" t="e">
        <f>IF(X420&lt;&gt;"",VLOOKUP(X420,game_rosters!$C$43:$E$64,3,FALSE))</f>
        <v>#N/A</v>
      </c>
      <c r="Z420" cm="1">
        <f t="array" ref="Z420">IFERROR(IF(_xlfn._xlws.FILTER(game_rosters!$J:$J,(game_rosters!$G:$G=events!$AN420)*(game_rosters!$J:$J=events!$X420))&gt;0,1,""),"")</f>
        <v>1</v>
      </c>
      <c r="AA420">
        <f t="shared" si="211"/>
        <v>1231</v>
      </c>
      <c r="AB420" t="str">
        <f t="shared" si="212"/>
        <v/>
      </c>
      <c r="AC420">
        <f t="shared" si="209"/>
        <v>1231</v>
      </c>
      <c r="AD420" s="6">
        <v>1</v>
      </c>
      <c r="AE420" t="s">
        <v>936</v>
      </c>
      <c r="AF420" t="s">
        <v>927</v>
      </c>
      <c r="AG420" t="s">
        <v>756</v>
      </c>
      <c r="AH420" t="s">
        <v>756</v>
      </c>
      <c r="AI420" t="s">
        <v>367</v>
      </c>
      <c r="AJ420" t="str">
        <f t="shared" ref="AJ420:AK435" si="239">IF($J420&lt;&gt;"",$J420,IF($AC420=$AC419,AJ419,""))</f>
        <v/>
      </c>
      <c r="AK420" t="str">
        <f t="shared" si="239"/>
        <v/>
      </c>
      <c r="AL420" t="str">
        <f t="shared" si="214"/>
        <v/>
      </c>
      <c r="AN420" t="s">
        <v>862</v>
      </c>
      <c r="AO420" t="str">
        <f t="shared" si="215"/>
        <v>a</v>
      </c>
      <c r="AP420" t="str">
        <f t="shared" si="222"/>
        <v/>
      </c>
      <c r="AQ420" t="str">
        <f t="shared" si="223"/>
        <v/>
      </c>
      <c r="AR420" t="str">
        <f t="shared" si="224"/>
        <v>Away</v>
      </c>
      <c r="AS420" t="str">
        <f t="shared" si="225"/>
        <v>a</v>
      </c>
      <c r="AT420" t="str">
        <f t="shared" si="226"/>
        <v>Offensive</v>
      </c>
      <c r="BA420" s="6">
        <f t="shared" si="216"/>
        <v>100</v>
      </c>
      <c r="BB420">
        <f t="shared" si="217"/>
        <v>18981</v>
      </c>
      <c r="BC420" t="str">
        <f t="shared" si="218"/>
        <v>Nelson</v>
      </c>
      <c r="BD420" t="str">
        <f t="shared" si="219"/>
        <v>Velodrome</v>
      </c>
      <c r="BE420" t="s">
        <v>7</v>
      </c>
      <c r="BF420" t="s">
        <v>192</v>
      </c>
      <c r="BG420" t="s">
        <v>68</v>
      </c>
      <c r="BI420" cm="1">
        <f t="array" ref="BI420">IFERROR(_xlfn._xlws.FILTER(shifts!A:A,(shifts!B:B=events!AD420)*(shifts!AG:AG&gt;=events!BK420)*(shifts!AH:AH&lt;=events!BL420)),BI419)</f>
        <v>23</v>
      </c>
      <c r="BJ420" s="15">
        <f t="shared" si="220"/>
        <v>0</v>
      </c>
      <c r="BK420">
        <f t="shared" si="227"/>
        <v>537</v>
      </c>
      <c r="BL420">
        <f t="shared" si="228"/>
        <v>537</v>
      </c>
      <c r="BM420" s="15">
        <f>SUMIFS(BJ$2:BJ420,K$2:K420,"=Intermission")+SUMIFS(BJ$2:BJ420,K$2:K420,"=Timeout")</f>
        <v>0</v>
      </c>
      <c r="BN420">
        <f t="shared" si="229"/>
        <v>0</v>
      </c>
      <c r="BO420" s="19">
        <f t="shared" si="230"/>
        <v>543</v>
      </c>
      <c r="BP420">
        <f t="shared" si="231"/>
        <v>538</v>
      </c>
      <c r="BQ420" s="17">
        <f t="shared" si="232"/>
        <v>543</v>
      </c>
      <c r="BR420" t="str">
        <f t="shared" si="233"/>
        <v>event_team_player_2</v>
      </c>
      <c r="BS420">
        <f>COUNTIFS(S$3:S420,"="&amp;S420,AI$3:AI420,"="&amp;AI420)</f>
        <v>2</v>
      </c>
      <c r="BT420" t="str">
        <f>IFERROR(VLOOKUP(BB420&amp;BU420&amp;X420,game_rosters!U:W,3,FALSE),"")</f>
        <v>P100230</v>
      </c>
      <c r="BU420" t="str">
        <f t="shared" si="234"/>
        <v>Velodrome</v>
      </c>
    </row>
    <row r="421" spans="1:73" x14ac:dyDescent="0.2">
      <c r="A421">
        <f t="shared" si="221"/>
        <v>1</v>
      </c>
      <c r="E421" s="4"/>
      <c r="F421" s="43"/>
      <c r="G421" s="4"/>
      <c r="H421" s="46"/>
      <c r="J421" s="44" t="str">
        <f t="shared" si="235"/>
        <v/>
      </c>
      <c r="K421" t="s">
        <v>7</v>
      </c>
      <c r="L421" t="s">
        <v>192</v>
      </c>
      <c r="M421" t="s">
        <v>68</v>
      </c>
      <c r="N421" t="str">
        <f t="shared" si="238"/>
        <v>u</v>
      </c>
      <c r="Q421" t="str">
        <f t="shared" si="236"/>
        <v/>
      </c>
      <c r="S421">
        <v>231</v>
      </c>
      <c r="U421" t="str">
        <f>IF(B421=1,MAX($U$2:$U420)+1,IF(AND($T421&lt;&gt;"",$T421=$T420),$U420,IF(B421="x",U420,"")))</f>
        <v/>
      </c>
      <c r="V421" t="str">
        <f>IF(C421=1,MAX($V$2:$V420)+1,IF(AND($T421&lt;&gt;"",$T421=$T420),$U420,IF(C421="x",V420,"")))</f>
        <v/>
      </c>
      <c r="W421" t="str">
        <f t="shared" si="210"/>
        <v>a</v>
      </c>
      <c r="X421">
        <v>37</v>
      </c>
      <c r="Y421" t="b">
        <f>IF(X421&lt;&gt;"",VLOOKUP(X421,game_rosters!$C$43:$E$64,3,FALSE))</f>
        <v>0</v>
      </c>
      <c r="Z421" t="str" cm="1">
        <f t="array" ref="Z421">IFERROR(IF(_xlfn._xlws.FILTER(game_rosters!$J:$J,(game_rosters!$G:$G=events!$AN421)*(game_rosters!$J:$J=events!$X421))&gt;0,1,""),"")</f>
        <v/>
      </c>
      <c r="AA421">
        <f t="shared" si="211"/>
        <v>1231</v>
      </c>
      <c r="AB421" t="str">
        <f t="shared" si="212"/>
        <v/>
      </c>
      <c r="AC421">
        <f t="shared" si="209"/>
        <v>1231</v>
      </c>
      <c r="AD421" s="6">
        <v>1</v>
      </c>
      <c r="AE421" t="s">
        <v>936</v>
      </c>
      <c r="AF421" t="s">
        <v>927</v>
      </c>
      <c r="AG421" t="s">
        <v>756</v>
      </c>
      <c r="AH421" t="s">
        <v>756</v>
      </c>
      <c r="AI421" t="s">
        <v>368</v>
      </c>
      <c r="AJ421" t="str">
        <f t="shared" si="239"/>
        <v/>
      </c>
      <c r="AK421" t="str">
        <f t="shared" si="239"/>
        <v/>
      </c>
      <c r="AL421" t="str">
        <f t="shared" si="214"/>
        <v/>
      </c>
      <c r="AN421" t="s">
        <v>862</v>
      </c>
      <c r="AO421" t="str">
        <f t="shared" si="215"/>
        <v>a</v>
      </c>
      <c r="AP421" t="str">
        <f t="shared" si="222"/>
        <v/>
      </c>
      <c r="AQ421" t="str">
        <f t="shared" si="223"/>
        <v/>
      </c>
      <c r="AR421" t="str">
        <f t="shared" si="224"/>
        <v>Away</v>
      </c>
      <c r="AS421" t="str">
        <f t="shared" si="225"/>
        <v>a</v>
      </c>
      <c r="AT421" t="str">
        <f t="shared" si="226"/>
        <v>Defensive</v>
      </c>
      <c r="BA421" s="6">
        <f t="shared" si="216"/>
        <v>100</v>
      </c>
      <c r="BB421">
        <f t="shared" si="217"/>
        <v>18981</v>
      </c>
      <c r="BC421" t="str">
        <f t="shared" si="218"/>
        <v>Nelson</v>
      </c>
      <c r="BD421" t="str">
        <f t="shared" si="219"/>
        <v>Velodrome</v>
      </c>
      <c r="BE421" t="s">
        <v>7</v>
      </c>
      <c r="BF421" t="s">
        <v>192</v>
      </c>
      <c r="BG421" t="s">
        <v>68</v>
      </c>
      <c r="BI421" cm="1">
        <f t="array" ref="BI421">IFERROR(_xlfn._xlws.FILTER(shifts!A:A,(shifts!B:B=events!AD421)*(shifts!AG:AG&gt;=events!BK421)*(shifts!AH:AH&lt;=events!BL421)),BI420)</f>
        <v>23</v>
      </c>
      <c r="BJ421" s="15">
        <f t="shared" si="220"/>
        <v>0</v>
      </c>
      <c r="BK421">
        <f t="shared" si="227"/>
        <v>537</v>
      </c>
      <c r="BL421">
        <f t="shared" si="228"/>
        <v>537</v>
      </c>
      <c r="BM421" s="15">
        <f>SUMIFS(BJ$2:BJ421,K$2:K421,"=Intermission")+SUMIFS(BJ$2:BJ421,K$2:K421,"=Timeout")</f>
        <v>0</v>
      </c>
      <c r="BN421">
        <f t="shared" si="229"/>
        <v>0</v>
      </c>
      <c r="BO421" s="19">
        <f t="shared" si="230"/>
        <v>543</v>
      </c>
      <c r="BP421">
        <f t="shared" si="231"/>
        <v>538</v>
      </c>
      <c r="BQ421" s="17">
        <f t="shared" si="232"/>
        <v>543</v>
      </c>
      <c r="BR421" t="str">
        <f t="shared" si="233"/>
        <v>opp_team_player_1</v>
      </c>
      <c r="BS421">
        <f>COUNTIFS(S$3:S421,"="&amp;S421,AI$3:AI421,"="&amp;AI421)</f>
        <v>1</v>
      </c>
      <c r="BT421" t="str">
        <f>IFERROR(VLOOKUP(BB421&amp;BU421&amp;X421,game_rosters!U:W,3,FALSE),"")</f>
        <v>P100119</v>
      </c>
      <c r="BU421" t="str">
        <f t="shared" si="234"/>
        <v>Nelson</v>
      </c>
    </row>
    <row r="422" spans="1:73" x14ac:dyDescent="0.2">
      <c r="A422">
        <f t="shared" si="221"/>
        <v>1</v>
      </c>
      <c r="E422" s="4"/>
      <c r="F422" s="43"/>
      <c r="G422" s="4"/>
      <c r="H422" s="46"/>
      <c r="J422" s="44" t="str">
        <f t="shared" si="235"/>
        <v/>
      </c>
      <c r="K422" t="s">
        <v>7</v>
      </c>
      <c r="L422" t="s">
        <v>192</v>
      </c>
      <c r="M422" t="s">
        <v>68</v>
      </c>
      <c r="N422" t="str">
        <f t="shared" si="238"/>
        <v>u</v>
      </c>
      <c r="Q422" t="str">
        <f t="shared" si="236"/>
        <v/>
      </c>
      <c r="S422">
        <v>231</v>
      </c>
      <c r="U422" t="str">
        <f>IF(B422=1,MAX($U$2:$U421)+1,IF(AND($T422&lt;&gt;"",$T422=$T421),$U421,IF(B422="x",U421,"")))</f>
        <v/>
      </c>
      <c r="V422" t="str">
        <f>IF(C422=1,MAX($V$2:$V421)+1,IF(AND($T422&lt;&gt;"",$T422=$T421),$U421,IF(C422="x",V421,"")))</f>
        <v/>
      </c>
      <c r="W422" t="str">
        <f t="shared" si="210"/>
        <v>a</v>
      </c>
      <c r="X422">
        <v>23</v>
      </c>
      <c r="Y422" t="b">
        <f>IF(X422&lt;&gt;"",VLOOKUP(X422,game_rosters!$C$43:$E$64,3,FALSE))</f>
        <v>0</v>
      </c>
      <c r="Z422" t="str" cm="1">
        <f t="array" ref="Z422">IFERROR(IF(_xlfn._xlws.FILTER(game_rosters!$J:$J,(game_rosters!$G:$G=events!$AN422)*(game_rosters!$J:$J=events!$X422))&gt;0,1,""),"")</f>
        <v/>
      </c>
      <c r="AA422">
        <f t="shared" si="211"/>
        <v>1231</v>
      </c>
      <c r="AB422" t="str">
        <f t="shared" si="212"/>
        <v/>
      </c>
      <c r="AC422">
        <f t="shared" si="209"/>
        <v>1231</v>
      </c>
      <c r="AD422" s="6">
        <v>1</v>
      </c>
      <c r="AE422" t="s">
        <v>936</v>
      </c>
      <c r="AF422" t="s">
        <v>927</v>
      </c>
      <c r="AG422" t="s">
        <v>756</v>
      </c>
      <c r="AH422" t="s">
        <v>756</v>
      </c>
      <c r="AI422" t="s">
        <v>368</v>
      </c>
      <c r="AJ422" t="str">
        <f t="shared" si="239"/>
        <v/>
      </c>
      <c r="AK422" t="str">
        <f t="shared" si="239"/>
        <v/>
      </c>
      <c r="AL422" t="str">
        <f t="shared" si="214"/>
        <v/>
      </c>
      <c r="AN422" t="s">
        <v>862</v>
      </c>
      <c r="AO422" t="str">
        <f t="shared" si="215"/>
        <v>a</v>
      </c>
      <c r="AP422" t="str">
        <f t="shared" si="222"/>
        <v/>
      </c>
      <c r="AQ422" t="str">
        <f t="shared" si="223"/>
        <v/>
      </c>
      <c r="AR422" t="str">
        <f t="shared" si="224"/>
        <v>Away</v>
      </c>
      <c r="AS422" t="str">
        <f t="shared" si="225"/>
        <v>a</v>
      </c>
      <c r="AT422" t="str">
        <f t="shared" si="226"/>
        <v>Defensive</v>
      </c>
      <c r="BA422" s="6">
        <f t="shared" si="216"/>
        <v>100</v>
      </c>
      <c r="BB422">
        <f t="shared" si="217"/>
        <v>18981</v>
      </c>
      <c r="BC422" t="str">
        <f t="shared" si="218"/>
        <v>Nelson</v>
      </c>
      <c r="BD422" t="str">
        <f t="shared" si="219"/>
        <v>Velodrome</v>
      </c>
      <c r="BE422" t="s">
        <v>7</v>
      </c>
      <c r="BF422" t="s">
        <v>192</v>
      </c>
      <c r="BG422" t="s">
        <v>68</v>
      </c>
      <c r="BI422" cm="1">
        <f t="array" ref="BI422">IFERROR(_xlfn._xlws.FILTER(shifts!A:A,(shifts!B:B=events!AD422)*(shifts!AG:AG&gt;=events!BK422)*(shifts!AH:AH&lt;=events!BL422)),BI421)</f>
        <v>23</v>
      </c>
      <c r="BJ422" s="15">
        <f t="shared" si="220"/>
        <v>0</v>
      </c>
      <c r="BK422">
        <f t="shared" si="227"/>
        <v>537</v>
      </c>
      <c r="BL422">
        <f t="shared" si="228"/>
        <v>537</v>
      </c>
      <c r="BM422" s="15">
        <f>SUMIFS(BJ$2:BJ422,K$2:K422,"=Intermission")+SUMIFS(BJ$2:BJ422,K$2:K422,"=Timeout")</f>
        <v>0</v>
      </c>
      <c r="BN422">
        <f t="shared" si="229"/>
        <v>0</v>
      </c>
      <c r="BO422" s="19">
        <f t="shared" si="230"/>
        <v>543</v>
      </c>
      <c r="BP422">
        <f t="shared" si="231"/>
        <v>538</v>
      </c>
      <c r="BQ422" s="17">
        <f t="shared" si="232"/>
        <v>543</v>
      </c>
      <c r="BR422" t="str">
        <f t="shared" si="233"/>
        <v>opp_team_player_2</v>
      </c>
      <c r="BS422">
        <f>COUNTIFS(S$3:S422,"="&amp;S422,AI$3:AI422,"="&amp;AI422)</f>
        <v>2</v>
      </c>
      <c r="BT422" t="str">
        <f>IFERROR(VLOOKUP(BB422&amp;BU422&amp;X422,game_rosters!U:W,3,FALSE),"")</f>
        <v>P100061</v>
      </c>
      <c r="BU422" t="str">
        <f t="shared" si="234"/>
        <v>Nelson</v>
      </c>
    </row>
    <row r="423" spans="1:73" x14ac:dyDescent="0.2">
      <c r="A423">
        <f t="shared" si="221"/>
        <v>1</v>
      </c>
      <c r="E423" s="4"/>
      <c r="F423" s="43"/>
      <c r="G423" s="4"/>
      <c r="H423" s="46"/>
      <c r="J423" s="44" t="str">
        <f t="shared" si="235"/>
        <v/>
      </c>
      <c r="K423" t="s">
        <v>7</v>
      </c>
      <c r="L423" t="s">
        <v>172</v>
      </c>
      <c r="M423" t="s">
        <v>66</v>
      </c>
      <c r="N423" t="str">
        <f t="shared" si="238"/>
        <v>s</v>
      </c>
      <c r="Q423" t="str">
        <f t="shared" si="236"/>
        <v/>
      </c>
      <c r="S423">
        <v>232</v>
      </c>
      <c r="U423" t="str">
        <f>IF(B423=1,MAX($U$2:$U422)+1,IF(AND($T423&lt;&gt;"",$T423=$T422),$U422,IF(B423="x",U422,"")))</f>
        <v/>
      </c>
      <c r="V423" t="str">
        <f>IF(C423=1,MAX($V$2:$V422)+1,IF(AND($T423&lt;&gt;"",$T423=$T422),$U422,IF(C423="x",V422,"")))</f>
        <v/>
      </c>
      <c r="W423" t="str">
        <f t="shared" si="210"/>
        <v>h</v>
      </c>
      <c r="X423">
        <v>23</v>
      </c>
      <c r="Y423" t="b">
        <f>IF(X423&lt;&gt;"",VLOOKUP(X423,game_rosters!$C$43:$E$64,3,FALSE))</f>
        <v>0</v>
      </c>
      <c r="Z423" cm="1">
        <f t="array" ref="Z423">IFERROR(IF(_xlfn._xlws.FILTER(game_rosters!$J:$J,(game_rosters!$G:$G=events!$AN423)*(game_rosters!$J:$J=events!$X423))&gt;0,1,""),"")</f>
        <v>1</v>
      </c>
      <c r="AA423">
        <f t="shared" si="211"/>
        <v>1232</v>
      </c>
      <c r="AB423" t="str">
        <f t="shared" si="212"/>
        <v/>
      </c>
      <c r="AC423">
        <f t="shared" si="209"/>
        <v>1232</v>
      </c>
      <c r="AD423" s="6">
        <v>1</v>
      </c>
      <c r="AE423" t="s">
        <v>936</v>
      </c>
      <c r="AF423" t="s">
        <v>921</v>
      </c>
      <c r="AG423" t="s">
        <v>756</v>
      </c>
      <c r="AH423" t="s">
        <v>756</v>
      </c>
      <c r="AI423" t="s">
        <v>367</v>
      </c>
      <c r="AJ423" t="str">
        <f t="shared" si="239"/>
        <v/>
      </c>
      <c r="AK423" t="str">
        <f t="shared" si="239"/>
        <v/>
      </c>
      <c r="AL423" t="str">
        <f t="shared" si="214"/>
        <v/>
      </c>
      <c r="AN423" t="s">
        <v>861</v>
      </c>
      <c r="AO423" t="str">
        <f t="shared" si="215"/>
        <v>h</v>
      </c>
      <c r="AP423" t="str">
        <f t="shared" si="222"/>
        <v/>
      </c>
      <c r="AQ423" t="str">
        <f t="shared" si="223"/>
        <v/>
      </c>
      <c r="AR423" t="str">
        <f t="shared" si="224"/>
        <v>Home</v>
      </c>
      <c r="AS423" t="str">
        <f t="shared" si="225"/>
        <v>h</v>
      </c>
      <c r="AT423" t="str">
        <f t="shared" si="226"/>
        <v>Offensive</v>
      </c>
      <c r="BA423" s="6">
        <f t="shared" si="216"/>
        <v>100</v>
      </c>
      <c r="BB423">
        <f t="shared" si="217"/>
        <v>18981</v>
      </c>
      <c r="BC423" t="str">
        <f t="shared" si="218"/>
        <v>Nelson</v>
      </c>
      <c r="BD423" t="str">
        <f t="shared" si="219"/>
        <v>Velodrome</v>
      </c>
      <c r="BE423" t="s">
        <v>7</v>
      </c>
      <c r="BF423" t="s">
        <v>172</v>
      </c>
      <c r="BG423" t="s">
        <v>66</v>
      </c>
      <c r="BI423" cm="1">
        <f t="array" ref="BI423">IFERROR(_xlfn._xlws.FILTER(shifts!A:A,(shifts!B:B=events!AD423)*(shifts!AG:AG&gt;=events!BK423)*(shifts!AH:AH&lt;=events!BL423)),BI422)</f>
        <v>23</v>
      </c>
      <c r="BJ423" s="15">
        <f t="shared" si="220"/>
        <v>0</v>
      </c>
      <c r="BK423">
        <f t="shared" si="227"/>
        <v>533</v>
      </c>
      <c r="BL423">
        <f t="shared" si="228"/>
        <v>533</v>
      </c>
      <c r="BM423" s="15">
        <f>SUMIFS(BJ$2:BJ423,K$2:K423,"=Intermission")+SUMIFS(BJ$2:BJ423,K$2:K423,"=Timeout")</f>
        <v>0</v>
      </c>
      <c r="BN423">
        <f t="shared" si="229"/>
        <v>0</v>
      </c>
      <c r="BO423" s="19">
        <f t="shared" si="230"/>
        <v>547</v>
      </c>
      <c r="BP423">
        <f t="shared" si="231"/>
        <v>542</v>
      </c>
      <c r="BQ423" s="17">
        <f t="shared" si="232"/>
        <v>547</v>
      </c>
      <c r="BR423" t="str">
        <f t="shared" si="233"/>
        <v>event_team_player_1</v>
      </c>
      <c r="BS423">
        <f>COUNTIFS(S$3:S423,"="&amp;S423,AI$3:AI423,"="&amp;AI423)</f>
        <v>1</v>
      </c>
      <c r="BT423" t="str">
        <f>IFERROR(VLOOKUP(BB423&amp;BU423&amp;X423,game_rosters!U:W,3,FALSE),"")</f>
        <v>P100061</v>
      </c>
      <c r="BU423" t="str">
        <f t="shared" si="234"/>
        <v>Nelson</v>
      </c>
    </row>
    <row r="424" spans="1:73" x14ac:dyDescent="0.2">
      <c r="A424">
        <f t="shared" si="221"/>
        <v>1</v>
      </c>
      <c r="E424" s="4"/>
      <c r="F424" s="43"/>
      <c r="G424" s="4"/>
      <c r="H424" s="46"/>
      <c r="J424" s="44" t="str">
        <f t="shared" si="235"/>
        <v/>
      </c>
      <c r="K424" t="s">
        <v>7</v>
      </c>
      <c r="L424" t="s">
        <v>172</v>
      </c>
      <c r="M424" t="s">
        <v>66</v>
      </c>
      <c r="N424" t="str">
        <f t="shared" si="238"/>
        <v>s</v>
      </c>
      <c r="Q424" t="str">
        <f t="shared" si="236"/>
        <v/>
      </c>
      <c r="S424">
        <v>232</v>
      </c>
      <c r="U424" t="str">
        <f>IF(B424=1,MAX($U$2:$U423)+1,IF(AND($T424&lt;&gt;"",$T424=$T423),$U423,IF(B424="x",U423,"")))</f>
        <v/>
      </c>
      <c r="V424" t="str">
        <f>IF(C424=1,MAX($V$2:$V423)+1,IF(AND($T424&lt;&gt;"",$T424=$T423),$U423,IF(C424="x",V423,"")))</f>
        <v/>
      </c>
      <c r="W424" t="str">
        <f t="shared" si="210"/>
        <v>h</v>
      </c>
      <c r="X424">
        <v>7</v>
      </c>
      <c r="Y424" t="b">
        <f>IF(X424&lt;&gt;"",VLOOKUP(X424,game_rosters!$C$43:$E$64,3,FALSE))</f>
        <v>0</v>
      </c>
      <c r="Z424" cm="1">
        <f t="array" ref="Z424">IFERROR(IF(_xlfn._xlws.FILTER(game_rosters!$J:$J,(game_rosters!$G:$G=events!$AN424)*(game_rosters!$J:$J=events!$X424))&gt;0,1,""),"")</f>
        <v>1</v>
      </c>
      <c r="AA424">
        <f t="shared" si="211"/>
        <v>1232</v>
      </c>
      <c r="AB424" t="str">
        <f t="shared" si="212"/>
        <v/>
      </c>
      <c r="AC424">
        <f t="shared" si="209"/>
        <v>1232</v>
      </c>
      <c r="AD424" s="6">
        <v>1</v>
      </c>
      <c r="AE424" t="s">
        <v>936</v>
      </c>
      <c r="AF424" t="s">
        <v>921</v>
      </c>
      <c r="AG424" t="s">
        <v>756</v>
      </c>
      <c r="AH424" t="s">
        <v>756</v>
      </c>
      <c r="AI424" t="s">
        <v>367</v>
      </c>
      <c r="AJ424" t="str">
        <f t="shared" si="239"/>
        <v/>
      </c>
      <c r="AK424" t="str">
        <f t="shared" si="239"/>
        <v/>
      </c>
      <c r="AL424" t="str">
        <f t="shared" si="214"/>
        <v/>
      </c>
      <c r="AN424" t="s">
        <v>861</v>
      </c>
      <c r="AO424" t="str">
        <f t="shared" si="215"/>
        <v>h</v>
      </c>
      <c r="AP424" t="str">
        <f t="shared" si="222"/>
        <v/>
      </c>
      <c r="AQ424" t="str">
        <f t="shared" si="223"/>
        <v/>
      </c>
      <c r="AR424" t="str">
        <f t="shared" si="224"/>
        <v>Home</v>
      </c>
      <c r="AS424" t="str">
        <f t="shared" si="225"/>
        <v>h</v>
      </c>
      <c r="AT424" t="str">
        <f t="shared" si="226"/>
        <v>Offensive</v>
      </c>
      <c r="BA424" s="6">
        <f t="shared" si="216"/>
        <v>100</v>
      </c>
      <c r="BB424">
        <f t="shared" si="217"/>
        <v>18981</v>
      </c>
      <c r="BC424" t="str">
        <f t="shared" si="218"/>
        <v>Nelson</v>
      </c>
      <c r="BD424" t="str">
        <f t="shared" si="219"/>
        <v>Velodrome</v>
      </c>
      <c r="BE424" t="s">
        <v>7</v>
      </c>
      <c r="BF424" t="s">
        <v>172</v>
      </c>
      <c r="BG424" t="s">
        <v>66</v>
      </c>
      <c r="BI424" cm="1">
        <f t="array" ref="BI424">IFERROR(_xlfn._xlws.FILTER(shifts!A:A,(shifts!B:B=events!AD424)*(shifts!AG:AG&gt;=events!BK424)*(shifts!AH:AH&lt;=events!BL424)),BI423)</f>
        <v>23</v>
      </c>
      <c r="BJ424" s="15">
        <f t="shared" si="220"/>
        <v>0</v>
      </c>
      <c r="BK424">
        <f t="shared" si="227"/>
        <v>533</v>
      </c>
      <c r="BL424">
        <f t="shared" si="228"/>
        <v>533</v>
      </c>
      <c r="BM424" s="15">
        <f>SUMIFS(BJ$2:BJ424,K$2:K424,"=Intermission")+SUMIFS(BJ$2:BJ424,K$2:K424,"=Timeout")</f>
        <v>0</v>
      </c>
      <c r="BN424">
        <f t="shared" si="229"/>
        <v>0</v>
      </c>
      <c r="BO424" s="19">
        <f t="shared" si="230"/>
        <v>547</v>
      </c>
      <c r="BP424">
        <f t="shared" si="231"/>
        <v>542</v>
      </c>
      <c r="BQ424" s="17">
        <f t="shared" si="232"/>
        <v>547</v>
      </c>
      <c r="BR424" t="str">
        <f t="shared" si="233"/>
        <v>event_team_player_2</v>
      </c>
      <c r="BS424">
        <f>COUNTIFS(S$3:S424,"="&amp;S424,AI$3:AI424,"="&amp;AI424)</f>
        <v>2</v>
      </c>
      <c r="BT424" t="str">
        <f>IFERROR(VLOOKUP(BB424&amp;BU424&amp;X424,game_rosters!U:W,3,FALSE),"")</f>
        <v>P100072</v>
      </c>
      <c r="BU424" t="str">
        <f t="shared" si="234"/>
        <v>Nelson</v>
      </c>
    </row>
    <row r="425" spans="1:73" x14ac:dyDescent="0.2">
      <c r="A425">
        <f t="shared" si="221"/>
        <v>1</v>
      </c>
      <c r="E425" s="4"/>
      <c r="F425" s="43"/>
      <c r="G425" s="4"/>
      <c r="H425" s="46"/>
      <c r="J425" s="44" t="str">
        <f t="shared" si="235"/>
        <v/>
      </c>
      <c r="K425" t="s">
        <v>7</v>
      </c>
      <c r="L425" t="s">
        <v>172</v>
      </c>
      <c r="M425" t="s">
        <v>66</v>
      </c>
      <c r="N425" t="str">
        <f t="shared" si="238"/>
        <v>s</v>
      </c>
      <c r="Q425" t="str">
        <f t="shared" si="236"/>
        <v/>
      </c>
      <c r="S425">
        <v>232</v>
      </c>
      <c r="U425" t="str">
        <f>IF(B425=1,MAX($U$2:$U424)+1,IF(AND($T425&lt;&gt;"",$T425=$T424),$U424,IF(B425="x",U424,"")))</f>
        <v/>
      </c>
      <c r="V425" t="str">
        <f>IF(C425=1,MAX($V$2:$V424)+1,IF(AND($T425&lt;&gt;"",$T425=$T424),$U424,IF(C425="x",V424,"")))</f>
        <v/>
      </c>
      <c r="W425" t="str">
        <f t="shared" si="210"/>
        <v>h</v>
      </c>
      <c r="X425">
        <v>91</v>
      </c>
      <c r="Y425" t="e">
        <f>IF(X425&lt;&gt;"",VLOOKUP(X425,game_rosters!$C$43:$E$64,3,FALSE))</f>
        <v>#N/A</v>
      </c>
      <c r="Z425" t="str" cm="1">
        <f t="array" ref="Z425">IFERROR(IF(_xlfn._xlws.FILTER(game_rosters!$J:$J,(game_rosters!$G:$G=events!$AN425)*(game_rosters!$J:$J=events!$X425))&gt;0,1,""),"")</f>
        <v/>
      </c>
      <c r="AA425">
        <f t="shared" si="211"/>
        <v>1232</v>
      </c>
      <c r="AB425" t="str">
        <f t="shared" si="212"/>
        <v/>
      </c>
      <c r="AC425">
        <f t="shared" si="209"/>
        <v>1232</v>
      </c>
      <c r="AD425" s="6">
        <v>1</v>
      </c>
      <c r="AE425" t="s">
        <v>936</v>
      </c>
      <c r="AF425" t="s">
        <v>921</v>
      </c>
      <c r="AG425" t="s">
        <v>756</v>
      </c>
      <c r="AH425" t="s">
        <v>756</v>
      </c>
      <c r="AI425" t="s">
        <v>368</v>
      </c>
      <c r="AJ425" t="str">
        <f t="shared" si="239"/>
        <v/>
      </c>
      <c r="AK425" t="str">
        <f t="shared" si="239"/>
        <v/>
      </c>
      <c r="AL425" t="str">
        <f t="shared" si="214"/>
        <v/>
      </c>
      <c r="AN425" t="s">
        <v>861</v>
      </c>
      <c r="AO425" t="str">
        <f t="shared" si="215"/>
        <v>h</v>
      </c>
      <c r="AP425" t="str">
        <f t="shared" si="222"/>
        <v/>
      </c>
      <c r="AQ425" t="str">
        <f t="shared" si="223"/>
        <v/>
      </c>
      <c r="AR425" t="str">
        <f t="shared" si="224"/>
        <v>Home</v>
      </c>
      <c r="AS425" t="str">
        <f t="shared" si="225"/>
        <v>h</v>
      </c>
      <c r="AT425" t="str">
        <f t="shared" si="226"/>
        <v>Defensive</v>
      </c>
      <c r="BA425" s="6">
        <f t="shared" si="216"/>
        <v>100</v>
      </c>
      <c r="BB425">
        <f t="shared" si="217"/>
        <v>18981</v>
      </c>
      <c r="BC425" t="str">
        <f t="shared" si="218"/>
        <v>Nelson</v>
      </c>
      <c r="BD425" t="str">
        <f t="shared" si="219"/>
        <v>Velodrome</v>
      </c>
      <c r="BE425" t="s">
        <v>7</v>
      </c>
      <c r="BF425" t="s">
        <v>172</v>
      </c>
      <c r="BG425" t="s">
        <v>66</v>
      </c>
      <c r="BI425" cm="1">
        <f t="array" ref="BI425">IFERROR(_xlfn._xlws.FILTER(shifts!A:A,(shifts!B:B=events!AD425)*(shifts!AG:AG&gt;=events!BK425)*(shifts!AH:AH&lt;=events!BL425)),BI424)</f>
        <v>23</v>
      </c>
      <c r="BJ425" s="15">
        <f t="shared" si="220"/>
        <v>0</v>
      </c>
      <c r="BK425">
        <f t="shared" si="227"/>
        <v>533</v>
      </c>
      <c r="BL425">
        <f t="shared" si="228"/>
        <v>533</v>
      </c>
      <c r="BM425" s="15">
        <f>SUMIFS(BJ$2:BJ425,K$2:K425,"=Intermission")+SUMIFS(BJ$2:BJ425,K$2:K425,"=Timeout")</f>
        <v>0</v>
      </c>
      <c r="BN425">
        <f t="shared" si="229"/>
        <v>0</v>
      </c>
      <c r="BO425" s="19">
        <f t="shared" si="230"/>
        <v>547</v>
      </c>
      <c r="BP425">
        <f t="shared" si="231"/>
        <v>542</v>
      </c>
      <c r="BQ425" s="17">
        <f t="shared" si="232"/>
        <v>547</v>
      </c>
      <c r="BR425" t="str">
        <f t="shared" si="233"/>
        <v>opp_team_player_1</v>
      </c>
      <c r="BS425">
        <f>COUNTIFS(S$3:S425,"="&amp;S425,AI$3:AI425,"="&amp;AI425)</f>
        <v>1</v>
      </c>
      <c r="BT425" t="str">
        <f>IFERROR(VLOOKUP(BB425&amp;BU425&amp;X425,game_rosters!U:W,3,FALSE),"")</f>
        <v>P100002</v>
      </c>
      <c r="BU425" t="str">
        <f t="shared" si="234"/>
        <v>Velodrome</v>
      </c>
    </row>
    <row r="426" spans="1:73" x14ac:dyDescent="0.2">
      <c r="A426">
        <f t="shared" si="221"/>
        <v>1</v>
      </c>
      <c r="E426" s="4"/>
      <c r="F426" s="43"/>
      <c r="G426" s="4"/>
      <c r="H426" s="46"/>
      <c r="J426" s="44" t="str">
        <f t="shared" si="235"/>
        <v/>
      </c>
      <c r="K426" t="s">
        <v>7</v>
      </c>
      <c r="L426" t="s">
        <v>182</v>
      </c>
      <c r="M426" t="s">
        <v>68</v>
      </c>
      <c r="N426" t="str">
        <f t="shared" si="238"/>
        <v>u</v>
      </c>
      <c r="Q426" t="str">
        <f t="shared" si="236"/>
        <v/>
      </c>
      <c r="S426">
        <v>233</v>
      </c>
      <c r="U426" t="str">
        <f>IF(B426=1,MAX($U$2:$U425)+1,IF(AND($T426&lt;&gt;"",$T426=$T425),$U425,IF(B426="x",U425,"")))</f>
        <v/>
      </c>
      <c r="V426" t="str">
        <f>IF(C426=1,MAX($V$2:$V425)+1,IF(AND($T426&lt;&gt;"",$T426=$T425),$U425,IF(C426="x",V425,"")))</f>
        <v/>
      </c>
      <c r="W426" t="str">
        <f t="shared" si="210"/>
        <v>h</v>
      </c>
      <c r="X426">
        <v>7</v>
      </c>
      <c r="Y426" t="b">
        <f>IF(X426&lt;&gt;"",VLOOKUP(X426,game_rosters!$C$43:$E$64,3,FALSE))</f>
        <v>0</v>
      </c>
      <c r="Z426" cm="1">
        <f t="array" ref="Z426">IFERROR(IF(_xlfn._xlws.FILTER(game_rosters!$J:$J,(game_rosters!$G:$G=events!$AN426)*(game_rosters!$J:$J=events!$X426))&gt;0,1,""),"")</f>
        <v>1</v>
      </c>
      <c r="AA426">
        <f t="shared" si="211"/>
        <v>1233</v>
      </c>
      <c r="AB426" t="str">
        <f t="shared" si="212"/>
        <v/>
      </c>
      <c r="AC426">
        <f t="shared" si="209"/>
        <v>1233</v>
      </c>
      <c r="AD426" s="6">
        <v>1</v>
      </c>
      <c r="AE426" t="s">
        <v>936</v>
      </c>
      <c r="AF426" t="s">
        <v>898</v>
      </c>
      <c r="AG426" t="s">
        <v>756</v>
      </c>
      <c r="AH426" t="s">
        <v>756</v>
      </c>
      <c r="AI426" t="s">
        <v>367</v>
      </c>
      <c r="AJ426" t="str">
        <f t="shared" si="239"/>
        <v/>
      </c>
      <c r="AK426" t="str">
        <f t="shared" si="239"/>
        <v/>
      </c>
      <c r="AL426" t="str">
        <f t="shared" si="214"/>
        <v/>
      </c>
      <c r="AN426" t="s">
        <v>861</v>
      </c>
      <c r="AO426" t="str">
        <f t="shared" si="215"/>
        <v>h</v>
      </c>
      <c r="AP426" t="str">
        <f t="shared" si="222"/>
        <v/>
      </c>
      <c r="AQ426" t="str">
        <f t="shared" si="223"/>
        <v/>
      </c>
      <c r="AR426" t="str">
        <f t="shared" si="224"/>
        <v>Home</v>
      </c>
      <c r="AS426" t="str">
        <f t="shared" si="225"/>
        <v>h</v>
      </c>
      <c r="AT426" t="str">
        <f t="shared" si="226"/>
        <v>Offensive</v>
      </c>
      <c r="BA426" s="6">
        <f t="shared" si="216"/>
        <v>100</v>
      </c>
      <c r="BB426">
        <f t="shared" si="217"/>
        <v>18981</v>
      </c>
      <c r="BC426" t="str">
        <f t="shared" si="218"/>
        <v>Nelson</v>
      </c>
      <c r="BD426" t="str">
        <f t="shared" si="219"/>
        <v>Velodrome</v>
      </c>
      <c r="BE426" t="s">
        <v>7</v>
      </c>
      <c r="BF426" t="s">
        <v>182</v>
      </c>
      <c r="BG426" t="s">
        <v>68</v>
      </c>
      <c r="BI426" cm="1">
        <f t="array" ref="BI426">IFERROR(_xlfn._xlws.FILTER(shifts!A:A,(shifts!B:B=events!AD426)*(shifts!AG:AG&gt;=events!BK426)*(shifts!AH:AH&lt;=events!BL426)),BI425)</f>
        <v>23</v>
      </c>
      <c r="BJ426" s="15">
        <f t="shared" si="220"/>
        <v>0</v>
      </c>
      <c r="BK426">
        <f t="shared" si="227"/>
        <v>531</v>
      </c>
      <c r="BL426">
        <f t="shared" si="228"/>
        <v>531</v>
      </c>
      <c r="BM426" s="15">
        <f>SUMIFS(BJ$2:BJ426,K$2:K426,"=Intermission")+SUMIFS(BJ$2:BJ426,K$2:K426,"=Timeout")</f>
        <v>0</v>
      </c>
      <c r="BN426">
        <f t="shared" si="229"/>
        <v>0</v>
      </c>
      <c r="BO426" s="19">
        <f t="shared" si="230"/>
        <v>549</v>
      </c>
      <c r="BP426">
        <f t="shared" si="231"/>
        <v>544</v>
      </c>
      <c r="BQ426" s="17">
        <f t="shared" si="232"/>
        <v>549</v>
      </c>
      <c r="BR426" t="str">
        <f t="shared" si="233"/>
        <v>event_team_player_1</v>
      </c>
      <c r="BS426">
        <f>COUNTIFS(S$3:S426,"="&amp;S426,AI$3:AI426,"="&amp;AI426)</f>
        <v>1</v>
      </c>
      <c r="BT426" t="str">
        <f>IFERROR(VLOOKUP(BB426&amp;BU426&amp;X426,game_rosters!U:W,3,FALSE),"")</f>
        <v>P100072</v>
      </c>
      <c r="BU426" t="str">
        <f t="shared" si="234"/>
        <v>Nelson</v>
      </c>
    </row>
    <row r="427" spans="1:73" x14ac:dyDescent="0.2">
      <c r="A427">
        <f t="shared" si="221"/>
        <v>1</v>
      </c>
      <c r="E427" s="4"/>
      <c r="F427" s="43"/>
      <c r="G427" s="4"/>
      <c r="H427" s="46"/>
      <c r="J427" s="44" t="str">
        <f t="shared" si="235"/>
        <v/>
      </c>
      <c r="K427" t="s">
        <v>7</v>
      </c>
      <c r="L427" t="s">
        <v>182</v>
      </c>
      <c r="M427" t="s">
        <v>68</v>
      </c>
      <c r="N427" t="str">
        <f t="shared" si="238"/>
        <v>u</v>
      </c>
      <c r="Q427" t="str">
        <f t="shared" si="236"/>
        <v/>
      </c>
      <c r="S427">
        <v>233</v>
      </c>
      <c r="U427" t="str">
        <f>IF(B427=1,MAX($U$2:$U426)+1,IF(AND($T427&lt;&gt;"",$T427=$T426),$U426,IF(B427="x",U426,"")))</f>
        <v/>
      </c>
      <c r="V427" t="str">
        <f>IF(C427=1,MAX($V$2:$V426)+1,IF(AND($T427&lt;&gt;"",$T427=$T426),$U426,IF(C427="x",V426,"")))</f>
        <v/>
      </c>
      <c r="W427" t="str">
        <f t="shared" si="210"/>
        <v>h</v>
      </c>
      <c r="X427">
        <v>79</v>
      </c>
      <c r="Y427" t="b">
        <f>IF(X427&lt;&gt;"",VLOOKUP(X427,game_rosters!$C$43:$E$64,3,FALSE))</f>
        <v>0</v>
      </c>
      <c r="Z427" cm="1">
        <f t="array" ref="Z427">IFERROR(IF(_xlfn._xlws.FILTER(game_rosters!$J:$J,(game_rosters!$G:$G=events!$AN427)*(game_rosters!$J:$J=events!$X427))&gt;0,1,""),"")</f>
        <v>1</v>
      </c>
      <c r="AA427">
        <f t="shared" si="211"/>
        <v>1233</v>
      </c>
      <c r="AB427" t="str">
        <f t="shared" si="212"/>
        <v/>
      </c>
      <c r="AC427">
        <f t="shared" si="209"/>
        <v>1233</v>
      </c>
      <c r="AD427" s="6">
        <v>1</v>
      </c>
      <c r="AE427" t="s">
        <v>936</v>
      </c>
      <c r="AF427" t="s">
        <v>898</v>
      </c>
      <c r="AG427" t="s">
        <v>756</v>
      </c>
      <c r="AH427" t="s">
        <v>756</v>
      </c>
      <c r="AI427" t="s">
        <v>367</v>
      </c>
      <c r="AJ427" t="str">
        <f t="shared" si="239"/>
        <v/>
      </c>
      <c r="AK427" t="str">
        <f t="shared" si="239"/>
        <v/>
      </c>
      <c r="AL427" t="str">
        <f t="shared" si="214"/>
        <v/>
      </c>
      <c r="AN427" t="s">
        <v>861</v>
      </c>
      <c r="AO427" t="str">
        <f t="shared" si="215"/>
        <v>h</v>
      </c>
      <c r="AP427" t="str">
        <f t="shared" si="222"/>
        <v/>
      </c>
      <c r="AQ427" t="str">
        <f t="shared" si="223"/>
        <v/>
      </c>
      <c r="AR427" t="str">
        <f t="shared" si="224"/>
        <v>Home</v>
      </c>
      <c r="AS427" t="str">
        <f t="shared" si="225"/>
        <v>h</v>
      </c>
      <c r="AT427" t="str">
        <f t="shared" si="226"/>
        <v>Offensive</v>
      </c>
      <c r="BA427" s="6">
        <f t="shared" si="216"/>
        <v>100</v>
      </c>
      <c r="BB427">
        <f t="shared" si="217"/>
        <v>18981</v>
      </c>
      <c r="BC427" t="str">
        <f t="shared" si="218"/>
        <v>Nelson</v>
      </c>
      <c r="BD427" t="str">
        <f t="shared" si="219"/>
        <v>Velodrome</v>
      </c>
      <c r="BE427" t="s">
        <v>7</v>
      </c>
      <c r="BF427" t="s">
        <v>182</v>
      </c>
      <c r="BG427" t="s">
        <v>68</v>
      </c>
      <c r="BI427" cm="1">
        <f t="array" ref="BI427">IFERROR(_xlfn._xlws.FILTER(shifts!A:A,(shifts!B:B=events!AD427)*(shifts!AG:AG&gt;=events!BK427)*(shifts!AH:AH&lt;=events!BL427)),BI426)</f>
        <v>23</v>
      </c>
      <c r="BJ427" s="15">
        <f t="shared" si="220"/>
        <v>0</v>
      </c>
      <c r="BK427">
        <f t="shared" si="227"/>
        <v>531</v>
      </c>
      <c r="BL427">
        <f t="shared" si="228"/>
        <v>531</v>
      </c>
      <c r="BM427" s="15">
        <f>SUMIFS(BJ$2:BJ427,K$2:K427,"=Intermission")+SUMIFS(BJ$2:BJ427,K$2:K427,"=Timeout")</f>
        <v>0</v>
      </c>
      <c r="BN427">
        <f t="shared" si="229"/>
        <v>0</v>
      </c>
      <c r="BO427" s="19">
        <f t="shared" si="230"/>
        <v>549</v>
      </c>
      <c r="BP427">
        <f t="shared" si="231"/>
        <v>544</v>
      </c>
      <c r="BQ427" s="17">
        <f t="shared" si="232"/>
        <v>549</v>
      </c>
      <c r="BR427" t="str">
        <f t="shared" si="233"/>
        <v>event_team_player_2</v>
      </c>
      <c r="BS427">
        <f>COUNTIFS(S$3:S427,"="&amp;S427,AI$3:AI427,"="&amp;AI427)</f>
        <v>2</v>
      </c>
      <c r="BT427" t="str">
        <f>IFERROR(VLOOKUP(BB427&amp;BU427&amp;X427,game_rosters!U:W,3,FALSE),"")</f>
        <v>P100066</v>
      </c>
      <c r="BU427" t="str">
        <f t="shared" si="234"/>
        <v>Nelson</v>
      </c>
    </row>
    <row r="428" spans="1:73" x14ac:dyDescent="0.2">
      <c r="A428">
        <f t="shared" si="221"/>
        <v>1</v>
      </c>
      <c r="E428" s="4"/>
      <c r="F428" s="43"/>
      <c r="G428" s="4"/>
      <c r="H428" s="46"/>
      <c r="J428" s="44" t="str">
        <f t="shared" si="235"/>
        <v/>
      </c>
      <c r="K428" t="s">
        <v>7</v>
      </c>
      <c r="L428" t="s">
        <v>182</v>
      </c>
      <c r="M428" t="s">
        <v>68</v>
      </c>
      <c r="N428" t="str">
        <f t="shared" si="238"/>
        <v>u</v>
      </c>
      <c r="Q428" t="str">
        <f t="shared" si="236"/>
        <v/>
      </c>
      <c r="S428">
        <v>233</v>
      </c>
      <c r="U428" t="str">
        <f>IF(B428=1,MAX($U$2:$U427)+1,IF(AND($T428&lt;&gt;"",$T428=$T427),$U427,IF(B428="x",U427,"")))</f>
        <v/>
      </c>
      <c r="V428" t="str">
        <f>IF(C428=1,MAX($V$2:$V427)+1,IF(AND($T428&lt;&gt;"",$T428=$T427),$U427,IF(C428="x",V427,"")))</f>
        <v/>
      </c>
      <c r="W428" t="str">
        <f t="shared" si="210"/>
        <v>h</v>
      </c>
      <c r="X428">
        <v>84</v>
      </c>
      <c r="Y428" t="e">
        <f>IF(X428&lt;&gt;"",VLOOKUP(X428,game_rosters!$C$43:$E$64,3,FALSE))</f>
        <v>#N/A</v>
      </c>
      <c r="Z428" t="str" cm="1">
        <f t="array" ref="Z428">IFERROR(IF(_xlfn._xlws.FILTER(game_rosters!$J:$J,(game_rosters!$G:$G=events!$AN428)*(game_rosters!$J:$J=events!$X428))&gt;0,1,""),"")</f>
        <v/>
      </c>
      <c r="AA428">
        <f t="shared" si="211"/>
        <v>1233</v>
      </c>
      <c r="AB428" t="str">
        <f t="shared" si="212"/>
        <v/>
      </c>
      <c r="AC428">
        <f t="shared" si="209"/>
        <v>1233</v>
      </c>
      <c r="AD428" s="6">
        <v>1</v>
      </c>
      <c r="AE428" t="s">
        <v>936</v>
      </c>
      <c r="AF428" t="s">
        <v>898</v>
      </c>
      <c r="AG428" t="s">
        <v>756</v>
      </c>
      <c r="AH428" t="s">
        <v>756</v>
      </c>
      <c r="AI428" t="s">
        <v>368</v>
      </c>
      <c r="AJ428" t="str">
        <f t="shared" si="239"/>
        <v/>
      </c>
      <c r="AK428" t="str">
        <f t="shared" si="239"/>
        <v/>
      </c>
      <c r="AL428" t="str">
        <f t="shared" si="214"/>
        <v/>
      </c>
      <c r="AN428" t="s">
        <v>861</v>
      </c>
      <c r="AO428" t="str">
        <f t="shared" si="215"/>
        <v>h</v>
      </c>
      <c r="AP428" t="str">
        <f t="shared" si="222"/>
        <v/>
      </c>
      <c r="AQ428" t="str">
        <f t="shared" si="223"/>
        <v/>
      </c>
      <c r="AR428" t="str">
        <f t="shared" si="224"/>
        <v>Home</v>
      </c>
      <c r="AS428" t="str">
        <f t="shared" si="225"/>
        <v>h</v>
      </c>
      <c r="AT428" t="str">
        <f t="shared" si="226"/>
        <v>Defensive</v>
      </c>
      <c r="BA428" s="6">
        <f t="shared" si="216"/>
        <v>100</v>
      </c>
      <c r="BB428">
        <f t="shared" si="217"/>
        <v>18981</v>
      </c>
      <c r="BC428" t="str">
        <f t="shared" si="218"/>
        <v>Nelson</v>
      </c>
      <c r="BD428" t="str">
        <f t="shared" si="219"/>
        <v>Velodrome</v>
      </c>
      <c r="BE428" t="s">
        <v>7</v>
      </c>
      <c r="BF428" t="s">
        <v>182</v>
      </c>
      <c r="BG428" t="s">
        <v>68</v>
      </c>
      <c r="BI428" cm="1">
        <f t="array" ref="BI428">IFERROR(_xlfn._xlws.FILTER(shifts!A:A,(shifts!B:B=events!AD428)*(shifts!AG:AG&gt;=events!BK428)*(shifts!AH:AH&lt;=events!BL428)),BI427)</f>
        <v>23</v>
      </c>
      <c r="BJ428" s="15">
        <f t="shared" si="220"/>
        <v>0</v>
      </c>
      <c r="BK428">
        <f t="shared" si="227"/>
        <v>531</v>
      </c>
      <c r="BL428">
        <f t="shared" si="228"/>
        <v>531</v>
      </c>
      <c r="BM428" s="15">
        <f>SUMIFS(BJ$2:BJ428,K$2:K428,"=Intermission")+SUMIFS(BJ$2:BJ428,K$2:K428,"=Timeout")</f>
        <v>0</v>
      </c>
      <c r="BN428">
        <f t="shared" si="229"/>
        <v>0</v>
      </c>
      <c r="BO428" s="19">
        <f t="shared" si="230"/>
        <v>549</v>
      </c>
      <c r="BP428">
        <f t="shared" si="231"/>
        <v>544</v>
      </c>
      <c r="BQ428" s="17">
        <f t="shared" si="232"/>
        <v>549</v>
      </c>
      <c r="BR428" t="str">
        <f t="shared" si="233"/>
        <v>opp_team_player_1</v>
      </c>
      <c r="BS428">
        <f>COUNTIFS(S$3:S428,"="&amp;S428,AI$3:AI428,"="&amp;AI428)</f>
        <v>1</v>
      </c>
      <c r="BT428" t="str">
        <f>IFERROR(VLOOKUP(BB428&amp;BU428&amp;X428,game_rosters!U:W,3,FALSE),"")</f>
        <v>P100198</v>
      </c>
      <c r="BU428" t="str">
        <f t="shared" si="234"/>
        <v>Velodrome</v>
      </c>
    </row>
    <row r="429" spans="1:73" x14ac:dyDescent="0.2">
      <c r="A429">
        <f t="shared" si="221"/>
        <v>1</v>
      </c>
      <c r="E429" s="4"/>
      <c r="F429" s="43"/>
      <c r="G429" s="4"/>
      <c r="H429" s="46"/>
      <c r="J429" s="44" t="str">
        <f t="shared" si="235"/>
        <v>d</v>
      </c>
      <c r="K429" t="s">
        <v>238</v>
      </c>
      <c r="L429" t="s">
        <v>184</v>
      </c>
      <c r="M429" t="s">
        <v>376</v>
      </c>
      <c r="N429" t="str">
        <f t="shared" si="238"/>
        <v>u</v>
      </c>
      <c r="Q429" t="str">
        <f t="shared" si="236"/>
        <v/>
      </c>
      <c r="S429">
        <v>234</v>
      </c>
      <c r="U429" t="str">
        <f>IF(B429=1,MAX($U$2:$U428)+1,IF(AND($T429&lt;&gt;"",$T429=$T428),$U428,IF(B429="x",U428,"")))</f>
        <v/>
      </c>
      <c r="V429" t="str">
        <f>IF(C429=1,MAX($V$2:$V428)+1,IF(AND($T429&lt;&gt;"",$T429=$T428),$U428,IF(C429="x",V428,"")))</f>
        <v/>
      </c>
      <c r="W429" t="str">
        <f t="shared" si="210"/>
        <v>h</v>
      </c>
      <c r="X429">
        <v>7</v>
      </c>
      <c r="Y429" t="b">
        <f>IF(X429&lt;&gt;"",VLOOKUP(X429,game_rosters!$C$43:$E$64,3,FALSE))</f>
        <v>0</v>
      </c>
      <c r="Z429" cm="1">
        <f t="array" ref="Z429">IFERROR(IF(_xlfn._xlws.FILTER(game_rosters!$J:$J,(game_rosters!$G:$G=events!$AN429)*(game_rosters!$J:$J=events!$X429))&gt;0,1,""),"")</f>
        <v>1</v>
      </c>
      <c r="AA429">
        <f t="shared" si="211"/>
        <v>1234</v>
      </c>
      <c r="AB429" t="str">
        <f t="shared" si="212"/>
        <v/>
      </c>
      <c r="AC429">
        <f t="shared" si="209"/>
        <v>1234</v>
      </c>
      <c r="AD429" s="6">
        <v>1</v>
      </c>
      <c r="AE429" t="s">
        <v>936</v>
      </c>
      <c r="AF429" t="s">
        <v>898</v>
      </c>
      <c r="AG429" t="s">
        <v>756</v>
      </c>
      <c r="AH429" t="s">
        <v>756</v>
      </c>
      <c r="AI429" t="s">
        <v>367</v>
      </c>
      <c r="AJ429" t="str">
        <f t="shared" si="239"/>
        <v>d</v>
      </c>
      <c r="AK429" t="str">
        <f t="shared" si="239"/>
        <v>d</v>
      </c>
      <c r="AL429" t="str">
        <f t="shared" si="214"/>
        <v>d</v>
      </c>
      <c r="AN429" t="s">
        <v>861</v>
      </c>
      <c r="AO429" t="str">
        <f t="shared" si="215"/>
        <v>h</v>
      </c>
      <c r="AP429" t="str">
        <f t="shared" si="222"/>
        <v>d</v>
      </c>
      <c r="AQ429" t="str">
        <f t="shared" si="223"/>
        <v/>
      </c>
      <c r="AR429" t="str">
        <f t="shared" si="224"/>
        <v>Home</v>
      </c>
      <c r="AS429" t="str">
        <f t="shared" si="225"/>
        <v>h</v>
      </c>
      <c r="AT429" t="str">
        <f t="shared" si="226"/>
        <v>Offensive</v>
      </c>
      <c r="BA429" s="6">
        <f t="shared" si="216"/>
        <v>101</v>
      </c>
      <c r="BB429">
        <f t="shared" si="217"/>
        <v>18981</v>
      </c>
      <c r="BC429" t="str">
        <f t="shared" si="218"/>
        <v>Nelson</v>
      </c>
      <c r="BD429" t="str">
        <f t="shared" si="219"/>
        <v>Velodrome</v>
      </c>
      <c r="BE429" t="s">
        <v>238</v>
      </c>
      <c r="BF429" t="s">
        <v>184</v>
      </c>
      <c r="BG429" t="s">
        <v>376</v>
      </c>
      <c r="BI429" cm="1">
        <f t="array" ref="BI429">IFERROR(_xlfn._xlws.FILTER(shifts!A:A,(shifts!B:B=events!AD429)*(shifts!AG:AG&gt;=events!BK429)*(shifts!AH:AH&lt;=events!BL429)),BI428)</f>
        <v>23</v>
      </c>
      <c r="BJ429" s="15">
        <f t="shared" si="220"/>
        <v>0</v>
      </c>
      <c r="BK429">
        <f t="shared" si="227"/>
        <v>531</v>
      </c>
      <c r="BL429">
        <f t="shared" si="228"/>
        <v>531</v>
      </c>
      <c r="BM429" s="15">
        <f>SUMIFS(BJ$2:BJ429,K$2:K429,"=Intermission")+SUMIFS(BJ$2:BJ429,K$2:K429,"=Timeout")</f>
        <v>0</v>
      </c>
      <c r="BN429">
        <f t="shared" si="229"/>
        <v>0</v>
      </c>
      <c r="BO429" s="19">
        <f t="shared" si="230"/>
        <v>549</v>
      </c>
      <c r="BP429">
        <f t="shared" si="231"/>
        <v>544</v>
      </c>
      <c r="BQ429" s="17">
        <f t="shared" si="232"/>
        <v>549</v>
      </c>
      <c r="BR429" t="str">
        <f t="shared" si="233"/>
        <v>event_team_player_1</v>
      </c>
      <c r="BS429">
        <f>COUNTIFS(S$3:S429,"="&amp;S429,AI$3:AI429,"="&amp;AI429)</f>
        <v>1</v>
      </c>
      <c r="BT429" t="str">
        <f>IFERROR(VLOOKUP(BB429&amp;BU429&amp;X429,game_rosters!U:W,3,FALSE),"")</f>
        <v>P100072</v>
      </c>
      <c r="BU429" t="str">
        <f t="shared" si="234"/>
        <v>Nelson</v>
      </c>
    </row>
    <row r="430" spans="1:73" x14ac:dyDescent="0.2">
      <c r="A430">
        <f t="shared" si="221"/>
        <v>1</v>
      </c>
      <c r="E430" s="4"/>
      <c r="F430" s="43"/>
      <c r="G430" s="4"/>
      <c r="H430" s="46"/>
      <c r="J430" s="44" t="str">
        <f t="shared" si="235"/>
        <v>d</v>
      </c>
      <c r="K430" t="s">
        <v>238</v>
      </c>
      <c r="L430" t="s">
        <v>184</v>
      </c>
      <c r="M430" t="s">
        <v>376</v>
      </c>
      <c r="N430" t="str">
        <f t="shared" si="238"/>
        <v>u</v>
      </c>
      <c r="Q430" t="str">
        <f t="shared" si="236"/>
        <v/>
      </c>
      <c r="S430">
        <v>234</v>
      </c>
      <c r="U430" t="str">
        <f>IF(B430=1,MAX($U$2:$U429)+1,IF(AND($T430&lt;&gt;"",$T430=$T429),$U429,IF(B430="x",U429,"")))</f>
        <v/>
      </c>
      <c r="V430" t="str">
        <f>IF(C430=1,MAX($V$2:$V429)+1,IF(AND($T430&lt;&gt;"",$T430=$T429),$U429,IF(C430="x",V429,"")))</f>
        <v/>
      </c>
      <c r="W430" t="str">
        <f t="shared" si="210"/>
        <v>h</v>
      </c>
      <c r="X430">
        <v>79</v>
      </c>
      <c r="Y430" t="b">
        <f>IF(X430&lt;&gt;"",VLOOKUP(X430,game_rosters!$C$43:$E$64,3,FALSE))</f>
        <v>0</v>
      </c>
      <c r="Z430" cm="1">
        <f t="array" ref="Z430">IFERROR(IF(_xlfn._xlws.FILTER(game_rosters!$J:$J,(game_rosters!$G:$G=events!$AN430)*(game_rosters!$J:$J=events!$X430))&gt;0,1,""),"")</f>
        <v>1</v>
      </c>
      <c r="AA430">
        <f t="shared" si="211"/>
        <v>1234</v>
      </c>
      <c r="AB430" t="str">
        <f t="shared" si="212"/>
        <v/>
      </c>
      <c r="AC430">
        <f t="shared" si="209"/>
        <v>1234</v>
      </c>
      <c r="AD430" s="6">
        <v>1</v>
      </c>
      <c r="AE430" t="s">
        <v>936</v>
      </c>
      <c r="AF430" t="s">
        <v>898</v>
      </c>
      <c r="AG430" t="s">
        <v>756</v>
      </c>
      <c r="AH430" t="s">
        <v>756</v>
      </c>
      <c r="AI430" t="s">
        <v>367</v>
      </c>
      <c r="AJ430" t="str">
        <f t="shared" si="239"/>
        <v>d</v>
      </c>
      <c r="AK430" t="str">
        <f t="shared" si="239"/>
        <v>d</v>
      </c>
      <c r="AL430" t="str">
        <f t="shared" si="214"/>
        <v>d</v>
      </c>
      <c r="AN430" t="s">
        <v>861</v>
      </c>
      <c r="AO430" t="str">
        <f t="shared" si="215"/>
        <v>h</v>
      </c>
      <c r="AP430" t="str">
        <f t="shared" si="222"/>
        <v>d</v>
      </c>
      <c r="AQ430" t="str">
        <f t="shared" si="223"/>
        <v/>
      </c>
      <c r="AR430" t="str">
        <f t="shared" si="224"/>
        <v>Home</v>
      </c>
      <c r="AS430" t="str">
        <f t="shared" si="225"/>
        <v>h</v>
      </c>
      <c r="AT430" t="str">
        <f t="shared" si="226"/>
        <v>Offensive</v>
      </c>
      <c r="BA430" s="6">
        <f t="shared" si="216"/>
        <v>102</v>
      </c>
      <c r="BB430">
        <f t="shared" si="217"/>
        <v>18981</v>
      </c>
      <c r="BC430" t="str">
        <f t="shared" si="218"/>
        <v>Nelson</v>
      </c>
      <c r="BD430" t="str">
        <f t="shared" si="219"/>
        <v>Velodrome</v>
      </c>
      <c r="BE430" t="s">
        <v>238</v>
      </c>
      <c r="BF430" t="s">
        <v>184</v>
      </c>
      <c r="BG430" t="s">
        <v>376</v>
      </c>
      <c r="BI430" cm="1">
        <f t="array" ref="BI430">IFERROR(_xlfn._xlws.FILTER(shifts!A:A,(shifts!B:B=events!AD430)*(shifts!AG:AG&gt;=events!BK430)*(shifts!AH:AH&lt;=events!BL430)),BI429)</f>
        <v>23</v>
      </c>
      <c r="BJ430" s="15">
        <f t="shared" si="220"/>
        <v>0</v>
      </c>
      <c r="BK430">
        <f t="shared" si="227"/>
        <v>531</v>
      </c>
      <c r="BL430">
        <f t="shared" si="228"/>
        <v>531</v>
      </c>
      <c r="BM430" s="15">
        <f>SUMIFS(BJ$2:BJ430,K$2:K430,"=Intermission")+SUMIFS(BJ$2:BJ430,K$2:K430,"=Timeout")</f>
        <v>0</v>
      </c>
      <c r="BN430">
        <f t="shared" si="229"/>
        <v>0</v>
      </c>
      <c r="BO430" s="19">
        <f t="shared" si="230"/>
        <v>549</v>
      </c>
      <c r="BP430">
        <f t="shared" si="231"/>
        <v>544</v>
      </c>
      <c r="BQ430" s="17">
        <f t="shared" si="232"/>
        <v>549</v>
      </c>
      <c r="BR430" t="str">
        <f t="shared" si="233"/>
        <v>event_team_player_2</v>
      </c>
      <c r="BS430">
        <f>COUNTIFS(S$3:S430,"="&amp;S430,AI$3:AI430,"="&amp;AI430)</f>
        <v>2</v>
      </c>
      <c r="BT430" t="str">
        <f>IFERROR(VLOOKUP(BB430&amp;BU430&amp;X430,game_rosters!U:W,3,FALSE),"")</f>
        <v>P100066</v>
      </c>
      <c r="BU430" t="str">
        <f t="shared" si="234"/>
        <v>Nelson</v>
      </c>
    </row>
    <row r="431" spans="1:73" x14ac:dyDescent="0.2">
      <c r="A431">
        <f t="shared" si="221"/>
        <v>1</v>
      </c>
      <c r="E431" s="4"/>
      <c r="F431" s="43"/>
      <c r="G431" s="4"/>
      <c r="H431" s="46"/>
      <c r="J431" s="44" t="str">
        <f t="shared" si="235"/>
        <v>d</v>
      </c>
      <c r="K431" t="s">
        <v>238</v>
      </c>
      <c r="L431" t="s">
        <v>184</v>
      </c>
      <c r="M431" t="s">
        <v>376</v>
      </c>
      <c r="N431" t="str">
        <f t="shared" si="238"/>
        <v>u</v>
      </c>
      <c r="Q431" t="str">
        <f t="shared" si="236"/>
        <v/>
      </c>
      <c r="S431">
        <v>234</v>
      </c>
      <c r="U431" t="str">
        <f>IF(B431=1,MAX($U$2:$U430)+1,IF(AND($T431&lt;&gt;"",$T431=$T430),$U430,IF(B431="x",U430,"")))</f>
        <v/>
      </c>
      <c r="V431" t="str">
        <f>IF(C431=1,MAX($V$2:$V430)+1,IF(AND($T431&lt;&gt;"",$T431=$T430),$U430,IF(C431="x",V430,"")))</f>
        <v/>
      </c>
      <c r="W431" t="str">
        <f t="shared" si="210"/>
        <v>h</v>
      </c>
      <c r="X431">
        <v>84</v>
      </c>
      <c r="Y431" t="e">
        <f>IF(X431&lt;&gt;"",VLOOKUP(X431,game_rosters!$C$43:$E$64,3,FALSE))</f>
        <v>#N/A</v>
      </c>
      <c r="Z431" t="str" cm="1">
        <f t="array" ref="Z431">IFERROR(IF(_xlfn._xlws.FILTER(game_rosters!$J:$J,(game_rosters!$G:$G=events!$AN431)*(game_rosters!$J:$J=events!$X431))&gt;0,1,""),"")</f>
        <v/>
      </c>
      <c r="AA431">
        <f t="shared" si="211"/>
        <v>1234</v>
      </c>
      <c r="AB431" t="str">
        <f t="shared" si="212"/>
        <v/>
      </c>
      <c r="AC431">
        <f t="shared" si="209"/>
        <v>1234</v>
      </c>
      <c r="AD431" s="6">
        <v>1</v>
      </c>
      <c r="AE431" t="s">
        <v>936</v>
      </c>
      <c r="AF431" t="s">
        <v>898</v>
      </c>
      <c r="AG431" t="s">
        <v>756</v>
      </c>
      <c r="AH431" t="s">
        <v>756</v>
      </c>
      <c r="AI431" t="s">
        <v>368</v>
      </c>
      <c r="AJ431" t="str">
        <f t="shared" si="239"/>
        <v>d</v>
      </c>
      <c r="AK431" t="str">
        <f t="shared" si="239"/>
        <v>d</v>
      </c>
      <c r="AL431" t="str">
        <f t="shared" si="214"/>
        <v>d</v>
      </c>
      <c r="AN431" t="s">
        <v>861</v>
      </c>
      <c r="AO431" t="str">
        <f t="shared" si="215"/>
        <v>h</v>
      </c>
      <c r="AP431" t="str">
        <f t="shared" si="222"/>
        <v>d</v>
      </c>
      <c r="AQ431" t="str">
        <f t="shared" si="223"/>
        <v/>
      </c>
      <c r="AR431" t="str">
        <f t="shared" si="224"/>
        <v>Home</v>
      </c>
      <c r="AS431" t="str">
        <f t="shared" si="225"/>
        <v>h</v>
      </c>
      <c r="AT431" t="str">
        <f t="shared" si="226"/>
        <v>Defensive</v>
      </c>
      <c r="BA431" s="6">
        <f t="shared" si="216"/>
        <v>103</v>
      </c>
      <c r="BB431">
        <f t="shared" si="217"/>
        <v>18981</v>
      </c>
      <c r="BC431" t="str">
        <f t="shared" si="218"/>
        <v>Nelson</v>
      </c>
      <c r="BD431" t="str">
        <f t="shared" si="219"/>
        <v>Velodrome</v>
      </c>
      <c r="BE431" t="s">
        <v>238</v>
      </c>
      <c r="BF431" t="s">
        <v>184</v>
      </c>
      <c r="BG431" t="s">
        <v>376</v>
      </c>
      <c r="BI431" cm="1">
        <f t="array" ref="BI431">IFERROR(_xlfn._xlws.FILTER(shifts!A:A,(shifts!B:B=events!AD431)*(shifts!AG:AG&gt;=events!BK431)*(shifts!AH:AH&lt;=events!BL431)),BI430)</f>
        <v>23</v>
      </c>
      <c r="BJ431" s="15">
        <f t="shared" si="220"/>
        <v>0</v>
      </c>
      <c r="BK431">
        <f t="shared" si="227"/>
        <v>531</v>
      </c>
      <c r="BL431">
        <f t="shared" si="228"/>
        <v>531</v>
      </c>
      <c r="BM431" s="15">
        <f>SUMIFS(BJ$2:BJ431,K$2:K431,"=Intermission")+SUMIFS(BJ$2:BJ431,K$2:K431,"=Timeout")</f>
        <v>0</v>
      </c>
      <c r="BN431">
        <f t="shared" si="229"/>
        <v>0</v>
      </c>
      <c r="BO431" s="19">
        <f t="shared" si="230"/>
        <v>549</v>
      </c>
      <c r="BP431">
        <f t="shared" si="231"/>
        <v>544</v>
      </c>
      <c r="BQ431" s="17">
        <f t="shared" si="232"/>
        <v>549</v>
      </c>
      <c r="BR431" t="str">
        <f t="shared" si="233"/>
        <v>opp_team_player_1</v>
      </c>
      <c r="BS431">
        <f>COUNTIFS(S$3:S431,"="&amp;S431,AI$3:AI431,"="&amp;AI431)</f>
        <v>1</v>
      </c>
      <c r="BT431" t="str">
        <f>IFERROR(VLOOKUP(BB431&amp;BU431&amp;X431,game_rosters!U:W,3,FALSE),"")</f>
        <v>P100198</v>
      </c>
      <c r="BU431" t="str">
        <f t="shared" si="234"/>
        <v>Velodrome</v>
      </c>
    </row>
    <row r="432" spans="1:73" x14ac:dyDescent="0.2">
      <c r="A432">
        <f t="shared" si="221"/>
        <v>1</v>
      </c>
      <c r="E432" s="4"/>
      <c r="F432" s="43"/>
      <c r="G432" s="4"/>
      <c r="H432" s="46"/>
      <c r="J432" s="44" t="str">
        <f t="shared" si="235"/>
        <v>o</v>
      </c>
      <c r="K432" t="s">
        <v>238</v>
      </c>
      <c r="L432" t="s">
        <v>174</v>
      </c>
      <c r="M432" t="s">
        <v>414</v>
      </c>
      <c r="N432" t="str">
        <f t="shared" si="238"/>
        <v>s</v>
      </c>
      <c r="Q432" t="str">
        <f t="shared" si="236"/>
        <v/>
      </c>
      <c r="S432">
        <v>235</v>
      </c>
      <c r="U432" t="str">
        <f>IF(B432=1,MAX($U$2:$U431)+1,IF(AND($T432&lt;&gt;"",$T432=$T431),$U431,IF(B432="x",U431,"")))</f>
        <v/>
      </c>
      <c r="V432" t="str">
        <f>IF(C432=1,MAX($V$2:$V431)+1,IF(AND($T432&lt;&gt;"",$T432=$T431),$U431,IF(C432="x",V431,"")))</f>
        <v/>
      </c>
      <c r="W432" t="str">
        <f t="shared" si="210"/>
        <v>a</v>
      </c>
      <c r="X432">
        <v>84</v>
      </c>
      <c r="Y432" t="e">
        <f>IF(X432&lt;&gt;"",VLOOKUP(X432,game_rosters!$C$43:$E$64,3,FALSE))</f>
        <v>#N/A</v>
      </c>
      <c r="Z432" cm="1">
        <f t="array" ref="Z432">IFERROR(IF(_xlfn._xlws.FILTER(game_rosters!$J:$J,(game_rosters!$G:$G=events!$AN432)*(game_rosters!$J:$J=events!$X432))&gt;0,1,""),"")</f>
        <v>1</v>
      </c>
      <c r="AA432">
        <f t="shared" si="211"/>
        <v>1235</v>
      </c>
      <c r="AB432" t="str">
        <f t="shared" si="212"/>
        <v/>
      </c>
      <c r="AC432">
        <f t="shared" si="209"/>
        <v>1235</v>
      </c>
      <c r="AD432" s="6">
        <v>1</v>
      </c>
      <c r="AE432" t="s">
        <v>936</v>
      </c>
      <c r="AF432" t="s">
        <v>751</v>
      </c>
      <c r="AG432" t="s">
        <v>756</v>
      </c>
      <c r="AH432" t="s">
        <v>756</v>
      </c>
      <c r="AI432" t="s">
        <v>367</v>
      </c>
      <c r="AJ432" t="str">
        <f t="shared" si="239"/>
        <v>o</v>
      </c>
      <c r="AK432" t="str">
        <f t="shared" si="239"/>
        <v>o</v>
      </c>
      <c r="AL432" t="str">
        <f t="shared" si="214"/>
        <v>d</v>
      </c>
      <c r="AN432" t="s">
        <v>862</v>
      </c>
      <c r="AO432" t="str">
        <f t="shared" si="215"/>
        <v>a</v>
      </c>
      <c r="AP432" t="str">
        <f t="shared" si="222"/>
        <v>d</v>
      </c>
      <c r="AQ432" t="str">
        <f t="shared" si="223"/>
        <v/>
      </c>
      <c r="AR432" t="str">
        <f t="shared" si="224"/>
        <v>Away</v>
      </c>
      <c r="AS432" t="str">
        <f t="shared" si="225"/>
        <v>a</v>
      </c>
      <c r="AT432" t="str">
        <f t="shared" si="226"/>
        <v>Offensive</v>
      </c>
      <c r="BA432" s="6">
        <f t="shared" si="216"/>
        <v>104</v>
      </c>
      <c r="BB432">
        <f t="shared" si="217"/>
        <v>18981</v>
      </c>
      <c r="BC432" t="str">
        <f t="shared" si="218"/>
        <v>Nelson</v>
      </c>
      <c r="BD432" t="str">
        <f t="shared" si="219"/>
        <v>Velodrome</v>
      </c>
      <c r="BE432" t="s">
        <v>238</v>
      </c>
      <c r="BF432" t="s">
        <v>174</v>
      </c>
      <c r="BG432" t="s">
        <v>414</v>
      </c>
      <c r="BI432" cm="1">
        <f t="array" ref="BI432">IFERROR(_xlfn._xlws.FILTER(shifts!A:A,(shifts!B:B=events!AD432)*(shifts!AG:AG&gt;=events!BK432)*(shifts!AH:AH&lt;=events!BL432)),BI431)</f>
        <v>23</v>
      </c>
      <c r="BJ432" s="15">
        <f t="shared" si="220"/>
        <v>0</v>
      </c>
      <c r="BK432">
        <f t="shared" si="227"/>
        <v>529</v>
      </c>
      <c r="BL432">
        <f t="shared" si="228"/>
        <v>529</v>
      </c>
      <c r="BM432" s="15">
        <f>SUMIFS(BJ$2:BJ432,K$2:K432,"=Intermission")+SUMIFS(BJ$2:BJ432,K$2:K432,"=Timeout")</f>
        <v>0</v>
      </c>
      <c r="BN432">
        <f t="shared" si="229"/>
        <v>0</v>
      </c>
      <c r="BO432" s="19">
        <f t="shared" si="230"/>
        <v>551</v>
      </c>
      <c r="BP432">
        <f t="shared" si="231"/>
        <v>546</v>
      </c>
      <c r="BQ432" s="17">
        <f t="shared" si="232"/>
        <v>551</v>
      </c>
      <c r="BR432" t="str">
        <f t="shared" si="233"/>
        <v>event_team_player_1</v>
      </c>
      <c r="BS432">
        <f>COUNTIFS(S$3:S432,"="&amp;S432,AI$3:AI432,"="&amp;AI432)</f>
        <v>1</v>
      </c>
      <c r="BT432" t="str">
        <f>IFERROR(VLOOKUP(BB432&amp;BU432&amp;X432,game_rosters!U:W,3,FALSE),"")</f>
        <v>P100198</v>
      </c>
      <c r="BU432" t="str">
        <f t="shared" si="234"/>
        <v>Velodrome</v>
      </c>
    </row>
    <row r="433" spans="1:73" x14ac:dyDescent="0.2">
      <c r="A433">
        <f t="shared" si="221"/>
        <v>1</v>
      </c>
      <c r="E433" s="4"/>
      <c r="F433" s="43"/>
      <c r="G433" s="4"/>
      <c r="H433" s="46"/>
      <c r="J433" s="44" t="str">
        <f t="shared" si="235"/>
        <v>d</v>
      </c>
      <c r="K433" t="s">
        <v>238</v>
      </c>
      <c r="L433" t="s">
        <v>184</v>
      </c>
      <c r="M433" t="s">
        <v>88</v>
      </c>
      <c r="N433" t="str">
        <f t="shared" si="238"/>
        <v>s</v>
      </c>
      <c r="Q433" t="str">
        <f t="shared" si="236"/>
        <v/>
      </c>
      <c r="S433">
        <v>236</v>
      </c>
      <c r="U433" t="str">
        <f>IF(B433=1,MAX($U$2:$U432)+1,IF(AND($T433&lt;&gt;"",$T433=$T432),$U432,IF(B433="x",U432,"")))</f>
        <v/>
      </c>
      <c r="V433" t="str">
        <f>IF(C433=1,MAX($V$2:$V432)+1,IF(AND($T433&lt;&gt;"",$T433=$T432),$U432,IF(C433="x",V432,"")))</f>
        <v/>
      </c>
      <c r="W433" t="str">
        <f t="shared" si="210"/>
        <v>h</v>
      </c>
      <c r="X433">
        <v>37</v>
      </c>
      <c r="Y433" t="b">
        <f>IF(X433&lt;&gt;"",VLOOKUP(X433,game_rosters!$C$43:$E$64,3,FALSE))</f>
        <v>0</v>
      </c>
      <c r="Z433" cm="1">
        <f t="array" ref="Z433">IFERROR(IF(_xlfn._xlws.FILTER(game_rosters!$J:$J,(game_rosters!$G:$G=events!$AN433)*(game_rosters!$J:$J=events!$X433))&gt;0,1,""),"")</f>
        <v>1</v>
      </c>
      <c r="AA433">
        <f t="shared" si="211"/>
        <v>1236</v>
      </c>
      <c r="AB433" t="str">
        <f t="shared" si="212"/>
        <v/>
      </c>
      <c r="AC433">
        <f t="shared" si="209"/>
        <v>1236</v>
      </c>
      <c r="AD433" s="6">
        <v>1</v>
      </c>
      <c r="AE433" t="s">
        <v>936</v>
      </c>
      <c r="AF433" t="s">
        <v>737</v>
      </c>
      <c r="AG433" t="s">
        <v>936</v>
      </c>
      <c r="AH433" t="s">
        <v>935</v>
      </c>
      <c r="AI433" t="s">
        <v>367</v>
      </c>
      <c r="AJ433" t="str">
        <f t="shared" si="239"/>
        <v>d</v>
      </c>
      <c r="AK433" t="str">
        <f t="shared" si="239"/>
        <v>d</v>
      </c>
      <c r="AL433" t="str">
        <f t="shared" si="214"/>
        <v>d</v>
      </c>
      <c r="AN433" t="s">
        <v>861</v>
      </c>
      <c r="AO433" t="str">
        <f t="shared" si="215"/>
        <v>h</v>
      </c>
      <c r="AP433" t="str">
        <f t="shared" si="222"/>
        <v>d</v>
      </c>
      <c r="AQ433" t="str">
        <f t="shared" si="223"/>
        <v/>
      </c>
      <c r="AR433" t="str">
        <f t="shared" si="224"/>
        <v>Home</v>
      </c>
      <c r="AS433" t="str">
        <f t="shared" si="225"/>
        <v>h</v>
      </c>
      <c r="AT433" t="str">
        <f t="shared" si="226"/>
        <v>Offensive</v>
      </c>
      <c r="BA433" s="6">
        <f t="shared" si="216"/>
        <v>105</v>
      </c>
      <c r="BB433">
        <f t="shared" si="217"/>
        <v>18981</v>
      </c>
      <c r="BC433" t="str">
        <f t="shared" si="218"/>
        <v>Nelson</v>
      </c>
      <c r="BD433" t="str">
        <f t="shared" si="219"/>
        <v>Velodrome</v>
      </c>
      <c r="BE433" t="s">
        <v>238</v>
      </c>
      <c r="BF433" t="s">
        <v>184</v>
      </c>
      <c r="BG433" t="s">
        <v>88</v>
      </c>
      <c r="BI433" cm="1">
        <f t="array" ref="BI433">IFERROR(_xlfn._xlws.FILTER(shifts!A:A,(shifts!B:B=events!AD433)*(shifts!AG:AG&gt;=events!BK433)*(shifts!AH:AH&lt;=events!BL433)),BI432)</f>
        <v>23</v>
      </c>
      <c r="BJ433" s="15">
        <f t="shared" si="220"/>
        <v>1</v>
      </c>
      <c r="BK433">
        <f t="shared" si="227"/>
        <v>526</v>
      </c>
      <c r="BL433">
        <f t="shared" si="228"/>
        <v>525</v>
      </c>
      <c r="BM433" s="15">
        <f>SUMIFS(BJ$2:BJ433,K$2:K433,"=Intermission")+SUMIFS(BJ$2:BJ433,K$2:K433,"=Timeout")</f>
        <v>0</v>
      </c>
      <c r="BN433">
        <f t="shared" si="229"/>
        <v>0</v>
      </c>
      <c r="BO433" s="19">
        <f t="shared" si="230"/>
        <v>554</v>
      </c>
      <c r="BP433">
        <f t="shared" si="231"/>
        <v>549</v>
      </c>
      <c r="BQ433" s="17">
        <f t="shared" si="232"/>
        <v>555</v>
      </c>
      <c r="BR433" t="str">
        <f t="shared" si="233"/>
        <v>event_team_player_1</v>
      </c>
      <c r="BS433">
        <f>COUNTIFS(S$3:S433,"="&amp;S433,AI$3:AI433,"="&amp;AI433)</f>
        <v>1</v>
      </c>
      <c r="BT433" t="str">
        <f>IFERROR(VLOOKUP(BB433&amp;BU433&amp;X433,game_rosters!U:W,3,FALSE),"")</f>
        <v>P100119</v>
      </c>
      <c r="BU433" t="str">
        <f t="shared" si="234"/>
        <v>Nelson</v>
      </c>
    </row>
    <row r="434" spans="1:73" x14ac:dyDescent="0.2">
      <c r="A434">
        <f t="shared" si="221"/>
        <v>1</v>
      </c>
      <c r="E434" s="4"/>
      <c r="F434" s="43"/>
      <c r="G434" s="4"/>
      <c r="H434" s="46"/>
      <c r="J434" s="44" t="str">
        <f t="shared" si="235"/>
        <v/>
      </c>
      <c r="K434" t="s">
        <v>13</v>
      </c>
      <c r="L434" t="s">
        <v>756</v>
      </c>
      <c r="M434" t="s">
        <v>756</v>
      </c>
      <c r="N434" t="str">
        <f t="shared" si="238"/>
        <v/>
      </c>
      <c r="Q434" t="str">
        <f t="shared" si="236"/>
        <v/>
      </c>
      <c r="S434">
        <v>237</v>
      </c>
      <c r="U434" t="str">
        <f>IF(B434=1,MAX($U$2:$U433)+1,IF(AND($T434&lt;&gt;"",$T434=$T433),$U433,IF(B434="x",U433,"")))</f>
        <v/>
      </c>
      <c r="V434" t="str">
        <f>IF(C434=1,MAX($V$2:$V433)+1,IF(AND($T434&lt;&gt;"",$T434=$T433),$U433,IF(C434="x",V433,"")))</f>
        <v/>
      </c>
      <c r="W434" t="str">
        <f t="shared" si="210"/>
        <v>h</v>
      </c>
      <c r="X434">
        <v>37</v>
      </c>
      <c r="Y434" t="b">
        <f>IF(X434&lt;&gt;"",VLOOKUP(X434,game_rosters!$C$43:$E$64,3,FALSE))</f>
        <v>0</v>
      </c>
      <c r="Z434" cm="1">
        <f t="array" ref="Z434">IFERROR(IF(_xlfn._xlws.FILTER(game_rosters!$J:$J,(game_rosters!$G:$G=events!$AN434)*(game_rosters!$J:$J=events!$X434))&gt;0,1,""),"")</f>
        <v>1</v>
      </c>
      <c r="AA434">
        <f t="shared" si="211"/>
        <v>1237</v>
      </c>
      <c r="AB434" t="str">
        <f t="shared" si="212"/>
        <v/>
      </c>
      <c r="AC434">
        <f t="shared" si="209"/>
        <v>1237</v>
      </c>
      <c r="AD434" s="6">
        <v>1</v>
      </c>
      <c r="AE434" t="s">
        <v>936</v>
      </c>
      <c r="AF434" t="s">
        <v>935</v>
      </c>
      <c r="AG434" t="s">
        <v>936</v>
      </c>
      <c r="AH434" t="s">
        <v>901</v>
      </c>
      <c r="AI434" t="s">
        <v>367</v>
      </c>
      <c r="AJ434" t="str">
        <f t="shared" si="239"/>
        <v/>
      </c>
      <c r="AK434" t="str">
        <f t="shared" si="239"/>
        <v/>
      </c>
      <c r="AL434" t="str">
        <f t="shared" si="214"/>
        <v/>
      </c>
      <c r="AN434" t="s">
        <v>861</v>
      </c>
      <c r="AO434" t="str">
        <f t="shared" si="215"/>
        <v>h</v>
      </c>
      <c r="AP434" t="str">
        <f t="shared" si="222"/>
        <v/>
      </c>
      <c r="AQ434" t="str">
        <f t="shared" si="223"/>
        <v/>
      </c>
      <c r="AR434" t="str">
        <f t="shared" si="224"/>
        <v>Home</v>
      </c>
      <c r="AS434" t="str">
        <f t="shared" si="225"/>
        <v>h</v>
      </c>
      <c r="AT434" t="str">
        <f t="shared" si="226"/>
        <v>Offensive</v>
      </c>
      <c r="BA434" s="6">
        <f t="shared" si="216"/>
        <v>105</v>
      </c>
      <c r="BB434">
        <f t="shared" si="217"/>
        <v>18981</v>
      </c>
      <c r="BC434" t="str">
        <f t="shared" si="218"/>
        <v>Nelson</v>
      </c>
      <c r="BD434" t="str">
        <f t="shared" si="219"/>
        <v>Velodrome</v>
      </c>
      <c r="BE434" t="s">
        <v>13</v>
      </c>
      <c r="BF434" t="s">
        <v>756</v>
      </c>
      <c r="BG434" t="s">
        <v>756</v>
      </c>
      <c r="BI434" cm="1">
        <f t="array" ref="BI434">IFERROR(_xlfn._xlws.FILTER(shifts!A:A,(shifts!B:B=events!AD434)*(shifts!AG:AG&gt;=events!BK434)*(shifts!AH:AH&lt;=events!BL434)),BI433)</f>
        <v>23</v>
      </c>
      <c r="BJ434" s="15">
        <f t="shared" si="220"/>
        <v>2</v>
      </c>
      <c r="BK434">
        <f t="shared" si="227"/>
        <v>525</v>
      </c>
      <c r="BL434">
        <f t="shared" si="228"/>
        <v>523</v>
      </c>
      <c r="BM434" s="15">
        <f>SUMIFS(BJ$2:BJ434,K$2:K434,"=Intermission")+SUMIFS(BJ$2:BJ434,K$2:K434,"=Timeout")</f>
        <v>0</v>
      </c>
      <c r="BN434">
        <f t="shared" si="229"/>
        <v>0</v>
      </c>
      <c r="BO434" s="19">
        <f t="shared" si="230"/>
        <v>555</v>
      </c>
      <c r="BP434">
        <f t="shared" si="231"/>
        <v>550</v>
      </c>
      <c r="BQ434" s="17">
        <f t="shared" si="232"/>
        <v>557</v>
      </c>
      <c r="BR434" t="str">
        <f t="shared" si="233"/>
        <v>event_team_player_1</v>
      </c>
      <c r="BS434">
        <f>COUNTIFS(S$3:S434,"="&amp;S434,AI$3:AI434,"="&amp;AI434)</f>
        <v>1</v>
      </c>
      <c r="BT434" t="str">
        <f>IFERROR(VLOOKUP(BB434&amp;BU434&amp;X434,game_rosters!U:W,3,FALSE),"")</f>
        <v>P100119</v>
      </c>
      <c r="BU434" t="str">
        <f t="shared" si="234"/>
        <v>Nelson</v>
      </c>
    </row>
    <row r="435" spans="1:73" x14ac:dyDescent="0.2">
      <c r="A435">
        <f t="shared" si="221"/>
        <v>1</v>
      </c>
      <c r="E435" s="4"/>
      <c r="F435" s="43"/>
      <c r="G435" s="4"/>
      <c r="H435" s="46"/>
      <c r="J435" s="44" t="str">
        <f t="shared" si="235"/>
        <v>o</v>
      </c>
      <c r="K435" t="s">
        <v>238</v>
      </c>
      <c r="L435" t="s">
        <v>174</v>
      </c>
      <c r="M435" t="s">
        <v>85</v>
      </c>
      <c r="N435" t="str">
        <f t="shared" si="238"/>
        <v>s</v>
      </c>
      <c r="Q435" t="str">
        <f t="shared" si="236"/>
        <v/>
      </c>
      <c r="S435">
        <v>238</v>
      </c>
      <c r="U435" t="str">
        <f>IF(B435=1,MAX($U$2:$U434)+1,IF(AND($T435&lt;&gt;"",$T435=$T434),$U434,IF(B435="x",U434,"")))</f>
        <v/>
      </c>
      <c r="V435" t="str">
        <f>IF(C435=1,MAX($V$2:$V434)+1,IF(AND($T435&lt;&gt;"",$T435=$T434),$U434,IF(C435="x",V434,"")))</f>
        <v/>
      </c>
      <c r="W435" t="str">
        <f t="shared" si="210"/>
        <v>h</v>
      </c>
      <c r="X435">
        <v>37</v>
      </c>
      <c r="Y435" t="b">
        <f>IF(X435&lt;&gt;"",VLOOKUP(X435,game_rosters!$C$43:$E$64,3,FALSE))</f>
        <v>0</v>
      </c>
      <c r="Z435" cm="1">
        <f t="array" ref="Z435">IFERROR(IF(_xlfn._xlws.FILTER(game_rosters!$J:$J,(game_rosters!$G:$G=events!$AN435)*(game_rosters!$J:$J=events!$X435))&gt;0,1,""),"")</f>
        <v>1</v>
      </c>
      <c r="AA435">
        <f t="shared" si="211"/>
        <v>1238</v>
      </c>
      <c r="AB435" t="str">
        <f t="shared" si="212"/>
        <v/>
      </c>
      <c r="AC435">
        <f t="shared" si="209"/>
        <v>1238</v>
      </c>
      <c r="AD435" s="6">
        <v>1</v>
      </c>
      <c r="AE435" t="s">
        <v>936</v>
      </c>
      <c r="AF435" t="s">
        <v>901</v>
      </c>
      <c r="AG435" t="s">
        <v>936</v>
      </c>
      <c r="AH435" t="s">
        <v>924</v>
      </c>
      <c r="AI435" t="s">
        <v>367</v>
      </c>
      <c r="AJ435" t="str">
        <f t="shared" si="239"/>
        <v>o</v>
      </c>
      <c r="AK435" t="str">
        <f t="shared" si="239"/>
        <v>o</v>
      </c>
      <c r="AL435" t="str">
        <f t="shared" si="214"/>
        <v>o</v>
      </c>
      <c r="AN435" t="s">
        <v>861</v>
      </c>
      <c r="AO435" t="str">
        <f t="shared" si="215"/>
        <v>h</v>
      </c>
      <c r="AP435" t="str">
        <f t="shared" si="222"/>
        <v>o</v>
      </c>
      <c r="AQ435" t="str">
        <f t="shared" si="223"/>
        <v/>
      </c>
      <c r="AR435" t="str">
        <f t="shared" si="224"/>
        <v>Home</v>
      </c>
      <c r="AS435" t="str">
        <f t="shared" si="225"/>
        <v>h</v>
      </c>
      <c r="AT435" t="str">
        <f t="shared" si="226"/>
        <v>Offensive</v>
      </c>
      <c r="BA435" s="6">
        <f t="shared" si="216"/>
        <v>106</v>
      </c>
      <c r="BB435">
        <f t="shared" si="217"/>
        <v>18981</v>
      </c>
      <c r="BC435" t="str">
        <f t="shared" si="218"/>
        <v>Nelson</v>
      </c>
      <c r="BD435" t="str">
        <f t="shared" si="219"/>
        <v>Velodrome</v>
      </c>
      <c r="BE435" t="s">
        <v>238</v>
      </c>
      <c r="BF435" t="s">
        <v>174</v>
      </c>
      <c r="BG435" t="s">
        <v>85</v>
      </c>
      <c r="BI435" cm="1">
        <f t="array" ref="BI435">IFERROR(_xlfn._xlws.FILTER(shifts!A:A,(shifts!B:B=events!AD435)*(shifts!AG:AG&gt;=events!BK435)*(shifts!AH:AH&lt;=events!BL435)),BI434)</f>
        <v>24</v>
      </c>
      <c r="BJ435" s="15">
        <f t="shared" si="220"/>
        <v>2</v>
      </c>
      <c r="BK435">
        <f t="shared" si="227"/>
        <v>523</v>
      </c>
      <c r="BL435">
        <f t="shared" si="228"/>
        <v>521</v>
      </c>
      <c r="BM435" s="15">
        <f>SUMIFS(BJ$2:BJ435,K$2:K435,"=Intermission")+SUMIFS(BJ$2:BJ435,K$2:K435,"=Timeout")</f>
        <v>0</v>
      </c>
      <c r="BN435">
        <f t="shared" si="229"/>
        <v>0</v>
      </c>
      <c r="BO435" s="19">
        <f t="shared" si="230"/>
        <v>557</v>
      </c>
      <c r="BP435">
        <f t="shared" si="231"/>
        <v>552</v>
      </c>
      <c r="BQ435" s="17">
        <f t="shared" si="232"/>
        <v>559</v>
      </c>
      <c r="BR435" t="str">
        <f t="shared" si="233"/>
        <v>event_team_player_1</v>
      </c>
      <c r="BS435">
        <f>COUNTIFS(S$3:S435,"="&amp;S435,AI$3:AI435,"="&amp;AI435)</f>
        <v>1</v>
      </c>
      <c r="BT435" t="str">
        <f>IFERROR(VLOOKUP(BB435&amp;BU435&amp;X435,game_rosters!U:W,3,FALSE),"")</f>
        <v>P100119</v>
      </c>
      <c r="BU435" t="str">
        <f t="shared" si="234"/>
        <v>Nelson</v>
      </c>
    </row>
    <row r="436" spans="1:73" x14ac:dyDescent="0.2">
      <c r="A436">
        <f t="shared" si="221"/>
        <v>1</v>
      </c>
      <c r="E436" s="4"/>
      <c r="F436" s="43"/>
      <c r="G436" s="4"/>
      <c r="H436" s="46"/>
      <c r="J436" s="44" t="str">
        <f t="shared" si="235"/>
        <v>o</v>
      </c>
      <c r="K436" t="s">
        <v>238</v>
      </c>
      <c r="L436" t="s">
        <v>174</v>
      </c>
      <c r="M436" t="s">
        <v>85</v>
      </c>
      <c r="N436" t="str">
        <f t="shared" si="238"/>
        <v>s</v>
      </c>
      <c r="Q436" t="str">
        <f t="shared" si="236"/>
        <v/>
      </c>
      <c r="S436">
        <v>238</v>
      </c>
      <c r="U436" t="str">
        <f>IF(B436=1,MAX($U$2:$U435)+1,IF(AND($T436&lt;&gt;"",$T436=$T435),$U435,IF(B436="x",U435,"")))</f>
        <v/>
      </c>
      <c r="V436" t="str">
        <f>IF(C436=1,MAX($V$2:$V435)+1,IF(AND($T436&lt;&gt;"",$T436=$T435),$U435,IF(C436="x",V435,"")))</f>
        <v/>
      </c>
      <c r="W436" t="str">
        <f t="shared" si="210"/>
        <v>h</v>
      </c>
      <c r="X436">
        <v>79</v>
      </c>
      <c r="Y436" t="b">
        <f>IF(X436&lt;&gt;"",VLOOKUP(X436,game_rosters!$C$43:$E$64,3,FALSE))</f>
        <v>0</v>
      </c>
      <c r="Z436" cm="1">
        <f t="array" ref="Z436">IFERROR(IF(_xlfn._xlws.FILTER(game_rosters!$J:$J,(game_rosters!$G:$G=events!$AN436)*(game_rosters!$J:$J=events!$X436))&gt;0,1,""),"")</f>
        <v>1</v>
      </c>
      <c r="AA436">
        <f t="shared" si="211"/>
        <v>1238</v>
      </c>
      <c r="AB436" t="str">
        <f t="shared" si="212"/>
        <v/>
      </c>
      <c r="AC436">
        <f t="shared" si="209"/>
        <v>1238</v>
      </c>
      <c r="AD436" s="6">
        <v>1</v>
      </c>
      <c r="AE436" t="s">
        <v>936</v>
      </c>
      <c r="AF436" t="s">
        <v>901</v>
      </c>
      <c r="AG436" t="s">
        <v>936</v>
      </c>
      <c r="AH436" t="s">
        <v>924</v>
      </c>
      <c r="AI436" t="s">
        <v>367</v>
      </c>
      <c r="AJ436" t="str">
        <f t="shared" ref="AJ436:AK451" si="240">IF($J436&lt;&gt;"",$J436,IF($AC436=$AC435,AJ435,""))</f>
        <v>o</v>
      </c>
      <c r="AK436" t="str">
        <f t="shared" si="240"/>
        <v>o</v>
      </c>
      <c r="AL436" t="str">
        <f t="shared" si="214"/>
        <v>o</v>
      </c>
      <c r="AN436" t="s">
        <v>861</v>
      </c>
      <c r="AO436" t="str">
        <f t="shared" si="215"/>
        <v>h</v>
      </c>
      <c r="AP436" t="str">
        <f t="shared" si="222"/>
        <v>o</v>
      </c>
      <c r="AQ436" t="str">
        <f t="shared" si="223"/>
        <v/>
      </c>
      <c r="AR436" t="str">
        <f t="shared" si="224"/>
        <v>Home</v>
      </c>
      <c r="AS436" t="str">
        <f t="shared" si="225"/>
        <v>h</v>
      </c>
      <c r="AT436" t="str">
        <f t="shared" si="226"/>
        <v>Offensive</v>
      </c>
      <c r="BA436" s="6">
        <f t="shared" si="216"/>
        <v>107</v>
      </c>
      <c r="BB436">
        <f t="shared" si="217"/>
        <v>18981</v>
      </c>
      <c r="BC436" t="str">
        <f t="shared" si="218"/>
        <v>Nelson</v>
      </c>
      <c r="BD436" t="str">
        <f t="shared" si="219"/>
        <v>Velodrome</v>
      </c>
      <c r="BE436" t="s">
        <v>238</v>
      </c>
      <c r="BF436" t="s">
        <v>174</v>
      </c>
      <c r="BG436" t="s">
        <v>85</v>
      </c>
      <c r="BI436" cm="1">
        <f t="array" ref="BI436">IFERROR(_xlfn._xlws.FILTER(shifts!A:A,(shifts!B:B=events!AD436)*(shifts!AG:AG&gt;=events!BK436)*(shifts!AH:AH&lt;=events!BL436)),BI435)</f>
        <v>24</v>
      </c>
      <c r="BJ436" s="15">
        <f t="shared" si="220"/>
        <v>2</v>
      </c>
      <c r="BK436">
        <f t="shared" si="227"/>
        <v>523</v>
      </c>
      <c r="BL436">
        <f t="shared" si="228"/>
        <v>521</v>
      </c>
      <c r="BM436" s="15">
        <f>SUMIFS(BJ$2:BJ436,K$2:K436,"=Intermission")+SUMIFS(BJ$2:BJ436,K$2:K436,"=Timeout")</f>
        <v>0</v>
      </c>
      <c r="BN436">
        <f t="shared" si="229"/>
        <v>0</v>
      </c>
      <c r="BO436" s="19">
        <f t="shared" si="230"/>
        <v>557</v>
      </c>
      <c r="BP436">
        <f t="shared" si="231"/>
        <v>552</v>
      </c>
      <c r="BQ436" s="17">
        <f t="shared" si="232"/>
        <v>559</v>
      </c>
      <c r="BR436" t="str">
        <f t="shared" si="233"/>
        <v>event_team_player_2</v>
      </c>
      <c r="BS436">
        <f>COUNTIFS(S$3:S436,"="&amp;S436,AI$3:AI436,"="&amp;AI436)</f>
        <v>2</v>
      </c>
      <c r="BT436" t="str">
        <f>IFERROR(VLOOKUP(BB436&amp;BU436&amp;X436,game_rosters!U:W,3,FALSE),"")</f>
        <v>P100066</v>
      </c>
      <c r="BU436" t="str">
        <f t="shared" si="234"/>
        <v>Nelson</v>
      </c>
    </row>
    <row r="437" spans="1:73" x14ac:dyDescent="0.2">
      <c r="A437">
        <f t="shared" si="221"/>
        <v>1</v>
      </c>
      <c r="E437" s="4"/>
      <c r="F437" s="43"/>
      <c r="G437" s="4"/>
      <c r="H437" s="46"/>
      <c r="J437" s="44" t="str">
        <f t="shared" si="235"/>
        <v>o</v>
      </c>
      <c r="K437" t="s">
        <v>238</v>
      </c>
      <c r="L437" t="s">
        <v>174</v>
      </c>
      <c r="M437" t="s">
        <v>85</v>
      </c>
      <c r="N437" t="str">
        <f t="shared" si="238"/>
        <v>s</v>
      </c>
      <c r="Q437" t="str">
        <f t="shared" si="236"/>
        <v/>
      </c>
      <c r="S437">
        <v>238</v>
      </c>
      <c r="U437" t="str">
        <f>IF(B437=1,MAX($U$2:$U436)+1,IF(AND($T437&lt;&gt;"",$T437=$T436),$U436,IF(B437="x",U436,"")))</f>
        <v/>
      </c>
      <c r="V437" t="str">
        <f>IF(C437=1,MAX($V$2:$V436)+1,IF(AND($T437&lt;&gt;"",$T437=$T436),$U436,IF(C437="x",V436,"")))</f>
        <v/>
      </c>
      <c r="W437" t="str">
        <f t="shared" si="210"/>
        <v>h</v>
      </c>
      <c r="X437">
        <v>91</v>
      </c>
      <c r="Y437" t="e">
        <f>IF(X437&lt;&gt;"",VLOOKUP(X437,game_rosters!$C$43:$E$64,3,FALSE))</f>
        <v>#N/A</v>
      </c>
      <c r="Z437" t="str" cm="1">
        <f t="array" ref="Z437">IFERROR(IF(_xlfn._xlws.FILTER(game_rosters!$J:$J,(game_rosters!$G:$G=events!$AN437)*(game_rosters!$J:$J=events!$X437))&gt;0,1,""),"")</f>
        <v/>
      </c>
      <c r="AA437">
        <f t="shared" si="211"/>
        <v>1238</v>
      </c>
      <c r="AB437" t="str">
        <f t="shared" si="212"/>
        <v/>
      </c>
      <c r="AC437">
        <f t="shared" si="209"/>
        <v>1238</v>
      </c>
      <c r="AD437" s="6">
        <v>1</v>
      </c>
      <c r="AE437" t="s">
        <v>936</v>
      </c>
      <c r="AF437" t="s">
        <v>901</v>
      </c>
      <c r="AG437" t="s">
        <v>936</v>
      </c>
      <c r="AH437" t="s">
        <v>924</v>
      </c>
      <c r="AI437" t="s">
        <v>368</v>
      </c>
      <c r="AJ437" t="str">
        <f t="shared" si="240"/>
        <v>o</v>
      </c>
      <c r="AK437" t="str">
        <f t="shared" si="240"/>
        <v>o</v>
      </c>
      <c r="AL437" t="str">
        <f t="shared" si="214"/>
        <v>o</v>
      </c>
      <c r="AN437" t="s">
        <v>861</v>
      </c>
      <c r="AO437" t="str">
        <f t="shared" si="215"/>
        <v>h</v>
      </c>
      <c r="AP437" t="str">
        <f t="shared" si="222"/>
        <v>o</v>
      </c>
      <c r="AQ437" t="str">
        <f t="shared" si="223"/>
        <v/>
      </c>
      <c r="AR437" t="str">
        <f t="shared" si="224"/>
        <v>Home</v>
      </c>
      <c r="AS437" t="str">
        <f t="shared" si="225"/>
        <v>h</v>
      </c>
      <c r="AT437" t="str">
        <f t="shared" si="226"/>
        <v>Defensive</v>
      </c>
      <c r="BA437" s="6">
        <f t="shared" si="216"/>
        <v>108</v>
      </c>
      <c r="BB437">
        <f t="shared" si="217"/>
        <v>18981</v>
      </c>
      <c r="BC437" t="str">
        <f t="shared" si="218"/>
        <v>Nelson</v>
      </c>
      <c r="BD437" t="str">
        <f t="shared" si="219"/>
        <v>Velodrome</v>
      </c>
      <c r="BE437" t="s">
        <v>238</v>
      </c>
      <c r="BF437" t="s">
        <v>174</v>
      </c>
      <c r="BG437" t="s">
        <v>85</v>
      </c>
      <c r="BI437" cm="1">
        <f t="array" ref="BI437">IFERROR(_xlfn._xlws.FILTER(shifts!A:A,(shifts!B:B=events!AD437)*(shifts!AG:AG&gt;=events!BK437)*(shifts!AH:AH&lt;=events!BL437)),BI436)</f>
        <v>24</v>
      </c>
      <c r="BJ437" s="15">
        <f t="shared" si="220"/>
        <v>2</v>
      </c>
      <c r="BK437">
        <f t="shared" si="227"/>
        <v>523</v>
      </c>
      <c r="BL437">
        <f t="shared" si="228"/>
        <v>521</v>
      </c>
      <c r="BM437" s="15">
        <f>SUMIFS(BJ$2:BJ437,K$2:K437,"=Intermission")+SUMIFS(BJ$2:BJ437,K$2:K437,"=Timeout")</f>
        <v>0</v>
      </c>
      <c r="BN437">
        <f t="shared" si="229"/>
        <v>0</v>
      </c>
      <c r="BO437" s="19">
        <f t="shared" si="230"/>
        <v>557</v>
      </c>
      <c r="BP437">
        <f t="shared" si="231"/>
        <v>552</v>
      </c>
      <c r="BQ437" s="17">
        <f t="shared" si="232"/>
        <v>559</v>
      </c>
      <c r="BR437" t="str">
        <f t="shared" si="233"/>
        <v>opp_team_player_1</v>
      </c>
      <c r="BS437">
        <f>COUNTIFS(S$3:S437,"="&amp;S437,AI$3:AI437,"="&amp;AI437)</f>
        <v>1</v>
      </c>
      <c r="BT437" t="str">
        <f>IFERROR(VLOOKUP(BB437&amp;BU437&amp;X437,game_rosters!U:W,3,FALSE),"")</f>
        <v>P100002</v>
      </c>
      <c r="BU437" t="str">
        <f t="shared" si="234"/>
        <v>Velodrome</v>
      </c>
    </row>
    <row r="438" spans="1:73" x14ac:dyDescent="0.2">
      <c r="A438">
        <f t="shared" si="221"/>
        <v>1</v>
      </c>
      <c r="E438" s="4"/>
      <c r="F438" s="43"/>
      <c r="G438" s="4"/>
      <c r="H438" s="46"/>
      <c r="J438" s="44" t="str">
        <f t="shared" si="235"/>
        <v>o</v>
      </c>
      <c r="K438" t="s">
        <v>238</v>
      </c>
      <c r="L438" t="s">
        <v>174</v>
      </c>
      <c r="M438" t="s">
        <v>85</v>
      </c>
      <c r="N438" t="str">
        <f t="shared" si="238"/>
        <v>s</v>
      </c>
      <c r="Q438" t="str">
        <f t="shared" si="236"/>
        <v/>
      </c>
      <c r="S438">
        <v>238</v>
      </c>
      <c r="U438" t="str">
        <f>IF(B438=1,MAX($U$2:$U437)+1,IF(AND($T438&lt;&gt;"",$T438=$T437),$U437,IF(B438="x",U437,"")))</f>
        <v/>
      </c>
      <c r="V438" t="str">
        <f>IF(C438=1,MAX($V$2:$V437)+1,IF(AND($T438&lt;&gt;"",$T438=$T437),$U437,IF(C438="x",V437,"")))</f>
        <v/>
      </c>
      <c r="W438" t="str">
        <f t="shared" si="210"/>
        <v>h</v>
      </c>
      <c r="X438">
        <v>84</v>
      </c>
      <c r="Y438" t="e">
        <f>IF(X438&lt;&gt;"",VLOOKUP(X438,game_rosters!$C$43:$E$64,3,FALSE))</f>
        <v>#N/A</v>
      </c>
      <c r="Z438" t="str" cm="1">
        <f t="array" ref="Z438">IFERROR(IF(_xlfn._xlws.FILTER(game_rosters!$J:$J,(game_rosters!$G:$G=events!$AN438)*(game_rosters!$J:$J=events!$X438))&gt;0,1,""),"")</f>
        <v/>
      </c>
      <c r="AA438">
        <f t="shared" si="211"/>
        <v>1238</v>
      </c>
      <c r="AB438" t="str">
        <f t="shared" si="212"/>
        <v/>
      </c>
      <c r="AC438">
        <f t="shared" si="209"/>
        <v>1238</v>
      </c>
      <c r="AD438" s="6">
        <v>1</v>
      </c>
      <c r="AE438" t="s">
        <v>936</v>
      </c>
      <c r="AF438" t="s">
        <v>901</v>
      </c>
      <c r="AG438" t="s">
        <v>936</v>
      </c>
      <c r="AH438" t="s">
        <v>924</v>
      </c>
      <c r="AI438" t="s">
        <v>368</v>
      </c>
      <c r="AJ438" t="str">
        <f t="shared" si="240"/>
        <v>o</v>
      </c>
      <c r="AK438" t="str">
        <f t="shared" si="240"/>
        <v>o</v>
      </c>
      <c r="AL438" t="str">
        <f t="shared" si="214"/>
        <v>o</v>
      </c>
      <c r="AN438" t="s">
        <v>861</v>
      </c>
      <c r="AO438" t="str">
        <f t="shared" si="215"/>
        <v>h</v>
      </c>
      <c r="AP438" t="str">
        <f t="shared" si="222"/>
        <v>o</v>
      </c>
      <c r="AQ438" t="str">
        <f t="shared" si="223"/>
        <v/>
      </c>
      <c r="AR438" t="str">
        <f t="shared" si="224"/>
        <v>Home</v>
      </c>
      <c r="AS438" t="str">
        <f t="shared" si="225"/>
        <v>h</v>
      </c>
      <c r="AT438" t="str">
        <f t="shared" si="226"/>
        <v>Defensive</v>
      </c>
      <c r="BA438" s="6">
        <f t="shared" si="216"/>
        <v>109</v>
      </c>
      <c r="BB438">
        <f t="shared" si="217"/>
        <v>18981</v>
      </c>
      <c r="BC438" t="str">
        <f t="shared" si="218"/>
        <v>Nelson</v>
      </c>
      <c r="BD438" t="str">
        <f t="shared" si="219"/>
        <v>Velodrome</v>
      </c>
      <c r="BE438" t="s">
        <v>238</v>
      </c>
      <c r="BF438" t="s">
        <v>174</v>
      </c>
      <c r="BG438" t="s">
        <v>85</v>
      </c>
      <c r="BI438" cm="1">
        <f t="array" ref="BI438">IFERROR(_xlfn._xlws.FILTER(shifts!A:A,(shifts!B:B=events!AD438)*(shifts!AG:AG&gt;=events!BK438)*(shifts!AH:AH&lt;=events!BL438)),BI437)</f>
        <v>24</v>
      </c>
      <c r="BJ438" s="15">
        <f t="shared" si="220"/>
        <v>2</v>
      </c>
      <c r="BK438">
        <f t="shared" si="227"/>
        <v>523</v>
      </c>
      <c r="BL438">
        <f t="shared" si="228"/>
        <v>521</v>
      </c>
      <c r="BM438" s="15">
        <f>SUMIFS(BJ$2:BJ438,K$2:K438,"=Intermission")+SUMIFS(BJ$2:BJ438,K$2:K438,"=Timeout")</f>
        <v>0</v>
      </c>
      <c r="BN438">
        <f t="shared" si="229"/>
        <v>0</v>
      </c>
      <c r="BO438" s="19">
        <f t="shared" si="230"/>
        <v>557</v>
      </c>
      <c r="BP438">
        <f t="shared" si="231"/>
        <v>552</v>
      </c>
      <c r="BQ438" s="17">
        <f t="shared" si="232"/>
        <v>559</v>
      </c>
      <c r="BR438" t="str">
        <f t="shared" si="233"/>
        <v>opp_team_player_2</v>
      </c>
      <c r="BS438">
        <f>COUNTIFS(S$3:S438,"="&amp;S438,AI$3:AI438,"="&amp;AI438)</f>
        <v>2</v>
      </c>
      <c r="BT438" t="str">
        <f>IFERROR(VLOOKUP(BB438&amp;BU438&amp;X438,game_rosters!U:W,3,FALSE),"")</f>
        <v>P100198</v>
      </c>
      <c r="BU438" t="str">
        <f t="shared" si="234"/>
        <v>Velodrome</v>
      </c>
    </row>
    <row r="439" spans="1:73" x14ac:dyDescent="0.2">
      <c r="A439">
        <f t="shared" si="221"/>
        <v>1</v>
      </c>
      <c r="E439" s="4"/>
      <c r="F439" s="43"/>
      <c r="G439" s="4"/>
      <c r="H439" s="46"/>
      <c r="J439" s="44" t="str">
        <f t="shared" si="235"/>
        <v>o</v>
      </c>
      <c r="K439" t="s">
        <v>238</v>
      </c>
      <c r="L439" t="s">
        <v>174</v>
      </c>
      <c r="M439" t="s">
        <v>85</v>
      </c>
      <c r="N439" t="str">
        <f t="shared" si="238"/>
        <v>s</v>
      </c>
      <c r="Q439" t="str">
        <f t="shared" si="236"/>
        <v/>
      </c>
      <c r="S439">
        <v>238</v>
      </c>
      <c r="U439" t="str">
        <f>IF(B439=1,MAX($U$2:$U438)+1,IF(AND($T439&lt;&gt;"",$T439=$T438),$U438,IF(B439="x",U438,"")))</f>
        <v/>
      </c>
      <c r="V439" t="str">
        <f>IF(C439=1,MAX($V$2:$V438)+1,IF(AND($T439&lt;&gt;"",$T439=$T438),$U438,IF(C439="x",V438,"")))</f>
        <v/>
      </c>
      <c r="W439" t="str">
        <f t="shared" si="210"/>
        <v>h</v>
      </c>
      <c r="X439">
        <v>93</v>
      </c>
      <c r="Y439" t="e">
        <f>IF(X439&lt;&gt;"",VLOOKUP(X439,game_rosters!$C$43:$E$64,3,FALSE))</f>
        <v>#N/A</v>
      </c>
      <c r="Z439" t="str" cm="1">
        <f t="array" ref="Z439">IFERROR(IF(_xlfn._xlws.FILTER(game_rosters!$J:$J,(game_rosters!$G:$G=events!$AN439)*(game_rosters!$J:$J=events!$X439))&gt;0,1,""),"")</f>
        <v/>
      </c>
      <c r="AA439">
        <f t="shared" si="211"/>
        <v>1238</v>
      </c>
      <c r="AB439" t="str">
        <f t="shared" si="212"/>
        <v/>
      </c>
      <c r="AC439">
        <f t="shared" si="209"/>
        <v>1238</v>
      </c>
      <c r="AD439" s="6">
        <v>1</v>
      </c>
      <c r="AE439" t="s">
        <v>936</v>
      </c>
      <c r="AF439" t="s">
        <v>901</v>
      </c>
      <c r="AG439" t="s">
        <v>936</v>
      </c>
      <c r="AH439" t="s">
        <v>924</v>
      </c>
      <c r="AI439" t="s">
        <v>368</v>
      </c>
      <c r="AJ439" t="str">
        <f t="shared" si="240"/>
        <v>o</v>
      </c>
      <c r="AK439" t="str">
        <f t="shared" si="240"/>
        <v>o</v>
      </c>
      <c r="AL439" t="str">
        <f t="shared" si="214"/>
        <v>o</v>
      </c>
      <c r="AN439" t="s">
        <v>861</v>
      </c>
      <c r="AO439" t="str">
        <f t="shared" si="215"/>
        <v>h</v>
      </c>
      <c r="AP439" t="str">
        <f t="shared" si="222"/>
        <v>o</v>
      </c>
      <c r="AQ439" t="str">
        <f t="shared" si="223"/>
        <v/>
      </c>
      <c r="AR439" t="str">
        <f t="shared" si="224"/>
        <v>Home</v>
      </c>
      <c r="AS439" t="str">
        <f t="shared" si="225"/>
        <v>h</v>
      </c>
      <c r="AT439" t="str">
        <f t="shared" si="226"/>
        <v>Defensive</v>
      </c>
      <c r="BA439" s="6">
        <f t="shared" si="216"/>
        <v>110</v>
      </c>
      <c r="BB439">
        <f t="shared" si="217"/>
        <v>18981</v>
      </c>
      <c r="BC439" t="str">
        <f t="shared" si="218"/>
        <v>Nelson</v>
      </c>
      <c r="BD439" t="str">
        <f t="shared" si="219"/>
        <v>Velodrome</v>
      </c>
      <c r="BE439" t="s">
        <v>238</v>
      </c>
      <c r="BF439" t="s">
        <v>174</v>
      </c>
      <c r="BG439" t="s">
        <v>85</v>
      </c>
      <c r="BI439" cm="1">
        <f t="array" ref="BI439">IFERROR(_xlfn._xlws.FILTER(shifts!A:A,(shifts!B:B=events!AD439)*(shifts!AG:AG&gt;=events!BK439)*(shifts!AH:AH&lt;=events!BL439)),BI438)</f>
        <v>24</v>
      </c>
      <c r="BJ439" s="15">
        <f t="shared" si="220"/>
        <v>2</v>
      </c>
      <c r="BK439">
        <f t="shared" si="227"/>
        <v>523</v>
      </c>
      <c r="BL439">
        <f t="shared" si="228"/>
        <v>521</v>
      </c>
      <c r="BM439" s="15">
        <f>SUMIFS(BJ$2:BJ439,K$2:K439,"=Intermission")+SUMIFS(BJ$2:BJ439,K$2:K439,"=Timeout")</f>
        <v>0</v>
      </c>
      <c r="BN439">
        <f t="shared" si="229"/>
        <v>0</v>
      </c>
      <c r="BO439" s="19">
        <f t="shared" si="230"/>
        <v>557</v>
      </c>
      <c r="BP439">
        <f t="shared" si="231"/>
        <v>552</v>
      </c>
      <c r="BQ439" s="17">
        <f t="shared" si="232"/>
        <v>559</v>
      </c>
      <c r="BR439" t="str">
        <f t="shared" si="233"/>
        <v>opp_team_player_3</v>
      </c>
      <c r="BS439">
        <f>COUNTIFS(S$3:S439,"="&amp;S439,AI$3:AI439,"="&amp;AI439)</f>
        <v>3</v>
      </c>
      <c r="BT439" t="str">
        <f>IFERROR(VLOOKUP(BB439&amp;BU439&amp;X439,game_rosters!U:W,3,FALSE),"")</f>
        <v>P100093</v>
      </c>
      <c r="BU439" t="str">
        <f t="shared" si="234"/>
        <v>Velodrome</v>
      </c>
    </row>
    <row r="440" spans="1:73" x14ac:dyDescent="0.2">
      <c r="A440">
        <f t="shared" si="221"/>
        <v>1</v>
      </c>
      <c r="E440" s="4"/>
      <c r="F440" s="43"/>
      <c r="G440" s="4"/>
      <c r="H440" s="46"/>
      <c r="J440" s="44" t="str">
        <f t="shared" si="235"/>
        <v>o</v>
      </c>
      <c r="K440" t="s">
        <v>6</v>
      </c>
      <c r="L440" t="s">
        <v>205</v>
      </c>
      <c r="M440" t="s">
        <v>51</v>
      </c>
      <c r="N440" t="str">
        <f t="shared" si="238"/>
        <v>s</v>
      </c>
      <c r="Q440" t="str">
        <f t="shared" si="236"/>
        <v/>
      </c>
      <c r="S440">
        <v>239</v>
      </c>
      <c r="U440" t="str">
        <f>IF(B440=1,MAX($U$2:$U439)+1,IF(AND($T440&lt;&gt;"",$T440=$T439),$U439,IF(B440="x",U439,"")))</f>
        <v/>
      </c>
      <c r="V440" t="str">
        <f>IF(C440=1,MAX($V$2:$V439)+1,IF(AND($T440&lt;&gt;"",$T440=$T439),$U439,IF(C440="x",V439,"")))</f>
        <v/>
      </c>
      <c r="W440" t="str">
        <f t="shared" si="210"/>
        <v>h</v>
      </c>
      <c r="X440">
        <v>37</v>
      </c>
      <c r="Y440" t="b">
        <f>IF(X440&lt;&gt;"",VLOOKUP(X440,game_rosters!$C$43:$E$64,3,FALSE))</f>
        <v>0</v>
      </c>
      <c r="Z440" cm="1">
        <f t="array" ref="Z440">IFERROR(IF(_xlfn._xlws.FILTER(game_rosters!$J:$J,(game_rosters!$G:$G=events!$AN440)*(game_rosters!$J:$J=events!$X440))&gt;0,1,""),"")</f>
        <v>1</v>
      </c>
      <c r="AA440">
        <f t="shared" si="211"/>
        <v>1239</v>
      </c>
      <c r="AB440" t="str">
        <f t="shared" si="212"/>
        <v/>
      </c>
      <c r="AC440">
        <f t="shared" si="209"/>
        <v>1239</v>
      </c>
      <c r="AD440" s="6">
        <v>1</v>
      </c>
      <c r="AE440" t="s">
        <v>936</v>
      </c>
      <c r="AF440" t="s">
        <v>924</v>
      </c>
      <c r="AG440" t="s">
        <v>756</v>
      </c>
      <c r="AH440" t="s">
        <v>756</v>
      </c>
      <c r="AI440" t="s">
        <v>367</v>
      </c>
      <c r="AJ440" t="str">
        <f t="shared" si="240"/>
        <v>o</v>
      </c>
      <c r="AK440" t="str">
        <f t="shared" si="240"/>
        <v>o</v>
      </c>
      <c r="AL440" t="str">
        <f t="shared" si="214"/>
        <v>o</v>
      </c>
      <c r="AN440" t="s">
        <v>861</v>
      </c>
      <c r="AO440" t="str">
        <f t="shared" si="215"/>
        <v>h</v>
      </c>
      <c r="AP440" t="str">
        <f t="shared" si="222"/>
        <v>o</v>
      </c>
      <c r="AQ440" t="str">
        <f t="shared" si="223"/>
        <v/>
      </c>
      <c r="AR440" t="str">
        <f t="shared" si="224"/>
        <v>Home</v>
      </c>
      <c r="AS440" t="str">
        <f t="shared" si="225"/>
        <v>h</v>
      </c>
      <c r="AT440" t="str">
        <f t="shared" si="226"/>
        <v>Offensive</v>
      </c>
      <c r="BA440" s="6">
        <f t="shared" si="216"/>
        <v>110</v>
      </c>
      <c r="BB440">
        <f t="shared" si="217"/>
        <v>18981</v>
      </c>
      <c r="BC440" t="str">
        <f t="shared" si="218"/>
        <v>Nelson</v>
      </c>
      <c r="BD440" t="str">
        <f t="shared" si="219"/>
        <v>Velodrome</v>
      </c>
      <c r="BE440" t="s">
        <v>6</v>
      </c>
      <c r="BF440" t="s">
        <v>205</v>
      </c>
      <c r="BG440" t="s">
        <v>51</v>
      </c>
      <c r="BI440" cm="1">
        <f t="array" ref="BI440">IFERROR(_xlfn._xlws.FILTER(shifts!A:A,(shifts!B:B=events!AD440)*(shifts!AG:AG&gt;=events!BK440)*(shifts!AH:AH&lt;=events!BL440)),BI439)</f>
        <v>24</v>
      </c>
      <c r="BJ440" s="15">
        <f t="shared" si="220"/>
        <v>0</v>
      </c>
      <c r="BK440">
        <f t="shared" si="227"/>
        <v>521</v>
      </c>
      <c r="BL440">
        <f t="shared" si="228"/>
        <v>521</v>
      </c>
      <c r="BM440" s="15">
        <f>SUMIFS(BJ$2:BJ440,K$2:K440,"=Intermission")+SUMIFS(BJ$2:BJ440,K$2:K440,"=Timeout")</f>
        <v>0</v>
      </c>
      <c r="BN440">
        <f t="shared" si="229"/>
        <v>0</v>
      </c>
      <c r="BO440" s="19">
        <f t="shared" si="230"/>
        <v>559</v>
      </c>
      <c r="BP440">
        <f t="shared" si="231"/>
        <v>554</v>
      </c>
      <c r="BQ440" s="17">
        <f t="shared" si="232"/>
        <v>559</v>
      </c>
      <c r="BR440" t="str">
        <f t="shared" si="233"/>
        <v>event_team_player_1</v>
      </c>
      <c r="BS440">
        <f>COUNTIFS(S$3:S440,"="&amp;S440,AI$3:AI440,"="&amp;AI440)</f>
        <v>1</v>
      </c>
      <c r="BT440" t="str">
        <f>IFERROR(VLOOKUP(BB440&amp;BU440&amp;X440,game_rosters!U:W,3,FALSE),"")</f>
        <v>P100119</v>
      </c>
      <c r="BU440" t="str">
        <f t="shared" si="234"/>
        <v>Nelson</v>
      </c>
    </row>
    <row r="441" spans="1:73" x14ac:dyDescent="0.2">
      <c r="A441">
        <f t="shared" si="221"/>
        <v>1</v>
      </c>
      <c r="E441" s="4"/>
      <c r="F441" s="43"/>
      <c r="G441" s="4"/>
      <c r="H441" s="46"/>
      <c r="J441" s="44" t="str">
        <f t="shared" si="235"/>
        <v>o</v>
      </c>
      <c r="K441" t="s">
        <v>6</v>
      </c>
      <c r="L441" t="s">
        <v>205</v>
      </c>
      <c r="M441" t="s">
        <v>51</v>
      </c>
      <c r="N441" t="str">
        <f t="shared" si="238"/>
        <v>s</v>
      </c>
      <c r="Q441" t="str">
        <f t="shared" si="236"/>
        <v/>
      </c>
      <c r="S441">
        <v>239</v>
      </c>
      <c r="U441" t="str">
        <f>IF(B441=1,MAX($U$2:$U440)+1,IF(AND($T441&lt;&gt;"",$T441=$T440),$U440,IF(B441="x",U440,"")))</f>
        <v/>
      </c>
      <c r="V441" t="str">
        <f>IF(C441=1,MAX($V$2:$V440)+1,IF(AND($T441&lt;&gt;"",$T441=$T440),$U440,IF(C441="x",V440,"")))</f>
        <v/>
      </c>
      <c r="W441" t="str">
        <f t="shared" si="210"/>
        <v>h</v>
      </c>
      <c r="X441">
        <v>39</v>
      </c>
      <c r="Y441" t="e">
        <f>IF(X441&lt;&gt;"",VLOOKUP(X441,game_rosters!$C$43:$E$64,3,FALSE))</f>
        <v>#N/A</v>
      </c>
      <c r="Z441" t="str" cm="1">
        <f t="array" ref="Z441">IFERROR(IF(_xlfn._xlws.FILTER(game_rosters!$J:$J,(game_rosters!$G:$G=events!$AN441)*(game_rosters!$J:$J=events!$X441))&gt;0,1,""),"")</f>
        <v/>
      </c>
      <c r="AA441">
        <f t="shared" si="211"/>
        <v>1239</v>
      </c>
      <c r="AB441" t="str">
        <f t="shared" si="212"/>
        <v/>
      </c>
      <c r="AC441">
        <f t="shared" si="209"/>
        <v>1239</v>
      </c>
      <c r="AD441" s="6">
        <v>1</v>
      </c>
      <c r="AE441" t="s">
        <v>936</v>
      </c>
      <c r="AF441" t="s">
        <v>924</v>
      </c>
      <c r="AG441" t="s">
        <v>756</v>
      </c>
      <c r="AH441" t="s">
        <v>756</v>
      </c>
      <c r="AI441" t="s">
        <v>368</v>
      </c>
      <c r="AJ441" t="str">
        <f t="shared" si="240"/>
        <v>o</v>
      </c>
      <c r="AK441" t="str">
        <f t="shared" si="240"/>
        <v>o</v>
      </c>
      <c r="AL441" t="str">
        <f t="shared" si="214"/>
        <v>o</v>
      </c>
      <c r="AN441" t="s">
        <v>861</v>
      </c>
      <c r="AO441" t="str">
        <f t="shared" si="215"/>
        <v>h</v>
      </c>
      <c r="AP441" t="str">
        <f t="shared" si="222"/>
        <v>o</v>
      </c>
      <c r="AQ441" t="str">
        <f t="shared" si="223"/>
        <v/>
      </c>
      <c r="AR441" t="str">
        <f t="shared" si="224"/>
        <v>Home</v>
      </c>
      <c r="AS441" t="str">
        <f t="shared" si="225"/>
        <v>h</v>
      </c>
      <c r="AT441" t="str">
        <f t="shared" si="226"/>
        <v>Defensive</v>
      </c>
      <c r="BA441" s="6">
        <f t="shared" si="216"/>
        <v>110</v>
      </c>
      <c r="BB441">
        <f t="shared" si="217"/>
        <v>18981</v>
      </c>
      <c r="BC441" t="str">
        <f t="shared" si="218"/>
        <v>Nelson</v>
      </c>
      <c r="BD441" t="str">
        <f t="shared" si="219"/>
        <v>Velodrome</v>
      </c>
      <c r="BE441" t="s">
        <v>6</v>
      </c>
      <c r="BF441" t="s">
        <v>205</v>
      </c>
      <c r="BG441" t="s">
        <v>51</v>
      </c>
      <c r="BI441" cm="1">
        <f t="array" ref="BI441">IFERROR(_xlfn._xlws.FILTER(shifts!A:A,(shifts!B:B=events!AD441)*(shifts!AG:AG&gt;=events!BK441)*(shifts!AH:AH&lt;=events!BL441)),BI440)</f>
        <v>24</v>
      </c>
      <c r="BJ441" s="15">
        <f t="shared" si="220"/>
        <v>0</v>
      </c>
      <c r="BK441">
        <f t="shared" si="227"/>
        <v>521</v>
      </c>
      <c r="BL441">
        <f t="shared" si="228"/>
        <v>521</v>
      </c>
      <c r="BM441" s="15">
        <f>SUMIFS(BJ$2:BJ441,K$2:K441,"=Intermission")+SUMIFS(BJ$2:BJ441,K$2:K441,"=Timeout")</f>
        <v>0</v>
      </c>
      <c r="BN441">
        <f t="shared" si="229"/>
        <v>0</v>
      </c>
      <c r="BO441" s="19">
        <f t="shared" si="230"/>
        <v>559</v>
      </c>
      <c r="BP441">
        <f t="shared" si="231"/>
        <v>554</v>
      </c>
      <c r="BQ441" s="17">
        <f t="shared" si="232"/>
        <v>559</v>
      </c>
      <c r="BR441" t="str">
        <f t="shared" si="233"/>
        <v>opp_team_player_1</v>
      </c>
      <c r="BS441">
        <f>COUNTIFS(S$3:S441,"="&amp;S441,AI$3:AI441,"="&amp;AI441)</f>
        <v>1</v>
      </c>
      <c r="BT441" t="str">
        <f>IFERROR(VLOOKUP(BB441&amp;BU441&amp;X441,game_rosters!U:W,3,FALSE),"")</f>
        <v>P100016</v>
      </c>
      <c r="BU441" t="str">
        <f t="shared" si="234"/>
        <v>Velodrome</v>
      </c>
    </row>
    <row r="442" spans="1:73" x14ac:dyDescent="0.2">
      <c r="A442">
        <f t="shared" si="221"/>
        <v>1</v>
      </c>
      <c r="E442" s="4"/>
      <c r="F442" s="43"/>
      <c r="G442" s="4"/>
      <c r="H442" s="46"/>
      <c r="J442" s="44" t="str">
        <f t="shared" si="235"/>
        <v>o</v>
      </c>
      <c r="K442" t="s">
        <v>6</v>
      </c>
      <c r="L442" t="s">
        <v>205</v>
      </c>
      <c r="M442" t="s">
        <v>51</v>
      </c>
      <c r="N442" t="str">
        <f t="shared" si="238"/>
        <v>s</v>
      </c>
      <c r="Q442" t="str">
        <f t="shared" si="236"/>
        <v/>
      </c>
      <c r="S442">
        <v>239</v>
      </c>
      <c r="U442" t="str">
        <f>IF(B442=1,MAX($U$2:$U441)+1,IF(AND($T442&lt;&gt;"",$T442=$T441),$U441,IF(B442="x",U441,"")))</f>
        <v/>
      </c>
      <c r="V442" t="str">
        <f>IF(C442=1,MAX($V$2:$V441)+1,IF(AND($T442&lt;&gt;"",$T442=$T441),$U441,IF(C442="x",V441,"")))</f>
        <v/>
      </c>
      <c r="W442" t="str">
        <f t="shared" si="210"/>
        <v>h</v>
      </c>
      <c r="X442">
        <v>93</v>
      </c>
      <c r="Y442" t="e">
        <f>IF(X442&lt;&gt;"",VLOOKUP(X442,game_rosters!$C$43:$E$64,3,FALSE))</f>
        <v>#N/A</v>
      </c>
      <c r="Z442" t="str" cm="1">
        <f t="array" ref="Z442">IFERROR(IF(_xlfn._xlws.FILTER(game_rosters!$J:$J,(game_rosters!$G:$G=events!$AN442)*(game_rosters!$J:$J=events!$X442))&gt;0,1,""),"")</f>
        <v/>
      </c>
      <c r="AA442">
        <f t="shared" si="211"/>
        <v>1239</v>
      </c>
      <c r="AB442" t="str">
        <f t="shared" si="212"/>
        <v/>
      </c>
      <c r="AC442">
        <f t="shared" si="209"/>
        <v>1239</v>
      </c>
      <c r="AD442" s="6">
        <v>1</v>
      </c>
      <c r="AE442" t="s">
        <v>936</v>
      </c>
      <c r="AF442" t="s">
        <v>924</v>
      </c>
      <c r="AG442" t="s">
        <v>756</v>
      </c>
      <c r="AH442" t="s">
        <v>756</v>
      </c>
      <c r="AI442" t="s">
        <v>368</v>
      </c>
      <c r="AJ442" t="str">
        <f t="shared" si="240"/>
        <v>o</v>
      </c>
      <c r="AK442" t="str">
        <f t="shared" si="240"/>
        <v>o</v>
      </c>
      <c r="AL442" t="str">
        <f t="shared" si="214"/>
        <v>o</v>
      </c>
      <c r="AN442" t="s">
        <v>861</v>
      </c>
      <c r="AO442" t="str">
        <f t="shared" si="215"/>
        <v>h</v>
      </c>
      <c r="AP442" t="str">
        <f t="shared" si="222"/>
        <v>o</v>
      </c>
      <c r="AQ442" t="str">
        <f t="shared" si="223"/>
        <v/>
      </c>
      <c r="AR442" t="str">
        <f t="shared" si="224"/>
        <v>Home</v>
      </c>
      <c r="AS442" t="str">
        <f t="shared" si="225"/>
        <v>h</v>
      </c>
      <c r="AT442" t="str">
        <f t="shared" si="226"/>
        <v>Defensive</v>
      </c>
      <c r="BA442" s="6">
        <f t="shared" si="216"/>
        <v>110</v>
      </c>
      <c r="BB442">
        <f t="shared" si="217"/>
        <v>18981</v>
      </c>
      <c r="BC442" t="str">
        <f t="shared" si="218"/>
        <v>Nelson</v>
      </c>
      <c r="BD442" t="str">
        <f t="shared" si="219"/>
        <v>Velodrome</v>
      </c>
      <c r="BE442" t="s">
        <v>6</v>
      </c>
      <c r="BF442" t="s">
        <v>205</v>
      </c>
      <c r="BG442" t="s">
        <v>51</v>
      </c>
      <c r="BI442" cm="1">
        <f t="array" ref="BI442">IFERROR(_xlfn._xlws.FILTER(shifts!A:A,(shifts!B:B=events!AD442)*(shifts!AG:AG&gt;=events!BK442)*(shifts!AH:AH&lt;=events!BL442)),BI441)</f>
        <v>24</v>
      </c>
      <c r="BJ442" s="15">
        <f t="shared" si="220"/>
        <v>0</v>
      </c>
      <c r="BK442">
        <f t="shared" si="227"/>
        <v>521</v>
      </c>
      <c r="BL442">
        <f t="shared" si="228"/>
        <v>521</v>
      </c>
      <c r="BM442" s="15">
        <f>SUMIFS(BJ$2:BJ442,K$2:K442,"=Intermission")+SUMIFS(BJ$2:BJ442,K$2:K442,"=Timeout")</f>
        <v>0</v>
      </c>
      <c r="BN442">
        <f t="shared" si="229"/>
        <v>0</v>
      </c>
      <c r="BO442" s="19">
        <f t="shared" si="230"/>
        <v>559</v>
      </c>
      <c r="BP442">
        <f t="shared" si="231"/>
        <v>554</v>
      </c>
      <c r="BQ442" s="17">
        <f t="shared" si="232"/>
        <v>559</v>
      </c>
      <c r="BR442" t="str">
        <f t="shared" si="233"/>
        <v>opp_team_player_2</v>
      </c>
      <c r="BS442">
        <f>COUNTIFS(S$3:S442,"="&amp;S442,AI$3:AI442,"="&amp;AI442)</f>
        <v>2</v>
      </c>
      <c r="BT442" t="str">
        <f>IFERROR(VLOOKUP(BB442&amp;BU442&amp;X442,game_rosters!U:W,3,FALSE),"")</f>
        <v>P100093</v>
      </c>
      <c r="BU442" t="str">
        <f t="shared" si="234"/>
        <v>Velodrome</v>
      </c>
    </row>
    <row r="443" spans="1:73" x14ac:dyDescent="0.2">
      <c r="A443">
        <f t="shared" si="221"/>
        <v>1</v>
      </c>
      <c r="E443" s="4"/>
      <c r="F443" s="43"/>
      <c r="G443" s="4"/>
      <c r="H443" s="46"/>
      <c r="J443" s="44" t="str">
        <f t="shared" si="235"/>
        <v>d</v>
      </c>
      <c r="K443" t="s">
        <v>15</v>
      </c>
      <c r="L443" t="s">
        <v>189</v>
      </c>
      <c r="M443" t="s">
        <v>94</v>
      </c>
      <c r="N443" t="str">
        <f t="shared" si="238"/>
        <v/>
      </c>
      <c r="Q443" t="str">
        <f t="shared" si="236"/>
        <v/>
      </c>
      <c r="S443">
        <v>240</v>
      </c>
      <c r="U443" t="str">
        <f>IF(B443=1,MAX($U$2:$U442)+1,IF(AND($T443&lt;&gt;"",$T443=$T442),$U442,IF(B443="x",U442,"")))</f>
        <v/>
      </c>
      <c r="V443" t="str">
        <f>IF(C443=1,MAX($V$2:$V442)+1,IF(AND($T443&lt;&gt;"",$T443=$T442),$U442,IF(C443="x",V442,"")))</f>
        <v/>
      </c>
      <c r="W443" t="str">
        <f t="shared" si="210"/>
        <v>a</v>
      </c>
      <c r="X443">
        <v>39</v>
      </c>
      <c r="Y443" t="e">
        <f>IF(X443&lt;&gt;"",VLOOKUP(X443,game_rosters!$C$43:$E$64,3,FALSE))</f>
        <v>#N/A</v>
      </c>
      <c r="Z443" cm="1">
        <f t="array" ref="Z443">IFERROR(IF(_xlfn._xlws.FILTER(game_rosters!$J:$J,(game_rosters!$G:$G=events!$AN443)*(game_rosters!$J:$J=events!$X443))&gt;0,1,""),"")</f>
        <v>1</v>
      </c>
      <c r="AA443">
        <f t="shared" si="211"/>
        <v>1240</v>
      </c>
      <c r="AB443" t="str">
        <f t="shared" si="212"/>
        <v/>
      </c>
      <c r="AC443">
        <f t="shared" si="209"/>
        <v>1240</v>
      </c>
      <c r="AD443" s="6">
        <v>1</v>
      </c>
      <c r="AE443" t="s">
        <v>936</v>
      </c>
      <c r="AF443" t="s">
        <v>924</v>
      </c>
      <c r="AG443" t="s">
        <v>756</v>
      </c>
      <c r="AH443" t="s">
        <v>756</v>
      </c>
      <c r="AI443" t="s">
        <v>367</v>
      </c>
      <c r="AJ443" t="str">
        <f t="shared" si="240"/>
        <v>d</v>
      </c>
      <c r="AK443" t="str">
        <f t="shared" si="240"/>
        <v>d</v>
      </c>
      <c r="AL443" t="str">
        <f t="shared" si="214"/>
        <v>o</v>
      </c>
      <c r="AN443" t="s">
        <v>862</v>
      </c>
      <c r="AO443" t="str">
        <f t="shared" si="215"/>
        <v>a</v>
      </c>
      <c r="AP443" t="str">
        <f t="shared" si="222"/>
        <v>o</v>
      </c>
      <c r="AQ443" t="str">
        <f t="shared" si="223"/>
        <v/>
      </c>
      <c r="AR443" t="str">
        <f t="shared" si="224"/>
        <v>Away</v>
      </c>
      <c r="AS443" t="str">
        <f t="shared" si="225"/>
        <v>a</v>
      </c>
      <c r="AT443" t="str">
        <f t="shared" si="226"/>
        <v>Defensive</v>
      </c>
      <c r="BA443" s="6">
        <f t="shared" si="216"/>
        <v>110</v>
      </c>
      <c r="BB443">
        <f t="shared" si="217"/>
        <v>18981</v>
      </c>
      <c r="BC443" t="str">
        <f t="shared" si="218"/>
        <v>Nelson</v>
      </c>
      <c r="BD443" t="str">
        <f t="shared" si="219"/>
        <v>Velodrome</v>
      </c>
      <c r="BE443" t="s">
        <v>15</v>
      </c>
      <c r="BF443" t="s">
        <v>189</v>
      </c>
      <c r="BG443" t="s">
        <v>94</v>
      </c>
      <c r="BI443" cm="1">
        <f t="array" ref="BI443">IFERROR(_xlfn._xlws.FILTER(shifts!A:A,(shifts!B:B=events!AD443)*(shifts!AG:AG&gt;=events!BK443)*(shifts!AH:AH&lt;=events!BL443)),BI442)</f>
        <v>24</v>
      </c>
      <c r="BJ443" s="15">
        <f t="shared" si="220"/>
        <v>0</v>
      </c>
      <c r="BK443">
        <f t="shared" si="227"/>
        <v>521</v>
      </c>
      <c r="BL443">
        <f t="shared" si="228"/>
        <v>521</v>
      </c>
      <c r="BM443" s="15">
        <f>SUMIFS(BJ$2:BJ443,K$2:K443,"=Intermission")+SUMIFS(BJ$2:BJ443,K$2:K443,"=Timeout")</f>
        <v>0</v>
      </c>
      <c r="BN443">
        <f t="shared" si="229"/>
        <v>0</v>
      </c>
      <c r="BO443" s="19">
        <f t="shared" si="230"/>
        <v>559</v>
      </c>
      <c r="BP443">
        <f t="shared" si="231"/>
        <v>554</v>
      </c>
      <c r="BQ443" s="17">
        <f t="shared" si="232"/>
        <v>559</v>
      </c>
      <c r="BR443" t="str">
        <f t="shared" si="233"/>
        <v>event_team_player_1</v>
      </c>
      <c r="BS443">
        <f>COUNTIFS(S$3:S443,"="&amp;S443,AI$3:AI443,"="&amp;AI443)</f>
        <v>1</v>
      </c>
      <c r="BT443" t="str">
        <f>IFERROR(VLOOKUP(BB443&amp;BU443&amp;X443,game_rosters!U:W,3,FALSE),"")</f>
        <v>P100016</v>
      </c>
      <c r="BU443" t="str">
        <f t="shared" si="234"/>
        <v>Velodrome</v>
      </c>
    </row>
    <row r="444" spans="1:73" x14ac:dyDescent="0.2">
      <c r="A444">
        <f t="shared" si="221"/>
        <v>1</v>
      </c>
      <c r="E444" s="4"/>
      <c r="F444" s="43"/>
      <c r="G444" s="4"/>
      <c r="H444" s="46"/>
      <c r="J444" s="44" t="str">
        <f t="shared" si="235"/>
        <v>d</v>
      </c>
      <c r="K444" t="s">
        <v>15</v>
      </c>
      <c r="L444" t="s">
        <v>189</v>
      </c>
      <c r="M444" t="s">
        <v>94</v>
      </c>
      <c r="N444" t="str">
        <f t="shared" si="238"/>
        <v/>
      </c>
      <c r="Q444" t="str">
        <f t="shared" si="236"/>
        <v/>
      </c>
      <c r="S444">
        <v>240</v>
      </c>
      <c r="U444" t="str">
        <f>IF(B444=1,MAX($U$2:$U443)+1,IF(AND($T444&lt;&gt;"",$T444=$T443),$U443,IF(B444="x",U443,"")))</f>
        <v/>
      </c>
      <c r="V444" t="str">
        <f>IF(C444=1,MAX($V$2:$V443)+1,IF(AND($T444&lt;&gt;"",$T444=$T443),$U443,IF(C444="x",V443,"")))</f>
        <v/>
      </c>
      <c r="W444" t="str">
        <f t="shared" si="210"/>
        <v>a</v>
      </c>
      <c r="X444">
        <v>93</v>
      </c>
      <c r="Y444" t="e">
        <f>IF(X444&lt;&gt;"",VLOOKUP(X444,game_rosters!$C$43:$E$64,3,FALSE))</f>
        <v>#N/A</v>
      </c>
      <c r="Z444" cm="1">
        <f t="array" ref="Z444">IFERROR(IF(_xlfn._xlws.FILTER(game_rosters!$J:$J,(game_rosters!$G:$G=events!$AN444)*(game_rosters!$J:$J=events!$X444))&gt;0,1,""),"")</f>
        <v>1</v>
      </c>
      <c r="AA444">
        <f t="shared" si="211"/>
        <v>1240</v>
      </c>
      <c r="AB444" t="str">
        <f t="shared" si="212"/>
        <v/>
      </c>
      <c r="AC444">
        <f t="shared" si="209"/>
        <v>1240</v>
      </c>
      <c r="AD444" s="6">
        <v>1</v>
      </c>
      <c r="AE444" t="s">
        <v>936</v>
      </c>
      <c r="AF444" t="s">
        <v>924</v>
      </c>
      <c r="AG444" t="s">
        <v>756</v>
      </c>
      <c r="AH444" t="s">
        <v>756</v>
      </c>
      <c r="AI444" t="s">
        <v>367</v>
      </c>
      <c r="AJ444" t="str">
        <f t="shared" si="240"/>
        <v>d</v>
      </c>
      <c r="AK444" t="str">
        <f t="shared" si="240"/>
        <v>d</v>
      </c>
      <c r="AL444" t="str">
        <f t="shared" si="214"/>
        <v>o</v>
      </c>
      <c r="AN444" t="s">
        <v>862</v>
      </c>
      <c r="AO444" t="str">
        <f t="shared" si="215"/>
        <v>a</v>
      </c>
      <c r="AP444" t="str">
        <f t="shared" si="222"/>
        <v>o</v>
      </c>
      <c r="AQ444" t="str">
        <f t="shared" si="223"/>
        <v/>
      </c>
      <c r="AR444" t="str">
        <f t="shared" si="224"/>
        <v>Away</v>
      </c>
      <c r="AS444" t="str">
        <f t="shared" si="225"/>
        <v>a</v>
      </c>
      <c r="AT444" t="str">
        <f t="shared" si="226"/>
        <v>Defensive</v>
      </c>
      <c r="BA444" s="6">
        <f t="shared" si="216"/>
        <v>110</v>
      </c>
      <c r="BB444">
        <f t="shared" si="217"/>
        <v>18981</v>
      </c>
      <c r="BC444" t="str">
        <f t="shared" si="218"/>
        <v>Nelson</v>
      </c>
      <c r="BD444" t="str">
        <f t="shared" si="219"/>
        <v>Velodrome</v>
      </c>
      <c r="BE444" t="s">
        <v>15</v>
      </c>
      <c r="BF444" t="s">
        <v>189</v>
      </c>
      <c r="BG444" t="s">
        <v>94</v>
      </c>
      <c r="BI444" cm="1">
        <f t="array" ref="BI444">IFERROR(_xlfn._xlws.FILTER(shifts!A:A,(shifts!B:B=events!AD444)*(shifts!AG:AG&gt;=events!BK444)*(shifts!AH:AH&lt;=events!BL444)),BI443)</f>
        <v>24</v>
      </c>
      <c r="BJ444" s="15">
        <f t="shared" si="220"/>
        <v>0</v>
      </c>
      <c r="BK444">
        <f t="shared" si="227"/>
        <v>521</v>
      </c>
      <c r="BL444">
        <f t="shared" si="228"/>
        <v>521</v>
      </c>
      <c r="BM444" s="15">
        <f>SUMIFS(BJ$2:BJ444,K$2:K444,"=Intermission")+SUMIFS(BJ$2:BJ444,K$2:K444,"=Timeout")</f>
        <v>0</v>
      </c>
      <c r="BN444">
        <f t="shared" si="229"/>
        <v>0</v>
      </c>
      <c r="BO444" s="19">
        <f t="shared" si="230"/>
        <v>559</v>
      </c>
      <c r="BP444">
        <f t="shared" si="231"/>
        <v>554</v>
      </c>
      <c r="BQ444" s="17">
        <f t="shared" si="232"/>
        <v>559</v>
      </c>
      <c r="BR444" t="str">
        <f t="shared" si="233"/>
        <v>event_team_player_2</v>
      </c>
      <c r="BS444">
        <f>COUNTIFS(S$3:S444,"="&amp;S444,AI$3:AI444,"="&amp;AI444)</f>
        <v>2</v>
      </c>
      <c r="BT444" t="str">
        <f>IFERROR(VLOOKUP(BB444&amp;BU444&amp;X444,game_rosters!U:W,3,FALSE),"")</f>
        <v>P100093</v>
      </c>
      <c r="BU444" t="str">
        <f t="shared" si="234"/>
        <v>Velodrome</v>
      </c>
    </row>
    <row r="445" spans="1:73" x14ac:dyDescent="0.2">
      <c r="A445">
        <f t="shared" si="221"/>
        <v>1</v>
      </c>
      <c r="E445" s="4"/>
      <c r="F445" s="43"/>
      <c r="G445" s="4"/>
      <c r="H445" s="46"/>
      <c r="J445" s="44" t="str">
        <f t="shared" si="235"/>
        <v>d</v>
      </c>
      <c r="K445" t="s">
        <v>15</v>
      </c>
      <c r="L445" t="s">
        <v>189</v>
      </c>
      <c r="M445" t="s">
        <v>94</v>
      </c>
      <c r="N445" t="str">
        <f t="shared" si="238"/>
        <v/>
      </c>
      <c r="Q445" t="str">
        <f t="shared" si="236"/>
        <v/>
      </c>
      <c r="S445">
        <v>240</v>
      </c>
      <c r="U445" t="str">
        <f>IF(B445=1,MAX($U$2:$U444)+1,IF(AND($T445&lt;&gt;"",$T445=$T444),$U444,IF(B445="x",U444,"")))</f>
        <v/>
      </c>
      <c r="V445" t="str">
        <f>IF(C445=1,MAX($V$2:$V444)+1,IF(AND($T445&lt;&gt;"",$T445=$T444),$U444,IF(C445="x",V444,"")))</f>
        <v/>
      </c>
      <c r="W445" t="str">
        <f t="shared" si="210"/>
        <v>a</v>
      </c>
      <c r="X445">
        <v>37</v>
      </c>
      <c r="Y445" t="b">
        <f>IF(X445&lt;&gt;"",VLOOKUP(X445,game_rosters!$C$43:$E$64,3,FALSE))</f>
        <v>0</v>
      </c>
      <c r="Z445" t="str" cm="1">
        <f t="array" ref="Z445">IFERROR(IF(_xlfn._xlws.FILTER(game_rosters!$J:$J,(game_rosters!$G:$G=events!$AN445)*(game_rosters!$J:$J=events!$X445))&gt;0,1,""),"")</f>
        <v/>
      </c>
      <c r="AA445">
        <f t="shared" si="211"/>
        <v>1240</v>
      </c>
      <c r="AB445" t="str">
        <f t="shared" si="212"/>
        <v/>
      </c>
      <c r="AC445">
        <f t="shared" si="209"/>
        <v>1240</v>
      </c>
      <c r="AD445" s="6">
        <v>1</v>
      </c>
      <c r="AE445" t="s">
        <v>936</v>
      </c>
      <c r="AF445" t="s">
        <v>924</v>
      </c>
      <c r="AG445" t="s">
        <v>756</v>
      </c>
      <c r="AH445" t="s">
        <v>756</v>
      </c>
      <c r="AI445" t="s">
        <v>368</v>
      </c>
      <c r="AJ445" t="str">
        <f t="shared" si="240"/>
        <v>d</v>
      </c>
      <c r="AK445" t="str">
        <f t="shared" si="240"/>
        <v>d</v>
      </c>
      <c r="AL445" t="str">
        <f t="shared" si="214"/>
        <v>o</v>
      </c>
      <c r="AN445" t="s">
        <v>862</v>
      </c>
      <c r="AO445" t="str">
        <f t="shared" si="215"/>
        <v>a</v>
      </c>
      <c r="AP445" t="str">
        <f t="shared" si="222"/>
        <v>o</v>
      </c>
      <c r="AQ445" t="str">
        <f t="shared" si="223"/>
        <v/>
      </c>
      <c r="AR445" t="str">
        <f t="shared" si="224"/>
        <v>Away</v>
      </c>
      <c r="AS445" t="str">
        <f t="shared" si="225"/>
        <v>a</v>
      </c>
      <c r="AT445" t="str">
        <f t="shared" si="226"/>
        <v>Offensive</v>
      </c>
      <c r="BA445" s="6">
        <f t="shared" si="216"/>
        <v>110</v>
      </c>
      <c r="BB445">
        <f t="shared" si="217"/>
        <v>18981</v>
      </c>
      <c r="BC445" t="str">
        <f t="shared" si="218"/>
        <v>Nelson</v>
      </c>
      <c r="BD445" t="str">
        <f t="shared" si="219"/>
        <v>Velodrome</v>
      </c>
      <c r="BE445" t="s">
        <v>15</v>
      </c>
      <c r="BF445" t="s">
        <v>189</v>
      </c>
      <c r="BG445" t="s">
        <v>94</v>
      </c>
      <c r="BI445" cm="1">
        <f t="array" ref="BI445">IFERROR(_xlfn._xlws.FILTER(shifts!A:A,(shifts!B:B=events!AD445)*(shifts!AG:AG&gt;=events!BK445)*(shifts!AH:AH&lt;=events!BL445)),BI444)</f>
        <v>24</v>
      </c>
      <c r="BJ445" s="15">
        <f t="shared" si="220"/>
        <v>0</v>
      </c>
      <c r="BK445">
        <f t="shared" si="227"/>
        <v>521</v>
      </c>
      <c r="BL445">
        <f t="shared" si="228"/>
        <v>521</v>
      </c>
      <c r="BM445" s="15">
        <f>SUMIFS(BJ$2:BJ445,K$2:K445,"=Intermission")+SUMIFS(BJ$2:BJ445,K$2:K445,"=Timeout")</f>
        <v>0</v>
      </c>
      <c r="BN445">
        <f t="shared" si="229"/>
        <v>0</v>
      </c>
      <c r="BO445" s="19">
        <f t="shared" si="230"/>
        <v>559</v>
      </c>
      <c r="BP445">
        <f t="shared" si="231"/>
        <v>554</v>
      </c>
      <c r="BQ445" s="17">
        <f t="shared" si="232"/>
        <v>559</v>
      </c>
      <c r="BR445" t="str">
        <f t="shared" si="233"/>
        <v>opp_team_player_1</v>
      </c>
      <c r="BS445">
        <f>COUNTIFS(S$3:S445,"="&amp;S445,AI$3:AI445,"="&amp;AI445)</f>
        <v>1</v>
      </c>
      <c r="BT445" t="str">
        <f>IFERROR(VLOOKUP(BB445&amp;BU445&amp;X445,game_rosters!U:W,3,FALSE),"")</f>
        <v>P100119</v>
      </c>
      <c r="BU445" t="str">
        <f t="shared" si="234"/>
        <v>Nelson</v>
      </c>
    </row>
    <row r="446" spans="1:73" x14ac:dyDescent="0.2">
      <c r="A446">
        <f t="shared" si="221"/>
        <v>1</v>
      </c>
      <c r="E446" s="4"/>
      <c r="F446" s="43"/>
      <c r="G446" s="4"/>
      <c r="H446" s="46"/>
      <c r="J446" s="44" t="str">
        <f t="shared" si="235"/>
        <v>d</v>
      </c>
      <c r="K446" t="s">
        <v>11</v>
      </c>
      <c r="L446" t="s">
        <v>187</v>
      </c>
      <c r="M446" t="s">
        <v>108</v>
      </c>
      <c r="N446" t="str">
        <f t="shared" si="238"/>
        <v/>
      </c>
      <c r="Q446" t="str">
        <f t="shared" si="236"/>
        <v/>
      </c>
      <c r="S446">
        <v>241</v>
      </c>
      <c r="U446" t="str">
        <f>IF(B446=1,MAX($U$2:$U445)+1,IF(AND($T446&lt;&gt;"",$T446=$T445),$U445,IF(B446="x",U445,"")))</f>
        <v/>
      </c>
      <c r="V446" t="str">
        <f>IF(C446=1,MAX($V$2:$V445)+1,IF(AND($T446&lt;&gt;"",$T446=$T445),$U445,IF(C446="x",V445,"")))</f>
        <v/>
      </c>
      <c r="W446" t="str">
        <f t="shared" si="210"/>
        <v>a</v>
      </c>
      <c r="X446">
        <v>39</v>
      </c>
      <c r="Y446" t="e">
        <f>IF(X446&lt;&gt;"",VLOOKUP(X446,game_rosters!$C$43:$E$64,3,FALSE))</f>
        <v>#N/A</v>
      </c>
      <c r="Z446" cm="1">
        <f t="array" ref="Z446">IFERROR(IF(_xlfn._xlws.FILTER(game_rosters!$J:$J,(game_rosters!$G:$G=events!$AN446)*(game_rosters!$J:$J=events!$X446))&gt;0,1,""),"")</f>
        <v>1</v>
      </c>
      <c r="AA446">
        <f t="shared" si="211"/>
        <v>1241</v>
      </c>
      <c r="AB446" t="str">
        <f t="shared" si="212"/>
        <v/>
      </c>
      <c r="AC446">
        <f t="shared" si="209"/>
        <v>1241</v>
      </c>
      <c r="AD446" s="6">
        <v>1</v>
      </c>
      <c r="AE446" t="s">
        <v>936</v>
      </c>
      <c r="AF446" t="s">
        <v>924</v>
      </c>
      <c r="AG446" t="s">
        <v>756</v>
      </c>
      <c r="AH446" t="s">
        <v>756</v>
      </c>
      <c r="AI446" t="s">
        <v>367</v>
      </c>
      <c r="AJ446" t="str">
        <f t="shared" si="240"/>
        <v>d</v>
      </c>
      <c r="AK446" t="str">
        <f t="shared" si="240"/>
        <v>d</v>
      </c>
      <c r="AL446" t="str">
        <f t="shared" si="214"/>
        <v>o</v>
      </c>
      <c r="AN446" t="s">
        <v>862</v>
      </c>
      <c r="AO446" t="str">
        <f t="shared" si="215"/>
        <v>a</v>
      </c>
      <c r="AP446" t="str">
        <f t="shared" si="222"/>
        <v>o</v>
      </c>
      <c r="AQ446" t="str">
        <f t="shared" si="223"/>
        <v/>
      </c>
      <c r="AR446" t="str">
        <f t="shared" si="224"/>
        <v>Away</v>
      </c>
      <c r="AS446" t="str">
        <f t="shared" si="225"/>
        <v>a</v>
      </c>
      <c r="AT446" t="str">
        <f t="shared" si="226"/>
        <v/>
      </c>
      <c r="BA446" s="6">
        <f t="shared" si="216"/>
        <v>110</v>
      </c>
      <c r="BB446">
        <f t="shared" si="217"/>
        <v>18981</v>
      </c>
      <c r="BC446" t="str">
        <f t="shared" si="218"/>
        <v>Nelson</v>
      </c>
      <c r="BD446" t="str">
        <f t="shared" si="219"/>
        <v>Velodrome</v>
      </c>
      <c r="BE446" t="s">
        <v>11</v>
      </c>
      <c r="BF446" t="s">
        <v>187</v>
      </c>
      <c r="BG446" t="s">
        <v>108</v>
      </c>
      <c r="BI446" cm="1">
        <f t="array" ref="BI446">IFERROR(_xlfn._xlws.FILTER(shifts!A:A,(shifts!B:B=events!AD446)*(shifts!AG:AG&gt;=events!BK446)*(shifts!AH:AH&lt;=events!BL446)),BI445)</f>
        <v>24</v>
      </c>
      <c r="BJ446" s="15">
        <f t="shared" si="220"/>
        <v>0</v>
      </c>
      <c r="BK446">
        <f t="shared" si="227"/>
        <v>521</v>
      </c>
      <c r="BL446">
        <f t="shared" si="228"/>
        <v>521</v>
      </c>
      <c r="BM446" s="15">
        <f>SUMIFS(BJ$2:BJ446,K$2:K446,"=Intermission")+SUMIFS(BJ$2:BJ446,K$2:K446,"=Timeout")</f>
        <v>0</v>
      </c>
      <c r="BN446">
        <f t="shared" si="229"/>
        <v>0</v>
      </c>
      <c r="BO446" s="19">
        <f t="shared" si="230"/>
        <v>559</v>
      </c>
      <c r="BP446">
        <f t="shared" si="231"/>
        <v>554</v>
      </c>
      <c r="BQ446" s="17">
        <f t="shared" si="232"/>
        <v>559</v>
      </c>
      <c r="BR446" t="str">
        <f t="shared" si="233"/>
        <v>event_team_player_1</v>
      </c>
      <c r="BS446">
        <f>COUNTIFS(S$3:S446,"="&amp;S446,AI$3:AI446,"="&amp;AI446)</f>
        <v>1</v>
      </c>
      <c r="BT446" t="str">
        <f>IFERROR(VLOOKUP(BB446&amp;BU446&amp;X446,game_rosters!U:W,3,FALSE),"")</f>
        <v>P100016</v>
      </c>
      <c r="BU446" t="str">
        <f t="shared" si="234"/>
        <v>Velodrome</v>
      </c>
    </row>
    <row r="447" spans="1:73" x14ac:dyDescent="0.2">
      <c r="A447">
        <f t="shared" si="221"/>
        <v>1</v>
      </c>
      <c r="E447" s="4"/>
      <c r="F447" s="43"/>
      <c r="G447" s="4"/>
      <c r="H447" s="46"/>
      <c r="J447" s="44" t="str">
        <f t="shared" si="235"/>
        <v>d</v>
      </c>
      <c r="K447" t="s">
        <v>241</v>
      </c>
      <c r="L447" t="s">
        <v>756</v>
      </c>
      <c r="M447" t="s">
        <v>756</v>
      </c>
      <c r="N447" t="str">
        <f t="shared" si="238"/>
        <v/>
      </c>
      <c r="Q447" t="str">
        <f t="shared" si="236"/>
        <v/>
      </c>
      <c r="S447">
        <v>242</v>
      </c>
      <c r="U447" t="str">
        <f>IF(B447=1,MAX($U$2:$U446)+1,IF(AND($T447&lt;&gt;"",$T447=$T446),$U446,IF(B447="x",U446,"")))</f>
        <v/>
      </c>
      <c r="V447" t="str">
        <f>IF(C447=1,MAX($V$2:$V446)+1,IF(AND($T447&lt;&gt;"",$T447=$T446),$U446,IF(C447="x",V446,"")))</f>
        <v/>
      </c>
      <c r="W447" t="str">
        <f t="shared" si="210"/>
        <v>a</v>
      </c>
      <c r="X447">
        <v>39</v>
      </c>
      <c r="Y447" t="e">
        <f>IF(X447&lt;&gt;"",VLOOKUP(X447,game_rosters!$C$43:$E$64,3,FALSE))</f>
        <v>#N/A</v>
      </c>
      <c r="Z447" cm="1">
        <f t="array" ref="Z447">IFERROR(IF(_xlfn._xlws.FILTER(game_rosters!$J:$J,(game_rosters!$G:$G=events!$AN447)*(game_rosters!$J:$J=events!$X447))&gt;0,1,""),"")</f>
        <v>1</v>
      </c>
      <c r="AA447">
        <f t="shared" si="211"/>
        <v>1242</v>
      </c>
      <c r="AB447" t="str">
        <f t="shared" si="212"/>
        <v/>
      </c>
      <c r="AC447">
        <f t="shared" si="209"/>
        <v>1242</v>
      </c>
      <c r="AD447" s="6">
        <v>1</v>
      </c>
      <c r="AE447" t="s">
        <v>936</v>
      </c>
      <c r="AF447" t="s">
        <v>924</v>
      </c>
      <c r="AG447" t="s">
        <v>936</v>
      </c>
      <c r="AH447" t="s">
        <v>908</v>
      </c>
      <c r="AI447" t="s">
        <v>367</v>
      </c>
      <c r="AJ447" t="str">
        <f t="shared" si="240"/>
        <v>d</v>
      </c>
      <c r="AK447" t="str">
        <f t="shared" si="240"/>
        <v>d</v>
      </c>
      <c r="AL447" t="str">
        <f t="shared" si="214"/>
        <v>o</v>
      </c>
      <c r="AN447" t="s">
        <v>862</v>
      </c>
      <c r="AO447" t="str">
        <f t="shared" si="215"/>
        <v>a</v>
      </c>
      <c r="AP447" t="str">
        <f t="shared" si="222"/>
        <v>o</v>
      </c>
      <c r="AQ447" t="str">
        <f t="shared" si="223"/>
        <v/>
      </c>
      <c r="AR447" t="str">
        <f t="shared" si="224"/>
        <v>Away</v>
      </c>
      <c r="AS447" t="str">
        <f t="shared" si="225"/>
        <v>a</v>
      </c>
      <c r="AT447" t="str">
        <f t="shared" si="226"/>
        <v/>
      </c>
      <c r="BA447" s="6">
        <f t="shared" si="216"/>
        <v>110</v>
      </c>
      <c r="BB447">
        <f t="shared" si="217"/>
        <v>18981</v>
      </c>
      <c r="BC447" t="str">
        <f t="shared" si="218"/>
        <v>Nelson</v>
      </c>
      <c r="BD447" t="str">
        <f t="shared" si="219"/>
        <v>Velodrome</v>
      </c>
      <c r="BE447" t="s">
        <v>241</v>
      </c>
      <c r="BF447" t="s">
        <v>756</v>
      </c>
      <c r="BG447" t="s">
        <v>756</v>
      </c>
      <c r="BI447" cm="1">
        <f t="array" ref="BI447">IFERROR(_xlfn._xlws.FILTER(shifts!A:A,(shifts!B:B=events!AD447)*(shifts!AG:AG&gt;=events!BK447)*(shifts!AH:AH&lt;=events!BL447)),BI446)</f>
        <v>24</v>
      </c>
      <c r="BJ447" s="15">
        <f t="shared" si="220"/>
        <v>22</v>
      </c>
      <c r="BK447">
        <f t="shared" si="227"/>
        <v>521</v>
      </c>
      <c r="BL447">
        <f t="shared" si="228"/>
        <v>499</v>
      </c>
      <c r="BM447" s="15">
        <f>SUMIFS(BJ$2:BJ447,K$2:K447,"=Intermission")+SUMIFS(BJ$2:BJ447,K$2:K447,"=Timeout")</f>
        <v>0</v>
      </c>
      <c r="BN447">
        <f t="shared" si="229"/>
        <v>0</v>
      </c>
      <c r="BO447" s="19">
        <f t="shared" si="230"/>
        <v>559</v>
      </c>
      <c r="BP447">
        <f t="shared" si="231"/>
        <v>554</v>
      </c>
      <c r="BQ447" s="17">
        <f t="shared" si="232"/>
        <v>581</v>
      </c>
      <c r="BR447" t="str">
        <f t="shared" si="233"/>
        <v>event_team_player_1</v>
      </c>
      <c r="BS447">
        <f>COUNTIFS(S$3:S447,"="&amp;S447,AI$3:AI447,"="&amp;AI447)</f>
        <v>1</v>
      </c>
      <c r="BT447" t="str">
        <f>IFERROR(VLOOKUP(BB447&amp;BU447&amp;X447,game_rosters!U:W,3,FALSE),"")</f>
        <v>P100016</v>
      </c>
      <c r="BU447" t="str">
        <f t="shared" si="234"/>
        <v>Velodrome</v>
      </c>
    </row>
    <row r="448" spans="1:73" x14ac:dyDescent="0.2">
      <c r="A448">
        <f t="shared" si="221"/>
        <v>1</v>
      </c>
      <c r="E448" s="4"/>
      <c r="F448" s="43"/>
      <c r="G448" s="4"/>
      <c r="H448" s="46"/>
      <c r="J448" s="44" t="str">
        <f t="shared" si="235"/>
        <v/>
      </c>
      <c r="K448" t="s">
        <v>5</v>
      </c>
      <c r="L448" t="s">
        <v>236</v>
      </c>
      <c r="M448" t="s">
        <v>756</v>
      </c>
      <c r="N448" t="str">
        <f t="shared" si="238"/>
        <v/>
      </c>
      <c r="Q448" t="str">
        <f t="shared" si="236"/>
        <v/>
      </c>
      <c r="S448">
        <v>243</v>
      </c>
      <c r="U448" t="str">
        <f>IF(B448=1,MAX($U$2:$U447)+1,IF(AND($T448&lt;&gt;"",$T448=$T447),$U447,IF(B448="x",U447,"")))</f>
        <v/>
      </c>
      <c r="V448" t="str">
        <f>IF(C448=1,MAX($V$2:$V447)+1,IF(AND($T448&lt;&gt;"",$T448=$T447),$U447,IF(C448="x",V447,"")))</f>
        <v/>
      </c>
      <c r="W448" t="str">
        <f t="shared" si="210"/>
        <v>h</v>
      </c>
      <c r="X448">
        <v>10</v>
      </c>
      <c r="Y448" t="b">
        <f>IF(X448&lt;&gt;"",VLOOKUP(X448,game_rosters!$C$43:$E$64,3,FALSE))</f>
        <v>0</v>
      </c>
      <c r="Z448" cm="1">
        <f t="array" ref="Z448">IFERROR(IF(_xlfn._xlws.FILTER(game_rosters!$J:$J,(game_rosters!$G:$G=events!$AN448)*(game_rosters!$J:$J=events!$X448))&gt;0,1,""),"")</f>
        <v>1</v>
      </c>
      <c r="AA448">
        <f t="shared" si="211"/>
        <v>1243</v>
      </c>
      <c r="AB448" t="str">
        <f t="shared" si="212"/>
        <v/>
      </c>
      <c r="AC448">
        <f t="shared" si="209"/>
        <v>1243</v>
      </c>
      <c r="AD448" s="6">
        <v>1</v>
      </c>
      <c r="AE448" t="s">
        <v>936</v>
      </c>
      <c r="AF448" t="s">
        <v>908</v>
      </c>
      <c r="AG448" t="s">
        <v>756</v>
      </c>
      <c r="AH448" t="s">
        <v>756</v>
      </c>
      <c r="AI448" t="s">
        <v>367</v>
      </c>
      <c r="AJ448" t="str">
        <f t="shared" si="240"/>
        <v/>
      </c>
      <c r="AK448" t="str">
        <f t="shared" si="240"/>
        <v/>
      </c>
      <c r="AL448" t="str">
        <f t="shared" si="214"/>
        <v/>
      </c>
      <c r="AN448" t="s">
        <v>861</v>
      </c>
      <c r="AO448" t="str">
        <f t="shared" si="215"/>
        <v>h</v>
      </c>
      <c r="AP448" t="str">
        <f t="shared" si="222"/>
        <v/>
      </c>
      <c r="AQ448" t="str">
        <f t="shared" si="223"/>
        <v/>
      </c>
      <c r="AR448" t="str">
        <f t="shared" si="224"/>
        <v>Home</v>
      </c>
      <c r="AS448" t="str">
        <f t="shared" si="225"/>
        <v>h</v>
      </c>
      <c r="AT448" t="str">
        <f t="shared" si="226"/>
        <v>Offensive</v>
      </c>
      <c r="BA448" s="6">
        <f t="shared" si="216"/>
        <v>110</v>
      </c>
      <c r="BB448">
        <f t="shared" si="217"/>
        <v>18981</v>
      </c>
      <c r="BC448" t="str">
        <f t="shared" si="218"/>
        <v>Nelson</v>
      </c>
      <c r="BD448" t="str">
        <f t="shared" si="219"/>
        <v>Velodrome</v>
      </c>
      <c r="BE448" t="s">
        <v>5</v>
      </c>
      <c r="BF448" t="s">
        <v>236</v>
      </c>
      <c r="BG448" t="s">
        <v>756</v>
      </c>
      <c r="BI448" cm="1">
        <f t="array" ref="BI448">IFERROR(_xlfn._xlws.FILTER(shifts!A:A,(shifts!B:B=events!AD448)*(shifts!AG:AG&gt;=events!BK448)*(shifts!AH:AH&lt;=events!BL448)),BI447)</f>
        <v>25</v>
      </c>
      <c r="BJ448" s="15">
        <f t="shared" si="220"/>
        <v>0</v>
      </c>
      <c r="BK448">
        <f t="shared" si="227"/>
        <v>499</v>
      </c>
      <c r="BL448">
        <f t="shared" si="228"/>
        <v>499</v>
      </c>
      <c r="BM448" s="15">
        <f>SUMIFS(BJ$2:BJ448,K$2:K448,"=Intermission")+SUMIFS(BJ$2:BJ448,K$2:K448,"=Timeout")</f>
        <v>0</v>
      </c>
      <c r="BN448">
        <f t="shared" si="229"/>
        <v>0</v>
      </c>
      <c r="BO448" s="19">
        <f t="shared" si="230"/>
        <v>581</v>
      </c>
      <c r="BP448">
        <f t="shared" si="231"/>
        <v>576</v>
      </c>
      <c r="BQ448" s="17">
        <f t="shared" si="232"/>
        <v>581</v>
      </c>
      <c r="BR448" t="str">
        <f t="shared" si="233"/>
        <v>event_team_player_1</v>
      </c>
      <c r="BS448">
        <f>COUNTIFS(S$3:S448,"="&amp;S448,AI$3:AI448,"="&amp;AI448)</f>
        <v>1</v>
      </c>
      <c r="BT448" t="str">
        <f>IFERROR(VLOOKUP(BB448&amp;BU448&amp;X448,game_rosters!U:W,3,FALSE),"")</f>
        <v>P100078</v>
      </c>
      <c r="BU448" t="str">
        <f t="shared" si="234"/>
        <v>Nelson</v>
      </c>
    </row>
    <row r="449" spans="1:73" x14ac:dyDescent="0.2">
      <c r="A449">
        <f t="shared" si="221"/>
        <v>1</v>
      </c>
      <c r="E449" s="4"/>
      <c r="F449" s="43"/>
      <c r="G449" s="4"/>
      <c r="H449" s="46"/>
      <c r="J449" s="44" t="str">
        <f t="shared" si="235"/>
        <v/>
      </c>
      <c r="K449" t="s">
        <v>5</v>
      </c>
      <c r="L449" t="s">
        <v>236</v>
      </c>
      <c r="M449" t="s">
        <v>756</v>
      </c>
      <c r="N449" t="str">
        <f t="shared" si="238"/>
        <v/>
      </c>
      <c r="Q449" t="str">
        <f t="shared" si="236"/>
        <v/>
      </c>
      <c r="S449">
        <v>243</v>
      </c>
      <c r="U449" t="str">
        <f>IF(B449=1,MAX($U$2:$U448)+1,IF(AND($T449&lt;&gt;"",$T449=$T448),$U448,IF(B449="x",U448,"")))</f>
        <v/>
      </c>
      <c r="V449" t="str">
        <f>IF(C449=1,MAX($V$2:$V448)+1,IF(AND($T449&lt;&gt;"",$T449=$T448),$U448,IF(C449="x",V448,"")))</f>
        <v/>
      </c>
      <c r="W449" t="str">
        <f t="shared" si="210"/>
        <v>h</v>
      </c>
      <c r="X449">
        <v>23</v>
      </c>
      <c r="Y449" t="b">
        <f>IF(X449&lt;&gt;"",VLOOKUP(X449,game_rosters!$C$43:$E$64,3,FALSE))</f>
        <v>0</v>
      </c>
      <c r="Z449" cm="1">
        <f t="array" ref="Z449">IFERROR(IF(_xlfn._xlws.FILTER(game_rosters!$J:$J,(game_rosters!$G:$G=events!$AN449)*(game_rosters!$J:$J=events!$X449))&gt;0,1,""),"")</f>
        <v>1</v>
      </c>
      <c r="AA449">
        <f t="shared" si="211"/>
        <v>1243</v>
      </c>
      <c r="AB449" t="str">
        <f t="shared" si="212"/>
        <v/>
      </c>
      <c r="AC449">
        <f t="shared" si="209"/>
        <v>1243</v>
      </c>
      <c r="AD449" s="6">
        <v>1</v>
      </c>
      <c r="AE449" t="s">
        <v>936</v>
      </c>
      <c r="AF449" t="s">
        <v>908</v>
      </c>
      <c r="AG449" t="s">
        <v>756</v>
      </c>
      <c r="AH449" t="s">
        <v>756</v>
      </c>
      <c r="AI449" t="s">
        <v>367</v>
      </c>
      <c r="AJ449" t="str">
        <f t="shared" si="240"/>
        <v/>
      </c>
      <c r="AK449" t="str">
        <f t="shared" si="240"/>
        <v/>
      </c>
      <c r="AL449" t="str">
        <f t="shared" si="214"/>
        <v/>
      </c>
      <c r="AN449" t="s">
        <v>861</v>
      </c>
      <c r="AO449" t="str">
        <f t="shared" si="215"/>
        <v>h</v>
      </c>
      <c r="AP449" t="str">
        <f t="shared" si="222"/>
        <v/>
      </c>
      <c r="AQ449" t="str">
        <f t="shared" si="223"/>
        <v/>
      </c>
      <c r="AR449" t="str">
        <f t="shared" si="224"/>
        <v>Home</v>
      </c>
      <c r="AS449" t="str">
        <f t="shared" si="225"/>
        <v>h</v>
      </c>
      <c r="AT449" t="str">
        <f t="shared" si="226"/>
        <v>Offensive</v>
      </c>
      <c r="BA449" s="6">
        <f t="shared" si="216"/>
        <v>110</v>
      </c>
      <c r="BB449">
        <f t="shared" si="217"/>
        <v>18981</v>
      </c>
      <c r="BC449" t="str">
        <f t="shared" si="218"/>
        <v>Nelson</v>
      </c>
      <c r="BD449" t="str">
        <f t="shared" si="219"/>
        <v>Velodrome</v>
      </c>
      <c r="BE449" t="s">
        <v>5</v>
      </c>
      <c r="BF449" t="s">
        <v>236</v>
      </c>
      <c r="BG449" t="s">
        <v>756</v>
      </c>
      <c r="BI449" cm="1">
        <f t="array" ref="BI449">IFERROR(_xlfn._xlws.FILTER(shifts!A:A,(shifts!B:B=events!AD449)*(shifts!AG:AG&gt;=events!BK449)*(shifts!AH:AH&lt;=events!BL449)),BI448)</f>
        <v>25</v>
      </c>
      <c r="BJ449" s="15">
        <f t="shared" si="220"/>
        <v>0</v>
      </c>
      <c r="BK449">
        <f t="shared" si="227"/>
        <v>499</v>
      </c>
      <c r="BL449">
        <f t="shared" si="228"/>
        <v>499</v>
      </c>
      <c r="BM449" s="15">
        <f>SUMIFS(BJ$2:BJ449,K$2:K449,"=Intermission")+SUMIFS(BJ$2:BJ449,K$2:K449,"=Timeout")</f>
        <v>0</v>
      </c>
      <c r="BN449">
        <f t="shared" si="229"/>
        <v>0</v>
      </c>
      <c r="BO449" s="19">
        <f t="shared" si="230"/>
        <v>581</v>
      </c>
      <c r="BP449">
        <f t="shared" si="231"/>
        <v>576</v>
      </c>
      <c r="BQ449" s="17">
        <f t="shared" si="232"/>
        <v>581</v>
      </c>
      <c r="BR449" t="str">
        <f t="shared" si="233"/>
        <v>event_team_player_2</v>
      </c>
      <c r="BS449">
        <f>COUNTIFS(S$3:S449,"="&amp;S449,AI$3:AI449,"="&amp;AI449)</f>
        <v>2</v>
      </c>
      <c r="BT449" t="str">
        <f>IFERROR(VLOOKUP(BB449&amp;BU449&amp;X449,game_rosters!U:W,3,FALSE),"")</f>
        <v>P100061</v>
      </c>
      <c r="BU449" t="str">
        <f t="shared" si="234"/>
        <v>Nelson</v>
      </c>
    </row>
    <row r="450" spans="1:73" x14ac:dyDescent="0.2">
      <c r="A450">
        <f t="shared" si="221"/>
        <v>1</v>
      </c>
      <c r="E450" s="4"/>
      <c r="F450" s="43"/>
      <c r="G450" s="4"/>
      <c r="H450" s="46"/>
      <c r="J450" s="44" t="str">
        <f t="shared" si="235"/>
        <v/>
      </c>
      <c r="K450" t="s">
        <v>5</v>
      </c>
      <c r="L450" t="s">
        <v>236</v>
      </c>
      <c r="M450" t="s">
        <v>756</v>
      </c>
      <c r="N450" t="str">
        <f t="shared" si="238"/>
        <v/>
      </c>
      <c r="Q450" t="str">
        <f t="shared" si="236"/>
        <v/>
      </c>
      <c r="S450">
        <v>243</v>
      </c>
      <c r="U450" t="str">
        <f>IF(B450=1,MAX($U$2:$U449)+1,IF(AND($T450&lt;&gt;"",$T450=$T449),$U449,IF(B450="x",U449,"")))</f>
        <v/>
      </c>
      <c r="V450" t="str">
        <f>IF(C450=1,MAX($V$2:$V449)+1,IF(AND($T450&lt;&gt;"",$T450=$T449),$U449,IF(C450="x",V449,"")))</f>
        <v/>
      </c>
      <c r="W450" t="str">
        <f t="shared" si="210"/>
        <v>h</v>
      </c>
      <c r="X450">
        <v>49</v>
      </c>
      <c r="Y450" t="e">
        <f>IF(X450&lt;&gt;"",VLOOKUP(X450,game_rosters!$C$43:$E$64,3,FALSE))</f>
        <v>#N/A</v>
      </c>
      <c r="Z450" t="str" cm="1">
        <f t="array" ref="Z450">IFERROR(IF(_xlfn._xlws.FILTER(game_rosters!$J:$J,(game_rosters!$G:$G=events!$AN450)*(game_rosters!$J:$J=events!$X450))&gt;0,1,""),"")</f>
        <v/>
      </c>
      <c r="AA450">
        <f t="shared" si="211"/>
        <v>1243</v>
      </c>
      <c r="AB450" t="str">
        <f t="shared" si="212"/>
        <v/>
      </c>
      <c r="AC450">
        <f t="shared" ref="AC450:AC513" si="241">IF(AB450&lt;&gt;"",AB450,S450+1000)</f>
        <v>1243</v>
      </c>
      <c r="AD450" s="6">
        <v>1</v>
      </c>
      <c r="AE450" t="s">
        <v>936</v>
      </c>
      <c r="AF450" t="s">
        <v>908</v>
      </c>
      <c r="AG450" t="s">
        <v>756</v>
      </c>
      <c r="AH450" t="s">
        <v>756</v>
      </c>
      <c r="AI450" t="s">
        <v>368</v>
      </c>
      <c r="AJ450" t="str">
        <f t="shared" si="240"/>
        <v/>
      </c>
      <c r="AK450" t="str">
        <f t="shared" si="240"/>
        <v/>
      </c>
      <c r="AL450" t="str">
        <f t="shared" si="214"/>
        <v/>
      </c>
      <c r="AN450" t="s">
        <v>861</v>
      </c>
      <c r="AO450" t="str">
        <f t="shared" si="215"/>
        <v>h</v>
      </c>
      <c r="AP450" t="str">
        <f t="shared" si="222"/>
        <v/>
      </c>
      <c r="AQ450" t="str">
        <f t="shared" si="223"/>
        <v/>
      </c>
      <c r="AR450" t="str">
        <f t="shared" si="224"/>
        <v>Home</v>
      </c>
      <c r="AS450" t="str">
        <f t="shared" si="225"/>
        <v>h</v>
      </c>
      <c r="AT450" t="str">
        <f t="shared" si="226"/>
        <v>Defensive</v>
      </c>
      <c r="BA450" s="6">
        <f t="shared" si="216"/>
        <v>110</v>
      </c>
      <c r="BB450">
        <f t="shared" si="217"/>
        <v>18981</v>
      </c>
      <c r="BC450" t="str">
        <f t="shared" si="218"/>
        <v>Nelson</v>
      </c>
      <c r="BD450" t="str">
        <f t="shared" si="219"/>
        <v>Velodrome</v>
      </c>
      <c r="BE450" t="s">
        <v>5</v>
      </c>
      <c r="BF450" t="s">
        <v>236</v>
      </c>
      <c r="BG450" t="s">
        <v>756</v>
      </c>
      <c r="BI450" cm="1">
        <f t="array" ref="BI450">IFERROR(_xlfn._xlws.FILTER(shifts!A:A,(shifts!B:B=events!AD450)*(shifts!AG:AG&gt;=events!BK450)*(shifts!AH:AH&lt;=events!BL450)),BI449)</f>
        <v>25</v>
      </c>
      <c r="BJ450" s="15">
        <f t="shared" si="220"/>
        <v>0</v>
      </c>
      <c r="BK450">
        <f t="shared" si="227"/>
        <v>499</v>
      </c>
      <c r="BL450">
        <f t="shared" si="228"/>
        <v>499</v>
      </c>
      <c r="BM450" s="15">
        <f>SUMIFS(BJ$2:BJ450,K$2:K450,"=Intermission")+SUMIFS(BJ$2:BJ450,K$2:K450,"=Timeout")</f>
        <v>0</v>
      </c>
      <c r="BN450">
        <f t="shared" si="229"/>
        <v>0</v>
      </c>
      <c r="BO450" s="19">
        <f t="shared" si="230"/>
        <v>581</v>
      </c>
      <c r="BP450">
        <f t="shared" si="231"/>
        <v>576</v>
      </c>
      <c r="BQ450" s="17">
        <f t="shared" si="232"/>
        <v>581</v>
      </c>
      <c r="BR450" t="str">
        <f t="shared" si="233"/>
        <v>opp_team_player_1</v>
      </c>
      <c r="BS450">
        <f>COUNTIFS(S$3:S450,"="&amp;S450,AI$3:AI450,"="&amp;AI450)</f>
        <v>1</v>
      </c>
      <c r="BT450" t="str">
        <f>IFERROR(VLOOKUP(BB450&amp;BU450&amp;X450,game_rosters!U:W,3,FALSE),"")</f>
        <v>P100161</v>
      </c>
      <c r="BU450" t="str">
        <f t="shared" si="234"/>
        <v>Velodrome</v>
      </c>
    </row>
    <row r="451" spans="1:73" x14ac:dyDescent="0.2">
      <c r="A451">
        <f t="shared" si="221"/>
        <v>1</v>
      </c>
      <c r="E451" s="4"/>
      <c r="F451" s="43"/>
      <c r="G451" s="4"/>
      <c r="H451" s="46"/>
      <c r="J451" s="44" t="str">
        <f t="shared" si="235"/>
        <v/>
      </c>
      <c r="K451" t="s">
        <v>13</v>
      </c>
      <c r="L451" t="s">
        <v>756</v>
      </c>
      <c r="M451" t="s">
        <v>756</v>
      </c>
      <c r="N451" t="str">
        <f t="shared" si="238"/>
        <v/>
      </c>
      <c r="Q451" t="str">
        <f t="shared" si="236"/>
        <v/>
      </c>
      <c r="S451">
        <v>244</v>
      </c>
      <c r="U451" t="str">
        <f>IF(B451=1,MAX($U$2:$U450)+1,IF(AND($T451&lt;&gt;"",$T451=$T450),$U450,IF(B451="x",U450,"")))</f>
        <v/>
      </c>
      <c r="V451" t="str">
        <f>IF(C451=1,MAX($V$2:$V450)+1,IF(AND($T451&lt;&gt;"",$T451=$T450),$U450,IF(C451="x",V450,"")))</f>
        <v/>
      </c>
      <c r="W451" t="str">
        <f t="shared" si="210"/>
        <v>h</v>
      </c>
      <c r="X451">
        <v>23</v>
      </c>
      <c r="Y451" t="b">
        <f>IF(X451&lt;&gt;"",VLOOKUP(X451,game_rosters!$C$43:$E$64,3,FALSE))</f>
        <v>0</v>
      </c>
      <c r="Z451" cm="1">
        <f t="array" ref="Z451">IFERROR(IF(_xlfn._xlws.FILTER(game_rosters!$J:$J,(game_rosters!$G:$G=events!$AN451)*(game_rosters!$J:$J=events!$X451))&gt;0,1,""),"")</f>
        <v>1</v>
      </c>
      <c r="AA451">
        <f t="shared" si="211"/>
        <v>1244</v>
      </c>
      <c r="AB451" t="str">
        <f t="shared" si="212"/>
        <v/>
      </c>
      <c r="AC451">
        <f t="shared" si="241"/>
        <v>1244</v>
      </c>
      <c r="AD451" s="6">
        <v>1</v>
      </c>
      <c r="AE451" t="s">
        <v>936</v>
      </c>
      <c r="AF451" t="s">
        <v>908</v>
      </c>
      <c r="AG451" t="s">
        <v>936</v>
      </c>
      <c r="AH451" t="s">
        <v>732</v>
      </c>
      <c r="AI451" t="s">
        <v>367</v>
      </c>
      <c r="AJ451" t="str">
        <f t="shared" si="240"/>
        <v/>
      </c>
      <c r="AK451" t="str">
        <f t="shared" si="240"/>
        <v/>
      </c>
      <c r="AL451" t="str">
        <f t="shared" si="214"/>
        <v/>
      </c>
      <c r="AN451" t="s">
        <v>861</v>
      </c>
      <c r="AO451" t="str">
        <f t="shared" si="215"/>
        <v>h</v>
      </c>
      <c r="AP451" t="str">
        <f t="shared" si="222"/>
        <v/>
      </c>
      <c r="AQ451" t="str">
        <f t="shared" si="223"/>
        <v/>
      </c>
      <c r="AR451" t="str">
        <f t="shared" si="224"/>
        <v>Home</v>
      </c>
      <c r="AS451" t="str">
        <f t="shared" si="225"/>
        <v>h</v>
      </c>
      <c r="AT451" t="str">
        <f t="shared" si="226"/>
        <v>Offensive</v>
      </c>
      <c r="BA451" s="6">
        <f t="shared" si="216"/>
        <v>110</v>
      </c>
      <c r="BB451">
        <f t="shared" si="217"/>
        <v>18981</v>
      </c>
      <c r="BC451" t="str">
        <f t="shared" si="218"/>
        <v>Nelson</v>
      </c>
      <c r="BD451" t="str">
        <f t="shared" si="219"/>
        <v>Velodrome</v>
      </c>
      <c r="BE451" t="s">
        <v>13</v>
      </c>
      <c r="BF451" t="s">
        <v>756</v>
      </c>
      <c r="BG451" t="s">
        <v>756</v>
      </c>
      <c r="BI451" cm="1">
        <f t="array" ref="BI451">IFERROR(_xlfn._xlws.FILTER(shifts!A:A,(shifts!B:B=events!AD451)*(shifts!AG:AG&gt;=events!BK451)*(shifts!AH:AH&lt;=events!BL451)),BI450)</f>
        <v>25</v>
      </c>
      <c r="BJ451" s="15">
        <f t="shared" si="220"/>
        <v>2</v>
      </c>
      <c r="BK451">
        <f t="shared" si="227"/>
        <v>499</v>
      </c>
      <c r="BL451">
        <f t="shared" si="228"/>
        <v>497</v>
      </c>
      <c r="BM451" s="15">
        <f>SUMIFS(BJ$2:BJ451,K$2:K451,"=Intermission")+SUMIFS(BJ$2:BJ451,K$2:K451,"=Timeout")</f>
        <v>0</v>
      </c>
      <c r="BN451">
        <f t="shared" si="229"/>
        <v>0</v>
      </c>
      <c r="BO451" s="19">
        <f t="shared" si="230"/>
        <v>581</v>
      </c>
      <c r="BP451">
        <f t="shared" si="231"/>
        <v>576</v>
      </c>
      <c r="BQ451" s="17">
        <f t="shared" si="232"/>
        <v>583</v>
      </c>
      <c r="BR451" t="str">
        <f t="shared" si="233"/>
        <v>event_team_player_1</v>
      </c>
      <c r="BS451">
        <f>COUNTIFS(S$3:S451,"="&amp;S451,AI$3:AI451,"="&amp;AI451)</f>
        <v>1</v>
      </c>
      <c r="BT451" t="str">
        <f>IFERROR(VLOOKUP(BB451&amp;BU451&amp;X451,game_rosters!U:W,3,FALSE),"")</f>
        <v>P100061</v>
      </c>
      <c r="BU451" t="str">
        <f t="shared" si="234"/>
        <v>Nelson</v>
      </c>
    </row>
    <row r="452" spans="1:73" x14ac:dyDescent="0.2">
      <c r="A452">
        <f t="shared" si="221"/>
        <v>1</v>
      </c>
      <c r="E452" s="4"/>
      <c r="F452" s="43"/>
      <c r="G452" s="4"/>
      <c r="H452" s="46"/>
      <c r="J452" s="44" t="str">
        <f t="shared" si="235"/>
        <v/>
      </c>
      <c r="K452" t="s">
        <v>7</v>
      </c>
      <c r="L452" t="s">
        <v>172</v>
      </c>
      <c r="M452" t="s">
        <v>66</v>
      </c>
      <c r="N452" t="str">
        <f t="shared" si="238"/>
        <v>s</v>
      </c>
      <c r="Q452" t="str">
        <f t="shared" si="236"/>
        <v/>
      </c>
      <c r="S452">
        <v>245</v>
      </c>
      <c r="U452" t="str">
        <f>IF(B452=1,MAX($U$2:$U451)+1,IF(AND($T452&lt;&gt;"",$T452=$T451),$U451,IF(B452="x",U451,"")))</f>
        <v/>
      </c>
      <c r="V452" t="str">
        <f>IF(C452=1,MAX($V$2:$V451)+1,IF(AND($T452&lt;&gt;"",$T452=$T451),$U451,IF(C452="x",V451,"")))</f>
        <v/>
      </c>
      <c r="W452" t="str">
        <f t="shared" ref="W452:W515" si="242">IF(AN452="Away","a",IF(AN452="Home","h",""))</f>
        <v>h</v>
      </c>
      <c r="X452">
        <v>23</v>
      </c>
      <c r="Y452" t="b">
        <f>IF(X452&lt;&gt;"",VLOOKUP(X452,game_rosters!$C$43:$E$64,3,FALSE))</f>
        <v>0</v>
      </c>
      <c r="Z452" cm="1">
        <f t="array" ref="Z452">IFERROR(IF(_xlfn._xlws.FILTER(game_rosters!$J:$J,(game_rosters!$G:$G=events!$AN452)*(game_rosters!$J:$J=events!$X452))&gt;0,1,""),"")</f>
        <v>1</v>
      </c>
      <c r="AA452">
        <f t="shared" ref="AA452:AA515" si="243">S452+1000</f>
        <v>1245</v>
      </c>
      <c r="AB452" t="str">
        <f t="shared" ref="AB452:AB515" si="244">IF(T452&lt;&gt;"",9000+T452,"")</f>
        <v/>
      </c>
      <c r="AC452">
        <f t="shared" si="241"/>
        <v>1245</v>
      </c>
      <c r="AD452" s="6">
        <v>1</v>
      </c>
      <c r="AE452" t="s">
        <v>936</v>
      </c>
      <c r="AF452" t="s">
        <v>909</v>
      </c>
      <c r="AG452" t="s">
        <v>756</v>
      </c>
      <c r="AH452" t="s">
        <v>756</v>
      </c>
      <c r="AI452" t="s">
        <v>367</v>
      </c>
      <c r="AJ452" t="str">
        <f t="shared" ref="AJ452:AK467" si="245">IF($J452&lt;&gt;"",$J452,IF($AC452=$AC451,AJ451,""))</f>
        <v/>
      </c>
      <c r="AK452" t="str">
        <f t="shared" si="245"/>
        <v/>
      </c>
      <c r="AL452" t="str">
        <f t="shared" ref="AL452:AL515" si="246">IF($W452="","",IF($AJ452="","",IF($W452="h",$AJ452,IF($AJ452="n","n",IF(AND($W452="a",$AJ452="d"),"o",IF(AND($W452="a",$AJ452="o"),"d"))))))</f>
        <v/>
      </c>
      <c r="AN452" t="s">
        <v>861</v>
      </c>
      <c r="AO452" t="str">
        <f t="shared" ref="AO452:AO515" si="247">IF($W452&lt;&gt;"",$W452,IF($AC452=$AC451,AO451,""))</f>
        <v>h</v>
      </c>
      <c r="AP452" t="str">
        <f t="shared" si="222"/>
        <v/>
      </c>
      <c r="AQ452" t="str">
        <f t="shared" si="223"/>
        <v/>
      </c>
      <c r="AR452" t="str">
        <f t="shared" si="224"/>
        <v>Home</v>
      </c>
      <c r="AS452" t="str">
        <f t="shared" si="225"/>
        <v>h</v>
      </c>
      <c r="AT452" t="str">
        <f t="shared" si="226"/>
        <v>Offensive</v>
      </c>
      <c r="BA452" s="6">
        <f t="shared" ref="BA452:BA515" si="248">IF(OR(L452="Zone_Entry",L452="Zone_Exit"),BA451+1,BA451)</f>
        <v>110</v>
      </c>
      <c r="BB452">
        <f t="shared" ref="BB452:BB515" si="249">BB451</f>
        <v>18981</v>
      </c>
      <c r="BC452" t="str">
        <f t="shared" ref="BC452:BC515" si="250">BC451</f>
        <v>Nelson</v>
      </c>
      <c r="BD452" t="str">
        <f t="shared" ref="BD452:BD515" si="251">BD451</f>
        <v>Velodrome</v>
      </c>
      <c r="BE452" t="s">
        <v>7</v>
      </c>
      <c r="BF452" t="s">
        <v>172</v>
      </c>
      <c r="BG452" t="s">
        <v>66</v>
      </c>
      <c r="BI452" cm="1">
        <f t="array" ref="BI452">IFERROR(_xlfn._xlws.FILTER(shifts!A:A,(shifts!B:B=events!AD452)*(shifts!AG:AG&gt;=events!BK452)*(shifts!AH:AH&lt;=events!BL452)),BI451)</f>
        <v>25</v>
      </c>
      <c r="BJ452" s="15">
        <f t="shared" ref="BJ452:BJ515" si="252">IF(AND(AG452="",AH452=""),0,((AE452*60)+AF452)-((AG452*60)+AH452))</f>
        <v>0</v>
      </c>
      <c r="BK452">
        <f t="shared" si="227"/>
        <v>496</v>
      </c>
      <c r="BL452">
        <f t="shared" si="228"/>
        <v>496</v>
      </c>
      <c r="BM452" s="15">
        <f>SUMIFS(BJ$2:BJ452,K$2:K452,"=Intermission")+SUMIFS(BJ$2:BJ452,K$2:K452,"=Timeout")</f>
        <v>0</v>
      </c>
      <c r="BN452">
        <f t="shared" si="229"/>
        <v>0</v>
      </c>
      <c r="BO452" s="19">
        <f t="shared" si="230"/>
        <v>584</v>
      </c>
      <c r="BP452">
        <f t="shared" si="231"/>
        <v>579</v>
      </c>
      <c r="BQ452" s="17">
        <f t="shared" si="232"/>
        <v>584</v>
      </c>
      <c r="BR452" t="str">
        <f t="shared" si="233"/>
        <v>event_team_player_1</v>
      </c>
      <c r="BS452">
        <f>COUNTIFS(S$3:S452,"="&amp;S452,AI$3:AI452,"="&amp;AI452)</f>
        <v>1</v>
      </c>
      <c r="BT452" t="str">
        <f>IFERROR(VLOOKUP(BB452&amp;BU452&amp;X452,game_rosters!U:W,3,FALSE),"")</f>
        <v>P100061</v>
      </c>
      <c r="BU452" t="str">
        <f t="shared" si="234"/>
        <v>Nelson</v>
      </c>
    </row>
    <row r="453" spans="1:73" x14ac:dyDescent="0.2">
      <c r="A453">
        <f t="shared" ref="A453:A516" si="253">IF(K453&lt;&gt;"",1,IF(D453="x","x",""))</f>
        <v>1</v>
      </c>
      <c r="E453" s="4"/>
      <c r="F453" s="43"/>
      <c r="G453" s="4"/>
      <c r="H453" s="46"/>
      <c r="J453" s="44" t="str">
        <f t="shared" si="235"/>
        <v/>
      </c>
      <c r="K453" t="s">
        <v>7</v>
      </c>
      <c r="L453" t="s">
        <v>172</v>
      </c>
      <c r="M453" t="s">
        <v>66</v>
      </c>
      <c r="N453" t="str">
        <f t="shared" si="238"/>
        <v>s</v>
      </c>
      <c r="Q453" t="str">
        <f t="shared" si="236"/>
        <v/>
      </c>
      <c r="S453">
        <v>245</v>
      </c>
      <c r="U453" t="str">
        <f>IF(B453=1,MAX($U$2:$U452)+1,IF(AND($T453&lt;&gt;"",$T453=$T452),$U452,IF(B453="x",U452,"")))</f>
        <v/>
      </c>
      <c r="V453" t="str">
        <f>IF(C453=1,MAX($V$2:$V452)+1,IF(AND($T453&lt;&gt;"",$T453=$T452),$U452,IF(C453="x",V452,"")))</f>
        <v/>
      </c>
      <c r="W453" t="str">
        <f t="shared" si="242"/>
        <v>h</v>
      </c>
      <c r="X453">
        <v>15</v>
      </c>
      <c r="Y453" t="b">
        <f>IF(X453&lt;&gt;"",VLOOKUP(X453,game_rosters!$C$43:$E$64,3,FALSE))</f>
        <v>0</v>
      </c>
      <c r="Z453" cm="1">
        <f t="array" ref="Z453">IFERROR(IF(_xlfn._xlws.FILTER(game_rosters!$J:$J,(game_rosters!$G:$G=events!$AN453)*(game_rosters!$J:$J=events!$X453))&gt;0,1,""),"")</f>
        <v>1</v>
      </c>
      <c r="AA453">
        <f t="shared" si="243"/>
        <v>1245</v>
      </c>
      <c r="AB453" t="str">
        <f t="shared" si="244"/>
        <v/>
      </c>
      <c r="AC453">
        <f t="shared" si="241"/>
        <v>1245</v>
      </c>
      <c r="AD453" s="6">
        <v>1</v>
      </c>
      <c r="AE453" t="s">
        <v>936</v>
      </c>
      <c r="AF453" t="s">
        <v>909</v>
      </c>
      <c r="AG453" t="s">
        <v>756</v>
      </c>
      <c r="AH453" t="s">
        <v>756</v>
      </c>
      <c r="AI453" t="s">
        <v>367</v>
      </c>
      <c r="AJ453" t="str">
        <f t="shared" si="245"/>
        <v/>
      </c>
      <c r="AK453" t="str">
        <f t="shared" si="245"/>
        <v/>
      </c>
      <c r="AL453" t="str">
        <f t="shared" si="246"/>
        <v/>
      </c>
      <c r="AN453" t="s">
        <v>861</v>
      </c>
      <c r="AO453" t="str">
        <f t="shared" si="247"/>
        <v>h</v>
      </c>
      <c r="AP453" t="str">
        <f t="shared" ref="AP453:AP516" si="254">IF(AL453&lt;&gt;"",AL453,IF($AC453=$AC452,AP452,""))</f>
        <v/>
      </c>
      <c r="AQ453" t="str">
        <f t="shared" ref="AQ453:AQ516" si="255">IF(AM453&lt;&gt;"",AM453,IF($AC453=$AC452,AQ452,""))</f>
        <v/>
      </c>
      <c r="AR453" t="str">
        <f t="shared" ref="AR453:AR516" si="256">IF(AN453&lt;&gt;"",AN453,IF($AC453=$AC452,AR452,""))</f>
        <v>Home</v>
      </c>
      <c r="AS453" t="str">
        <f t="shared" ref="AS453:AS516" si="257">IF(AO453&lt;&gt;"",AO453,IF($AC453=$AC452,AS452,""))</f>
        <v>h</v>
      </c>
      <c r="AT453" t="str">
        <f t="shared" ref="AT453:AT516" si="258">IF(AND(AI453="e",OR(BE453="Save",BF453="Turnover_Takeaway",BF453="Play_Defensive")),"Defensive",IF(AND(AI453="o",OR(BE453="Save",BF453="Turnover_Takeaway",BF453="Play_Defensive")),"Offensive",IF(OR(BE453="Deadice",BE453="Stoppage",BE453="Intermission"),"",IF(AI453="e","Offensive",IF(AI453="o","Defensive","")))))</f>
        <v>Offensive</v>
      </c>
      <c r="BA453" s="6">
        <f t="shared" si="248"/>
        <v>110</v>
      </c>
      <c r="BB453">
        <f t="shared" si="249"/>
        <v>18981</v>
      </c>
      <c r="BC453" t="str">
        <f t="shared" si="250"/>
        <v>Nelson</v>
      </c>
      <c r="BD453" t="str">
        <f t="shared" si="251"/>
        <v>Velodrome</v>
      </c>
      <c r="BE453" t="s">
        <v>7</v>
      </c>
      <c r="BF453" t="s">
        <v>172</v>
      </c>
      <c r="BG453" t="s">
        <v>66</v>
      </c>
      <c r="BI453" cm="1">
        <f t="array" ref="BI453">IFERROR(_xlfn._xlws.FILTER(shifts!A:A,(shifts!B:B=events!AD453)*(shifts!AG:AG&gt;=events!BK453)*(shifts!AH:AH&lt;=events!BL453)),BI452)</f>
        <v>25</v>
      </c>
      <c r="BJ453" s="15">
        <f t="shared" si="252"/>
        <v>0</v>
      </c>
      <c r="BK453">
        <f t="shared" ref="BK453:BK516" si="259">(AE453*60)+AF453</f>
        <v>496</v>
      </c>
      <c r="BL453">
        <f t="shared" ref="BL453:BL516" si="260">IF(AND(AG453="",AH453=""),BK453,((AG453*60)+AH453))</f>
        <v>496</v>
      </c>
      <c r="BM453" s="15">
        <f>SUMIFS(BJ$2:BJ453,K$2:K453,"=Intermission")+SUMIFS(BJ$2:BJ453,K$2:K453,"=Timeout")</f>
        <v>0</v>
      </c>
      <c r="BN453">
        <f t="shared" ref="BN453:BN516" si="261">IF(AD453=1,0,IF(AD453=2,1080+BM453,IF(AD453=3,(1080*2)+BM453,0)))</f>
        <v>0</v>
      </c>
      <c r="BO453" s="19">
        <f t="shared" ref="BO453:BO516" si="262">IF(K453="Intermission",BO452,((1080)-((AE453*60)+AF453))+BN453)</f>
        <v>584</v>
      </c>
      <c r="BP453">
        <f t="shared" ref="BP453:BP516" si="263">IF(BO453&lt;5,0,BO453-5)</f>
        <v>579</v>
      </c>
      <c r="BQ453" s="17">
        <f t="shared" ref="BQ453:BQ516" si="264">BP453+BJ453+5</f>
        <v>584</v>
      </c>
      <c r="BR453" t="str">
        <f t="shared" ref="BR453:BR516" si="265">IF(AI453="e","event_team_player_"&amp;BS453,IF(AI453="o","opp_team_player_"&amp;BS453,""))</f>
        <v>event_team_player_2</v>
      </c>
      <c r="BS453">
        <f>COUNTIFS(S$3:S453,"="&amp;S453,AI$3:AI453,"="&amp;AI453)</f>
        <v>2</v>
      </c>
      <c r="BT453" t="str">
        <f>IFERROR(VLOOKUP(BB453&amp;BU453&amp;X453,game_rosters!U:W,3,FALSE),"")</f>
        <v>P100071</v>
      </c>
      <c r="BU453" t="str">
        <f t="shared" ref="BU453:BU516" si="266">IF(AR453="","",IF(AND(AR453="Away",AI453="e"),BD453,IF(AND(AR453="Home",AI453="e"),BC453,IF(AND(AR453="Away",AI453="o"),BC453,IF(AND(AR453="Home",AI453="o"),BD453)))))</f>
        <v>Nelson</v>
      </c>
    </row>
    <row r="454" spans="1:73" x14ac:dyDescent="0.2">
      <c r="A454">
        <f t="shared" si="253"/>
        <v>1</v>
      </c>
      <c r="E454" s="4"/>
      <c r="F454" s="43"/>
      <c r="G454" s="4"/>
      <c r="H454" s="46"/>
      <c r="J454" s="44" t="str">
        <f t="shared" ref="J454:J517" si="267">IF(OR(K454="Goal",K454="Shot",L454="Zone_Entry",M454="Stoppage-Goal",M453="Stoppage-Goal"),"o",IF(OR(K454="Save",K454="Rebound",L454="Zone_Exit",M454="Stoppage-GoalieStoppage",M453="Stoppage-GoalieStoppage"),"d",IF(OR(L454="Faceoff_AfterGoal",L454="Faceoff_PeriodStart",698="Faceoff_GameStart",M453="Stoppage-Goal"),"n","")))</f>
        <v/>
      </c>
      <c r="K454" t="s">
        <v>7</v>
      </c>
      <c r="L454" t="s">
        <v>192</v>
      </c>
      <c r="M454" t="s">
        <v>67</v>
      </c>
      <c r="N454" t="str">
        <f t="shared" si="238"/>
        <v>u</v>
      </c>
      <c r="Q454" t="str">
        <f t="shared" si="236"/>
        <v/>
      </c>
      <c r="S454">
        <v>246</v>
      </c>
      <c r="U454" t="str">
        <f>IF(B454=1,MAX($U$2:$U453)+1,IF(AND($T454&lt;&gt;"",$T454=$T453),$U453,IF(B454="x",U453,"")))</f>
        <v/>
      </c>
      <c r="V454" t="str">
        <f>IF(C454=1,MAX($V$2:$V453)+1,IF(AND($T454&lt;&gt;"",$T454=$T453),$U453,IF(C454="x",V453,"")))</f>
        <v/>
      </c>
      <c r="W454" t="str">
        <f t="shared" si="242"/>
        <v>h</v>
      </c>
      <c r="X454">
        <v>15</v>
      </c>
      <c r="Y454" t="b">
        <f>IF(X454&lt;&gt;"",VLOOKUP(X454,game_rosters!$C$43:$E$64,3,FALSE))</f>
        <v>0</v>
      </c>
      <c r="Z454" cm="1">
        <f t="array" ref="Z454">IFERROR(IF(_xlfn._xlws.FILTER(game_rosters!$J:$J,(game_rosters!$G:$G=events!$AN454)*(game_rosters!$J:$J=events!$X454))&gt;0,1,""),"")</f>
        <v>1</v>
      </c>
      <c r="AA454">
        <f t="shared" si="243"/>
        <v>1246</v>
      </c>
      <c r="AB454" t="str">
        <f t="shared" si="244"/>
        <v/>
      </c>
      <c r="AC454">
        <f t="shared" si="241"/>
        <v>1246</v>
      </c>
      <c r="AD454" s="6">
        <v>1</v>
      </c>
      <c r="AE454" t="s">
        <v>936</v>
      </c>
      <c r="AF454" t="s">
        <v>744</v>
      </c>
      <c r="AG454" t="s">
        <v>756</v>
      </c>
      <c r="AH454" t="s">
        <v>756</v>
      </c>
      <c r="AI454" t="s">
        <v>367</v>
      </c>
      <c r="AJ454" t="str">
        <f t="shared" si="245"/>
        <v/>
      </c>
      <c r="AK454" t="str">
        <f t="shared" si="245"/>
        <v/>
      </c>
      <c r="AL454" t="str">
        <f t="shared" si="246"/>
        <v/>
      </c>
      <c r="AN454" t="s">
        <v>861</v>
      </c>
      <c r="AO454" t="str">
        <f t="shared" si="247"/>
        <v>h</v>
      </c>
      <c r="AP454" t="str">
        <f t="shared" si="254"/>
        <v/>
      </c>
      <c r="AQ454" t="str">
        <f t="shared" si="255"/>
        <v/>
      </c>
      <c r="AR454" t="str">
        <f t="shared" si="256"/>
        <v>Home</v>
      </c>
      <c r="AS454" t="str">
        <f t="shared" si="257"/>
        <v>h</v>
      </c>
      <c r="AT454" t="str">
        <f t="shared" si="258"/>
        <v>Offensive</v>
      </c>
      <c r="BA454" s="6">
        <f t="shared" si="248"/>
        <v>110</v>
      </c>
      <c r="BB454">
        <f t="shared" si="249"/>
        <v>18981</v>
      </c>
      <c r="BC454" t="str">
        <f t="shared" si="250"/>
        <v>Nelson</v>
      </c>
      <c r="BD454" t="str">
        <f t="shared" si="251"/>
        <v>Velodrome</v>
      </c>
      <c r="BE454" t="s">
        <v>7</v>
      </c>
      <c r="BF454" t="s">
        <v>192</v>
      </c>
      <c r="BG454" t="s">
        <v>67</v>
      </c>
      <c r="BI454" cm="1">
        <f t="array" ref="BI454">IFERROR(_xlfn._xlws.FILTER(shifts!A:A,(shifts!B:B=events!AD454)*(shifts!AG:AG&gt;=events!BK454)*(shifts!AH:AH&lt;=events!BL454)),BI453)</f>
        <v>25</v>
      </c>
      <c r="BJ454" s="15">
        <f t="shared" si="252"/>
        <v>0</v>
      </c>
      <c r="BK454">
        <f t="shared" si="259"/>
        <v>495</v>
      </c>
      <c r="BL454">
        <f t="shared" si="260"/>
        <v>495</v>
      </c>
      <c r="BM454" s="15">
        <f>SUMIFS(BJ$2:BJ454,K$2:K454,"=Intermission")+SUMIFS(BJ$2:BJ454,K$2:K454,"=Timeout")</f>
        <v>0</v>
      </c>
      <c r="BN454">
        <f t="shared" si="261"/>
        <v>0</v>
      </c>
      <c r="BO454" s="19">
        <f t="shared" si="262"/>
        <v>585</v>
      </c>
      <c r="BP454">
        <f t="shared" si="263"/>
        <v>580</v>
      </c>
      <c r="BQ454" s="17">
        <f t="shared" si="264"/>
        <v>585</v>
      </c>
      <c r="BR454" t="str">
        <f t="shared" si="265"/>
        <v>event_team_player_1</v>
      </c>
      <c r="BS454">
        <f>COUNTIFS(S$3:S454,"="&amp;S454,AI$3:AI454,"="&amp;AI454)</f>
        <v>1</v>
      </c>
      <c r="BT454" t="str">
        <f>IFERROR(VLOOKUP(BB454&amp;BU454&amp;X454,game_rosters!U:W,3,FALSE),"")</f>
        <v>P100071</v>
      </c>
      <c r="BU454" t="str">
        <f t="shared" si="266"/>
        <v>Nelson</v>
      </c>
    </row>
    <row r="455" spans="1:73" x14ac:dyDescent="0.2">
      <c r="A455">
        <f t="shared" si="253"/>
        <v>1</v>
      </c>
      <c r="E455" s="4"/>
      <c r="F455" s="43"/>
      <c r="G455" s="4"/>
      <c r="H455" s="46"/>
      <c r="J455" s="44" t="str">
        <f t="shared" si="267"/>
        <v/>
      </c>
      <c r="K455" t="s">
        <v>7</v>
      </c>
      <c r="L455" t="s">
        <v>192</v>
      </c>
      <c r="M455" t="s">
        <v>67</v>
      </c>
      <c r="N455" t="str">
        <f t="shared" si="238"/>
        <v>u</v>
      </c>
      <c r="Q455" t="str">
        <f t="shared" si="236"/>
        <v/>
      </c>
      <c r="S455">
        <v>246</v>
      </c>
      <c r="U455" t="str">
        <f>IF(B455=1,MAX($U$2:$U454)+1,IF(AND($T455&lt;&gt;"",$T455=$T454),$U454,IF(B455="x",U454,"")))</f>
        <v/>
      </c>
      <c r="V455" t="str">
        <f>IF(C455=1,MAX($V$2:$V454)+1,IF(AND($T455&lt;&gt;"",$T455=$T454),$U454,IF(C455="x",V454,"")))</f>
        <v/>
      </c>
      <c r="W455" t="str">
        <f t="shared" si="242"/>
        <v>h</v>
      </c>
      <c r="X455">
        <v>44</v>
      </c>
      <c r="Y455" t="b">
        <f>IF(X455&lt;&gt;"",VLOOKUP(X455,game_rosters!$C$43:$E$64,3,FALSE))</f>
        <v>0</v>
      </c>
      <c r="Z455" cm="1">
        <f t="array" ref="Z455">IFERROR(IF(_xlfn._xlws.FILTER(game_rosters!$J:$J,(game_rosters!$G:$G=events!$AN455)*(game_rosters!$J:$J=events!$X455))&gt;0,1,""),"")</f>
        <v>1</v>
      </c>
      <c r="AA455">
        <f t="shared" si="243"/>
        <v>1246</v>
      </c>
      <c r="AB455" t="str">
        <f t="shared" si="244"/>
        <v/>
      </c>
      <c r="AC455">
        <f t="shared" si="241"/>
        <v>1246</v>
      </c>
      <c r="AD455" s="6">
        <v>1</v>
      </c>
      <c r="AE455" t="s">
        <v>936</v>
      </c>
      <c r="AF455" t="s">
        <v>744</v>
      </c>
      <c r="AG455" t="s">
        <v>756</v>
      </c>
      <c r="AH455" t="s">
        <v>756</v>
      </c>
      <c r="AI455" t="s">
        <v>367</v>
      </c>
      <c r="AJ455" t="str">
        <f t="shared" si="245"/>
        <v/>
      </c>
      <c r="AK455" t="str">
        <f t="shared" si="245"/>
        <v/>
      </c>
      <c r="AL455" t="str">
        <f t="shared" si="246"/>
        <v/>
      </c>
      <c r="AN455" t="s">
        <v>861</v>
      </c>
      <c r="AO455" t="str">
        <f t="shared" si="247"/>
        <v>h</v>
      </c>
      <c r="AP455" t="str">
        <f t="shared" si="254"/>
        <v/>
      </c>
      <c r="AQ455" t="str">
        <f t="shared" si="255"/>
        <v/>
      </c>
      <c r="AR455" t="str">
        <f t="shared" si="256"/>
        <v>Home</v>
      </c>
      <c r="AS455" t="str">
        <f t="shared" si="257"/>
        <v>h</v>
      </c>
      <c r="AT455" t="str">
        <f t="shared" si="258"/>
        <v>Offensive</v>
      </c>
      <c r="BA455" s="6">
        <f t="shared" si="248"/>
        <v>110</v>
      </c>
      <c r="BB455">
        <f t="shared" si="249"/>
        <v>18981</v>
      </c>
      <c r="BC455" t="str">
        <f t="shared" si="250"/>
        <v>Nelson</v>
      </c>
      <c r="BD455" t="str">
        <f t="shared" si="251"/>
        <v>Velodrome</v>
      </c>
      <c r="BE455" t="s">
        <v>7</v>
      </c>
      <c r="BF455" t="s">
        <v>192</v>
      </c>
      <c r="BG455" t="s">
        <v>67</v>
      </c>
      <c r="BI455" cm="1">
        <f t="array" ref="BI455">IFERROR(_xlfn._xlws.FILTER(shifts!A:A,(shifts!B:B=events!AD455)*(shifts!AG:AG&gt;=events!BK455)*(shifts!AH:AH&lt;=events!BL455)),BI454)</f>
        <v>25</v>
      </c>
      <c r="BJ455" s="15">
        <f t="shared" si="252"/>
        <v>0</v>
      </c>
      <c r="BK455">
        <f t="shared" si="259"/>
        <v>495</v>
      </c>
      <c r="BL455">
        <f t="shared" si="260"/>
        <v>495</v>
      </c>
      <c r="BM455" s="15">
        <f>SUMIFS(BJ$2:BJ455,K$2:K455,"=Intermission")+SUMIFS(BJ$2:BJ455,K$2:K455,"=Timeout")</f>
        <v>0</v>
      </c>
      <c r="BN455">
        <f t="shared" si="261"/>
        <v>0</v>
      </c>
      <c r="BO455" s="19">
        <f t="shared" si="262"/>
        <v>585</v>
      </c>
      <c r="BP455">
        <f t="shared" si="263"/>
        <v>580</v>
      </c>
      <c r="BQ455" s="17">
        <f t="shared" si="264"/>
        <v>585</v>
      </c>
      <c r="BR455" t="str">
        <f t="shared" si="265"/>
        <v>event_team_player_2</v>
      </c>
      <c r="BS455">
        <f>COUNTIFS(S$3:S455,"="&amp;S455,AI$3:AI455,"="&amp;AI455)</f>
        <v>2</v>
      </c>
      <c r="BT455" t="str">
        <f>IFERROR(VLOOKUP(BB455&amp;BU455&amp;X455,game_rosters!U:W,3,FALSE),"")</f>
        <v>P100079</v>
      </c>
      <c r="BU455" t="str">
        <f t="shared" si="266"/>
        <v>Nelson</v>
      </c>
    </row>
    <row r="456" spans="1:73" x14ac:dyDescent="0.2">
      <c r="A456">
        <f t="shared" si="253"/>
        <v>1</v>
      </c>
      <c r="E456" s="4"/>
      <c r="F456" s="43"/>
      <c r="G456" s="4"/>
      <c r="H456" s="46"/>
      <c r="J456" s="44" t="str">
        <f t="shared" si="267"/>
        <v/>
      </c>
      <c r="K456" t="s">
        <v>7</v>
      </c>
      <c r="L456" t="s">
        <v>192</v>
      </c>
      <c r="M456" t="s">
        <v>67</v>
      </c>
      <c r="N456" t="str">
        <f t="shared" si="238"/>
        <v>u</v>
      </c>
      <c r="Q456" t="str">
        <f t="shared" si="236"/>
        <v/>
      </c>
      <c r="S456">
        <v>246</v>
      </c>
      <c r="U456" t="str">
        <f>IF(B456=1,MAX($U$2:$U455)+1,IF(AND($T456&lt;&gt;"",$T456=$T455),$U455,IF(B456="x",U455,"")))</f>
        <v/>
      </c>
      <c r="V456" t="str">
        <f>IF(C456=1,MAX($V$2:$V455)+1,IF(AND($T456&lt;&gt;"",$T456=$T455),$U455,IF(C456="x",V455,"")))</f>
        <v/>
      </c>
      <c r="W456" t="str">
        <f t="shared" si="242"/>
        <v>h</v>
      </c>
      <c r="X456">
        <v>9</v>
      </c>
      <c r="Y456" t="e">
        <f>IF(X456&lt;&gt;"",VLOOKUP(X456,game_rosters!$C$43:$E$64,3,FALSE))</f>
        <v>#N/A</v>
      </c>
      <c r="Z456" t="str" cm="1">
        <f t="array" ref="Z456">IFERROR(IF(_xlfn._xlws.FILTER(game_rosters!$J:$J,(game_rosters!$G:$G=events!$AN456)*(game_rosters!$J:$J=events!$X456))&gt;0,1,""),"")</f>
        <v/>
      </c>
      <c r="AA456">
        <f t="shared" si="243"/>
        <v>1246</v>
      </c>
      <c r="AB456" t="str">
        <f t="shared" si="244"/>
        <v/>
      </c>
      <c r="AC456">
        <f t="shared" si="241"/>
        <v>1246</v>
      </c>
      <c r="AD456" s="6">
        <v>1</v>
      </c>
      <c r="AE456" t="s">
        <v>936</v>
      </c>
      <c r="AF456" t="s">
        <v>744</v>
      </c>
      <c r="AG456" t="s">
        <v>756</v>
      </c>
      <c r="AH456" t="s">
        <v>756</v>
      </c>
      <c r="AI456" t="s">
        <v>368</v>
      </c>
      <c r="AJ456" t="str">
        <f t="shared" si="245"/>
        <v/>
      </c>
      <c r="AK456" t="str">
        <f t="shared" si="245"/>
        <v/>
      </c>
      <c r="AL456" t="str">
        <f t="shared" si="246"/>
        <v/>
      </c>
      <c r="AN456" t="s">
        <v>861</v>
      </c>
      <c r="AO456" t="str">
        <f t="shared" si="247"/>
        <v>h</v>
      </c>
      <c r="AP456" t="str">
        <f t="shared" si="254"/>
        <v/>
      </c>
      <c r="AQ456" t="str">
        <f t="shared" si="255"/>
        <v/>
      </c>
      <c r="AR456" t="str">
        <f t="shared" si="256"/>
        <v>Home</v>
      </c>
      <c r="AS456" t="str">
        <f t="shared" si="257"/>
        <v>h</v>
      </c>
      <c r="AT456" t="str">
        <f t="shared" si="258"/>
        <v>Defensive</v>
      </c>
      <c r="BA456" s="6">
        <f t="shared" si="248"/>
        <v>110</v>
      </c>
      <c r="BB456">
        <f t="shared" si="249"/>
        <v>18981</v>
      </c>
      <c r="BC456" t="str">
        <f t="shared" si="250"/>
        <v>Nelson</v>
      </c>
      <c r="BD456" t="str">
        <f t="shared" si="251"/>
        <v>Velodrome</v>
      </c>
      <c r="BE456" t="s">
        <v>7</v>
      </c>
      <c r="BF456" t="s">
        <v>192</v>
      </c>
      <c r="BG456" t="s">
        <v>67</v>
      </c>
      <c r="BI456" cm="1">
        <f t="array" ref="BI456">IFERROR(_xlfn._xlws.FILTER(shifts!A:A,(shifts!B:B=events!AD456)*(shifts!AG:AG&gt;=events!BK456)*(shifts!AH:AH&lt;=events!BL456)),BI455)</f>
        <v>25</v>
      </c>
      <c r="BJ456" s="15">
        <f t="shared" si="252"/>
        <v>0</v>
      </c>
      <c r="BK456">
        <f t="shared" si="259"/>
        <v>495</v>
      </c>
      <c r="BL456">
        <f t="shared" si="260"/>
        <v>495</v>
      </c>
      <c r="BM456" s="15">
        <f>SUMIFS(BJ$2:BJ456,K$2:K456,"=Intermission")+SUMIFS(BJ$2:BJ456,K$2:K456,"=Timeout")</f>
        <v>0</v>
      </c>
      <c r="BN456">
        <f t="shared" si="261"/>
        <v>0</v>
      </c>
      <c r="BO456" s="19">
        <f t="shared" si="262"/>
        <v>585</v>
      </c>
      <c r="BP456">
        <f t="shared" si="263"/>
        <v>580</v>
      </c>
      <c r="BQ456" s="17">
        <f t="shared" si="264"/>
        <v>585</v>
      </c>
      <c r="BR456" t="str">
        <f t="shared" si="265"/>
        <v>opp_team_player_1</v>
      </c>
      <c r="BS456">
        <f>COUNTIFS(S$3:S456,"="&amp;S456,AI$3:AI456,"="&amp;AI456)</f>
        <v>1</v>
      </c>
      <c r="BT456" t="str">
        <f>IFERROR(VLOOKUP(BB456&amp;BU456&amp;X456,game_rosters!U:W,3,FALSE),"")</f>
        <v>P100105</v>
      </c>
      <c r="BU456" t="str">
        <f t="shared" si="266"/>
        <v>Velodrome</v>
      </c>
    </row>
    <row r="457" spans="1:73" x14ac:dyDescent="0.2">
      <c r="A457">
        <f t="shared" si="253"/>
        <v>1</v>
      </c>
      <c r="E457" s="4"/>
      <c r="F457" s="43"/>
      <c r="G457" s="4"/>
      <c r="H457" s="46"/>
      <c r="J457" s="44" t="str">
        <f t="shared" si="267"/>
        <v/>
      </c>
      <c r="K457" t="s">
        <v>7</v>
      </c>
      <c r="L457" t="s">
        <v>192</v>
      </c>
      <c r="M457" t="s">
        <v>67</v>
      </c>
      <c r="N457" t="str">
        <f t="shared" si="238"/>
        <v>u</v>
      </c>
      <c r="Q457" t="str">
        <f t="shared" si="236"/>
        <v/>
      </c>
      <c r="S457">
        <v>246</v>
      </c>
      <c r="U457" t="str">
        <f>IF(B457=1,MAX($U$2:$U456)+1,IF(AND($T457&lt;&gt;"",$T457=$T456),$U456,IF(B457="x",U456,"")))</f>
        <v/>
      </c>
      <c r="V457" t="str">
        <f>IF(C457=1,MAX($V$2:$V456)+1,IF(AND($T457&lt;&gt;"",$T457=$T456),$U456,IF(C457="x",V456,"")))</f>
        <v/>
      </c>
      <c r="W457" t="str">
        <f t="shared" si="242"/>
        <v>h</v>
      </c>
      <c r="X457">
        <v>52</v>
      </c>
      <c r="Y457" t="e">
        <f>IF(X457&lt;&gt;"",VLOOKUP(X457,game_rosters!$C$43:$E$64,3,FALSE))</f>
        <v>#N/A</v>
      </c>
      <c r="Z457" t="str" cm="1">
        <f t="array" ref="Z457">IFERROR(IF(_xlfn._xlws.FILTER(game_rosters!$J:$J,(game_rosters!$G:$G=events!$AN457)*(game_rosters!$J:$J=events!$X457))&gt;0,1,""),"")</f>
        <v/>
      </c>
      <c r="AA457">
        <f t="shared" si="243"/>
        <v>1246</v>
      </c>
      <c r="AB457" t="str">
        <f t="shared" si="244"/>
        <v/>
      </c>
      <c r="AC457">
        <f t="shared" si="241"/>
        <v>1246</v>
      </c>
      <c r="AD457" s="6">
        <v>1</v>
      </c>
      <c r="AE457" t="s">
        <v>936</v>
      </c>
      <c r="AF457" t="s">
        <v>744</v>
      </c>
      <c r="AG457" t="s">
        <v>756</v>
      </c>
      <c r="AH457" t="s">
        <v>756</v>
      </c>
      <c r="AI457" t="s">
        <v>368</v>
      </c>
      <c r="AJ457" t="str">
        <f t="shared" si="245"/>
        <v/>
      </c>
      <c r="AK457" t="str">
        <f t="shared" si="245"/>
        <v/>
      </c>
      <c r="AL457" t="str">
        <f t="shared" si="246"/>
        <v/>
      </c>
      <c r="AN457" t="s">
        <v>861</v>
      </c>
      <c r="AO457" t="str">
        <f t="shared" si="247"/>
        <v>h</v>
      </c>
      <c r="AP457" t="str">
        <f t="shared" si="254"/>
        <v/>
      </c>
      <c r="AQ457" t="str">
        <f t="shared" si="255"/>
        <v/>
      </c>
      <c r="AR457" t="str">
        <f t="shared" si="256"/>
        <v>Home</v>
      </c>
      <c r="AS457" t="str">
        <f t="shared" si="257"/>
        <v>h</v>
      </c>
      <c r="AT457" t="str">
        <f t="shared" si="258"/>
        <v>Defensive</v>
      </c>
      <c r="BA457" s="6">
        <f t="shared" si="248"/>
        <v>110</v>
      </c>
      <c r="BB457">
        <f t="shared" si="249"/>
        <v>18981</v>
      </c>
      <c r="BC457" t="str">
        <f t="shared" si="250"/>
        <v>Nelson</v>
      </c>
      <c r="BD457" t="str">
        <f t="shared" si="251"/>
        <v>Velodrome</v>
      </c>
      <c r="BE457" t="s">
        <v>7</v>
      </c>
      <c r="BF457" t="s">
        <v>192</v>
      </c>
      <c r="BG457" t="s">
        <v>67</v>
      </c>
      <c r="BI457" cm="1">
        <f t="array" ref="BI457">IFERROR(_xlfn._xlws.FILTER(shifts!A:A,(shifts!B:B=events!AD457)*(shifts!AG:AG&gt;=events!BK457)*(shifts!AH:AH&lt;=events!BL457)),BI456)</f>
        <v>25</v>
      </c>
      <c r="BJ457" s="15">
        <f t="shared" si="252"/>
        <v>0</v>
      </c>
      <c r="BK457">
        <f t="shared" si="259"/>
        <v>495</v>
      </c>
      <c r="BL457">
        <f t="shared" si="260"/>
        <v>495</v>
      </c>
      <c r="BM457" s="15">
        <f>SUMIFS(BJ$2:BJ457,K$2:K457,"=Intermission")+SUMIFS(BJ$2:BJ457,K$2:K457,"=Timeout")</f>
        <v>0</v>
      </c>
      <c r="BN457">
        <f t="shared" si="261"/>
        <v>0</v>
      </c>
      <c r="BO457" s="19">
        <f t="shared" si="262"/>
        <v>585</v>
      </c>
      <c r="BP457">
        <f t="shared" si="263"/>
        <v>580</v>
      </c>
      <c r="BQ457" s="17">
        <f t="shared" si="264"/>
        <v>585</v>
      </c>
      <c r="BR457" t="str">
        <f t="shared" si="265"/>
        <v>opp_team_player_2</v>
      </c>
      <c r="BS457">
        <f>COUNTIFS(S$3:S457,"="&amp;S457,AI$3:AI457,"="&amp;AI457)</f>
        <v>2</v>
      </c>
      <c r="BT457" t="str">
        <f>IFERROR(VLOOKUP(BB457&amp;BU457&amp;X457,game_rosters!U:W,3,FALSE),"")</f>
        <v>P100070</v>
      </c>
      <c r="BU457" t="str">
        <f t="shared" si="266"/>
        <v>Velodrome</v>
      </c>
    </row>
    <row r="458" spans="1:73" x14ac:dyDescent="0.2">
      <c r="A458">
        <f t="shared" si="253"/>
        <v>1</v>
      </c>
      <c r="E458" s="4"/>
      <c r="F458" s="43"/>
      <c r="G458" s="4"/>
      <c r="H458" s="46"/>
      <c r="J458" s="44" t="str">
        <f t="shared" si="267"/>
        <v/>
      </c>
      <c r="K458" t="s">
        <v>9</v>
      </c>
      <c r="L458" t="s">
        <v>173</v>
      </c>
      <c r="M458" t="s">
        <v>75</v>
      </c>
      <c r="N458" t="str">
        <f t="shared" si="238"/>
        <v>u</v>
      </c>
      <c r="Q458" t="str">
        <f t="shared" si="236"/>
        <v/>
      </c>
      <c r="S458">
        <v>247</v>
      </c>
      <c r="U458" t="str">
        <f>IF(B458=1,MAX($U$2:$U457)+1,IF(AND($T458&lt;&gt;"",$T458=$T457),$U457,IF(B458="x",U457,"")))</f>
        <v/>
      </c>
      <c r="V458" t="str">
        <f>IF(C458=1,MAX($V$2:$V457)+1,IF(AND($T458&lt;&gt;"",$T458=$T457),$U457,IF(C458="x",V457,"")))</f>
        <v/>
      </c>
      <c r="W458" t="str">
        <f t="shared" si="242"/>
        <v>h</v>
      </c>
      <c r="X458">
        <v>15</v>
      </c>
      <c r="Y458" t="b">
        <f>IF(X458&lt;&gt;"",VLOOKUP(X458,game_rosters!$C$43:$E$64,3,FALSE))</f>
        <v>0</v>
      </c>
      <c r="Z458" cm="1">
        <f t="array" ref="Z458">IFERROR(IF(_xlfn._xlws.FILTER(game_rosters!$J:$J,(game_rosters!$G:$G=events!$AN458)*(game_rosters!$J:$J=events!$X458))&gt;0,1,""),"")</f>
        <v>1</v>
      </c>
      <c r="AA458">
        <f t="shared" si="243"/>
        <v>1247</v>
      </c>
      <c r="AB458" t="str">
        <f t="shared" si="244"/>
        <v/>
      </c>
      <c r="AC458">
        <f t="shared" si="241"/>
        <v>1247</v>
      </c>
      <c r="AD458" s="6">
        <v>1</v>
      </c>
      <c r="AE458" t="s">
        <v>936</v>
      </c>
      <c r="AF458" t="s">
        <v>744</v>
      </c>
      <c r="AG458" t="s">
        <v>756</v>
      </c>
      <c r="AH458" t="s">
        <v>756</v>
      </c>
      <c r="AI458" t="s">
        <v>367</v>
      </c>
      <c r="AJ458" t="str">
        <f t="shared" si="245"/>
        <v/>
      </c>
      <c r="AK458" t="str">
        <f t="shared" si="245"/>
        <v/>
      </c>
      <c r="AL458" t="str">
        <f t="shared" si="246"/>
        <v/>
      </c>
      <c r="AN458" t="s">
        <v>861</v>
      </c>
      <c r="AO458" t="str">
        <f t="shared" si="247"/>
        <v>h</v>
      </c>
      <c r="AP458" t="str">
        <f t="shared" si="254"/>
        <v/>
      </c>
      <c r="AQ458" t="str">
        <f t="shared" si="255"/>
        <v/>
      </c>
      <c r="AR458" t="str">
        <f t="shared" si="256"/>
        <v>Home</v>
      </c>
      <c r="AS458" t="str">
        <f t="shared" si="257"/>
        <v>h</v>
      </c>
      <c r="AT458" t="str">
        <f t="shared" si="258"/>
        <v>Offensive</v>
      </c>
      <c r="BA458" s="6">
        <f t="shared" si="248"/>
        <v>110</v>
      </c>
      <c r="BB458">
        <f t="shared" si="249"/>
        <v>18981</v>
      </c>
      <c r="BC458" t="str">
        <f t="shared" si="250"/>
        <v>Nelson</v>
      </c>
      <c r="BD458" t="str">
        <f t="shared" si="251"/>
        <v>Velodrome</v>
      </c>
      <c r="BE458" t="s">
        <v>9</v>
      </c>
      <c r="BF458" t="s">
        <v>173</v>
      </c>
      <c r="BG458" t="s">
        <v>75</v>
      </c>
      <c r="BI458" cm="1">
        <f t="array" ref="BI458">IFERROR(_xlfn._xlws.FILTER(shifts!A:A,(shifts!B:B=events!AD458)*(shifts!AG:AG&gt;=events!BK458)*(shifts!AH:AH&lt;=events!BL458)),BI457)</f>
        <v>25</v>
      </c>
      <c r="BJ458" s="15">
        <f t="shared" si="252"/>
        <v>0</v>
      </c>
      <c r="BK458">
        <f t="shared" si="259"/>
        <v>495</v>
      </c>
      <c r="BL458">
        <f t="shared" si="260"/>
        <v>495</v>
      </c>
      <c r="BM458" s="15">
        <f>SUMIFS(BJ$2:BJ458,K$2:K458,"=Intermission")+SUMIFS(BJ$2:BJ458,K$2:K458,"=Timeout")</f>
        <v>0</v>
      </c>
      <c r="BN458">
        <f t="shared" si="261"/>
        <v>0</v>
      </c>
      <c r="BO458" s="19">
        <f t="shared" si="262"/>
        <v>585</v>
      </c>
      <c r="BP458">
        <f t="shared" si="263"/>
        <v>580</v>
      </c>
      <c r="BQ458" s="17">
        <f t="shared" si="264"/>
        <v>585</v>
      </c>
      <c r="BR458" t="str">
        <f t="shared" si="265"/>
        <v>event_team_player_1</v>
      </c>
      <c r="BS458">
        <f>COUNTIFS(S$3:S458,"="&amp;S458,AI$3:AI458,"="&amp;AI458)</f>
        <v>1</v>
      </c>
      <c r="BT458" t="str">
        <f>IFERROR(VLOOKUP(BB458&amp;BU458&amp;X458,game_rosters!U:W,3,FALSE),"")</f>
        <v>P100071</v>
      </c>
      <c r="BU458" t="str">
        <f t="shared" si="266"/>
        <v>Nelson</v>
      </c>
    </row>
    <row r="459" spans="1:73" x14ac:dyDescent="0.2">
      <c r="A459">
        <f t="shared" si="253"/>
        <v>1</v>
      </c>
      <c r="E459" s="4"/>
      <c r="F459" s="43"/>
      <c r="G459" s="4"/>
      <c r="H459" s="46"/>
      <c r="J459" s="44" t="str">
        <f t="shared" si="267"/>
        <v>d</v>
      </c>
      <c r="K459" t="s">
        <v>238</v>
      </c>
      <c r="L459" t="s">
        <v>184</v>
      </c>
      <c r="M459" t="s">
        <v>90</v>
      </c>
      <c r="N459" t="str">
        <f t="shared" si="238"/>
        <v>s</v>
      </c>
      <c r="Q459" t="str">
        <f t="shared" si="236"/>
        <v/>
      </c>
      <c r="S459">
        <v>248</v>
      </c>
      <c r="U459" t="str">
        <f>IF(B459=1,MAX($U$2:$U458)+1,IF(AND($T459&lt;&gt;"",$T459=$T458),$U458,IF(B459="x",U458,"")))</f>
        <v/>
      </c>
      <c r="V459" t="str">
        <f>IF(C459=1,MAX($V$2:$V458)+1,IF(AND($T459&lt;&gt;"",$T459=$T458),$U458,IF(C459="x",V458,"")))</f>
        <v/>
      </c>
      <c r="W459" t="str">
        <f t="shared" si="242"/>
        <v>a</v>
      </c>
      <c r="X459">
        <v>9</v>
      </c>
      <c r="Y459" t="e">
        <f>IF(X459&lt;&gt;"",VLOOKUP(X459,game_rosters!$C$43:$E$64,3,FALSE))</f>
        <v>#N/A</v>
      </c>
      <c r="Z459" cm="1">
        <f t="array" ref="Z459">IFERROR(IF(_xlfn._xlws.FILTER(game_rosters!$J:$J,(game_rosters!$G:$G=events!$AN459)*(game_rosters!$J:$J=events!$X459))&gt;0,1,""),"")</f>
        <v>1</v>
      </c>
      <c r="AA459">
        <f t="shared" si="243"/>
        <v>1248</v>
      </c>
      <c r="AB459" t="str">
        <f t="shared" si="244"/>
        <v/>
      </c>
      <c r="AC459">
        <f t="shared" si="241"/>
        <v>1248</v>
      </c>
      <c r="AD459" s="6">
        <v>1</v>
      </c>
      <c r="AE459" t="s">
        <v>936</v>
      </c>
      <c r="AF459" t="s">
        <v>745</v>
      </c>
      <c r="AG459" t="s">
        <v>756</v>
      </c>
      <c r="AH459" t="s">
        <v>756</v>
      </c>
      <c r="AI459" t="s">
        <v>367</v>
      </c>
      <c r="AJ459" t="str">
        <f t="shared" si="245"/>
        <v>d</v>
      </c>
      <c r="AK459" t="str">
        <f t="shared" si="245"/>
        <v>d</v>
      </c>
      <c r="AL459" t="str">
        <f t="shared" si="246"/>
        <v>o</v>
      </c>
      <c r="AN459" t="s">
        <v>862</v>
      </c>
      <c r="AO459" t="str">
        <f t="shared" si="247"/>
        <v>a</v>
      </c>
      <c r="AP459" t="str">
        <f t="shared" si="254"/>
        <v>o</v>
      </c>
      <c r="AQ459" t="str">
        <f t="shared" si="255"/>
        <v/>
      </c>
      <c r="AR459" t="str">
        <f t="shared" si="256"/>
        <v>Away</v>
      </c>
      <c r="AS459" t="str">
        <f t="shared" si="257"/>
        <v>a</v>
      </c>
      <c r="AT459" t="str">
        <f t="shared" si="258"/>
        <v>Offensive</v>
      </c>
      <c r="BA459" s="6">
        <f t="shared" si="248"/>
        <v>111</v>
      </c>
      <c r="BB459">
        <f t="shared" si="249"/>
        <v>18981</v>
      </c>
      <c r="BC459" t="str">
        <f t="shared" si="250"/>
        <v>Nelson</v>
      </c>
      <c r="BD459" t="str">
        <f t="shared" si="251"/>
        <v>Velodrome</v>
      </c>
      <c r="BE459" t="s">
        <v>238</v>
      </c>
      <c r="BF459" t="s">
        <v>184</v>
      </c>
      <c r="BG459" t="s">
        <v>90</v>
      </c>
      <c r="BI459" cm="1">
        <f t="array" ref="BI459">IFERROR(_xlfn._xlws.FILTER(shifts!A:A,(shifts!B:B=events!AD459)*(shifts!AG:AG&gt;=events!BK459)*(shifts!AH:AH&lt;=events!BL459)),BI458)</f>
        <v>25</v>
      </c>
      <c r="BJ459" s="15">
        <f t="shared" si="252"/>
        <v>0</v>
      </c>
      <c r="BK459">
        <f t="shared" si="259"/>
        <v>494</v>
      </c>
      <c r="BL459">
        <f t="shared" si="260"/>
        <v>494</v>
      </c>
      <c r="BM459" s="15">
        <f>SUMIFS(BJ$2:BJ459,K$2:K459,"=Intermission")+SUMIFS(BJ$2:BJ459,K$2:K459,"=Timeout")</f>
        <v>0</v>
      </c>
      <c r="BN459">
        <f t="shared" si="261"/>
        <v>0</v>
      </c>
      <c r="BO459" s="19">
        <f t="shared" si="262"/>
        <v>586</v>
      </c>
      <c r="BP459">
        <f t="shared" si="263"/>
        <v>581</v>
      </c>
      <c r="BQ459" s="17">
        <f t="shared" si="264"/>
        <v>586</v>
      </c>
      <c r="BR459" t="str">
        <f t="shared" si="265"/>
        <v>event_team_player_1</v>
      </c>
      <c r="BS459">
        <f>COUNTIFS(S$3:S459,"="&amp;S459,AI$3:AI459,"="&amp;AI459)</f>
        <v>1</v>
      </c>
      <c r="BT459" t="str">
        <f>IFERROR(VLOOKUP(BB459&amp;BU459&amp;X459,game_rosters!U:W,3,FALSE),"")</f>
        <v>P100105</v>
      </c>
      <c r="BU459" t="str">
        <f t="shared" si="266"/>
        <v>Velodrome</v>
      </c>
    </row>
    <row r="460" spans="1:73" x14ac:dyDescent="0.2">
      <c r="A460">
        <f t="shared" si="253"/>
        <v>1</v>
      </c>
      <c r="E460" s="4"/>
      <c r="F460" s="43"/>
      <c r="G460" s="4"/>
      <c r="H460" s="46"/>
      <c r="J460" s="44" t="str">
        <f t="shared" si="267"/>
        <v/>
      </c>
      <c r="K460" t="s">
        <v>9</v>
      </c>
      <c r="L460" t="s">
        <v>173</v>
      </c>
      <c r="M460" t="s">
        <v>354</v>
      </c>
      <c r="N460" t="str">
        <f t="shared" si="238"/>
        <v>u</v>
      </c>
      <c r="Q460" t="str">
        <f t="shared" si="236"/>
        <v/>
      </c>
      <c r="S460">
        <v>249</v>
      </c>
      <c r="U460" t="str">
        <f>IF(B460=1,MAX($U$2:$U459)+1,IF(AND($T460&lt;&gt;"",$T460=$T459),$U459,IF(B460="x",U459,"")))</f>
        <v/>
      </c>
      <c r="V460" t="str">
        <f>IF(C460=1,MAX($V$2:$V459)+1,IF(AND($T460&lt;&gt;"",$T460=$T459),$U459,IF(C460="x",V459,"")))</f>
        <v/>
      </c>
      <c r="W460" t="str">
        <f t="shared" si="242"/>
        <v>a</v>
      </c>
      <c r="X460">
        <v>9</v>
      </c>
      <c r="Y460" t="e">
        <f>IF(X460&lt;&gt;"",VLOOKUP(X460,game_rosters!$C$43:$E$64,3,FALSE))</f>
        <v>#N/A</v>
      </c>
      <c r="Z460" cm="1">
        <f t="array" ref="Z460">IFERROR(IF(_xlfn._xlws.FILTER(game_rosters!$J:$J,(game_rosters!$G:$G=events!$AN460)*(game_rosters!$J:$J=events!$X460))&gt;0,1,""),"")</f>
        <v>1</v>
      </c>
      <c r="AA460">
        <f t="shared" si="243"/>
        <v>1249</v>
      </c>
      <c r="AB460" t="str">
        <f t="shared" si="244"/>
        <v/>
      </c>
      <c r="AC460">
        <f t="shared" si="241"/>
        <v>1249</v>
      </c>
      <c r="AD460" s="6">
        <v>1</v>
      </c>
      <c r="AE460" t="s">
        <v>936</v>
      </c>
      <c r="AF460" t="s">
        <v>745</v>
      </c>
      <c r="AG460" t="s">
        <v>756</v>
      </c>
      <c r="AH460" t="s">
        <v>756</v>
      </c>
      <c r="AI460" t="s">
        <v>367</v>
      </c>
      <c r="AJ460" t="str">
        <f t="shared" si="245"/>
        <v/>
      </c>
      <c r="AK460" t="str">
        <f t="shared" si="245"/>
        <v/>
      </c>
      <c r="AL460" t="str">
        <f t="shared" si="246"/>
        <v/>
      </c>
      <c r="AN460" t="s">
        <v>862</v>
      </c>
      <c r="AO460" t="str">
        <f t="shared" si="247"/>
        <v>a</v>
      </c>
      <c r="AP460" t="str">
        <f t="shared" si="254"/>
        <v/>
      </c>
      <c r="AQ460" t="str">
        <f t="shared" si="255"/>
        <v/>
      </c>
      <c r="AR460" t="str">
        <f t="shared" si="256"/>
        <v>Away</v>
      </c>
      <c r="AS460" t="str">
        <f t="shared" si="257"/>
        <v>a</v>
      </c>
      <c r="AT460" t="str">
        <f t="shared" si="258"/>
        <v>Offensive</v>
      </c>
      <c r="BA460" s="6">
        <f t="shared" si="248"/>
        <v>111</v>
      </c>
      <c r="BB460">
        <f t="shared" si="249"/>
        <v>18981</v>
      </c>
      <c r="BC460" t="str">
        <f t="shared" si="250"/>
        <v>Nelson</v>
      </c>
      <c r="BD460" t="str">
        <f t="shared" si="251"/>
        <v>Velodrome</v>
      </c>
      <c r="BE460" t="s">
        <v>9</v>
      </c>
      <c r="BF460" t="s">
        <v>173</v>
      </c>
      <c r="BG460" t="s">
        <v>354</v>
      </c>
      <c r="BI460" cm="1">
        <f t="array" ref="BI460">IFERROR(_xlfn._xlws.FILTER(shifts!A:A,(shifts!B:B=events!AD460)*(shifts!AG:AG&gt;=events!BK460)*(shifts!AH:AH&lt;=events!BL460)),BI459)</f>
        <v>25</v>
      </c>
      <c r="BJ460" s="15">
        <f t="shared" si="252"/>
        <v>0</v>
      </c>
      <c r="BK460">
        <f t="shared" si="259"/>
        <v>494</v>
      </c>
      <c r="BL460">
        <f t="shared" si="260"/>
        <v>494</v>
      </c>
      <c r="BM460" s="15">
        <f>SUMIFS(BJ$2:BJ460,K$2:K460,"=Intermission")+SUMIFS(BJ$2:BJ460,K$2:K460,"=Timeout")</f>
        <v>0</v>
      </c>
      <c r="BN460">
        <f t="shared" si="261"/>
        <v>0</v>
      </c>
      <c r="BO460" s="19">
        <f t="shared" si="262"/>
        <v>586</v>
      </c>
      <c r="BP460">
        <f t="shared" si="263"/>
        <v>581</v>
      </c>
      <c r="BQ460" s="17">
        <f t="shared" si="264"/>
        <v>586</v>
      </c>
      <c r="BR460" t="str">
        <f t="shared" si="265"/>
        <v>event_team_player_1</v>
      </c>
      <c r="BS460">
        <f>COUNTIFS(S$3:S460,"="&amp;S460,AI$3:AI460,"="&amp;AI460)</f>
        <v>1</v>
      </c>
      <c r="BT460" t="str">
        <f>IFERROR(VLOOKUP(BB460&amp;BU460&amp;X460,game_rosters!U:W,3,FALSE),"")</f>
        <v>P100105</v>
      </c>
      <c r="BU460" t="str">
        <f t="shared" si="266"/>
        <v>Velodrome</v>
      </c>
    </row>
    <row r="461" spans="1:73" x14ac:dyDescent="0.2">
      <c r="A461">
        <f t="shared" si="253"/>
        <v>1</v>
      </c>
      <c r="E461" s="4"/>
      <c r="F461" s="43"/>
      <c r="G461" s="4"/>
      <c r="H461" s="46"/>
      <c r="J461" s="44" t="str">
        <f t="shared" si="267"/>
        <v/>
      </c>
      <c r="K461" t="s">
        <v>13</v>
      </c>
      <c r="L461" t="s">
        <v>756</v>
      </c>
      <c r="M461" t="s">
        <v>756</v>
      </c>
      <c r="N461" t="str">
        <f t="shared" si="238"/>
        <v/>
      </c>
      <c r="Q461" t="str">
        <f t="shared" si="236"/>
        <v/>
      </c>
      <c r="S461">
        <v>250</v>
      </c>
      <c r="U461" t="str">
        <f>IF(B461=1,MAX($U$2:$U460)+1,IF(AND($T461&lt;&gt;"",$T461=$T460),$U460,IF(B461="x",U460,"")))</f>
        <v/>
      </c>
      <c r="V461" t="str">
        <f>IF(C461=1,MAX($V$2:$V460)+1,IF(AND($T461&lt;&gt;"",$T461=$T460),$U460,IF(C461="x",V460,"")))</f>
        <v/>
      </c>
      <c r="W461" t="str">
        <f t="shared" si="242"/>
        <v>h</v>
      </c>
      <c r="X461">
        <v>37</v>
      </c>
      <c r="Y461" t="b">
        <f>IF(X461&lt;&gt;"",VLOOKUP(X461,game_rosters!$C$43:$E$64,3,FALSE))</f>
        <v>0</v>
      </c>
      <c r="Z461" cm="1">
        <f t="array" ref="Z461">IFERROR(IF(_xlfn._xlws.FILTER(game_rosters!$J:$J,(game_rosters!$G:$G=events!$AN461)*(game_rosters!$J:$J=events!$X461))&gt;0,1,""),"")</f>
        <v>1</v>
      </c>
      <c r="AA461">
        <f t="shared" si="243"/>
        <v>1250</v>
      </c>
      <c r="AB461" t="str">
        <f t="shared" si="244"/>
        <v/>
      </c>
      <c r="AC461">
        <f t="shared" si="241"/>
        <v>1250</v>
      </c>
      <c r="AD461" s="6">
        <v>1</v>
      </c>
      <c r="AE461" t="s">
        <v>936</v>
      </c>
      <c r="AF461" t="s">
        <v>754</v>
      </c>
      <c r="AG461" t="s">
        <v>936</v>
      </c>
      <c r="AH461" t="s">
        <v>911</v>
      </c>
      <c r="AI461" t="s">
        <v>367</v>
      </c>
      <c r="AJ461" t="str">
        <f t="shared" si="245"/>
        <v/>
      </c>
      <c r="AK461" t="str">
        <f t="shared" si="245"/>
        <v/>
      </c>
      <c r="AL461" t="str">
        <f t="shared" si="246"/>
        <v/>
      </c>
      <c r="AN461" t="s">
        <v>861</v>
      </c>
      <c r="AO461" t="str">
        <f t="shared" si="247"/>
        <v>h</v>
      </c>
      <c r="AP461" t="str">
        <f t="shared" si="254"/>
        <v/>
      </c>
      <c r="AQ461" t="str">
        <f t="shared" si="255"/>
        <v/>
      </c>
      <c r="AR461" t="str">
        <f t="shared" si="256"/>
        <v>Home</v>
      </c>
      <c r="AS461" t="str">
        <f t="shared" si="257"/>
        <v>h</v>
      </c>
      <c r="AT461" t="str">
        <f t="shared" si="258"/>
        <v>Offensive</v>
      </c>
      <c r="BA461" s="6">
        <f t="shared" si="248"/>
        <v>111</v>
      </c>
      <c r="BB461">
        <f t="shared" si="249"/>
        <v>18981</v>
      </c>
      <c r="BC461" t="str">
        <f t="shared" si="250"/>
        <v>Nelson</v>
      </c>
      <c r="BD461" t="str">
        <f t="shared" si="251"/>
        <v>Velodrome</v>
      </c>
      <c r="BE461" t="s">
        <v>13</v>
      </c>
      <c r="BF461" t="s">
        <v>756</v>
      </c>
      <c r="BG461" t="s">
        <v>756</v>
      </c>
      <c r="BI461" cm="1">
        <f t="array" ref="BI461">IFERROR(_xlfn._xlws.FILTER(shifts!A:A,(shifts!B:B=events!AD461)*(shifts!AG:AG&gt;=events!BK461)*(shifts!AH:AH&lt;=events!BL461)),BI460)</f>
        <v>25</v>
      </c>
      <c r="BJ461" s="15">
        <f t="shared" si="252"/>
        <v>5</v>
      </c>
      <c r="BK461">
        <f t="shared" si="259"/>
        <v>491</v>
      </c>
      <c r="BL461">
        <f t="shared" si="260"/>
        <v>486</v>
      </c>
      <c r="BM461" s="15">
        <f>SUMIFS(BJ$2:BJ461,K$2:K461,"=Intermission")+SUMIFS(BJ$2:BJ461,K$2:K461,"=Timeout")</f>
        <v>0</v>
      </c>
      <c r="BN461">
        <f t="shared" si="261"/>
        <v>0</v>
      </c>
      <c r="BO461" s="19">
        <f t="shared" si="262"/>
        <v>589</v>
      </c>
      <c r="BP461">
        <f t="shared" si="263"/>
        <v>584</v>
      </c>
      <c r="BQ461" s="17">
        <f t="shared" si="264"/>
        <v>594</v>
      </c>
      <c r="BR461" t="str">
        <f t="shared" si="265"/>
        <v>event_team_player_1</v>
      </c>
      <c r="BS461">
        <f>COUNTIFS(S$3:S461,"="&amp;S461,AI$3:AI461,"="&amp;AI461)</f>
        <v>1</v>
      </c>
      <c r="BT461" t="str">
        <f>IFERROR(VLOOKUP(BB461&amp;BU461&amp;X461,game_rosters!U:W,3,FALSE),"")</f>
        <v>P100119</v>
      </c>
      <c r="BU461" t="str">
        <f t="shared" si="266"/>
        <v>Nelson</v>
      </c>
    </row>
    <row r="462" spans="1:73" x14ac:dyDescent="0.2">
      <c r="A462">
        <f t="shared" si="253"/>
        <v>1</v>
      </c>
      <c r="E462" s="4"/>
      <c r="F462" s="43"/>
      <c r="G462" s="4"/>
      <c r="H462" s="46"/>
      <c r="J462" s="44" t="str">
        <f t="shared" si="267"/>
        <v/>
      </c>
      <c r="K462" t="s">
        <v>13</v>
      </c>
      <c r="L462" t="s">
        <v>756</v>
      </c>
      <c r="M462" t="s">
        <v>756</v>
      </c>
      <c r="N462" t="str">
        <f t="shared" si="238"/>
        <v/>
      </c>
      <c r="Q462" t="str">
        <f t="shared" si="236"/>
        <v/>
      </c>
      <c r="S462">
        <v>251</v>
      </c>
      <c r="U462" t="str">
        <f>IF(B462=1,MAX($U$2:$U461)+1,IF(AND($T462&lt;&gt;"",$T462=$T461),$U461,IF(B462="x",U461,"")))</f>
        <v/>
      </c>
      <c r="V462" t="str">
        <f>IF(C462=1,MAX($V$2:$V461)+1,IF(AND($T462&lt;&gt;"",$T462=$T461),$U461,IF(C462="x",V461,"")))</f>
        <v/>
      </c>
      <c r="W462" t="str">
        <f t="shared" si="242"/>
        <v>h</v>
      </c>
      <c r="X462">
        <v>37</v>
      </c>
      <c r="Y462" t="b">
        <f>IF(X462&lt;&gt;"",VLOOKUP(X462,game_rosters!$C$43:$E$64,3,FALSE))</f>
        <v>0</v>
      </c>
      <c r="Z462" cm="1">
        <f t="array" ref="Z462">IFERROR(IF(_xlfn._xlws.FILTER(game_rosters!$J:$J,(game_rosters!$G:$G=events!$AN462)*(game_rosters!$J:$J=events!$X462))&gt;0,1,""),"")</f>
        <v>1</v>
      </c>
      <c r="AA462">
        <f t="shared" si="243"/>
        <v>1251</v>
      </c>
      <c r="AB462" t="str">
        <f t="shared" si="244"/>
        <v/>
      </c>
      <c r="AC462">
        <f t="shared" si="241"/>
        <v>1251</v>
      </c>
      <c r="AD462" s="6">
        <v>1</v>
      </c>
      <c r="AE462" t="s">
        <v>936</v>
      </c>
      <c r="AF462" t="s">
        <v>911</v>
      </c>
      <c r="AG462" t="s">
        <v>936</v>
      </c>
      <c r="AH462" t="s">
        <v>925</v>
      </c>
      <c r="AI462" t="s">
        <v>367</v>
      </c>
      <c r="AJ462" t="str">
        <f t="shared" si="245"/>
        <v/>
      </c>
      <c r="AK462" t="str">
        <f t="shared" si="245"/>
        <v/>
      </c>
      <c r="AL462" t="str">
        <f t="shared" si="246"/>
        <v/>
      </c>
      <c r="AN462" t="s">
        <v>861</v>
      </c>
      <c r="AO462" t="str">
        <f t="shared" si="247"/>
        <v>h</v>
      </c>
      <c r="AP462" t="str">
        <f t="shared" si="254"/>
        <v/>
      </c>
      <c r="AQ462" t="str">
        <f t="shared" si="255"/>
        <v/>
      </c>
      <c r="AR462" t="str">
        <f t="shared" si="256"/>
        <v>Home</v>
      </c>
      <c r="AS462" t="str">
        <f t="shared" si="257"/>
        <v>h</v>
      </c>
      <c r="AT462" t="str">
        <f t="shared" si="258"/>
        <v>Offensive</v>
      </c>
      <c r="BA462" s="6">
        <f t="shared" si="248"/>
        <v>111</v>
      </c>
      <c r="BB462">
        <f t="shared" si="249"/>
        <v>18981</v>
      </c>
      <c r="BC462" t="str">
        <f t="shared" si="250"/>
        <v>Nelson</v>
      </c>
      <c r="BD462" t="str">
        <f t="shared" si="251"/>
        <v>Velodrome</v>
      </c>
      <c r="BE462" t="s">
        <v>13</v>
      </c>
      <c r="BF462" t="s">
        <v>756</v>
      </c>
      <c r="BG462" t="s">
        <v>756</v>
      </c>
      <c r="BI462" cm="1">
        <f t="array" ref="BI462">IFERROR(_xlfn._xlws.FILTER(shifts!A:A,(shifts!B:B=events!AD462)*(shifts!AG:AG&gt;=events!BK462)*(shifts!AH:AH&lt;=events!BL462)),BI461)</f>
        <v>25</v>
      </c>
      <c r="BJ462" s="15">
        <f t="shared" si="252"/>
        <v>3</v>
      </c>
      <c r="BK462">
        <f t="shared" si="259"/>
        <v>486</v>
      </c>
      <c r="BL462">
        <f t="shared" si="260"/>
        <v>483</v>
      </c>
      <c r="BM462" s="15">
        <f>SUMIFS(BJ$2:BJ462,K$2:K462,"=Intermission")+SUMIFS(BJ$2:BJ462,K$2:K462,"=Timeout")</f>
        <v>0</v>
      </c>
      <c r="BN462">
        <f t="shared" si="261"/>
        <v>0</v>
      </c>
      <c r="BO462" s="19">
        <f t="shared" si="262"/>
        <v>594</v>
      </c>
      <c r="BP462">
        <f t="shared" si="263"/>
        <v>589</v>
      </c>
      <c r="BQ462" s="17">
        <f t="shared" si="264"/>
        <v>597</v>
      </c>
      <c r="BR462" t="str">
        <f t="shared" si="265"/>
        <v>event_team_player_1</v>
      </c>
      <c r="BS462">
        <f>COUNTIFS(S$3:S462,"="&amp;S462,AI$3:AI462,"="&amp;AI462)</f>
        <v>1</v>
      </c>
      <c r="BT462" t="str">
        <f>IFERROR(VLOOKUP(BB462&amp;BU462&amp;X462,game_rosters!U:W,3,FALSE),"")</f>
        <v>P100119</v>
      </c>
      <c r="BU462" t="str">
        <f t="shared" si="266"/>
        <v>Nelson</v>
      </c>
    </row>
    <row r="463" spans="1:73" x14ac:dyDescent="0.2">
      <c r="A463">
        <f t="shared" si="253"/>
        <v>1</v>
      </c>
      <c r="E463" s="4"/>
      <c r="F463" s="43"/>
      <c r="G463" s="4"/>
      <c r="H463" s="46"/>
      <c r="J463" s="44" t="str">
        <f t="shared" si="267"/>
        <v/>
      </c>
      <c r="K463" t="s">
        <v>13</v>
      </c>
      <c r="L463" t="s">
        <v>756</v>
      </c>
      <c r="M463" t="s">
        <v>756</v>
      </c>
      <c r="N463" t="str">
        <f t="shared" si="238"/>
        <v/>
      </c>
      <c r="Q463" t="str">
        <f t="shared" si="236"/>
        <v/>
      </c>
      <c r="S463">
        <v>251</v>
      </c>
      <c r="U463" t="str">
        <f>IF(B463=1,MAX($U$2:$U462)+1,IF(AND($T463&lt;&gt;"",$T463=$T462),$U462,IF(B463="x",U462,"")))</f>
        <v/>
      </c>
      <c r="V463" t="str">
        <f>IF(C463=1,MAX($V$2:$V462)+1,IF(AND($T463&lt;&gt;"",$T463=$T462),$U462,IF(C463="x",V462,"")))</f>
        <v/>
      </c>
      <c r="W463" t="str">
        <f t="shared" si="242"/>
        <v>h</v>
      </c>
      <c r="X463">
        <v>14</v>
      </c>
      <c r="Y463" t="e">
        <f>IF(X463&lt;&gt;"",VLOOKUP(X463,game_rosters!$C$43:$E$64,3,FALSE))</f>
        <v>#N/A</v>
      </c>
      <c r="Z463" t="str" cm="1">
        <f t="array" ref="Z463">IFERROR(IF(_xlfn._xlws.FILTER(game_rosters!$J:$J,(game_rosters!$G:$G=events!$AN463)*(game_rosters!$J:$J=events!$X463))&gt;0,1,""),"")</f>
        <v/>
      </c>
      <c r="AA463">
        <f t="shared" si="243"/>
        <v>1251</v>
      </c>
      <c r="AB463" t="str">
        <f t="shared" si="244"/>
        <v/>
      </c>
      <c r="AC463">
        <f t="shared" si="241"/>
        <v>1251</v>
      </c>
      <c r="AD463" s="6">
        <v>1</v>
      </c>
      <c r="AE463" t="s">
        <v>936</v>
      </c>
      <c r="AF463" t="s">
        <v>911</v>
      </c>
      <c r="AG463" t="s">
        <v>936</v>
      </c>
      <c r="AH463" t="s">
        <v>925</v>
      </c>
      <c r="AI463" t="s">
        <v>368</v>
      </c>
      <c r="AJ463" t="str">
        <f t="shared" si="245"/>
        <v/>
      </c>
      <c r="AK463" t="str">
        <f t="shared" si="245"/>
        <v/>
      </c>
      <c r="AL463" t="str">
        <f t="shared" si="246"/>
        <v/>
      </c>
      <c r="AN463" t="s">
        <v>861</v>
      </c>
      <c r="AO463" t="str">
        <f t="shared" si="247"/>
        <v>h</v>
      </c>
      <c r="AP463" t="str">
        <f t="shared" si="254"/>
        <v/>
      </c>
      <c r="AQ463" t="str">
        <f t="shared" si="255"/>
        <v/>
      </c>
      <c r="AR463" t="str">
        <f t="shared" si="256"/>
        <v>Home</v>
      </c>
      <c r="AS463" t="str">
        <f t="shared" si="257"/>
        <v>h</v>
      </c>
      <c r="AT463" t="str">
        <f t="shared" si="258"/>
        <v>Defensive</v>
      </c>
      <c r="BA463" s="6">
        <f t="shared" si="248"/>
        <v>111</v>
      </c>
      <c r="BB463">
        <f t="shared" si="249"/>
        <v>18981</v>
      </c>
      <c r="BC463" t="str">
        <f t="shared" si="250"/>
        <v>Nelson</v>
      </c>
      <c r="BD463" t="str">
        <f t="shared" si="251"/>
        <v>Velodrome</v>
      </c>
      <c r="BE463" t="s">
        <v>13</v>
      </c>
      <c r="BF463" t="s">
        <v>756</v>
      </c>
      <c r="BG463" t="s">
        <v>756</v>
      </c>
      <c r="BI463" cm="1">
        <f t="array" ref="BI463">IFERROR(_xlfn._xlws.FILTER(shifts!A:A,(shifts!B:B=events!AD463)*(shifts!AG:AG&gt;=events!BK463)*(shifts!AH:AH&lt;=events!BL463)),BI462)</f>
        <v>25</v>
      </c>
      <c r="BJ463" s="15">
        <f t="shared" si="252"/>
        <v>3</v>
      </c>
      <c r="BK463">
        <f t="shared" si="259"/>
        <v>486</v>
      </c>
      <c r="BL463">
        <f t="shared" si="260"/>
        <v>483</v>
      </c>
      <c r="BM463" s="15">
        <f>SUMIFS(BJ$2:BJ463,K$2:K463,"=Intermission")+SUMIFS(BJ$2:BJ463,K$2:K463,"=Timeout")</f>
        <v>0</v>
      </c>
      <c r="BN463">
        <f t="shared" si="261"/>
        <v>0</v>
      </c>
      <c r="BO463" s="19">
        <f t="shared" si="262"/>
        <v>594</v>
      </c>
      <c r="BP463">
        <f t="shared" si="263"/>
        <v>589</v>
      </c>
      <c r="BQ463" s="17">
        <f t="shared" si="264"/>
        <v>597</v>
      </c>
      <c r="BR463" t="str">
        <f t="shared" si="265"/>
        <v>opp_team_player_1</v>
      </c>
      <c r="BS463">
        <f>COUNTIFS(S$3:S463,"="&amp;S463,AI$3:AI463,"="&amp;AI463)</f>
        <v>1</v>
      </c>
      <c r="BT463" t="str">
        <f>IFERROR(VLOOKUP(BB463&amp;BU463&amp;X463,game_rosters!U:W,3,FALSE),"")</f>
        <v>P100132</v>
      </c>
      <c r="BU463" t="str">
        <f t="shared" si="266"/>
        <v>Velodrome</v>
      </c>
    </row>
    <row r="464" spans="1:73" x14ac:dyDescent="0.2">
      <c r="A464">
        <f t="shared" si="253"/>
        <v>1</v>
      </c>
      <c r="E464" s="4"/>
      <c r="F464" s="43"/>
      <c r="G464" s="4"/>
      <c r="H464" s="46"/>
      <c r="J464" s="44" t="str">
        <f t="shared" si="267"/>
        <v>o</v>
      </c>
      <c r="K464" t="s">
        <v>238</v>
      </c>
      <c r="L464" t="s">
        <v>174</v>
      </c>
      <c r="M464" t="s">
        <v>85</v>
      </c>
      <c r="N464" t="str">
        <f t="shared" si="238"/>
        <v>s</v>
      </c>
      <c r="Q464" t="str">
        <f t="shared" ref="Q464:Q527" si="268">IF(O464="","",IF(AND(N464&lt;&gt;"",OR(O464&lt;&gt;"",P464&lt;&gt;"")),N464,IF(OR(ISNUMBER(SEARCH("attemp",O464)),ISNUMBER(SEARCH("beat",O464)),ISNUMBER(SEARCH("mis",O464)),ISNUMBER(SEARCH("fail",O464)),ISNUMBER(SEARCH("loss",O464)),ISNUMBER(SEARCH("lost",O464)),ISNUMBER(SEARCH("attemp",P464)),ISNUMBER(SEARCH("mis",P464)),ISNUMBER(SEARCH("fail",P464)),ISNUMBER(SEARCH("loss",P464)),ISNUMBER(SEARCH("beat",P464)),ISNUMBER(SEARCH("lost",P464))),"u","")))</f>
        <v/>
      </c>
      <c r="S464">
        <v>252</v>
      </c>
      <c r="U464" t="str">
        <f>IF(B464=1,MAX($U$2:$U463)+1,IF(AND($T464&lt;&gt;"",$T464=$T463),$U463,IF(B464="x",U463,"")))</f>
        <v/>
      </c>
      <c r="V464" t="str">
        <f>IF(C464=1,MAX($V$2:$V463)+1,IF(AND($T464&lt;&gt;"",$T464=$T463),$U463,IF(C464="x",V463,"")))</f>
        <v/>
      </c>
      <c r="W464" t="str">
        <f t="shared" si="242"/>
        <v>h</v>
      </c>
      <c r="X464">
        <v>37</v>
      </c>
      <c r="Y464" t="b">
        <f>IF(X464&lt;&gt;"",VLOOKUP(X464,game_rosters!$C$43:$E$64,3,FALSE))</f>
        <v>0</v>
      </c>
      <c r="Z464" cm="1">
        <f t="array" ref="Z464">IFERROR(IF(_xlfn._xlws.FILTER(game_rosters!$J:$J,(game_rosters!$G:$G=events!$AN464)*(game_rosters!$J:$J=events!$X464))&gt;0,1,""),"")</f>
        <v>1</v>
      </c>
      <c r="AA464">
        <f t="shared" si="243"/>
        <v>1252</v>
      </c>
      <c r="AB464" t="str">
        <f t="shared" si="244"/>
        <v/>
      </c>
      <c r="AC464">
        <f t="shared" si="241"/>
        <v>1252</v>
      </c>
      <c r="AD464" s="6">
        <v>1</v>
      </c>
      <c r="AE464" t="s">
        <v>936</v>
      </c>
      <c r="AF464" t="s">
        <v>925</v>
      </c>
      <c r="AG464" t="s">
        <v>936</v>
      </c>
      <c r="AH464" t="s">
        <v>748</v>
      </c>
      <c r="AI464" t="s">
        <v>367</v>
      </c>
      <c r="AJ464" t="str">
        <f t="shared" si="245"/>
        <v>o</v>
      </c>
      <c r="AK464" t="str">
        <f t="shared" si="245"/>
        <v>o</v>
      </c>
      <c r="AL464" t="str">
        <f t="shared" si="246"/>
        <v>o</v>
      </c>
      <c r="AN464" t="s">
        <v>861</v>
      </c>
      <c r="AO464" t="str">
        <f t="shared" si="247"/>
        <v>h</v>
      </c>
      <c r="AP464" t="str">
        <f t="shared" si="254"/>
        <v>o</v>
      </c>
      <c r="AQ464" t="str">
        <f t="shared" si="255"/>
        <v/>
      </c>
      <c r="AR464" t="str">
        <f t="shared" si="256"/>
        <v>Home</v>
      </c>
      <c r="AS464" t="str">
        <f t="shared" si="257"/>
        <v>h</v>
      </c>
      <c r="AT464" t="str">
        <f t="shared" si="258"/>
        <v>Offensive</v>
      </c>
      <c r="BA464" s="6">
        <f t="shared" si="248"/>
        <v>112</v>
      </c>
      <c r="BB464">
        <f t="shared" si="249"/>
        <v>18981</v>
      </c>
      <c r="BC464" t="str">
        <f t="shared" si="250"/>
        <v>Nelson</v>
      </c>
      <c r="BD464" t="str">
        <f t="shared" si="251"/>
        <v>Velodrome</v>
      </c>
      <c r="BE464" t="s">
        <v>238</v>
      </c>
      <c r="BF464" t="s">
        <v>174</v>
      </c>
      <c r="BG464" t="s">
        <v>85</v>
      </c>
      <c r="BI464" cm="1">
        <f t="array" ref="BI464">IFERROR(_xlfn._xlws.FILTER(shifts!A:A,(shifts!B:B=events!AD464)*(shifts!AG:AG&gt;=events!BK464)*(shifts!AH:AH&lt;=events!BL464)),BI463)</f>
        <v>25</v>
      </c>
      <c r="BJ464" s="15">
        <f t="shared" si="252"/>
        <v>2</v>
      </c>
      <c r="BK464">
        <f t="shared" si="259"/>
        <v>483</v>
      </c>
      <c r="BL464">
        <f t="shared" si="260"/>
        <v>481</v>
      </c>
      <c r="BM464" s="15">
        <f>SUMIFS(BJ$2:BJ464,K$2:K464,"=Intermission")+SUMIFS(BJ$2:BJ464,K$2:K464,"=Timeout")</f>
        <v>0</v>
      </c>
      <c r="BN464">
        <f t="shared" si="261"/>
        <v>0</v>
      </c>
      <c r="BO464" s="19">
        <f t="shared" si="262"/>
        <v>597</v>
      </c>
      <c r="BP464">
        <f t="shared" si="263"/>
        <v>592</v>
      </c>
      <c r="BQ464" s="17">
        <f t="shared" si="264"/>
        <v>599</v>
      </c>
      <c r="BR464" t="str">
        <f t="shared" si="265"/>
        <v>event_team_player_1</v>
      </c>
      <c r="BS464">
        <f>COUNTIFS(S$3:S464,"="&amp;S464,AI$3:AI464,"="&amp;AI464)</f>
        <v>1</v>
      </c>
      <c r="BT464" t="str">
        <f>IFERROR(VLOOKUP(BB464&amp;BU464&amp;X464,game_rosters!U:W,3,FALSE),"")</f>
        <v>P100119</v>
      </c>
      <c r="BU464" t="str">
        <f t="shared" si="266"/>
        <v>Nelson</v>
      </c>
    </row>
    <row r="465" spans="1:73" x14ac:dyDescent="0.2">
      <c r="A465">
        <f t="shared" si="253"/>
        <v>1</v>
      </c>
      <c r="E465" s="4"/>
      <c r="F465" s="43"/>
      <c r="G465" s="4"/>
      <c r="H465" s="46"/>
      <c r="J465" s="44" t="str">
        <f t="shared" si="267"/>
        <v>o</v>
      </c>
      <c r="K465" t="s">
        <v>238</v>
      </c>
      <c r="L465" t="s">
        <v>174</v>
      </c>
      <c r="M465" t="s">
        <v>85</v>
      </c>
      <c r="N465" t="str">
        <f t="shared" si="238"/>
        <v>s</v>
      </c>
      <c r="Q465" t="str">
        <f t="shared" si="268"/>
        <v/>
      </c>
      <c r="S465">
        <v>252</v>
      </c>
      <c r="U465" t="str">
        <f>IF(B465=1,MAX($U$2:$U464)+1,IF(AND($T465&lt;&gt;"",$T465=$T464),$U464,IF(B465="x",U464,"")))</f>
        <v/>
      </c>
      <c r="V465" t="str">
        <f>IF(C465=1,MAX($V$2:$V464)+1,IF(AND($T465&lt;&gt;"",$T465=$T464),$U464,IF(C465="x",V464,"")))</f>
        <v/>
      </c>
      <c r="W465" t="str">
        <f t="shared" si="242"/>
        <v>h</v>
      </c>
      <c r="X465">
        <v>15</v>
      </c>
      <c r="Y465" t="b">
        <f>IF(X465&lt;&gt;"",VLOOKUP(X465,game_rosters!$C$43:$E$64,3,FALSE))</f>
        <v>0</v>
      </c>
      <c r="Z465" cm="1">
        <f t="array" ref="Z465">IFERROR(IF(_xlfn._xlws.FILTER(game_rosters!$J:$J,(game_rosters!$G:$G=events!$AN465)*(game_rosters!$J:$J=events!$X465))&gt;0,1,""),"")</f>
        <v>1</v>
      </c>
      <c r="AA465">
        <f t="shared" si="243"/>
        <v>1252</v>
      </c>
      <c r="AB465" t="str">
        <f t="shared" si="244"/>
        <v/>
      </c>
      <c r="AC465">
        <f t="shared" si="241"/>
        <v>1252</v>
      </c>
      <c r="AD465" s="6">
        <v>1</v>
      </c>
      <c r="AE465" t="s">
        <v>936</v>
      </c>
      <c r="AF465" t="s">
        <v>925</v>
      </c>
      <c r="AG465" t="s">
        <v>936</v>
      </c>
      <c r="AH465" t="s">
        <v>748</v>
      </c>
      <c r="AI465" t="s">
        <v>367</v>
      </c>
      <c r="AJ465" t="str">
        <f t="shared" si="245"/>
        <v>o</v>
      </c>
      <c r="AK465" t="str">
        <f t="shared" si="245"/>
        <v>o</v>
      </c>
      <c r="AL465" t="str">
        <f t="shared" si="246"/>
        <v>o</v>
      </c>
      <c r="AN465" t="s">
        <v>861</v>
      </c>
      <c r="AO465" t="str">
        <f t="shared" si="247"/>
        <v>h</v>
      </c>
      <c r="AP465" t="str">
        <f t="shared" si="254"/>
        <v>o</v>
      </c>
      <c r="AQ465" t="str">
        <f t="shared" si="255"/>
        <v/>
      </c>
      <c r="AR465" t="str">
        <f t="shared" si="256"/>
        <v>Home</v>
      </c>
      <c r="AS465" t="str">
        <f t="shared" si="257"/>
        <v>h</v>
      </c>
      <c r="AT465" t="str">
        <f t="shared" si="258"/>
        <v>Offensive</v>
      </c>
      <c r="BA465" s="6">
        <f t="shared" si="248"/>
        <v>113</v>
      </c>
      <c r="BB465">
        <f t="shared" si="249"/>
        <v>18981</v>
      </c>
      <c r="BC465" t="str">
        <f t="shared" si="250"/>
        <v>Nelson</v>
      </c>
      <c r="BD465" t="str">
        <f t="shared" si="251"/>
        <v>Velodrome</v>
      </c>
      <c r="BE465" t="s">
        <v>238</v>
      </c>
      <c r="BF465" t="s">
        <v>174</v>
      </c>
      <c r="BG465" t="s">
        <v>85</v>
      </c>
      <c r="BI465" cm="1">
        <f t="array" ref="BI465">IFERROR(_xlfn._xlws.FILTER(shifts!A:A,(shifts!B:B=events!AD465)*(shifts!AG:AG&gt;=events!BK465)*(shifts!AH:AH&lt;=events!BL465)),BI464)</f>
        <v>25</v>
      </c>
      <c r="BJ465" s="15">
        <f t="shared" si="252"/>
        <v>2</v>
      </c>
      <c r="BK465">
        <f t="shared" si="259"/>
        <v>483</v>
      </c>
      <c r="BL465">
        <f t="shared" si="260"/>
        <v>481</v>
      </c>
      <c r="BM465" s="15">
        <f>SUMIFS(BJ$2:BJ465,K$2:K465,"=Intermission")+SUMIFS(BJ$2:BJ465,K$2:K465,"=Timeout")</f>
        <v>0</v>
      </c>
      <c r="BN465">
        <f t="shared" si="261"/>
        <v>0</v>
      </c>
      <c r="BO465" s="19">
        <f t="shared" si="262"/>
        <v>597</v>
      </c>
      <c r="BP465">
        <f t="shared" si="263"/>
        <v>592</v>
      </c>
      <c r="BQ465" s="17">
        <f t="shared" si="264"/>
        <v>599</v>
      </c>
      <c r="BR465" t="str">
        <f t="shared" si="265"/>
        <v>event_team_player_2</v>
      </c>
      <c r="BS465">
        <f>COUNTIFS(S$3:S465,"="&amp;S465,AI$3:AI465,"="&amp;AI465)</f>
        <v>2</v>
      </c>
      <c r="BT465" t="str">
        <f>IFERROR(VLOOKUP(BB465&amp;BU465&amp;X465,game_rosters!U:W,3,FALSE),"")</f>
        <v>P100071</v>
      </c>
      <c r="BU465" t="str">
        <f t="shared" si="266"/>
        <v>Nelson</v>
      </c>
    </row>
    <row r="466" spans="1:73" x14ac:dyDescent="0.2">
      <c r="A466">
        <f t="shared" si="253"/>
        <v>1</v>
      </c>
      <c r="E466" s="4"/>
      <c r="F466" s="43"/>
      <c r="G466" s="4"/>
      <c r="H466" s="46"/>
      <c r="J466" s="44" t="str">
        <f t="shared" si="267"/>
        <v>o</v>
      </c>
      <c r="K466" t="s">
        <v>238</v>
      </c>
      <c r="L466" t="s">
        <v>174</v>
      </c>
      <c r="M466" t="s">
        <v>85</v>
      </c>
      <c r="N466" t="str">
        <f t="shared" si="238"/>
        <v>s</v>
      </c>
      <c r="Q466" t="str">
        <f t="shared" si="268"/>
        <v/>
      </c>
      <c r="S466">
        <v>252</v>
      </c>
      <c r="U466" t="str">
        <f>IF(B466=1,MAX($U$2:$U465)+1,IF(AND($T466&lt;&gt;"",$T466=$T465),$U465,IF(B466="x",U465,"")))</f>
        <v/>
      </c>
      <c r="V466" t="str">
        <f>IF(C466=1,MAX($V$2:$V465)+1,IF(AND($T466&lt;&gt;"",$T466=$T465),$U465,IF(C466="x",V465,"")))</f>
        <v/>
      </c>
      <c r="W466" t="str">
        <f t="shared" si="242"/>
        <v>h</v>
      </c>
      <c r="X466">
        <v>14</v>
      </c>
      <c r="Y466" t="e">
        <f>IF(X466&lt;&gt;"",VLOOKUP(X466,game_rosters!$C$43:$E$64,3,FALSE))</f>
        <v>#N/A</v>
      </c>
      <c r="Z466" t="str" cm="1">
        <f t="array" ref="Z466">IFERROR(IF(_xlfn._xlws.FILTER(game_rosters!$J:$J,(game_rosters!$G:$G=events!$AN466)*(game_rosters!$J:$J=events!$X466))&gt;0,1,""),"")</f>
        <v/>
      </c>
      <c r="AA466">
        <f t="shared" si="243"/>
        <v>1252</v>
      </c>
      <c r="AB466" t="str">
        <f t="shared" si="244"/>
        <v/>
      </c>
      <c r="AC466">
        <f t="shared" si="241"/>
        <v>1252</v>
      </c>
      <c r="AD466" s="6">
        <v>1</v>
      </c>
      <c r="AE466" t="s">
        <v>936</v>
      </c>
      <c r="AF466" t="s">
        <v>925</v>
      </c>
      <c r="AG466" t="s">
        <v>936</v>
      </c>
      <c r="AH466" t="s">
        <v>748</v>
      </c>
      <c r="AI466" t="s">
        <v>368</v>
      </c>
      <c r="AJ466" t="str">
        <f t="shared" si="245"/>
        <v>o</v>
      </c>
      <c r="AK466" t="str">
        <f t="shared" si="245"/>
        <v>o</v>
      </c>
      <c r="AL466" t="str">
        <f t="shared" si="246"/>
        <v>o</v>
      </c>
      <c r="AN466" t="s">
        <v>861</v>
      </c>
      <c r="AO466" t="str">
        <f t="shared" si="247"/>
        <v>h</v>
      </c>
      <c r="AP466" t="str">
        <f t="shared" si="254"/>
        <v>o</v>
      </c>
      <c r="AQ466" t="str">
        <f t="shared" si="255"/>
        <v/>
      </c>
      <c r="AR466" t="str">
        <f t="shared" si="256"/>
        <v>Home</v>
      </c>
      <c r="AS466" t="str">
        <f t="shared" si="257"/>
        <v>h</v>
      </c>
      <c r="AT466" t="str">
        <f t="shared" si="258"/>
        <v>Defensive</v>
      </c>
      <c r="BA466" s="6">
        <f t="shared" si="248"/>
        <v>114</v>
      </c>
      <c r="BB466">
        <f t="shared" si="249"/>
        <v>18981</v>
      </c>
      <c r="BC466" t="str">
        <f t="shared" si="250"/>
        <v>Nelson</v>
      </c>
      <c r="BD466" t="str">
        <f t="shared" si="251"/>
        <v>Velodrome</v>
      </c>
      <c r="BE466" t="s">
        <v>238</v>
      </c>
      <c r="BF466" t="s">
        <v>174</v>
      </c>
      <c r="BG466" t="s">
        <v>85</v>
      </c>
      <c r="BI466" cm="1">
        <f t="array" ref="BI466">IFERROR(_xlfn._xlws.FILTER(shifts!A:A,(shifts!B:B=events!AD466)*(shifts!AG:AG&gt;=events!BK466)*(shifts!AH:AH&lt;=events!BL466)),BI465)</f>
        <v>25</v>
      </c>
      <c r="BJ466" s="15">
        <f t="shared" si="252"/>
        <v>2</v>
      </c>
      <c r="BK466">
        <f t="shared" si="259"/>
        <v>483</v>
      </c>
      <c r="BL466">
        <f t="shared" si="260"/>
        <v>481</v>
      </c>
      <c r="BM466" s="15">
        <f>SUMIFS(BJ$2:BJ466,K$2:K466,"=Intermission")+SUMIFS(BJ$2:BJ466,K$2:K466,"=Timeout")</f>
        <v>0</v>
      </c>
      <c r="BN466">
        <f t="shared" si="261"/>
        <v>0</v>
      </c>
      <c r="BO466" s="19">
        <f t="shared" si="262"/>
        <v>597</v>
      </c>
      <c r="BP466">
        <f t="shared" si="263"/>
        <v>592</v>
      </c>
      <c r="BQ466" s="17">
        <f t="shared" si="264"/>
        <v>599</v>
      </c>
      <c r="BR466" t="str">
        <f t="shared" si="265"/>
        <v>opp_team_player_1</v>
      </c>
      <c r="BS466">
        <f>COUNTIFS(S$3:S466,"="&amp;S466,AI$3:AI466,"="&amp;AI466)</f>
        <v>1</v>
      </c>
      <c r="BT466" t="str">
        <f>IFERROR(VLOOKUP(BB466&amp;BU466&amp;X466,game_rosters!U:W,3,FALSE),"")</f>
        <v>P100132</v>
      </c>
      <c r="BU466" t="str">
        <f t="shared" si="266"/>
        <v>Velodrome</v>
      </c>
    </row>
    <row r="467" spans="1:73" x14ac:dyDescent="0.2">
      <c r="A467">
        <f t="shared" si="253"/>
        <v>1</v>
      </c>
      <c r="E467" s="4"/>
      <c r="F467" s="43"/>
      <c r="G467" s="4"/>
      <c r="H467" s="46"/>
      <c r="J467" s="44" t="str">
        <f t="shared" si="267"/>
        <v>o</v>
      </c>
      <c r="K467" t="s">
        <v>238</v>
      </c>
      <c r="L467" t="s">
        <v>174</v>
      </c>
      <c r="M467" t="s">
        <v>85</v>
      </c>
      <c r="N467" t="str">
        <f t="shared" si="238"/>
        <v>s</v>
      </c>
      <c r="Q467" t="str">
        <f t="shared" si="268"/>
        <v/>
      </c>
      <c r="S467">
        <v>252</v>
      </c>
      <c r="U467" t="str">
        <f>IF(B467=1,MAX($U$2:$U466)+1,IF(AND($T467&lt;&gt;"",$T467=$T466),$U466,IF(B467="x",U466,"")))</f>
        <v/>
      </c>
      <c r="V467" t="str">
        <f>IF(C467=1,MAX($V$2:$V466)+1,IF(AND($T467&lt;&gt;"",$T467=$T466),$U466,IF(C467="x",V466,"")))</f>
        <v/>
      </c>
      <c r="W467" t="str">
        <f t="shared" si="242"/>
        <v>h</v>
      </c>
      <c r="X467">
        <v>49</v>
      </c>
      <c r="Y467" t="e">
        <f>IF(X467&lt;&gt;"",VLOOKUP(X467,game_rosters!$C$43:$E$64,3,FALSE))</f>
        <v>#N/A</v>
      </c>
      <c r="Z467" t="str" cm="1">
        <f t="array" ref="Z467">IFERROR(IF(_xlfn._xlws.FILTER(game_rosters!$J:$J,(game_rosters!$G:$G=events!$AN467)*(game_rosters!$J:$J=events!$X467))&gt;0,1,""),"")</f>
        <v/>
      </c>
      <c r="AA467">
        <f t="shared" si="243"/>
        <v>1252</v>
      </c>
      <c r="AB467" t="str">
        <f t="shared" si="244"/>
        <v/>
      </c>
      <c r="AC467">
        <f t="shared" si="241"/>
        <v>1252</v>
      </c>
      <c r="AD467" s="6">
        <v>1</v>
      </c>
      <c r="AE467" t="s">
        <v>936</v>
      </c>
      <c r="AF467" t="s">
        <v>925</v>
      </c>
      <c r="AG467" t="s">
        <v>936</v>
      </c>
      <c r="AH467" t="s">
        <v>748</v>
      </c>
      <c r="AI467" t="s">
        <v>368</v>
      </c>
      <c r="AJ467" t="str">
        <f t="shared" si="245"/>
        <v>o</v>
      </c>
      <c r="AK467" t="str">
        <f t="shared" si="245"/>
        <v>o</v>
      </c>
      <c r="AL467" t="str">
        <f t="shared" si="246"/>
        <v>o</v>
      </c>
      <c r="AN467" t="s">
        <v>861</v>
      </c>
      <c r="AO467" t="str">
        <f t="shared" si="247"/>
        <v>h</v>
      </c>
      <c r="AP467" t="str">
        <f t="shared" si="254"/>
        <v>o</v>
      </c>
      <c r="AQ467" t="str">
        <f t="shared" si="255"/>
        <v/>
      </c>
      <c r="AR467" t="str">
        <f t="shared" si="256"/>
        <v>Home</v>
      </c>
      <c r="AS467" t="str">
        <f t="shared" si="257"/>
        <v>h</v>
      </c>
      <c r="AT467" t="str">
        <f t="shared" si="258"/>
        <v>Defensive</v>
      </c>
      <c r="BA467" s="6">
        <f t="shared" si="248"/>
        <v>115</v>
      </c>
      <c r="BB467">
        <f t="shared" si="249"/>
        <v>18981</v>
      </c>
      <c r="BC467" t="str">
        <f t="shared" si="250"/>
        <v>Nelson</v>
      </c>
      <c r="BD467" t="str">
        <f t="shared" si="251"/>
        <v>Velodrome</v>
      </c>
      <c r="BE467" t="s">
        <v>238</v>
      </c>
      <c r="BF467" t="s">
        <v>174</v>
      </c>
      <c r="BG467" t="s">
        <v>85</v>
      </c>
      <c r="BI467" cm="1">
        <f t="array" ref="BI467">IFERROR(_xlfn._xlws.FILTER(shifts!A:A,(shifts!B:B=events!AD467)*(shifts!AG:AG&gt;=events!BK467)*(shifts!AH:AH&lt;=events!BL467)),BI466)</f>
        <v>25</v>
      </c>
      <c r="BJ467" s="15">
        <f t="shared" si="252"/>
        <v>2</v>
      </c>
      <c r="BK467">
        <f t="shared" si="259"/>
        <v>483</v>
      </c>
      <c r="BL467">
        <f t="shared" si="260"/>
        <v>481</v>
      </c>
      <c r="BM467" s="15">
        <f>SUMIFS(BJ$2:BJ467,K$2:K467,"=Intermission")+SUMIFS(BJ$2:BJ467,K$2:K467,"=Timeout")</f>
        <v>0</v>
      </c>
      <c r="BN467">
        <f t="shared" si="261"/>
        <v>0</v>
      </c>
      <c r="BO467" s="19">
        <f t="shared" si="262"/>
        <v>597</v>
      </c>
      <c r="BP467">
        <f t="shared" si="263"/>
        <v>592</v>
      </c>
      <c r="BQ467" s="17">
        <f t="shared" si="264"/>
        <v>599</v>
      </c>
      <c r="BR467" t="str">
        <f t="shared" si="265"/>
        <v>opp_team_player_2</v>
      </c>
      <c r="BS467">
        <f>COUNTIFS(S$3:S467,"="&amp;S467,AI$3:AI467,"="&amp;AI467)</f>
        <v>2</v>
      </c>
      <c r="BT467" t="str">
        <f>IFERROR(VLOOKUP(BB467&amp;BU467&amp;X467,game_rosters!U:W,3,FALSE),"")</f>
        <v>P100161</v>
      </c>
      <c r="BU467" t="str">
        <f t="shared" si="266"/>
        <v>Velodrome</v>
      </c>
    </row>
    <row r="468" spans="1:73" x14ac:dyDescent="0.2">
      <c r="A468">
        <f t="shared" si="253"/>
        <v>1</v>
      </c>
      <c r="E468" s="4"/>
      <c r="F468" s="43"/>
      <c r="G468" s="4"/>
      <c r="H468" s="46"/>
      <c r="J468" s="44" t="str">
        <f t="shared" si="267"/>
        <v>o</v>
      </c>
      <c r="K468" t="s">
        <v>238</v>
      </c>
      <c r="L468" t="s">
        <v>174</v>
      </c>
      <c r="M468" t="s">
        <v>85</v>
      </c>
      <c r="N468" t="str">
        <f t="shared" si="238"/>
        <v>s</v>
      </c>
      <c r="Q468" t="str">
        <f t="shared" si="268"/>
        <v/>
      </c>
      <c r="S468">
        <v>252</v>
      </c>
      <c r="U468" t="str">
        <f>IF(B468=1,MAX($U$2:$U467)+1,IF(AND($T468&lt;&gt;"",$T468=$T467),$U467,IF(B468="x",U467,"")))</f>
        <v/>
      </c>
      <c r="V468" t="str">
        <f>IF(C468=1,MAX($V$2:$V467)+1,IF(AND($T468&lt;&gt;"",$T468=$T467),$U467,IF(C468="x",V467,"")))</f>
        <v/>
      </c>
      <c r="W468" t="str">
        <f t="shared" si="242"/>
        <v>h</v>
      </c>
      <c r="X468">
        <v>52</v>
      </c>
      <c r="Y468" t="e">
        <f>IF(X468&lt;&gt;"",VLOOKUP(X468,game_rosters!$C$43:$E$64,3,FALSE))</f>
        <v>#N/A</v>
      </c>
      <c r="Z468" t="str" cm="1">
        <f t="array" ref="Z468">IFERROR(IF(_xlfn._xlws.FILTER(game_rosters!$J:$J,(game_rosters!$G:$G=events!$AN468)*(game_rosters!$J:$J=events!$X468))&gt;0,1,""),"")</f>
        <v/>
      </c>
      <c r="AA468">
        <f t="shared" si="243"/>
        <v>1252</v>
      </c>
      <c r="AB468" t="str">
        <f t="shared" si="244"/>
        <v/>
      </c>
      <c r="AC468">
        <f t="shared" si="241"/>
        <v>1252</v>
      </c>
      <c r="AD468" s="6">
        <v>1</v>
      </c>
      <c r="AE468" t="s">
        <v>936</v>
      </c>
      <c r="AF468" t="s">
        <v>925</v>
      </c>
      <c r="AG468" t="s">
        <v>936</v>
      </c>
      <c r="AH468" t="s">
        <v>748</v>
      </c>
      <c r="AI468" t="s">
        <v>368</v>
      </c>
      <c r="AJ468" t="str">
        <f t="shared" ref="AJ468:AK483" si="269">IF($J468&lt;&gt;"",$J468,IF($AC468=$AC467,AJ467,""))</f>
        <v>o</v>
      </c>
      <c r="AK468" t="str">
        <f t="shared" si="269"/>
        <v>o</v>
      </c>
      <c r="AL468" t="str">
        <f t="shared" si="246"/>
        <v>o</v>
      </c>
      <c r="AN468" t="s">
        <v>861</v>
      </c>
      <c r="AO468" t="str">
        <f t="shared" si="247"/>
        <v>h</v>
      </c>
      <c r="AP468" t="str">
        <f t="shared" si="254"/>
        <v>o</v>
      </c>
      <c r="AQ468" t="str">
        <f t="shared" si="255"/>
        <v/>
      </c>
      <c r="AR468" t="str">
        <f t="shared" si="256"/>
        <v>Home</v>
      </c>
      <c r="AS468" t="str">
        <f t="shared" si="257"/>
        <v>h</v>
      </c>
      <c r="AT468" t="str">
        <f t="shared" si="258"/>
        <v>Defensive</v>
      </c>
      <c r="BA468" s="6">
        <f t="shared" si="248"/>
        <v>116</v>
      </c>
      <c r="BB468">
        <f t="shared" si="249"/>
        <v>18981</v>
      </c>
      <c r="BC468" t="str">
        <f t="shared" si="250"/>
        <v>Nelson</v>
      </c>
      <c r="BD468" t="str">
        <f t="shared" si="251"/>
        <v>Velodrome</v>
      </c>
      <c r="BE468" t="s">
        <v>238</v>
      </c>
      <c r="BF468" t="s">
        <v>174</v>
      </c>
      <c r="BG468" t="s">
        <v>85</v>
      </c>
      <c r="BI468" cm="1">
        <f t="array" ref="BI468">IFERROR(_xlfn._xlws.FILTER(shifts!A:A,(shifts!B:B=events!AD468)*(shifts!AG:AG&gt;=events!BK468)*(shifts!AH:AH&lt;=events!BL468)),BI467)</f>
        <v>25</v>
      </c>
      <c r="BJ468" s="15">
        <f t="shared" si="252"/>
        <v>2</v>
      </c>
      <c r="BK468">
        <f t="shared" si="259"/>
        <v>483</v>
      </c>
      <c r="BL468">
        <f t="shared" si="260"/>
        <v>481</v>
      </c>
      <c r="BM468" s="15">
        <f>SUMIFS(BJ$2:BJ468,K$2:K468,"=Intermission")+SUMIFS(BJ$2:BJ468,K$2:K468,"=Timeout")</f>
        <v>0</v>
      </c>
      <c r="BN468">
        <f t="shared" si="261"/>
        <v>0</v>
      </c>
      <c r="BO468" s="19">
        <f t="shared" si="262"/>
        <v>597</v>
      </c>
      <c r="BP468">
        <f t="shared" si="263"/>
        <v>592</v>
      </c>
      <c r="BQ468" s="17">
        <f t="shared" si="264"/>
        <v>599</v>
      </c>
      <c r="BR468" t="str">
        <f t="shared" si="265"/>
        <v>opp_team_player_3</v>
      </c>
      <c r="BS468">
        <f>COUNTIFS(S$3:S468,"="&amp;S468,AI$3:AI468,"="&amp;AI468)</f>
        <v>3</v>
      </c>
      <c r="BT468" t="str">
        <f>IFERROR(VLOOKUP(BB468&amp;BU468&amp;X468,game_rosters!U:W,3,FALSE),"")</f>
        <v>P100070</v>
      </c>
      <c r="BU468" t="str">
        <f t="shared" si="266"/>
        <v>Velodrome</v>
      </c>
    </row>
    <row r="469" spans="1:73" x14ac:dyDescent="0.2">
      <c r="A469">
        <f t="shared" si="253"/>
        <v>1</v>
      </c>
      <c r="E469" s="4"/>
      <c r="F469" s="43"/>
      <c r="G469" s="4"/>
      <c r="H469" s="46"/>
      <c r="J469" s="44" t="str">
        <f t="shared" si="267"/>
        <v/>
      </c>
      <c r="K469" t="s">
        <v>13</v>
      </c>
      <c r="L469" t="s">
        <v>756</v>
      </c>
      <c r="M469" t="s">
        <v>756</v>
      </c>
      <c r="N469" t="str">
        <f t="shared" ref="N469:N532" si="270">IF(K469="","",IF(K469="Goal","s",IF(AND(K469="Zone_Entry_Exit",OR(ISNUMBER(SEARCH("fail",L469)),ISNUMBER(SEARCH("FromExitClear",M469)),ISNUMBER(SEARCH("miss",M469)))),"u",IF(AND(K469="Zone_Entry_Exit",OR(NOT(ISNUMBER(SEARCH("fail",L469))),NOT(ISNUMBER(SEARCH("FromExitClear",M469))),NOT(ISNUMBER(SEARCH("miss",M469))))),"s",IF(AND(OR(K469="Shot",K469="Pass"),OR(ISNUMBER(SEARCH("complete",L469)),ISNUMBER(SEARCH("goal",L469)),ISNUMBER(SEARCH("OnNet",L469)))),"s",IF(L469="Turnover_Giveaway","u",IF(AND(OR(K469="Shot",K469="Pass"),OR(ISNUMBER(SEARCH("fail",L469)),NOT(ISNUMBER(SEARCH("complete",L469))),NOT(ISNUMBER(SEARCH("OnNet",L469))))),"u","")))))))</f>
        <v/>
      </c>
      <c r="Q469" t="str">
        <f t="shared" si="268"/>
        <v/>
      </c>
      <c r="S469">
        <v>253</v>
      </c>
      <c r="U469" t="str">
        <f>IF(B469=1,MAX($U$2:$U468)+1,IF(AND($T469&lt;&gt;"",$T469=$T468),$U468,IF(B469="x",U468,"")))</f>
        <v/>
      </c>
      <c r="V469" t="str">
        <f>IF(C469=1,MAX($V$2:$V468)+1,IF(AND($T469&lt;&gt;"",$T469=$T468),$U468,IF(C469="x",V468,"")))</f>
        <v/>
      </c>
      <c r="W469" t="str">
        <f t="shared" si="242"/>
        <v>h</v>
      </c>
      <c r="X469">
        <v>37</v>
      </c>
      <c r="Y469" t="b">
        <f>IF(X469&lt;&gt;"",VLOOKUP(X469,game_rosters!$C$43:$E$64,3,FALSE))</f>
        <v>0</v>
      </c>
      <c r="Z469" cm="1">
        <f t="array" ref="Z469">IFERROR(IF(_xlfn._xlws.FILTER(game_rosters!$J:$J,(game_rosters!$G:$G=events!$AN469)*(game_rosters!$J:$J=events!$X469))&gt;0,1,""),"")</f>
        <v>1</v>
      </c>
      <c r="AA469">
        <f t="shared" si="243"/>
        <v>1253</v>
      </c>
      <c r="AB469" t="str">
        <f t="shared" si="244"/>
        <v/>
      </c>
      <c r="AC469">
        <f t="shared" si="241"/>
        <v>1253</v>
      </c>
      <c r="AD469" s="6">
        <v>1</v>
      </c>
      <c r="AE469" t="s">
        <v>936</v>
      </c>
      <c r="AF469" t="s">
        <v>748</v>
      </c>
      <c r="AG469" t="s">
        <v>937</v>
      </c>
      <c r="AH469" t="s">
        <v>927</v>
      </c>
      <c r="AI469" t="s">
        <v>367</v>
      </c>
      <c r="AJ469" t="str">
        <f t="shared" si="269"/>
        <v/>
      </c>
      <c r="AK469" t="str">
        <f t="shared" si="269"/>
        <v/>
      </c>
      <c r="AL469" t="str">
        <f t="shared" si="246"/>
        <v/>
      </c>
      <c r="AN469" t="s">
        <v>861</v>
      </c>
      <c r="AO469" t="str">
        <f t="shared" si="247"/>
        <v>h</v>
      </c>
      <c r="AP469" t="str">
        <f t="shared" si="254"/>
        <v/>
      </c>
      <c r="AQ469" t="str">
        <f t="shared" si="255"/>
        <v/>
      </c>
      <c r="AR469" t="str">
        <f t="shared" si="256"/>
        <v>Home</v>
      </c>
      <c r="AS469" t="str">
        <f t="shared" si="257"/>
        <v>h</v>
      </c>
      <c r="AT469" t="str">
        <f t="shared" si="258"/>
        <v>Offensive</v>
      </c>
      <c r="BA469" s="6">
        <f t="shared" si="248"/>
        <v>116</v>
      </c>
      <c r="BB469">
        <f t="shared" si="249"/>
        <v>18981</v>
      </c>
      <c r="BC469" t="str">
        <f t="shared" si="250"/>
        <v>Nelson</v>
      </c>
      <c r="BD469" t="str">
        <f t="shared" si="251"/>
        <v>Velodrome</v>
      </c>
      <c r="BE469" t="s">
        <v>13</v>
      </c>
      <c r="BF469" t="s">
        <v>756</v>
      </c>
      <c r="BG469" t="s">
        <v>756</v>
      </c>
      <c r="BI469" cm="1">
        <f t="array" ref="BI469">IFERROR(_xlfn._xlws.FILTER(shifts!A:A,(shifts!B:B=events!AD469)*(shifts!AG:AG&gt;=events!BK469)*(shifts!AH:AH&lt;=events!BL469)),BI468)</f>
        <v>25</v>
      </c>
      <c r="BJ469" s="15">
        <f t="shared" si="252"/>
        <v>4</v>
      </c>
      <c r="BK469">
        <f t="shared" si="259"/>
        <v>481</v>
      </c>
      <c r="BL469">
        <f t="shared" si="260"/>
        <v>477</v>
      </c>
      <c r="BM469" s="15">
        <f>SUMIFS(BJ$2:BJ469,K$2:K469,"=Intermission")+SUMIFS(BJ$2:BJ469,K$2:K469,"=Timeout")</f>
        <v>0</v>
      </c>
      <c r="BN469">
        <f t="shared" si="261"/>
        <v>0</v>
      </c>
      <c r="BO469" s="19">
        <f t="shared" si="262"/>
        <v>599</v>
      </c>
      <c r="BP469">
        <f t="shared" si="263"/>
        <v>594</v>
      </c>
      <c r="BQ469" s="17">
        <f t="shared" si="264"/>
        <v>603</v>
      </c>
      <c r="BR469" t="str">
        <f t="shared" si="265"/>
        <v>event_team_player_1</v>
      </c>
      <c r="BS469">
        <f>COUNTIFS(S$3:S469,"="&amp;S469,AI$3:AI469,"="&amp;AI469)</f>
        <v>1</v>
      </c>
      <c r="BT469" t="str">
        <f>IFERROR(VLOOKUP(BB469&amp;BU469&amp;X469,game_rosters!U:W,3,FALSE),"")</f>
        <v>P100119</v>
      </c>
      <c r="BU469" t="str">
        <f t="shared" si="266"/>
        <v>Nelson</v>
      </c>
    </row>
    <row r="470" spans="1:73" x14ac:dyDescent="0.2">
      <c r="A470">
        <f t="shared" si="253"/>
        <v>1</v>
      </c>
      <c r="E470" s="4"/>
      <c r="F470" s="43"/>
      <c r="G470" s="4"/>
      <c r="H470" s="46"/>
      <c r="J470" s="44" t="str">
        <f t="shared" si="267"/>
        <v/>
      </c>
      <c r="K470" t="s">
        <v>7</v>
      </c>
      <c r="L470" t="s">
        <v>172</v>
      </c>
      <c r="M470" t="s">
        <v>68</v>
      </c>
      <c r="N470" t="str">
        <f t="shared" si="270"/>
        <v>s</v>
      </c>
      <c r="Q470" t="str">
        <f t="shared" si="268"/>
        <v/>
      </c>
      <c r="S470">
        <v>254</v>
      </c>
      <c r="U470" t="str">
        <f>IF(B470=1,MAX($U$2:$U469)+1,IF(AND($T470&lt;&gt;"",$T470=$T469),$U469,IF(B470="x",U469,"")))</f>
        <v/>
      </c>
      <c r="V470" t="str">
        <f>IF(C470=1,MAX($V$2:$V469)+1,IF(AND($T470&lt;&gt;"",$T470=$T469),$U469,IF(C470="x",V469,"")))</f>
        <v/>
      </c>
      <c r="W470" t="str">
        <f t="shared" si="242"/>
        <v>h</v>
      </c>
      <c r="X470">
        <v>37</v>
      </c>
      <c r="Y470" t="b">
        <f>IF(X470&lt;&gt;"",VLOOKUP(X470,game_rosters!$C$43:$E$64,3,FALSE))</f>
        <v>0</v>
      </c>
      <c r="Z470" cm="1">
        <f t="array" ref="Z470">IFERROR(IF(_xlfn._xlws.FILTER(game_rosters!$J:$J,(game_rosters!$G:$G=events!$AN470)*(game_rosters!$J:$J=events!$X470))&gt;0,1,""),"")</f>
        <v>1</v>
      </c>
      <c r="AA470">
        <f t="shared" si="243"/>
        <v>1254</v>
      </c>
      <c r="AB470" t="str">
        <f t="shared" si="244"/>
        <v/>
      </c>
      <c r="AC470">
        <f t="shared" si="241"/>
        <v>1254</v>
      </c>
      <c r="AD470" s="6">
        <v>1</v>
      </c>
      <c r="AE470" t="s">
        <v>937</v>
      </c>
      <c r="AF470" t="s">
        <v>927</v>
      </c>
      <c r="AG470" t="s">
        <v>756</v>
      </c>
      <c r="AH470" t="s">
        <v>756</v>
      </c>
      <c r="AI470" t="s">
        <v>367</v>
      </c>
      <c r="AJ470" t="str">
        <f t="shared" si="269"/>
        <v/>
      </c>
      <c r="AK470" t="str">
        <f t="shared" si="269"/>
        <v/>
      </c>
      <c r="AL470" t="str">
        <f t="shared" si="246"/>
        <v/>
      </c>
      <c r="AN470" t="s">
        <v>861</v>
      </c>
      <c r="AO470" t="str">
        <f t="shared" si="247"/>
        <v>h</v>
      </c>
      <c r="AP470" t="str">
        <f t="shared" si="254"/>
        <v/>
      </c>
      <c r="AQ470" t="str">
        <f t="shared" si="255"/>
        <v/>
      </c>
      <c r="AR470" t="str">
        <f t="shared" si="256"/>
        <v>Home</v>
      </c>
      <c r="AS470" t="str">
        <f t="shared" si="257"/>
        <v>h</v>
      </c>
      <c r="AT470" t="str">
        <f t="shared" si="258"/>
        <v>Offensive</v>
      </c>
      <c r="BA470" s="6">
        <f t="shared" si="248"/>
        <v>116</v>
      </c>
      <c r="BB470">
        <f t="shared" si="249"/>
        <v>18981</v>
      </c>
      <c r="BC470" t="str">
        <f t="shared" si="250"/>
        <v>Nelson</v>
      </c>
      <c r="BD470" t="str">
        <f t="shared" si="251"/>
        <v>Velodrome</v>
      </c>
      <c r="BE470" t="s">
        <v>7</v>
      </c>
      <c r="BF470" t="s">
        <v>172</v>
      </c>
      <c r="BG470" t="s">
        <v>68</v>
      </c>
      <c r="BI470" cm="1">
        <f t="array" ref="BI470">IFERROR(_xlfn._xlws.FILTER(shifts!A:A,(shifts!B:B=events!AD470)*(shifts!AG:AG&gt;=events!BK470)*(shifts!AH:AH&lt;=events!BL470)),BI469)</f>
        <v>25</v>
      </c>
      <c r="BJ470" s="15">
        <f t="shared" si="252"/>
        <v>0</v>
      </c>
      <c r="BK470">
        <f t="shared" si="259"/>
        <v>477</v>
      </c>
      <c r="BL470">
        <f t="shared" si="260"/>
        <v>477</v>
      </c>
      <c r="BM470" s="15">
        <f>SUMIFS(BJ$2:BJ470,K$2:K470,"=Intermission")+SUMIFS(BJ$2:BJ470,K$2:K470,"=Timeout")</f>
        <v>0</v>
      </c>
      <c r="BN470">
        <f t="shared" si="261"/>
        <v>0</v>
      </c>
      <c r="BO470" s="19">
        <f t="shared" si="262"/>
        <v>603</v>
      </c>
      <c r="BP470">
        <f t="shared" si="263"/>
        <v>598</v>
      </c>
      <c r="BQ470" s="17">
        <f t="shared" si="264"/>
        <v>603</v>
      </c>
      <c r="BR470" t="str">
        <f t="shared" si="265"/>
        <v>event_team_player_1</v>
      </c>
      <c r="BS470">
        <f>COUNTIFS(S$3:S470,"="&amp;S470,AI$3:AI470,"="&amp;AI470)</f>
        <v>1</v>
      </c>
      <c r="BT470" t="str">
        <f>IFERROR(VLOOKUP(BB470&amp;BU470&amp;X470,game_rosters!U:W,3,FALSE),"")</f>
        <v>P100119</v>
      </c>
      <c r="BU470" t="str">
        <f t="shared" si="266"/>
        <v>Nelson</v>
      </c>
    </row>
    <row r="471" spans="1:73" x14ac:dyDescent="0.2">
      <c r="A471">
        <f t="shared" si="253"/>
        <v>1</v>
      </c>
      <c r="E471" s="4"/>
      <c r="F471" s="43"/>
      <c r="G471" s="4"/>
      <c r="H471" s="46"/>
      <c r="J471" s="44" t="str">
        <f t="shared" si="267"/>
        <v/>
      </c>
      <c r="K471" t="s">
        <v>7</v>
      </c>
      <c r="L471" t="s">
        <v>172</v>
      </c>
      <c r="M471" t="s">
        <v>68</v>
      </c>
      <c r="N471" t="str">
        <f t="shared" si="270"/>
        <v>s</v>
      </c>
      <c r="Q471" t="str">
        <f t="shared" si="268"/>
        <v/>
      </c>
      <c r="S471">
        <v>254</v>
      </c>
      <c r="U471" t="str">
        <f>IF(B471=1,MAX($U$2:$U470)+1,IF(AND($T471&lt;&gt;"",$T471=$T470),$U470,IF(B471="x",U470,"")))</f>
        <v/>
      </c>
      <c r="V471" t="str">
        <f>IF(C471=1,MAX($V$2:$V470)+1,IF(AND($T471&lt;&gt;"",$T471=$T470),$U470,IF(C471="x",V470,"")))</f>
        <v/>
      </c>
      <c r="W471" t="str">
        <f t="shared" si="242"/>
        <v>h</v>
      </c>
      <c r="X471">
        <v>10</v>
      </c>
      <c r="Y471" t="b">
        <f>IF(X471&lt;&gt;"",VLOOKUP(X471,game_rosters!$C$43:$E$64,3,FALSE))</f>
        <v>0</v>
      </c>
      <c r="Z471" cm="1">
        <f t="array" ref="Z471">IFERROR(IF(_xlfn._xlws.FILTER(game_rosters!$J:$J,(game_rosters!$G:$G=events!$AN471)*(game_rosters!$J:$J=events!$X471))&gt;0,1,""),"")</f>
        <v>1</v>
      </c>
      <c r="AA471">
        <f t="shared" si="243"/>
        <v>1254</v>
      </c>
      <c r="AB471" t="str">
        <f t="shared" si="244"/>
        <v/>
      </c>
      <c r="AC471">
        <f t="shared" si="241"/>
        <v>1254</v>
      </c>
      <c r="AD471" s="6">
        <v>1</v>
      </c>
      <c r="AE471" t="s">
        <v>937</v>
      </c>
      <c r="AF471" t="s">
        <v>927</v>
      </c>
      <c r="AG471" t="s">
        <v>756</v>
      </c>
      <c r="AH471" t="s">
        <v>756</v>
      </c>
      <c r="AI471" t="s">
        <v>367</v>
      </c>
      <c r="AJ471" t="str">
        <f t="shared" si="269"/>
        <v/>
      </c>
      <c r="AK471" t="str">
        <f t="shared" si="269"/>
        <v/>
      </c>
      <c r="AL471" t="str">
        <f t="shared" si="246"/>
        <v/>
      </c>
      <c r="AN471" t="s">
        <v>861</v>
      </c>
      <c r="AO471" t="str">
        <f t="shared" si="247"/>
        <v>h</v>
      </c>
      <c r="AP471" t="str">
        <f t="shared" si="254"/>
        <v/>
      </c>
      <c r="AQ471" t="str">
        <f t="shared" si="255"/>
        <v/>
      </c>
      <c r="AR471" t="str">
        <f t="shared" si="256"/>
        <v>Home</v>
      </c>
      <c r="AS471" t="str">
        <f t="shared" si="257"/>
        <v>h</v>
      </c>
      <c r="AT471" t="str">
        <f t="shared" si="258"/>
        <v>Offensive</v>
      </c>
      <c r="BA471" s="6">
        <f t="shared" si="248"/>
        <v>116</v>
      </c>
      <c r="BB471">
        <f t="shared" si="249"/>
        <v>18981</v>
      </c>
      <c r="BC471" t="str">
        <f t="shared" si="250"/>
        <v>Nelson</v>
      </c>
      <c r="BD471" t="str">
        <f t="shared" si="251"/>
        <v>Velodrome</v>
      </c>
      <c r="BE471" t="s">
        <v>7</v>
      </c>
      <c r="BF471" t="s">
        <v>172</v>
      </c>
      <c r="BG471" t="s">
        <v>68</v>
      </c>
      <c r="BI471" cm="1">
        <f t="array" ref="BI471">IFERROR(_xlfn._xlws.FILTER(shifts!A:A,(shifts!B:B=events!AD471)*(shifts!AG:AG&gt;=events!BK471)*(shifts!AH:AH&lt;=events!BL471)),BI470)</f>
        <v>25</v>
      </c>
      <c r="BJ471" s="15">
        <f t="shared" si="252"/>
        <v>0</v>
      </c>
      <c r="BK471">
        <f t="shared" si="259"/>
        <v>477</v>
      </c>
      <c r="BL471">
        <f t="shared" si="260"/>
        <v>477</v>
      </c>
      <c r="BM471" s="15">
        <f>SUMIFS(BJ$2:BJ471,K$2:K471,"=Intermission")+SUMIFS(BJ$2:BJ471,K$2:K471,"=Timeout")</f>
        <v>0</v>
      </c>
      <c r="BN471">
        <f t="shared" si="261"/>
        <v>0</v>
      </c>
      <c r="BO471" s="19">
        <f t="shared" si="262"/>
        <v>603</v>
      </c>
      <c r="BP471">
        <f t="shared" si="263"/>
        <v>598</v>
      </c>
      <c r="BQ471" s="17">
        <f t="shared" si="264"/>
        <v>603</v>
      </c>
      <c r="BR471" t="str">
        <f t="shared" si="265"/>
        <v>event_team_player_2</v>
      </c>
      <c r="BS471">
        <f>COUNTIFS(S$3:S471,"="&amp;S471,AI$3:AI471,"="&amp;AI471)</f>
        <v>2</v>
      </c>
      <c r="BT471" t="str">
        <f>IFERROR(VLOOKUP(BB471&amp;BU471&amp;X471,game_rosters!U:W,3,FALSE),"")</f>
        <v>P100078</v>
      </c>
      <c r="BU471" t="str">
        <f t="shared" si="266"/>
        <v>Nelson</v>
      </c>
    </row>
    <row r="472" spans="1:73" x14ac:dyDescent="0.2">
      <c r="A472">
        <f t="shared" si="253"/>
        <v>1</v>
      </c>
      <c r="E472" s="4"/>
      <c r="F472" s="43"/>
      <c r="G472" s="4"/>
      <c r="H472" s="46"/>
      <c r="J472" s="44" t="str">
        <f t="shared" si="267"/>
        <v/>
      </c>
      <c r="K472" t="s">
        <v>7</v>
      </c>
      <c r="L472" t="s">
        <v>172</v>
      </c>
      <c r="M472" t="s">
        <v>68</v>
      </c>
      <c r="N472" t="str">
        <f t="shared" si="270"/>
        <v>s</v>
      </c>
      <c r="Q472" t="str">
        <f t="shared" si="268"/>
        <v/>
      </c>
      <c r="S472">
        <v>254</v>
      </c>
      <c r="U472" t="str">
        <f>IF(B472=1,MAX($U$2:$U471)+1,IF(AND($T472&lt;&gt;"",$T472=$T471),$U471,IF(B472="x",U471,"")))</f>
        <v/>
      </c>
      <c r="V472" t="str">
        <f>IF(C472=1,MAX($V$2:$V471)+1,IF(AND($T472&lt;&gt;"",$T472=$T471),$U471,IF(C472="x",V471,"")))</f>
        <v/>
      </c>
      <c r="W472" t="str">
        <f t="shared" si="242"/>
        <v>h</v>
      </c>
      <c r="X472">
        <v>14</v>
      </c>
      <c r="Y472" t="e">
        <f>IF(X472&lt;&gt;"",VLOOKUP(X472,game_rosters!$C$43:$E$64,3,FALSE))</f>
        <v>#N/A</v>
      </c>
      <c r="Z472" t="str" cm="1">
        <f t="array" ref="Z472">IFERROR(IF(_xlfn._xlws.FILTER(game_rosters!$J:$J,(game_rosters!$G:$G=events!$AN472)*(game_rosters!$J:$J=events!$X472))&gt;0,1,""),"")</f>
        <v/>
      </c>
      <c r="AA472">
        <f t="shared" si="243"/>
        <v>1254</v>
      </c>
      <c r="AB472" t="str">
        <f t="shared" si="244"/>
        <v/>
      </c>
      <c r="AC472">
        <f t="shared" si="241"/>
        <v>1254</v>
      </c>
      <c r="AD472" s="6">
        <v>1</v>
      </c>
      <c r="AE472" t="s">
        <v>937</v>
      </c>
      <c r="AF472" t="s">
        <v>927</v>
      </c>
      <c r="AG472" t="s">
        <v>756</v>
      </c>
      <c r="AH472" t="s">
        <v>756</v>
      </c>
      <c r="AI472" t="s">
        <v>368</v>
      </c>
      <c r="AJ472" t="str">
        <f t="shared" si="269"/>
        <v/>
      </c>
      <c r="AK472" t="str">
        <f t="shared" si="269"/>
        <v/>
      </c>
      <c r="AL472" t="str">
        <f t="shared" si="246"/>
        <v/>
      </c>
      <c r="AN472" t="s">
        <v>861</v>
      </c>
      <c r="AO472" t="str">
        <f t="shared" si="247"/>
        <v>h</v>
      </c>
      <c r="AP472" t="str">
        <f t="shared" si="254"/>
        <v/>
      </c>
      <c r="AQ472" t="str">
        <f t="shared" si="255"/>
        <v/>
      </c>
      <c r="AR472" t="str">
        <f t="shared" si="256"/>
        <v>Home</v>
      </c>
      <c r="AS472" t="str">
        <f t="shared" si="257"/>
        <v>h</v>
      </c>
      <c r="AT472" t="str">
        <f t="shared" si="258"/>
        <v>Defensive</v>
      </c>
      <c r="BA472" s="6">
        <f t="shared" si="248"/>
        <v>116</v>
      </c>
      <c r="BB472">
        <f t="shared" si="249"/>
        <v>18981</v>
      </c>
      <c r="BC472" t="str">
        <f t="shared" si="250"/>
        <v>Nelson</v>
      </c>
      <c r="BD472" t="str">
        <f t="shared" si="251"/>
        <v>Velodrome</v>
      </c>
      <c r="BE472" t="s">
        <v>7</v>
      </c>
      <c r="BF472" t="s">
        <v>172</v>
      </c>
      <c r="BG472" t="s">
        <v>68</v>
      </c>
      <c r="BI472" cm="1">
        <f t="array" ref="BI472">IFERROR(_xlfn._xlws.FILTER(shifts!A:A,(shifts!B:B=events!AD472)*(shifts!AG:AG&gt;=events!BK472)*(shifts!AH:AH&lt;=events!BL472)),BI471)</f>
        <v>25</v>
      </c>
      <c r="BJ472" s="15">
        <f t="shared" si="252"/>
        <v>0</v>
      </c>
      <c r="BK472">
        <f t="shared" si="259"/>
        <v>477</v>
      </c>
      <c r="BL472">
        <f t="shared" si="260"/>
        <v>477</v>
      </c>
      <c r="BM472" s="15">
        <f>SUMIFS(BJ$2:BJ472,K$2:K472,"=Intermission")+SUMIFS(BJ$2:BJ472,K$2:K472,"=Timeout")</f>
        <v>0</v>
      </c>
      <c r="BN472">
        <f t="shared" si="261"/>
        <v>0</v>
      </c>
      <c r="BO472" s="19">
        <f t="shared" si="262"/>
        <v>603</v>
      </c>
      <c r="BP472">
        <f t="shared" si="263"/>
        <v>598</v>
      </c>
      <c r="BQ472" s="17">
        <f t="shared" si="264"/>
        <v>603</v>
      </c>
      <c r="BR472" t="str">
        <f t="shared" si="265"/>
        <v>opp_team_player_1</v>
      </c>
      <c r="BS472">
        <f>COUNTIFS(S$3:S472,"="&amp;S472,AI$3:AI472,"="&amp;AI472)</f>
        <v>1</v>
      </c>
      <c r="BT472" t="str">
        <f>IFERROR(VLOOKUP(BB472&amp;BU472&amp;X472,game_rosters!U:W,3,FALSE),"")</f>
        <v>P100132</v>
      </c>
      <c r="BU472" t="str">
        <f t="shared" si="266"/>
        <v>Velodrome</v>
      </c>
    </row>
    <row r="473" spans="1:73" x14ac:dyDescent="0.2">
      <c r="A473">
        <f t="shared" si="253"/>
        <v>1</v>
      </c>
      <c r="E473" s="4"/>
      <c r="F473" s="43"/>
      <c r="G473" s="4"/>
      <c r="H473" s="46"/>
      <c r="J473" s="44" t="str">
        <f t="shared" si="267"/>
        <v>d</v>
      </c>
      <c r="K473" t="s">
        <v>238</v>
      </c>
      <c r="L473" t="s">
        <v>184</v>
      </c>
      <c r="M473" t="s">
        <v>378</v>
      </c>
      <c r="N473" t="str">
        <f t="shared" si="270"/>
        <v>s</v>
      </c>
      <c r="Q473" t="str">
        <f t="shared" si="268"/>
        <v/>
      </c>
      <c r="S473">
        <v>255</v>
      </c>
      <c r="U473" t="str">
        <f>IF(B473=1,MAX($U$2:$U472)+1,IF(AND($T473&lt;&gt;"",$T473=$T472),$U472,IF(B473="x",U472,"")))</f>
        <v/>
      </c>
      <c r="V473" t="str">
        <f>IF(C473=1,MAX($V$2:$V472)+1,IF(AND($T473&lt;&gt;"",$T473=$T472),$U472,IF(C473="x",V472,"")))</f>
        <v/>
      </c>
      <c r="W473" t="str">
        <f t="shared" si="242"/>
        <v>a</v>
      </c>
      <c r="X473">
        <v>14</v>
      </c>
      <c r="Y473" t="e">
        <f>IF(X473&lt;&gt;"",VLOOKUP(X473,game_rosters!$C$43:$E$64,3,FALSE))</f>
        <v>#N/A</v>
      </c>
      <c r="Z473" cm="1">
        <f t="array" ref="Z473">IFERROR(IF(_xlfn._xlws.FILTER(game_rosters!$J:$J,(game_rosters!$G:$G=events!$AN473)*(game_rosters!$J:$J=events!$X473))&gt;0,1,""),"")</f>
        <v>1</v>
      </c>
      <c r="AA473">
        <f t="shared" si="243"/>
        <v>1255</v>
      </c>
      <c r="AB473" t="str">
        <f t="shared" si="244"/>
        <v/>
      </c>
      <c r="AC473">
        <f t="shared" si="241"/>
        <v>1255</v>
      </c>
      <c r="AD473" s="6">
        <v>1</v>
      </c>
      <c r="AE473" t="s">
        <v>937</v>
      </c>
      <c r="AF473" t="s">
        <v>753</v>
      </c>
      <c r="AG473" t="s">
        <v>756</v>
      </c>
      <c r="AH473" t="s">
        <v>756</v>
      </c>
      <c r="AI473" t="s">
        <v>367</v>
      </c>
      <c r="AJ473" t="str">
        <f t="shared" si="269"/>
        <v>d</v>
      </c>
      <c r="AK473" t="str">
        <f t="shared" si="269"/>
        <v>d</v>
      </c>
      <c r="AL473" t="str">
        <f t="shared" si="246"/>
        <v>o</v>
      </c>
      <c r="AN473" t="s">
        <v>862</v>
      </c>
      <c r="AO473" t="str">
        <f t="shared" si="247"/>
        <v>a</v>
      </c>
      <c r="AP473" t="str">
        <f t="shared" si="254"/>
        <v>o</v>
      </c>
      <c r="AQ473" t="str">
        <f t="shared" si="255"/>
        <v/>
      </c>
      <c r="AR473" t="str">
        <f t="shared" si="256"/>
        <v>Away</v>
      </c>
      <c r="AS473" t="str">
        <f t="shared" si="257"/>
        <v>a</v>
      </c>
      <c r="AT473" t="str">
        <f t="shared" si="258"/>
        <v>Offensive</v>
      </c>
      <c r="BA473" s="6">
        <f t="shared" si="248"/>
        <v>117</v>
      </c>
      <c r="BB473">
        <f t="shared" si="249"/>
        <v>18981</v>
      </c>
      <c r="BC473" t="str">
        <f t="shared" si="250"/>
        <v>Nelson</v>
      </c>
      <c r="BD473" t="str">
        <f t="shared" si="251"/>
        <v>Velodrome</v>
      </c>
      <c r="BE473" t="s">
        <v>238</v>
      </c>
      <c r="BF473" t="s">
        <v>184</v>
      </c>
      <c r="BG473" t="s">
        <v>378</v>
      </c>
      <c r="BI473" cm="1">
        <f t="array" ref="BI473">IFERROR(_xlfn._xlws.FILTER(shifts!A:A,(shifts!B:B=events!AD473)*(shifts!AG:AG&gt;=events!BK473)*(shifts!AH:AH&lt;=events!BL473)),BI472)</f>
        <v>25</v>
      </c>
      <c r="BJ473" s="15">
        <f t="shared" si="252"/>
        <v>0</v>
      </c>
      <c r="BK473">
        <f t="shared" si="259"/>
        <v>475</v>
      </c>
      <c r="BL473">
        <f t="shared" si="260"/>
        <v>475</v>
      </c>
      <c r="BM473" s="15">
        <f>SUMIFS(BJ$2:BJ473,K$2:K473,"=Intermission")+SUMIFS(BJ$2:BJ473,K$2:K473,"=Timeout")</f>
        <v>0</v>
      </c>
      <c r="BN473">
        <f t="shared" si="261"/>
        <v>0</v>
      </c>
      <c r="BO473" s="19">
        <f t="shared" si="262"/>
        <v>605</v>
      </c>
      <c r="BP473">
        <f t="shared" si="263"/>
        <v>600</v>
      </c>
      <c r="BQ473" s="17">
        <f t="shared" si="264"/>
        <v>605</v>
      </c>
      <c r="BR473" t="str">
        <f t="shared" si="265"/>
        <v>event_team_player_1</v>
      </c>
      <c r="BS473">
        <f>COUNTIFS(S$3:S473,"="&amp;S473,AI$3:AI473,"="&amp;AI473)</f>
        <v>1</v>
      </c>
      <c r="BT473" t="str">
        <f>IFERROR(VLOOKUP(BB473&amp;BU473&amp;X473,game_rosters!U:W,3,FALSE),"")</f>
        <v>P100132</v>
      </c>
      <c r="BU473" t="str">
        <f t="shared" si="266"/>
        <v>Velodrome</v>
      </c>
    </row>
    <row r="474" spans="1:73" x14ac:dyDescent="0.2">
      <c r="A474">
        <f t="shared" si="253"/>
        <v>1</v>
      </c>
      <c r="E474" s="4"/>
      <c r="F474" s="43"/>
      <c r="G474" s="4"/>
      <c r="H474" s="46"/>
      <c r="J474" s="44" t="str">
        <f t="shared" si="267"/>
        <v/>
      </c>
      <c r="K474" t="s">
        <v>13</v>
      </c>
      <c r="L474" t="s">
        <v>756</v>
      </c>
      <c r="M474" t="s">
        <v>756</v>
      </c>
      <c r="N474" t="str">
        <f t="shared" si="270"/>
        <v/>
      </c>
      <c r="Q474" t="str">
        <f t="shared" si="268"/>
        <v/>
      </c>
      <c r="S474">
        <v>256</v>
      </c>
      <c r="U474" t="str">
        <f>IF(B474=1,MAX($U$2:$U473)+1,IF(AND($T474&lt;&gt;"",$T474=$T473),$U473,IF(B474="x",U473,"")))</f>
        <v/>
      </c>
      <c r="V474" t="str">
        <f>IF(C474=1,MAX($V$2:$V473)+1,IF(AND($T474&lt;&gt;"",$T474=$T473),$U473,IF(C474="x",V473,"")))</f>
        <v/>
      </c>
      <c r="W474" t="str">
        <f t="shared" si="242"/>
        <v>h</v>
      </c>
      <c r="X474">
        <v>10</v>
      </c>
      <c r="Y474" t="b">
        <f>IF(X474&lt;&gt;"",VLOOKUP(X474,game_rosters!$C$43:$E$64,3,FALSE))</f>
        <v>0</v>
      </c>
      <c r="Z474" cm="1">
        <f t="array" ref="Z474">IFERROR(IF(_xlfn._xlws.FILTER(game_rosters!$J:$J,(game_rosters!$G:$G=events!$AN474)*(game_rosters!$J:$J=events!$X474))&gt;0,1,""),"")</f>
        <v>1</v>
      </c>
      <c r="AA474">
        <f t="shared" si="243"/>
        <v>1256</v>
      </c>
      <c r="AB474" t="str">
        <f t="shared" si="244"/>
        <v/>
      </c>
      <c r="AC474">
        <f t="shared" si="241"/>
        <v>1256</v>
      </c>
      <c r="AD474" s="6">
        <v>1</v>
      </c>
      <c r="AE474" t="s">
        <v>937</v>
      </c>
      <c r="AF474" t="s">
        <v>753</v>
      </c>
      <c r="AG474" t="s">
        <v>937</v>
      </c>
      <c r="AH474" t="s">
        <v>921</v>
      </c>
      <c r="AI474" t="s">
        <v>367</v>
      </c>
      <c r="AJ474" t="str">
        <f t="shared" si="269"/>
        <v/>
      </c>
      <c r="AK474" t="str">
        <f t="shared" si="269"/>
        <v/>
      </c>
      <c r="AL474" t="str">
        <f t="shared" si="246"/>
        <v/>
      </c>
      <c r="AN474" t="s">
        <v>861</v>
      </c>
      <c r="AO474" t="str">
        <f t="shared" si="247"/>
        <v>h</v>
      </c>
      <c r="AP474" t="str">
        <f t="shared" si="254"/>
        <v/>
      </c>
      <c r="AQ474" t="str">
        <f t="shared" si="255"/>
        <v/>
      </c>
      <c r="AR474" t="str">
        <f t="shared" si="256"/>
        <v>Home</v>
      </c>
      <c r="AS474" t="str">
        <f t="shared" si="257"/>
        <v>h</v>
      </c>
      <c r="AT474" t="str">
        <f t="shared" si="258"/>
        <v>Offensive</v>
      </c>
      <c r="BA474" s="6">
        <f t="shared" si="248"/>
        <v>117</v>
      </c>
      <c r="BB474">
        <f t="shared" si="249"/>
        <v>18981</v>
      </c>
      <c r="BC474" t="str">
        <f t="shared" si="250"/>
        <v>Nelson</v>
      </c>
      <c r="BD474" t="str">
        <f t="shared" si="251"/>
        <v>Velodrome</v>
      </c>
      <c r="BE474" t="s">
        <v>13</v>
      </c>
      <c r="BF474" t="s">
        <v>756</v>
      </c>
      <c r="BG474" t="s">
        <v>756</v>
      </c>
      <c r="BI474" cm="1">
        <f t="array" ref="BI474">IFERROR(_xlfn._xlws.FILTER(shifts!A:A,(shifts!B:B=events!AD474)*(shifts!AG:AG&gt;=events!BK474)*(shifts!AH:AH&lt;=events!BL474)),BI473)</f>
        <v>25</v>
      </c>
      <c r="BJ474" s="15">
        <f t="shared" si="252"/>
        <v>2</v>
      </c>
      <c r="BK474">
        <f t="shared" si="259"/>
        <v>475</v>
      </c>
      <c r="BL474">
        <f t="shared" si="260"/>
        <v>473</v>
      </c>
      <c r="BM474" s="15">
        <f>SUMIFS(BJ$2:BJ474,K$2:K474,"=Intermission")+SUMIFS(BJ$2:BJ474,K$2:K474,"=Timeout")</f>
        <v>0</v>
      </c>
      <c r="BN474">
        <f t="shared" si="261"/>
        <v>0</v>
      </c>
      <c r="BO474" s="19">
        <f t="shared" si="262"/>
        <v>605</v>
      </c>
      <c r="BP474">
        <f t="shared" si="263"/>
        <v>600</v>
      </c>
      <c r="BQ474" s="17">
        <f t="shared" si="264"/>
        <v>607</v>
      </c>
      <c r="BR474" t="str">
        <f t="shared" si="265"/>
        <v>event_team_player_1</v>
      </c>
      <c r="BS474">
        <f>COUNTIFS(S$3:S474,"="&amp;S474,AI$3:AI474,"="&amp;AI474)</f>
        <v>1</v>
      </c>
      <c r="BT474" t="str">
        <f>IFERROR(VLOOKUP(BB474&amp;BU474&amp;X474,game_rosters!U:W,3,FALSE),"")</f>
        <v>P100078</v>
      </c>
      <c r="BU474" t="str">
        <f t="shared" si="266"/>
        <v>Nelson</v>
      </c>
    </row>
    <row r="475" spans="1:73" x14ac:dyDescent="0.2">
      <c r="A475">
        <f t="shared" si="253"/>
        <v>1</v>
      </c>
      <c r="E475" s="4"/>
      <c r="F475" s="43"/>
      <c r="G475" s="4"/>
      <c r="H475" s="46"/>
      <c r="J475" s="44" t="str">
        <f t="shared" si="267"/>
        <v/>
      </c>
      <c r="K475" t="s">
        <v>7</v>
      </c>
      <c r="L475" t="s">
        <v>172</v>
      </c>
      <c r="M475" t="s">
        <v>68</v>
      </c>
      <c r="N475" t="str">
        <f t="shared" si="270"/>
        <v>s</v>
      </c>
      <c r="Q475" t="str">
        <f t="shared" si="268"/>
        <v/>
      </c>
      <c r="S475">
        <v>257</v>
      </c>
      <c r="U475" t="str">
        <f>IF(B475=1,MAX($U$2:$U474)+1,IF(AND($T475&lt;&gt;"",$T475=$T474),$U474,IF(B475="x",U474,"")))</f>
        <v/>
      </c>
      <c r="V475" t="str">
        <f>IF(C475=1,MAX($V$2:$V474)+1,IF(AND($T475&lt;&gt;"",$T475=$T474),$U474,IF(C475="x",V474,"")))</f>
        <v/>
      </c>
      <c r="W475" t="str">
        <f t="shared" si="242"/>
        <v>h</v>
      </c>
      <c r="X475">
        <v>10</v>
      </c>
      <c r="Y475" t="b">
        <f>IF(X475&lt;&gt;"",VLOOKUP(X475,game_rosters!$C$43:$E$64,3,FALSE))</f>
        <v>0</v>
      </c>
      <c r="Z475" cm="1">
        <f t="array" ref="Z475">IFERROR(IF(_xlfn._xlws.FILTER(game_rosters!$J:$J,(game_rosters!$G:$G=events!$AN475)*(game_rosters!$J:$J=events!$X475))&gt;0,1,""),"")</f>
        <v>1</v>
      </c>
      <c r="AA475">
        <f t="shared" si="243"/>
        <v>1257</v>
      </c>
      <c r="AB475" t="str">
        <f t="shared" si="244"/>
        <v/>
      </c>
      <c r="AC475">
        <f t="shared" si="241"/>
        <v>1257</v>
      </c>
      <c r="AD475" s="6">
        <v>1</v>
      </c>
      <c r="AE475" t="s">
        <v>937</v>
      </c>
      <c r="AF475" t="s">
        <v>921</v>
      </c>
      <c r="AG475" t="s">
        <v>756</v>
      </c>
      <c r="AH475" t="s">
        <v>756</v>
      </c>
      <c r="AI475" t="s">
        <v>367</v>
      </c>
      <c r="AJ475" t="str">
        <f t="shared" si="269"/>
        <v/>
      </c>
      <c r="AK475" t="str">
        <f t="shared" si="269"/>
        <v/>
      </c>
      <c r="AL475" t="str">
        <f t="shared" si="246"/>
        <v/>
      </c>
      <c r="AN475" t="s">
        <v>861</v>
      </c>
      <c r="AO475" t="str">
        <f t="shared" si="247"/>
        <v>h</v>
      </c>
      <c r="AP475" t="str">
        <f t="shared" si="254"/>
        <v/>
      </c>
      <c r="AQ475" t="str">
        <f t="shared" si="255"/>
        <v/>
      </c>
      <c r="AR475" t="str">
        <f t="shared" si="256"/>
        <v>Home</v>
      </c>
      <c r="AS475" t="str">
        <f t="shared" si="257"/>
        <v>h</v>
      </c>
      <c r="AT475" t="str">
        <f t="shared" si="258"/>
        <v>Offensive</v>
      </c>
      <c r="BA475" s="6">
        <f t="shared" si="248"/>
        <v>117</v>
      </c>
      <c r="BB475">
        <f t="shared" si="249"/>
        <v>18981</v>
      </c>
      <c r="BC475" t="str">
        <f t="shared" si="250"/>
        <v>Nelson</v>
      </c>
      <c r="BD475" t="str">
        <f t="shared" si="251"/>
        <v>Velodrome</v>
      </c>
      <c r="BE475" t="s">
        <v>7</v>
      </c>
      <c r="BF475" t="s">
        <v>172</v>
      </c>
      <c r="BG475" t="s">
        <v>68</v>
      </c>
      <c r="BI475" cm="1">
        <f t="array" ref="BI475">IFERROR(_xlfn._xlws.FILTER(shifts!A:A,(shifts!B:B=events!AD475)*(shifts!AG:AG&gt;=events!BK475)*(shifts!AH:AH&lt;=events!BL475)),BI474)</f>
        <v>25</v>
      </c>
      <c r="BJ475" s="15">
        <f t="shared" si="252"/>
        <v>0</v>
      </c>
      <c r="BK475">
        <f t="shared" si="259"/>
        <v>473</v>
      </c>
      <c r="BL475">
        <f t="shared" si="260"/>
        <v>473</v>
      </c>
      <c r="BM475" s="15">
        <f>SUMIFS(BJ$2:BJ475,K$2:K475,"=Intermission")+SUMIFS(BJ$2:BJ475,K$2:K475,"=Timeout")</f>
        <v>0</v>
      </c>
      <c r="BN475">
        <f t="shared" si="261"/>
        <v>0</v>
      </c>
      <c r="BO475" s="19">
        <f t="shared" si="262"/>
        <v>607</v>
      </c>
      <c r="BP475">
        <f t="shared" si="263"/>
        <v>602</v>
      </c>
      <c r="BQ475" s="17">
        <f t="shared" si="264"/>
        <v>607</v>
      </c>
      <c r="BR475" t="str">
        <f t="shared" si="265"/>
        <v>event_team_player_1</v>
      </c>
      <c r="BS475">
        <f>COUNTIFS(S$3:S475,"="&amp;S475,AI$3:AI475,"="&amp;AI475)</f>
        <v>1</v>
      </c>
      <c r="BT475" t="str">
        <f>IFERROR(VLOOKUP(BB475&amp;BU475&amp;X475,game_rosters!U:W,3,FALSE),"")</f>
        <v>P100078</v>
      </c>
      <c r="BU475" t="str">
        <f t="shared" si="266"/>
        <v>Nelson</v>
      </c>
    </row>
    <row r="476" spans="1:73" x14ac:dyDescent="0.2">
      <c r="A476">
        <f t="shared" si="253"/>
        <v>1</v>
      </c>
      <c r="E476" s="4"/>
      <c r="F476" s="43"/>
      <c r="G476" s="4"/>
      <c r="H476" s="46"/>
      <c r="J476" s="44" t="str">
        <f t="shared" si="267"/>
        <v/>
      </c>
      <c r="K476" t="s">
        <v>7</v>
      </c>
      <c r="L476" t="s">
        <v>172</v>
      </c>
      <c r="M476" t="s">
        <v>68</v>
      </c>
      <c r="N476" t="str">
        <f t="shared" si="270"/>
        <v>s</v>
      </c>
      <c r="Q476" t="str">
        <f t="shared" si="268"/>
        <v/>
      </c>
      <c r="S476">
        <v>257</v>
      </c>
      <c r="U476" t="str">
        <f>IF(B476=1,MAX($U$2:$U475)+1,IF(AND($T476&lt;&gt;"",$T476=$T475),$U475,IF(B476="x",U475,"")))</f>
        <v/>
      </c>
      <c r="V476" t="str">
        <f>IF(C476=1,MAX($V$2:$V475)+1,IF(AND($T476&lt;&gt;"",$T476=$T475),$U475,IF(C476="x",V475,"")))</f>
        <v/>
      </c>
      <c r="W476" t="str">
        <f t="shared" si="242"/>
        <v>h</v>
      </c>
      <c r="X476">
        <v>23</v>
      </c>
      <c r="Y476" t="b">
        <f>IF(X476&lt;&gt;"",VLOOKUP(X476,game_rosters!$C$43:$E$64,3,FALSE))</f>
        <v>0</v>
      </c>
      <c r="Z476" cm="1">
        <f t="array" ref="Z476">IFERROR(IF(_xlfn._xlws.FILTER(game_rosters!$J:$J,(game_rosters!$G:$G=events!$AN476)*(game_rosters!$J:$J=events!$X476))&gt;0,1,""),"")</f>
        <v>1</v>
      </c>
      <c r="AA476">
        <f t="shared" si="243"/>
        <v>1257</v>
      </c>
      <c r="AB476" t="str">
        <f t="shared" si="244"/>
        <v/>
      </c>
      <c r="AC476">
        <f t="shared" si="241"/>
        <v>1257</v>
      </c>
      <c r="AD476" s="6">
        <v>1</v>
      </c>
      <c r="AE476" t="s">
        <v>937</v>
      </c>
      <c r="AF476" t="s">
        <v>921</v>
      </c>
      <c r="AG476" t="s">
        <v>756</v>
      </c>
      <c r="AH476" t="s">
        <v>756</v>
      </c>
      <c r="AI476" t="s">
        <v>367</v>
      </c>
      <c r="AJ476" t="str">
        <f t="shared" si="269"/>
        <v/>
      </c>
      <c r="AK476" t="str">
        <f t="shared" si="269"/>
        <v/>
      </c>
      <c r="AL476" t="str">
        <f t="shared" si="246"/>
        <v/>
      </c>
      <c r="AN476" t="s">
        <v>861</v>
      </c>
      <c r="AO476" t="str">
        <f t="shared" si="247"/>
        <v>h</v>
      </c>
      <c r="AP476" t="str">
        <f t="shared" si="254"/>
        <v/>
      </c>
      <c r="AQ476" t="str">
        <f t="shared" si="255"/>
        <v/>
      </c>
      <c r="AR476" t="str">
        <f t="shared" si="256"/>
        <v>Home</v>
      </c>
      <c r="AS476" t="str">
        <f t="shared" si="257"/>
        <v>h</v>
      </c>
      <c r="AT476" t="str">
        <f t="shared" si="258"/>
        <v>Offensive</v>
      </c>
      <c r="BA476" s="6">
        <f t="shared" si="248"/>
        <v>117</v>
      </c>
      <c r="BB476">
        <f t="shared" si="249"/>
        <v>18981</v>
      </c>
      <c r="BC476" t="str">
        <f t="shared" si="250"/>
        <v>Nelson</v>
      </c>
      <c r="BD476" t="str">
        <f t="shared" si="251"/>
        <v>Velodrome</v>
      </c>
      <c r="BE476" t="s">
        <v>7</v>
      </c>
      <c r="BF476" t="s">
        <v>172</v>
      </c>
      <c r="BG476" t="s">
        <v>68</v>
      </c>
      <c r="BI476" cm="1">
        <f t="array" ref="BI476">IFERROR(_xlfn._xlws.FILTER(shifts!A:A,(shifts!B:B=events!AD476)*(shifts!AG:AG&gt;=events!BK476)*(shifts!AH:AH&lt;=events!BL476)),BI475)</f>
        <v>25</v>
      </c>
      <c r="BJ476" s="15">
        <f t="shared" si="252"/>
        <v>0</v>
      </c>
      <c r="BK476">
        <f t="shared" si="259"/>
        <v>473</v>
      </c>
      <c r="BL476">
        <f t="shared" si="260"/>
        <v>473</v>
      </c>
      <c r="BM476" s="15">
        <f>SUMIFS(BJ$2:BJ476,K$2:K476,"=Intermission")+SUMIFS(BJ$2:BJ476,K$2:K476,"=Timeout")</f>
        <v>0</v>
      </c>
      <c r="BN476">
        <f t="shared" si="261"/>
        <v>0</v>
      </c>
      <c r="BO476" s="19">
        <f t="shared" si="262"/>
        <v>607</v>
      </c>
      <c r="BP476">
        <f t="shared" si="263"/>
        <v>602</v>
      </c>
      <c r="BQ476" s="17">
        <f t="shared" si="264"/>
        <v>607</v>
      </c>
      <c r="BR476" t="str">
        <f t="shared" si="265"/>
        <v>event_team_player_2</v>
      </c>
      <c r="BS476">
        <f>COUNTIFS(S$3:S476,"="&amp;S476,AI$3:AI476,"="&amp;AI476)</f>
        <v>2</v>
      </c>
      <c r="BT476" t="str">
        <f>IFERROR(VLOOKUP(BB476&amp;BU476&amp;X476,game_rosters!U:W,3,FALSE),"")</f>
        <v>P100061</v>
      </c>
      <c r="BU476" t="str">
        <f t="shared" si="266"/>
        <v>Nelson</v>
      </c>
    </row>
    <row r="477" spans="1:73" x14ac:dyDescent="0.2">
      <c r="A477">
        <f t="shared" si="253"/>
        <v>1</v>
      </c>
      <c r="E477" s="4"/>
      <c r="F477" s="43"/>
      <c r="G477" s="4"/>
      <c r="H477" s="46"/>
      <c r="J477" s="44" t="str">
        <f t="shared" si="267"/>
        <v/>
      </c>
      <c r="K477" t="s">
        <v>7</v>
      </c>
      <c r="L477" t="s">
        <v>172</v>
      </c>
      <c r="M477" t="s">
        <v>68</v>
      </c>
      <c r="N477" t="str">
        <f t="shared" si="270"/>
        <v>s</v>
      </c>
      <c r="Q477" t="str">
        <f t="shared" si="268"/>
        <v/>
      </c>
      <c r="S477">
        <v>258</v>
      </c>
      <c r="U477" t="str">
        <f>IF(B477=1,MAX($U$2:$U476)+1,IF(AND($T477&lt;&gt;"",$T477=$T476),$U476,IF(B477="x",U476,"")))</f>
        <v/>
      </c>
      <c r="V477" t="str">
        <f>IF(C477=1,MAX($V$2:$V476)+1,IF(AND($T477&lt;&gt;"",$T477=$T476),$U476,IF(C477="x",V476,"")))</f>
        <v/>
      </c>
      <c r="W477" t="str">
        <f t="shared" si="242"/>
        <v>h</v>
      </c>
      <c r="X477">
        <v>23</v>
      </c>
      <c r="Y477" t="b">
        <f>IF(X477&lt;&gt;"",VLOOKUP(X477,game_rosters!$C$43:$E$64,3,FALSE))</f>
        <v>0</v>
      </c>
      <c r="Z477" cm="1">
        <f t="array" ref="Z477">IFERROR(IF(_xlfn._xlws.FILTER(game_rosters!$J:$J,(game_rosters!$G:$G=events!$AN477)*(game_rosters!$J:$J=events!$X477))&gt;0,1,""),"")</f>
        <v>1</v>
      </c>
      <c r="AA477">
        <f t="shared" si="243"/>
        <v>1258</v>
      </c>
      <c r="AB477" t="str">
        <f t="shared" si="244"/>
        <v/>
      </c>
      <c r="AC477">
        <f t="shared" si="241"/>
        <v>1258</v>
      </c>
      <c r="AD477" s="6">
        <v>1</v>
      </c>
      <c r="AE477" t="s">
        <v>937</v>
      </c>
      <c r="AF477" t="s">
        <v>898</v>
      </c>
      <c r="AG477" t="s">
        <v>756</v>
      </c>
      <c r="AH477" t="s">
        <v>756</v>
      </c>
      <c r="AI477" t="s">
        <v>367</v>
      </c>
      <c r="AJ477" t="str">
        <f t="shared" si="269"/>
        <v/>
      </c>
      <c r="AK477" t="str">
        <f t="shared" si="269"/>
        <v/>
      </c>
      <c r="AL477" t="str">
        <f t="shared" si="246"/>
        <v/>
      </c>
      <c r="AN477" t="s">
        <v>861</v>
      </c>
      <c r="AO477" t="str">
        <f t="shared" si="247"/>
        <v>h</v>
      </c>
      <c r="AP477" t="str">
        <f t="shared" si="254"/>
        <v/>
      </c>
      <c r="AQ477" t="str">
        <f t="shared" si="255"/>
        <v/>
      </c>
      <c r="AR477" t="str">
        <f t="shared" si="256"/>
        <v>Home</v>
      </c>
      <c r="AS477" t="str">
        <f t="shared" si="257"/>
        <v>h</v>
      </c>
      <c r="AT477" t="str">
        <f t="shared" si="258"/>
        <v>Offensive</v>
      </c>
      <c r="BA477" s="6">
        <f t="shared" si="248"/>
        <v>117</v>
      </c>
      <c r="BB477">
        <f t="shared" si="249"/>
        <v>18981</v>
      </c>
      <c r="BC477" t="str">
        <f t="shared" si="250"/>
        <v>Nelson</v>
      </c>
      <c r="BD477" t="str">
        <f t="shared" si="251"/>
        <v>Velodrome</v>
      </c>
      <c r="BE477" t="s">
        <v>7</v>
      </c>
      <c r="BF477" t="s">
        <v>172</v>
      </c>
      <c r="BG477" t="s">
        <v>68</v>
      </c>
      <c r="BI477" cm="1">
        <f t="array" ref="BI477">IFERROR(_xlfn._xlws.FILTER(shifts!A:A,(shifts!B:B=events!AD477)*(shifts!AG:AG&gt;=events!BK477)*(shifts!AH:AH&lt;=events!BL477)),BI476)</f>
        <v>25</v>
      </c>
      <c r="BJ477" s="15">
        <f t="shared" si="252"/>
        <v>0</v>
      </c>
      <c r="BK477">
        <f t="shared" si="259"/>
        <v>471</v>
      </c>
      <c r="BL477">
        <f t="shared" si="260"/>
        <v>471</v>
      </c>
      <c r="BM477" s="15">
        <f>SUMIFS(BJ$2:BJ477,K$2:K477,"=Intermission")+SUMIFS(BJ$2:BJ477,K$2:K477,"=Timeout")</f>
        <v>0</v>
      </c>
      <c r="BN477">
        <f t="shared" si="261"/>
        <v>0</v>
      </c>
      <c r="BO477" s="19">
        <f t="shared" si="262"/>
        <v>609</v>
      </c>
      <c r="BP477">
        <f t="shared" si="263"/>
        <v>604</v>
      </c>
      <c r="BQ477" s="17">
        <f t="shared" si="264"/>
        <v>609</v>
      </c>
      <c r="BR477" t="str">
        <f t="shared" si="265"/>
        <v>event_team_player_1</v>
      </c>
      <c r="BS477">
        <f>COUNTIFS(S$3:S477,"="&amp;S477,AI$3:AI477,"="&amp;AI477)</f>
        <v>1</v>
      </c>
      <c r="BT477" t="str">
        <f>IFERROR(VLOOKUP(BB477&amp;BU477&amp;X477,game_rosters!U:W,3,FALSE),"")</f>
        <v>P100061</v>
      </c>
      <c r="BU477" t="str">
        <f t="shared" si="266"/>
        <v>Nelson</v>
      </c>
    </row>
    <row r="478" spans="1:73" x14ac:dyDescent="0.2">
      <c r="A478">
        <f t="shared" si="253"/>
        <v>1</v>
      </c>
      <c r="E478" s="4"/>
      <c r="F478" s="43"/>
      <c r="G478" s="4"/>
      <c r="H478" s="46"/>
      <c r="J478" s="44" t="str">
        <f t="shared" si="267"/>
        <v/>
      </c>
      <c r="K478" t="s">
        <v>7</v>
      </c>
      <c r="L478" t="s">
        <v>172</v>
      </c>
      <c r="M478" t="s">
        <v>68</v>
      </c>
      <c r="N478" t="str">
        <f t="shared" si="270"/>
        <v>s</v>
      </c>
      <c r="Q478" t="str">
        <f t="shared" si="268"/>
        <v/>
      </c>
      <c r="S478">
        <v>258</v>
      </c>
      <c r="U478" t="str">
        <f>IF(B478=1,MAX($U$2:$U477)+1,IF(AND($T478&lt;&gt;"",$T478=$T477),$U477,IF(B478="x",U477,"")))</f>
        <v/>
      </c>
      <c r="V478" t="str">
        <f>IF(C478=1,MAX($V$2:$V477)+1,IF(AND($T478&lt;&gt;"",$T478=$T477),$U477,IF(C478="x",V477,"")))</f>
        <v/>
      </c>
      <c r="W478" t="str">
        <f t="shared" si="242"/>
        <v>h</v>
      </c>
      <c r="X478">
        <v>37</v>
      </c>
      <c r="Y478" t="b">
        <f>IF(X478&lt;&gt;"",VLOOKUP(X478,game_rosters!$C$43:$E$64,3,FALSE))</f>
        <v>0</v>
      </c>
      <c r="Z478" cm="1">
        <f t="array" ref="Z478">IFERROR(IF(_xlfn._xlws.FILTER(game_rosters!$J:$J,(game_rosters!$G:$G=events!$AN478)*(game_rosters!$J:$J=events!$X478))&gt;0,1,""),"")</f>
        <v>1</v>
      </c>
      <c r="AA478">
        <f t="shared" si="243"/>
        <v>1258</v>
      </c>
      <c r="AB478" t="str">
        <f t="shared" si="244"/>
        <v/>
      </c>
      <c r="AC478">
        <f t="shared" si="241"/>
        <v>1258</v>
      </c>
      <c r="AD478" s="6">
        <v>1</v>
      </c>
      <c r="AE478" t="s">
        <v>937</v>
      </c>
      <c r="AF478" t="s">
        <v>898</v>
      </c>
      <c r="AG478" t="s">
        <v>756</v>
      </c>
      <c r="AH478" t="s">
        <v>756</v>
      </c>
      <c r="AI478" t="s">
        <v>367</v>
      </c>
      <c r="AJ478" t="str">
        <f t="shared" si="269"/>
        <v/>
      </c>
      <c r="AK478" t="str">
        <f t="shared" si="269"/>
        <v/>
      </c>
      <c r="AL478" t="str">
        <f t="shared" si="246"/>
        <v/>
      </c>
      <c r="AN478" t="s">
        <v>861</v>
      </c>
      <c r="AO478" t="str">
        <f t="shared" si="247"/>
        <v>h</v>
      </c>
      <c r="AP478" t="str">
        <f t="shared" si="254"/>
        <v/>
      </c>
      <c r="AQ478" t="str">
        <f t="shared" si="255"/>
        <v/>
      </c>
      <c r="AR478" t="str">
        <f t="shared" si="256"/>
        <v>Home</v>
      </c>
      <c r="AS478" t="str">
        <f t="shared" si="257"/>
        <v>h</v>
      </c>
      <c r="AT478" t="str">
        <f t="shared" si="258"/>
        <v>Offensive</v>
      </c>
      <c r="BA478" s="6">
        <f t="shared" si="248"/>
        <v>117</v>
      </c>
      <c r="BB478">
        <f t="shared" si="249"/>
        <v>18981</v>
      </c>
      <c r="BC478" t="str">
        <f t="shared" si="250"/>
        <v>Nelson</v>
      </c>
      <c r="BD478" t="str">
        <f t="shared" si="251"/>
        <v>Velodrome</v>
      </c>
      <c r="BE478" t="s">
        <v>7</v>
      </c>
      <c r="BF478" t="s">
        <v>172</v>
      </c>
      <c r="BG478" t="s">
        <v>68</v>
      </c>
      <c r="BI478" cm="1">
        <f t="array" ref="BI478">IFERROR(_xlfn._xlws.FILTER(shifts!A:A,(shifts!B:B=events!AD478)*(shifts!AG:AG&gt;=events!BK478)*(shifts!AH:AH&lt;=events!BL478)),BI477)</f>
        <v>25</v>
      </c>
      <c r="BJ478" s="15">
        <f t="shared" si="252"/>
        <v>0</v>
      </c>
      <c r="BK478">
        <f t="shared" si="259"/>
        <v>471</v>
      </c>
      <c r="BL478">
        <f t="shared" si="260"/>
        <v>471</v>
      </c>
      <c r="BM478" s="15">
        <f>SUMIFS(BJ$2:BJ478,K$2:K478,"=Intermission")+SUMIFS(BJ$2:BJ478,K$2:K478,"=Timeout")</f>
        <v>0</v>
      </c>
      <c r="BN478">
        <f t="shared" si="261"/>
        <v>0</v>
      </c>
      <c r="BO478" s="19">
        <f t="shared" si="262"/>
        <v>609</v>
      </c>
      <c r="BP478">
        <f t="shared" si="263"/>
        <v>604</v>
      </c>
      <c r="BQ478" s="17">
        <f t="shared" si="264"/>
        <v>609</v>
      </c>
      <c r="BR478" t="str">
        <f t="shared" si="265"/>
        <v>event_team_player_2</v>
      </c>
      <c r="BS478">
        <f>COUNTIFS(S$3:S478,"="&amp;S478,AI$3:AI478,"="&amp;AI478)</f>
        <v>2</v>
      </c>
      <c r="BT478" t="str">
        <f>IFERROR(VLOOKUP(BB478&amp;BU478&amp;X478,game_rosters!U:W,3,FALSE),"")</f>
        <v>P100119</v>
      </c>
      <c r="BU478" t="str">
        <f t="shared" si="266"/>
        <v>Nelson</v>
      </c>
    </row>
    <row r="479" spans="1:73" x14ac:dyDescent="0.2">
      <c r="A479">
        <f t="shared" si="253"/>
        <v>1</v>
      </c>
      <c r="E479" s="4"/>
      <c r="F479" s="43"/>
      <c r="G479" s="4"/>
      <c r="H479" s="46"/>
      <c r="J479" s="44" t="str">
        <f t="shared" si="267"/>
        <v/>
      </c>
      <c r="K479" t="s">
        <v>7</v>
      </c>
      <c r="L479" t="s">
        <v>172</v>
      </c>
      <c r="M479" t="s">
        <v>68</v>
      </c>
      <c r="N479" t="str">
        <f t="shared" si="270"/>
        <v>s</v>
      </c>
      <c r="Q479" t="str">
        <f t="shared" si="268"/>
        <v/>
      </c>
      <c r="S479">
        <v>258</v>
      </c>
      <c r="U479" t="str">
        <f>IF(B479=1,MAX($U$2:$U478)+1,IF(AND($T479&lt;&gt;"",$T479=$T478),$U478,IF(B479="x",U478,"")))</f>
        <v/>
      </c>
      <c r="V479" t="str">
        <f>IF(C479=1,MAX($V$2:$V478)+1,IF(AND($T479&lt;&gt;"",$T479=$T478),$U478,IF(C479="x",V478,"")))</f>
        <v/>
      </c>
      <c r="W479" t="str">
        <f t="shared" si="242"/>
        <v>h</v>
      </c>
      <c r="X479">
        <v>14</v>
      </c>
      <c r="Y479" t="e">
        <f>IF(X479&lt;&gt;"",VLOOKUP(X479,game_rosters!$C$43:$E$64,3,FALSE))</f>
        <v>#N/A</v>
      </c>
      <c r="Z479" t="str" cm="1">
        <f t="array" ref="Z479">IFERROR(IF(_xlfn._xlws.FILTER(game_rosters!$J:$J,(game_rosters!$G:$G=events!$AN479)*(game_rosters!$J:$J=events!$X479))&gt;0,1,""),"")</f>
        <v/>
      </c>
      <c r="AA479">
        <f t="shared" si="243"/>
        <v>1258</v>
      </c>
      <c r="AB479" t="str">
        <f t="shared" si="244"/>
        <v/>
      </c>
      <c r="AC479">
        <f t="shared" si="241"/>
        <v>1258</v>
      </c>
      <c r="AD479" s="6">
        <v>1</v>
      </c>
      <c r="AE479" t="s">
        <v>937</v>
      </c>
      <c r="AF479" t="s">
        <v>898</v>
      </c>
      <c r="AG479" t="s">
        <v>756</v>
      </c>
      <c r="AH479" t="s">
        <v>756</v>
      </c>
      <c r="AI479" t="s">
        <v>368</v>
      </c>
      <c r="AJ479" t="str">
        <f t="shared" si="269"/>
        <v/>
      </c>
      <c r="AK479" t="str">
        <f t="shared" si="269"/>
        <v/>
      </c>
      <c r="AL479" t="str">
        <f t="shared" si="246"/>
        <v/>
      </c>
      <c r="AN479" t="s">
        <v>861</v>
      </c>
      <c r="AO479" t="str">
        <f t="shared" si="247"/>
        <v>h</v>
      </c>
      <c r="AP479" t="str">
        <f t="shared" si="254"/>
        <v/>
      </c>
      <c r="AQ479" t="str">
        <f t="shared" si="255"/>
        <v/>
      </c>
      <c r="AR479" t="str">
        <f t="shared" si="256"/>
        <v>Home</v>
      </c>
      <c r="AS479" t="str">
        <f t="shared" si="257"/>
        <v>h</v>
      </c>
      <c r="AT479" t="str">
        <f t="shared" si="258"/>
        <v>Defensive</v>
      </c>
      <c r="BA479" s="6">
        <f t="shared" si="248"/>
        <v>117</v>
      </c>
      <c r="BB479">
        <f t="shared" si="249"/>
        <v>18981</v>
      </c>
      <c r="BC479" t="str">
        <f t="shared" si="250"/>
        <v>Nelson</v>
      </c>
      <c r="BD479" t="str">
        <f t="shared" si="251"/>
        <v>Velodrome</v>
      </c>
      <c r="BE479" t="s">
        <v>7</v>
      </c>
      <c r="BF479" t="s">
        <v>172</v>
      </c>
      <c r="BG479" t="s">
        <v>68</v>
      </c>
      <c r="BI479" cm="1">
        <f t="array" ref="BI479">IFERROR(_xlfn._xlws.FILTER(shifts!A:A,(shifts!B:B=events!AD479)*(shifts!AG:AG&gt;=events!BK479)*(shifts!AH:AH&lt;=events!BL479)),BI478)</f>
        <v>25</v>
      </c>
      <c r="BJ479" s="15">
        <f t="shared" si="252"/>
        <v>0</v>
      </c>
      <c r="BK479">
        <f t="shared" si="259"/>
        <v>471</v>
      </c>
      <c r="BL479">
        <f t="shared" si="260"/>
        <v>471</v>
      </c>
      <c r="BM479" s="15">
        <f>SUMIFS(BJ$2:BJ479,K$2:K479,"=Intermission")+SUMIFS(BJ$2:BJ479,K$2:K479,"=Timeout")</f>
        <v>0</v>
      </c>
      <c r="BN479">
        <f t="shared" si="261"/>
        <v>0</v>
      </c>
      <c r="BO479" s="19">
        <f t="shared" si="262"/>
        <v>609</v>
      </c>
      <c r="BP479">
        <f t="shared" si="263"/>
        <v>604</v>
      </c>
      <c r="BQ479" s="17">
        <f t="shared" si="264"/>
        <v>609</v>
      </c>
      <c r="BR479" t="str">
        <f t="shared" si="265"/>
        <v>opp_team_player_1</v>
      </c>
      <c r="BS479">
        <f>COUNTIFS(S$3:S479,"="&amp;S479,AI$3:AI479,"="&amp;AI479)</f>
        <v>1</v>
      </c>
      <c r="BT479" t="str">
        <f>IFERROR(VLOOKUP(BB479&amp;BU479&amp;X479,game_rosters!U:W,3,FALSE),"")</f>
        <v>P100132</v>
      </c>
      <c r="BU479" t="str">
        <f t="shared" si="266"/>
        <v>Velodrome</v>
      </c>
    </row>
    <row r="480" spans="1:73" x14ac:dyDescent="0.2">
      <c r="A480">
        <f t="shared" si="253"/>
        <v>1</v>
      </c>
      <c r="E480" s="4"/>
      <c r="F480" s="43"/>
      <c r="G480" s="4"/>
      <c r="H480" s="46"/>
      <c r="J480" s="44" t="str">
        <f t="shared" si="267"/>
        <v/>
      </c>
      <c r="K480" t="s">
        <v>13</v>
      </c>
      <c r="L480" t="s">
        <v>756</v>
      </c>
      <c r="M480" t="s">
        <v>756</v>
      </c>
      <c r="N480" t="str">
        <f t="shared" si="270"/>
        <v/>
      </c>
      <c r="Q480" t="str">
        <f t="shared" si="268"/>
        <v/>
      </c>
      <c r="S480">
        <v>259</v>
      </c>
      <c r="U480" t="str">
        <f>IF(B480=1,MAX($U$2:$U479)+1,IF(AND($T480&lt;&gt;"",$T480=$T479),$U479,IF(B480="x",U479,"")))</f>
        <v/>
      </c>
      <c r="V480" t="str">
        <f>IF(C480=1,MAX($V$2:$V479)+1,IF(AND($T480&lt;&gt;"",$T480=$T479),$U479,IF(C480="x",V479,"")))</f>
        <v/>
      </c>
      <c r="W480" t="str">
        <f t="shared" si="242"/>
        <v>h</v>
      </c>
      <c r="X480">
        <v>37</v>
      </c>
      <c r="Y480" t="b">
        <f>IF(X480&lt;&gt;"",VLOOKUP(X480,game_rosters!$C$43:$E$64,3,FALSE))</f>
        <v>0</v>
      </c>
      <c r="Z480" cm="1">
        <f t="array" ref="Z480">IFERROR(IF(_xlfn._xlws.FILTER(game_rosters!$J:$J,(game_rosters!$G:$G=events!$AN480)*(game_rosters!$J:$J=events!$X480))&gt;0,1,""),"")</f>
        <v>1</v>
      </c>
      <c r="AA480">
        <f t="shared" si="243"/>
        <v>1259</v>
      </c>
      <c r="AB480" t="str">
        <f t="shared" si="244"/>
        <v/>
      </c>
      <c r="AC480">
        <f t="shared" si="241"/>
        <v>1259</v>
      </c>
      <c r="AD480" s="6">
        <v>1</v>
      </c>
      <c r="AE480" t="s">
        <v>937</v>
      </c>
      <c r="AF480" t="s">
        <v>922</v>
      </c>
      <c r="AG480" t="s">
        <v>937</v>
      </c>
      <c r="AH480" t="s">
        <v>737</v>
      </c>
      <c r="AI480" t="s">
        <v>367</v>
      </c>
      <c r="AJ480" t="str">
        <f t="shared" si="269"/>
        <v/>
      </c>
      <c r="AK480" t="str">
        <f t="shared" si="269"/>
        <v/>
      </c>
      <c r="AL480" t="str">
        <f t="shared" si="246"/>
        <v/>
      </c>
      <c r="AN480" t="s">
        <v>861</v>
      </c>
      <c r="AO480" t="str">
        <f t="shared" si="247"/>
        <v>h</v>
      </c>
      <c r="AP480" t="str">
        <f t="shared" si="254"/>
        <v/>
      </c>
      <c r="AQ480" t="str">
        <f t="shared" si="255"/>
        <v/>
      </c>
      <c r="AR480" t="str">
        <f t="shared" si="256"/>
        <v>Home</v>
      </c>
      <c r="AS480" t="str">
        <f t="shared" si="257"/>
        <v>h</v>
      </c>
      <c r="AT480" t="str">
        <f t="shared" si="258"/>
        <v>Offensive</v>
      </c>
      <c r="BA480" s="6">
        <f t="shared" si="248"/>
        <v>117</v>
      </c>
      <c r="BB480">
        <f t="shared" si="249"/>
        <v>18981</v>
      </c>
      <c r="BC480" t="str">
        <f t="shared" si="250"/>
        <v>Nelson</v>
      </c>
      <c r="BD480" t="str">
        <f t="shared" si="251"/>
        <v>Velodrome</v>
      </c>
      <c r="BE480" t="s">
        <v>13</v>
      </c>
      <c r="BF480" t="s">
        <v>756</v>
      </c>
      <c r="BG480" t="s">
        <v>756</v>
      </c>
      <c r="BI480" cm="1">
        <f t="array" ref="BI480">IFERROR(_xlfn._xlws.FILTER(shifts!A:A,(shifts!B:B=events!AD480)*(shifts!AG:AG&gt;=events!BK480)*(shifts!AH:AH&lt;=events!BL480)),BI479)</f>
        <v>25</v>
      </c>
      <c r="BJ480" s="15">
        <f t="shared" si="252"/>
        <v>4</v>
      </c>
      <c r="BK480">
        <f t="shared" si="259"/>
        <v>470</v>
      </c>
      <c r="BL480">
        <f t="shared" si="260"/>
        <v>466</v>
      </c>
      <c r="BM480" s="15">
        <f>SUMIFS(BJ$2:BJ480,K$2:K480,"=Intermission")+SUMIFS(BJ$2:BJ480,K$2:K480,"=Timeout")</f>
        <v>0</v>
      </c>
      <c r="BN480">
        <f t="shared" si="261"/>
        <v>0</v>
      </c>
      <c r="BO480" s="19">
        <f t="shared" si="262"/>
        <v>610</v>
      </c>
      <c r="BP480">
        <f t="shared" si="263"/>
        <v>605</v>
      </c>
      <c r="BQ480" s="17">
        <f t="shared" si="264"/>
        <v>614</v>
      </c>
      <c r="BR480" t="str">
        <f t="shared" si="265"/>
        <v>event_team_player_1</v>
      </c>
      <c r="BS480">
        <f>COUNTIFS(S$3:S480,"="&amp;S480,AI$3:AI480,"="&amp;AI480)</f>
        <v>1</v>
      </c>
      <c r="BT480" t="str">
        <f>IFERROR(VLOOKUP(BB480&amp;BU480&amp;X480,game_rosters!U:W,3,FALSE),"")</f>
        <v>P100119</v>
      </c>
      <c r="BU480" t="str">
        <f t="shared" si="266"/>
        <v>Nelson</v>
      </c>
    </row>
    <row r="481" spans="1:73" x14ac:dyDescent="0.2">
      <c r="A481">
        <f t="shared" si="253"/>
        <v>1</v>
      </c>
      <c r="E481" s="4"/>
      <c r="F481" s="43"/>
      <c r="G481" s="4"/>
      <c r="H481" s="46"/>
      <c r="J481" s="44" t="str">
        <f t="shared" si="267"/>
        <v/>
      </c>
      <c r="K481" t="s">
        <v>13</v>
      </c>
      <c r="L481" t="s">
        <v>756</v>
      </c>
      <c r="M481" t="s">
        <v>756</v>
      </c>
      <c r="N481" t="str">
        <f t="shared" si="270"/>
        <v/>
      </c>
      <c r="Q481" t="str">
        <f t="shared" si="268"/>
        <v/>
      </c>
      <c r="S481">
        <v>259</v>
      </c>
      <c r="U481" t="str">
        <f>IF(B481=1,MAX($U$2:$U480)+1,IF(AND($T481&lt;&gt;"",$T481=$T480),$U480,IF(B481="x",U480,"")))</f>
        <v/>
      </c>
      <c r="V481" t="str">
        <f>IF(C481=1,MAX($V$2:$V480)+1,IF(AND($T481&lt;&gt;"",$T481=$T480),$U480,IF(C481="x",V480,"")))</f>
        <v/>
      </c>
      <c r="W481" t="str">
        <f t="shared" si="242"/>
        <v>h</v>
      </c>
      <c r="X481">
        <v>14</v>
      </c>
      <c r="Y481" t="e">
        <f>IF(X481&lt;&gt;"",VLOOKUP(X481,game_rosters!$C$43:$E$64,3,FALSE))</f>
        <v>#N/A</v>
      </c>
      <c r="Z481" t="str" cm="1">
        <f t="array" ref="Z481">IFERROR(IF(_xlfn._xlws.FILTER(game_rosters!$J:$J,(game_rosters!$G:$G=events!$AN481)*(game_rosters!$J:$J=events!$X481))&gt;0,1,""),"")</f>
        <v/>
      </c>
      <c r="AA481">
        <f t="shared" si="243"/>
        <v>1259</v>
      </c>
      <c r="AB481" t="str">
        <f t="shared" si="244"/>
        <v/>
      </c>
      <c r="AC481">
        <f t="shared" si="241"/>
        <v>1259</v>
      </c>
      <c r="AD481" s="6">
        <v>1</v>
      </c>
      <c r="AE481" t="s">
        <v>937</v>
      </c>
      <c r="AF481" t="s">
        <v>922</v>
      </c>
      <c r="AG481" t="s">
        <v>937</v>
      </c>
      <c r="AH481" t="s">
        <v>737</v>
      </c>
      <c r="AI481" t="s">
        <v>368</v>
      </c>
      <c r="AJ481" t="str">
        <f t="shared" si="269"/>
        <v/>
      </c>
      <c r="AK481" t="str">
        <f t="shared" si="269"/>
        <v/>
      </c>
      <c r="AL481" t="str">
        <f t="shared" si="246"/>
        <v/>
      </c>
      <c r="AN481" t="s">
        <v>861</v>
      </c>
      <c r="AO481" t="str">
        <f t="shared" si="247"/>
        <v>h</v>
      </c>
      <c r="AP481" t="str">
        <f t="shared" si="254"/>
        <v/>
      </c>
      <c r="AQ481" t="str">
        <f t="shared" si="255"/>
        <v/>
      </c>
      <c r="AR481" t="str">
        <f t="shared" si="256"/>
        <v>Home</v>
      </c>
      <c r="AS481" t="str">
        <f t="shared" si="257"/>
        <v>h</v>
      </c>
      <c r="AT481" t="str">
        <f t="shared" si="258"/>
        <v>Defensive</v>
      </c>
      <c r="BA481" s="6">
        <f t="shared" si="248"/>
        <v>117</v>
      </c>
      <c r="BB481">
        <f t="shared" si="249"/>
        <v>18981</v>
      </c>
      <c r="BC481" t="str">
        <f t="shared" si="250"/>
        <v>Nelson</v>
      </c>
      <c r="BD481" t="str">
        <f t="shared" si="251"/>
        <v>Velodrome</v>
      </c>
      <c r="BE481" t="s">
        <v>13</v>
      </c>
      <c r="BF481" t="s">
        <v>756</v>
      </c>
      <c r="BG481" t="s">
        <v>756</v>
      </c>
      <c r="BI481" cm="1">
        <f t="array" ref="BI481">IFERROR(_xlfn._xlws.FILTER(shifts!A:A,(shifts!B:B=events!AD481)*(shifts!AG:AG&gt;=events!BK481)*(shifts!AH:AH&lt;=events!BL481)),BI480)</f>
        <v>25</v>
      </c>
      <c r="BJ481" s="15">
        <f t="shared" si="252"/>
        <v>4</v>
      </c>
      <c r="BK481">
        <f t="shared" si="259"/>
        <v>470</v>
      </c>
      <c r="BL481">
        <f t="shared" si="260"/>
        <v>466</v>
      </c>
      <c r="BM481" s="15">
        <f>SUMIFS(BJ$2:BJ481,K$2:K481,"=Intermission")+SUMIFS(BJ$2:BJ481,K$2:K481,"=Timeout")</f>
        <v>0</v>
      </c>
      <c r="BN481">
        <f t="shared" si="261"/>
        <v>0</v>
      </c>
      <c r="BO481" s="19">
        <f t="shared" si="262"/>
        <v>610</v>
      </c>
      <c r="BP481">
        <f t="shared" si="263"/>
        <v>605</v>
      </c>
      <c r="BQ481" s="17">
        <f t="shared" si="264"/>
        <v>614</v>
      </c>
      <c r="BR481" t="str">
        <f t="shared" si="265"/>
        <v>opp_team_player_1</v>
      </c>
      <c r="BS481">
        <f>COUNTIFS(S$3:S481,"="&amp;S481,AI$3:AI481,"="&amp;AI481)</f>
        <v>1</v>
      </c>
      <c r="BT481" t="str">
        <f>IFERROR(VLOOKUP(BB481&amp;BU481&amp;X481,game_rosters!U:W,3,FALSE),"")</f>
        <v>P100132</v>
      </c>
      <c r="BU481" t="str">
        <f t="shared" si="266"/>
        <v>Velodrome</v>
      </c>
    </row>
    <row r="482" spans="1:73" x14ac:dyDescent="0.2">
      <c r="A482">
        <f t="shared" si="253"/>
        <v>1</v>
      </c>
      <c r="E482" s="4"/>
      <c r="F482" s="43"/>
      <c r="G482" s="4"/>
      <c r="H482" s="46"/>
      <c r="J482" s="44" t="str">
        <f t="shared" si="267"/>
        <v/>
      </c>
      <c r="K482" t="s">
        <v>7</v>
      </c>
      <c r="L482" t="s">
        <v>199</v>
      </c>
      <c r="M482" t="s">
        <v>68</v>
      </c>
      <c r="N482" t="str">
        <f t="shared" si="270"/>
        <v>u</v>
      </c>
      <c r="Q482" t="str">
        <f t="shared" si="268"/>
        <v/>
      </c>
      <c r="S482">
        <v>260</v>
      </c>
      <c r="U482" t="str">
        <f>IF(B482=1,MAX($U$2:$U481)+1,IF(AND($T482&lt;&gt;"",$T482=$T481),$U481,IF(B482="x",U481,"")))</f>
        <v/>
      </c>
      <c r="V482" t="str">
        <f>IF(C482=1,MAX($V$2:$V481)+1,IF(AND($T482&lt;&gt;"",$T482=$T481),$U481,IF(C482="x",V481,"")))</f>
        <v/>
      </c>
      <c r="W482" t="str">
        <f t="shared" si="242"/>
        <v>h</v>
      </c>
      <c r="X482">
        <v>37</v>
      </c>
      <c r="Y482" t="b">
        <f>IF(X482&lt;&gt;"",VLOOKUP(X482,game_rosters!$C$43:$E$64,3,FALSE))</f>
        <v>0</v>
      </c>
      <c r="Z482" cm="1">
        <f t="array" ref="Z482">IFERROR(IF(_xlfn._xlws.FILTER(game_rosters!$J:$J,(game_rosters!$G:$G=events!$AN482)*(game_rosters!$J:$J=events!$X482))&gt;0,1,""),"")</f>
        <v>1</v>
      </c>
      <c r="AA482">
        <f t="shared" si="243"/>
        <v>1260</v>
      </c>
      <c r="AB482" t="str">
        <f t="shared" si="244"/>
        <v/>
      </c>
      <c r="AC482">
        <f t="shared" si="241"/>
        <v>1260</v>
      </c>
      <c r="AD482" s="6">
        <v>1</v>
      </c>
      <c r="AE482" t="s">
        <v>937</v>
      </c>
      <c r="AF482" t="s">
        <v>737</v>
      </c>
      <c r="AG482" t="s">
        <v>756</v>
      </c>
      <c r="AH482" t="s">
        <v>756</v>
      </c>
      <c r="AI482" t="s">
        <v>367</v>
      </c>
      <c r="AJ482" t="str">
        <f t="shared" si="269"/>
        <v/>
      </c>
      <c r="AK482" t="str">
        <f t="shared" si="269"/>
        <v/>
      </c>
      <c r="AL482" t="str">
        <f t="shared" si="246"/>
        <v/>
      </c>
      <c r="AN482" t="s">
        <v>861</v>
      </c>
      <c r="AO482" t="str">
        <f t="shared" si="247"/>
        <v>h</v>
      </c>
      <c r="AP482" t="str">
        <f t="shared" si="254"/>
        <v/>
      </c>
      <c r="AQ482" t="str">
        <f t="shared" si="255"/>
        <v/>
      </c>
      <c r="AR482" t="str">
        <f t="shared" si="256"/>
        <v>Home</v>
      </c>
      <c r="AS482" t="str">
        <f t="shared" si="257"/>
        <v>h</v>
      </c>
      <c r="AT482" t="str">
        <f t="shared" si="258"/>
        <v>Offensive</v>
      </c>
      <c r="BA482" s="6">
        <f t="shared" si="248"/>
        <v>117</v>
      </c>
      <c r="BB482">
        <f t="shared" si="249"/>
        <v>18981</v>
      </c>
      <c r="BC482" t="str">
        <f t="shared" si="250"/>
        <v>Nelson</v>
      </c>
      <c r="BD482" t="str">
        <f t="shared" si="251"/>
        <v>Velodrome</v>
      </c>
      <c r="BE482" t="s">
        <v>7</v>
      </c>
      <c r="BF482" t="s">
        <v>199</v>
      </c>
      <c r="BG482" t="s">
        <v>68</v>
      </c>
      <c r="BI482" cm="1">
        <f t="array" ref="BI482">IFERROR(_xlfn._xlws.FILTER(shifts!A:A,(shifts!B:B=events!AD482)*(shifts!AG:AG&gt;=events!BK482)*(shifts!AH:AH&lt;=events!BL482)),BI481)</f>
        <v>25</v>
      </c>
      <c r="BJ482" s="15">
        <f t="shared" si="252"/>
        <v>0</v>
      </c>
      <c r="BK482">
        <f t="shared" si="259"/>
        <v>466</v>
      </c>
      <c r="BL482">
        <f t="shared" si="260"/>
        <v>466</v>
      </c>
      <c r="BM482" s="15">
        <f>SUMIFS(BJ$2:BJ482,K$2:K482,"=Intermission")+SUMIFS(BJ$2:BJ482,K$2:K482,"=Timeout")</f>
        <v>0</v>
      </c>
      <c r="BN482">
        <f t="shared" si="261"/>
        <v>0</v>
      </c>
      <c r="BO482" s="19">
        <f t="shared" si="262"/>
        <v>614</v>
      </c>
      <c r="BP482">
        <f t="shared" si="263"/>
        <v>609</v>
      </c>
      <c r="BQ482" s="17">
        <f t="shared" si="264"/>
        <v>614</v>
      </c>
      <c r="BR482" t="str">
        <f t="shared" si="265"/>
        <v>event_team_player_1</v>
      </c>
      <c r="BS482">
        <f>COUNTIFS(S$3:S482,"="&amp;S482,AI$3:AI482,"="&amp;AI482)</f>
        <v>1</v>
      </c>
      <c r="BT482" t="str">
        <f>IFERROR(VLOOKUP(BB482&amp;BU482&amp;X482,game_rosters!U:W,3,FALSE),"")</f>
        <v>P100119</v>
      </c>
      <c r="BU482" t="str">
        <f t="shared" si="266"/>
        <v>Nelson</v>
      </c>
    </row>
    <row r="483" spans="1:73" x14ac:dyDescent="0.2">
      <c r="A483">
        <f t="shared" si="253"/>
        <v>1</v>
      </c>
      <c r="E483" s="4"/>
      <c r="F483" s="43"/>
      <c r="G483" s="4"/>
      <c r="H483" s="46"/>
      <c r="J483" s="44" t="str">
        <f t="shared" si="267"/>
        <v/>
      </c>
      <c r="K483" t="s">
        <v>7</v>
      </c>
      <c r="L483" t="s">
        <v>199</v>
      </c>
      <c r="M483" t="s">
        <v>68</v>
      </c>
      <c r="N483" t="str">
        <f t="shared" si="270"/>
        <v>u</v>
      </c>
      <c r="Q483" t="str">
        <f t="shared" si="268"/>
        <v/>
      </c>
      <c r="S483">
        <v>260</v>
      </c>
      <c r="U483" t="str">
        <f>IF(B483=1,MAX($U$2:$U482)+1,IF(AND($T483&lt;&gt;"",$T483=$T482),$U482,IF(B483="x",U482,"")))</f>
        <v/>
      </c>
      <c r="V483" t="str">
        <f>IF(C483=1,MAX($V$2:$V482)+1,IF(AND($T483&lt;&gt;"",$T483=$T482),$U482,IF(C483="x",V482,"")))</f>
        <v/>
      </c>
      <c r="W483" t="str">
        <f t="shared" si="242"/>
        <v>h</v>
      </c>
      <c r="X483">
        <v>44</v>
      </c>
      <c r="Y483" t="b">
        <f>IF(X483&lt;&gt;"",VLOOKUP(X483,game_rosters!$C$43:$E$64,3,FALSE))</f>
        <v>0</v>
      </c>
      <c r="Z483" cm="1">
        <f t="array" ref="Z483">IFERROR(IF(_xlfn._xlws.FILTER(game_rosters!$J:$J,(game_rosters!$G:$G=events!$AN483)*(game_rosters!$J:$J=events!$X483))&gt;0,1,""),"")</f>
        <v>1</v>
      </c>
      <c r="AA483">
        <f t="shared" si="243"/>
        <v>1260</v>
      </c>
      <c r="AB483" t="str">
        <f t="shared" si="244"/>
        <v/>
      </c>
      <c r="AC483">
        <f t="shared" si="241"/>
        <v>1260</v>
      </c>
      <c r="AD483" s="6">
        <v>1</v>
      </c>
      <c r="AE483" t="s">
        <v>937</v>
      </c>
      <c r="AF483" t="s">
        <v>737</v>
      </c>
      <c r="AG483" t="s">
        <v>756</v>
      </c>
      <c r="AH483" t="s">
        <v>756</v>
      </c>
      <c r="AI483" t="s">
        <v>367</v>
      </c>
      <c r="AJ483" t="str">
        <f t="shared" si="269"/>
        <v/>
      </c>
      <c r="AK483" t="str">
        <f t="shared" si="269"/>
        <v/>
      </c>
      <c r="AL483" t="str">
        <f t="shared" si="246"/>
        <v/>
      </c>
      <c r="AN483" t="s">
        <v>861</v>
      </c>
      <c r="AO483" t="str">
        <f t="shared" si="247"/>
        <v>h</v>
      </c>
      <c r="AP483" t="str">
        <f t="shared" si="254"/>
        <v/>
      </c>
      <c r="AQ483" t="str">
        <f t="shared" si="255"/>
        <v/>
      </c>
      <c r="AR483" t="str">
        <f t="shared" si="256"/>
        <v>Home</v>
      </c>
      <c r="AS483" t="str">
        <f t="shared" si="257"/>
        <v>h</v>
      </c>
      <c r="AT483" t="str">
        <f t="shared" si="258"/>
        <v>Offensive</v>
      </c>
      <c r="BA483" s="6">
        <f t="shared" si="248"/>
        <v>117</v>
      </c>
      <c r="BB483">
        <f t="shared" si="249"/>
        <v>18981</v>
      </c>
      <c r="BC483" t="str">
        <f t="shared" si="250"/>
        <v>Nelson</v>
      </c>
      <c r="BD483" t="str">
        <f t="shared" si="251"/>
        <v>Velodrome</v>
      </c>
      <c r="BE483" t="s">
        <v>7</v>
      </c>
      <c r="BF483" t="s">
        <v>199</v>
      </c>
      <c r="BG483" t="s">
        <v>68</v>
      </c>
      <c r="BI483" cm="1">
        <f t="array" ref="BI483">IFERROR(_xlfn._xlws.FILTER(shifts!A:A,(shifts!B:B=events!AD483)*(shifts!AG:AG&gt;=events!BK483)*(shifts!AH:AH&lt;=events!BL483)),BI482)</f>
        <v>25</v>
      </c>
      <c r="BJ483" s="15">
        <f t="shared" si="252"/>
        <v>0</v>
      </c>
      <c r="BK483">
        <f t="shared" si="259"/>
        <v>466</v>
      </c>
      <c r="BL483">
        <f t="shared" si="260"/>
        <v>466</v>
      </c>
      <c r="BM483" s="15">
        <f>SUMIFS(BJ$2:BJ483,K$2:K483,"=Intermission")+SUMIFS(BJ$2:BJ483,K$2:K483,"=Timeout")</f>
        <v>0</v>
      </c>
      <c r="BN483">
        <f t="shared" si="261"/>
        <v>0</v>
      </c>
      <c r="BO483" s="19">
        <f t="shared" si="262"/>
        <v>614</v>
      </c>
      <c r="BP483">
        <f t="shared" si="263"/>
        <v>609</v>
      </c>
      <c r="BQ483" s="17">
        <f t="shared" si="264"/>
        <v>614</v>
      </c>
      <c r="BR483" t="str">
        <f t="shared" si="265"/>
        <v>event_team_player_2</v>
      </c>
      <c r="BS483">
        <f>COUNTIFS(S$3:S483,"="&amp;S483,AI$3:AI483,"="&amp;AI483)</f>
        <v>2</v>
      </c>
      <c r="BT483" t="str">
        <f>IFERROR(VLOOKUP(BB483&amp;BU483&amp;X483,game_rosters!U:W,3,FALSE),"")</f>
        <v>P100079</v>
      </c>
      <c r="BU483" t="str">
        <f t="shared" si="266"/>
        <v>Nelson</v>
      </c>
    </row>
    <row r="484" spans="1:73" x14ac:dyDescent="0.2">
      <c r="A484">
        <f t="shared" si="253"/>
        <v>1</v>
      </c>
      <c r="E484" s="4"/>
      <c r="F484" s="43"/>
      <c r="G484" s="4"/>
      <c r="H484" s="46"/>
      <c r="J484" s="44" t="str">
        <f t="shared" si="267"/>
        <v/>
      </c>
      <c r="K484" t="s">
        <v>7</v>
      </c>
      <c r="L484" t="s">
        <v>199</v>
      </c>
      <c r="M484" t="s">
        <v>68</v>
      </c>
      <c r="N484" t="str">
        <f t="shared" si="270"/>
        <v>u</v>
      </c>
      <c r="Q484" t="str">
        <f t="shared" si="268"/>
        <v/>
      </c>
      <c r="S484">
        <v>260</v>
      </c>
      <c r="U484" t="str">
        <f>IF(B484=1,MAX($U$2:$U483)+1,IF(AND($T484&lt;&gt;"",$T484=$T483),$U483,IF(B484="x",U483,"")))</f>
        <v/>
      </c>
      <c r="V484" t="str">
        <f>IF(C484=1,MAX($V$2:$V483)+1,IF(AND($T484&lt;&gt;"",$T484=$T483),$U483,IF(C484="x",V483,"")))</f>
        <v/>
      </c>
      <c r="W484" t="str">
        <f t="shared" si="242"/>
        <v>h</v>
      </c>
      <c r="X484">
        <v>61</v>
      </c>
      <c r="Y484" t="e">
        <f>IF(X484&lt;&gt;"",VLOOKUP(X484,game_rosters!$C$43:$E$64,3,FALSE))</f>
        <v>#N/A</v>
      </c>
      <c r="Z484" t="str" cm="1">
        <f t="array" ref="Z484">IFERROR(IF(_xlfn._xlws.FILTER(game_rosters!$J:$J,(game_rosters!$G:$G=events!$AN484)*(game_rosters!$J:$J=events!$X484))&gt;0,1,""),"")</f>
        <v/>
      </c>
      <c r="AA484">
        <f t="shared" si="243"/>
        <v>1260</v>
      </c>
      <c r="AB484" t="str">
        <f t="shared" si="244"/>
        <v/>
      </c>
      <c r="AC484">
        <f t="shared" si="241"/>
        <v>1260</v>
      </c>
      <c r="AD484" s="6">
        <v>1</v>
      </c>
      <c r="AE484" t="s">
        <v>937</v>
      </c>
      <c r="AF484" t="s">
        <v>737</v>
      </c>
      <c r="AG484" t="s">
        <v>756</v>
      </c>
      <c r="AH484" t="s">
        <v>756</v>
      </c>
      <c r="AI484" t="s">
        <v>368</v>
      </c>
      <c r="AJ484" t="str">
        <f t="shared" ref="AJ484:AK499" si="271">IF($J484&lt;&gt;"",$J484,IF($AC484=$AC483,AJ483,""))</f>
        <v/>
      </c>
      <c r="AK484" t="str">
        <f t="shared" si="271"/>
        <v/>
      </c>
      <c r="AL484" t="str">
        <f t="shared" si="246"/>
        <v/>
      </c>
      <c r="AN484" t="s">
        <v>861</v>
      </c>
      <c r="AO484" t="str">
        <f t="shared" si="247"/>
        <v>h</v>
      </c>
      <c r="AP484" t="str">
        <f t="shared" si="254"/>
        <v/>
      </c>
      <c r="AQ484" t="str">
        <f t="shared" si="255"/>
        <v/>
      </c>
      <c r="AR484" t="str">
        <f t="shared" si="256"/>
        <v>Home</v>
      </c>
      <c r="AS484" t="str">
        <f t="shared" si="257"/>
        <v>h</v>
      </c>
      <c r="AT484" t="str">
        <f t="shared" si="258"/>
        <v>Defensive</v>
      </c>
      <c r="BA484" s="6">
        <f t="shared" si="248"/>
        <v>117</v>
      </c>
      <c r="BB484">
        <f t="shared" si="249"/>
        <v>18981</v>
      </c>
      <c r="BC484" t="str">
        <f t="shared" si="250"/>
        <v>Nelson</v>
      </c>
      <c r="BD484" t="str">
        <f t="shared" si="251"/>
        <v>Velodrome</v>
      </c>
      <c r="BE484" t="s">
        <v>7</v>
      </c>
      <c r="BF484" t="s">
        <v>199</v>
      </c>
      <c r="BG484" t="s">
        <v>68</v>
      </c>
      <c r="BI484" cm="1">
        <f t="array" ref="BI484">IFERROR(_xlfn._xlws.FILTER(shifts!A:A,(shifts!B:B=events!AD484)*(shifts!AG:AG&gt;=events!BK484)*(shifts!AH:AH&lt;=events!BL484)),BI483)</f>
        <v>25</v>
      </c>
      <c r="BJ484" s="15">
        <f t="shared" si="252"/>
        <v>0</v>
      </c>
      <c r="BK484">
        <f t="shared" si="259"/>
        <v>466</v>
      </c>
      <c r="BL484">
        <f t="shared" si="260"/>
        <v>466</v>
      </c>
      <c r="BM484" s="15">
        <f>SUMIFS(BJ$2:BJ484,K$2:K484,"=Intermission")+SUMIFS(BJ$2:BJ484,K$2:K484,"=Timeout")</f>
        <v>0</v>
      </c>
      <c r="BN484">
        <f t="shared" si="261"/>
        <v>0</v>
      </c>
      <c r="BO484" s="19">
        <f t="shared" si="262"/>
        <v>614</v>
      </c>
      <c r="BP484">
        <f t="shared" si="263"/>
        <v>609</v>
      </c>
      <c r="BQ484" s="17">
        <f t="shared" si="264"/>
        <v>614</v>
      </c>
      <c r="BR484" t="str">
        <f t="shared" si="265"/>
        <v>opp_team_player_1</v>
      </c>
      <c r="BS484">
        <f>COUNTIFS(S$3:S484,"="&amp;S484,AI$3:AI484,"="&amp;AI484)</f>
        <v>1</v>
      </c>
      <c r="BT484" t="str">
        <f>IFERROR(VLOOKUP(BB484&amp;BU484&amp;X484,game_rosters!U:W,3,FALSE),"")</f>
        <v>P100224</v>
      </c>
      <c r="BU484" t="str">
        <f t="shared" si="266"/>
        <v>Velodrome</v>
      </c>
    </row>
    <row r="485" spans="1:73" x14ac:dyDescent="0.2">
      <c r="A485">
        <f t="shared" si="253"/>
        <v>1</v>
      </c>
      <c r="E485" s="4"/>
      <c r="F485" s="43"/>
      <c r="G485" s="4"/>
      <c r="H485" s="46"/>
      <c r="J485" s="44" t="str">
        <f t="shared" si="267"/>
        <v/>
      </c>
      <c r="K485" t="s">
        <v>7</v>
      </c>
      <c r="L485" t="s">
        <v>199</v>
      </c>
      <c r="M485" t="s">
        <v>68</v>
      </c>
      <c r="N485" t="str">
        <f t="shared" si="270"/>
        <v>u</v>
      </c>
      <c r="Q485" t="str">
        <f t="shared" si="268"/>
        <v/>
      </c>
      <c r="S485">
        <v>260</v>
      </c>
      <c r="U485" t="str">
        <f>IF(B485=1,MAX($U$2:$U484)+1,IF(AND($T485&lt;&gt;"",$T485=$T484),$U484,IF(B485="x",U484,"")))</f>
        <v/>
      </c>
      <c r="V485" t="str">
        <f>IF(C485=1,MAX($V$2:$V484)+1,IF(AND($T485&lt;&gt;"",$T485=$T484),$U484,IF(C485="x",V484,"")))</f>
        <v/>
      </c>
      <c r="W485" t="str">
        <f t="shared" si="242"/>
        <v>h</v>
      </c>
      <c r="X485">
        <v>14</v>
      </c>
      <c r="Y485" t="e">
        <f>IF(X485&lt;&gt;"",VLOOKUP(X485,game_rosters!$C$43:$E$64,3,FALSE))</f>
        <v>#N/A</v>
      </c>
      <c r="Z485" t="str" cm="1">
        <f t="array" ref="Z485">IFERROR(IF(_xlfn._xlws.FILTER(game_rosters!$J:$J,(game_rosters!$G:$G=events!$AN485)*(game_rosters!$J:$J=events!$X485))&gt;0,1,""),"")</f>
        <v/>
      </c>
      <c r="AA485">
        <f t="shared" si="243"/>
        <v>1260</v>
      </c>
      <c r="AB485" t="str">
        <f t="shared" si="244"/>
        <v/>
      </c>
      <c r="AC485">
        <f t="shared" si="241"/>
        <v>1260</v>
      </c>
      <c r="AD485" s="6">
        <v>1</v>
      </c>
      <c r="AE485" t="s">
        <v>937</v>
      </c>
      <c r="AF485" t="s">
        <v>737</v>
      </c>
      <c r="AG485" t="s">
        <v>756</v>
      </c>
      <c r="AH485" t="s">
        <v>756</v>
      </c>
      <c r="AI485" t="s">
        <v>368</v>
      </c>
      <c r="AJ485" t="str">
        <f t="shared" si="271"/>
        <v/>
      </c>
      <c r="AK485" t="str">
        <f t="shared" si="271"/>
        <v/>
      </c>
      <c r="AL485" t="str">
        <f t="shared" si="246"/>
        <v/>
      </c>
      <c r="AN485" t="s">
        <v>861</v>
      </c>
      <c r="AO485" t="str">
        <f t="shared" si="247"/>
        <v>h</v>
      </c>
      <c r="AP485" t="str">
        <f t="shared" si="254"/>
        <v/>
      </c>
      <c r="AQ485" t="str">
        <f t="shared" si="255"/>
        <v/>
      </c>
      <c r="AR485" t="str">
        <f t="shared" si="256"/>
        <v>Home</v>
      </c>
      <c r="AS485" t="str">
        <f t="shared" si="257"/>
        <v>h</v>
      </c>
      <c r="AT485" t="str">
        <f t="shared" si="258"/>
        <v>Defensive</v>
      </c>
      <c r="BA485" s="6">
        <f t="shared" si="248"/>
        <v>117</v>
      </c>
      <c r="BB485">
        <f t="shared" si="249"/>
        <v>18981</v>
      </c>
      <c r="BC485" t="str">
        <f t="shared" si="250"/>
        <v>Nelson</v>
      </c>
      <c r="BD485" t="str">
        <f t="shared" si="251"/>
        <v>Velodrome</v>
      </c>
      <c r="BE485" t="s">
        <v>7</v>
      </c>
      <c r="BF485" t="s">
        <v>199</v>
      </c>
      <c r="BG485" t="s">
        <v>68</v>
      </c>
      <c r="BI485" cm="1">
        <f t="array" ref="BI485">IFERROR(_xlfn._xlws.FILTER(shifts!A:A,(shifts!B:B=events!AD485)*(shifts!AG:AG&gt;=events!BK485)*(shifts!AH:AH&lt;=events!BL485)),BI484)</f>
        <v>25</v>
      </c>
      <c r="BJ485" s="15">
        <f t="shared" si="252"/>
        <v>0</v>
      </c>
      <c r="BK485">
        <f t="shared" si="259"/>
        <v>466</v>
      </c>
      <c r="BL485">
        <f t="shared" si="260"/>
        <v>466</v>
      </c>
      <c r="BM485" s="15">
        <f>SUMIFS(BJ$2:BJ485,K$2:K485,"=Intermission")+SUMIFS(BJ$2:BJ485,K$2:K485,"=Timeout")</f>
        <v>0</v>
      </c>
      <c r="BN485">
        <f t="shared" si="261"/>
        <v>0</v>
      </c>
      <c r="BO485" s="19">
        <f t="shared" si="262"/>
        <v>614</v>
      </c>
      <c r="BP485">
        <f t="shared" si="263"/>
        <v>609</v>
      </c>
      <c r="BQ485" s="17">
        <f t="shared" si="264"/>
        <v>614</v>
      </c>
      <c r="BR485" t="str">
        <f t="shared" si="265"/>
        <v>opp_team_player_2</v>
      </c>
      <c r="BS485">
        <f>COUNTIFS(S$3:S485,"="&amp;S485,AI$3:AI485,"="&amp;AI485)</f>
        <v>2</v>
      </c>
      <c r="BT485" t="str">
        <f>IFERROR(VLOOKUP(BB485&amp;BU485&amp;X485,game_rosters!U:W,3,FALSE),"")</f>
        <v>P100132</v>
      </c>
      <c r="BU485" t="str">
        <f t="shared" si="266"/>
        <v>Velodrome</v>
      </c>
    </row>
    <row r="486" spans="1:73" x14ac:dyDescent="0.2">
      <c r="A486">
        <f t="shared" si="253"/>
        <v>1</v>
      </c>
      <c r="E486" s="4"/>
      <c r="F486" s="43"/>
      <c r="G486" s="4"/>
      <c r="H486" s="46"/>
      <c r="J486" s="44" t="str">
        <f t="shared" si="267"/>
        <v/>
      </c>
      <c r="K486" t="s">
        <v>9</v>
      </c>
      <c r="L486" t="s">
        <v>173</v>
      </c>
      <c r="M486" t="s">
        <v>73</v>
      </c>
      <c r="N486" t="str">
        <f t="shared" si="270"/>
        <v>u</v>
      </c>
      <c r="Q486" t="str">
        <f t="shared" si="268"/>
        <v/>
      </c>
      <c r="S486">
        <v>261</v>
      </c>
      <c r="U486" t="str">
        <f>IF(B486=1,MAX($U$2:$U485)+1,IF(AND($T486&lt;&gt;"",$T486=$T485),$U485,IF(B486="x",U485,"")))</f>
        <v/>
      </c>
      <c r="V486" t="str">
        <f>IF(C486=1,MAX($V$2:$V485)+1,IF(AND($T486&lt;&gt;"",$T486=$T485),$U485,IF(C486="x",V485,"")))</f>
        <v/>
      </c>
      <c r="W486" t="str">
        <f t="shared" si="242"/>
        <v>h</v>
      </c>
      <c r="X486">
        <v>37</v>
      </c>
      <c r="Y486" t="b">
        <f>IF(X486&lt;&gt;"",VLOOKUP(X486,game_rosters!$C$43:$E$64,3,FALSE))</f>
        <v>0</v>
      </c>
      <c r="Z486" cm="1">
        <f t="array" ref="Z486">IFERROR(IF(_xlfn._xlws.FILTER(game_rosters!$J:$J,(game_rosters!$G:$G=events!$AN486)*(game_rosters!$J:$J=events!$X486))&gt;0,1,""),"")</f>
        <v>1</v>
      </c>
      <c r="AA486">
        <f t="shared" si="243"/>
        <v>1261</v>
      </c>
      <c r="AB486" t="str">
        <f t="shared" si="244"/>
        <v/>
      </c>
      <c r="AC486">
        <f t="shared" si="241"/>
        <v>1261</v>
      </c>
      <c r="AD486" s="6">
        <v>1</v>
      </c>
      <c r="AE486" t="s">
        <v>937</v>
      </c>
      <c r="AF486" t="s">
        <v>737</v>
      </c>
      <c r="AG486" t="s">
        <v>756</v>
      </c>
      <c r="AH486" t="s">
        <v>756</v>
      </c>
      <c r="AI486" t="s">
        <v>367</v>
      </c>
      <c r="AJ486" t="str">
        <f t="shared" si="271"/>
        <v/>
      </c>
      <c r="AK486" t="str">
        <f t="shared" si="271"/>
        <v/>
      </c>
      <c r="AL486" t="str">
        <f t="shared" si="246"/>
        <v/>
      </c>
      <c r="AN486" t="s">
        <v>861</v>
      </c>
      <c r="AO486" t="str">
        <f t="shared" si="247"/>
        <v>h</v>
      </c>
      <c r="AP486" t="str">
        <f t="shared" si="254"/>
        <v/>
      </c>
      <c r="AQ486" t="str">
        <f t="shared" si="255"/>
        <v/>
      </c>
      <c r="AR486" t="str">
        <f t="shared" si="256"/>
        <v>Home</v>
      </c>
      <c r="AS486" t="str">
        <f t="shared" si="257"/>
        <v>h</v>
      </c>
      <c r="AT486" t="str">
        <f t="shared" si="258"/>
        <v>Offensive</v>
      </c>
      <c r="BA486" s="6">
        <f t="shared" si="248"/>
        <v>117</v>
      </c>
      <c r="BB486">
        <f t="shared" si="249"/>
        <v>18981</v>
      </c>
      <c r="BC486" t="str">
        <f t="shared" si="250"/>
        <v>Nelson</v>
      </c>
      <c r="BD486" t="str">
        <f t="shared" si="251"/>
        <v>Velodrome</v>
      </c>
      <c r="BE486" t="s">
        <v>9</v>
      </c>
      <c r="BF486" t="s">
        <v>173</v>
      </c>
      <c r="BG486" t="s">
        <v>73</v>
      </c>
      <c r="BI486" cm="1">
        <f t="array" ref="BI486">IFERROR(_xlfn._xlws.FILTER(shifts!A:A,(shifts!B:B=events!AD486)*(shifts!AG:AG&gt;=events!BK486)*(shifts!AH:AH&lt;=events!BL486)),BI485)</f>
        <v>25</v>
      </c>
      <c r="BJ486" s="15">
        <f t="shared" si="252"/>
        <v>0</v>
      </c>
      <c r="BK486">
        <f t="shared" si="259"/>
        <v>466</v>
      </c>
      <c r="BL486">
        <f t="shared" si="260"/>
        <v>466</v>
      </c>
      <c r="BM486" s="15">
        <f>SUMIFS(BJ$2:BJ486,K$2:K486,"=Intermission")+SUMIFS(BJ$2:BJ486,K$2:K486,"=Timeout")</f>
        <v>0</v>
      </c>
      <c r="BN486">
        <f t="shared" si="261"/>
        <v>0</v>
      </c>
      <c r="BO486" s="19">
        <f t="shared" si="262"/>
        <v>614</v>
      </c>
      <c r="BP486">
        <f t="shared" si="263"/>
        <v>609</v>
      </c>
      <c r="BQ486" s="17">
        <f t="shared" si="264"/>
        <v>614</v>
      </c>
      <c r="BR486" t="str">
        <f t="shared" si="265"/>
        <v>event_team_player_1</v>
      </c>
      <c r="BS486">
        <f>COUNTIFS(S$3:S486,"="&amp;S486,AI$3:AI486,"="&amp;AI486)</f>
        <v>1</v>
      </c>
      <c r="BT486" t="str">
        <f>IFERROR(VLOOKUP(BB486&amp;BU486&amp;X486,game_rosters!U:W,3,FALSE),"")</f>
        <v>P100119</v>
      </c>
      <c r="BU486" t="str">
        <f t="shared" si="266"/>
        <v>Nelson</v>
      </c>
    </row>
    <row r="487" spans="1:73" x14ac:dyDescent="0.2">
      <c r="A487">
        <f t="shared" si="253"/>
        <v>1</v>
      </c>
      <c r="E487" s="4"/>
      <c r="F487" s="43"/>
      <c r="G487" s="4"/>
      <c r="H487" s="46"/>
      <c r="J487" s="44" t="str">
        <f t="shared" si="267"/>
        <v/>
      </c>
      <c r="K487" t="s">
        <v>9</v>
      </c>
      <c r="L487" t="s">
        <v>173</v>
      </c>
      <c r="M487" t="s">
        <v>73</v>
      </c>
      <c r="N487" t="str">
        <f t="shared" si="270"/>
        <v>u</v>
      </c>
      <c r="Q487" t="str">
        <f t="shared" si="268"/>
        <v/>
      </c>
      <c r="S487">
        <v>261</v>
      </c>
      <c r="U487" t="str">
        <f>IF(B487=1,MAX($U$2:$U486)+1,IF(AND($T487&lt;&gt;"",$T487=$T486),$U486,IF(B487="x",U486,"")))</f>
        <v/>
      </c>
      <c r="V487" t="str">
        <f>IF(C487=1,MAX($V$2:$V486)+1,IF(AND($T487&lt;&gt;"",$T487=$T486),$U486,IF(C487="x",V486,"")))</f>
        <v/>
      </c>
      <c r="W487" t="str">
        <f t="shared" si="242"/>
        <v>h</v>
      </c>
      <c r="X487">
        <v>61</v>
      </c>
      <c r="Y487" t="e">
        <f>IF(X487&lt;&gt;"",VLOOKUP(X487,game_rosters!$C$43:$E$64,3,FALSE))</f>
        <v>#N/A</v>
      </c>
      <c r="Z487" t="str" cm="1">
        <f t="array" ref="Z487">IFERROR(IF(_xlfn._xlws.FILTER(game_rosters!$J:$J,(game_rosters!$G:$G=events!$AN487)*(game_rosters!$J:$J=events!$X487))&gt;0,1,""),"")</f>
        <v/>
      </c>
      <c r="AA487">
        <f t="shared" si="243"/>
        <v>1261</v>
      </c>
      <c r="AB487" t="str">
        <f t="shared" si="244"/>
        <v/>
      </c>
      <c r="AC487">
        <f t="shared" si="241"/>
        <v>1261</v>
      </c>
      <c r="AD487" s="6">
        <v>1</v>
      </c>
      <c r="AE487" t="s">
        <v>937</v>
      </c>
      <c r="AF487" t="s">
        <v>737</v>
      </c>
      <c r="AG487" t="s">
        <v>756</v>
      </c>
      <c r="AH487" t="s">
        <v>756</v>
      </c>
      <c r="AI487" t="s">
        <v>368</v>
      </c>
      <c r="AJ487" t="str">
        <f t="shared" si="271"/>
        <v/>
      </c>
      <c r="AK487" t="str">
        <f t="shared" si="271"/>
        <v/>
      </c>
      <c r="AL487" t="str">
        <f t="shared" si="246"/>
        <v/>
      </c>
      <c r="AN487" t="s">
        <v>861</v>
      </c>
      <c r="AO487" t="str">
        <f t="shared" si="247"/>
        <v>h</v>
      </c>
      <c r="AP487" t="str">
        <f t="shared" si="254"/>
        <v/>
      </c>
      <c r="AQ487" t="str">
        <f t="shared" si="255"/>
        <v/>
      </c>
      <c r="AR487" t="str">
        <f t="shared" si="256"/>
        <v>Home</v>
      </c>
      <c r="AS487" t="str">
        <f t="shared" si="257"/>
        <v>h</v>
      </c>
      <c r="AT487" t="str">
        <f t="shared" si="258"/>
        <v>Defensive</v>
      </c>
      <c r="BA487" s="6">
        <f t="shared" si="248"/>
        <v>117</v>
      </c>
      <c r="BB487">
        <f t="shared" si="249"/>
        <v>18981</v>
      </c>
      <c r="BC487" t="str">
        <f t="shared" si="250"/>
        <v>Nelson</v>
      </c>
      <c r="BD487" t="str">
        <f t="shared" si="251"/>
        <v>Velodrome</v>
      </c>
      <c r="BE487" t="s">
        <v>9</v>
      </c>
      <c r="BF487" t="s">
        <v>173</v>
      </c>
      <c r="BG487" t="s">
        <v>73</v>
      </c>
      <c r="BI487" cm="1">
        <f t="array" ref="BI487">IFERROR(_xlfn._xlws.FILTER(shifts!A:A,(shifts!B:B=events!AD487)*(shifts!AG:AG&gt;=events!BK487)*(shifts!AH:AH&lt;=events!BL487)),BI486)</f>
        <v>25</v>
      </c>
      <c r="BJ487" s="15">
        <f t="shared" si="252"/>
        <v>0</v>
      </c>
      <c r="BK487">
        <f t="shared" si="259"/>
        <v>466</v>
      </c>
      <c r="BL487">
        <f t="shared" si="260"/>
        <v>466</v>
      </c>
      <c r="BM487" s="15">
        <f>SUMIFS(BJ$2:BJ487,K$2:K487,"=Intermission")+SUMIFS(BJ$2:BJ487,K$2:K487,"=Timeout")</f>
        <v>0</v>
      </c>
      <c r="BN487">
        <f t="shared" si="261"/>
        <v>0</v>
      </c>
      <c r="BO487" s="19">
        <f t="shared" si="262"/>
        <v>614</v>
      </c>
      <c r="BP487">
        <f t="shared" si="263"/>
        <v>609</v>
      </c>
      <c r="BQ487" s="17">
        <f t="shared" si="264"/>
        <v>614</v>
      </c>
      <c r="BR487" t="str">
        <f t="shared" si="265"/>
        <v>opp_team_player_1</v>
      </c>
      <c r="BS487">
        <f>COUNTIFS(S$3:S487,"="&amp;S487,AI$3:AI487,"="&amp;AI487)</f>
        <v>1</v>
      </c>
      <c r="BT487" t="str">
        <f>IFERROR(VLOOKUP(BB487&amp;BU487&amp;X487,game_rosters!U:W,3,FALSE),"")</f>
        <v>P100224</v>
      </c>
      <c r="BU487" t="str">
        <f t="shared" si="266"/>
        <v>Velodrome</v>
      </c>
    </row>
    <row r="488" spans="1:73" x14ac:dyDescent="0.2">
      <c r="A488">
        <f t="shared" si="253"/>
        <v>1</v>
      </c>
      <c r="E488" s="4"/>
      <c r="F488" s="43"/>
      <c r="G488" s="4"/>
      <c r="H488" s="46"/>
      <c r="J488" s="44" t="str">
        <f t="shared" si="267"/>
        <v/>
      </c>
      <c r="K488" t="s">
        <v>13</v>
      </c>
      <c r="L488" t="s">
        <v>756</v>
      </c>
      <c r="M488" t="s">
        <v>756</v>
      </c>
      <c r="N488" t="str">
        <f t="shared" si="270"/>
        <v/>
      </c>
      <c r="Q488" t="str">
        <f t="shared" si="268"/>
        <v/>
      </c>
      <c r="S488">
        <v>262</v>
      </c>
      <c r="U488" t="str">
        <f>IF(B488=1,MAX($U$2:$U487)+1,IF(AND($T488&lt;&gt;"",$T488=$T487),$U487,IF(B488="x",U487,"")))</f>
        <v/>
      </c>
      <c r="V488" t="str">
        <f>IF(C488=1,MAX($V$2:$V487)+1,IF(AND($T488&lt;&gt;"",$T488=$T487),$U487,IF(C488="x",V487,"")))</f>
        <v/>
      </c>
      <c r="W488" t="str">
        <f t="shared" si="242"/>
        <v>a</v>
      </c>
      <c r="X488">
        <v>61</v>
      </c>
      <c r="Y488" t="e">
        <f>IF(X488&lt;&gt;"",VLOOKUP(X488,game_rosters!$C$43:$E$64,3,FALSE))</f>
        <v>#N/A</v>
      </c>
      <c r="Z488" cm="1">
        <f t="array" ref="Z488">IFERROR(IF(_xlfn._xlws.FILTER(game_rosters!$J:$J,(game_rosters!$G:$G=events!$AN488)*(game_rosters!$J:$J=events!$X488))&gt;0,1,""),"")</f>
        <v>1</v>
      </c>
      <c r="AA488">
        <f t="shared" si="243"/>
        <v>1262</v>
      </c>
      <c r="AB488" t="str">
        <f t="shared" si="244"/>
        <v/>
      </c>
      <c r="AC488">
        <f t="shared" si="241"/>
        <v>1262</v>
      </c>
      <c r="AD488" s="6">
        <v>1</v>
      </c>
      <c r="AE488" t="s">
        <v>937</v>
      </c>
      <c r="AF488" t="s">
        <v>935</v>
      </c>
      <c r="AG488" t="s">
        <v>937</v>
      </c>
      <c r="AH488" t="s">
        <v>924</v>
      </c>
      <c r="AI488" t="s">
        <v>367</v>
      </c>
      <c r="AJ488" t="str">
        <f t="shared" si="271"/>
        <v/>
      </c>
      <c r="AK488" t="str">
        <f t="shared" si="271"/>
        <v/>
      </c>
      <c r="AL488" t="str">
        <f t="shared" si="246"/>
        <v/>
      </c>
      <c r="AN488" t="s">
        <v>862</v>
      </c>
      <c r="AO488" t="str">
        <f t="shared" si="247"/>
        <v>a</v>
      </c>
      <c r="AP488" t="str">
        <f t="shared" si="254"/>
        <v/>
      </c>
      <c r="AQ488" t="str">
        <f t="shared" si="255"/>
        <v/>
      </c>
      <c r="AR488" t="str">
        <f t="shared" si="256"/>
        <v>Away</v>
      </c>
      <c r="AS488" t="str">
        <f t="shared" si="257"/>
        <v>a</v>
      </c>
      <c r="AT488" t="str">
        <f t="shared" si="258"/>
        <v>Offensive</v>
      </c>
      <c r="BA488" s="6">
        <f t="shared" si="248"/>
        <v>117</v>
      </c>
      <c r="BB488">
        <f t="shared" si="249"/>
        <v>18981</v>
      </c>
      <c r="BC488" t="str">
        <f t="shared" si="250"/>
        <v>Nelson</v>
      </c>
      <c r="BD488" t="str">
        <f t="shared" si="251"/>
        <v>Velodrome</v>
      </c>
      <c r="BE488" t="s">
        <v>13</v>
      </c>
      <c r="BF488" t="s">
        <v>756</v>
      </c>
      <c r="BG488" t="s">
        <v>756</v>
      </c>
      <c r="BI488" cm="1">
        <f t="array" ref="BI488">IFERROR(_xlfn._xlws.FILTER(shifts!A:A,(shifts!B:B=events!AD488)*(shifts!AG:AG&gt;=events!BK488)*(shifts!AH:AH&lt;=events!BL488)),BI487)</f>
        <v>25</v>
      </c>
      <c r="BJ488" s="15">
        <f t="shared" si="252"/>
        <v>4</v>
      </c>
      <c r="BK488">
        <f t="shared" si="259"/>
        <v>465</v>
      </c>
      <c r="BL488">
        <f t="shared" si="260"/>
        <v>461</v>
      </c>
      <c r="BM488" s="15">
        <f>SUMIFS(BJ$2:BJ488,K$2:K488,"=Intermission")+SUMIFS(BJ$2:BJ488,K$2:K488,"=Timeout")</f>
        <v>0</v>
      </c>
      <c r="BN488">
        <f t="shared" si="261"/>
        <v>0</v>
      </c>
      <c r="BO488" s="19">
        <f t="shared" si="262"/>
        <v>615</v>
      </c>
      <c r="BP488">
        <f t="shared" si="263"/>
        <v>610</v>
      </c>
      <c r="BQ488" s="17">
        <f t="shared" si="264"/>
        <v>619</v>
      </c>
      <c r="BR488" t="str">
        <f t="shared" si="265"/>
        <v>event_team_player_1</v>
      </c>
      <c r="BS488">
        <f>COUNTIFS(S$3:S488,"="&amp;S488,AI$3:AI488,"="&amp;AI488)</f>
        <v>1</v>
      </c>
      <c r="BT488" t="str">
        <f>IFERROR(VLOOKUP(BB488&amp;BU488&amp;X488,game_rosters!U:W,3,FALSE),"")</f>
        <v>P100224</v>
      </c>
      <c r="BU488" t="str">
        <f t="shared" si="266"/>
        <v>Velodrome</v>
      </c>
    </row>
    <row r="489" spans="1:73" x14ac:dyDescent="0.2">
      <c r="A489">
        <f t="shared" si="253"/>
        <v>1</v>
      </c>
      <c r="E489" s="4"/>
      <c r="F489" s="43"/>
      <c r="G489" s="4"/>
      <c r="H489" s="46"/>
      <c r="J489" s="44" t="str">
        <f t="shared" si="267"/>
        <v>o</v>
      </c>
      <c r="K489" t="s">
        <v>238</v>
      </c>
      <c r="L489" t="s">
        <v>174</v>
      </c>
      <c r="M489" t="s">
        <v>85</v>
      </c>
      <c r="N489" t="str">
        <f t="shared" si="270"/>
        <v>s</v>
      </c>
      <c r="Q489" t="str">
        <f t="shared" si="268"/>
        <v/>
      </c>
      <c r="S489">
        <v>263</v>
      </c>
      <c r="U489" t="str">
        <f>IF(B489=1,MAX($U$2:$U488)+1,IF(AND($T489&lt;&gt;"",$T489=$T488),$U488,IF(B489="x",U488,"")))</f>
        <v/>
      </c>
      <c r="V489" t="str">
        <f>IF(C489=1,MAX($V$2:$V488)+1,IF(AND($T489&lt;&gt;"",$T489=$T488),$U488,IF(C489="x",V488,"")))</f>
        <v/>
      </c>
      <c r="W489" t="str">
        <f t="shared" si="242"/>
        <v>a</v>
      </c>
      <c r="X489">
        <v>61</v>
      </c>
      <c r="Y489" t="e">
        <f>IF(X489&lt;&gt;"",VLOOKUP(X489,game_rosters!$C$43:$E$64,3,FALSE))</f>
        <v>#N/A</v>
      </c>
      <c r="Z489" cm="1">
        <f t="array" ref="Z489">IFERROR(IF(_xlfn._xlws.FILTER(game_rosters!$J:$J,(game_rosters!$G:$G=events!$AN489)*(game_rosters!$J:$J=events!$X489))&gt;0,1,""),"")</f>
        <v>1</v>
      </c>
      <c r="AA489">
        <f t="shared" si="243"/>
        <v>1263</v>
      </c>
      <c r="AB489" t="str">
        <f t="shared" si="244"/>
        <v/>
      </c>
      <c r="AC489">
        <f t="shared" si="241"/>
        <v>1263</v>
      </c>
      <c r="AD489" s="6">
        <v>1</v>
      </c>
      <c r="AE489" t="s">
        <v>937</v>
      </c>
      <c r="AF489" t="s">
        <v>924</v>
      </c>
      <c r="AG489" t="s">
        <v>937</v>
      </c>
      <c r="AH489" t="s">
        <v>903</v>
      </c>
      <c r="AI489" t="s">
        <v>367</v>
      </c>
      <c r="AJ489" t="str">
        <f t="shared" si="271"/>
        <v>o</v>
      </c>
      <c r="AK489" t="str">
        <f t="shared" si="271"/>
        <v>o</v>
      </c>
      <c r="AL489" t="str">
        <f t="shared" si="246"/>
        <v>d</v>
      </c>
      <c r="AN489" t="s">
        <v>862</v>
      </c>
      <c r="AO489" t="str">
        <f t="shared" si="247"/>
        <v>a</v>
      </c>
      <c r="AP489" t="str">
        <f t="shared" si="254"/>
        <v>d</v>
      </c>
      <c r="AQ489" t="str">
        <f t="shared" si="255"/>
        <v/>
      </c>
      <c r="AR489" t="str">
        <f t="shared" si="256"/>
        <v>Away</v>
      </c>
      <c r="AS489" t="str">
        <f t="shared" si="257"/>
        <v>a</v>
      </c>
      <c r="AT489" t="str">
        <f t="shared" si="258"/>
        <v>Offensive</v>
      </c>
      <c r="BA489" s="6">
        <f t="shared" si="248"/>
        <v>118</v>
      </c>
      <c r="BB489">
        <f t="shared" si="249"/>
        <v>18981</v>
      </c>
      <c r="BC489" t="str">
        <f t="shared" si="250"/>
        <v>Nelson</v>
      </c>
      <c r="BD489" t="str">
        <f t="shared" si="251"/>
        <v>Velodrome</v>
      </c>
      <c r="BE489" t="s">
        <v>238</v>
      </c>
      <c r="BF489" t="s">
        <v>174</v>
      </c>
      <c r="BG489" t="s">
        <v>85</v>
      </c>
      <c r="BI489" cm="1">
        <f t="array" ref="BI489">IFERROR(_xlfn._xlws.FILTER(shifts!A:A,(shifts!B:B=events!AD489)*(shifts!AG:AG&gt;=events!BK489)*(shifts!AH:AH&lt;=events!BL489)),BI488)</f>
        <v>25</v>
      </c>
      <c r="BJ489" s="15">
        <f t="shared" si="252"/>
        <v>1</v>
      </c>
      <c r="BK489">
        <f t="shared" si="259"/>
        <v>461</v>
      </c>
      <c r="BL489">
        <f t="shared" si="260"/>
        <v>460</v>
      </c>
      <c r="BM489" s="15">
        <f>SUMIFS(BJ$2:BJ489,K$2:K489,"=Intermission")+SUMIFS(BJ$2:BJ489,K$2:K489,"=Timeout")</f>
        <v>0</v>
      </c>
      <c r="BN489">
        <f t="shared" si="261"/>
        <v>0</v>
      </c>
      <c r="BO489" s="19">
        <f t="shared" si="262"/>
        <v>619</v>
      </c>
      <c r="BP489">
        <f t="shared" si="263"/>
        <v>614</v>
      </c>
      <c r="BQ489" s="17">
        <f t="shared" si="264"/>
        <v>620</v>
      </c>
      <c r="BR489" t="str">
        <f t="shared" si="265"/>
        <v>event_team_player_1</v>
      </c>
      <c r="BS489">
        <f>COUNTIFS(S$3:S489,"="&amp;S489,AI$3:AI489,"="&amp;AI489)</f>
        <v>1</v>
      </c>
      <c r="BT489" t="str">
        <f>IFERROR(VLOOKUP(BB489&amp;BU489&amp;X489,game_rosters!U:W,3,FALSE),"")</f>
        <v>P100224</v>
      </c>
      <c r="BU489" t="str">
        <f t="shared" si="266"/>
        <v>Velodrome</v>
      </c>
    </row>
    <row r="490" spans="1:73" x14ac:dyDescent="0.2">
      <c r="A490">
        <f t="shared" si="253"/>
        <v>1</v>
      </c>
      <c r="E490" s="4"/>
      <c r="F490" s="43"/>
      <c r="G490" s="4"/>
      <c r="H490" s="46"/>
      <c r="J490" s="44" t="str">
        <f t="shared" si="267"/>
        <v>o</v>
      </c>
      <c r="K490" t="s">
        <v>238</v>
      </c>
      <c r="L490" t="s">
        <v>174</v>
      </c>
      <c r="M490" t="s">
        <v>85</v>
      </c>
      <c r="N490" t="str">
        <f t="shared" si="270"/>
        <v>s</v>
      </c>
      <c r="Q490" t="str">
        <f t="shared" si="268"/>
        <v/>
      </c>
      <c r="S490">
        <v>263</v>
      </c>
      <c r="U490" t="str">
        <f>IF(B490=1,MAX($U$2:$U489)+1,IF(AND($T490&lt;&gt;"",$T490=$T489),$U489,IF(B490="x",U489,"")))</f>
        <v/>
      </c>
      <c r="V490" t="str">
        <f>IF(C490=1,MAX($V$2:$V489)+1,IF(AND($T490&lt;&gt;"",$T490=$T489),$U489,IF(C490="x",V489,"")))</f>
        <v/>
      </c>
      <c r="W490" t="str">
        <f t="shared" si="242"/>
        <v>a</v>
      </c>
      <c r="X490">
        <v>49</v>
      </c>
      <c r="Y490" t="e">
        <f>IF(X490&lt;&gt;"",VLOOKUP(X490,game_rosters!$C$43:$E$64,3,FALSE))</f>
        <v>#N/A</v>
      </c>
      <c r="Z490" cm="1">
        <f t="array" ref="Z490">IFERROR(IF(_xlfn._xlws.FILTER(game_rosters!$J:$J,(game_rosters!$G:$G=events!$AN490)*(game_rosters!$J:$J=events!$X490))&gt;0,1,""),"")</f>
        <v>1</v>
      </c>
      <c r="AA490">
        <f t="shared" si="243"/>
        <v>1263</v>
      </c>
      <c r="AB490" t="str">
        <f t="shared" si="244"/>
        <v/>
      </c>
      <c r="AC490">
        <f t="shared" si="241"/>
        <v>1263</v>
      </c>
      <c r="AD490" s="6">
        <v>1</v>
      </c>
      <c r="AE490" t="s">
        <v>937</v>
      </c>
      <c r="AF490" t="s">
        <v>924</v>
      </c>
      <c r="AG490" t="s">
        <v>937</v>
      </c>
      <c r="AH490" t="s">
        <v>903</v>
      </c>
      <c r="AI490" t="s">
        <v>367</v>
      </c>
      <c r="AJ490" t="str">
        <f t="shared" si="271"/>
        <v>o</v>
      </c>
      <c r="AK490" t="str">
        <f t="shared" si="271"/>
        <v>o</v>
      </c>
      <c r="AL490" t="str">
        <f t="shared" si="246"/>
        <v>d</v>
      </c>
      <c r="AN490" t="s">
        <v>862</v>
      </c>
      <c r="AO490" t="str">
        <f t="shared" si="247"/>
        <v>a</v>
      </c>
      <c r="AP490" t="str">
        <f t="shared" si="254"/>
        <v>d</v>
      </c>
      <c r="AQ490" t="str">
        <f t="shared" si="255"/>
        <v/>
      </c>
      <c r="AR490" t="str">
        <f t="shared" si="256"/>
        <v>Away</v>
      </c>
      <c r="AS490" t="str">
        <f t="shared" si="257"/>
        <v>a</v>
      </c>
      <c r="AT490" t="str">
        <f t="shared" si="258"/>
        <v>Offensive</v>
      </c>
      <c r="BA490" s="6">
        <f t="shared" si="248"/>
        <v>119</v>
      </c>
      <c r="BB490">
        <f t="shared" si="249"/>
        <v>18981</v>
      </c>
      <c r="BC490" t="str">
        <f t="shared" si="250"/>
        <v>Nelson</v>
      </c>
      <c r="BD490" t="str">
        <f t="shared" si="251"/>
        <v>Velodrome</v>
      </c>
      <c r="BE490" t="s">
        <v>238</v>
      </c>
      <c r="BF490" t="s">
        <v>174</v>
      </c>
      <c r="BG490" t="s">
        <v>85</v>
      </c>
      <c r="BI490" cm="1">
        <f t="array" ref="BI490">IFERROR(_xlfn._xlws.FILTER(shifts!A:A,(shifts!B:B=events!AD490)*(shifts!AG:AG&gt;=events!BK490)*(shifts!AH:AH&lt;=events!BL490)),BI489)</f>
        <v>25</v>
      </c>
      <c r="BJ490" s="15">
        <f t="shared" si="252"/>
        <v>1</v>
      </c>
      <c r="BK490">
        <f t="shared" si="259"/>
        <v>461</v>
      </c>
      <c r="BL490">
        <f t="shared" si="260"/>
        <v>460</v>
      </c>
      <c r="BM490" s="15">
        <f>SUMIFS(BJ$2:BJ490,K$2:K490,"=Intermission")+SUMIFS(BJ$2:BJ490,K$2:K490,"=Timeout")</f>
        <v>0</v>
      </c>
      <c r="BN490">
        <f t="shared" si="261"/>
        <v>0</v>
      </c>
      <c r="BO490" s="19">
        <f t="shared" si="262"/>
        <v>619</v>
      </c>
      <c r="BP490">
        <f t="shared" si="263"/>
        <v>614</v>
      </c>
      <c r="BQ490" s="17">
        <f t="shared" si="264"/>
        <v>620</v>
      </c>
      <c r="BR490" t="str">
        <f t="shared" si="265"/>
        <v>event_team_player_2</v>
      </c>
      <c r="BS490">
        <f>COUNTIFS(S$3:S490,"="&amp;S490,AI$3:AI490,"="&amp;AI490)</f>
        <v>2</v>
      </c>
      <c r="BT490" t="str">
        <f>IFERROR(VLOOKUP(BB490&amp;BU490&amp;X490,game_rosters!U:W,3,FALSE),"")</f>
        <v>P100161</v>
      </c>
      <c r="BU490" t="str">
        <f t="shared" si="266"/>
        <v>Velodrome</v>
      </c>
    </row>
    <row r="491" spans="1:73" x14ac:dyDescent="0.2">
      <c r="A491">
        <f t="shared" si="253"/>
        <v>1</v>
      </c>
      <c r="E491" s="4"/>
      <c r="F491" s="43"/>
      <c r="G491" s="4"/>
      <c r="H491" s="46"/>
      <c r="J491" s="44" t="str">
        <f t="shared" si="267"/>
        <v>o</v>
      </c>
      <c r="K491" t="s">
        <v>238</v>
      </c>
      <c r="L491" t="s">
        <v>174</v>
      </c>
      <c r="M491" t="s">
        <v>85</v>
      </c>
      <c r="N491" t="str">
        <f t="shared" si="270"/>
        <v>s</v>
      </c>
      <c r="Q491" t="str">
        <f t="shared" si="268"/>
        <v/>
      </c>
      <c r="S491">
        <v>263</v>
      </c>
      <c r="U491" t="str">
        <f>IF(B491=1,MAX($U$2:$U490)+1,IF(AND($T491&lt;&gt;"",$T491=$T490),$U490,IF(B491="x",U490,"")))</f>
        <v/>
      </c>
      <c r="V491" t="str">
        <f>IF(C491=1,MAX($V$2:$V490)+1,IF(AND($T491&lt;&gt;"",$T491=$T490),$U490,IF(C491="x",V490,"")))</f>
        <v/>
      </c>
      <c r="W491" t="str">
        <f t="shared" si="242"/>
        <v>a</v>
      </c>
      <c r="X491">
        <v>14</v>
      </c>
      <c r="Y491" t="e">
        <f>IF(X491&lt;&gt;"",VLOOKUP(X491,game_rosters!$C$43:$E$64,3,FALSE))</f>
        <v>#N/A</v>
      </c>
      <c r="Z491" cm="1">
        <f t="array" ref="Z491">IFERROR(IF(_xlfn._xlws.FILTER(game_rosters!$J:$J,(game_rosters!$G:$G=events!$AN491)*(game_rosters!$J:$J=events!$X491))&gt;0,1,""),"")</f>
        <v>1</v>
      </c>
      <c r="AA491">
        <f t="shared" si="243"/>
        <v>1263</v>
      </c>
      <c r="AB491" t="str">
        <f t="shared" si="244"/>
        <v/>
      </c>
      <c r="AC491">
        <f t="shared" si="241"/>
        <v>1263</v>
      </c>
      <c r="AD491" s="6">
        <v>1</v>
      </c>
      <c r="AE491" t="s">
        <v>937</v>
      </c>
      <c r="AF491" t="s">
        <v>924</v>
      </c>
      <c r="AG491" t="s">
        <v>937</v>
      </c>
      <c r="AH491" t="s">
        <v>903</v>
      </c>
      <c r="AI491" t="s">
        <v>367</v>
      </c>
      <c r="AJ491" t="str">
        <f t="shared" si="271"/>
        <v>o</v>
      </c>
      <c r="AK491" t="str">
        <f t="shared" si="271"/>
        <v>o</v>
      </c>
      <c r="AL491" t="str">
        <f t="shared" si="246"/>
        <v>d</v>
      </c>
      <c r="AN491" t="s">
        <v>862</v>
      </c>
      <c r="AO491" t="str">
        <f t="shared" si="247"/>
        <v>a</v>
      </c>
      <c r="AP491" t="str">
        <f t="shared" si="254"/>
        <v>d</v>
      </c>
      <c r="AQ491" t="str">
        <f t="shared" si="255"/>
        <v/>
      </c>
      <c r="AR491" t="str">
        <f t="shared" si="256"/>
        <v>Away</v>
      </c>
      <c r="AS491" t="str">
        <f t="shared" si="257"/>
        <v>a</v>
      </c>
      <c r="AT491" t="str">
        <f t="shared" si="258"/>
        <v>Offensive</v>
      </c>
      <c r="BA491" s="6">
        <f t="shared" si="248"/>
        <v>120</v>
      </c>
      <c r="BB491">
        <f t="shared" si="249"/>
        <v>18981</v>
      </c>
      <c r="BC491" t="str">
        <f t="shared" si="250"/>
        <v>Nelson</v>
      </c>
      <c r="BD491" t="str">
        <f t="shared" si="251"/>
        <v>Velodrome</v>
      </c>
      <c r="BE491" t="s">
        <v>238</v>
      </c>
      <c r="BF491" t="s">
        <v>174</v>
      </c>
      <c r="BG491" t="s">
        <v>85</v>
      </c>
      <c r="BI491" cm="1">
        <f t="array" ref="BI491">IFERROR(_xlfn._xlws.FILTER(shifts!A:A,(shifts!B:B=events!AD491)*(shifts!AG:AG&gt;=events!BK491)*(shifts!AH:AH&lt;=events!BL491)),BI490)</f>
        <v>25</v>
      </c>
      <c r="BJ491" s="15">
        <f t="shared" si="252"/>
        <v>1</v>
      </c>
      <c r="BK491">
        <f t="shared" si="259"/>
        <v>461</v>
      </c>
      <c r="BL491">
        <f t="shared" si="260"/>
        <v>460</v>
      </c>
      <c r="BM491" s="15">
        <f>SUMIFS(BJ$2:BJ491,K$2:K491,"=Intermission")+SUMIFS(BJ$2:BJ491,K$2:K491,"=Timeout")</f>
        <v>0</v>
      </c>
      <c r="BN491">
        <f t="shared" si="261"/>
        <v>0</v>
      </c>
      <c r="BO491" s="19">
        <f t="shared" si="262"/>
        <v>619</v>
      </c>
      <c r="BP491">
        <f t="shared" si="263"/>
        <v>614</v>
      </c>
      <c r="BQ491" s="17">
        <f t="shared" si="264"/>
        <v>620</v>
      </c>
      <c r="BR491" t="str">
        <f t="shared" si="265"/>
        <v>event_team_player_3</v>
      </c>
      <c r="BS491">
        <f>COUNTIFS(S$3:S491,"="&amp;S491,AI$3:AI491,"="&amp;AI491)</f>
        <v>3</v>
      </c>
      <c r="BT491" t="str">
        <f>IFERROR(VLOOKUP(BB491&amp;BU491&amp;X491,game_rosters!U:W,3,FALSE),"")</f>
        <v>P100132</v>
      </c>
      <c r="BU491" t="str">
        <f t="shared" si="266"/>
        <v>Velodrome</v>
      </c>
    </row>
    <row r="492" spans="1:73" x14ac:dyDescent="0.2">
      <c r="A492">
        <f t="shared" si="253"/>
        <v>1</v>
      </c>
      <c r="E492" s="4"/>
      <c r="F492" s="43"/>
      <c r="G492" s="4"/>
      <c r="H492" s="46"/>
      <c r="J492" s="44" t="str">
        <f t="shared" si="267"/>
        <v>o</v>
      </c>
      <c r="K492" t="s">
        <v>238</v>
      </c>
      <c r="L492" t="s">
        <v>174</v>
      </c>
      <c r="M492" t="s">
        <v>85</v>
      </c>
      <c r="N492" t="str">
        <f t="shared" si="270"/>
        <v>s</v>
      </c>
      <c r="Q492" t="str">
        <f t="shared" si="268"/>
        <v/>
      </c>
      <c r="S492">
        <v>263</v>
      </c>
      <c r="U492" t="str">
        <f>IF(B492=1,MAX($U$2:$U491)+1,IF(AND($T492&lt;&gt;"",$T492=$T491),$U491,IF(B492="x",U491,"")))</f>
        <v/>
      </c>
      <c r="V492" t="str">
        <f>IF(C492=1,MAX($V$2:$V491)+1,IF(AND($T492&lt;&gt;"",$T492=$T491),$U491,IF(C492="x",V491,"")))</f>
        <v/>
      </c>
      <c r="W492" t="str">
        <f t="shared" si="242"/>
        <v>a</v>
      </c>
      <c r="X492">
        <v>23</v>
      </c>
      <c r="Y492" t="b">
        <f>IF(X492&lt;&gt;"",VLOOKUP(X492,game_rosters!$C$43:$E$64,3,FALSE))</f>
        <v>0</v>
      </c>
      <c r="Z492" t="str" cm="1">
        <f t="array" ref="Z492">IFERROR(IF(_xlfn._xlws.FILTER(game_rosters!$J:$J,(game_rosters!$G:$G=events!$AN492)*(game_rosters!$J:$J=events!$X492))&gt;0,1,""),"")</f>
        <v/>
      </c>
      <c r="AA492">
        <f t="shared" si="243"/>
        <v>1263</v>
      </c>
      <c r="AB492" t="str">
        <f t="shared" si="244"/>
        <v/>
      </c>
      <c r="AC492">
        <f t="shared" si="241"/>
        <v>1263</v>
      </c>
      <c r="AD492" s="6">
        <v>1</v>
      </c>
      <c r="AE492" t="s">
        <v>937</v>
      </c>
      <c r="AF492" t="s">
        <v>924</v>
      </c>
      <c r="AG492" t="s">
        <v>937</v>
      </c>
      <c r="AH492" t="s">
        <v>903</v>
      </c>
      <c r="AI492" t="s">
        <v>368</v>
      </c>
      <c r="AJ492" t="str">
        <f t="shared" si="271"/>
        <v>o</v>
      </c>
      <c r="AK492" t="str">
        <f t="shared" si="271"/>
        <v>o</v>
      </c>
      <c r="AL492" t="str">
        <f t="shared" si="246"/>
        <v>d</v>
      </c>
      <c r="AN492" t="s">
        <v>862</v>
      </c>
      <c r="AO492" t="str">
        <f t="shared" si="247"/>
        <v>a</v>
      </c>
      <c r="AP492" t="str">
        <f t="shared" si="254"/>
        <v>d</v>
      </c>
      <c r="AQ492" t="str">
        <f t="shared" si="255"/>
        <v/>
      </c>
      <c r="AR492" t="str">
        <f t="shared" si="256"/>
        <v>Away</v>
      </c>
      <c r="AS492" t="str">
        <f t="shared" si="257"/>
        <v>a</v>
      </c>
      <c r="AT492" t="str">
        <f t="shared" si="258"/>
        <v>Defensive</v>
      </c>
      <c r="BA492" s="6">
        <f t="shared" si="248"/>
        <v>121</v>
      </c>
      <c r="BB492">
        <f t="shared" si="249"/>
        <v>18981</v>
      </c>
      <c r="BC492" t="str">
        <f t="shared" si="250"/>
        <v>Nelson</v>
      </c>
      <c r="BD492" t="str">
        <f t="shared" si="251"/>
        <v>Velodrome</v>
      </c>
      <c r="BE492" t="s">
        <v>238</v>
      </c>
      <c r="BF492" t="s">
        <v>174</v>
      </c>
      <c r="BG492" t="s">
        <v>85</v>
      </c>
      <c r="BI492" cm="1">
        <f t="array" ref="BI492">IFERROR(_xlfn._xlws.FILTER(shifts!A:A,(shifts!B:B=events!AD492)*(shifts!AG:AG&gt;=events!BK492)*(shifts!AH:AH&lt;=events!BL492)),BI491)</f>
        <v>25</v>
      </c>
      <c r="BJ492" s="15">
        <f t="shared" si="252"/>
        <v>1</v>
      </c>
      <c r="BK492">
        <f t="shared" si="259"/>
        <v>461</v>
      </c>
      <c r="BL492">
        <f t="shared" si="260"/>
        <v>460</v>
      </c>
      <c r="BM492" s="15">
        <f>SUMIFS(BJ$2:BJ492,K$2:K492,"=Intermission")+SUMIFS(BJ$2:BJ492,K$2:K492,"=Timeout")</f>
        <v>0</v>
      </c>
      <c r="BN492">
        <f t="shared" si="261"/>
        <v>0</v>
      </c>
      <c r="BO492" s="19">
        <f t="shared" si="262"/>
        <v>619</v>
      </c>
      <c r="BP492">
        <f t="shared" si="263"/>
        <v>614</v>
      </c>
      <c r="BQ492" s="17">
        <f t="shared" si="264"/>
        <v>620</v>
      </c>
      <c r="BR492" t="str">
        <f t="shared" si="265"/>
        <v>opp_team_player_1</v>
      </c>
      <c r="BS492">
        <f>COUNTIFS(S$3:S492,"="&amp;S492,AI$3:AI492,"="&amp;AI492)</f>
        <v>1</v>
      </c>
      <c r="BT492" t="str">
        <f>IFERROR(VLOOKUP(BB492&amp;BU492&amp;X492,game_rosters!U:W,3,FALSE),"")</f>
        <v>P100061</v>
      </c>
      <c r="BU492" t="str">
        <f t="shared" si="266"/>
        <v>Nelson</v>
      </c>
    </row>
    <row r="493" spans="1:73" x14ac:dyDescent="0.2">
      <c r="A493">
        <f t="shared" si="253"/>
        <v>1</v>
      </c>
      <c r="E493" s="4"/>
      <c r="F493" s="43"/>
      <c r="G493" s="4"/>
      <c r="H493" s="46"/>
      <c r="J493" s="44" t="str">
        <f t="shared" si="267"/>
        <v>o</v>
      </c>
      <c r="K493" t="s">
        <v>238</v>
      </c>
      <c r="L493" t="s">
        <v>174</v>
      </c>
      <c r="M493" t="s">
        <v>85</v>
      </c>
      <c r="N493" t="str">
        <f t="shared" si="270"/>
        <v>s</v>
      </c>
      <c r="Q493" t="str">
        <f t="shared" si="268"/>
        <v/>
      </c>
      <c r="S493">
        <v>263</v>
      </c>
      <c r="U493" t="str">
        <f>IF(B493=1,MAX($U$2:$U492)+1,IF(AND($T493&lt;&gt;"",$T493=$T492),$U492,IF(B493="x",U492,"")))</f>
        <v/>
      </c>
      <c r="V493" t="str">
        <f>IF(C493=1,MAX($V$2:$V492)+1,IF(AND($T493&lt;&gt;"",$T493=$T492),$U492,IF(C493="x",V492,"")))</f>
        <v/>
      </c>
      <c r="W493" t="str">
        <f t="shared" si="242"/>
        <v>a</v>
      </c>
      <c r="X493">
        <v>37</v>
      </c>
      <c r="Y493" t="b">
        <f>IF(X493&lt;&gt;"",VLOOKUP(X493,game_rosters!$C$43:$E$64,3,FALSE))</f>
        <v>0</v>
      </c>
      <c r="Z493" t="str" cm="1">
        <f t="array" ref="Z493">IFERROR(IF(_xlfn._xlws.FILTER(game_rosters!$J:$J,(game_rosters!$G:$G=events!$AN493)*(game_rosters!$J:$J=events!$X493))&gt;0,1,""),"")</f>
        <v/>
      </c>
      <c r="AA493">
        <f t="shared" si="243"/>
        <v>1263</v>
      </c>
      <c r="AB493" t="str">
        <f t="shared" si="244"/>
        <v/>
      </c>
      <c r="AC493">
        <f t="shared" si="241"/>
        <v>1263</v>
      </c>
      <c r="AD493" s="6">
        <v>1</v>
      </c>
      <c r="AE493" t="s">
        <v>937</v>
      </c>
      <c r="AF493" t="s">
        <v>924</v>
      </c>
      <c r="AG493" t="s">
        <v>937</v>
      </c>
      <c r="AH493" t="s">
        <v>903</v>
      </c>
      <c r="AI493" t="s">
        <v>368</v>
      </c>
      <c r="AJ493" t="str">
        <f t="shared" si="271"/>
        <v>o</v>
      </c>
      <c r="AK493" t="str">
        <f t="shared" si="271"/>
        <v>o</v>
      </c>
      <c r="AL493" t="str">
        <f t="shared" si="246"/>
        <v>d</v>
      </c>
      <c r="AN493" t="s">
        <v>862</v>
      </c>
      <c r="AO493" t="str">
        <f t="shared" si="247"/>
        <v>a</v>
      </c>
      <c r="AP493" t="str">
        <f t="shared" si="254"/>
        <v>d</v>
      </c>
      <c r="AQ493" t="str">
        <f t="shared" si="255"/>
        <v/>
      </c>
      <c r="AR493" t="str">
        <f t="shared" si="256"/>
        <v>Away</v>
      </c>
      <c r="AS493" t="str">
        <f t="shared" si="257"/>
        <v>a</v>
      </c>
      <c r="AT493" t="str">
        <f t="shared" si="258"/>
        <v>Defensive</v>
      </c>
      <c r="BA493" s="6">
        <f t="shared" si="248"/>
        <v>122</v>
      </c>
      <c r="BB493">
        <f t="shared" si="249"/>
        <v>18981</v>
      </c>
      <c r="BC493" t="str">
        <f t="shared" si="250"/>
        <v>Nelson</v>
      </c>
      <c r="BD493" t="str">
        <f t="shared" si="251"/>
        <v>Velodrome</v>
      </c>
      <c r="BE493" t="s">
        <v>238</v>
      </c>
      <c r="BF493" t="s">
        <v>174</v>
      </c>
      <c r="BG493" t="s">
        <v>85</v>
      </c>
      <c r="BI493" cm="1">
        <f t="array" ref="BI493">IFERROR(_xlfn._xlws.FILTER(shifts!A:A,(shifts!B:B=events!AD493)*(shifts!AG:AG&gt;=events!BK493)*(shifts!AH:AH&lt;=events!BL493)),BI492)</f>
        <v>25</v>
      </c>
      <c r="BJ493" s="15">
        <f t="shared" si="252"/>
        <v>1</v>
      </c>
      <c r="BK493">
        <f t="shared" si="259"/>
        <v>461</v>
      </c>
      <c r="BL493">
        <f t="shared" si="260"/>
        <v>460</v>
      </c>
      <c r="BM493" s="15">
        <f>SUMIFS(BJ$2:BJ493,K$2:K493,"=Intermission")+SUMIFS(BJ$2:BJ493,K$2:K493,"=Timeout")</f>
        <v>0</v>
      </c>
      <c r="BN493">
        <f t="shared" si="261"/>
        <v>0</v>
      </c>
      <c r="BO493" s="19">
        <f t="shared" si="262"/>
        <v>619</v>
      </c>
      <c r="BP493">
        <f t="shared" si="263"/>
        <v>614</v>
      </c>
      <c r="BQ493" s="17">
        <f t="shared" si="264"/>
        <v>620</v>
      </c>
      <c r="BR493" t="str">
        <f t="shared" si="265"/>
        <v>opp_team_player_2</v>
      </c>
      <c r="BS493">
        <f>COUNTIFS(S$3:S493,"="&amp;S493,AI$3:AI493,"="&amp;AI493)</f>
        <v>2</v>
      </c>
      <c r="BT493" t="str">
        <f>IFERROR(VLOOKUP(BB493&amp;BU493&amp;X493,game_rosters!U:W,3,FALSE),"")</f>
        <v>P100119</v>
      </c>
      <c r="BU493" t="str">
        <f t="shared" si="266"/>
        <v>Nelson</v>
      </c>
    </row>
    <row r="494" spans="1:73" x14ac:dyDescent="0.2">
      <c r="A494">
        <f t="shared" si="253"/>
        <v>1</v>
      </c>
      <c r="E494" s="4"/>
      <c r="F494" s="43"/>
      <c r="G494" s="4"/>
      <c r="H494" s="46"/>
      <c r="J494" s="44" t="str">
        <f t="shared" si="267"/>
        <v>o</v>
      </c>
      <c r="K494" t="s">
        <v>238</v>
      </c>
      <c r="L494" t="s">
        <v>174</v>
      </c>
      <c r="M494" t="s">
        <v>85</v>
      </c>
      <c r="N494" t="str">
        <f t="shared" si="270"/>
        <v>s</v>
      </c>
      <c r="Q494" t="str">
        <f t="shared" si="268"/>
        <v/>
      </c>
      <c r="S494">
        <v>263</v>
      </c>
      <c r="U494" t="str">
        <f>IF(B494=1,MAX($U$2:$U493)+1,IF(AND($T494&lt;&gt;"",$T494=$T493),$U493,IF(B494="x",U493,"")))</f>
        <v/>
      </c>
      <c r="V494" t="str">
        <f>IF(C494=1,MAX($V$2:$V493)+1,IF(AND($T494&lt;&gt;"",$T494=$T493),$U493,IF(C494="x",V493,"")))</f>
        <v/>
      </c>
      <c r="W494" t="str">
        <f t="shared" si="242"/>
        <v>a</v>
      </c>
      <c r="X494">
        <v>44</v>
      </c>
      <c r="Y494" t="b">
        <f>IF(X494&lt;&gt;"",VLOOKUP(X494,game_rosters!$C$43:$E$64,3,FALSE))</f>
        <v>0</v>
      </c>
      <c r="Z494" t="str" cm="1">
        <f t="array" ref="Z494">IFERROR(IF(_xlfn._xlws.FILTER(game_rosters!$J:$J,(game_rosters!$G:$G=events!$AN494)*(game_rosters!$J:$J=events!$X494))&gt;0,1,""),"")</f>
        <v/>
      </c>
      <c r="AA494">
        <f t="shared" si="243"/>
        <v>1263</v>
      </c>
      <c r="AB494" t="str">
        <f t="shared" si="244"/>
        <v/>
      </c>
      <c r="AC494">
        <f t="shared" si="241"/>
        <v>1263</v>
      </c>
      <c r="AD494" s="6">
        <v>1</v>
      </c>
      <c r="AE494" t="s">
        <v>937</v>
      </c>
      <c r="AF494" t="s">
        <v>924</v>
      </c>
      <c r="AG494" t="s">
        <v>937</v>
      </c>
      <c r="AH494" t="s">
        <v>903</v>
      </c>
      <c r="AI494" t="s">
        <v>368</v>
      </c>
      <c r="AJ494" t="str">
        <f t="shared" si="271"/>
        <v>o</v>
      </c>
      <c r="AK494" t="str">
        <f t="shared" si="271"/>
        <v>o</v>
      </c>
      <c r="AL494" t="str">
        <f t="shared" si="246"/>
        <v>d</v>
      </c>
      <c r="AN494" t="s">
        <v>862</v>
      </c>
      <c r="AO494" t="str">
        <f t="shared" si="247"/>
        <v>a</v>
      </c>
      <c r="AP494" t="str">
        <f t="shared" si="254"/>
        <v>d</v>
      </c>
      <c r="AQ494" t="str">
        <f t="shared" si="255"/>
        <v/>
      </c>
      <c r="AR494" t="str">
        <f t="shared" si="256"/>
        <v>Away</v>
      </c>
      <c r="AS494" t="str">
        <f t="shared" si="257"/>
        <v>a</v>
      </c>
      <c r="AT494" t="str">
        <f t="shared" si="258"/>
        <v>Defensive</v>
      </c>
      <c r="BA494" s="6">
        <f t="shared" si="248"/>
        <v>123</v>
      </c>
      <c r="BB494">
        <f t="shared" si="249"/>
        <v>18981</v>
      </c>
      <c r="BC494" t="str">
        <f t="shared" si="250"/>
        <v>Nelson</v>
      </c>
      <c r="BD494" t="str">
        <f t="shared" si="251"/>
        <v>Velodrome</v>
      </c>
      <c r="BE494" t="s">
        <v>238</v>
      </c>
      <c r="BF494" t="s">
        <v>174</v>
      </c>
      <c r="BG494" t="s">
        <v>85</v>
      </c>
      <c r="BI494" cm="1">
        <f t="array" ref="BI494">IFERROR(_xlfn._xlws.FILTER(shifts!A:A,(shifts!B:B=events!AD494)*(shifts!AG:AG&gt;=events!BK494)*(shifts!AH:AH&lt;=events!BL494)),BI493)</f>
        <v>25</v>
      </c>
      <c r="BJ494" s="15">
        <f t="shared" si="252"/>
        <v>1</v>
      </c>
      <c r="BK494">
        <f t="shared" si="259"/>
        <v>461</v>
      </c>
      <c r="BL494">
        <f t="shared" si="260"/>
        <v>460</v>
      </c>
      <c r="BM494" s="15">
        <f>SUMIFS(BJ$2:BJ494,K$2:K494,"=Intermission")+SUMIFS(BJ$2:BJ494,K$2:K494,"=Timeout")</f>
        <v>0</v>
      </c>
      <c r="BN494">
        <f t="shared" si="261"/>
        <v>0</v>
      </c>
      <c r="BO494" s="19">
        <f t="shared" si="262"/>
        <v>619</v>
      </c>
      <c r="BP494">
        <f t="shared" si="263"/>
        <v>614</v>
      </c>
      <c r="BQ494" s="17">
        <f t="shared" si="264"/>
        <v>620</v>
      </c>
      <c r="BR494" t="str">
        <f t="shared" si="265"/>
        <v>opp_team_player_3</v>
      </c>
      <c r="BS494">
        <f>COUNTIFS(S$3:S494,"="&amp;S494,AI$3:AI494,"="&amp;AI494)</f>
        <v>3</v>
      </c>
      <c r="BT494" t="str">
        <f>IFERROR(VLOOKUP(BB494&amp;BU494&amp;X494,game_rosters!U:W,3,FALSE),"")</f>
        <v>P100079</v>
      </c>
      <c r="BU494" t="str">
        <f t="shared" si="266"/>
        <v>Nelson</v>
      </c>
    </row>
    <row r="495" spans="1:73" x14ac:dyDescent="0.2">
      <c r="A495">
        <f t="shared" si="253"/>
        <v>1</v>
      </c>
      <c r="E495" s="4"/>
      <c r="F495" s="43"/>
      <c r="G495" s="4"/>
      <c r="H495" s="46"/>
      <c r="J495" s="44" t="str">
        <f t="shared" si="267"/>
        <v/>
      </c>
      <c r="K495" t="s">
        <v>9</v>
      </c>
      <c r="L495" t="s">
        <v>183</v>
      </c>
      <c r="M495" t="s">
        <v>80</v>
      </c>
      <c r="N495" t="str">
        <f t="shared" si="270"/>
        <v/>
      </c>
      <c r="Q495" t="str">
        <f t="shared" si="268"/>
        <v/>
      </c>
      <c r="S495">
        <v>264</v>
      </c>
      <c r="U495" t="str">
        <f>IF(B495=1,MAX($U$2:$U494)+1,IF(AND($T495&lt;&gt;"",$T495=$T494),$U494,IF(B495="x",U494,"")))</f>
        <v/>
      </c>
      <c r="V495" t="str">
        <f>IF(C495=1,MAX($V$2:$V494)+1,IF(AND($T495&lt;&gt;"",$T495=$T494),$U494,IF(C495="x",V494,"")))</f>
        <v/>
      </c>
      <c r="W495" t="str">
        <f t="shared" si="242"/>
        <v>h</v>
      </c>
      <c r="X495">
        <v>44</v>
      </c>
      <c r="Y495" t="b">
        <f>IF(X495&lt;&gt;"",VLOOKUP(X495,game_rosters!$C$43:$E$64,3,FALSE))</f>
        <v>0</v>
      </c>
      <c r="Z495" cm="1">
        <f t="array" ref="Z495">IFERROR(IF(_xlfn._xlws.FILTER(game_rosters!$J:$J,(game_rosters!$G:$G=events!$AN495)*(game_rosters!$J:$J=events!$X495))&gt;0,1,""),"")</f>
        <v>1</v>
      </c>
      <c r="AA495">
        <f t="shared" si="243"/>
        <v>1264</v>
      </c>
      <c r="AB495" t="str">
        <f t="shared" si="244"/>
        <v/>
      </c>
      <c r="AC495">
        <f t="shared" si="241"/>
        <v>1264</v>
      </c>
      <c r="AD495" s="6">
        <v>1</v>
      </c>
      <c r="AE495" t="s">
        <v>937</v>
      </c>
      <c r="AF495" t="s">
        <v>903</v>
      </c>
      <c r="AG495" t="s">
        <v>756</v>
      </c>
      <c r="AH495" t="s">
        <v>756</v>
      </c>
      <c r="AI495" t="s">
        <v>367</v>
      </c>
      <c r="AJ495" t="str">
        <f t="shared" si="271"/>
        <v/>
      </c>
      <c r="AK495" t="str">
        <f t="shared" si="271"/>
        <v/>
      </c>
      <c r="AL495" t="str">
        <f t="shared" si="246"/>
        <v/>
      </c>
      <c r="AN495" t="s">
        <v>861</v>
      </c>
      <c r="AO495" t="str">
        <f t="shared" si="247"/>
        <v>h</v>
      </c>
      <c r="AP495" t="str">
        <f t="shared" si="254"/>
        <v/>
      </c>
      <c r="AQ495" t="str">
        <f t="shared" si="255"/>
        <v/>
      </c>
      <c r="AR495" t="str">
        <f t="shared" si="256"/>
        <v>Home</v>
      </c>
      <c r="AS495" t="str">
        <f t="shared" si="257"/>
        <v>h</v>
      </c>
      <c r="AT495" t="str">
        <f t="shared" si="258"/>
        <v>Defensive</v>
      </c>
      <c r="BA495" s="6">
        <f t="shared" si="248"/>
        <v>123</v>
      </c>
      <c r="BB495">
        <f t="shared" si="249"/>
        <v>18981</v>
      </c>
      <c r="BC495" t="str">
        <f t="shared" si="250"/>
        <v>Nelson</v>
      </c>
      <c r="BD495" t="str">
        <f t="shared" si="251"/>
        <v>Velodrome</v>
      </c>
      <c r="BE495" t="s">
        <v>9</v>
      </c>
      <c r="BF495" t="s">
        <v>183</v>
      </c>
      <c r="BG495" t="s">
        <v>80</v>
      </c>
      <c r="BI495" cm="1">
        <f t="array" ref="BI495">IFERROR(_xlfn._xlws.FILTER(shifts!A:A,(shifts!B:B=events!AD495)*(shifts!AG:AG&gt;=events!BK495)*(shifts!AH:AH&lt;=events!BL495)),BI494)</f>
        <v>25</v>
      </c>
      <c r="BJ495" s="15">
        <f t="shared" si="252"/>
        <v>0</v>
      </c>
      <c r="BK495">
        <f t="shared" si="259"/>
        <v>460</v>
      </c>
      <c r="BL495">
        <f t="shared" si="260"/>
        <v>460</v>
      </c>
      <c r="BM495" s="15">
        <f>SUMIFS(BJ$2:BJ495,K$2:K495,"=Intermission")+SUMIFS(BJ$2:BJ495,K$2:K495,"=Timeout")</f>
        <v>0</v>
      </c>
      <c r="BN495">
        <f t="shared" si="261"/>
        <v>0</v>
      </c>
      <c r="BO495" s="19">
        <f t="shared" si="262"/>
        <v>620</v>
      </c>
      <c r="BP495">
        <f t="shared" si="263"/>
        <v>615</v>
      </c>
      <c r="BQ495" s="17">
        <f t="shared" si="264"/>
        <v>620</v>
      </c>
      <c r="BR495" t="str">
        <f t="shared" si="265"/>
        <v>event_team_player_1</v>
      </c>
      <c r="BS495">
        <f>COUNTIFS(S$3:S495,"="&amp;S495,AI$3:AI495,"="&amp;AI495)</f>
        <v>1</v>
      </c>
      <c r="BT495" t="str">
        <f>IFERROR(VLOOKUP(BB495&amp;BU495&amp;X495,game_rosters!U:W,3,FALSE),"")</f>
        <v>P100079</v>
      </c>
      <c r="BU495" t="str">
        <f t="shared" si="266"/>
        <v>Nelson</v>
      </c>
    </row>
    <row r="496" spans="1:73" x14ac:dyDescent="0.2">
      <c r="A496">
        <f t="shared" si="253"/>
        <v>1</v>
      </c>
      <c r="E496" s="4"/>
      <c r="F496" s="43"/>
      <c r="G496" s="4"/>
      <c r="H496" s="46"/>
      <c r="J496" s="44" t="str">
        <f t="shared" si="267"/>
        <v/>
      </c>
      <c r="K496" t="s">
        <v>9</v>
      </c>
      <c r="L496" t="s">
        <v>183</v>
      </c>
      <c r="M496" t="s">
        <v>80</v>
      </c>
      <c r="N496" t="str">
        <f t="shared" si="270"/>
        <v/>
      </c>
      <c r="Q496" t="str">
        <f t="shared" si="268"/>
        <v/>
      </c>
      <c r="S496">
        <v>264</v>
      </c>
      <c r="U496" t="str">
        <f>IF(B496=1,MAX($U$2:$U495)+1,IF(AND($T496&lt;&gt;"",$T496=$T495),$U495,IF(B496="x",U495,"")))</f>
        <v/>
      </c>
      <c r="V496" t="str">
        <f>IF(C496=1,MAX($V$2:$V495)+1,IF(AND($T496&lt;&gt;"",$T496=$T495),$U495,IF(C496="x",V495,"")))</f>
        <v/>
      </c>
      <c r="W496" t="str">
        <f t="shared" si="242"/>
        <v>h</v>
      </c>
      <c r="X496">
        <v>61</v>
      </c>
      <c r="Y496" t="e">
        <f>IF(X496&lt;&gt;"",VLOOKUP(X496,game_rosters!$C$43:$E$64,3,FALSE))</f>
        <v>#N/A</v>
      </c>
      <c r="Z496" t="str" cm="1">
        <f t="array" ref="Z496">IFERROR(IF(_xlfn._xlws.FILTER(game_rosters!$J:$J,(game_rosters!$G:$G=events!$AN496)*(game_rosters!$J:$J=events!$X496))&gt;0,1,""),"")</f>
        <v/>
      </c>
      <c r="AA496">
        <f t="shared" si="243"/>
        <v>1264</v>
      </c>
      <c r="AB496" t="str">
        <f t="shared" si="244"/>
        <v/>
      </c>
      <c r="AC496">
        <f t="shared" si="241"/>
        <v>1264</v>
      </c>
      <c r="AD496" s="6">
        <v>1</v>
      </c>
      <c r="AE496" t="s">
        <v>937</v>
      </c>
      <c r="AF496" t="s">
        <v>903</v>
      </c>
      <c r="AG496" t="s">
        <v>756</v>
      </c>
      <c r="AH496" t="s">
        <v>756</v>
      </c>
      <c r="AI496" t="s">
        <v>368</v>
      </c>
      <c r="AJ496" t="str">
        <f t="shared" si="271"/>
        <v/>
      </c>
      <c r="AK496" t="str">
        <f t="shared" si="271"/>
        <v/>
      </c>
      <c r="AL496" t="str">
        <f t="shared" si="246"/>
        <v/>
      </c>
      <c r="AN496" t="s">
        <v>861</v>
      </c>
      <c r="AO496" t="str">
        <f t="shared" si="247"/>
        <v>h</v>
      </c>
      <c r="AP496" t="str">
        <f t="shared" si="254"/>
        <v/>
      </c>
      <c r="AQ496" t="str">
        <f t="shared" si="255"/>
        <v/>
      </c>
      <c r="AR496" t="str">
        <f t="shared" si="256"/>
        <v>Home</v>
      </c>
      <c r="AS496" t="str">
        <f t="shared" si="257"/>
        <v>h</v>
      </c>
      <c r="AT496" t="str">
        <f t="shared" si="258"/>
        <v>Offensive</v>
      </c>
      <c r="BA496" s="6">
        <f t="shared" si="248"/>
        <v>123</v>
      </c>
      <c r="BB496">
        <f t="shared" si="249"/>
        <v>18981</v>
      </c>
      <c r="BC496" t="str">
        <f t="shared" si="250"/>
        <v>Nelson</v>
      </c>
      <c r="BD496" t="str">
        <f t="shared" si="251"/>
        <v>Velodrome</v>
      </c>
      <c r="BE496" t="s">
        <v>9</v>
      </c>
      <c r="BF496" t="s">
        <v>183</v>
      </c>
      <c r="BG496" t="s">
        <v>80</v>
      </c>
      <c r="BI496" cm="1">
        <f t="array" ref="BI496">IFERROR(_xlfn._xlws.FILTER(shifts!A:A,(shifts!B:B=events!AD496)*(shifts!AG:AG&gt;=events!BK496)*(shifts!AH:AH&lt;=events!BL496)),BI495)</f>
        <v>25</v>
      </c>
      <c r="BJ496" s="15">
        <f t="shared" si="252"/>
        <v>0</v>
      </c>
      <c r="BK496">
        <f t="shared" si="259"/>
        <v>460</v>
      </c>
      <c r="BL496">
        <f t="shared" si="260"/>
        <v>460</v>
      </c>
      <c r="BM496" s="15">
        <f>SUMIFS(BJ$2:BJ496,K$2:K496,"=Intermission")+SUMIFS(BJ$2:BJ496,K$2:K496,"=Timeout")</f>
        <v>0</v>
      </c>
      <c r="BN496">
        <f t="shared" si="261"/>
        <v>0</v>
      </c>
      <c r="BO496" s="19">
        <f t="shared" si="262"/>
        <v>620</v>
      </c>
      <c r="BP496">
        <f t="shared" si="263"/>
        <v>615</v>
      </c>
      <c r="BQ496" s="17">
        <f t="shared" si="264"/>
        <v>620</v>
      </c>
      <c r="BR496" t="str">
        <f t="shared" si="265"/>
        <v>opp_team_player_1</v>
      </c>
      <c r="BS496">
        <f>COUNTIFS(S$3:S496,"="&amp;S496,AI$3:AI496,"="&amp;AI496)</f>
        <v>1</v>
      </c>
      <c r="BT496" t="str">
        <f>IFERROR(VLOOKUP(BB496&amp;BU496&amp;X496,game_rosters!U:W,3,FALSE),"")</f>
        <v>P100224</v>
      </c>
      <c r="BU496" t="str">
        <f t="shared" si="266"/>
        <v>Velodrome</v>
      </c>
    </row>
    <row r="497" spans="1:73" x14ac:dyDescent="0.2">
      <c r="A497">
        <f t="shared" si="253"/>
        <v>1</v>
      </c>
      <c r="E497" s="4"/>
      <c r="F497" s="43"/>
      <c r="G497" s="4"/>
      <c r="H497" s="46"/>
      <c r="J497" s="44" t="str">
        <f t="shared" si="267"/>
        <v>d</v>
      </c>
      <c r="K497" t="s">
        <v>238</v>
      </c>
      <c r="L497" t="s">
        <v>184</v>
      </c>
      <c r="M497" t="s">
        <v>415</v>
      </c>
      <c r="N497" t="str">
        <f t="shared" si="270"/>
        <v>s</v>
      </c>
      <c r="Q497" t="str">
        <f t="shared" si="268"/>
        <v/>
      </c>
      <c r="S497">
        <v>265</v>
      </c>
      <c r="U497" t="str">
        <f>IF(B497=1,MAX($U$2:$U496)+1,IF(AND($T497&lt;&gt;"",$T497=$T496),$U496,IF(B497="x",U496,"")))</f>
        <v/>
      </c>
      <c r="V497" t="str">
        <f>IF(C497=1,MAX($V$2:$V496)+1,IF(AND($T497&lt;&gt;"",$T497=$T496),$U496,IF(C497="x",V496,"")))</f>
        <v/>
      </c>
      <c r="W497" t="str">
        <f t="shared" si="242"/>
        <v>h</v>
      </c>
      <c r="X497">
        <v>44</v>
      </c>
      <c r="Y497" t="b">
        <f>IF(X497&lt;&gt;"",VLOOKUP(X497,game_rosters!$C$43:$E$64,3,FALSE))</f>
        <v>0</v>
      </c>
      <c r="Z497" cm="1">
        <f t="array" ref="Z497">IFERROR(IF(_xlfn._xlws.FILTER(game_rosters!$J:$J,(game_rosters!$G:$G=events!$AN497)*(game_rosters!$J:$J=events!$X497))&gt;0,1,""),"")</f>
        <v>1</v>
      </c>
      <c r="AA497">
        <f t="shared" si="243"/>
        <v>1265</v>
      </c>
      <c r="AB497" t="str">
        <f t="shared" si="244"/>
        <v/>
      </c>
      <c r="AC497">
        <f t="shared" si="241"/>
        <v>1265</v>
      </c>
      <c r="AD497" s="6">
        <v>1</v>
      </c>
      <c r="AE497" t="s">
        <v>937</v>
      </c>
      <c r="AF497" t="s">
        <v>903</v>
      </c>
      <c r="AG497" t="s">
        <v>756</v>
      </c>
      <c r="AH497" t="s">
        <v>756</v>
      </c>
      <c r="AI497" t="s">
        <v>367</v>
      </c>
      <c r="AJ497" t="str">
        <f t="shared" si="271"/>
        <v>d</v>
      </c>
      <c r="AK497" t="str">
        <f t="shared" si="271"/>
        <v>d</v>
      </c>
      <c r="AL497" t="str">
        <f t="shared" si="246"/>
        <v>d</v>
      </c>
      <c r="AN497" t="s">
        <v>861</v>
      </c>
      <c r="AO497" t="str">
        <f t="shared" si="247"/>
        <v>h</v>
      </c>
      <c r="AP497" t="str">
        <f t="shared" si="254"/>
        <v>d</v>
      </c>
      <c r="AQ497" t="str">
        <f t="shared" si="255"/>
        <v/>
      </c>
      <c r="AR497" t="str">
        <f t="shared" si="256"/>
        <v>Home</v>
      </c>
      <c r="AS497" t="str">
        <f t="shared" si="257"/>
        <v>h</v>
      </c>
      <c r="AT497" t="str">
        <f t="shared" si="258"/>
        <v>Offensive</v>
      </c>
      <c r="BA497" s="6">
        <f t="shared" si="248"/>
        <v>124</v>
      </c>
      <c r="BB497">
        <f t="shared" si="249"/>
        <v>18981</v>
      </c>
      <c r="BC497" t="str">
        <f t="shared" si="250"/>
        <v>Nelson</v>
      </c>
      <c r="BD497" t="str">
        <f t="shared" si="251"/>
        <v>Velodrome</v>
      </c>
      <c r="BE497" t="s">
        <v>238</v>
      </c>
      <c r="BF497" t="s">
        <v>184</v>
      </c>
      <c r="BG497" t="s">
        <v>415</v>
      </c>
      <c r="BI497" cm="1">
        <f t="array" ref="BI497">IFERROR(_xlfn._xlws.FILTER(shifts!A:A,(shifts!B:B=events!AD497)*(shifts!AG:AG&gt;=events!BK497)*(shifts!AH:AH&lt;=events!BL497)),BI496)</f>
        <v>25</v>
      </c>
      <c r="BJ497" s="15">
        <f t="shared" si="252"/>
        <v>0</v>
      </c>
      <c r="BK497">
        <f t="shared" si="259"/>
        <v>460</v>
      </c>
      <c r="BL497">
        <f t="shared" si="260"/>
        <v>460</v>
      </c>
      <c r="BM497" s="15">
        <f>SUMIFS(BJ$2:BJ497,K$2:K497,"=Intermission")+SUMIFS(BJ$2:BJ497,K$2:K497,"=Timeout")</f>
        <v>0</v>
      </c>
      <c r="BN497">
        <f t="shared" si="261"/>
        <v>0</v>
      </c>
      <c r="BO497" s="19">
        <f t="shared" si="262"/>
        <v>620</v>
      </c>
      <c r="BP497">
        <f t="shared" si="263"/>
        <v>615</v>
      </c>
      <c r="BQ497" s="17">
        <f t="shared" si="264"/>
        <v>620</v>
      </c>
      <c r="BR497" t="str">
        <f t="shared" si="265"/>
        <v>event_team_player_1</v>
      </c>
      <c r="BS497">
        <f>COUNTIFS(S$3:S497,"="&amp;S497,AI$3:AI497,"="&amp;AI497)</f>
        <v>1</v>
      </c>
      <c r="BT497" t="str">
        <f>IFERROR(VLOOKUP(BB497&amp;BU497&amp;X497,game_rosters!U:W,3,FALSE),"")</f>
        <v>P100079</v>
      </c>
      <c r="BU497" t="str">
        <f t="shared" si="266"/>
        <v>Nelson</v>
      </c>
    </row>
    <row r="498" spans="1:73" x14ac:dyDescent="0.2">
      <c r="A498">
        <f t="shared" si="253"/>
        <v>1</v>
      </c>
      <c r="E498" s="4"/>
      <c r="F498" s="43"/>
      <c r="G498" s="4"/>
      <c r="H498" s="46"/>
      <c r="J498" s="44" t="str">
        <f t="shared" si="267"/>
        <v>d</v>
      </c>
      <c r="K498" t="s">
        <v>238</v>
      </c>
      <c r="L498" t="s">
        <v>184</v>
      </c>
      <c r="M498" t="s">
        <v>415</v>
      </c>
      <c r="N498" t="str">
        <f t="shared" si="270"/>
        <v>s</v>
      </c>
      <c r="Q498" t="str">
        <f t="shared" si="268"/>
        <v/>
      </c>
      <c r="S498">
        <v>265</v>
      </c>
      <c r="U498" t="str">
        <f>IF(B498=1,MAX($U$2:$U497)+1,IF(AND($T498&lt;&gt;"",$T498=$T497),$U497,IF(B498="x",U497,"")))</f>
        <v/>
      </c>
      <c r="V498" t="str">
        <f>IF(C498=1,MAX($V$2:$V497)+1,IF(AND($T498&lt;&gt;"",$T498=$T497),$U497,IF(C498="x",V497,"")))</f>
        <v/>
      </c>
      <c r="W498" t="str">
        <f t="shared" si="242"/>
        <v>h</v>
      </c>
      <c r="X498">
        <v>61</v>
      </c>
      <c r="Y498" t="e">
        <f>IF(X498&lt;&gt;"",VLOOKUP(X498,game_rosters!$C$43:$E$64,3,FALSE))</f>
        <v>#N/A</v>
      </c>
      <c r="Z498" t="str" cm="1">
        <f t="array" ref="Z498">IFERROR(IF(_xlfn._xlws.FILTER(game_rosters!$J:$J,(game_rosters!$G:$G=events!$AN498)*(game_rosters!$J:$J=events!$X498))&gt;0,1,""),"")</f>
        <v/>
      </c>
      <c r="AA498">
        <f t="shared" si="243"/>
        <v>1265</v>
      </c>
      <c r="AB498" t="str">
        <f t="shared" si="244"/>
        <v/>
      </c>
      <c r="AC498">
        <f t="shared" si="241"/>
        <v>1265</v>
      </c>
      <c r="AD498" s="6">
        <v>1</v>
      </c>
      <c r="AE498" t="s">
        <v>937</v>
      </c>
      <c r="AF498" t="s">
        <v>903</v>
      </c>
      <c r="AG498" t="s">
        <v>756</v>
      </c>
      <c r="AH498" t="s">
        <v>756</v>
      </c>
      <c r="AI498" t="s">
        <v>368</v>
      </c>
      <c r="AJ498" t="str">
        <f t="shared" si="271"/>
        <v>d</v>
      </c>
      <c r="AK498" t="str">
        <f t="shared" si="271"/>
        <v>d</v>
      </c>
      <c r="AL498" t="str">
        <f t="shared" si="246"/>
        <v>d</v>
      </c>
      <c r="AN498" t="s">
        <v>861</v>
      </c>
      <c r="AO498" t="str">
        <f t="shared" si="247"/>
        <v>h</v>
      </c>
      <c r="AP498" t="str">
        <f t="shared" si="254"/>
        <v>d</v>
      </c>
      <c r="AQ498" t="str">
        <f t="shared" si="255"/>
        <v/>
      </c>
      <c r="AR498" t="str">
        <f t="shared" si="256"/>
        <v>Home</v>
      </c>
      <c r="AS498" t="str">
        <f t="shared" si="257"/>
        <v>h</v>
      </c>
      <c r="AT498" t="str">
        <f t="shared" si="258"/>
        <v>Defensive</v>
      </c>
      <c r="BA498" s="6">
        <f t="shared" si="248"/>
        <v>125</v>
      </c>
      <c r="BB498">
        <f t="shared" si="249"/>
        <v>18981</v>
      </c>
      <c r="BC498" t="str">
        <f t="shared" si="250"/>
        <v>Nelson</v>
      </c>
      <c r="BD498" t="str">
        <f t="shared" si="251"/>
        <v>Velodrome</v>
      </c>
      <c r="BE498" t="s">
        <v>238</v>
      </c>
      <c r="BF498" t="s">
        <v>184</v>
      </c>
      <c r="BG498" t="s">
        <v>415</v>
      </c>
      <c r="BI498" cm="1">
        <f t="array" ref="BI498">IFERROR(_xlfn._xlws.FILTER(shifts!A:A,(shifts!B:B=events!AD498)*(shifts!AG:AG&gt;=events!BK498)*(shifts!AH:AH&lt;=events!BL498)),BI497)</f>
        <v>25</v>
      </c>
      <c r="BJ498" s="15">
        <f t="shared" si="252"/>
        <v>0</v>
      </c>
      <c r="BK498">
        <f t="shared" si="259"/>
        <v>460</v>
      </c>
      <c r="BL498">
        <f t="shared" si="260"/>
        <v>460</v>
      </c>
      <c r="BM498" s="15">
        <f>SUMIFS(BJ$2:BJ498,K$2:K498,"=Intermission")+SUMIFS(BJ$2:BJ498,K$2:K498,"=Timeout")</f>
        <v>0</v>
      </c>
      <c r="BN498">
        <f t="shared" si="261"/>
        <v>0</v>
      </c>
      <c r="BO498" s="19">
        <f t="shared" si="262"/>
        <v>620</v>
      </c>
      <c r="BP498">
        <f t="shared" si="263"/>
        <v>615</v>
      </c>
      <c r="BQ498" s="17">
        <f t="shared" si="264"/>
        <v>620</v>
      </c>
      <c r="BR498" t="str">
        <f t="shared" si="265"/>
        <v>opp_team_player_1</v>
      </c>
      <c r="BS498">
        <f>COUNTIFS(S$3:S498,"="&amp;S498,AI$3:AI498,"="&amp;AI498)</f>
        <v>1</v>
      </c>
      <c r="BT498" t="str">
        <f>IFERROR(VLOOKUP(BB498&amp;BU498&amp;X498,game_rosters!U:W,3,FALSE),"")</f>
        <v>P100224</v>
      </c>
      <c r="BU498" t="str">
        <f t="shared" si="266"/>
        <v>Velodrome</v>
      </c>
    </row>
    <row r="499" spans="1:73" x14ac:dyDescent="0.2">
      <c r="A499">
        <f t="shared" si="253"/>
        <v>1</v>
      </c>
      <c r="E499" s="4"/>
      <c r="F499" s="43"/>
      <c r="G499" s="4"/>
      <c r="H499" s="46"/>
      <c r="J499" s="44" t="str">
        <f t="shared" si="267"/>
        <v/>
      </c>
      <c r="K499" t="s">
        <v>9</v>
      </c>
      <c r="L499" t="s">
        <v>173</v>
      </c>
      <c r="M499" t="s">
        <v>365</v>
      </c>
      <c r="N499" t="str">
        <f t="shared" si="270"/>
        <v>u</v>
      </c>
      <c r="Q499" t="str">
        <f t="shared" si="268"/>
        <v/>
      </c>
      <c r="S499">
        <v>266</v>
      </c>
      <c r="U499" t="str">
        <f>IF(B499=1,MAX($U$2:$U498)+1,IF(AND($T499&lt;&gt;"",$T499=$T498),$U498,IF(B499="x",U498,"")))</f>
        <v/>
      </c>
      <c r="V499" t="str">
        <f>IF(C499=1,MAX($V$2:$V498)+1,IF(AND($T499&lt;&gt;"",$T499=$T498),$U498,IF(C499="x",V498,"")))</f>
        <v/>
      </c>
      <c r="W499" t="str">
        <f t="shared" si="242"/>
        <v>a</v>
      </c>
      <c r="X499">
        <v>9</v>
      </c>
      <c r="Y499" t="e">
        <f>IF(X499&lt;&gt;"",VLOOKUP(X499,game_rosters!$C$43:$E$64,3,FALSE))</f>
        <v>#N/A</v>
      </c>
      <c r="Z499" cm="1">
        <f t="array" ref="Z499">IFERROR(IF(_xlfn._xlws.FILTER(game_rosters!$J:$J,(game_rosters!$G:$G=events!$AN499)*(game_rosters!$J:$J=events!$X499))&gt;0,1,""),"")</f>
        <v>1</v>
      </c>
      <c r="AA499">
        <f t="shared" si="243"/>
        <v>1266</v>
      </c>
      <c r="AB499" t="str">
        <f t="shared" si="244"/>
        <v/>
      </c>
      <c r="AC499">
        <f t="shared" si="241"/>
        <v>1266</v>
      </c>
      <c r="AD499" s="6">
        <v>1</v>
      </c>
      <c r="AE499" t="s">
        <v>937</v>
      </c>
      <c r="AF499" t="s">
        <v>749</v>
      </c>
      <c r="AG499" t="s">
        <v>756</v>
      </c>
      <c r="AH499" t="s">
        <v>756</v>
      </c>
      <c r="AI499" t="s">
        <v>367</v>
      </c>
      <c r="AJ499" t="str">
        <f t="shared" si="271"/>
        <v/>
      </c>
      <c r="AK499" t="str">
        <f t="shared" si="271"/>
        <v/>
      </c>
      <c r="AL499" t="str">
        <f t="shared" si="246"/>
        <v/>
      </c>
      <c r="AN499" t="s">
        <v>862</v>
      </c>
      <c r="AO499" t="str">
        <f t="shared" si="247"/>
        <v>a</v>
      </c>
      <c r="AP499" t="str">
        <f t="shared" si="254"/>
        <v/>
      </c>
      <c r="AQ499" t="str">
        <f t="shared" si="255"/>
        <v/>
      </c>
      <c r="AR499" t="str">
        <f t="shared" si="256"/>
        <v>Away</v>
      </c>
      <c r="AS499" t="str">
        <f t="shared" si="257"/>
        <v>a</v>
      </c>
      <c r="AT499" t="str">
        <f t="shared" si="258"/>
        <v>Offensive</v>
      </c>
      <c r="BA499" s="6">
        <f t="shared" si="248"/>
        <v>125</v>
      </c>
      <c r="BB499">
        <f t="shared" si="249"/>
        <v>18981</v>
      </c>
      <c r="BC499" t="str">
        <f t="shared" si="250"/>
        <v>Nelson</v>
      </c>
      <c r="BD499" t="str">
        <f t="shared" si="251"/>
        <v>Velodrome</v>
      </c>
      <c r="BE499" t="s">
        <v>9</v>
      </c>
      <c r="BF499" t="s">
        <v>173</v>
      </c>
      <c r="BG499" t="s">
        <v>365</v>
      </c>
      <c r="BI499" cm="1">
        <f t="array" ref="BI499">IFERROR(_xlfn._xlws.FILTER(shifts!A:A,(shifts!B:B=events!AD499)*(shifts!AG:AG&gt;=events!BK499)*(shifts!AH:AH&lt;=events!BL499)),BI498)</f>
        <v>25</v>
      </c>
      <c r="BJ499" s="15">
        <f t="shared" si="252"/>
        <v>0</v>
      </c>
      <c r="BK499">
        <f t="shared" si="259"/>
        <v>459</v>
      </c>
      <c r="BL499">
        <f t="shared" si="260"/>
        <v>459</v>
      </c>
      <c r="BM499" s="15">
        <f>SUMIFS(BJ$2:BJ499,K$2:K499,"=Intermission")+SUMIFS(BJ$2:BJ499,K$2:K499,"=Timeout")</f>
        <v>0</v>
      </c>
      <c r="BN499">
        <f t="shared" si="261"/>
        <v>0</v>
      </c>
      <c r="BO499" s="19">
        <f t="shared" si="262"/>
        <v>621</v>
      </c>
      <c r="BP499">
        <f t="shared" si="263"/>
        <v>616</v>
      </c>
      <c r="BQ499" s="17">
        <f t="shared" si="264"/>
        <v>621</v>
      </c>
      <c r="BR499" t="str">
        <f t="shared" si="265"/>
        <v>event_team_player_1</v>
      </c>
      <c r="BS499">
        <f>COUNTIFS(S$3:S499,"="&amp;S499,AI$3:AI499,"="&amp;AI499)</f>
        <v>1</v>
      </c>
      <c r="BT499" t="str">
        <f>IFERROR(VLOOKUP(BB499&amp;BU499&amp;X499,game_rosters!U:W,3,FALSE),"")</f>
        <v>P100105</v>
      </c>
      <c r="BU499" t="str">
        <f t="shared" si="266"/>
        <v>Velodrome</v>
      </c>
    </row>
    <row r="500" spans="1:73" x14ac:dyDescent="0.2">
      <c r="A500">
        <f t="shared" si="253"/>
        <v>1</v>
      </c>
      <c r="E500" s="4"/>
      <c r="F500" s="43"/>
      <c r="G500" s="4"/>
      <c r="H500" s="46"/>
      <c r="J500" s="44" t="str">
        <f t="shared" si="267"/>
        <v/>
      </c>
      <c r="K500" t="s">
        <v>9</v>
      </c>
      <c r="L500" t="s">
        <v>173</v>
      </c>
      <c r="M500" t="s">
        <v>365</v>
      </c>
      <c r="N500" t="str">
        <f t="shared" si="270"/>
        <v>u</v>
      </c>
      <c r="Q500" t="str">
        <f t="shared" si="268"/>
        <v/>
      </c>
      <c r="S500">
        <v>266</v>
      </c>
      <c r="U500" t="str">
        <f>IF(B500=1,MAX($U$2:$U499)+1,IF(AND($T500&lt;&gt;"",$T500=$T499),$U499,IF(B500="x",U499,"")))</f>
        <v/>
      </c>
      <c r="V500" t="str">
        <f>IF(C500=1,MAX($V$2:$V499)+1,IF(AND($T500&lt;&gt;"",$T500=$T499),$U499,IF(C500="x",V499,"")))</f>
        <v/>
      </c>
      <c r="W500" t="str">
        <f t="shared" si="242"/>
        <v>a</v>
      </c>
      <c r="X500">
        <v>10</v>
      </c>
      <c r="Y500" t="b">
        <f>IF(X500&lt;&gt;"",VLOOKUP(X500,game_rosters!$C$43:$E$64,3,FALSE))</f>
        <v>0</v>
      </c>
      <c r="Z500" t="str" cm="1">
        <f t="array" ref="Z500">IFERROR(IF(_xlfn._xlws.FILTER(game_rosters!$J:$J,(game_rosters!$G:$G=events!$AN500)*(game_rosters!$J:$J=events!$X500))&gt;0,1,""),"")</f>
        <v/>
      </c>
      <c r="AA500">
        <f t="shared" si="243"/>
        <v>1266</v>
      </c>
      <c r="AB500" t="str">
        <f t="shared" si="244"/>
        <v/>
      </c>
      <c r="AC500">
        <f t="shared" si="241"/>
        <v>1266</v>
      </c>
      <c r="AD500" s="6">
        <v>1</v>
      </c>
      <c r="AE500" t="s">
        <v>937</v>
      </c>
      <c r="AF500" t="s">
        <v>749</v>
      </c>
      <c r="AG500" t="s">
        <v>756</v>
      </c>
      <c r="AH500" t="s">
        <v>756</v>
      </c>
      <c r="AI500" t="s">
        <v>368</v>
      </c>
      <c r="AJ500" t="str">
        <f t="shared" ref="AJ500:AK515" si="272">IF($J500&lt;&gt;"",$J500,IF($AC500=$AC499,AJ499,""))</f>
        <v/>
      </c>
      <c r="AK500" t="str">
        <f t="shared" si="272"/>
        <v/>
      </c>
      <c r="AL500" t="str">
        <f t="shared" si="246"/>
        <v/>
      </c>
      <c r="AN500" t="s">
        <v>862</v>
      </c>
      <c r="AO500" t="str">
        <f t="shared" si="247"/>
        <v>a</v>
      </c>
      <c r="AP500" t="str">
        <f t="shared" si="254"/>
        <v/>
      </c>
      <c r="AQ500" t="str">
        <f t="shared" si="255"/>
        <v/>
      </c>
      <c r="AR500" t="str">
        <f t="shared" si="256"/>
        <v>Away</v>
      </c>
      <c r="AS500" t="str">
        <f t="shared" si="257"/>
        <v>a</v>
      </c>
      <c r="AT500" t="str">
        <f t="shared" si="258"/>
        <v>Defensive</v>
      </c>
      <c r="BA500" s="6">
        <f t="shared" si="248"/>
        <v>125</v>
      </c>
      <c r="BB500">
        <f t="shared" si="249"/>
        <v>18981</v>
      </c>
      <c r="BC500" t="str">
        <f t="shared" si="250"/>
        <v>Nelson</v>
      </c>
      <c r="BD500" t="str">
        <f t="shared" si="251"/>
        <v>Velodrome</v>
      </c>
      <c r="BE500" t="s">
        <v>9</v>
      </c>
      <c r="BF500" t="s">
        <v>173</v>
      </c>
      <c r="BG500" t="s">
        <v>365</v>
      </c>
      <c r="BI500" cm="1">
        <f t="array" ref="BI500">IFERROR(_xlfn._xlws.FILTER(shifts!A:A,(shifts!B:B=events!AD500)*(shifts!AG:AG&gt;=events!BK500)*(shifts!AH:AH&lt;=events!BL500)),BI499)</f>
        <v>25</v>
      </c>
      <c r="BJ500" s="15">
        <f t="shared" si="252"/>
        <v>0</v>
      </c>
      <c r="BK500">
        <f t="shared" si="259"/>
        <v>459</v>
      </c>
      <c r="BL500">
        <f t="shared" si="260"/>
        <v>459</v>
      </c>
      <c r="BM500" s="15">
        <f>SUMIFS(BJ$2:BJ500,K$2:K500,"=Intermission")+SUMIFS(BJ$2:BJ500,K$2:K500,"=Timeout")</f>
        <v>0</v>
      </c>
      <c r="BN500">
        <f t="shared" si="261"/>
        <v>0</v>
      </c>
      <c r="BO500" s="19">
        <f t="shared" si="262"/>
        <v>621</v>
      </c>
      <c r="BP500">
        <f t="shared" si="263"/>
        <v>616</v>
      </c>
      <c r="BQ500" s="17">
        <f t="shared" si="264"/>
        <v>621</v>
      </c>
      <c r="BR500" t="str">
        <f t="shared" si="265"/>
        <v>opp_team_player_1</v>
      </c>
      <c r="BS500">
        <f>COUNTIFS(S$3:S500,"="&amp;S500,AI$3:AI500,"="&amp;AI500)</f>
        <v>1</v>
      </c>
      <c r="BT500" t="str">
        <f>IFERROR(VLOOKUP(BB500&amp;BU500&amp;X500,game_rosters!U:W,3,FALSE),"")</f>
        <v>P100078</v>
      </c>
      <c r="BU500" t="str">
        <f t="shared" si="266"/>
        <v>Nelson</v>
      </c>
    </row>
    <row r="501" spans="1:73" x14ac:dyDescent="0.2">
      <c r="A501">
        <f t="shared" si="253"/>
        <v>1</v>
      </c>
      <c r="E501" s="4"/>
      <c r="F501" s="43"/>
      <c r="G501" s="4"/>
      <c r="H501" s="46"/>
      <c r="J501" s="44" t="str">
        <f t="shared" si="267"/>
        <v/>
      </c>
      <c r="K501" t="s">
        <v>13</v>
      </c>
      <c r="L501" t="s">
        <v>756</v>
      </c>
      <c r="M501" t="s">
        <v>756</v>
      </c>
      <c r="N501" t="str">
        <f t="shared" si="270"/>
        <v/>
      </c>
      <c r="Q501" t="str">
        <f t="shared" si="268"/>
        <v/>
      </c>
      <c r="S501">
        <v>267</v>
      </c>
      <c r="U501" t="str">
        <f>IF(B501=1,MAX($U$2:$U500)+1,IF(AND($T501&lt;&gt;"",$T501=$T500),$U500,IF(B501="x",U500,"")))</f>
        <v/>
      </c>
      <c r="V501" t="str">
        <f>IF(C501=1,MAX($V$2:$V500)+1,IF(AND($T501&lt;&gt;"",$T501=$T500),$U500,IF(C501="x",V500,"")))</f>
        <v/>
      </c>
      <c r="W501" t="str">
        <f t="shared" si="242"/>
        <v>h</v>
      </c>
      <c r="X501">
        <v>44</v>
      </c>
      <c r="Y501" t="b">
        <f>IF(X501&lt;&gt;"",VLOOKUP(X501,game_rosters!$C$43:$E$64,3,FALSE))</f>
        <v>0</v>
      </c>
      <c r="Z501" cm="1">
        <f t="array" ref="Z501">IFERROR(IF(_xlfn._xlws.FILTER(game_rosters!$J:$J,(game_rosters!$G:$G=events!$AN501)*(game_rosters!$J:$J=events!$X501))&gt;0,1,""),"")</f>
        <v>1</v>
      </c>
      <c r="AA501">
        <f t="shared" si="243"/>
        <v>1267</v>
      </c>
      <c r="AB501" t="str">
        <f t="shared" si="244"/>
        <v/>
      </c>
      <c r="AC501">
        <f t="shared" si="241"/>
        <v>1267</v>
      </c>
      <c r="AD501" s="6">
        <v>1</v>
      </c>
      <c r="AE501" t="s">
        <v>937</v>
      </c>
      <c r="AF501" t="s">
        <v>928</v>
      </c>
      <c r="AG501" t="s">
        <v>937</v>
      </c>
      <c r="AH501" t="s">
        <v>929</v>
      </c>
      <c r="AI501" t="s">
        <v>367</v>
      </c>
      <c r="AJ501" t="str">
        <f t="shared" si="272"/>
        <v/>
      </c>
      <c r="AK501" t="str">
        <f t="shared" si="272"/>
        <v/>
      </c>
      <c r="AL501" t="str">
        <f t="shared" si="246"/>
        <v/>
      </c>
      <c r="AN501" t="s">
        <v>861</v>
      </c>
      <c r="AO501" t="str">
        <f t="shared" si="247"/>
        <v>h</v>
      </c>
      <c r="AP501" t="str">
        <f t="shared" si="254"/>
        <v/>
      </c>
      <c r="AQ501" t="str">
        <f t="shared" si="255"/>
        <v/>
      </c>
      <c r="AR501" t="str">
        <f t="shared" si="256"/>
        <v>Home</v>
      </c>
      <c r="AS501" t="str">
        <f t="shared" si="257"/>
        <v>h</v>
      </c>
      <c r="AT501" t="str">
        <f t="shared" si="258"/>
        <v>Offensive</v>
      </c>
      <c r="BA501" s="6">
        <f t="shared" si="248"/>
        <v>125</v>
      </c>
      <c r="BB501">
        <f t="shared" si="249"/>
        <v>18981</v>
      </c>
      <c r="BC501" t="str">
        <f t="shared" si="250"/>
        <v>Nelson</v>
      </c>
      <c r="BD501" t="str">
        <f t="shared" si="251"/>
        <v>Velodrome</v>
      </c>
      <c r="BE501" t="s">
        <v>13</v>
      </c>
      <c r="BF501" t="s">
        <v>756</v>
      </c>
      <c r="BG501" t="s">
        <v>756</v>
      </c>
      <c r="BI501" cm="1">
        <f t="array" ref="BI501">IFERROR(_xlfn._xlws.FILTER(shifts!A:A,(shifts!B:B=events!AD501)*(shifts!AG:AG&gt;=events!BK501)*(shifts!AH:AH&lt;=events!BL501)),BI500)</f>
        <v>25</v>
      </c>
      <c r="BJ501" s="15">
        <f t="shared" si="252"/>
        <v>3</v>
      </c>
      <c r="BK501">
        <f t="shared" si="259"/>
        <v>457</v>
      </c>
      <c r="BL501">
        <f t="shared" si="260"/>
        <v>454</v>
      </c>
      <c r="BM501" s="15">
        <f>SUMIFS(BJ$2:BJ501,K$2:K501,"=Intermission")+SUMIFS(BJ$2:BJ501,K$2:K501,"=Timeout")</f>
        <v>0</v>
      </c>
      <c r="BN501">
        <f t="shared" si="261"/>
        <v>0</v>
      </c>
      <c r="BO501" s="19">
        <f t="shared" si="262"/>
        <v>623</v>
      </c>
      <c r="BP501">
        <f t="shared" si="263"/>
        <v>618</v>
      </c>
      <c r="BQ501" s="17">
        <f t="shared" si="264"/>
        <v>626</v>
      </c>
      <c r="BR501" t="str">
        <f t="shared" si="265"/>
        <v>event_team_player_1</v>
      </c>
      <c r="BS501">
        <f>COUNTIFS(S$3:S501,"="&amp;S501,AI$3:AI501,"="&amp;AI501)</f>
        <v>1</v>
      </c>
      <c r="BT501" t="str">
        <f>IFERROR(VLOOKUP(BB501&amp;BU501&amp;X501,game_rosters!U:W,3,FALSE),"")</f>
        <v>P100079</v>
      </c>
      <c r="BU501" t="str">
        <f t="shared" si="266"/>
        <v>Nelson</v>
      </c>
    </row>
    <row r="502" spans="1:73" x14ac:dyDescent="0.2">
      <c r="A502">
        <f t="shared" si="253"/>
        <v>1</v>
      </c>
      <c r="E502" s="4"/>
      <c r="F502" s="43"/>
      <c r="G502" s="4"/>
      <c r="H502" s="46"/>
      <c r="J502" s="44" t="str">
        <f t="shared" si="267"/>
        <v/>
      </c>
      <c r="K502" t="s">
        <v>13</v>
      </c>
      <c r="L502" t="s">
        <v>756</v>
      </c>
      <c r="M502" t="s">
        <v>756</v>
      </c>
      <c r="N502" t="str">
        <f t="shared" si="270"/>
        <v/>
      </c>
      <c r="Q502" t="str">
        <f t="shared" si="268"/>
        <v/>
      </c>
      <c r="S502">
        <v>267</v>
      </c>
      <c r="U502" t="str">
        <f>IF(B502=1,MAX($U$2:$U501)+1,IF(AND($T502&lt;&gt;"",$T502=$T501),$U501,IF(B502="x",U501,"")))</f>
        <v/>
      </c>
      <c r="V502" t="str">
        <f>IF(C502=1,MAX($V$2:$V501)+1,IF(AND($T502&lt;&gt;"",$T502=$T501),$U501,IF(C502="x",V501,"")))</f>
        <v/>
      </c>
      <c r="W502" t="str">
        <f t="shared" si="242"/>
        <v>h</v>
      </c>
      <c r="X502">
        <v>49</v>
      </c>
      <c r="Y502" t="e">
        <f>IF(X502&lt;&gt;"",VLOOKUP(X502,game_rosters!$C$43:$E$64,3,FALSE))</f>
        <v>#N/A</v>
      </c>
      <c r="Z502" t="str" cm="1">
        <f t="array" ref="Z502">IFERROR(IF(_xlfn._xlws.FILTER(game_rosters!$J:$J,(game_rosters!$G:$G=events!$AN502)*(game_rosters!$J:$J=events!$X502))&gt;0,1,""),"")</f>
        <v/>
      </c>
      <c r="AA502">
        <f t="shared" si="243"/>
        <v>1267</v>
      </c>
      <c r="AB502" t="str">
        <f t="shared" si="244"/>
        <v/>
      </c>
      <c r="AC502">
        <f t="shared" si="241"/>
        <v>1267</v>
      </c>
      <c r="AD502" s="6">
        <v>1</v>
      </c>
      <c r="AE502" t="s">
        <v>937</v>
      </c>
      <c r="AF502" t="s">
        <v>928</v>
      </c>
      <c r="AG502" t="s">
        <v>937</v>
      </c>
      <c r="AH502" t="s">
        <v>929</v>
      </c>
      <c r="AI502" t="s">
        <v>368</v>
      </c>
      <c r="AJ502" t="str">
        <f t="shared" si="272"/>
        <v/>
      </c>
      <c r="AK502" t="str">
        <f t="shared" si="272"/>
        <v/>
      </c>
      <c r="AL502" t="str">
        <f t="shared" si="246"/>
        <v/>
      </c>
      <c r="AN502" t="s">
        <v>861</v>
      </c>
      <c r="AO502" t="str">
        <f t="shared" si="247"/>
        <v>h</v>
      </c>
      <c r="AP502" t="str">
        <f t="shared" si="254"/>
        <v/>
      </c>
      <c r="AQ502" t="str">
        <f t="shared" si="255"/>
        <v/>
      </c>
      <c r="AR502" t="str">
        <f t="shared" si="256"/>
        <v>Home</v>
      </c>
      <c r="AS502" t="str">
        <f t="shared" si="257"/>
        <v>h</v>
      </c>
      <c r="AT502" t="str">
        <f t="shared" si="258"/>
        <v>Defensive</v>
      </c>
      <c r="BA502" s="6">
        <f t="shared" si="248"/>
        <v>125</v>
      </c>
      <c r="BB502">
        <f t="shared" si="249"/>
        <v>18981</v>
      </c>
      <c r="BC502" t="str">
        <f t="shared" si="250"/>
        <v>Nelson</v>
      </c>
      <c r="BD502" t="str">
        <f t="shared" si="251"/>
        <v>Velodrome</v>
      </c>
      <c r="BE502" t="s">
        <v>13</v>
      </c>
      <c r="BF502" t="s">
        <v>756</v>
      </c>
      <c r="BG502" t="s">
        <v>756</v>
      </c>
      <c r="BI502" cm="1">
        <f t="array" ref="BI502">IFERROR(_xlfn._xlws.FILTER(shifts!A:A,(shifts!B:B=events!AD502)*(shifts!AG:AG&gt;=events!BK502)*(shifts!AH:AH&lt;=events!BL502)),BI501)</f>
        <v>25</v>
      </c>
      <c r="BJ502" s="15">
        <f t="shared" si="252"/>
        <v>3</v>
      </c>
      <c r="BK502">
        <f t="shared" si="259"/>
        <v>457</v>
      </c>
      <c r="BL502">
        <f t="shared" si="260"/>
        <v>454</v>
      </c>
      <c r="BM502" s="15">
        <f>SUMIFS(BJ$2:BJ502,K$2:K502,"=Intermission")+SUMIFS(BJ$2:BJ502,K$2:K502,"=Timeout")</f>
        <v>0</v>
      </c>
      <c r="BN502">
        <f t="shared" si="261"/>
        <v>0</v>
      </c>
      <c r="BO502" s="19">
        <f t="shared" si="262"/>
        <v>623</v>
      </c>
      <c r="BP502">
        <f t="shared" si="263"/>
        <v>618</v>
      </c>
      <c r="BQ502" s="17">
        <f t="shared" si="264"/>
        <v>626</v>
      </c>
      <c r="BR502" t="str">
        <f t="shared" si="265"/>
        <v>opp_team_player_1</v>
      </c>
      <c r="BS502">
        <f>COUNTIFS(S$3:S502,"="&amp;S502,AI$3:AI502,"="&amp;AI502)</f>
        <v>1</v>
      </c>
      <c r="BT502" t="str">
        <f>IFERROR(VLOOKUP(BB502&amp;BU502&amp;X502,game_rosters!U:W,3,FALSE),"")</f>
        <v>P100161</v>
      </c>
      <c r="BU502" t="str">
        <f t="shared" si="266"/>
        <v>Velodrome</v>
      </c>
    </row>
    <row r="503" spans="1:73" x14ac:dyDescent="0.2">
      <c r="A503">
        <f t="shared" si="253"/>
        <v>1</v>
      </c>
      <c r="E503" s="4"/>
      <c r="F503" s="43"/>
      <c r="G503" s="4"/>
      <c r="H503" s="46"/>
      <c r="J503" s="44" t="str">
        <f t="shared" si="267"/>
        <v/>
      </c>
      <c r="K503" t="s">
        <v>9</v>
      </c>
      <c r="L503" t="s">
        <v>183</v>
      </c>
      <c r="M503" t="s">
        <v>80</v>
      </c>
      <c r="N503" t="str">
        <f t="shared" si="270"/>
        <v/>
      </c>
      <c r="Q503" t="str">
        <f t="shared" si="268"/>
        <v/>
      </c>
      <c r="S503">
        <v>268</v>
      </c>
      <c r="U503" t="str">
        <f>IF(B503=1,MAX($U$2:$U502)+1,IF(AND($T503&lt;&gt;"",$T503=$T502),$U502,IF(B503="x",U502,"")))</f>
        <v/>
      </c>
      <c r="V503" t="str">
        <f>IF(C503=1,MAX($V$2:$V502)+1,IF(AND($T503&lt;&gt;"",$T503=$T502),$U502,IF(C503="x",V502,"")))</f>
        <v/>
      </c>
      <c r="W503" t="str">
        <f t="shared" si="242"/>
        <v>a</v>
      </c>
      <c r="X503">
        <v>49</v>
      </c>
      <c r="Y503" t="e">
        <f>IF(X503&lt;&gt;"",VLOOKUP(X503,game_rosters!$C$43:$E$64,3,FALSE))</f>
        <v>#N/A</v>
      </c>
      <c r="Z503" cm="1">
        <f t="array" ref="Z503">IFERROR(IF(_xlfn._xlws.FILTER(game_rosters!$J:$J,(game_rosters!$G:$G=events!$AN503)*(game_rosters!$J:$J=events!$X503))&gt;0,1,""),"")</f>
        <v>1</v>
      </c>
      <c r="AA503">
        <f t="shared" si="243"/>
        <v>1268</v>
      </c>
      <c r="AB503" t="str">
        <f t="shared" si="244"/>
        <v/>
      </c>
      <c r="AC503">
        <f t="shared" si="241"/>
        <v>1268</v>
      </c>
      <c r="AD503" s="6">
        <v>1</v>
      </c>
      <c r="AE503" t="s">
        <v>937</v>
      </c>
      <c r="AF503" t="s">
        <v>929</v>
      </c>
      <c r="AG503" t="s">
        <v>756</v>
      </c>
      <c r="AH503" t="s">
        <v>756</v>
      </c>
      <c r="AI503" t="s">
        <v>367</v>
      </c>
      <c r="AJ503" t="str">
        <f t="shared" si="272"/>
        <v/>
      </c>
      <c r="AK503" t="str">
        <f t="shared" si="272"/>
        <v/>
      </c>
      <c r="AL503" t="str">
        <f t="shared" si="246"/>
        <v/>
      </c>
      <c r="AN503" t="s">
        <v>862</v>
      </c>
      <c r="AO503" t="str">
        <f t="shared" si="247"/>
        <v>a</v>
      </c>
      <c r="AP503" t="str">
        <f t="shared" si="254"/>
        <v/>
      </c>
      <c r="AQ503" t="str">
        <f t="shared" si="255"/>
        <v/>
      </c>
      <c r="AR503" t="str">
        <f t="shared" si="256"/>
        <v>Away</v>
      </c>
      <c r="AS503" t="str">
        <f t="shared" si="257"/>
        <v>a</v>
      </c>
      <c r="AT503" t="str">
        <f t="shared" si="258"/>
        <v>Defensive</v>
      </c>
      <c r="BA503" s="6">
        <f t="shared" si="248"/>
        <v>125</v>
      </c>
      <c r="BB503">
        <f t="shared" si="249"/>
        <v>18981</v>
      </c>
      <c r="BC503" t="str">
        <f t="shared" si="250"/>
        <v>Nelson</v>
      </c>
      <c r="BD503" t="str">
        <f t="shared" si="251"/>
        <v>Velodrome</v>
      </c>
      <c r="BE503" t="s">
        <v>9</v>
      </c>
      <c r="BF503" t="s">
        <v>183</v>
      </c>
      <c r="BG503" t="s">
        <v>80</v>
      </c>
      <c r="BI503" cm="1">
        <f t="array" ref="BI503">IFERROR(_xlfn._xlws.FILTER(shifts!A:A,(shifts!B:B=events!AD503)*(shifts!AG:AG&gt;=events!BK503)*(shifts!AH:AH&lt;=events!BL503)),BI502)</f>
        <v>25</v>
      </c>
      <c r="BJ503" s="15">
        <f t="shared" si="252"/>
        <v>0</v>
      </c>
      <c r="BK503">
        <f t="shared" si="259"/>
        <v>454</v>
      </c>
      <c r="BL503">
        <f t="shared" si="260"/>
        <v>454</v>
      </c>
      <c r="BM503" s="15">
        <f>SUMIFS(BJ$2:BJ503,K$2:K503,"=Intermission")+SUMIFS(BJ$2:BJ503,K$2:K503,"=Timeout")</f>
        <v>0</v>
      </c>
      <c r="BN503">
        <f t="shared" si="261"/>
        <v>0</v>
      </c>
      <c r="BO503" s="19">
        <f t="shared" si="262"/>
        <v>626</v>
      </c>
      <c r="BP503">
        <f t="shared" si="263"/>
        <v>621</v>
      </c>
      <c r="BQ503" s="17">
        <f t="shared" si="264"/>
        <v>626</v>
      </c>
      <c r="BR503" t="str">
        <f t="shared" si="265"/>
        <v>event_team_player_1</v>
      </c>
      <c r="BS503">
        <f>COUNTIFS(S$3:S503,"="&amp;S503,AI$3:AI503,"="&amp;AI503)</f>
        <v>1</v>
      </c>
      <c r="BT503" t="str">
        <f>IFERROR(VLOOKUP(BB503&amp;BU503&amp;X503,game_rosters!U:W,3,FALSE),"")</f>
        <v>P100161</v>
      </c>
      <c r="BU503" t="str">
        <f t="shared" si="266"/>
        <v>Velodrome</v>
      </c>
    </row>
    <row r="504" spans="1:73" x14ac:dyDescent="0.2">
      <c r="A504">
        <f t="shared" si="253"/>
        <v>1</v>
      </c>
      <c r="E504" s="4"/>
      <c r="F504" s="43"/>
      <c r="G504" s="4"/>
      <c r="H504" s="46"/>
      <c r="J504" s="44" t="str">
        <f t="shared" si="267"/>
        <v/>
      </c>
      <c r="K504" t="s">
        <v>9</v>
      </c>
      <c r="L504" t="s">
        <v>183</v>
      </c>
      <c r="M504" t="s">
        <v>80</v>
      </c>
      <c r="N504" t="str">
        <f t="shared" si="270"/>
        <v/>
      </c>
      <c r="Q504" t="str">
        <f t="shared" si="268"/>
        <v/>
      </c>
      <c r="S504">
        <v>268</v>
      </c>
      <c r="U504" t="str">
        <f>IF(B504=1,MAX($U$2:$U503)+1,IF(AND($T504&lt;&gt;"",$T504=$T503),$U503,IF(B504="x",U503,"")))</f>
        <v/>
      </c>
      <c r="V504" t="str">
        <f>IF(C504=1,MAX($V$2:$V503)+1,IF(AND($T504&lt;&gt;"",$T504=$T503),$U503,IF(C504="x",V503,"")))</f>
        <v/>
      </c>
      <c r="W504" t="str">
        <f t="shared" si="242"/>
        <v>a</v>
      </c>
      <c r="X504">
        <v>44</v>
      </c>
      <c r="Y504" t="b">
        <f>IF(X504&lt;&gt;"",VLOOKUP(X504,game_rosters!$C$43:$E$64,3,FALSE))</f>
        <v>0</v>
      </c>
      <c r="Z504" t="str" cm="1">
        <f t="array" ref="Z504">IFERROR(IF(_xlfn._xlws.FILTER(game_rosters!$J:$J,(game_rosters!$G:$G=events!$AN504)*(game_rosters!$J:$J=events!$X504))&gt;0,1,""),"")</f>
        <v/>
      </c>
      <c r="AA504">
        <f t="shared" si="243"/>
        <v>1268</v>
      </c>
      <c r="AB504" t="str">
        <f t="shared" si="244"/>
        <v/>
      </c>
      <c r="AC504">
        <f t="shared" si="241"/>
        <v>1268</v>
      </c>
      <c r="AD504" s="6">
        <v>1</v>
      </c>
      <c r="AE504" t="s">
        <v>937</v>
      </c>
      <c r="AF504" t="s">
        <v>929</v>
      </c>
      <c r="AG504" t="s">
        <v>756</v>
      </c>
      <c r="AH504" t="s">
        <v>756</v>
      </c>
      <c r="AI504" t="s">
        <v>368</v>
      </c>
      <c r="AJ504" t="str">
        <f t="shared" si="272"/>
        <v/>
      </c>
      <c r="AK504" t="str">
        <f t="shared" si="272"/>
        <v/>
      </c>
      <c r="AL504" t="str">
        <f t="shared" si="246"/>
        <v/>
      </c>
      <c r="AN504" t="s">
        <v>862</v>
      </c>
      <c r="AO504" t="str">
        <f t="shared" si="247"/>
        <v>a</v>
      </c>
      <c r="AP504" t="str">
        <f t="shared" si="254"/>
        <v/>
      </c>
      <c r="AQ504" t="str">
        <f t="shared" si="255"/>
        <v/>
      </c>
      <c r="AR504" t="str">
        <f t="shared" si="256"/>
        <v>Away</v>
      </c>
      <c r="AS504" t="str">
        <f t="shared" si="257"/>
        <v>a</v>
      </c>
      <c r="AT504" t="str">
        <f t="shared" si="258"/>
        <v>Offensive</v>
      </c>
      <c r="BA504" s="6">
        <f t="shared" si="248"/>
        <v>125</v>
      </c>
      <c r="BB504">
        <f t="shared" si="249"/>
        <v>18981</v>
      </c>
      <c r="BC504" t="str">
        <f t="shared" si="250"/>
        <v>Nelson</v>
      </c>
      <c r="BD504" t="str">
        <f t="shared" si="251"/>
        <v>Velodrome</v>
      </c>
      <c r="BE504" t="s">
        <v>9</v>
      </c>
      <c r="BF504" t="s">
        <v>183</v>
      </c>
      <c r="BG504" t="s">
        <v>80</v>
      </c>
      <c r="BI504" cm="1">
        <f t="array" ref="BI504">IFERROR(_xlfn._xlws.FILTER(shifts!A:A,(shifts!B:B=events!AD504)*(shifts!AG:AG&gt;=events!BK504)*(shifts!AH:AH&lt;=events!BL504)),BI503)</f>
        <v>25</v>
      </c>
      <c r="BJ504" s="15">
        <f t="shared" si="252"/>
        <v>0</v>
      </c>
      <c r="BK504">
        <f t="shared" si="259"/>
        <v>454</v>
      </c>
      <c r="BL504">
        <f t="shared" si="260"/>
        <v>454</v>
      </c>
      <c r="BM504" s="15">
        <f>SUMIFS(BJ$2:BJ504,K$2:K504,"=Intermission")+SUMIFS(BJ$2:BJ504,K$2:K504,"=Timeout")</f>
        <v>0</v>
      </c>
      <c r="BN504">
        <f t="shared" si="261"/>
        <v>0</v>
      </c>
      <c r="BO504" s="19">
        <f t="shared" si="262"/>
        <v>626</v>
      </c>
      <c r="BP504">
        <f t="shared" si="263"/>
        <v>621</v>
      </c>
      <c r="BQ504" s="17">
        <f t="shared" si="264"/>
        <v>626</v>
      </c>
      <c r="BR504" t="str">
        <f t="shared" si="265"/>
        <v>opp_team_player_1</v>
      </c>
      <c r="BS504">
        <f>COUNTIFS(S$3:S504,"="&amp;S504,AI$3:AI504,"="&amp;AI504)</f>
        <v>1</v>
      </c>
      <c r="BT504" t="str">
        <f>IFERROR(VLOOKUP(BB504&amp;BU504&amp;X504,game_rosters!U:W,3,FALSE),"")</f>
        <v>P100079</v>
      </c>
      <c r="BU504" t="str">
        <f t="shared" si="266"/>
        <v>Nelson</v>
      </c>
    </row>
    <row r="505" spans="1:73" x14ac:dyDescent="0.2">
      <c r="A505">
        <f t="shared" si="253"/>
        <v>1</v>
      </c>
      <c r="E505" s="4"/>
      <c r="F505" s="43"/>
      <c r="G505" s="4"/>
      <c r="H505" s="46"/>
      <c r="J505" s="44" t="str">
        <f t="shared" si="267"/>
        <v/>
      </c>
      <c r="K505" t="s">
        <v>13</v>
      </c>
      <c r="L505" t="s">
        <v>756</v>
      </c>
      <c r="M505" t="s">
        <v>756</v>
      </c>
      <c r="N505" t="str">
        <f t="shared" si="270"/>
        <v/>
      </c>
      <c r="Q505" t="str">
        <f t="shared" si="268"/>
        <v/>
      </c>
      <c r="S505">
        <v>269</v>
      </c>
      <c r="U505" t="str">
        <f>IF(B505=1,MAX($U$2:$U504)+1,IF(AND($T505&lt;&gt;"",$T505=$T504),$U504,IF(B505="x",U504,"")))</f>
        <v/>
      </c>
      <c r="V505" t="str">
        <f>IF(C505=1,MAX($V$2:$V504)+1,IF(AND($T505&lt;&gt;"",$T505=$T504),$U504,IF(C505="x",V504,"")))</f>
        <v/>
      </c>
      <c r="W505" t="str">
        <f t="shared" si="242"/>
        <v>a</v>
      </c>
      <c r="X505">
        <v>9</v>
      </c>
      <c r="Y505" t="e">
        <f>IF(X505&lt;&gt;"",VLOOKUP(X505,game_rosters!$C$43:$E$64,3,FALSE))</f>
        <v>#N/A</v>
      </c>
      <c r="Z505" cm="1">
        <f t="array" ref="Z505">IFERROR(IF(_xlfn._xlws.FILTER(game_rosters!$J:$J,(game_rosters!$G:$G=events!$AN505)*(game_rosters!$J:$J=events!$X505))&gt;0,1,""),"")</f>
        <v>1</v>
      </c>
      <c r="AA505">
        <f t="shared" si="243"/>
        <v>1269</v>
      </c>
      <c r="AB505" t="str">
        <f t="shared" si="244"/>
        <v/>
      </c>
      <c r="AC505">
        <f t="shared" si="241"/>
        <v>1269</v>
      </c>
      <c r="AD505" s="6">
        <v>1</v>
      </c>
      <c r="AE505" t="s">
        <v>937</v>
      </c>
      <c r="AF505" t="s">
        <v>914</v>
      </c>
      <c r="AG505" t="s">
        <v>937</v>
      </c>
      <c r="AH505" t="s">
        <v>930</v>
      </c>
      <c r="AI505" t="s">
        <v>367</v>
      </c>
      <c r="AJ505" t="str">
        <f t="shared" si="272"/>
        <v/>
      </c>
      <c r="AK505" t="str">
        <f t="shared" si="272"/>
        <v/>
      </c>
      <c r="AL505" t="str">
        <f t="shared" si="246"/>
        <v/>
      </c>
      <c r="AN505" t="s">
        <v>862</v>
      </c>
      <c r="AO505" t="str">
        <f t="shared" si="247"/>
        <v>a</v>
      </c>
      <c r="AP505" t="str">
        <f t="shared" si="254"/>
        <v/>
      </c>
      <c r="AQ505" t="str">
        <f t="shared" si="255"/>
        <v/>
      </c>
      <c r="AR505" t="str">
        <f t="shared" si="256"/>
        <v>Away</v>
      </c>
      <c r="AS505" t="str">
        <f t="shared" si="257"/>
        <v>a</v>
      </c>
      <c r="AT505" t="str">
        <f t="shared" si="258"/>
        <v>Offensive</v>
      </c>
      <c r="BA505" s="6">
        <f t="shared" si="248"/>
        <v>125</v>
      </c>
      <c r="BB505">
        <f t="shared" si="249"/>
        <v>18981</v>
      </c>
      <c r="BC505" t="str">
        <f t="shared" si="250"/>
        <v>Nelson</v>
      </c>
      <c r="BD505" t="str">
        <f t="shared" si="251"/>
        <v>Velodrome</v>
      </c>
      <c r="BE505" t="s">
        <v>13</v>
      </c>
      <c r="BF505" t="s">
        <v>756</v>
      </c>
      <c r="BG505" t="s">
        <v>756</v>
      </c>
      <c r="BI505" cm="1">
        <f t="array" ref="BI505">IFERROR(_xlfn._xlws.FILTER(shifts!A:A,(shifts!B:B=events!AD505)*(shifts!AG:AG&gt;=events!BK505)*(shifts!AH:AH&lt;=events!BL505)),BI504)</f>
        <v>26</v>
      </c>
      <c r="BJ505" s="15">
        <f t="shared" si="252"/>
        <v>5</v>
      </c>
      <c r="BK505">
        <f t="shared" si="259"/>
        <v>453</v>
      </c>
      <c r="BL505">
        <f t="shared" si="260"/>
        <v>448</v>
      </c>
      <c r="BM505" s="15">
        <f>SUMIFS(BJ$2:BJ505,K$2:K505,"=Intermission")+SUMIFS(BJ$2:BJ505,K$2:K505,"=Timeout")</f>
        <v>0</v>
      </c>
      <c r="BN505">
        <f t="shared" si="261"/>
        <v>0</v>
      </c>
      <c r="BO505" s="19">
        <f t="shared" si="262"/>
        <v>627</v>
      </c>
      <c r="BP505">
        <f t="shared" si="263"/>
        <v>622</v>
      </c>
      <c r="BQ505" s="17">
        <f t="shared" si="264"/>
        <v>632</v>
      </c>
      <c r="BR505" t="str">
        <f t="shared" si="265"/>
        <v>event_team_player_1</v>
      </c>
      <c r="BS505">
        <f>COUNTIFS(S$3:S505,"="&amp;S505,AI$3:AI505,"="&amp;AI505)</f>
        <v>1</v>
      </c>
      <c r="BT505" t="str">
        <f>IFERROR(VLOOKUP(BB505&amp;BU505&amp;X505,game_rosters!U:W,3,FALSE),"")</f>
        <v>P100105</v>
      </c>
      <c r="BU505" t="str">
        <f t="shared" si="266"/>
        <v>Velodrome</v>
      </c>
    </row>
    <row r="506" spans="1:73" x14ac:dyDescent="0.2">
      <c r="A506">
        <f t="shared" si="253"/>
        <v>1</v>
      </c>
      <c r="E506" s="4"/>
      <c r="F506" s="43"/>
      <c r="G506" s="4"/>
      <c r="H506" s="46"/>
      <c r="J506" s="44" t="str">
        <f t="shared" si="267"/>
        <v/>
      </c>
      <c r="K506" t="s">
        <v>13</v>
      </c>
      <c r="L506" t="s">
        <v>756</v>
      </c>
      <c r="M506" t="s">
        <v>756</v>
      </c>
      <c r="N506" t="str">
        <f t="shared" si="270"/>
        <v/>
      </c>
      <c r="Q506" t="str">
        <f t="shared" si="268"/>
        <v/>
      </c>
      <c r="S506">
        <v>269</v>
      </c>
      <c r="U506" t="str">
        <f>IF(B506=1,MAX($U$2:$U505)+1,IF(AND($T506&lt;&gt;"",$T506=$T505),$U505,IF(B506="x",U505,"")))</f>
        <v/>
      </c>
      <c r="V506" t="str">
        <f>IF(C506=1,MAX($V$2:$V505)+1,IF(AND($T506&lt;&gt;"",$T506=$T505),$U505,IF(C506="x",V505,"")))</f>
        <v/>
      </c>
      <c r="W506" t="str">
        <f t="shared" si="242"/>
        <v>a</v>
      </c>
      <c r="X506">
        <v>10</v>
      </c>
      <c r="Y506" t="b">
        <f>IF(X506&lt;&gt;"",VLOOKUP(X506,game_rosters!$C$43:$E$64,3,FALSE))</f>
        <v>0</v>
      </c>
      <c r="Z506" t="str" cm="1">
        <f t="array" ref="Z506">IFERROR(IF(_xlfn._xlws.FILTER(game_rosters!$J:$J,(game_rosters!$G:$G=events!$AN506)*(game_rosters!$J:$J=events!$X506))&gt;0,1,""),"")</f>
        <v/>
      </c>
      <c r="AA506">
        <f t="shared" si="243"/>
        <v>1269</v>
      </c>
      <c r="AB506" t="str">
        <f t="shared" si="244"/>
        <v/>
      </c>
      <c r="AC506">
        <f t="shared" si="241"/>
        <v>1269</v>
      </c>
      <c r="AD506" s="6">
        <v>1</v>
      </c>
      <c r="AE506" t="s">
        <v>937</v>
      </c>
      <c r="AF506" t="s">
        <v>914</v>
      </c>
      <c r="AG506" t="s">
        <v>937</v>
      </c>
      <c r="AH506" t="s">
        <v>930</v>
      </c>
      <c r="AI506" t="s">
        <v>368</v>
      </c>
      <c r="AJ506" t="str">
        <f t="shared" si="272"/>
        <v/>
      </c>
      <c r="AK506" t="str">
        <f t="shared" si="272"/>
        <v/>
      </c>
      <c r="AL506" t="str">
        <f t="shared" si="246"/>
        <v/>
      </c>
      <c r="AN506" t="s">
        <v>862</v>
      </c>
      <c r="AO506" t="str">
        <f t="shared" si="247"/>
        <v>a</v>
      </c>
      <c r="AP506" t="str">
        <f t="shared" si="254"/>
        <v/>
      </c>
      <c r="AQ506" t="str">
        <f t="shared" si="255"/>
        <v/>
      </c>
      <c r="AR506" t="str">
        <f t="shared" si="256"/>
        <v>Away</v>
      </c>
      <c r="AS506" t="str">
        <f t="shared" si="257"/>
        <v>a</v>
      </c>
      <c r="AT506" t="str">
        <f t="shared" si="258"/>
        <v>Defensive</v>
      </c>
      <c r="BA506" s="6">
        <f t="shared" si="248"/>
        <v>125</v>
      </c>
      <c r="BB506">
        <f t="shared" si="249"/>
        <v>18981</v>
      </c>
      <c r="BC506" t="str">
        <f t="shared" si="250"/>
        <v>Nelson</v>
      </c>
      <c r="BD506" t="str">
        <f t="shared" si="251"/>
        <v>Velodrome</v>
      </c>
      <c r="BE506" t="s">
        <v>13</v>
      </c>
      <c r="BF506" t="s">
        <v>756</v>
      </c>
      <c r="BG506" t="s">
        <v>756</v>
      </c>
      <c r="BI506" cm="1">
        <f t="array" ref="BI506">IFERROR(_xlfn._xlws.FILTER(shifts!A:A,(shifts!B:B=events!AD506)*(shifts!AG:AG&gt;=events!BK506)*(shifts!AH:AH&lt;=events!BL506)),BI505)</f>
        <v>26</v>
      </c>
      <c r="BJ506" s="15">
        <f t="shared" si="252"/>
        <v>5</v>
      </c>
      <c r="BK506">
        <f t="shared" si="259"/>
        <v>453</v>
      </c>
      <c r="BL506">
        <f t="shared" si="260"/>
        <v>448</v>
      </c>
      <c r="BM506" s="15">
        <f>SUMIFS(BJ$2:BJ506,K$2:K506,"=Intermission")+SUMIFS(BJ$2:BJ506,K$2:K506,"=Timeout")</f>
        <v>0</v>
      </c>
      <c r="BN506">
        <f t="shared" si="261"/>
        <v>0</v>
      </c>
      <c r="BO506" s="19">
        <f t="shared" si="262"/>
        <v>627</v>
      </c>
      <c r="BP506">
        <f t="shared" si="263"/>
        <v>622</v>
      </c>
      <c r="BQ506" s="17">
        <f t="shared" si="264"/>
        <v>632</v>
      </c>
      <c r="BR506" t="str">
        <f t="shared" si="265"/>
        <v>opp_team_player_1</v>
      </c>
      <c r="BS506">
        <f>COUNTIFS(S$3:S506,"="&amp;S506,AI$3:AI506,"="&amp;AI506)</f>
        <v>1</v>
      </c>
      <c r="BT506" t="str">
        <f>IFERROR(VLOOKUP(BB506&amp;BU506&amp;X506,game_rosters!U:W,3,FALSE),"")</f>
        <v>P100078</v>
      </c>
      <c r="BU506" t="str">
        <f t="shared" si="266"/>
        <v>Nelson</v>
      </c>
    </row>
    <row r="507" spans="1:73" x14ac:dyDescent="0.2">
      <c r="A507">
        <f t="shared" si="253"/>
        <v>1</v>
      </c>
      <c r="E507" s="4"/>
      <c r="F507" s="43"/>
      <c r="G507" s="4"/>
      <c r="H507" s="46"/>
      <c r="J507" s="44" t="str">
        <f t="shared" si="267"/>
        <v/>
      </c>
      <c r="K507" t="s">
        <v>230</v>
      </c>
      <c r="L507" t="s">
        <v>389</v>
      </c>
      <c r="M507" t="s">
        <v>156</v>
      </c>
      <c r="N507" t="str">
        <f t="shared" si="270"/>
        <v/>
      </c>
      <c r="Q507" t="str">
        <f t="shared" si="268"/>
        <v/>
      </c>
      <c r="S507">
        <v>270</v>
      </c>
      <c r="U507" t="str">
        <f>IF(B507=1,MAX($U$2:$U506)+1,IF(AND($T507&lt;&gt;"",$T507=$T506),$U506,IF(B507="x",U506,"")))</f>
        <v/>
      </c>
      <c r="V507" t="str">
        <f>IF(C507=1,MAX($V$2:$V506)+1,IF(AND($T507&lt;&gt;"",$T507=$T506),$U506,IF(C507="x",V506,"")))</f>
        <v/>
      </c>
      <c r="W507" t="str">
        <f t="shared" si="242"/>
        <v>h</v>
      </c>
      <c r="X507">
        <v>80</v>
      </c>
      <c r="Y507" t="b">
        <f>IF(X507&lt;&gt;"",VLOOKUP(X507,game_rosters!$C$43:$E$64,3,FALSE))</f>
        <v>0</v>
      </c>
      <c r="Z507" cm="1">
        <f t="array" ref="Z507">IFERROR(IF(_xlfn._xlws.FILTER(game_rosters!$J:$J,(game_rosters!$G:$G=events!$AN507)*(game_rosters!$J:$J=events!$X507))&gt;0,1,""),"")</f>
        <v>1</v>
      </c>
      <c r="AA507">
        <f t="shared" si="243"/>
        <v>1270</v>
      </c>
      <c r="AB507" t="str">
        <f t="shared" si="244"/>
        <v/>
      </c>
      <c r="AC507">
        <f t="shared" si="241"/>
        <v>1270</v>
      </c>
      <c r="AD507" s="6">
        <v>1</v>
      </c>
      <c r="AE507" t="s">
        <v>937</v>
      </c>
      <c r="AF507" t="s">
        <v>930</v>
      </c>
      <c r="AG507" t="s">
        <v>756</v>
      </c>
      <c r="AH507" t="s">
        <v>756</v>
      </c>
      <c r="AI507" t="s">
        <v>367</v>
      </c>
      <c r="AJ507" t="str">
        <f t="shared" si="272"/>
        <v/>
      </c>
      <c r="AK507" t="str">
        <f t="shared" si="272"/>
        <v/>
      </c>
      <c r="AL507" t="str">
        <f t="shared" si="246"/>
        <v/>
      </c>
      <c r="AN507" t="s">
        <v>861</v>
      </c>
      <c r="AO507" t="str">
        <f t="shared" si="247"/>
        <v>h</v>
      </c>
      <c r="AP507" t="str">
        <f t="shared" si="254"/>
        <v/>
      </c>
      <c r="AQ507" t="str">
        <f t="shared" si="255"/>
        <v/>
      </c>
      <c r="AR507" t="str">
        <f t="shared" si="256"/>
        <v>Home</v>
      </c>
      <c r="AS507" t="str">
        <f t="shared" si="257"/>
        <v>h</v>
      </c>
      <c r="AT507" t="str">
        <f t="shared" si="258"/>
        <v>Defensive</v>
      </c>
      <c r="BA507" s="6">
        <f t="shared" si="248"/>
        <v>125</v>
      </c>
      <c r="BB507">
        <f t="shared" si="249"/>
        <v>18981</v>
      </c>
      <c r="BC507" t="str">
        <f t="shared" si="250"/>
        <v>Nelson</v>
      </c>
      <c r="BD507" t="str">
        <f t="shared" si="251"/>
        <v>Velodrome</v>
      </c>
      <c r="BE507" t="s">
        <v>230</v>
      </c>
      <c r="BF507" t="s">
        <v>389</v>
      </c>
      <c r="BG507" t="s">
        <v>156</v>
      </c>
      <c r="BI507" cm="1">
        <f t="array" ref="BI507">IFERROR(_xlfn._xlws.FILTER(shifts!A:A,(shifts!B:B=events!AD507)*(shifts!AG:AG&gt;=events!BK507)*(shifts!AH:AH&lt;=events!BL507)),BI506)</f>
        <v>26</v>
      </c>
      <c r="BJ507" s="15">
        <f t="shared" si="252"/>
        <v>0</v>
      </c>
      <c r="BK507">
        <f t="shared" si="259"/>
        <v>448</v>
      </c>
      <c r="BL507">
        <f t="shared" si="260"/>
        <v>448</v>
      </c>
      <c r="BM507" s="15">
        <f>SUMIFS(BJ$2:BJ507,K$2:K507,"=Intermission")+SUMIFS(BJ$2:BJ507,K$2:K507,"=Timeout")</f>
        <v>0</v>
      </c>
      <c r="BN507">
        <f t="shared" si="261"/>
        <v>0</v>
      </c>
      <c r="BO507" s="19">
        <f t="shared" si="262"/>
        <v>632</v>
      </c>
      <c r="BP507">
        <f t="shared" si="263"/>
        <v>627</v>
      </c>
      <c r="BQ507" s="17">
        <f t="shared" si="264"/>
        <v>632</v>
      </c>
      <c r="BR507" t="str">
        <f t="shared" si="265"/>
        <v>event_team_player_1</v>
      </c>
      <c r="BS507">
        <f>COUNTIFS(S$3:S507,"="&amp;S507,AI$3:AI507,"="&amp;AI507)</f>
        <v>1</v>
      </c>
      <c r="BT507" t="str">
        <f>IFERROR(VLOOKUP(BB507&amp;BU507&amp;X507,game_rosters!U:W,3,FALSE),"")</f>
        <v>P100197</v>
      </c>
      <c r="BU507" t="str">
        <f t="shared" si="266"/>
        <v>Nelson</v>
      </c>
    </row>
    <row r="508" spans="1:73" x14ac:dyDescent="0.2">
      <c r="A508">
        <f t="shared" si="253"/>
        <v>1</v>
      </c>
      <c r="E508" s="4"/>
      <c r="F508" s="43"/>
      <c r="G508" s="4"/>
      <c r="H508" s="46"/>
      <c r="J508" s="44" t="str">
        <f t="shared" si="267"/>
        <v/>
      </c>
      <c r="K508" t="s">
        <v>230</v>
      </c>
      <c r="L508" t="s">
        <v>389</v>
      </c>
      <c r="M508" t="s">
        <v>156</v>
      </c>
      <c r="N508" t="str">
        <f t="shared" si="270"/>
        <v/>
      </c>
      <c r="Q508" t="str">
        <f t="shared" si="268"/>
        <v/>
      </c>
      <c r="S508">
        <v>270</v>
      </c>
      <c r="U508" t="str">
        <f>IF(B508=1,MAX($U$2:$U507)+1,IF(AND($T508&lt;&gt;"",$T508=$T507),$U507,IF(B508="x",U507,"")))</f>
        <v/>
      </c>
      <c r="V508" t="str">
        <f>IF(C508=1,MAX($V$2:$V507)+1,IF(AND($T508&lt;&gt;"",$T508=$T507),$U507,IF(C508="x",V507,"")))</f>
        <v/>
      </c>
      <c r="W508" t="str">
        <f t="shared" si="242"/>
        <v>h</v>
      </c>
      <c r="X508">
        <v>9</v>
      </c>
      <c r="Y508" t="e">
        <f>IF(X508&lt;&gt;"",VLOOKUP(X508,game_rosters!$C$43:$E$64,3,FALSE))</f>
        <v>#N/A</v>
      </c>
      <c r="Z508" t="str" cm="1">
        <f t="array" ref="Z508">IFERROR(IF(_xlfn._xlws.FILTER(game_rosters!$J:$J,(game_rosters!$G:$G=events!$AN508)*(game_rosters!$J:$J=events!$X508))&gt;0,1,""),"")</f>
        <v/>
      </c>
      <c r="AA508">
        <f t="shared" si="243"/>
        <v>1270</v>
      </c>
      <c r="AB508" t="str">
        <f t="shared" si="244"/>
        <v/>
      </c>
      <c r="AC508">
        <f t="shared" si="241"/>
        <v>1270</v>
      </c>
      <c r="AD508" s="6">
        <v>1</v>
      </c>
      <c r="AE508" t="s">
        <v>937</v>
      </c>
      <c r="AF508" t="s">
        <v>930</v>
      </c>
      <c r="AG508" t="s">
        <v>756</v>
      </c>
      <c r="AH508" t="s">
        <v>756</v>
      </c>
      <c r="AI508" t="s">
        <v>368</v>
      </c>
      <c r="AJ508" t="str">
        <f t="shared" si="272"/>
        <v/>
      </c>
      <c r="AK508" t="str">
        <f t="shared" si="272"/>
        <v/>
      </c>
      <c r="AL508" t="str">
        <f t="shared" si="246"/>
        <v/>
      </c>
      <c r="AN508" t="s">
        <v>861</v>
      </c>
      <c r="AO508" t="str">
        <f t="shared" si="247"/>
        <v>h</v>
      </c>
      <c r="AP508" t="str">
        <f t="shared" si="254"/>
        <v/>
      </c>
      <c r="AQ508" t="str">
        <f t="shared" si="255"/>
        <v/>
      </c>
      <c r="AR508" t="str">
        <f t="shared" si="256"/>
        <v>Home</v>
      </c>
      <c r="AS508" t="str">
        <f t="shared" si="257"/>
        <v>h</v>
      </c>
      <c r="AT508" t="str">
        <f t="shared" si="258"/>
        <v>Offensive</v>
      </c>
      <c r="BA508" s="6">
        <f t="shared" si="248"/>
        <v>125</v>
      </c>
      <c r="BB508">
        <f t="shared" si="249"/>
        <v>18981</v>
      </c>
      <c r="BC508" t="str">
        <f t="shared" si="250"/>
        <v>Nelson</v>
      </c>
      <c r="BD508" t="str">
        <f t="shared" si="251"/>
        <v>Velodrome</v>
      </c>
      <c r="BE508" t="s">
        <v>230</v>
      </c>
      <c r="BF508" t="s">
        <v>389</v>
      </c>
      <c r="BG508" t="s">
        <v>156</v>
      </c>
      <c r="BI508" cm="1">
        <f t="array" ref="BI508">IFERROR(_xlfn._xlws.FILTER(shifts!A:A,(shifts!B:B=events!AD508)*(shifts!AG:AG&gt;=events!BK508)*(shifts!AH:AH&lt;=events!BL508)),BI507)</f>
        <v>26</v>
      </c>
      <c r="BJ508" s="15">
        <f t="shared" si="252"/>
        <v>0</v>
      </c>
      <c r="BK508">
        <f t="shared" si="259"/>
        <v>448</v>
      </c>
      <c r="BL508">
        <f t="shared" si="260"/>
        <v>448</v>
      </c>
      <c r="BM508" s="15">
        <f>SUMIFS(BJ$2:BJ508,K$2:K508,"=Intermission")+SUMIFS(BJ$2:BJ508,K$2:K508,"=Timeout")</f>
        <v>0</v>
      </c>
      <c r="BN508">
        <f t="shared" si="261"/>
        <v>0</v>
      </c>
      <c r="BO508" s="19">
        <f t="shared" si="262"/>
        <v>632</v>
      </c>
      <c r="BP508">
        <f t="shared" si="263"/>
        <v>627</v>
      </c>
      <c r="BQ508" s="17">
        <f t="shared" si="264"/>
        <v>632</v>
      </c>
      <c r="BR508" t="str">
        <f t="shared" si="265"/>
        <v>opp_team_player_1</v>
      </c>
      <c r="BS508">
        <f>COUNTIFS(S$3:S508,"="&amp;S508,AI$3:AI508,"="&amp;AI508)</f>
        <v>1</v>
      </c>
      <c r="BT508" t="str">
        <f>IFERROR(VLOOKUP(BB508&amp;BU508&amp;X508,game_rosters!U:W,3,FALSE),"")</f>
        <v>P100105</v>
      </c>
      <c r="BU508" t="str">
        <f t="shared" si="266"/>
        <v>Velodrome</v>
      </c>
    </row>
    <row r="509" spans="1:73" x14ac:dyDescent="0.2">
      <c r="A509">
        <f t="shared" si="253"/>
        <v>1</v>
      </c>
      <c r="E509" s="4"/>
      <c r="F509" s="43"/>
      <c r="G509" s="4"/>
      <c r="H509" s="46"/>
      <c r="J509" s="44" t="str">
        <f t="shared" si="267"/>
        <v/>
      </c>
      <c r="K509" t="s">
        <v>7</v>
      </c>
      <c r="L509" t="s">
        <v>182</v>
      </c>
      <c r="M509" t="s">
        <v>67</v>
      </c>
      <c r="N509" t="str">
        <f t="shared" si="270"/>
        <v>u</v>
      </c>
      <c r="Q509" t="str">
        <f t="shared" si="268"/>
        <v/>
      </c>
      <c r="S509">
        <v>271</v>
      </c>
      <c r="U509" t="str">
        <f>IF(B509=1,MAX($U$2:$U508)+1,IF(AND($T509&lt;&gt;"",$T509=$T508),$U508,IF(B509="x",U508,"")))</f>
        <v/>
      </c>
      <c r="V509" t="str">
        <f>IF(C509=1,MAX($V$2:$V508)+1,IF(AND($T509&lt;&gt;"",$T509=$T508),$U508,IF(C509="x",V508,"")))</f>
        <v/>
      </c>
      <c r="W509" t="str">
        <f t="shared" si="242"/>
        <v>h</v>
      </c>
      <c r="X509">
        <v>15</v>
      </c>
      <c r="Y509" t="b">
        <f>IF(X509&lt;&gt;"",VLOOKUP(X509,game_rosters!$C$43:$E$64,3,FALSE))</f>
        <v>0</v>
      </c>
      <c r="Z509" cm="1">
        <f t="array" ref="Z509">IFERROR(IF(_xlfn._xlws.FILTER(game_rosters!$J:$J,(game_rosters!$G:$G=events!$AN509)*(game_rosters!$J:$J=events!$X509))&gt;0,1,""),"")</f>
        <v>1</v>
      </c>
      <c r="AA509">
        <f t="shared" si="243"/>
        <v>1271</v>
      </c>
      <c r="AB509" t="str">
        <f t="shared" si="244"/>
        <v/>
      </c>
      <c r="AC509">
        <f t="shared" si="241"/>
        <v>1271</v>
      </c>
      <c r="AD509" s="6">
        <v>1</v>
      </c>
      <c r="AE509" t="s">
        <v>937</v>
      </c>
      <c r="AF509" t="s">
        <v>740</v>
      </c>
      <c r="AG509" t="s">
        <v>756</v>
      </c>
      <c r="AH509" t="s">
        <v>756</v>
      </c>
      <c r="AI509" t="s">
        <v>367</v>
      </c>
      <c r="AJ509" t="str">
        <f t="shared" si="272"/>
        <v/>
      </c>
      <c r="AK509" t="str">
        <f t="shared" si="272"/>
        <v/>
      </c>
      <c r="AL509" t="str">
        <f t="shared" si="246"/>
        <v/>
      </c>
      <c r="AN509" t="s">
        <v>861</v>
      </c>
      <c r="AO509" t="str">
        <f t="shared" si="247"/>
        <v>h</v>
      </c>
      <c r="AP509" t="str">
        <f t="shared" si="254"/>
        <v/>
      </c>
      <c r="AQ509" t="str">
        <f t="shared" si="255"/>
        <v/>
      </c>
      <c r="AR509" t="str">
        <f t="shared" si="256"/>
        <v>Home</v>
      </c>
      <c r="AS509" t="str">
        <f t="shared" si="257"/>
        <v>h</v>
      </c>
      <c r="AT509" t="str">
        <f t="shared" si="258"/>
        <v>Offensive</v>
      </c>
      <c r="BA509" s="6">
        <f t="shared" si="248"/>
        <v>125</v>
      </c>
      <c r="BB509">
        <f t="shared" si="249"/>
        <v>18981</v>
      </c>
      <c r="BC509" t="str">
        <f t="shared" si="250"/>
        <v>Nelson</v>
      </c>
      <c r="BD509" t="str">
        <f t="shared" si="251"/>
        <v>Velodrome</v>
      </c>
      <c r="BE509" t="s">
        <v>7</v>
      </c>
      <c r="BF509" t="s">
        <v>182</v>
      </c>
      <c r="BG509" t="s">
        <v>67</v>
      </c>
      <c r="BI509" cm="1">
        <f t="array" ref="BI509">IFERROR(_xlfn._xlws.FILTER(shifts!A:A,(shifts!B:B=events!AD509)*(shifts!AG:AG&gt;=events!BK509)*(shifts!AH:AH&lt;=events!BL509)),BI508)</f>
        <v>26</v>
      </c>
      <c r="BJ509" s="15">
        <f t="shared" si="252"/>
        <v>0</v>
      </c>
      <c r="BK509">
        <f t="shared" si="259"/>
        <v>445</v>
      </c>
      <c r="BL509">
        <f t="shared" si="260"/>
        <v>445</v>
      </c>
      <c r="BM509" s="15">
        <f>SUMIFS(BJ$2:BJ509,K$2:K509,"=Intermission")+SUMIFS(BJ$2:BJ509,K$2:K509,"=Timeout")</f>
        <v>0</v>
      </c>
      <c r="BN509">
        <f t="shared" si="261"/>
        <v>0</v>
      </c>
      <c r="BO509" s="19">
        <f t="shared" si="262"/>
        <v>635</v>
      </c>
      <c r="BP509">
        <f t="shared" si="263"/>
        <v>630</v>
      </c>
      <c r="BQ509" s="17">
        <f t="shared" si="264"/>
        <v>635</v>
      </c>
      <c r="BR509" t="str">
        <f t="shared" si="265"/>
        <v>event_team_player_1</v>
      </c>
      <c r="BS509">
        <f>COUNTIFS(S$3:S509,"="&amp;S509,AI$3:AI509,"="&amp;AI509)</f>
        <v>1</v>
      </c>
      <c r="BT509" t="str">
        <f>IFERROR(VLOOKUP(BB509&amp;BU509&amp;X509,game_rosters!U:W,3,FALSE),"")</f>
        <v>P100071</v>
      </c>
      <c r="BU509" t="str">
        <f t="shared" si="266"/>
        <v>Nelson</v>
      </c>
    </row>
    <row r="510" spans="1:73" x14ac:dyDescent="0.2">
      <c r="A510">
        <f t="shared" si="253"/>
        <v>1</v>
      </c>
      <c r="E510" s="4"/>
      <c r="F510" s="43"/>
      <c r="G510" s="4"/>
      <c r="H510" s="46"/>
      <c r="J510" s="44" t="str">
        <f t="shared" si="267"/>
        <v/>
      </c>
      <c r="K510" t="s">
        <v>7</v>
      </c>
      <c r="L510" t="s">
        <v>182</v>
      </c>
      <c r="M510" t="s">
        <v>67</v>
      </c>
      <c r="N510" t="str">
        <f t="shared" si="270"/>
        <v>u</v>
      </c>
      <c r="Q510" t="str">
        <f t="shared" si="268"/>
        <v/>
      </c>
      <c r="S510">
        <v>271</v>
      </c>
      <c r="U510" t="str">
        <f>IF(B510=1,MAX($U$2:$U509)+1,IF(AND($T510&lt;&gt;"",$T510=$T509),$U509,IF(B510="x",U509,"")))</f>
        <v/>
      </c>
      <c r="V510" t="str">
        <f>IF(C510=1,MAX($V$2:$V509)+1,IF(AND($T510&lt;&gt;"",$T510=$T509),$U509,IF(C510="x",V509,"")))</f>
        <v/>
      </c>
      <c r="W510" t="str">
        <f t="shared" si="242"/>
        <v>h</v>
      </c>
      <c r="X510">
        <v>44</v>
      </c>
      <c r="Y510" t="b">
        <f>IF(X510&lt;&gt;"",VLOOKUP(X510,game_rosters!$C$43:$E$64,3,FALSE))</f>
        <v>0</v>
      </c>
      <c r="Z510" cm="1">
        <f t="array" ref="Z510">IFERROR(IF(_xlfn._xlws.FILTER(game_rosters!$J:$J,(game_rosters!$G:$G=events!$AN510)*(game_rosters!$J:$J=events!$X510))&gt;0,1,""),"")</f>
        <v>1</v>
      </c>
      <c r="AA510">
        <f t="shared" si="243"/>
        <v>1271</v>
      </c>
      <c r="AB510" t="str">
        <f t="shared" si="244"/>
        <v/>
      </c>
      <c r="AC510">
        <f t="shared" si="241"/>
        <v>1271</v>
      </c>
      <c r="AD510" s="6">
        <v>1</v>
      </c>
      <c r="AE510" t="s">
        <v>937</v>
      </c>
      <c r="AF510" t="s">
        <v>740</v>
      </c>
      <c r="AG510" t="s">
        <v>756</v>
      </c>
      <c r="AH510" t="s">
        <v>756</v>
      </c>
      <c r="AI510" t="s">
        <v>368</v>
      </c>
      <c r="AJ510" t="str">
        <f t="shared" si="272"/>
        <v/>
      </c>
      <c r="AK510" t="str">
        <f t="shared" si="272"/>
        <v/>
      </c>
      <c r="AL510" t="str">
        <f t="shared" si="246"/>
        <v/>
      </c>
      <c r="AN510" t="s">
        <v>861</v>
      </c>
      <c r="AO510" t="str">
        <f t="shared" si="247"/>
        <v>h</v>
      </c>
      <c r="AP510" t="str">
        <f t="shared" si="254"/>
        <v/>
      </c>
      <c r="AQ510" t="str">
        <f t="shared" si="255"/>
        <v/>
      </c>
      <c r="AR510" t="str">
        <f t="shared" si="256"/>
        <v>Home</v>
      </c>
      <c r="AS510" t="str">
        <f t="shared" si="257"/>
        <v>h</v>
      </c>
      <c r="AT510" t="str">
        <f t="shared" si="258"/>
        <v>Defensive</v>
      </c>
      <c r="BA510" s="6">
        <f t="shared" si="248"/>
        <v>125</v>
      </c>
      <c r="BB510">
        <f t="shared" si="249"/>
        <v>18981</v>
      </c>
      <c r="BC510" t="str">
        <f t="shared" si="250"/>
        <v>Nelson</v>
      </c>
      <c r="BD510" t="str">
        <f t="shared" si="251"/>
        <v>Velodrome</v>
      </c>
      <c r="BE510" t="s">
        <v>7</v>
      </c>
      <c r="BF510" t="s">
        <v>182</v>
      </c>
      <c r="BG510" t="s">
        <v>67</v>
      </c>
      <c r="BI510" cm="1">
        <f t="array" ref="BI510">IFERROR(_xlfn._xlws.FILTER(shifts!A:A,(shifts!B:B=events!AD510)*(shifts!AG:AG&gt;=events!BK510)*(shifts!AH:AH&lt;=events!BL510)),BI509)</f>
        <v>26</v>
      </c>
      <c r="BJ510" s="15">
        <f t="shared" si="252"/>
        <v>0</v>
      </c>
      <c r="BK510">
        <f t="shared" si="259"/>
        <v>445</v>
      </c>
      <c r="BL510">
        <f t="shared" si="260"/>
        <v>445</v>
      </c>
      <c r="BM510" s="15">
        <f>SUMIFS(BJ$2:BJ510,K$2:K510,"=Intermission")+SUMIFS(BJ$2:BJ510,K$2:K510,"=Timeout")</f>
        <v>0</v>
      </c>
      <c r="BN510">
        <f t="shared" si="261"/>
        <v>0</v>
      </c>
      <c r="BO510" s="19">
        <f t="shared" si="262"/>
        <v>635</v>
      </c>
      <c r="BP510">
        <f t="shared" si="263"/>
        <v>630</v>
      </c>
      <c r="BQ510" s="17">
        <f t="shared" si="264"/>
        <v>635</v>
      </c>
      <c r="BR510" t="str">
        <f t="shared" si="265"/>
        <v>opp_team_player_1</v>
      </c>
      <c r="BS510">
        <f>COUNTIFS(S$3:S510,"="&amp;S510,AI$3:AI510,"="&amp;AI510)</f>
        <v>1</v>
      </c>
      <c r="BT510" t="str">
        <f>IFERROR(VLOOKUP(BB510&amp;BU510&amp;X510,game_rosters!U:W,3,FALSE),"")</f>
        <v>P100079</v>
      </c>
      <c r="BU510" t="s">
        <v>944</v>
      </c>
    </row>
    <row r="511" spans="1:73" x14ac:dyDescent="0.2">
      <c r="A511">
        <f t="shared" si="253"/>
        <v>1</v>
      </c>
      <c r="E511" s="4"/>
      <c r="F511" s="43"/>
      <c r="G511" s="4"/>
      <c r="H511" s="46"/>
      <c r="J511" s="44" t="str">
        <f t="shared" si="267"/>
        <v>o</v>
      </c>
      <c r="K511" t="s">
        <v>238</v>
      </c>
      <c r="L511" t="s">
        <v>174</v>
      </c>
      <c r="M511" t="s">
        <v>390</v>
      </c>
      <c r="N511" t="str">
        <f t="shared" si="270"/>
        <v>u</v>
      </c>
      <c r="Q511" t="str">
        <f t="shared" si="268"/>
        <v/>
      </c>
      <c r="S511">
        <v>272</v>
      </c>
      <c r="U511" t="str">
        <f>IF(B511=1,MAX($U$2:$U510)+1,IF(AND($T511&lt;&gt;"",$T511=$T510),$U510,IF(B511="x",U510,"")))</f>
        <v/>
      </c>
      <c r="V511" t="str">
        <f>IF(C511=1,MAX($V$2:$V510)+1,IF(AND($T511&lt;&gt;"",$T511=$T510),$U510,IF(C511="x",V510,"")))</f>
        <v/>
      </c>
      <c r="W511" t="str">
        <f t="shared" si="242"/>
        <v>h</v>
      </c>
      <c r="X511">
        <v>15</v>
      </c>
      <c r="Y511" t="b">
        <f>IF(X511&lt;&gt;"",VLOOKUP(X511,game_rosters!$C$43:$E$64,3,FALSE))</f>
        <v>0</v>
      </c>
      <c r="Z511" cm="1">
        <f t="array" ref="Z511">IFERROR(IF(_xlfn._xlws.FILTER(game_rosters!$J:$J,(game_rosters!$G:$G=events!$AN511)*(game_rosters!$J:$J=events!$X511))&gt;0,1,""),"")</f>
        <v>1</v>
      </c>
      <c r="AA511">
        <f t="shared" si="243"/>
        <v>1272</v>
      </c>
      <c r="AB511" t="str">
        <f t="shared" si="244"/>
        <v/>
      </c>
      <c r="AC511">
        <f t="shared" si="241"/>
        <v>1272</v>
      </c>
      <c r="AD511" s="6">
        <v>1</v>
      </c>
      <c r="AE511" t="s">
        <v>937</v>
      </c>
      <c r="AF511" t="s">
        <v>740</v>
      </c>
      <c r="AG511" t="s">
        <v>756</v>
      </c>
      <c r="AH511" t="s">
        <v>756</v>
      </c>
      <c r="AI511" t="s">
        <v>367</v>
      </c>
      <c r="AJ511" t="str">
        <f t="shared" si="272"/>
        <v>o</v>
      </c>
      <c r="AK511" t="str">
        <f t="shared" si="272"/>
        <v>o</v>
      </c>
      <c r="AL511" t="str">
        <f t="shared" si="246"/>
        <v>o</v>
      </c>
      <c r="AN511" t="s">
        <v>861</v>
      </c>
      <c r="AO511" t="str">
        <f t="shared" si="247"/>
        <v>h</v>
      </c>
      <c r="AP511" t="str">
        <f t="shared" si="254"/>
        <v>o</v>
      </c>
      <c r="AQ511" t="str">
        <f t="shared" si="255"/>
        <v/>
      </c>
      <c r="AR511" t="str">
        <f t="shared" si="256"/>
        <v>Home</v>
      </c>
      <c r="AS511" t="str">
        <f t="shared" si="257"/>
        <v>h</v>
      </c>
      <c r="AT511" t="str">
        <f t="shared" si="258"/>
        <v>Offensive</v>
      </c>
      <c r="BA511" s="6">
        <f t="shared" si="248"/>
        <v>126</v>
      </c>
      <c r="BB511">
        <f t="shared" si="249"/>
        <v>18981</v>
      </c>
      <c r="BC511" t="str">
        <f t="shared" si="250"/>
        <v>Nelson</v>
      </c>
      <c r="BD511" t="str">
        <f t="shared" si="251"/>
        <v>Velodrome</v>
      </c>
      <c r="BE511" t="s">
        <v>238</v>
      </c>
      <c r="BF511" t="s">
        <v>174</v>
      </c>
      <c r="BG511" t="s">
        <v>390</v>
      </c>
      <c r="BI511" cm="1">
        <f t="array" ref="BI511">IFERROR(_xlfn._xlws.FILTER(shifts!A:A,(shifts!B:B=events!AD511)*(shifts!AG:AG&gt;=events!BK511)*(shifts!AH:AH&lt;=events!BL511)),BI510)</f>
        <v>26</v>
      </c>
      <c r="BJ511" s="15">
        <f t="shared" si="252"/>
        <v>0</v>
      </c>
      <c r="BK511">
        <f t="shared" si="259"/>
        <v>445</v>
      </c>
      <c r="BL511">
        <f t="shared" si="260"/>
        <v>445</v>
      </c>
      <c r="BM511" s="15">
        <f>SUMIFS(BJ$2:BJ511,K$2:K511,"=Intermission")+SUMIFS(BJ$2:BJ511,K$2:K511,"=Timeout")</f>
        <v>0</v>
      </c>
      <c r="BN511">
        <f t="shared" si="261"/>
        <v>0</v>
      </c>
      <c r="BO511" s="19">
        <f t="shared" si="262"/>
        <v>635</v>
      </c>
      <c r="BP511">
        <f t="shared" si="263"/>
        <v>630</v>
      </c>
      <c r="BQ511" s="17">
        <f t="shared" si="264"/>
        <v>635</v>
      </c>
      <c r="BR511" t="str">
        <f t="shared" si="265"/>
        <v>event_team_player_1</v>
      </c>
      <c r="BS511">
        <f>COUNTIFS(S$3:S511,"="&amp;S511,AI$3:AI511,"="&amp;AI511)</f>
        <v>1</v>
      </c>
      <c r="BT511" t="str">
        <f>IFERROR(VLOOKUP(BB511&amp;BU511&amp;X511,game_rosters!U:W,3,FALSE),"")</f>
        <v>P100071</v>
      </c>
      <c r="BU511" t="str">
        <f t="shared" si="266"/>
        <v>Nelson</v>
      </c>
    </row>
    <row r="512" spans="1:73" x14ac:dyDescent="0.2">
      <c r="A512">
        <f t="shared" si="253"/>
        <v>1</v>
      </c>
      <c r="E512" s="4"/>
      <c r="F512" s="43"/>
      <c r="G512" s="4"/>
      <c r="H512" s="46"/>
      <c r="J512" s="44" t="str">
        <f t="shared" si="267"/>
        <v/>
      </c>
      <c r="K512" t="s">
        <v>9</v>
      </c>
      <c r="L512" t="s">
        <v>173</v>
      </c>
      <c r="M512" t="s">
        <v>383</v>
      </c>
      <c r="N512" t="str">
        <f t="shared" si="270"/>
        <v>u</v>
      </c>
      <c r="Q512" t="str">
        <f t="shared" si="268"/>
        <v/>
      </c>
      <c r="S512">
        <v>273</v>
      </c>
      <c r="U512" t="str">
        <f>IF(B512=1,MAX($U$2:$U511)+1,IF(AND($T512&lt;&gt;"",$T512=$T511),$U511,IF(B512="x",U511,"")))</f>
        <v/>
      </c>
      <c r="V512" t="str">
        <f>IF(C512=1,MAX($V$2:$V511)+1,IF(AND($T512&lt;&gt;"",$T512=$T511),$U511,IF(C512="x",V511,"")))</f>
        <v/>
      </c>
      <c r="W512" t="str">
        <f t="shared" si="242"/>
        <v>h</v>
      </c>
      <c r="X512">
        <v>15</v>
      </c>
      <c r="Y512" t="b">
        <f>IF(X512&lt;&gt;"",VLOOKUP(X512,game_rosters!$C$43:$E$64,3,FALSE))</f>
        <v>0</v>
      </c>
      <c r="Z512" cm="1">
        <f t="array" ref="Z512">IFERROR(IF(_xlfn._xlws.FILTER(game_rosters!$J:$J,(game_rosters!$G:$G=events!$AN512)*(game_rosters!$J:$J=events!$X512))&gt;0,1,""),"")</f>
        <v>1</v>
      </c>
      <c r="AA512">
        <f t="shared" si="243"/>
        <v>1273</v>
      </c>
      <c r="AB512" t="str">
        <f t="shared" si="244"/>
        <v/>
      </c>
      <c r="AC512">
        <f t="shared" si="241"/>
        <v>1273</v>
      </c>
      <c r="AD512" s="6">
        <v>1</v>
      </c>
      <c r="AE512" t="s">
        <v>937</v>
      </c>
      <c r="AF512" t="s">
        <v>740</v>
      </c>
      <c r="AG512" t="s">
        <v>756</v>
      </c>
      <c r="AH512" t="s">
        <v>756</v>
      </c>
      <c r="AI512" t="s">
        <v>367</v>
      </c>
      <c r="AJ512" t="str">
        <f t="shared" si="272"/>
        <v/>
      </c>
      <c r="AK512" t="str">
        <f t="shared" si="272"/>
        <v/>
      </c>
      <c r="AL512" t="str">
        <f t="shared" si="246"/>
        <v/>
      </c>
      <c r="AN512" t="s">
        <v>861</v>
      </c>
      <c r="AO512" t="str">
        <f t="shared" si="247"/>
        <v>h</v>
      </c>
      <c r="AP512" t="str">
        <f t="shared" si="254"/>
        <v/>
      </c>
      <c r="AQ512" t="str">
        <f t="shared" si="255"/>
        <v/>
      </c>
      <c r="AR512" t="str">
        <f t="shared" si="256"/>
        <v>Home</v>
      </c>
      <c r="AS512" t="str">
        <f t="shared" si="257"/>
        <v>h</v>
      </c>
      <c r="AT512" t="str">
        <f t="shared" si="258"/>
        <v>Offensive</v>
      </c>
      <c r="BA512" s="6">
        <f t="shared" si="248"/>
        <v>126</v>
      </c>
      <c r="BB512">
        <f t="shared" si="249"/>
        <v>18981</v>
      </c>
      <c r="BC512" t="str">
        <f t="shared" si="250"/>
        <v>Nelson</v>
      </c>
      <c r="BD512" t="str">
        <f t="shared" si="251"/>
        <v>Velodrome</v>
      </c>
      <c r="BE512" t="s">
        <v>9</v>
      </c>
      <c r="BF512" t="s">
        <v>173</v>
      </c>
      <c r="BG512" t="s">
        <v>383</v>
      </c>
      <c r="BI512" cm="1">
        <f t="array" ref="BI512">IFERROR(_xlfn._xlws.FILTER(shifts!A:A,(shifts!B:B=events!AD512)*(shifts!AG:AG&gt;=events!BK512)*(shifts!AH:AH&lt;=events!BL512)),BI511)</f>
        <v>26</v>
      </c>
      <c r="BJ512" s="15">
        <f t="shared" si="252"/>
        <v>0</v>
      </c>
      <c r="BK512">
        <f t="shared" si="259"/>
        <v>445</v>
      </c>
      <c r="BL512">
        <f t="shared" si="260"/>
        <v>445</v>
      </c>
      <c r="BM512" s="15">
        <f>SUMIFS(BJ$2:BJ512,K$2:K512,"=Intermission")+SUMIFS(BJ$2:BJ512,K$2:K512,"=Timeout")</f>
        <v>0</v>
      </c>
      <c r="BN512">
        <f t="shared" si="261"/>
        <v>0</v>
      </c>
      <c r="BO512" s="19">
        <f t="shared" si="262"/>
        <v>635</v>
      </c>
      <c r="BP512">
        <f t="shared" si="263"/>
        <v>630</v>
      </c>
      <c r="BQ512" s="17">
        <f t="shared" si="264"/>
        <v>635</v>
      </c>
      <c r="BR512" t="str">
        <f t="shared" si="265"/>
        <v>event_team_player_1</v>
      </c>
      <c r="BS512">
        <f>COUNTIFS(S$3:S512,"="&amp;S512,AI$3:AI512,"="&amp;AI512)</f>
        <v>1</v>
      </c>
      <c r="BT512" t="str">
        <f>IFERROR(VLOOKUP(BB512&amp;BU512&amp;X512,game_rosters!U:W,3,FALSE),"")</f>
        <v>P100071</v>
      </c>
      <c r="BU512" t="str">
        <f t="shared" si="266"/>
        <v>Nelson</v>
      </c>
    </row>
    <row r="513" spans="1:73" x14ac:dyDescent="0.2">
      <c r="A513">
        <f t="shared" si="253"/>
        <v>1</v>
      </c>
      <c r="E513" s="4"/>
      <c r="F513" s="43"/>
      <c r="G513" s="4"/>
      <c r="H513" s="46"/>
      <c r="J513" s="44" t="str">
        <f t="shared" si="267"/>
        <v/>
      </c>
      <c r="K513" t="s">
        <v>13</v>
      </c>
      <c r="L513" t="s">
        <v>756</v>
      </c>
      <c r="M513" t="s">
        <v>756</v>
      </c>
      <c r="N513" t="str">
        <f t="shared" si="270"/>
        <v/>
      </c>
      <c r="Q513" t="str">
        <f t="shared" si="268"/>
        <v/>
      </c>
      <c r="S513">
        <v>274</v>
      </c>
      <c r="U513" t="str">
        <f>IF(B513=1,MAX($U$2:$U512)+1,IF(AND($T513&lt;&gt;"",$T513=$T512),$U512,IF(B513="x",U512,"")))</f>
        <v/>
      </c>
      <c r="V513" t="str">
        <f>IF(C513=1,MAX($V$2:$V512)+1,IF(AND($T513&lt;&gt;"",$T513=$T512),$U512,IF(C513="x",V512,"")))</f>
        <v/>
      </c>
      <c r="W513" t="str">
        <f t="shared" si="242"/>
        <v>a</v>
      </c>
      <c r="X513">
        <v>52</v>
      </c>
      <c r="Y513" t="e">
        <f>IF(X513&lt;&gt;"",VLOOKUP(X513,game_rosters!$C$43:$E$64,3,FALSE))</f>
        <v>#N/A</v>
      </c>
      <c r="Z513" cm="1">
        <f t="array" ref="Z513">IFERROR(IF(_xlfn._xlws.FILTER(game_rosters!$J:$J,(game_rosters!$G:$G=events!$AN513)*(game_rosters!$J:$J=events!$X513))&gt;0,1,""),"")</f>
        <v>1</v>
      </c>
      <c r="AA513">
        <f t="shared" si="243"/>
        <v>1274</v>
      </c>
      <c r="AB513" t="str">
        <f t="shared" si="244"/>
        <v/>
      </c>
      <c r="AC513">
        <f t="shared" si="241"/>
        <v>1274</v>
      </c>
      <c r="AD513" s="6">
        <v>1</v>
      </c>
      <c r="AE513" t="s">
        <v>937</v>
      </c>
      <c r="AF513" t="s">
        <v>919</v>
      </c>
      <c r="AG513" t="s">
        <v>937</v>
      </c>
      <c r="AH513" t="s">
        <v>744</v>
      </c>
      <c r="AI513" t="s">
        <v>367</v>
      </c>
      <c r="AJ513" t="str">
        <f t="shared" si="272"/>
        <v/>
      </c>
      <c r="AK513" t="str">
        <f t="shared" si="272"/>
        <v/>
      </c>
      <c r="AL513" t="str">
        <f t="shared" si="246"/>
        <v/>
      </c>
      <c r="AN513" t="s">
        <v>862</v>
      </c>
      <c r="AO513" t="str">
        <f t="shared" si="247"/>
        <v>a</v>
      </c>
      <c r="AP513" t="str">
        <f t="shared" si="254"/>
        <v/>
      </c>
      <c r="AQ513" t="str">
        <f t="shared" si="255"/>
        <v/>
      </c>
      <c r="AR513" t="str">
        <f t="shared" si="256"/>
        <v>Away</v>
      </c>
      <c r="AS513" t="str">
        <f t="shared" si="257"/>
        <v>a</v>
      </c>
      <c r="AT513" t="str">
        <f t="shared" si="258"/>
        <v>Offensive</v>
      </c>
      <c r="BA513" s="6">
        <f t="shared" si="248"/>
        <v>126</v>
      </c>
      <c r="BB513">
        <f t="shared" si="249"/>
        <v>18981</v>
      </c>
      <c r="BC513" t="str">
        <f t="shared" si="250"/>
        <v>Nelson</v>
      </c>
      <c r="BD513" t="str">
        <f t="shared" si="251"/>
        <v>Velodrome</v>
      </c>
      <c r="BE513" t="s">
        <v>13</v>
      </c>
      <c r="BF513" t="s">
        <v>756</v>
      </c>
      <c r="BG513" t="s">
        <v>756</v>
      </c>
      <c r="BI513" cm="1">
        <f t="array" ref="BI513">IFERROR(_xlfn._xlws.FILTER(shifts!A:A,(shifts!B:B=events!AD513)*(shifts!AG:AG&gt;=events!BK513)*(shifts!AH:AH&lt;=events!BL513)),BI512)</f>
        <v>27</v>
      </c>
      <c r="BJ513" s="15">
        <f t="shared" si="252"/>
        <v>5</v>
      </c>
      <c r="BK513">
        <f t="shared" si="259"/>
        <v>440</v>
      </c>
      <c r="BL513">
        <f t="shared" si="260"/>
        <v>435</v>
      </c>
      <c r="BM513" s="15">
        <f>SUMIFS(BJ$2:BJ513,K$2:K513,"=Intermission")+SUMIFS(BJ$2:BJ513,K$2:K513,"=Timeout")</f>
        <v>0</v>
      </c>
      <c r="BN513">
        <f t="shared" si="261"/>
        <v>0</v>
      </c>
      <c r="BO513" s="19">
        <f t="shared" si="262"/>
        <v>640</v>
      </c>
      <c r="BP513">
        <f t="shared" si="263"/>
        <v>635</v>
      </c>
      <c r="BQ513" s="17">
        <f t="shared" si="264"/>
        <v>645</v>
      </c>
      <c r="BR513" t="str">
        <f t="shared" si="265"/>
        <v>event_team_player_1</v>
      </c>
      <c r="BS513">
        <f>COUNTIFS(S$3:S513,"="&amp;S513,AI$3:AI513,"="&amp;AI513)</f>
        <v>1</v>
      </c>
      <c r="BT513" t="str">
        <f>IFERROR(VLOOKUP(BB513&amp;BU513&amp;X513,game_rosters!U:W,3,FALSE),"")</f>
        <v>P100070</v>
      </c>
      <c r="BU513" t="str">
        <f t="shared" si="266"/>
        <v>Velodrome</v>
      </c>
    </row>
    <row r="514" spans="1:73" x14ac:dyDescent="0.2">
      <c r="A514">
        <f t="shared" si="253"/>
        <v>1</v>
      </c>
      <c r="E514" s="4"/>
      <c r="F514" s="43"/>
      <c r="G514" s="4"/>
      <c r="H514" s="46"/>
      <c r="J514" s="44" t="str">
        <f t="shared" si="267"/>
        <v>d</v>
      </c>
      <c r="K514" t="s">
        <v>238</v>
      </c>
      <c r="L514" t="s">
        <v>184</v>
      </c>
      <c r="M514" t="s">
        <v>89</v>
      </c>
      <c r="N514" t="str">
        <f t="shared" si="270"/>
        <v>s</v>
      </c>
      <c r="Q514" t="str">
        <f t="shared" si="268"/>
        <v/>
      </c>
      <c r="S514">
        <v>275</v>
      </c>
      <c r="U514" t="str">
        <f>IF(B514=1,MAX($U$2:$U513)+1,IF(AND($T514&lt;&gt;"",$T514=$T513),$U513,IF(B514="x",U513,"")))</f>
        <v/>
      </c>
      <c r="V514" t="str">
        <f>IF(C514=1,MAX($V$2:$V513)+1,IF(AND($T514&lt;&gt;"",$T514=$T513),$U513,IF(C514="x",V513,"")))</f>
        <v/>
      </c>
      <c r="W514" t="str">
        <f t="shared" si="242"/>
        <v>a</v>
      </c>
      <c r="X514">
        <v>52</v>
      </c>
      <c r="Y514" t="e">
        <f>IF(X514&lt;&gt;"",VLOOKUP(X514,game_rosters!$C$43:$E$64,3,FALSE))</f>
        <v>#N/A</v>
      </c>
      <c r="Z514" cm="1">
        <f t="array" ref="Z514">IFERROR(IF(_xlfn._xlws.FILTER(game_rosters!$J:$J,(game_rosters!$G:$G=events!$AN514)*(game_rosters!$J:$J=events!$X514))&gt;0,1,""),"")</f>
        <v>1</v>
      </c>
      <c r="AA514">
        <f t="shared" si="243"/>
        <v>1275</v>
      </c>
      <c r="AB514" t="str">
        <f t="shared" si="244"/>
        <v/>
      </c>
      <c r="AC514">
        <f t="shared" ref="AC514:AC577" si="273">IF(AB514&lt;&gt;"",AB514,S514+1000)</f>
        <v>1275</v>
      </c>
      <c r="AD514" s="6">
        <v>1</v>
      </c>
      <c r="AE514" t="s">
        <v>937</v>
      </c>
      <c r="AF514" t="s">
        <v>744</v>
      </c>
      <c r="AG514" t="s">
        <v>756</v>
      </c>
      <c r="AH514" t="s">
        <v>756</v>
      </c>
      <c r="AI514" t="s">
        <v>367</v>
      </c>
      <c r="AJ514" t="str">
        <f t="shared" si="272"/>
        <v>d</v>
      </c>
      <c r="AK514" t="str">
        <f t="shared" si="272"/>
        <v>d</v>
      </c>
      <c r="AL514" t="str">
        <f t="shared" si="246"/>
        <v>o</v>
      </c>
      <c r="AN514" t="s">
        <v>862</v>
      </c>
      <c r="AO514" t="str">
        <f t="shared" si="247"/>
        <v>a</v>
      </c>
      <c r="AP514" t="str">
        <f t="shared" si="254"/>
        <v>o</v>
      </c>
      <c r="AQ514" t="str">
        <f t="shared" si="255"/>
        <v/>
      </c>
      <c r="AR514" t="str">
        <f t="shared" si="256"/>
        <v>Away</v>
      </c>
      <c r="AS514" t="str">
        <f t="shared" si="257"/>
        <v>a</v>
      </c>
      <c r="AT514" t="str">
        <f t="shared" si="258"/>
        <v>Offensive</v>
      </c>
      <c r="BA514" s="6">
        <f t="shared" si="248"/>
        <v>127</v>
      </c>
      <c r="BB514">
        <f t="shared" si="249"/>
        <v>18981</v>
      </c>
      <c r="BC514" t="str">
        <f t="shared" si="250"/>
        <v>Nelson</v>
      </c>
      <c r="BD514" t="str">
        <f t="shared" si="251"/>
        <v>Velodrome</v>
      </c>
      <c r="BE514" t="s">
        <v>238</v>
      </c>
      <c r="BF514" t="s">
        <v>184</v>
      </c>
      <c r="BG514" t="s">
        <v>89</v>
      </c>
      <c r="BI514" cm="1">
        <f t="array" ref="BI514">IFERROR(_xlfn._xlws.FILTER(shifts!A:A,(shifts!B:B=events!AD514)*(shifts!AG:AG&gt;=events!BK514)*(shifts!AH:AH&lt;=events!BL514)),BI513)</f>
        <v>27</v>
      </c>
      <c r="BJ514" s="15">
        <f t="shared" si="252"/>
        <v>0</v>
      </c>
      <c r="BK514">
        <f t="shared" si="259"/>
        <v>435</v>
      </c>
      <c r="BL514">
        <f t="shared" si="260"/>
        <v>435</v>
      </c>
      <c r="BM514" s="15">
        <f>SUMIFS(BJ$2:BJ514,K$2:K514,"=Intermission")+SUMIFS(BJ$2:BJ514,K$2:K514,"=Timeout")</f>
        <v>0</v>
      </c>
      <c r="BN514">
        <f t="shared" si="261"/>
        <v>0</v>
      </c>
      <c r="BO514" s="19">
        <f t="shared" si="262"/>
        <v>645</v>
      </c>
      <c r="BP514">
        <f t="shared" si="263"/>
        <v>640</v>
      </c>
      <c r="BQ514" s="17">
        <f t="shared" si="264"/>
        <v>645</v>
      </c>
      <c r="BR514" t="str">
        <f t="shared" si="265"/>
        <v>event_team_player_1</v>
      </c>
      <c r="BS514">
        <f>COUNTIFS(S$3:S514,"="&amp;S514,AI$3:AI514,"="&amp;AI514)</f>
        <v>1</v>
      </c>
      <c r="BT514" t="str">
        <f>IFERROR(VLOOKUP(BB514&amp;BU514&amp;X514,game_rosters!U:W,3,FALSE),"")</f>
        <v>P100070</v>
      </c>
      <c r="BU514" t="str">
        <f t="shared" si="266"/>
        <v>Velodrome</v>
      </c>
    </row>
    <row r="515" spans="1:73" x14ac:dyDescent="0.2">
      <c r="A515">
        <f t="shared" si="253"/>
        <v>1</v>
      </c>
      <c r="E515" s="4"/>
      <c r="F515" s="43"/>
      <c r="G515" s="4"/>
      <c r="H515" s="46"/>
      <c r="J515" s="44" t="str">
        <f t="shared" si="267"/>
        <v>d</v>
      </c>
      <c r="K515" t="s">
        <v>238</v>
      </c>
      <c r="L515" t="s">
        <v>184</v>
      </c>
      <c r="M515" t="s">
        <v>89</v>
      </c>
      <c r="N515" t="str">
        <f t="shared" si="270"/>
        <v>s</v>
      </c>
      <c r="Q515" t="str">
        <f t="shared" si="268"/>
        <v/>
      </c>
      <c r="S515">
        <v>275</v>
      </c>
      <c r="U515" t="str">
        <f>IF(B515=1,MAX($U$2:$U514)+1,IF(AND($T515&lt;&gt;"",$T515=$T514),$U514,IF(B515="x",U514,"")))</f>
        <v/>
      </c>
      <c r="V515" t="str">
        <f>IF(C515=1,MAX($V$2:$V514)+1,IF(AND($T515&lt;&gt;"",$T515=$T514),$U514,IF(C515="x",V514,"")))</f>
        <v/>
      </c>
      <c r="W515" t="str">
        <f t="shared" si="242"/>
        <v>a</v>
      </c>
      <c r="X515">
        <v>61</v>
      </c>
      <c r="Y515" t="e">
        <f>IF(X515&lt;&gt;"",VLOOKUP(X515,game_rosters!$C$43:$E$64,3,FALSE))</f>
        <v>#N/A</v>
      </c>
      <c r="Z515" cm="1">
        <f t="array" ref="Z515">IFERROR(IF(_xlfn._xlws.FILTER(game_rosters!$J:$J,(game_rosters!$G:$G=events!$AN515)*(game_rosters!$J:$J=events!$X515))&gt;0,1,""),"")</f>
        <v>1</v>
      </c>
      <c r="AA515">
        <f t="shared" si="243"/>
        <v>1275</v>
      </c>
      <c r="AB515" t="str">
        <f t="shared" si="244"/>
        <v/>
      </c>
      <c r="AC515">
        <f t="shared" si="273"/>
        <v>1275</v>
      </c>
      <c r="AD515" s="6">
        <v>1</v>
      </c>
      <c r="AE515" t="s">
        <v>937</v>
      </c>
      <c r="AF515" t="s">
        <v>744</v>
      </c>
      <c r="AG515" t="s">
        <v>756</v>
      </c>
      <c r="AH515" t="s">
        <v>756</v>
      </c>
      <c r="AI515" t="s">
        <v>367</v>
      </c>
      <c r="AJ515" t="str">
        <f t="shared" si="272"/>
        <v>d</v>
      </c>
      <c r="AK515" t="str">
        <f t="shared" si="272"/>
        <v>d</v>
      </c>
      <c r="AL515" t="str">
        <f t="shared" si="246"/>
        <v>o</v>
      </c>
      <c r="AN515" t="s">
        <v>862</v>
      </c>
      <c r="AO515" t="str">
        <f t="shared" si="247"/>
        <v>a</v>
      </c>
      <c r="AP515" t="str">
        <f t="shared" si="254"/>
        <v>o</v>
      </c>
      <c r="AQ515" t="str">
        <f t="shared" si="255"/>
        <v/>
      </c>
      <c r="AR515" t="str">
        <f t="shared" si="256"/>
        <v>Away</v>
      </c>
      <c r="AS515" t="str">
        <f t="shared" si="257"/>
        <v>a</v>
      </c>
      <c r="AT515" t="str">
        <f t="shared" si="258"/>
        <v>Offensive</v>
      </c>
      <c r="BA515" s="6">
        <f t="shared" si="248"/>
        <v>128</v>
      </c>
      <c r="BB515">
        <f t="shared" si="249"/>
        <v>18981</v>
      </c>
      <c r="BC515" t="str">
        <f t="shared" si="250"/>
        <v>Nelson</v>
      </c>
      <c r="BD515" t="str">
        <f t="shared" si="251"/>
        <v>Velodrome</v>
      </c>
      <c r="BE515" t="s">
        <v>238</v>
      </c>
      <c r="BF515" t="s">
        <v>184</v>
      </c>
      <c r="BG515" t="s">
        <v>89</v>
      </c>
      <c r="BI515" cm="1">
        <f t="array" ref="BI515">IFERROR(_xlfn._xlws.FILTER(shifts!A:A,(shifts!B:B=events!AD515)*(shifts!AG:AG&gt;=events!BK515)*(shifts!AH:AH&lt;=events!BL515)),BI514)</f>
        <v>27</v>
      </c>
      <c r="BJ515" s="15">
        <f t="shared" si="252"/>
        <v>0</v>
      </c>
      <c r="BK515">
        <f t="shared" si="259"/>
        <v>435</v>
      </c>
      <c r="BL515">
        <f t="shared" si="260"/>
        <v>435</v>
      </c>
      <c r="BM515" s="15">
        <f>SUMIFS(BJ$2:BJ515,K$2:K515,"=Intermission")+SUMIFS(BJ$2:BJ515,K$2:K515,"=Timeout")</f>
        <v>0</v>
      </c>
      <c r="BN515">
        <f t="shared" si="261"/>
        <v>0</v>
      </c>
      <c r="BO515" s="19">
        <f t="shared" si="262"/>
        <v>645</v>
      </c>
      <c r="BP515">
        <f t="shared" si="263"/>
        <v>640</v>
      </c>
      <c r="BQ515" s="17">
        <f t="shared" si="264"/>
        <v>645</v>
      </c>
      <c r="BR515" t="str">
        <f t="shared" si="265"/>
        <v>event_team_player_2</v>
      </c>
      <c r="BS515">
        <f>COUNTIFS(S$3:S515,"="&amp;S515,AI$3:AI515,"="&amp;AI515)</f>
        <v>2</v>
      </c>
      <c r="BT515" t="str">
        <f>IFERROR(VLOOKUP(BB515&amp;BU515&amp;X515,game_rosters!U:W,3,FALSE),"")</f>
        <v>P100224</v>
      </c>
      <c r="BU515" t="str">
        <f t="shared" si="266"/>
        <v>Velodrome</v>
      </c>
    </row>
    <row r="516" spans="1:73" x14ac:dyDescent="0.2">
      <c r="A516">
        <f t="shared" si="253"/>
        <v>1</v>
      </c>
      <c r="E516" s="4"/>
      <c r="F516" s="43"/>
      <c r="G516" s="4"/>
      <c r="H516" s="46"/>
      <c r="J516" s="44" t="str">
        <f t="shared" si="267"/>
        <v/>
      </c>
      <c r="K516" t="s">
        <v>7</v>
      </c>
      <c r="L516" t="s">
        <v>172</v>
      </c>
      <c r="M516" t="s">
        <v>68</v>
      </c>
      <c r="N516" t="str">
        <f t="shared" si="270"/>
        <v>s</v>
      </c>
      <c r="Q516" t="str">
        <f t="shared" si="268"/>
        <v/>
      </c>
      <c r="S516">
        <v>276</v>
      </c>
      <c r="U516" t="str">
        <f>IF(B516=1,MAX($U$2:$U515)+1,IF(AND($T516&lt;&gt;"",$T516=$T515),$U515,IF(B516="x",U515,"")))</f>
        <v/>
      </c>
      <c r="V516" t="str">
        <f>IF(C516=1,MAX($V$2:$V515)+1,IF(AND($T516&lt;&gt;"",$T516=$T515),$U515,IF(C516="x",V515,"")))</f>
        <v/>
      </c>
      <c r="W516" t="str">
        <f t="shared" ref="W516:W579" si="274">IF(AN516="Away","a",IF(AN516="Home","h",""))</f>
        <v>a</v>
      </c>
      <c r="X516">
        <v>52</v>
      </c>
      <c r="Y516" t="e">
        <f>IF(X516&lt;&gt;"",VLOOKUP(X516,game_rosters!$C$43:$E$64,3,FALSE))</f>
        <v>#N/A</v>
      </c>
      <c r="Z516" cm="1">
        <f t="array" ref="Z516">IFERROR(IF(_xlfn._xlws.FILTER(game_rosters!$J:$J,(game_rosters!$G:$G=events!$AN516)*(game_rosters!$J:$J=events!$X516))&gt;0,1,""),"")</f>
        <v>1</v>
      </c>
      <c r="AA516">
        <f t="shared" ref="AA516:AA579" si="275">S516+1000</f>
        <v>1276</v>
      </c>
      <c r="AB516" t="str">
        <f t="shared" ref="AB516:AB579" si="276">IF(T516&lt;&gt;"",9000+T516,"")</f>
        <v/>
      </c>
      <c r="AC516">
        <f t="shared" si="273"/>
        <v>1276</v>
      </c>
      <c r="AD516" s="6">
        <v>1</v>
      </c>
      <c r="AE516" t="s">
        <v>937</v>
      </c>
      <c r="AF516" t="s">
        <v>744</v>
      </c>
      <c r="AG516" t="s">
        <v>756</v>
      </c>
      <c r="AH516" t="s">
        <v>756</v>
      </c>
      <c r="AI516" t="s">
        <v>367</v>
      </c>
      <c r="AJ516" t="str">
        <f t="shared" ref="AJ516:AK531" si="277">IF($J516&lt;&gt;"",$J516,IF($AC516=$AC515,AJ515,""))</f>
        <v/>
      </c>
      <c r="AK516" t="str">
        <f t="shared" si="277"/>
        <v/>
      </c>
      <c r="AL516" t="str">
        <f t="shared" ref="AL516:AL579" si="278">IF($W516="","",IF($AJ516="","",IF($W516="h",$AJ516,IF($AJ516="n","n",IF(AND($W516="a",$AJ516="d"),"o",IF(AND($W516="a",$AJ516="o"),"d"))))))</f>
        <v/>
      </c>
      <c r="AN516" t="s">
        <v>862</v>
      </c>
      <c r="AO516" t="str">
        <f t="shared" ref="AO516:AO579" si="279">IF($W516&lt;&gt;"",$W516,IF($AC516=$AC515,AO515,""))</f>
        <v>a</v>
      </c>
      <c r="AP516" t="str">
        <f t="shared" si="254"/>
        <v/>
      </c>
      <c r="AQ516" t="str">
        <f t="shared" si="255"/>
        <v/>
      </c>
      <c r="AR516" t="str">
        <f t="shared" si="256"/>
        <v>Away</v>
      </c>
      <c r="AS516" t="str">
        <f t="shared" si="257"/>
        <v>a</v>
      </c>
      <c r="AT516" t="str">
        <f t="shared" si="258"/>
        <v>Offensive</v>
      </c>
      <c r="BA516" s="6">
        <f t="shared" ref="BA516:BA579" si="280">IF(OR(L516="Zone_Entry",L516="Zone_Exit"),BA515+1,BA515)</f>
        <v>128</v>
      </c>
      <c r="BB516">
        <f t="shared" ref="BB516:BB579" si="281">BB515</f>
        <v>18981</v>
      </c>
      <c r="BC516" t="str">
        <f t="shared" ref="BC516:BC579" si="282">BC515</f>
        <v>Nelson</v>
      </c>
      <c r="BD516" t="str">
        <f t="shared" ref="BD516:BD579" si="283">BD515</f>
        <v>Velodrome</v>
      </c>
      <c r="BE516" t="s">
        <v>7</v>
      </c>
      <c r="BF516" t="s">
        <v>172</v>
      </c>
      <c r="BG516" t="s">
        <v>68</v>
      </c>
      <c r="BI516" cm="1">
        <f t="array" ref="BI516">IFERROR(_xlfn._xlws.FILTER(shifts!A:A,(shifts!B:B=events!AD516)*(shifts!AG:AG&gt;=events!BK516)*(shifts!AH:AH&lt;=events!BL516)),BI515)</f>
        <v>27</v>
      </c>
      <c r="BJ516" s="15">
        <f t="shared" ref="BJ516:BJ579" si="284">IF(AND(AG516="",AH516=""),0,((AE516*60)+AF516)-((AG516*60)+AH516))</f>
        <v>0</v>
      </c>
      <c r="BK516">
        <f t="shared" si="259"/>
        <v>435</v>
      </c>
      <c r="BL516">
        <f t="shared" si="260"/>
        <v>435</v>
      </c>
      <c r="BM516" s="15">
        <f>SUMIFS(BJ$2:BJ516,K$2:K516,"=Intermission")+SUMIFS(BJ$2:BJ516,K$2:K516,"=Timeout")</f>
        <v>0</v>
      </c>
      <c r="BN516">
        <f t="shared" si="261"/>
        <v>0</v>
      </c>
      <c r="BO516" s="19">
        <f t="shared" si="262"/>
        <v>645</v>
      </c>
      <c r="BP516">
        <f t="shared" si="263"/>
        <v>640</v>
      </c>
      <c r="BQ516" s="17">
        <f t="shared" si="264"/>
        <v>645</v>
      </c>
      <c r="BR516" t="str">
        <f t="shared" si="265"/>
        <v>event_team_player_1</v>
      </c>
      <c r="BS516">
        <f>COUNTIFS(S$3:S516,"="&amp;S516,AI$3:AI516,"="&amp;AI516)</f>
        <v>1</v>
      </c>
      <c r="BT516" t="str">
        <f>IFERROR(VLOOKUP(BB516&amp;BU516&amp;X516,game_rosters!U:W,3,FALSE),"")</f>
        <v>P100070</v>
      </c>
      <c r="BU516" t="str">
        <f t="shared" si="266"/>
        <v>Velodrome</v>
      </c>
    </row>
    <row r="517" spans="1:73" x14ac:dyDescent="0.2">
      <c r="A517">
        <f t="shared" ref="A517:A580" si="285">IF(K517&lt;&gt;"",1,IF(D517="x","x",""))</f>
        <v>1</v>
      </c>
      <c r="E517" s="4"/>
      <c r="F517" s="43"/>
      <c r="G517" s="4"/>
      <c r="H517" s="46"/>
      <c r="J517" s="44" t="str">
        <f t="shared" si="267"/>
        <v/>
      </c>
      <c r="K517" t="s">
        <v>7</v>
      </c>
      <c r="L517" t="s">
        <v>172</v>
      </c>
      <c r="M517" t="s">
        <v>68</v>
      </c>
      <c r="N517" t="str">
        <f t="shared" si="270"/>
        <v>s</v>
      </c>
      <c r="Q517" t="str">
        <f t="shared" si="268"/>
        <v/>
      </c>
      <c r="S517">
        <v>276</v>
      </c>
      <c r="U517" t="str">
        <f>IF(B517=1,MAX($U$2:$U516)+1,IF(AND($T517&lt;&gt;"",$T517=$T516),$U516,IF(B517="x",U516,"")))</f>
        <v/>
      </c>
      <c r="V517" t="str">
        <f>IF(C517=1,MAX($V$2:$V516)+1,IF(AND($T517&lt;&gt;"",$T517=$T516),$U516,IF(C517="x",V516,"")))</f>
        <v/>
      </c>
      <c r="W517" t="str">
        <f t="shared" si="274"/>
        <v>a</v>
      </c>
      <c r="X517">
        <v>61</v>
      </c>
      <c r="Y517" t="e">
        <f>IF(X517&lt;&gt;"",VLOOKUP(X517,game_rosters!$C$43:$E$64,3,FALSE))</f>
        <v>#N/A</v>
      </c>
      <c r="Z517" cm="1">
        <f t="array" ref="Z517">IFERROR(IF(_xlfn._xlws.FILTER(game_rosters!$J:$J,(game_rosters!$G:$G=events!$AN517)*(game_rosters!$J:$J=events!$X517))&gt;0,1,""),"")</f>
        <v>1</v>
      </c>
      <c r="AA517">
        <f t="shared" si="275"/>
        <v>1276</v>
      </c>
      <c r="AB517" t="str">
        <f t="shared" si="276"/>
        <v/>
      </c>
      <c r="AC517">
        <f t="shared" si="273"/>
        <v>1276</v>
      </c>
      <c r="AD517" s="6">
        <v>1</v>
      </c>
      <c r="AE517" t="s">
        <v>937</v>
      </c>
      <c r="AF517" t="s">
        <v>744</v>
      </c>
      <c r="AG517" t="s">
        <v>756</v>
      </c>
      <c r="AH517" t="s">
        <v>756</v>
      </c>
      <c r="AI517" t="s">
        <v>367</v>
      </c>
      <c r="AJ517" t="str">
        <f t="shared" si="277"/>
        <v/>
      </c>
      <c r="AK517" t="str">
        <f t="shared" si="277"/>
        <v/>
      </c>
      <c r="AL517" t="str">
        <f t="shared" si="278"/>
        <v/>
      </c>
      <c r="AN517" t="s">
        <v>862</v>
      </c>
      <c r="AO517" t="str">
        <f t="shared" si="279"/>
        <v>a</v>
      </c>
      <c r="AP517" t="str">
        <f t="shared" ref="AP517:AP580" si="286">IF(AL517&lt;&gt;"",AL517,IF($AC517=$AC516,AP516,""))</f>
        <v/>
      </c>
      <c r="AQ517" t="str">
        <f t="shared" ref="AQ517:AQ580" si="287">IF(AM517&lt;&gt;"",AM517,IF($AC517=$AC516,AQ516,""))</f>
        <v/>
      </c>
      <c r="AR517" t="str">
        <f t="shared" ref="AR517:AR580" si="288">IF(AN517&lt;&gt;"",AN517,IF($AC517=$AC516,AR516,""))</f>
        <v>Away</v>
      </c>
      <c r="AS517" t="str">
        <f t="shared" ref="AS517:AS580" si="289">IF(AO517&lt;&gt;"",AO517,IF($AC517=$AC516,AS516,""))</f>
        <v>a</v>
      </c>
      <c r="AT517" t="str">
        <f t="shared" ref="AT517:AT580" si="290">IF(AND(AI517="e",OR(BE517="Save",BF517="Turnover_Takeaway",BF517="Play_Defensive")),"Defensive",IF(AND(AI517="o",OR(BE517="Save",BF517="Turnover_Takeaway",BF517="Play_Defensive")),"Offensive",IF(OR(BE517="Deadice",BE517="Stoppage",BE517="Intermission"),"",IF(AI517="e","Offensive",IF(AI517="o","Defensive","")))))</f>
        <v>Offensive</v>
      </c>
      <c r="BA517" s="6">
        <f t="shared" si="280"/>
        <v>128</v>
      </c>
      <c r="BB517">
        <f t="shared" si="281"/>
        <v>18981</v>
      </c>
      <c r="BC517" t="str">
        <f t="shared" si="282"/>
        <v>Nelson</v>
      </c>
      <c r="BD517" t="str">
        <f t="shared" si="283"/>
        <v>Velodrome</v>
      </c>
      <c r="BE517" t="s">
        <v>7</v>
      </c>
      <c r="BF517" t="s">
        <v>172</v>
      </c>
      <c r="BG517" t="s">
        <v>68</v>
      </c>
      <c r="BI517" cm="1">
        <f t="array" ref="BI517">IFERROR(_xlfn._xlws.FILTER(shifts!A:A,(shifts!B:B=events!AD517)*(shifts!AG:AG&gt;=events!BK517)*(shifts!AH:AH&lt;=events!BL517)),BI516)</f>
        <v>27</v>
      </c>
      <c r="BJ517" s="15">
        <f t="shared" si="284"/>
        <v>0</v>
      </c>
      <c r="BK517">
        <f t="shared" ref="BK517:BK580" si="291">(AE517*60)+AF517</f>
        <v>435</v>
      </c>
      <c r="BL517">
        <f t="shared" ref="BL517:BL580" si="292">IF(AND(AG517="",AH517=""),BK517,((AG517*60)+AH517))</f>
        <v>435</v>
      </c>
      <c r="BM517" s="15">
        <f>SUMIFS(BJ$2:BJ517,K$2:K517,"=Intermission")+SUMIFS(BJ$2:BJ517,K$2:K517,"=Timeout")</f>
        <v>0</v>
      </c>
      <c r="BN517">
        <f t="shared" ref="BN517:BN580" si="293">IF(AD517=1,0,IF(AD517=2,1080+BM517,IF(AD517=3,(1080*2)+BM517,0)))</f>
        <v>0</v>
      </c>
      <c r="BO517" s="19">
        <f t="shared" ref="BO517:BO580" si="294">IF(K517="Intermission",BO516,((1080)-((AE517*60)+AF517))+BN517)</f>
        <v>645</v>
      </c>
      <c r="BP517">
        <f t="shared" ref="BP517:BP580" si="295">IF(BO517&lt;5,0,BO517-5)</f>
        <v>640</v>
      </c>
      <c r="BQ517" s="17">
        <f t="shared" ref="BQ517:BQ580" si="296">BP517+BJ517+5</f>
        <v>645</v>
      </c>
      <c r="BR517" t="str">
        <f t="shared" ref="BR517:BR580" si="297">IF(AI517="e","event_team_player_"&amp;BS517,IF(AI517="o","opp_team_player_"&amp;BS517,""))</f>
        <v>event_team_player_2</v>
      </c>
      <c r="BS517">
        <f>COUNTIFS(S$3:S517,"="&amp;S517,AI$3:AI517,"="&amp;AI517)</f>
        <v>2</v>
      </c>
      <c r="BT517" t="str">
        <f>IFERROR(VLOOKUP(BB517&amp;BU517&amp;X517,game_rosters!U:W,3,FALSE),"")</f>
        <v>P100224</v>
      </c>
      <c r="BU517" t="str">
        <f t="shared" ref="BU517:BU580" si="298">IF(AR517="","",IF(AND(AR517="Away",AI517="e"),BD517,IF(AND(AR517="Home",AI517="e"),BC517,IF(AND(AR517="Away",AI517="o"),BC517,IF(AND(AR517="Home",AI517="o"),BD517)))))</f>
        <v>Velodrome</v>
      </c>
    </row>
    <row r="518" spans="1:73" x14ac:dyDescent="0.2">
      <c r="A518">
        <f t="shared" si="285"/>
        <v>1</v>
      </c>
      <c r="E518" s="4"/>
      <c r="F518" s="43"/>
      <c r="G518" s="4"/>
      <c r="H518" s="46"/>
      <c r="J518" s="44" t="str">
        <f t="shared" ref="J518:J581" si="299">IF(OR(K518="Goal",K518="Shot",L518="Zone_Entry",M518="Stoppage-Goal",M517="Stoppage-Goal"),"o",IF(OR(K518="Save",K518="Rebound",L518="Zone_Exit",M518="Stoppage-GoalieStoppage",M517="Stoppage-GoalieStoppage"),"d",IF(OR(L518="Faceoff_AfterGoal",L518="Faceoff_PeriodStart",698="Faceoff_GameStart",M517="Stoppage-Goal"),"n","")))</f>
        <v/>
      </c>
      <c r="K518" t="s">
        <v>13</v>
      </c>
      <c r="L518" t="s">
        <v>756</v>
      </c>
      <c r="M518" t="s">
        <v>756</v>
      </c>
      <c r="N518" t="str">
        <f t="shared" si="270"/>
        <v/>
      </c>
      <c r="Q518" t="str">
        <f t="shared" si="268"/>
        <v/>
      </c>
      <c r="S518">
        <v>277</v>
      </c>
      <c r="U518" t="str">
        <f>IF(B518=1,MAX($U$2:$U517)+1,IF(AND($T518&lt;&gt;"",$T518=$T517),$U517,IF(B518="x",U517,"")))</f>
        <v/>
      </c>
      <c r="V518" t="str">
        <f>IF(C518=1,MAX($V$2:$V517)+1,IF(AND($T518&lt;&gt;"",$T518=$T517),$U517,IF(C518="x",V517,"")))</f>
        <v/>
      </c>
      <c r="W518" t="str">
        <f t="shared" si="274"/>
        <v>a</v>
      </c>
      <c r="X518">
        <v>61</v>
      </c>
      <c r="Y518" t="e">
        <f>IF(X518&lt;&gt;"",VLOOKUP(X518,game_rosters!$C$43:$E$64,3,FALSE))</f>
        <v>#N/A</v>
      </c>
      <c r="Z518" cm="1">
        <f t="array" ref="Z518">IFERROR(IF(_xlfn._xlws.FILTER(game_rosters!$J:$J,(game_rosters!$G:$G=events!$AN518)*(game_rosters!$J:$J=events!$X518))&gt;0,1,""),"")</f>
        <v>1</v>
      </c>
      <c r="AA518">
        <f t="shared" si="275"/>
        <v>1277</v>
      </c>
      <c r="AB518" t="str">
        <f t="shared" si="276"/>
        <v/>
      </c>
      <c r="AC518">
        <f t="shared" si="273"/>
        <v>1277</v>
      </c>
      <c r="AD518" s="6">
        <v>1</v>
      </c>
      <c r="AE518" t="s">
        <v>937</v>
      </c>
      <c r="AF518" t="s">
        <v>744</v>
      </c>
      <c r="AG518" t="s">
        <v>937</v>
      </c>
      <c r="AH518" t="s">
        <v>746</v>
      </c>
      <c r="AI518" t="s">
        <v>367</v>
      </c>
      <c r="AJ518" t="str">
        <f t="shared" si="277"/>
        <v/>
      </c>
      <c r="AK518" t="str">
        <f t="shared" si="277"/>
        <v/>
      </c>
      <c r="AL518" t="str">
        <f t="shared" si="278"/>
        <v/>
      </c>
      <c r="AN518" t="s">
        <v>862</v>
      </c>
      <c r="AO518" t="str">
        <f t="shared" si="279"/>
        <v>a</v>
      </c>
      <c r="AP518" t="str">
        <f t="shared" si="286"/>
        <v/>
      </c>
      <c r="AQ518" t="str">
        <f t="shared" si="287"/>
        <v/>
      </c>
      <c r="AR518" t="str">
        <f t="shared" si="288"/>
        <v>Away</v>
      </c>
      <c r="AS518" t="str">
        <f t="shared" si="289"/>
        <v>a</v>
      </c>
      <c r="AT518" t="str">
        <f t="shared" si="290"/>
        <v>Offensive</v>
      </c>
      <c r="BA518" s="6">
        <f t="shared" si="280"/>
        <v>128</v>
      </c>
      <c r="BB518">
        <f t="shared" si="281"/>
        <v>18981</v>
      </c>
      <c r="BC518" t="str">
        <f t="shared" si="282"/>
        <v>Nelson</v>
      </c>
      <c r="BD518" t="str">
        <f t="shared" si="283"/>
        <v>Velodrome</v>
      </c>
      <c r="BE518" t="s">
        <v>13</v>
      </c>
      <c r="BF518" t="s">
        <v>756</v>
      </c>
      <c r="BG518" t="s">
        <v>756</v>
      </c>
      <c r="BI518" cm="1">
        <f t="array" ref="BI518">IFERROR(_xlfn._xlws.FILTER(shifts!A:A,(shifts!B:B=events!AD518)*(shifts!AG:AG&gt;=events!BK518)*(shifts!AH:AH&lt;=events!BL518)),BI517)</f>
        <v>27</v>
      </c>
      <c r="BJ518" s="15">
        <f t="shared" si="284"/>
        <v>3</v>
      </c>
      <c r="BK518">
        <f t="shared" si="291"/>
        <v>435</v>
      </c>
      <c r="BL518">
        <f t="shared" si="292"/>
        <v>432</v>
      </c>
      <c r="BM518" s="15">
        <f>SUMIFS(BJ$2:BJ518,K$2:K518,"=Intermission")+SUMIFS(BJ$2:BJ518,K$2:K518,"=Timeout")</f>
        <v>0</v>
      </c>
      <c r="BN518">
        <f t="shared" si="293"/>
        <v>0</v>
      </c>
      <c r="BO518" s="19">
        <f t="shared" si="294"/>
        <v>645</v>
      </c>
      <c r="BP518">
        <f t="shared" si="295"/>
        <v>640</v>
      </c>
      <c r="BQ518" s="17">
        <f t="shared" si="296"/>
        <v>648</v>
      </c>
      <c r="BR518" t="str">
        <f t="shared" si="297"/>
        <v>event_team_player_1</v>
      </c>
      <c r="BS518">
        <f>COUNTIFS(S$3:S518,"="&amp;S518,AI$3:AI518,"="&amp;AI518)</f>
        <v>1</v>
      </c>
      <c r="BT518" t="str">
        <f>IFERROR(VLOOKUP(BB518&amp;BU518&amp;X518,game_rosters!U:W,3,FALSE),"")</f>
        <v>P100224</v>
      </c>
      <c r="BU518" t="str">
        <f t="shared" si="298"/>
        <v>Velodrome</v>
      </c>
    </row>
    <row r="519" spans="1:73" x14ac:dyDescent="0.2">
      <c r="A519">
        <f t="shared" si="285"/>
        <v>1</v>
      </c>
      <c r="E519" s="4"/>
      <c r="F519" s="43"/>
      <c r="G519" s="4"/>
      <c r="H519" s="46"/>
      <c r="J519" s="44" t="str">
        <f t="shared" si="299"/>
        <v/>
      </c>
      <c r="K519" t="s">
        <v>7</v>
      </c>
      <c r="L519" t="s">
        <v>192</v>
      </c>
      <c r="M519" t="s">
        <v>68</v>
      </c>
      <c r="N519" t="str">
        <f t="shared" si="270"/>
        <v>u</v>
      </c>
      <c r="Q519" t="str">
        <f t="shared" si="268"/>
        <v/>
      </c>
      <c r="S519">
        <v>278</v>
      </c>
      <c r="U519" t="str">
        <f>IF(B519=1,MAX($U$2:$U518)+1,IF(AND($T519&lt;&gt;"",$T519=$T518),$U518,IF(B519="x",U518,"")))</f>
        <v/>
      </c>
      <c r="V519" t="str">
        <f>IF(C519=1,MAX($V$2:$V518)+1,IF(AND($T519&lt;&gt;"",$T519=$T518),$U518,IF(C519="x",V518,"")))</f>
        <v/>
      </c>
      <c r="W519" t="str">
        <f t="shared" si="274"/>
        <v>a</v>
      </c>
      <c r="X519">
        <v>61</v>
      </c>
      <c r="Y519" t="e">
        <f>IF(X519&lt;&gt;"",VLOOKUP(X519,game_rosters!$C$43:$E$64,3,FALSE))</f>
        <v>#N/A</v>
      </c>
      <c r="Z519" cm="1">
        <f t="array" ref="Z519">IFERROR(IF(_xlfn._xlws.FILTER(game_rosters!$J:$J,(game_rosters!$G:$G=events!$AN519)*(game_rosters!$J:$J=events!$X519))&gt;0,1,""),"")</f>
        <v>1</v>
      </c>
      <c r="AA519">
        <f t="shared" si="275"/>
        <v>1278</v>
      </c>
      <c r="AB519" t="str">
        <f t="shared" si="276"/>
        <v/>
      </c>
      <c r="AC519">
        <f t="shared" si="273"/>
        <v>1278</v>
      </c>
      <c r="AD519" s="6">
        <v>1</v>
      </c>
      <c r="AE519" t="s">
        <v>937</v>
      </c>
      <c r="AF519" t="s">
        <v>746</v>
      </c>
      <c r="AG519" t="s">
        <v>756</v>
      </c>
      <c r="AH519" t="s">
        <v>756</v>
      </c>
      <c r="AI519" t="s">
        <v>367</v>
      </c>
      <c r="AJ519" t="str">
        <f t="shared" si="277"/>
        <v/>
      </c>
      <c r="AK519" t="str">
        <f t="shared" si="277"/>
        <v/>
      </c>
      <c r="AL519" t="str">
        <f t="shared" si="278"/>
        <v/>
      </c>
      <c r="AN519" t="s">
        <v>862</v>
      </c>
      <c r="AO519" t="str">
        <f t="shared" si="279"/>
        <v>a</v>
      </c>
      <c r="AP519" t="str">
        <f t="shared" si="286"/>
        <v/>
      </c>
      <c r="AQ519" t="str">
        <f t="shared" si="287"/>
        <v/>
      </c>
      <c r="AR519" t="str">
        <f t="shared" si="288"/>
        <v>Away</v>
      </c>
      <c r="AS519" t="str">
        <f t="shared" si="289"/>
        <v>a</v>
      </c>
      <c r="AT519" t="str">
        <f t="shared" si="290"/>
        <v>Offensive</v>
      </c>
      <c r="BA519" s="6">
        <f t="shared" si="280"/>
        <v>128</v>
      </c>
      <c r="BB519">
        <f t="shared" si="281"/>
        <v>18981</v>
      </c>
      <c r="BC519" t="str">
        <f t="shared" si="282"/>
        <v>Nelson</v>
      </c>
      <c r="BD519" t="str">
        <f t="shared" si="283"/>
        <v>Velodrome</v>
      </c>
      <c r="BE519" t="s">
        <v>7</v>
      </c>
      <c r="BF519" t="s">
        <v>192</v>
      </c>
      <c r="BG519" t="s">
        <v>68</v>
      </c>
      <c r="BI519" cm="1">
        <f t="array" ref="BI519">IFERROR(_xlfn._xlws.FILTER(shifts!A:A,(shifts!B:B=events!AD519)*(shifts!AG:AG&gt;=events!BK519)*(shifts!AH:AH&lt;=events!BL519)),BI518)</f>
        <v>27</v>
      </c>
      <c r="BJ519" s="15">
        <f t="shared" si="284"/>
        <v>0</v>
      </c>
      <c r="BK519">
        <f t="shared" si="291"/>
        <v>432</v>
      </c>
      <c r="BL519">
        <f t="shared" si="292"/>
        <v>432</v>
      </c>
      <c r="BM519" s="15">
        <f>SUMIFS(BJ$2:BJ519,K$2:K519,"=Intermission")+SUMIFS(BJ$2:BJ519,K$2:K519,"=Timeout")</f>
        <v>0</v>
      </c>
      <c r="BN519">
        <f t="shared" si="293"/>
        <v>0</v>
      </c>
      <c r="BO519" s="19">
        <f t="shared" si="294"/>
        <v>648</v>
      </c>
      <c r="BP519">
        <f t="shared" si="295"/>
        <v>643</v>
      </c>
      <c r="BQ519" s="17">
        <f t="shared" si="296"/>
        <v>648</v>
      </c>
      <c r="BR519" t="str">
        <f t="shared" si="297"/>
        <v>event_team_player_1</v>
      </c>
      <c r="BS519">
        <f>COUNTIFS(S$3:S519,"="&amp;S519,AI$3:AI519,"="&amp;AI519)</f>
        <v>1</v>
      </c>
      <c r="BT519" t="str">
        <f>IFERROR(VLOOKUP(BB519&amp;BU519&amp;X519,game_rosters!U:W,3,FALSE),"")</f>
        <v>P100224</v>
      </c>
      <c r="BU519" t="str">
        <f t="shared" si="298"/>
        <v>Velodrome</v>
      </c>
    </row>
    <row r="520" spans="1:73" x14ac:dyDescent="0.2">
      <c r="A520">
        <f t="shared" si="285"/>
        <v>1</v>
      </c>
      <c r="E520" s="4"/>
      <c r="F520" s="43"/>
      <c r="G520" s="4"/>
      <c r="H520" s="46"/>
      <c r="J520" s="44" t="str">
        <f t="shared" si="299"/>
        <v/>
      </c>
      <c r="K520" t="s">
        <v>7</v>
      </c>
      <c r="L520" t="s">
        <v>192</v>
      </c>
      <c r="M520" t="s">
        <v>68</v>
      </c>
      <c r="N520" t="str">
        <f t="shared" si="270"/>
        <v>u</v>
      </c>
      <c r="Q520" t="str">
        <f t="shared" si="268"/>
        <v/>
      </c>
      <c r="S520">
        <v>278</v>
      </c>
      <c r="U520" t="str">
        <f>IF(B520=1,MAX($U$2:$U519)+1,IF(AND($T520&lt;&gt;"",$T520=$T519),$U519,IF(B520="x",U519,"")))</f>
        <v/>
      </c>
      <c r="V520" t="str">
        <f>IF(C520=1,MAX($V$2:$V519)+1,IF(AND($T520&lt;&gt;"",$T520=$T519),$U519,IF(C520="x",V519,"")))</f>
        <v/>
      </c>
      <c r="W520" t="str">
        <f t="shared" si="274"/>
        <v>a</v>
      </c>
      <c r="X520">
        <v>49</v>
      </c>
      <c r="Y520" t="e">
        <f>IF(X520&lt;&gt;"",VLOOKUP(X520,game_rosters!$C$43:$E$64,3,FALSE))</f>
        <v>#N/A</v>
      </c>
      <c r="Z520" cm="1">
        <f t="array" ref="Z520">IFERROR(IF(_xlfn._xlws.FILTER(game_rosters!$J:$J,(game_rosters!$G:$G=events!$AN520)*(game_rosters!$J:$J=events!$X520))&gt;0,1,""),"")</f>
        <v>1</v>
      </c>
      <c r="AA520">
        <f t="shared" si="275"/>
        <v>1278</v>
      </c>
      <c r="AB520" t="str">
        <f t="shared" si="276"/>
        <v/>
      </c>
      <c r="AC520">
        <f t="shared" si="273"/>
        <v>1278</v>
      </c>
      <c r="AD520" s="6">
        <v>1</v>
      </c>
      <c r="AE520" t="s">
        <v>937</v>
      </c>
      <c r="AF520" t="s">
        <v>746</v>
      </c>
      <c r="AG520" t="s">
        <v>756</v>
      </c>
      <c r="AH520" t="s">
        <v>756</v>
      </c>
      <c r="AI520" t="s">
        <v>367</v>
      </c>
      <c r="AJ520" t="str">
        <f t="shared" si="277"/>
        <v/>
      </c>
      <c r="AK520" t="str">
        <f t="shared" si="277"/>
        <v/>
      </c>
      <c r="AL520" t="str">
        <f t="shared" si="278"/>
        <v/>
      </c>
      <c r="AN520" t="s">
        <v>862</v>
      </c>
      <c r="AO520" t="str">
        <f t="shared" si="279"/>
        <v>a</v>
      </c>
      <c r="AP520" t="str">
        <f t="shared" si="286"/>
        <v/>
      </c>
      <c r="AQ520" t="str">
        <f t="shared" si="287"/>
        <v/>
      </c>
      <c r="AR520" t="str">
        <f t="shared" si="288"/>
        <v>Away</v>
      </c>
      <c r="AS520" t="str">
        <f t="shared" si="289"/>
        <v>a</v>
      </c>
      <c r="AT520" t="str">
        <f t="shared" si="290"/>
        <v>Offensive</v>
      </c>
      <c r="BA520" s="6">
        <f t="shared" si="280"/>
        <v>128</v>
      </c>
      <c r="BB520">
        <f t="shared" si="281"/>
        <v>18981</v>
      </c>
      <c r="BC520" t="str">
        <f t="shared" si="282"/>
        <v>Nelson</v>
      </c>
      <c r="BD520" t="str">
        <f t="shared" si="283"/>
        <v>Velodrome</v>
      </c>
      <c r="BE520" t="s">
        <v>7</v>
      </c>
      <c r="BF520" t="s">
        <v>192</v>
      </c>
      <c r="BG520" t="s">
        <v>68</v>
      </c>
      <c r="BI520" cm="1">
        <f t="array" ref="BI520">IFERROR(_xlfn._xlws.FILTER(shifts!A:A,(shifts!B:B=events!AD520)*(shifts!AG:AG&gt;=events!BK520)*(shifts!AH:AH&lt;=events!BL520)),BI519)</f>
        <v>27</v>
      </c>
      <c r="BJ520" s="15">
        <f t="shared" si="284"/>
        <v>0</v>
      </c>
      <c r="BK520">
        <f t="shared" si="291"/>
        <v>432</v>
      </c>
      <c r="BL520">
        <f t="shared" si="292"/>
        <v>432</v>
      </c>
      <c r="BM520" s="15">
        <f>SUMIFS(BJ$2:BJ520,K$2:K520,"=Intermission")+SUMIFS(BJ$2:BJ520,K$2:K520,"=Timeout")</f>
        <v>0</v>
      </c>
      <c r="BN520">
        <f t="shared" si="293"/>
        <v>0</v>
      </c>
      <c r="BO520" s="19">
        <f t="shared" si="294"/>
        <v>648</v>
      </c>
      <c r="BP520">
        <f t="shared" si="295"/>
        <v>643</v>
      </c>
      <c r="BQ520" s="17">
        <f t="shared" si="296"/>
        <v>648</v>
      </c>
      <c r="BR520" t="str">
        <f t="shared" si="297"/>
        <v>event_team_player_2</v>
      </c>
      <c r="BS520">
        <f>COUNTIFS(S$3:S520,"="&amp;S520,AI$3:AI520,"="&amp;AI520)</f>
        <v>2</v>
      </c>
      <c r="BT520" t="str">
        <f>IFERROR(VLOOKUP(BB520&amp;BU520&amp;X520,game_rosters!U:W,3,FALSE),"")</f>
        <v>P100161</v>
      </c>
      <c r="BU520" t="str">
        <f t="shared" si="298"/>
        <v>Velodrome</v>
      </c>
    </row>
    <row r="521" spans="1:73" x14ac:dyDescent="0.2">
      <c r="A521">
        <f t="shared" si="285"/>
        <v>1</v>
      </c>
      <c r="E521" s="4"/>
      <c r="F521" s="43"/>
      <c r="G521" s="4"/>
      <c r="H521" s="46"/>
      <c r="J521" s="44" t="str">
        <f t="shared" si="299"/>
        <v/>
      </c>
      <c r="K521" t="s">
        <v>7</v>
      </c>
      <c r="L521" t="s">
        <v>192</v>
      </c>
      <c r="M521" t="s">
        <v>68</v>
      </c>
      <c r="N521" t="str">
        <f t="shared" si="270"/>
        <v>u</v>
      </c>
      <c r="Q521" t="str">
        <f t="shared" si="268"/>
        <v/>
      </c>
      <c r="S521">
        <v>278</v>
      </c>
      <c r="U521" t="str">
        <f>IF(B521=1,MAX($U$2:$U520)+1,IF(AND($T521&lt;&gt;"",$T521=$T520),$U520,IF(B521="x",U520,"")))</f>
        <v/>
      </c>
      <c r="V521" t="str">
        <f>IF(C521=1,MAX($V$2:$V520)+1,IF(AND($T521&lt;&gt;"",$T521=$T520),$U520,IF(C521="x",V520,"")))</f>
        <v/>
      </c>
      <c r="W521" t="str">
        <f t="shared" si="274"/>
        <v>a</v>
      </c>
      <c r="X521">
        <v>16</v>
      </c>
      <c r="Y521" t="b">
        <f>IF(X521&lt;&gt;"",VLOOKUP(X521,game_rosters!$C$43:$E$64,3,FALSE))</f>
        <v>0</v>
      </c>
      <c r="Z521" t="str" cm="1">
        <f t="array" ref="Z521">IFERROR(IF(_xlfn._xlws.FILTER(game_rosters!$J:$J,(game_rosters!$G:$G=events!$AN521)*(game_rosters!$J:$J=events!$X521))&gt;0,1,""),"")</f>
        <v/>
      </c>
      <c r="AA521">
        <f t="shared" si="275"/>
        <v>1278</v>
      </c>
      <c r="AB521" t="str">
        <f t="shared" si="276"/>
        <v/>
      </c>
      <c r="AC521">
        <f t="shared" si="273"/>
        <v>1278</v>
      </c>
      <c r="AD521" s="6">
        <v>1</v>
      </c>
      <c r="AE521" t="s">
        <v>937</v>
      </c>
      <c r="AF521" t="s">
        <v>746</v>
      </c>
      <c r="AG521" t="s">
        <v>756</v>
      </c>
      <c r="AH521" t="s">
        <v>756</v>
      </c>
      <c r="AI521" t="s">
        <v>368</v>
      </c>
      <c r="AJ521" t="str">
        <f t="shared" si="277"/>
        <v/>
      </c>
      <c r="AK521" t="str">
        <f t="shared" si="277"/>
        <v/>
      </c>
      <c r="AL521" t="str">
        <f t="shared" si="278"/>
        <v/>
      </c>
      <c r="AN521" t="s">
        <v>862</v>
      </c>
      <c r="AO521" t="str">
        <f t="shared" si="279"/>
        <v>a</v>
      </c>
      <c r="AP521" t="str">
        <f t="shared" si="286"/>
        <v/>
      </c>
      <c r="AQ521" t="str">
        <f t="shared" si="287"/>
        <v/>
      </c>
      <c r="AR521" t="str">
        <f t="shared" si="288"/>
        <v>Away</v>
      </c>
      <c r="AS521" t="str">
        <f t="shared" si="289"/>
        <v>a</v>
      </c>
      <c r="AT521" t="str">
        <f t="shared" si="290"/>
        <v>Defensive</v>
      </c>
      <c r="BA521" s="6">
        <f t="shared" si="280"/>
        <v>128</v>
      </c>
      <c r="BB521">
        <f t="shared" si="281"/>
        <v>18981</v>
      </c>
      <c r="BC521" t="str">
        <f t="shared" si="282"/>
        <v>Nelson</v>
      </c>
      <c r="BD521" t="str">
        <f t="shared" si="283"/>
        <v>Velodrome</v>
      </c>
      <c r="BE521" t="s">
        <v>7</v>
      </c>
      <c r="BF521" t="s">
        <v>192</v>
      </c>
      <c r="BG521" t="s">
        <v>68</v>
      </c>
      <c r="BI521" cm="1">
        <f t="array" ref="BI521">IFERROR(_xlfn._xlws.FILTER(shifts!A:A,(shifts!B:B=events!AD521)*(shifts!AG:AG&gt;=events!BK521)*(shifts!AH:AH&lt;=events!BL521)),BI520)</f>
        <v>27</v>
      </c>
      <c r="BJ521" s="15">
        <f t="shared" si="284"/>
        <v>0</v>
      </c>
      <c r="BK521">
        <f t="shared" si="291"/>
        <v>432</v>
      </c>
      <c r="BL521">
        <f t="shared" si="292"/>
        <v>432</v>
      </c>
      <c r="BM521" s="15">
        <f>SUMIFS(BJ$2:BJ521,K$2:K521,"=Intermission")+SUMIFS(BJ$2:BJ521,K$2:K521,"=Timeout")</f>
        <v>0</v>
      </c>
      <c r="BN521">
        <f t="shared" si="293"/>
        <v>0</v>
      </c>
      <c r="BO521" s="19">
        <f t="shared" si="294"/>
        <v>648</v>
      </c>
      <c r="BP521">
        <f t="shared" si="295"/>
        <v>643</v>
      </c>
      <c r="BQ521" s="17">
        <f t="shared" si="296"/>
        <v>648</v>
      </c>
      <c r="BR521" t="str">
        <f t="shared" si="297"/>
        <v>opp_team_player_1</v>
      </c>
      <c r="BS521">
        <f>COUNTIFS(S$3:S521,"="&amp;S521,AI$3:AI521,"="&amp;AI521)</f>
        <v>1</v>
      </c>
      <c r="BT521" t="str">
        <f>IFERROR(VLOOKUP(BB521&amp;BU521&amp;X521,game_rosters!U:W,3,FALSE),"")</f>
        <v>P100164</v>
      </c>
      <c r="BU521" t="str">
        <f t="shared" si="298"/>
        <v>Nelson</v>
      </c>
    </row>
    <row r="522" spans="1:73" x14ac:dyDescent="0.2">
      <c r="A522">
        <f t="shared" si="285"/>
        <v>1</v>
      </c>
      <c r="E522" s="4"/>
      <c r="F522" s="43"/>
      <c r="G522" s="4"/>
      <c r="H522" s="46"/>
      <c r="J522" s="44" t="str">
        <f t="shared" si="299"/>
        <v/>
      </c>
      <c r="K522" t="s">
        <v>7</v>
      </c>
      <c r="L522" t="s">
        <v>172</v>
      </c>
      <c r="M522" t="s">
        <v>67</v>
      </c>
      <c r="N522" t="str">
        <f t="shared" si="270"/>
        <v>s</v>
      </c>
      <c r="Q522" t="str">
        <f t="shared" si="268"/>
        <v/>
      </c>
      <c r="S522">
        <v>279</v>
      </c>
      <c r="U522" t="str">
        <f>IF(B522=1,MAX($U$2:$U521)+1,IF(AND($T522&lt;&gt;"",$T522=$T521),$U521,IF(B522="x",U521,"")))</f>
        <v/>
      </c>
      <c r="V522" t="str">
        <f>IF(C522=1,MAX($V$2:$V521)+1,IF(AND($T522&lt;&gt;"",$T522=$T521),$U521,IF(C522="x",V521,"")))</f>
        <v/>
      </c>
      <c r="W522" t="str">
        <f t="shared" si="274"/>
        <v>a</v>
      </c>
      <c r="X522">
        <v>52</v>
      </c>
      <c r="Y522" t="e">
        <f>IF(X522&lt;&gt;"",VLOOKUP(X522,game_rosters!$C$43:$E$64,3,FALSE))</f>
        <v>#N/A</v>
      </c>
      <c r="Z522" cm="1">
        <f t="array" ref="Z522">IFERROR(IF(_xlfn._xlws.FILTER(game_rosters!$J:$J,(game_rosters!$G:$G=events!$AN522)*(game_rosters!$J:$J=events!$X522))&gt;0,1,""),"")</f>
        <v>1</v>
      </c>
      <c r="AA522">
        <f t="shared" si="275"/>
        <v>1279</v>
      </c>
      <c r="AB522" t="str">
        <f t="shared" si="276"/>
        <v/>
      </c>
      <c r="AC522">
        <f t="shared" si="273"/>
        <v>1279</v>
      </c>
      <c r="AD522" s="6">
        <v>1</v>
      </c>
      <c r="AE522" t="s">
        <v>937</v>
      </c>
      <c r="AF522" t="s">
        <v>910</v>
      </c>
      <c r="AG522" t="s">
        <v>756</v>
      </c>
      <c r="AH522" t="s">
        <v>756</v>
      </c>
      <c r="AI522" t="s">
        <v>367</v>
      </c>
      <c r="AJ522" t="str">
        <f t="shared" si="277"/>
        <v/>
      </c>
      <c r="AK522" t="str">
        <f t="shared" si="277"/>
        <v/>
      </c>
      <c r="AL522" t="str">
        <f t="shared" si="278"/>
        <v/>
      </c>
      <c r="AN522" t="s">
        <v>862</v>
      </c>
      <c r="AO522" t="str">
        <f t="shared" si="279"/>
        <v>a</v>
      </c>
      <c r="AP522" t="str">
        <f t="shared" si="286"/>
        <v/>
      </c>
      <c r="AQ522" t="str">
        <f t="shared" si="287"/>
        <v/>
      </c>
      <c r="AR522" t="str">
        <f t="shared" si="288"/>
        <v>Away</v>
      </c>
      <c r="AS522" t="str">
        <f t="shared" si="289"/>
        <v>a</v>
      </c>
      <c r="AT522" t="str">
        <f t="shared" si="290"/>
        <v>Offensive</v>
      </c>
      <c r="BA522" s="6">
        <f t="shared" si="280"/>
        <v>128</v>
      </c>
      <c r="BB522">
        <f t="shared" si="281"/>
        <v>18981</v>
      </c>
      <c r="BC522" t="str">
        <f t="shared" si="282"/>
        <v>Nelson</v>
      </c>
      <c r="BD522" t="str">
        <f t="shared" si="283"/>
        <v>Velodrome</v>
      </c>
      <c r="BE522" t="s">
        <v>7</v>
      </c>
      <c r="BF522" t="s">
        <v>172</v>
      </c>
      <c r="BG522" t="s">
        <v>67</v>
      </c>
      <c r="BI522" cm="1">
        <f t="array" ref="BI522">IFERROR(_xlfn._xlws.FILTER(shifts!A:A,(shifts!B:B=events!AD522)*(shifts!AG:AG&gt;=events!BK522)*(shifts!AH:AH&lt;=events!BL522)),BI521)</f>
        <v>27</v>
      </c>
      <c r="BJ522" s="15">
        <f t="shared" si="284"/>
        <v>0</v>
      </c>
      <c r="BK522">
        <f t="shared" si="291"/>
        <v>430</v>
      </c>
      <c r="BL522">
        <f t="shared" si="292"/>
        <v>430</v>
      </c>
      <c r="BM522" s="15">
        <f>SUMIFS(BJ$2:BJ522,K$2:K522,"=Intermission")+SUMIFS(BJ$2:BJ522,K$2:K522,"=Timeout")</f>
        <v>0</v>
      </c>
      <c r="BN522">
        <f t="shared" si="293"/>
        <v>0</v>
      </c>
      <c r="BO522" s="19">
        <f t="shared" si="294"/>
        <v>650</v>
      </c>
      <c r="BP522">
        <f t="shared" si="295"/>
        <v>645</v>
      </c>
      <c r="BQ522" s="17">
        <f t="shared" si="296"/>
        <v>650</v>
      </c>
      <c r="BR522" t="str">
        <f t="shared" si="297"/>
        <v>event_team_player_1</v>
      </c>
      <c r="BS522">
        <f>COUNTIFS(S$3:S522,"="&amp;S522,AI$3:AI522,"="&amp;AI522)</f>
        <v>1</v>
      </c>
      <c r="BT522" t="str">
        <f>IFERROR(VLOOKUP(BB522&amp;BU522&amp;X522,game_rosters!U:W,3,FALSE),"")</f>
        <v>P100070</v>
      </c>
      <c r="BU522" t="str">
        <f t="shared" si="298"/>
        <v>Velodrome</v>
      </c>
    </row>
    <row r="523" spans="1:73" x14ac:dyDescent="0.2">
      <c r="A523">
        <f t="shared" si="285"/>
        <v>1</v>
      </c>
      <c r="E523" s="4"/>
      <c r="F523" s="43"/>
      <c r="G523" s="4"/>
      <c r="H523" s="46"/>
      <c r="J523" s="44" t="str">
        <f t="shared" si="299"/>
        <v/>
      </c>
      <c r="K523" t="s">
        <v>7</v>
      </c>
      <c r="L523" t="s">
        <v>172</v>
      </c>
      <c r="M523" t="s">
        <v>67</v>
      </c>
      <c r="N523" t="str">
        <f t="shared" si="270"/>
        <v>s</v>
      </c>
      <c r="Q523" t="str">
        <f t="shared" si="268"/>
        <v/>
      </c>
      <c r="S523">
        <v>279</v>
      </c>
      <c r="U523" t="str">
        <f>IF(B523=1,MAX($U$2:$U522)+1,IF(AND($T523&lt;&gt;"",$T523=$T522),$U522,IF(B523="x",U522,"")))</f>
        <v/>
      </c>
      <c r="V523" t="str">
        <f>IF(C523=1,MAX($V$2:$V522)+1,IF(AND($T523&lt;&gt;"",$T523=$T522),$U522,IF(C523="x",V522,"")))</f>
        <v/>
      </c>
      <c r="W523" t="str">
        <f t="shared" si="274"/>
        <v>a</v>
      </c>
      <c r="X523">
        <v>14</v>
      </c>
      <c r="Y523" t="e">
        <f>IF(X523&lt;&gt;"",VLOOKUP(X523,game_rosters!$C$43:$E$64,3,FALSE))</f>
        <v>#N/A</v>
      </c>
      <c r="Z523" cm="1">
        <f t="array" ref="Z523">IFERROR(IF(_xlfn._xlws.FILTER(game_rosters!$J:$J,(game_rosters!$G:$G=events!$AN523)*(game_rosters!$J:$J=events!$X523))&gt;0,1,""),"")</f>
        <v>1</v>
      </c>
      <c r="AA523">
        <f t="shared" si="275"/>
        <v>1279</v>
      </c>
      <c r="AB523" t="str">
        <f t="shared" si="276"/>
        <v/>
      </c>
      <c r="AC523">
        <f t="shared" si="273"/>
        <v>1279</v>
      </c>
      <c r="AD523" s="6">
        <v>1</v>
      </c>
      <c r="AE523" t="s">
        <v>937</v>
      </c>
      <c r="AF523" t="s">
        <v>910</v>
      </c>
      <c r="AG523" t="s">
        <v>756</v>
      </c>
      <c r="AH523" t="s">
        <v>756</v>
      </c>
      <c r="AI523" t="s">
        <v>367</v>
      </c>
      <c r="AJ523" t="str">
        <f t="shared" si="277"/>
        <v/>
      </c>
      <c r="AK523" t="str">
        <f t="shared" si="277"/>
        <v/>
      </c>
      <c r="AL523" t="str">
        <f t="shared" si="278"/>
        <v/>
      </c>
      <c r="AN523" t="s">
        <v>862</v>
      </c>
      <c r="AO523" t="str">
        <f t="shared" si="279"/>
        <v>a</v>
      </c>
      <c r="AP523" t="str">
        <f t="shared" si="286"/>
        <v/>
      </c>
      <c r="AQ523" t="str">
        <f t="shared" si="287"/>
        <v/>
      </c>
      <c r="AR523" t="str">
        <f t="shared" si="288"/>
        <v>Away</v>
      </c>
      <c r="AS523" t="str">
        <f t="shared" si="289"/>
        <v>a</v>
      </c>
      <c r="AT523" t="str">
        <f t="shared" si="290"/>
        <v>Offensive</v>
      </c>
      <c r="BA523" s="6">
        <f t="shared" si="280"/>
        <v>128</v>
      </c>
      <c r="BB523">
        <f t="shared" si="281"/>
        <v>18981</v>
      </c>
      <c r="BC523" t="str">
        <f t="shared" si="282"/>
        <v>Nelson</v>
      </c>
      <c r="BD523" t="str">
        <f t="shared" si="283"/>
        <v>Velodrome</v>
      </c>
      <c r="BE523" t="s">
        <v>7</v>
      </c>
      <c r="BF523" t="s">
        <v>172</v>
      </c>
      <c r="BG523" t="s">
        <v>67</v>
      </c>
      <c r="BI523" cm="1">
        <f t="array" ref="BI523">IFERROR(_xlfn._xlws.FILTER(shifts!A:A,(shifts!B:B=events!AD523)*(shifts!AG:AG&gt;=events!BK523)*(shifts!AH:AH&lt;=events!BL523)),BI522)</f>
        <v>27</v>
      </c>
      <c r="BJ523" s="15">
        <f t="shared" si="284"/>
        <v>0</v>
      </c>
      <c r="BK523">
        <f t="shared" si="291"/>
        <v>430</v>
      </c>
      <c r="BL523">
        <f t="shared" si="292"/>
        <v>430</v>
      </c>
      <c r="BM523" s="15">
        <f>SUMIFS(BJ$2:BJ523,K$2:K523,"=Intermission")+SUMIFS(BJ$2:BJ523,K$2:K523,"=Timeout")</f>
        <v>0</v>
      </c>
      <c r="BN523">
        <f t="shared" si="293"/>
        <v>0</v>
      </c>
      <c r="BO523" s="19">
        <f t="shared" si="294"/>
        <v>650</v>
      </c>
      <c r="BP523">
        <f t="shared" si="295"/>
        <v>645</v>
      </c>
      <c r="BQ523" s="17">
        <f t="shared" si="296"/>
        <v>650</v>
      </c>
      <c r="BR523" t="str">
        <f t="shared" si="297"/>
        <v>event_team_player_2</v>
      </c>
      <c r="BS523">
        <f>COUNTIFS(S$3:S523,"="&amp;S523,AI$3:AI523,"="&amp;AI523)</f>
        <v>2</v>
      </c>
      <c r="BT523" t="str">
        <f>IFERROR(VLOOKUP(BB523&amp;BU523&amp;X523,game_rosters!U:W,3,FALSE),"")</f>
        <v>P100132</v>
      </c>
      <c r="BU523" t="str">
        <f t="shared" si="298"/>
        <v>Velodrome</v>
      </c>
    </row>
    <row r="524" spans="1:73" x14ac:dyDescent="0.2">
      <c r="A524">
        <f t="shared" si="285"/>
        <v>1</v>
      </c>
      <c r="E524" s="4"/>
      <c r="F524" s="43"/>
      <c r="G524" s="4"/>
      <c r="H524" s="46"/>
      <c r="J524" s="44" t="str">
        <f t="shared" si="299"/>
        <v>o</v>
      </c>
      <c r="K524" t="s">
        <v>238</v>
      </c>
      <c r="L524" t="s">
        <v>174</v>
      </c>
      <c r="M524" t="s">
        <v>87</v>
      </c>
      <c r="N524" t="str">
        <f t="shared" si="270"/>
        <v>s</v>
      </c>
      <c r="Q524" t="str">
        <f t="shared" si="268"/>
        <v/>
      </c>
      <c r="S524">
        <v>280</v>
      </c>
      <c r="U524" t="str">
        <f>IF(B524=1,MAX($U$2:$U523)+1,IF(AND($T524&lt;&gt;"",$T524=$T523),$U523,IF(B524="x",U523,"")))</f>
        <v/>
      </c>
      <c r="V524" t="str">
        <f>IF(C524=1,MAX($V$2:$V523)+1,IF(AND($T524&lt;&gt;"",$T524=$T523),$U523,IF(C524="x",V523,"")))</f>
        <v/>
      </c>
      <c r="W524" t="str">
        <f t="shared" si="274"/>
        <v>a</v>
      </c>
      <c r="X524">
        <v>14</v>
      </c>
      <c r="Y524" t="e">
        <f>IF(X524&lt;&gt;"",VLOOKUP(X524,game_rosters!$C$43:$E$64,3,FALSE))</f>
        <v>#N/A</v>
      </c>
      <c r="Z524" cm="1">
        <f t="array" ref="Z524">IFERROR(IF(_xlfn._xlws.FILTER(game_rosters!$J:$J,(game_rosters!$G:$G=events!$AN524)*(game_rosters!$J:$J=events!$X524))&gt;0,1,""),"")</f>
        <v>1</v>
      </c>
      <c r="AA524">
        <f t="shared" si="275"/>
        <v>1280</v>
      </c>
      <c r="AB524" t="str">
        <f t="shared" si="276"/>
        <v/>
      </c>
      <c r="AC524">
        <f t="shared" si="273"/>
        <v>1280</v>
      </c>
      <c r="AD524" s="6">
        <v>1</v>
      </c>
      <c r="AE524" t="s">
        <v>937</v>
      </c>
      <c r="AF524" t="s">
        <v>910</v>
      </c>
      <c r="AG524" t="s">
        <v>756</v>
      </c>
      <c r="AH524" t="s">
        <v>756</v>
      </c>
      <c r="AI524" t="s">
        <v>367</v>
      </c>
      <c r="AJ524" t="str">
        <f t="shared" si="277"/>
        <v>o</v>
      </c>
      <c r="AK524" t="str">
        <f t="shared" si="277"/>
        <v>o</v>
      </c>
      <c r="AL524" t="str">
        <f t="shared" si="278"/>
        <v>d</v>
      </c>
      <c r="AN524" t="s">
        <v>862</v>
      </c>
      <c r="AO524" t="str">
        <f t="shared" si="279"/>
        <v>a</v>
      </c>
      <c r="AP524" t="str">
        <f t="shared" si="286"/>
        <v>d</v>
      </c>
      <c r="AQ524" t="str">
        <f t="shared" si="287"/>
        <v/>
      </c>
      <c r="AR524" t="str">
        <f t="shared" si="288"/>
        <v>Away</v>
      </c>
      <c r="AS524" t="str">
        <f t="shared" si="289"/>
        <v>a</v>
      </c>
      <c r="AT524" t="str">
        <f t="shared" si="290"/>
        <v>Offensive</v>
      </c>
      <c r="BA524" s="6">
        <f t="shared" si="280"/>
        <v>129</v>
      </c>
      <c r="BB524">
        <f t="shared" si="281"/>
        <v>18981</v>
      </c>
      <c r="BC524" t="str">
        <f t="shared" si="282"/>
        <v>Nelson</v>
      </c>
      <c r="BD524" t="str">
        <f t="shared" si="283"/>
        <v>Velodrome</v>
      </c>
      <c r="BE524" t="s">
        <v>238</v>
      </c>
      <c r="BF524" t="s">
        <v>174</v>
      </c>
      <c r="BG524" t="s">
        <v>87</v>
      </c>
      <c r="BI524" cm="1">
        <f t="array" ref="BI524">IFERROR(_xlfn._xlws.FILTER(shifts!A:A,(shifts!B:B=events!AD524)*(shifts!AG:AG&gt;=events!BK524)*(shifts!AH:AH&lt;=events!BL524)),BI523)</f>
        <v>27</v>
      </c>
      <c r="BJ524" s="15">
        <f t="shared" si="284"/>
        <v>0</v>
      </c>
      <c r="BK524">
        <f t="shared" si="291"/>
        <v>430</v>
      </c>
      <c r="BL524">
        <f t="shared" si="292"/>
        <v>430</v>
      </c>
      <c r="BM524" s="15">
        <f>SUMIFS(BJ$2:BJ524,K$2:K524,"=Intermission")+SUMIFS(BJ$2:BJ524,K$2:K524,"=Timeout")</f>
        <v>0</v>
      </c>
      <c r="BN524">
        <f t="shared" si="293"/>
        <v>0</v>
      </c>
      <c r="BO524" s="19">
        <f t="shared" si="294"/>
        <v>650</v>
      </c>
      <c r="BP524">
        <f t="shared" si="295"/>
        <v>645</v>
      </c>
      <c r="BQ524" s="17">
        <f t="shared" si="296"/>
        <v>650</v>
      </c>
      <c r="BR524" t="str">
        <f t="shared" si="297"/>
        <v>event_team_player_1</v>
      </c>
      <c r="BS524">
        <f>COUNTIFS(S$3:S524,"="&amp;S524,AI$3:AI524,"="&amp;AI524)</f>
        <v>1</v>
      </c>
      <c r="BT524" t="str">
        <f>IFERROR(VLOOKUP(BB524&amp;BU524&amp;X524,game_rosters!U:W,3,FALSE),"")</f>
        <v>P100132</v>
      </c>
      <c r="BU524" t="str">
        <f t="shared" si="298"/>
        <v>Velodrome</v>
      </c>
    </row>
    <row r="525" spans="1:73" x14ac:dyDescent="0.2">
      <c r="A525">
        <f t="shared" si="285"/>
        <v>1</v>
      </c>
      <c r="E525" s="4"/>
      <c r="F525" s="43"/>
      <c r="G525" s="4"/>
      <c r="H525" s="46"/>
      <c r="J525" s="44" t="str">
        <f t="shared" si="299"/>
        <v/>
      </c>
      <c r="K525" t="s">
        <v>9</v>
      </c>
      <c r="L525" t="s">
        <v>173</v>
      </c>
      <c r="M525" t="s">
        <v>354</v>
      </c>
      <c r="N525" t="str">
        <f t="shared" si="270"/>
        <v>u</v>
      </c>
      <c r="Q525" t="str">
        <f t="shared" si="268"/>
        <v/>
      </c>
      <c r="S525">
        <v>281</v>
      </c>
      <c r="U525" t="str">
        <f>IF(B525=1,MAX($U$2:$U524)+1,IF(AND($T525&lt;&gt;"",$T525=$T524),$U524,IF(B525="x",U524,"")))</f>
        <v/>
      </c>
      <c r="V525" t="str">
        <f>IF(C525=1,MAX($V$2:$V524)+1,IF(AND($T525&lt;&gt;"",$T525=$T524),$U524,IF(C525="x",V524,"")))</f>
        <v/>
      </c>
      <c r="W525" t="str">
        <f t="shared" si="274"/>
        <v>a</v>
      </c>
      <c r="X525">
        <v>14</v>
      </c>
      <c r="Y525" t="e">
        <f>IF(X525&lt;&gt;"",VLOOKUP(X525,game_rosters!$C$43:$E$64,3,FALSE))</f>
        <v>#N/A</v>
      </c>
      <c r="Z525" cm="1">
        <f t="array" ref="Z525">IFERROR(IF(_xlfn._xlws.FILTER(game_rosters!$J:$J,(game_rosters!$G:$G=events!$AN525)*(game_rosters!$J:$J=events!$X525))&gt;0,1,""),"")</f>
        <v>1</v>
      </c>
      <c r="AA525">
        <f t="shared" si="275"/>
        <v>1281</v>
      </c>
      <c r="AB525" t="str">
        <f t="shared" si="276"/>
        <v/>
      </c>
      <c r="AC525">
        <f t="shared" si="273"/>
        <v>1281</v>
      </c>
      <c r="AD525" s="6">
        <v>1</v>
      </c>
      <c r="AE525" t="s">
        <v>937</v>
      </c>
      <c r="AF525" t="s">
        <v>910</v>
      </c>
      <c r="AG525" t="s">
        <v>756</v>
      </c>
      <c r="AH525" t="s">
        <v>756</v>
      </c>
      <c r="AI525" t="s">
        <v>367</v>
      </c>
      <c r="AJ525" t="str">
        <f t="shared" si="277"/>
        <v/>
      </c>
      <c r="AK525" t="str">
        <f t="shared" si="277"/>
        <v/>
      </c>
      <c r="AL525" t="str">
        <f t="shared" si="278"/>
        <v/>
      </c>
      <c r="AN525" t="s">
        <v>862</v>
      </c>
      <c r="AO525" t="str">
        <f t="shared" si="279"/>
        <v>a</v>
      </c>
      <c r="AP525" t="str">
        <f t="shared" si="286"/>
        <v/>
      </c>
      <c r="AQ525" t="str">
        <f t="shared" si="287"/>
        <v/>
      </c>
      <c r="AR525" t="str">
        <f t="shared" si="288"/>
        <v>Away</v>
      </c>
      <c r="AS525" t="str">
        <f t="shared" si="289"/>
        <v>a</v>
      </c>
      <c r="AT525" t="str">
        <f t="shared" si="290"/>
        <v>Offensive</v>
      </c>
      <c r="BA525" s="6">
        <f t="shared" si="280"/>
        <v>129</v>
      </c>
      <c r="BB525">
        <f t="shared" si="281"/>
        <v>18981</v>
      </c>
      <c r="BC525" t="str">
        <f t="shared" si="282"/>
        <v>Nelson</v>
      </c>
      <c r="BD525" t="str">
        <f t="shared" si="283"/>
        <v>Velodrome</v>
      </c>
      <c r="BE525" t="s">
        <v>9</v>
      </c>
      <c r="BF525" t="s">
        <v>173</v>
      </c>
      <c r="BG525" t="s">
        <v>354</v>
      </c>
      <c r="BI525" cm="1">
        <f t="array" ref="BI525">IFERROR(_xlfn._xlws.FILTER(shifts!A:A,(shifts!B:B=events!AD525)*(shifts!AG:AG&gt;=events!BK525)*(shifts!AH:AH&lt;=events!BL525)),BI524)</f>
        <v>27</v>
      </c>
      <c r="BJ525" s="15">
        <f t="shared" si="284"/>
        <v>0</v>
      </c>
      <c r="BK525">
        <f t="shared" si="291"/>
        <v>430</v>
      </c>
      <c r="BL525">
        <f t="shared" si="292"/>
        <v>430</v>
      </c>
      <c r="BM525" s="15">
        <f>SUMIFS(BJ$2:BJ525,K$2:K525,"=Intermission")+SUMIFS(BJ$2:BJ525,K$2:K525,"=Timeout")</f>
        <v>0</v>
      </c>
      <c r="BN525">
        <f t="shared" si="293"/>
        <v>0</v>
      </c>
      <c r="BO525" s="19">
        <f t="shared" si="294"/>
        <v>650</v>
      </c>
      <c r="BP525">
        <f t="shared" si="295"/>
        <v>645</v>
      </c>
      <c r="BQ525" s="17">
        <f t="shared" si="296"/>
        <v>650</v>
      </c>
      <c r="BR525" t="str">
        <f t="shared" si="297"/>
        <v>event_team_player_1</v>
      </c>
      <c r="BS525">
        <f>COUNTIFS(S$3:S525,"="&amp;S525,AI$3:AI525,"="&amp;AI525)</f>
        <v>1</v>
      </c>
      <c r="BT525" t="str">
        <f>IFERROR(VLOOKUP(BB525&amp;BU525&amp;X525,game_rosters!U:W,3,FALSE),"")</f>
        <v>P100132</v>
      </c>
      <c r="BU525" t="str">
        <f t="shared" si="298"/>
        <v>Velodrome</v>
      </c>
    </row>
    <row r="526" spans="1:73" x14ac:dyDescent="0.2">
      <c r="A526">
        <f t="shared" si="285"/>
        <v>1</v>
      </c>
      <c r="E526" s="4"/>
      <c r="F526" s="43"/>
      <c r="G526" s="4"/>
      <c r="H526" s="46"/>
      <c r="J526" s="44" t="str">
        <f t="shared" si="299"/>
        <v/>
      </c>
      <c r="K526" t="s">
        <v>13</v>
      </c>
      <c r="L526" t="s">
        <v>756</v>
      </c>
      <c r="M526" t="s">
        <v>756</v>
      </c>
      <c r="N526" t="str">
        <f t="shared" si="270"/>
        <v/>
      </c>
      <c r="Q526" t="str">
        <f t="shared" si="268"/>
        <v/>
      </c>
      <c r="S526">
        <v>282</v>
      </c>
      <c r="U526" t="str">
        <f>IF(B526=1,MAX($U$2:$U525)+1,IF(AND($T526&lt;&gt;"",$T526=$T525),$U525,IF(B526="x",U525,"")))</f>
        <v/>
      </c>
      <c r="V526" t="str">
        <f>IF(C526=1,MAX($V$2:$V525)+1,IF(AND($T526&lt;&gt;"",$T526=$T525),$U525,IF(C526="x",V525,"")))</f>
        <v/>
      </c>
      <c r="W526" t="str">
        <f t="shared" si="274"/>
        <v>h</v>
      </c>
      <c r="X526">
        <v>8</v>
      </c>
      <c r="Y526" t="b">
        <f>IF(X526&lt;&gt;"",VLOOKUP(X526,game_rosters!$C$43:$E$64,3,FALSE))</f>
        <v>0</v>
      </c>
      <c r="Z526" cm="1">
        <f t="array" ref="Z526">IFERROR(IF(_xlfn._xlws.FILTER(game_rosters!$J:$J,(game_rosters!$G:$G=events!$AN526)*(game_rosters!$J:$J=events!$X526))&gt;0,1,""),"")</f>
        <v>1</v>
      </c>
      <c r="AA526">
        <f t="shared" si="275"/>
        <v>1282</v>
      </c>
      <c r="AB526" t="str">
        <f t="shared" si="276"/>
        <v/>
      </c>
      <c r="AC526">
        <f t="shared" si="273"/>
        <v>1282</v>
      </c>
      <c r="AD526" s="6">
        <v>1</v>
      </c>
      <c r="AE526" t="s">
        <v>937</v>
      </c>
      <c r="AF526" t="s">
        <v>912</v>
      </c>
      <c r="AG526" t="s">
        <v>937</v>
      </c>
      <c r="AH526" t="s">
        <v>913</v>
      </c>
      <c r="AI526" t="s">
        <v>367</v>
      </c>
      <c r="AJ526" t="str">
        <f t="shared" si="277"/>
        <v/>
      </c>
      <c r="AK526" t="str">
        <f t="shared" si="277"/>
        <v/>
      </c>
      <c r="AL526" t="str">
        <f t="shared" si="278"/>
        <v/>
      </c>
      <c r="AN526" t="s">
        <v>861</v>
      </c>
      <c r="AO526" t="str">
        <f t="shared" si="279"/>
        <v>h</v>
      </c>
      <c r="AP526" t="str">
        <f t="shared" si="286"/>
        <v/>
      </c>
      <c r="AQ526" t="str">
        <f t="shared" si="287"/>
        <v/>
      </c>
      <c r="AR526" t="str">
        <f t="shared" si="288"/>
        <v>Home</v>
      </c>
      <c r="AS526" t="str">
        <f t="shared" si="289"/>
        <v>h</v>
      </c>
      <c r="AT526" t="str">
        <f t="shared" si="290"/>
        <v>Offensive</v>
      </c>
      <c r="BA526" s="6">
        <f t="shared" si="280"/>
        <v>129</v>
      </c>
      <c r="BB526">
        <f t="shared" si="281"/>
        <v>18981</v>
      </c>
      <c r="BC526" t="str">
        <f t="shared" si="282"/>
        <v>Nelson</v>
      </c>
      <c r="BD526" t="str">
        <f t="shared" si="283"/>
        <v>Velodrome</v>
      </c>
      <c r="BE526" t="s">
        <v>13</v>
      </c>
      <c r="BF526" t="s">
        <v>756</v>
      </c>
      <c r="BG526" t="s">
        <v>756</v>
      </c>
      <c r="BI526" cm="1">
        <f t="array" ref="BI526">IFERROR(_xlfn._xlws.FILTER(shifts!A:A,(shifts!B:B=events!AD526)*(shifts!AG:AG&gt;=events!BK526)*(shifts!AH:AH&lt;=events!BL526)),BI525)</f>
        <v>27</v>
      </c>
      <c r="BJ526" s="15">
        <f t="shared" si="284"/>
        <v>3</v>
      </c>
      <c r="BK526">
        <f t="shared" si="291"/>
        <v>425</v>
      </c>
      <c r="BL526">
        <f t="shared" si="292"/>
        <v>422</v>
      </c>
      <c r="BM526" s="15">
        <f>SUMIFS(BJ$2:BJ526,K$2:K526,"=Intermission")+SUMIFS(BJ$2:BJ526,K$2:K526,"=Timeout")</f>
        <v>0</v>
      </c>
      <c r="BN526">
        <f t="shared" si="293"/>
        <v>0</v>
      </c>
      <c r="BO526" s="19">
        <f t="shared" si="294"/>
        <v>655</v>
      </c>
      <c r="BP526">
        <f t="shared" si="295"/>
        <v>650</v>
      </c>
      <c r="BQ526" s="17">
        <f t="shared" si="296"/>
        <v>658</v>
      </c>
      <c r="BR526" t="str">
        <f t="shared" si="297"/>
        <v>event_team_player_1</v>
      </c>
      <c r="BS526">
        <f>COUNTIFS(S$3:S526,"="&amp;S526,AI$3:AI526,"="&amp;AI526)</f>
        <v>1</v>
      </c>
      <c r="BT526" t="str">
        <f>IFERROR(VLOOKUP(BB526&amp;BU526&amp;X526,game_rosters!U:W,3,FALSE),"")</f>
        <v>P100074</v>
      </c>
      <c r="BU526" t="str">
        <f t="shared" si="298"/>
        <v>Nelson</v>
      </c>
    </row>
    <row r="527" spans="1:73" x14ac:dyDescent="0.2">
      <c r="A527">
        <f t="shared" si="285"/>
        <v>1</v>
      </c>
      <c r="E527" s="4"/>
      <c r="F527" s="43"/>
      <c r="G527" s="4"/>
      <c r="H527" s="46"/>
      <c r="J527" s="44" t="str">
        <f t="shared" si="299"/>
        <v/>
      </c>
      <c r="K527" t="s">
        <v>7</v>
      </c>
      <c r="L527" t="s">
        <v>172</v>
      </c>
      <c r="M527" t="s">
        <v>66</v>
      </c>
      <c r="N527" t="str">
        <f t="shared" si="270"/>
        <v>s</v>
      </c>
      <c r="Q527" t="str">
        <f t="shared" si="268"/>
        <v/>
      </c>
      <c r="S527">
        <v>283</v>
      </c>
      <c r="U527" t="str">
        <f>IF(B527=1,MAX($U$2:$U526)+1,IF(AND($T527&lt;&gt;"",$T527=$T526),$U526,IF(B527="x",U526,"")))</f>
        <v/>
      </c>
      <c r="V527" t="str">
        <f>IF(C527=1,MAX($V$2:$V526)+1,IF(AND($T527&lt;&gt;"",$T527=$T526),$U526,IF(C527="x",V526,"")))</f>
        <v/>
      </c>
      <c r="W527" t="str">
        <f t="shared" si="274"/>
        <v>h</v>
      </c>
      <c r="X527">
        <v>8</v>
      </c>
      <c r="Y527" t="b">
        <f>IF(X527&lt;&gt;"",VLOOKUP(X527,game_rosters!$C$43:$E$64,3,FALSE))</f>
        <v>0</v>
      </c>
      <c r="Z527" cm="1">
        <f t="array" ref="Z527">IFERROR(IF(_xlfn._xlws.FILTER(game_rosters!$J:$J,(game_rosters!$G:$G=events!$AN527)*(game_rosters!$J:$J=events!$X527))&gt;0,1,""),"")</f>
        <v>1</v>
      </c>
      <c r="AA527">
        <f t="shared" si="275"/>
        <v>1283</v>
      </c>
      <c r="AB527" t="str">
        <f t="shared" si="276"/>
        <v/>
      </c>
      <c r="AC527">
        <f t="shared" si="273"/>
        <v>1283</v>
      </c>
      <c r="AD527" s="6">
        <v>1</v>
      </c>
      <c r="AE527" t="s">
        <v>937</v>
      </c>
      <c r="AF527" t="s">
        <v>913</v>
      </c>
      <c r="AG527" t="s">
        <v>756</v>
      </c>
      <c r="AH527" t="s">
        <v>756</v>
      </c>
      <c r="AI527" t="s">
        <v>367</v>
      </c>
      <c r="AJ527" t="str">
        <f t="shared" si="277"/>
        <v/>
      </c>
      <c r="AK527" t="str">
        <f t="shared" si="277"/>
        <v/>
      </c>
      <c r="AL527" t="str">
        <f t="shared" si="278"/>
        <v/>
      </c>
      <c r="AN527" t="s">
        <v>861</v>
      </c>
      <c r="AO527" t="str">
        <f t="shared" si="279"/>
        <v>h</v>
      </c>
      <c r="AP527" t="str">
        <f t="shared" si="286"/>
        <v/>
      </c>
      <c r="AQ527" t="str">
        <f t="shared" si="287"/>
        <v/>
      </c>
      <c r="AR527" t="str">
        <f t="shared" si="288"/>
        <v>Home</v>
      </c>
      <c r="AS527" t="str">
        <f t="shared" si="289"/>
        <v>h</v>
      </c>
      <c r="AT527" t="str">
        <f t="shared" si="290"/>
        <v>Offensive</v>
      </c>
      <c r="BA527" s="6">
        <f t="shared" si="280"/>
        <v>129</v>
      </c>
      <c r="BB527">
        <f t="shared" si="281"/>
        <v>18981</v>
      </c>
      <c r="BC527" t="str">
        <f t="shared" si="282"/>
        <v>Nelson</v>
      </c>
      <c r="BD527" t="str">
        <f t="shared" si="283"/>
        <v>Velodrome</v>
      </c>
      <c r="BE527" t="s">
        <v>7</v>
      </c>
      <c r="BF527" t="s">
        <v>172</v>
      </c>
      <c r="BG527" t="s">
        <v>66</v>
      </c>
      <c r="BI527" cm="1">
        <f t="array" ref="BI527">IFERROR(_xlfn._xlws.FILTER(shifts!A:A,(shifts!B:B=events!AD527)*(shifts!AG:AG&gt;=events!BK527)*(shifts!AH:AH&lt;=events!BL527)),BI526)</f>
        <v>27</v>
      </c>
      <c r="BJ527" s="15">
        <f t="shared" si="284"/>
        <v>0</v>
      </c>
      <c r="BK527">
        <f t="shared" si="291"/>
        <v>422</v>
      </c>
      <c r="BL527">
        <f t="shared" si="292"/>
        <v>422</v>
      </c>
      <c r="BM527" s="15">
        <f>SUMIFS(BJ$2:BJ527,K$2:K527,"=Intermission")+SUMIFS(BJ$2:BJ527,K$2:K527,"=Timeout")</f>
        <v>0</v>
      </c>
      <c r="BN527">
        <f t="shared" si="293"/>
        <v>0</v>
      </c>
      <c r="BO527" s="19">
        <f t="shared" si="294"/>
        <v>658</v>
      </c>
      <c r="BP527">
        <f t="shared" si="295"/>
        <v>653</v>
      </c>
      <c r="BQ527" s="17">
        <f t="shared" si="296"/>
        <v>658</v>
      </c>
      <c r="BR527" t="str">
        <f t="shared" si="297"/>
        <v>event_team_player_1</v>
      </c>
      <c r="BS527">
        <f>COUNTIFS(S$3:S527,"="&amp;S527,AI$3:AI527,"="&amp;AI527)</f>
        <v>1</v>
      </c>
      <c r="BT527" t="str">
        <f>IFERROR(VLOOKUP(BB527&amp;BU527&amp;X527,game_rosters!U:W,3,FALSE),"")</f>
        <v>P100074</v>
      </c>
      <c r="BU527" t="str">
        <f t="shared" si="298"/>
        <v>Nelson</v>
      </c>
    </row>
    <row r="528" spans="1:73" x14ac:dyDescent="0.2">
      <c r="A528">
        <f t="shared" si="285"/>
        <v>1</v>
      </c>
      <c r="E528" s="4"/>
      <c r="F528" s="43"/>
      <c r="G528" s="4"/>
      <c r="H528" s="46"/>
      <c r="J528" s="44" t="str">
        <f t="shared" si="299"/>
        <v/>
      </c>
      <c r="K528" t="s">
        <v>7</v>
      </c>
      <c r="L528" t="s">
        <v>172</v>
      </c>
      <c r="M528" t="s">
        <v>66</v>
      </c>
      <c r="N528" t="str">
        <f t="shared" si="270"/>
        <v>s</v>
      </c>
      <c r="Q528" t="str">
        <f t="shared" ref="Q528:Q591" si="300">IF(O528="","",IF(AND(N528&lt;&gt;"",OR(O528&lt;&gt;"",P528&lt;&gt;"")),N528,IF(OR(ISNUMBER(SEARCH("attemp",O528)),ISNUMBER(SEARCH("beat",O528)),ISNUMBER(SEARCH("mis",O528)),ISNUMBER(SEARCH("fail",O528)),ISNUMBER(SEARCH("loss",O528)),ISNUMBER(SEARCH("lost",O528)),ISNUMBER(SEARCH("attemp",P528)),ISNUMBER(SEARCH("mis",P528)),ISNUMBER(SEARCH("fail",P528)),ISNUMBER(SEARCH("loss",P528)),ISNUMBER(SEARCH("beat",P528)),ISNUMBER(SEARCH("lost",P528))),"u","")))</f>
        <v/>
      </c>
      <c r="S528">
        <v>283</v>
      </c>
      <c r="U528" t="str">
        <f>IF(B528=1,MAX($U$2:$U527)+1,IF(AND($T528&lt;&gt;"",$T528=$T527),$U527,IF(B528="x",U527,"")))</f>
        <v/>
      </c>
      <c r="V528" t="str">
        <f>IF(C528=1,MAX($V$2:$V527)+1,IF(AND($T528&lt;&gt;"",$T528=$T527),$U527,IF(C528="x",V527,"")))</f>
        <v/>
      </c>
      <c r="W528" t="str">
        <f t="shared" si="274"/>
        <v>h</v>
      </c>
      <c r="X528">
        <v>10</v>
      </c>
      <c r="Y528" t="b">
        <f>IF(X528&lt;&gt;"",VLOOKUP(X528,game_rosters!$C$43:$E$64,3,FALSE))</f>
        <v>0</v>
      </c>
      <c r="Z528" cm="1">
        <f t="array" ref="Z528">IFERROR(IF(_xlfn._xlws.FILTER(game_rosters!$J:$J,(game_rosters!$G:$G=events!$AN528)*(game_rosters!$J:$J=events!$X528))&gt;0,1,""),"")</f>
        <v>1</v>
      </c>
      <c r="AA528">
        <f t="shared" si="275"/>
        <v>1283</v>
      </c>
      <c r="AB528" t="str">
        <f t="shared" si="276"/>
        <v/>
      </c>
      <c r="AC528">
        <f t="shared" si="273"/>
        <v>1283</v>
      </c>
      <c r="AD528" s="6">
        <v>1</v>
      </c>
      <c r="AE528" t="s">
        <v>937</v>
      </c>
      <c r="AF528" t="s">
        <v>913</v>
      </c>
      <c r="AG528" t="s">
        <v>756</v>
      </c>
      <c r="AH528" t="s">
        <v>756</v>
      </c>
      <c r="AI528" t="s">
        <v>367</v>
      </c>
      <c r="AJ528" t="str">
        <f t="shared" si="277"/>
        <v/>
      </c>
      <c r="AK528" t="str">
        <f t="shared" si="277"/>
        <v/>
      </c>
      <c r="AL528" t="str">
        <f t="shared" si="278"/>
        <v/>
      </c>
      <c r="AN528" t="s">
        <v>861</v>
      </c>
      <c r="AO528" t="str">
        <f t="shared" si="279"/>
        <v>h</v>
      </c>
      <c r="AP528" t="str">
        <f t="shared" si="286"/>
        <v/>
      </c>
      <c r="AQ528" t="str">
        <f t="shared" si="287"/>
        <v/>
      </c>
      <c r="AR528" t="str">
        <f t="shared" si="288"/>
        <v>Home</v>
      </c>
      <c r="AS528" t="str">
        <f t="shared" si="289"/>
        <v>h</v>
      </c>
      <c r="AT528" t="str">
        <f t="shared" si="290"/>
        <v>Offensive</v>
      </c>
      <c r="BA528" s="6">
        <f t="shared" si="280"/>
        <v>129</v>
      </c>
      <c r="BB528">
        <f t="shared" si="281"/>
        <v>18981</v>
      </c>
      <c r="BC528" t="str">
        <f t="shared" si="282"/>
        <v>Nelson</v>
      </c>
      <c r="BD528" t="str">
        <f t="shared" si="283"/>
        <v>Velodrome</v>
      </c>
      <c r="BE528" t="s">
        <v>7</v>
      </c>
      <c r="BF528" t="s">
        <v>172</v>
      </c>
      <c r="BG528" t="s">
        <v>66</v>
      </c>
      <c r="BI528" cm="1">
        <f t="array" ref="BI528">IFERROR(_xlfn._xlws.FILTER(shifts!A:A,(shifts!B:B=events!AD528)*(shifts!AG:AG&gt;=events!BK528)*(shifts!AH:AH&lt;=events!BL528)),BI527)</f>
        <v>27</v>
      </c>
      <c r="BJ528" s="15">
        <f t="shared" si="284"/>
        <v>0</v>
      </c>
      <c r="BK528">
        <f t="shared" si="291"/>
        <v>422</v>
      </c>
      <c r="BL528">
        <f t="shared" si="292"/>
        <v>422</v>
      </c>
      <c r="BM528" s="15">
        <f>SUMIFS(BJ$2:BJ528,K$2:K528,"=Intermission")+SUMIFS(BJ$2:BJ528,K$2:K528,"=Timeout")</f>
        <v>0</v>
      </c>
      <c r="BN528">
        <f t="shared" si="293"/>
        <v>0</v>
      </c>
      <c r="BO528" s="19">
        <f t="shared" si="294"/>
        <v>658</v>
      </c>
      <c r="BP528">
        <f t="shared" si="295"/>
        <v>653</v>
      </c>
      <c r="BQ528" s="17">
        <f t="shared" si="296"/>
        <v>658</v>
      </c>
      <c r="BR528" t="str">
        <f t="shared" si="297"/>
        <v>event_team_player_2</v>
      </c>
      <c r="BS528">
        <f>COUNTIFS(S$3:S528,"="&amp;S528,AI$3:AI528,"="&amp;AI528)</f>
        <v>2</v>
      </c>
      <c r="BT528" t="str">
        <f>IFERROR(VLOOKUP(BB528&amp;BU528&amp;X528,game_rosters!U:W,3,FALSE),"")</f>
        <v>P100078</v>
      </c>
      <c r="BU528" t="str">
        <f t="shared" si="298"/>
        <v>Nelson</v>
      </c>
    </row>
    <row r="529" spans="1:73" x14ac:dyDescent="0.2">
      <c r="A529">
        <f t="shared" si="285"/>
        <v>1</v>
      </c>
      <c r="E529" s="4"/>
      <c r="F529" s="43"/>
      <c r="G529" s="4"/>
      <c r="H529" s="46"/>
      <c r="J529" s="44" t="str">
        <f t="shared" si="299"/>
        <v/>
      </c>
      <c r="K529" t="s">
        <v>7</v>
      </c>
      <c r="L529" t="s">
        <v>172</v>
      </c>
      <c r="M529" t="s">
        <v>66</v>
      </c>
      <c r="N529" t="str">
        <f t="shared" si="270"/>
        <v>s</v>
      </c>
      <c r="Q529" t="str">
        <f t="shared" si="300"/>
        <v/>
      </c>
      <c r="S529">
        <v>283</v>
      </c>
      <c r="U529" t="str">
        <f>IF(B529=1,MAX($U$2:$U528)+1,IF(AND($T529&lt;&gt;"",$T529=$T528),$U528,IF(B529="x",U528,"")))</f>
        <v/>
      </c>
      <c r="V529" t="str">
        <f>IF(C529=1,MAX($V$2:$V528)+1,IF(AND($T529&lt;&gt;"",$T529=$T528),$U528,IF(C529="x",V528,"")))</f>
        <v/>
      </c>
      <c r="W529" t="str">
        <f t="shared" si="274"/>
        <v>h</v>
      </c>
      <c r="X529">
        <v>49</v>
      </c>
      <c r="Y529" t="e">
        <f>IF(X529&lt;&gt;"",VLOOKUP(X529,game_rosters!$C$43:$E$64,3,FALSE))</f>
        <v>#N/A</v>
      </c>
      <c r="Z529" t="str" cm="1">
        <f t="array" ref="Z529">IFERROR(IF(_xlfn._xlws.FILTER(game_rosters!$J:$J,(game_rosters!$G:$G=events!$AN529)*(game_rosters!$J:$J=events!$X529))&gt;0,1,""),"")</f>
        <v/>
      </c>
      <c r="AA529">
        <f t="shared" si="275"/>
        <v>1283</v>
      </c>
      <c r="AB529" t="str">
        <f t="shared" si="276"/>
        <v/>
      </c>
      <c r="AC529">
        <f t="shared" si="273"/>
        <v>1283</v>
      </c>
      <c r="AD529" s="6">
        <v>1</v>
      </c>
      <c r="AE529" t="s">
        <v>937</v>
      </c>
      <c r="AF529" t="s">
        <v>913</v>
      </c>
      <c r="AG529" t="s">
        <v>756</v>
      </c>
      <c r="AH529" t="s">
        <v>756</v>
      </c>
      <c r="AI529" t="s">
        <v>368</v>
      </c>
      <c r="AJ529" t="str">
        <f t="shared" si="277"/>
        <v/>
      </c>
      <c r="AK529" t="str">
        <f t="shared" si="277"/>
        <v/>
      </c>
      <c r="AL529" t="str">
        <f t="shared" si="278"/>
        <v/>
      </c>
      <c r="AN529" t="s">
        <v>861</v>
      </c>
      <c r="AO529" t="str">
        <f t="shared" si="279"/>
        <v>h</v>
      </c>
      <c r="AP529" t="str">
        <f t="shared" si="286"/>
        <v/>
      </c>
      <c r="AQ529" t="str">
        <f t="shared" si="287"/>
        <v/>
      </c>
      <c r="AR529" t="str">
        <f t="shared" si="288"/>
        <v>Home</v>
      </c>
      <c r="AS529" t="str">
        <f t="shared" si="289"/>
        <v>h</v>
      </c>
      <c r="AT529" t="str">
        <f t="shared" si="290"/>
        <v>Defensive</v>
      </c>
      <c r="BA529" s="6">
        <f t="shared" si="280"/>
        <v>129</v>
      </c>
      <c r="BB529">
        <f t="shared" si="281"/>
        <v>18981</v>
      </c>
      <c r="BC529" t="str">
        <f t="shared" si="282"/>
        <v>Nelson</v>
      </c>
      <c r="BD529" t="str">
        <f t="shared" si="283"/>
        <v>Velodrome</v>
      </c>
      <c r="BE529" t="s">
        <v>7</v>
      </c>
      <c r="BF529" t="s">
        <v>172</v>
      </c>
      <c r="BG529" t="s">
        <v>66</v>
      </c>
      <c r="BI529" cm="1">
        <f t="array" ref="BI529">IFERROR(_xlfn._xlws.FILTER(shifts!A:A,(shifts!B:B=events!AD529)*(shifts!AG:AG&gt;=events!BK529)*(shifts!AH:AH&lt;=events!BL529)),BI528)</f>
        <v>27</v>
      </c>
      <c r="BJ529" s="15">
        <f t="shared" si="284"/>
        <v>0</v>
      </c>
      <c r="BK529">
        <f t="shared" si="291"/>
        <v>422</v>
      </c>
      <c r="BL529">
        <f t="shared" si="292"/>
        <v>422</v>
      </c>
      <c r="BM529" s="15">
        <f>SUMIFS(BJ$2:BJ529,K$2:K529,"=Intermission")+SUMIFS(BJ$2:BJ529,K$2:K529,"=Timeout")</f>
        <v>0</v>
      </c>
      <c r="BN529">
        <f t="shared" si="293"/>
        <v>0</v>
      </c>
      <c r="BO529" s="19">
        <f t="shared" si="294"/>
        <v>658</v>
      </c>
      <c r="BP529">
        <f t="shared" si="295"/>
        <v>653</v>
      </c>
      <c r="BQ529" s="17">
        <f t="shared" si="296"/>
        <v>658</v>
      </c>
      <c r="BR529" t="str">
        <f t="shared" si="297"/>
        <v>opp_team_player_1</v>
      </c>
      <c r="BS529">
        <f>COUNTIFS(S$3:S529,"="&amp;S529,AI$3:AI529,"="&amp;AI529)</f>
        <v>1</v>
      </c>
      <c r="BT529" t="str">
        <f>IFERROR(VLOOKUP(BB529&amp;BU529&amp;X529,game_rosters!U:W,3,FALSE),"")</f>
        <v>P100161</v>
      </c>
      <c r="BU529" t="str">
        <f t="shared" si="298"/>
        <v>Velodrome</v>
      </c>
    </row>
    <row r="530" spans="1:73" x14ac:dyDescent="0.2">
      <c r="A530">
        <f t="shared" si="285"/>
        <v>1</v>
      </c>
      <c r="E530" s="4"/>
      <c r="F530" s="43"/>
      <c r="G530" s="4"/>
      <c r="H530" s="46"/>
      <c r="J530" s="44" t="str">
        <f t="shared" si="299"/>
        <v/>
      </c>
      <c r="K530" t="s">
        <v>13</v>
      </c>
      <c r="L530" t="s">
        <v>756</v>
      </c>
      <c r="M530" t="s">
        <v>756</v>
      </c>
      <c r="N530" t="str">
        <f t="shared" si="270"/>
        <v/>
      </c>
      <c r="Q530" t="str">
        <f t="shared" si="300"/>
        <v/>
      </c>
      <c r="S530">
        <v>284</v>
      </c>
      <c r="U530" t="str">
        <f>IF(B530=1,MAX($U$2:$U529)+1,IF(AND($T530&lt;&gt;"",$T530=$T529),$U529,IF(B530="x",U529,"")))</f>
        <v/>
      </c>
      <c r="V530" t="str">
        <f>IF(C530=1,MAX($V$2:$V529)+1,IF(AND($T530&lt;&gt;"",$T530=$T529),$U529,IF(C530="x",V529,"")))</f>
        <v/>
      </c>
      <c r="W530" t="str">
        <f t="shared" si="274"/>
        <v>h</v>
      </c>
      <c r="X530">
        <v>10</v>
      </c>
      <c r="Y530" t="b">
        <f>IF(X530&lt;&gt;"",VLOOKUP(X530,game_rosters!$C$43:$E$64,3,FALSE))</f>
        <v>0</v>
      </c>
      <c r="Z530" cm="1">
        <f t="array" ref="Z530">IFERROR(IF(_xlfn._xlws.FILTER(game_rosters!$J:$J,(game_rosters!$G:$G=events!$AN530)*(game_rosters!$J:$J=events!$X530))&gt;0,1,""),"")</f>
        <v>1</v>
      </c>
      <c r="AA530">
        <f t="shared" si="275"/>
        <v>1284</v>
      </c>
      <c r="AB530" t="str">
        <f t="shared" si="276"/>
        <v/>
      </c>
      <c r="AC530">
        <f t="shared" si="273"/>
        <v>1284</v>
      </c>
      <c r="AD530" s="6">
        <v>1</v>
      </c>
      <c r="AE530" t="s">
        <v>937</v>
      </c>
      <c r="AF530" t="s">
        <v>913</v>
      </c>
      <c r="AG530" t="s">
        <v>937</v>
      </c>
      <c r="AH530" t="s">
        <v>413</v>
      </c>
      <c r="AI530" t="s">
        <v>367</v>
      </c>
      <c r="AJ530" t="str">
        <f t="shared" si="277"/>
        <v/>
      </c>
      <c r="AK530" t="str">
        <f t="shared" si="277"/>
        <v/>
      </c>
      <c r="AL530" t="str">
        <f t="shared" si="278"/>
        <v/>
      </c>
      <c r="AN530" t="s">
        <v>861</v>
      </c>
      <c r="AO530" t="str">
        <f t="shared" si="279"/>
        <v>h</v>
      </c>
      <c r="AP530" t="str">
        <f t="shared" si="286"/>
        <v/>
      </c>
      <c r="AQ530" t="str">
        <f t="shared" si="287"/>
        <v/>
      </c>
      <c r="AR530" t="str">
        <f t="shared" si="288"/>
        <v>Home</v>
      </c>
      <c r="AS530" t="str">
        <f t="shared" si="289"/>
        <v>h</v>
      </c>
      <c r="AT530" t="str">
        <f t="shared" si="290"/>
        <v>Offensive</v>
      </c>
      <c r="BA530" s="6">
        <f t="shared" si="280"/>
        <v>129</v>
      </c>
      <c r="BB530">
        <f t="shared" si="281"/>
        <v>18981</v>
      </c>
      <c r="BC530" t="str">
        <f t="shared" si="282"/>
        <v>Nelson</v>
      </c>
      <c r="BD530" t="str">
        <f t="shared" si="283"/>
        <v>Velodrome</v>
      </c>
      <c r="BE530" t="s">
        <v>13</v>
      </c>
      <c r="BF530" t="s">
        <v>756</v>
      </c>
      <c r="BG530" t="s">
        <v>756</v>
      </c>
      <c r="BI530" cm="1">
        <f t="array" ref="BI530">IFERROR(_xlfn._xlws.FILTER(shifts!A:A,(shifts!B:B=events!AD530)*(shifts!AG:AG&gt;=events!BK530)*(shifts!AH:AH&lt;=events!BL530)),BI529)</f>
        <v>27</v>
      </c>
      <c r="BJ530" s="15">
        <f t="shared" si="284"/>
        <v>2</v>
      </c>
      <c r="BK530">
        <f t="shared" si="291"/>
        <v>422</v>
      </c>
      <c r="BL530">
        <f t="shared" si="292"/>
        <v>420</v>
      </c>
      <c r="BM530" s="15">
        <f>SUMIFS(BJ$2:BJ530,K$2:K530,"=Intermission")+SUMIFS(BJ$2:BJ530,K$2:K530,"=Timeout")</f>
        <v>0</v>
      </c>
      <c r="BN530">
        <f t="shared" si="293"/>
        <v>0</v>
      </c>
      <c r="BO530" s="19">
        <f t="shared" si="294"/>
        <v>658</v>
      </c>
      <c r="BP530">
        <f t="shared" si="295"/>
        <v>653</v>
      </c>
      <c r="BQ530" s="17">
        <f t="shared" si="296"/>
        <v>660</v>
      </c>
      <c r="BR530" t="str">
        <f t="shared" si="297"/>
        <v>event_team_player_1</v>
      </c>
      <c r="BS530">
        <f>COUNTIFS(S$3:S530,"="&amp;S530,AI$3:AI530,"="&amp;AI530)</f>
        <v>1</v>
      </c>
      <c r="BT530" t="str">
        <f>IFERROR(VLOOKUP(BB530&amp;BU530&amp;X530,game_rosters!U:W,3,FALSE),"")</f>
        <v>P100078</v>
      </c>
      <c r="BU530" t="str">
        <f t="shared" si="298"/>
        <v>Nelson</v>
      </c>
    </row>
    <row r="531" spans="1:73" x14ac:dyDescent="0.2">
      <c r="A531">
        <f t="shared" si="285"/>
        <v>1</v>
      </c>
      <c r="E531" s="4"/>
      <c r="F531" s="43"/>
      <c r="G531" s="4"/>
      <c r="H531" s="46"/>
      <c r="J531" s="44" t="str">
        <f t="shared" si="299"/>
        <v/>
      </c>
      <c r="K531" t="s">
        <v>13</v>
      </c>
      <c r="L531" t="s">
        <v>756</v>
      </c>
      <c r="M531" t="s">
        <v>756</v>
      </c>
      <c r="N531" t="str">
        <f t="shared" si="270"/>
        <v/>
      </c>
      <c r="Q531" t="str">
        <f t="shared" si="300"/>
        <v/>
      </c>
      <c r="S531">
        <v>284</v>
      </c>
      <c r="U531" t="str">
        <f>IF(B531=1,MAX($U$2:$U530)+1,IF(AND($T531&lt;&gt;"",$T531=$T530),$U530,IF(B531="x",U530,"")))</f>
        <v/>
      </c>
      <c r="V531" t="str">
        <f>IF(C531=1,MAX($V$2:$V530)+1,IF(AND($T531&lt;&gt;"",$T531=$T530),$U530,IF(C531="x",V530,"")))</f>
        <v/>
      </c>
      <c r="W531" t="str">
        <f t="shared" si="274"/>
        <v>h</v>
      </c>
      <c r="X531">
        <v>61</v>
      </c>
      <c r="Y531" t="e">
        <f>IF(X531&lt;&gt;"",VLOOKUP(X531,game_rosters!$C$43:$E$64,3,FALSE))</f>
        <v>#N/A</v>
      </c>
      <c r="Z531" t="str" cm="1">
        <f t="array" ref="Z531">IFERROR(IF(_xlfn._xlws.FILTER(game_rosters!$J:$J,(game_rosters!$G:$G=events!$AN531)*(game_rosters!$J:$J=events!$X531))&gt;0,1,""),"")</f>
        <v/>
      </c>
      <c r="AA531">
        <f t="shared" si="275"/>
        <v>1284</v>
      </c>
      <c r="AB531" t="str">
        <f t="shared" si="276"/>
        <v/>
      </c>
      <c r="AC531">
        <f t="shared" si="273"/>
        <v>1284</v>
      </c>
      <c r="AD531" s="6">
        <v>1</v>
      </c>
      <c r="AE531" t="s">
        <v>937</v>
      </c>
      <c r="AF531" t="s">
        <v>913</v>
      </c>
      <c r="AG531" t="s">
        <v>937</v>
      </c>
      <c r="AH531" t="s">
        <v>413</v>
      </c>
      <c r="AI531" t="s">
        <v>368</v>
      </c>
      <c r="AJ531" t="str">
        <f t="shared" si="277"/>
        <v/>
      </c>
      <c r="AK531" t="str">
        <f t="shared" si="277"/>
        <v/>
      </c>
      <c r="AL531" t="str">
        <f t="shared" si="278"/>
        <v/>
      </c>
      <c r="AN531" t="s">
        <v>861</v>
      </c>
      <c r="AO531" t="str">
        <f t="shared" si="279"/>
        <v>h</v>
      </c>
      <c r="AP531" t="str">
        <f t="shared" si="286"/>
        <v/>
      </c>
      <c r="AQ531" t="str">
        <f t="shared" si="287"/>
        <v/>
      </c>
      <c r="AR531" t="str">
        <f t="shared" si="288"/>
        <v>Home</v>
      </c>
      <c r="AS531" t="str">
        <f t="shared" si="289"/>
        <v>h</v>
      </c>
      <c r="AT531" t="str">
        <f t="shared" si="290"/>
        <v>Defensive</v>
      </c>
      <c r="BA531" s="6">
        <f t="shared" si="280"/>
        <v>129</v>
      </c>
      <c r="BB531">
        <f t="shared" si="281"/>
        <v>18981</v>
      </c>
      <c r="BC531" t="str">
        <f t="shared" si="282"/>
        <v>Nelson</v>
      </c>
      <c r="BD531" t="str">
        <f t="shared" si="283"/>
        <v>Velodrome</v>
      </c>
      <c r="BE531" t="s">
        <v>13</v>
      </c>
      <c r="BF531" t="s">
        <v>756</v>
      </c>
      <c r="BG531" t="s">
        <v>756</v>
      </c>
      <c r="BI531" cm="1">
        <f t="array" ref="BI531">IFERROR(_xlfn._xlws.FILTER(shifts!A:A,(shifts!B:B=events!AD531)*(shifts!AG:AG&gt;=events!BK531)*(shifts!AH:AH&lt;=events!BL531)),BI530)</f>
        <v>27</v>
      </c>
      <c r="BJ531" s="15">
        <f t="shared" si="284"/>
        <v>2</v>
      </c>
      <c r="BK531">
        <f t="shared" si="291"/>
        <v>422</v>
      </c>
      <c r="BL531">
        <f t="shared" si="292"/>
        <v>420</v>
      </c>
      <c r="BM531" s="15">
        <f>SUMIFS(BJ$2:BJ531,K$2:K531,"=Intermission")+SUMIFS(BJ$2:BJ531,K$2:K531,"=Timeout")</f>
        <v>0</v>
      </c>
      <c r="BN531">
        <f t="shared" si="293"/>
        <v>0</v>
      </c>
      <c r="BO531" s="19">
        <f t="shared" si="294"/>
        <v>658</v>
      </c>
      <c r="BP531">
        <f t="shared" si="295"/>
        <v>653</v>
      </c>
      <c r="BQ531" s="17">
        <f t="shared" si="296"/>
        <v>660</v>
      </c>
      <c r="BR531" t="str">
        <f t="shared" si="297"/>
        <v>opp_team_player_1</v>
      </c>
      <c r="BS531">
        <f>COUNTIFS(S$3:S531,"="&amp;S531,AI$3:AI531,"="&amp;AI531)</f>
        <v>1</v>
      </c>
      <c r="BT531" t="str">
        <f>IFERROR(VLOOKUP(BB531&amp;BU531&amp;X531,game_rosters!U:W,3,FALSE),"")</f>
        <v>P100224</v>
      </c>
      <c r="BU531" t="str">
        <f t="shared" si="298"/>
        <v>Velodrome</v>
      </c>
    </row>
    <row r="532" spans="1:73" x14ac:dyDescent="0.2">
      <c r="A532">
        <f t="shared" si="285"/>
        <v>1</v>
      </c>
      <c r="E532" s="4"/>
      <c r="F532" s="43"/>
      <c r="G532" s="4"/>
      <c r="H532" s="46"/>
      <c r="J532" s="44" t="str">
        <f t="shared" si="299"/>
        <v/>
      </c>
      <c r="K532" t="s">
        <v>7</v>
      </c>
      <c r="L532" t="s">
        <v>172</v>
      </c>
      <c r="M532" t="s">
        <v>69</v>
      </c>
      <c r="N532" t="str">
        <f t="shared" si="270"/>
        <v>s</v>
      </c>
      <c r="Q532" t="str">
        <f t="shared" si="300"/>
        <v/>
      </c>
      <c r="S532">
        <v>285</v>
      </c>
      <c r="U532" t="str">
        <f>IF(B532=1,MAX($U$2:$U531)+1,IF(AND($T532&lt;&gt;"",$T532=$T531),$U531,IF(B532="x",U531,"")))</f>
        <v/>
      </c>
      <c r="V532" t="str">
        <f>IF(C532=1,MAX($V$2:$V531)+1,IF(AND($T532&lt;&gt;"",$T532=$T531),$U531,IF(C532="x",V531,"")))</f>
        <v/>
      </c>
      <c r="W532" t="str">
        <f t="shared" si="274"/>
        <v>h</v>
      </c>
      <c r="X532">
        <v>10</v>
      </c>
      <c r="Y532" t="b">
        <f>IF(X532&lt;&gt;"",VLOOKUP(X532,game_rosters!$C$43:$E$64,3,FALSE))</f>
        <v>0</v>
      </c>
      <c r="Z532" cm="1">
        <f t="array" ref="Z532">IFERROR(IF(_xlfn._xlws.FILTER(game_rosters!$J:$J,(game_rosters!$G:$G=events!$AN532)*(game_rosters!$J:$J=events!$X532))&gt;0,1,""),"")</f>
        <v>1</v>
      </c>
      <c r="AA532">
        <f t="shared" si="275"/>
        <v>1285</v>
      </c>
      <c r="AB532" t="str">
        <f t="shared" si="276"/>
        <v/>
      </c>
      <c r="AC532">
        <f t="shared" si="273"/>
        <v>1285</v>
      </c>
      <c r="AD532" s="6">
        <v>1</v>
      </c>
      <c r="AE532" t="s">
        <v>937</v>
      </c>
      <c r="AF532" t="s">
        <v>413</v>
      </c>
      <c r="AG532" t="s">
        <v>756</v>
      </c>
      <c r="AH532" t="s">
        <v>756</v>
      </c>
      <c r="AI532" t="s">
        <v>367</v>
      </c>
      <c r="AJ532" t="str">
        <f t="shared" ref="AJ532:AK547" si="301">IF($J532&lt;&gt;"",$J532,IF($AC532=$AC531,AJ531,""))</f>
        <v/>
      </c>
      <c r="AK532" t="str">
        <f t="shared" si="301"/>
        <v/>
      </c>
      <c r="AL532" t="str">
        <f t="shared" si="278"/>
        <v/>
      </c>
      <c r="AN532" t="s">
        <v>861</v>
      </c>
      <c r="AO532" t="str">
        <f t="shared" si="279"/>
        <v>h</v>
      </c>
      <c r="AP532" t="str">
        <f t="shared" si="286"/>
        <v/>
      </c>
      <c r="AQ532" t="str">
        <f t="shared" si="287"/>
        <v/>
      </c>
      <c r="AR532" t="str">
        <f t="shared" si="288"/>
        <v>Home</v>
      </c>
      <c r="AS532" t="str">
        <f t="shared" si="289"/>
        <v>h</v>
      </c>
      <c r="AT532" t="str">
        <f t="shared" si="290"/>
        <v>Offensive</v>
      </c>
      <c r="BA532" s="6">
        <f t="shared" si="280"/>
        <v>129</v>
      </c>
      <c r="BB532">
        <f t="shared" si="281"/>
        <v>18981</v>
      </c>
      <c r="BC532" t="str">
        <f t="shared" si="282"/>
        <v>Nelson</v>
      </c>
      <c r="BD532" t="str">
        <f t="shared" si="283"/>
        <v>Velodrome</v>
      </c>
      <c r="BE532" t="s">
        <v>7</v>
      </c>
      <c r="BF532" t="s">
        <v>172</v>
      </c>
      <c r="BG532" t="s">
        <v>69</v>
      </c>
      <c r="BI532" cm="1">
        <f t="array" ref="BI532">IFERROR(_xlfn._xlws.FILTER(shifts!A:A,(shifts!B:B=events!AD532)*(shifts!AG:AG&gt;=events!BK532)*(shifts!AH:AH&lt;=events!BL532)),BI531)</f>
        <v>27</v>
      </c>
      <c r="BJ532" s="15">
        <f t="shared" si="284"/>
        <v>0</v>
      </c>
      <c r="BK532">
        <f t="shared" si="291"/>
        <v>420</v>
      </c>
      <c r="BL532">
        <f t="shared" si="292"/>
        <v>420</v>
      </c>
      <c r="BM532" s="15">
        <f>SUMIFS(BJ$2:BJ532,K$2:K532,"=Intermission")+SUMIFS(BJ$2:BJ532,K$2:K532,"=Timeout")</f>
        <v>0</v>
      </c>
      <c r="BN532">
        <f t="shared" si="293"/>
        <v>0</v>
      </c>
      <c r="BO532" s="19">
        <f t="shared" si="294"/>
        <v>660</v>
      </c>
      <c r="BP532">
        <f t="shared" si="295"/>
        <v>655</v>
      </c>
      <c r="BQ532" s="17">
        <f t="shared" si="296"/>
        <v>660</v>
      </c>
      <c r="BR532" t="str">
        <f t="shared" si="297"/>
        <v>event_team_player_1</v>
      </c>
      <c r="BS532">
        <f>COUNTIFS(S$3:S532,"="&amp;S532,AI$3:AI532,"="&amp;AI532)</f>
        <v>1</v>
      </c>
      <c r="BT532" t="str">
        <f>IFERROR(VLOOKUP(BB532&amp;BU532&amp;X532,game_rosters!U:W,3,FALSE),"")</f>
        <v>P100078</v>
      </c>
      <c r="BU532" t="str">
        <f t="shared" si="298"/>
        <v>Nelson</v>
      </c>
    </row>
    <row r="533" spans="1:73" x14ac:dyDescent="0.2">
      <c r="A533">
        <f t="shared" si="285"/>
        <v>1</v>
      </c>
      <c r="E533" s="4"/>
      <c r="F533" s="43"/>
      <c r="G533" s="4"/>
      <c r="H533" s="46"/>
      <c r="J533" s="44" t="str">
        <f t="shared" si="299"/>
        <v/>
      </c>
      <c r="K533" t="s">
        <v>7</v>
      </c>
      <c r="L533" t="s">
        <v>172</v>
      </c>
      <c r="M533" t="s">
        <v>69</v>
      </c>
      <c r="N533" t="str">
        <f t="shared" ref="N533:N596" si="302">IF(K533="","",IF(K533="Goal","s",IF(AND(K533="Zone_Entry_Exit",OR(ISNUMBER(SEARCH("fail",L533)),ISNUMBER(SEARCH("FromExitClear",M533)),ISNUMBER(SEARCH("miss",M533)))),"u",IF(AND(K533="Zone_Entry_Exit",OR(NOT(ISNUMBER(SEARCH("fail",L533))),NOT(ISNUMBER(SEARCH("FromExitClear",M533))),NOT(ISNUMBER(SEARCH("miss",M533))))),"s",IF(AND(OR(K533="Shot",K533="Pass"),OR(ISNUMBER(SEARCH("complete",L533)),ISNUMBER(SEARCH("goal",L533)),ISNUMBER(SEARCH("OnNet",L533)))),"s",IF(L533="Turnover_Giveaway","u",IF(AND(OR(K533="Shot",K533="Pass"),OR(ISNUMBER(SEARCH("fail",L533)),NOT(ISNUMBER(SEARCH("complete",L533))),NOT(ISNUMBER(SEARCH("OnNet",L533))))),"u","")))))))</f>
        <v>s</v>
      </c>
      <c r="Q533" t="str">
        <f t="shared" si="300"/>
        <v/>
      </c>
      <c r="S533">
        <v>285</v>
      </c>
      <c r="U533" t="str">
        <f>IF(B533=1,MAX($U$2:$U532)+1,IF(AND($T533&lt;&gt;"",$T533=$T532),$U532,IF(B533="x",U532,"")))</f>
        <v/>
      </c>
      <c r="V533" t="str">
        <f>IF(C533=1,MAX($V$2:$V532)+1,IF(AND($T533&lt;&gt;"",$T533=$T532),$U532,IF(C533="x",V532,"")))</f>
        <v/>
      </c>
      <c r="W533" t="str">
        <f t="shared" si="274"/>
        <v>h</v>
      </c>
      <c r="X533">
        <v>16</v>
      </c>
      <c r="Y533" t="b">
        <f>IF(X533&lt;&gt;"",VLOOKUP(X533,game_rosters!$C$43:$E$64,3,FALSE))</f>
        <v>0</v>
      </c>
      <c r="Z533" cm="1">
        <f t="array" ref="Z533">IFERROR(IF(_xlfn._xlws.FILTER(game_rosters!$J:$J,(game_rosters!$G:$G=events!$AN533)*(game_rosters!$J:$J=events!$X533))&gt;0,1,""),"")</f>
        <v>1</v>
      </c>
      <c r="AA533">
        <f t="shared" si="275"/>
        <v>1285</v>
      </c>
      <c r="AB533" t="str">
        <f t="shared" si="276"/>
        <v/>
      </c>
      <c r="AC533">
        <f t="shared" si="273"/>
        <v>1285</v>
      </c>
      <c r="AD533" s="6">
        <v>1</v>
      </c>
      <c r="AE533" t="s">
        <v>937</v>
      </c>
      <c r="AF533" t="s">
        <v>413</v>
      </c>
      <c r="AG533" t="s">
        <v>756</v>
      </c>
      <c r="AH533" t="s">
        <v>756</v>
      </c>
      <c r="AI533" t="s">
        <v>367</v>
      </c>
      <c r="AJ533" t="str">
        <f t="shared" si="301"/>
        <v/>
      </c>
      <c r="AK533" t="str">
        <f t="shared" si="301"/>
        <v/>
      </c>
      <c r="AL533" t="str">
        <f t="shared" si="278"/>
        <v/>
      </c>
      <c r="AN533" t="s">
        <v>861</v>
      </c>
      <c r="AO533" t="str">
        <f t="shared" si="279"/>
        <v>h</v>
      </c>
      <c r="AP533" t="str">
        <f t="shared" si="286"/>
        <v/>
      </c>
      <c r="AQ533" t="str">
        <f t="shared" si="287"/>
        <v/>
      </c>
      <c r="AR533" t="str">
        <f t="shared" si="288"/>
        <v>Home</v>
      </c>
      <c r="AS533" t="str">
        <f t="shared" si="289"/>
        <v>h</v>
      </c>
      <c r="AT533" t="str">
        <f t="shared" si="290"/>
        <v>Offensive</v>
      </c>
      <c r="BA533" s="6">
        <f t="shared" si="280"/>
        <v>129</v>
      </c>
      <c r="BB533">
        <f t="shared" si="281"/>
        <v>18981</v>
      </c>
      <c r="BC533" t="str">
        <f t="shared" si="282"/>
        <v>Nelson</v>
      </c>
      <c r="BD533" t="str">
        <f t="shared" si="283"/>
        <v>Velodrome</v>
      </c>
      <c r="BE533" t="s">
        <v>7</v>
      </c>
      <c r="BF533" t="s">
        <v>172</v>
      </c>
      <c r="BG533" t="s">
        <v>69</v>
      </c>
      <c r="BI533" cm="1">
        <f t="array" ref="BI533">IFERROR(_xlfn._xlws.FILTER(shifts!A:A,(shifts!B:B=events!AD533)*(shifts!AG:AG&gt;=events!BK533)*(shifts!AH:AH&lt;=events!BL533)),BI532)</f>
        <v>27</v>
      </c>
      <c r="BJ533" s="15">
        <f t="shared" si="284"/>
        <v>0</v>
      </c>
      <c r="BK533">
        <f t="shared" si="291"/>
        <v>420</v>
      </c>
      <c r="BL533">
        <f t="shared" si="292"/>
        <v>420</v>
      </c>
      <c r="BM533" s="15">
        <f>SUMIFS(BJ$2:BJ533,K$2:K533,"=Intermission")+SUMIFS(BJ$2:BJ533,K$2:K533,"=Timeout")</f>
        <v>0</v>
      </c>
      <c r="BN533">
        <f t="shared" si="293"/>
        <v>0</v>
      </c>
      <c r="BO533" s="19">
        <f t="shared" si="294"/>
        <v>660</v>
      </c>
      <c r="BP533">
        <f t="shared" si="295"/>
        <v>655</v>
      </c>
      <c r="BQ533" s="17">
        <f t="shared" si="296"/>
        <v>660</v>
      </c>
      <c r="BR533" t="str">
        <f t="shared" si="297"/>
        <v>event_team_player_2</v>
      </c>
      <c r="BS533">
        <f>COUNTIFS(S$3:S533,"="&amp;S533,AI$3:AI533,"="&amp;AI533)</f>
        <v>2</v>
      </c>
      <c r="BT533" t="str">
        <f>IFERROR(VLOOKUP(BB533&amp;BU533&amp;X533,game_rosters!U:W,3,FALSE),"")</f>
        <v>P100164</v>
      </c>
      <c r="BU533" t="str">
        <f t="shared" si="298"/>
        <v>Nelson</v>
      </c>
    </row>
    <row r="534" spans="1:73" x14ac:dyDescent="0.2">
      <c r="A534">
        <f t="shared" si="285"/>
        <v>1</v>
      </c>
      <c r="E534" s="4"/>
      <c r="F534" s="43"/>
      <c r="G534" s="4"/>
      <c r="H534" s="46"/>
      <c r="J534" s="44" t="str">
        <f t="shared" si="299"/>
        <v/>
      </c>
      <c r="K534" t="s">
        <v>7</v>
      </c>
      <c r="L534" t="s">
        <v>172</v>
      </c>
      <c r="M534" t="s">
        <v>69</v>
      </c>
      <c r="N534" t="str">
        <f t="shared" si="302"/>
        <v>s</v>
      </c>
      <c r="Q534" t="str">
        <f t="shared" si="300"/>
        <v/>
      </c>
      <c r="S534">
        <v>285</v>
      </c>
      <c r="U534" t="str">
        <f>IF(B534=1,MAX($U$2:$U533)+1,IF(AND($T534&lt;&gt;"",$T534=$T533),$U533,IF(B534="x",U533,"")))</f>
        <v/>
      </c>
      <c r="V534" t="str">
        <f>IF(C534=1,MAX($V$2:$V533)+1,IF(AND($T534&lt;&gt;"",$T534=$T533),$U533,IF(C534="x",V533,"")))</f>
        <v/>
      </c>
      <c r="W534" t="str">
        <f t="shared" si="274"/>
        <v>h</v>
      </c>
      <c r="X534">
        <v>61</v>
      </c>
      <c r="Y534" t="e">
        <f>IF(X534&lt;&gt;"",VLOOKUP(X534,game_rosters!$C$43:$E$64,3,FALSE))</f>
        <v>#N/A</v>
      </c>
      <c r="Z534" t="str" cm="1">
        <f t="array" ref="Z534">IFERROR(IF(_xlfn._xlws.FILTER(game_rosters!$J:$J,(game_rosters!$G:$G=events!$AN534)*(game_rosters!$J:$J=events!$X534))&gt;0,1,""),"")</f>
        <v/>
      </c>
      <c r="AA534">
        <f t="shared" si="275"/>
        <v>1285</v>
      </c>
      <c r="AB534" t="str">
        <f t="shared" si="276"/>
        <v/>
      </c>
      <c r="AC534">
        <f t="shared" si="273"/>
        <v>1285</v>
      </c>
      <c r="AD534" s="6">
        <v>1</v>
      </c>
      <c r="AE534" t="s">
        <v>937</v>
      </c>
      <c r="AF534" t="s">
        <v>413</v>
      </c>
      <c r="AG534" t="s">
        <v>756</v>
      </c>
      <c r="AH534" t="s">
        <v>756</v>
      </c>
      <c r="AI534" t="s">
        <v>368</v>
      </c>
      <c r="AJ534" t="str">
        <f t="shared" si="301"/>
        <v/>
      </c>
      <c r="AK534" t="str">
        <f t="shared" si="301"/>
        <v/>
      </c>
      <c r="AL534" t="str">
        <f t="shared" si="278"/>
        <v/>
      </c>
      <c r="AN534" t="s">
        <v>861</v>
      </c>
      <c r="AO534" t="str">
        <f t="shared" si="279"/>
        <v>h</v>
      </c>
      <c r="AP534" t="str">
        <f t="shared" si="286"/>
        <v/>
      </c>
      <c r="AQ534" t="str">
        <f t="shared" si="287"/>
        <v/>
      </c>
      <c r="AR534" t="str">
        <f t="shared" si="288"/>
        <v>Home</v>
      </c>
      <c r="AS534" t="str">
        <f t="shared" si="289"/>
        <v>h</v>
      </c>
      <c r="AT534" t="str">
        <f t="shared" si="290"/>
        <v>Defensive</v>
      </c>
      <c r="BA534" s="6">
        <f t="shared" si="280"/>
        <v>129</v>
      </c>
      <c r="BB534">
        <f t="shared" si="281"/>
        <v>18981</v>
      </c>
      <c r="BC534" t="str">
        <f t="shared" si="282"/>
        <v>Nelson</v>
      </c>
      <c r="BD534" t="str">
        <f t="shared" si="283"/>
        <v>Velodrome</v>
      </c>
      <c r="BE534" t="s">
        <v>7</v>
      </c>
      <c r="BF534" t="s">
        <v>172</v>
      </c>
      <c r="BG534" t="s">
        <v>69</v>
      </c>
      <c r="BI534" cm="1">
        <f t="array" ref="BI534">IFERROR(_xlfn._xlws.FILTER(shifts!A:A,(shifts!B:B=events!AD534)*(shifts!AG:AG&gt;=events!BK534)*(shifts!AH:AH&lt;=events!BL534)),BI533)</f>
        <v>27</v>
      </c>
      <c r="BJ534" s="15">
        <f t="shared" si="284"/>
        <v>0</v>
      </c>
      <c r="BK534">
        <f t="shared" si="291"/>
        <v>420</v>
      </c>
      <c r="BL534">
        <f t="shared" si="292"/>
        <v>420</v>
      </c>
      <c r="BM534" s="15">
        <f>SUMIFS(BJ$2:BJ534,K$2:K534,"=Intermission")+SUMIFS(BJ$2:BJ534,K$2:K534,"=Timeout")</f>
        <v>0</v>
      </c>
      <c r="BN534">
        <f t="shared" si="293"/>
        <v>0</v>
      </c>
      <c r="BO534" s="19">
        <f t="shared" si="294"/>
        <v>660</v>
      </c>
      <c r="BP534">
        <f t="shared" si="295"/>
        <v>655</v>
      </c>
      <c r="BQ534" s="17">
        <f t="shared" si="296"/>
        <v>660</v>
      </c>
      <c r="BR534" t="str">
        <f t="shared" si="297"/>
        <v>opp_team_player_1</v>
      </c>
      <c r="BS534">
        <f>COUNTIFS(S$3:S534,"="&amp;S534,AI$3:AI534,"="&amp;AI534)</f>
        <v>1</v>
      </c>
      <c r="BT534" t="str">
        <f>IFERROR(VLOOKUP(BB534&amp;BU534&amp;X534,game_rosters!U:W,3,FALSE),"")</f>
        <v>P100224</v>
      </c>
      <c r="BU534" t="str">
        <f t="shared" si="298"/>
        <v>Velodrome</v>
      </c>
    </row>
    <row r="535" spans="1:73" x14ac:dyDescent="0.2">
      <c r="A535">
        <f t="shared" si="285"/>
        <v>1</v>
      </c>
      <c r="E535" s="4"/>
      <c r="F535" s="43"/>
      <c r="G535" s="4"/>
      <c r="H535" s="46"/>
      <c r="J535" s="44" t="str">
        <f t="shared" si="299"/>
        <v>d</v>
      </c>
      <c r="K535" t="s">
        <v>238</v>
      </c>
      <c r="L535" t="s">
        <v>184</v>
      </c>
      <c r="M535" t="s">
        <v>89</v>
      </c>
      <c r="N535" t="str">
        <f t="shared" si="302"/>
        <v>s</v>
      </c>
      <c r="Q535" t="str">
        <f t="shared" si="300"/>
        <v/>
      </c>
      <c r="S535">
        <v>286</v>
      </c>
      <c r="U535" t="str">
        <f>IF(B535=1,MAX($U$2:$U534)+1,IF(AND($T535&lt;&gt;"",$T535=$T534),$U534,IF(B535="x",U534,"")))</f>
        <v/>
      </c>
      <c r="V535" t="str">
        <f>IF(C535=1,MAX($V$2:$V534)+1,IF(AND($T535&lt;&gt;"",$T535=$T534),$U534,IF(C535="x",V534,"")))</f>
        <v/>
      </c>
      <c r="W535" t="str">
        <f t="shared" si="274"/>
        <v>h</v>
      </c>
      <c r="X535">
        <v>10</v>
      </c>
      <c r="Y535" t="b">
        <f>IF(X535&lt;&gt;"",VLOOKUP(X535,game_rosters!$C$43:$E$64,3,FALSE))</f>
        <v>0</v>
      </c>
      <c r="Z535" cm="1">
        <f t="array" ref="Z535">IFERROR(IF(_xlfn._xlws.FILTER(game_rosters!$J:$J,(game_rosters!$G:$G=events!$AN535)*(game_rosters!$J:$J=events!$X535))&gt;0,1,""),"")</f>
        <v>1</v>
      </c>
      <c r="AA535">
        <f t="shared" si="275"/>
        <v>1286</v>
      </c>
      <c r="AB535" t="str">
        <f t="shared" si="276"/>
        <v/>
      </c>
      <c r="AC535">
        <f t="shared" si="273"/>
        <v>1286</v>
      </c>
      <c r="AD535" s="6">
        <v>1</v>
      </c>
      <c r="AE535" t="s">
        <v>937</v>
      </c>
      <c r="AF535" t="s">
        <v>413</v>
      </c>
      <c r="AG535" t="s">
        <v>756</v>
      </c>
      <c r="AH535" t="s">
        <v>756</v>
      </c>
      <c r="AI535" t="s">
        <v>367</v>
      </c>
      <c r="AJ535" t="str">
        <f t="shared" si="301"/>
        <v>d</v>
      </c>
      <c r="AK535" t="str">
        <f t="shared" si="301"/>
        <v>d</v>
      </c>
      <c r="AL535" t="str">
        <f t="shared" si="278"/>
        <v>d</v>
      </c>
      <c r="AN535" t="s">
        <v>861</v>
      </c>
      <c r="AO535" t="str">
        <f t="shared" si="279"/>
        <v>h</v>
      </c>
      <c r="AP535" t="str">
        <f t="shared" si="286"/>
        <v>d</v>
      </c>
      <c r="AQ535" t="str">
        <f t="shared" si="287"/>
        <v/>
      </c>
      <c r="AR535" t="str">
        <f t="shared" si="288"/>
        <v>Home</v>
      </c>
      <c r="AS535" t="str">
        <f t="shared" si="289"/>
        <v>h</v>
      </c>
      <c r="AT535" t="str">
        <f t="shared" si="290"/>
        <v>Offensive</v>
      </c>
      <c r="BA535" s="6">
        <f t="shared" si="280"/>
        <v>130</v>
      </c>
      <c r="BB535">
        <f t="shared" si="281"/>
        <v>18981</v>
      </c>
      <c r="BC535" t="str">
        <f t="shared" si="282"/>
        <v>Nelson</v>
      </c>
      <c r="BD535" t="str">
        <f t="shared" si="283"/>
        <v>Velodrome</v>
      </c>
      <c r="BE535" t="s">
        <v>238</v>
      </c>
      <c r="BF535" t="s">
        <v>184</v>
      </c>
      <c r="BG535" t="s">
        <v>89</v>
      </c>
      <c r="BI535" cm="1">
        <f t="array" ref="BI535">IFERROR(_xlfn._xlws.FILTER(shifts!A:A,(shifts!B:B=events!AD535)*(shifts!AG:AG&gt;=events!BK535)*(shifts!AH:AH&lt;=events!BL535)),BI534)</f>
        <v>27</v>
      </c>
      <c r="BJ535" s="15">
        <f t="shared" si="284"/>
        <v>0</v>
      </c>
      <c r="BK535">
        <f t="shared" si="291"/>
        <v>420</v>
      </c>
      <c r="BL535">
        <f t="shared" si="292"/>
        <v>420</v>
      </c>
      <c r="BM535" s="15">
        <f>SUMIFS(BJ$2:BJ535,K$2:K535,"=Intermission")+SUMIFS(BJ$2:BJ535,K$2:K535,"=Timeout")</f>
        <v>0</v>
      </c>
      <c r="BN535">
        <f t="shared" si="293"/>
        <v>0</v>
      </c>
      <c r="BO535" s="19">
        <f t="shared" si="294"/>
        <v>660</v>
      </c>
      <c r="BP535">
        <f t="shared" si="295"/>
        <v>655</v>
      </c>
      <c r="BQ535" s="17">
        <f t="shared" si="296"/>
        <v>660</v>
      </c>
      <c r="BR535" t="str">
        <f t="shared" si="297"/>
        <v>event_team_player_1</v>
      </c>
      <c r="BS535">
        <f>COUNTIFS(S$3:S535,"="&amp;S535,AI$3:AI535,"="&amp;AI535)</f>
        <v>1</v>
      </c>
      <c r="BT535" t="str">
        <f>IFERROR(VLOOKUP(BB535&amp;BU535&amp;X535,game_rosters!U:W,3,FALSE),"")</f>
        <v>P100078</v>
      </c>
      <c r="BU535" t="str">
        <f t="shared" si="298"/>
        <v>Nelson</v>
      </c>
    </row>
    <row r="536" spans="1:73" x14ac:dyDescent="0.2">
      <c r="A536">
        <f t="shared" si="285"/>
        <v>1</v>
      </c>
      <c r="E536" s="4"/>
      <c r="F536" s="43"/>
      <c r="G536" s="4"/>
      <c r="H536" s="46"/>
      <c r="J536" s="44" t="str">
        <f t="shared" si="299"/>
        <v>d</v>
      </c>
      <c r="K536" t="s">
        <v>238</v>
      </c>
      <c r="L536" t="s">
        <v>184</v>
      </c>
      <c r="M536" t="s">
        <v>89</v>
      </c>
      <c r="N536" t="str">
        <f t="shared" si="302"/>
        <v>s</v>
      </c>
      <c r="Q536" t="str">
        <f t="shared" si="300"/>
        <v/>
      </c>
      <c r="S536">
        <v>286</v>
      </c>
      <c r="U536" t="str">
        <f>IF(B536=1,MAX($U$2:$U535)+1,IF(AND($T536&lt;&gt;"",$T536=$T535),$U535,IF(B536="x",U535,"")))</f>
        <v/>
      </c>
      <c r="V536" t="str">
        <f>IF(C536=1,MAX($V$2:$V535)+1,IF(AND($T536&lt;&gt;"",$T536=$T535),$U535,IF(C536="x",V535,"")))</f>
        <v/>
      </c>
      <c r="W536" t="str">
        <f t="shared" si="274"/>
        <v>h</v>
      </c>
      <c r="X536">
        <v>16</v>
      </c>
      <c r="Y536" t="b">
        <f>IF(X536&lt;&gt;"",VLOOKUP(X536,game_rosters!$C$43:$E$64,3,FALSE))</f>
        <v>0</v>
      </c>
      <c r="Z536" cm="1">
        <f t="array" ref="Z536">IFERROR(IF(_xlfn._xlws.FILTER(game_rosters!$J:$J,(game_rosters!$G:$G=events!$AN536)*(game_rosters!$J:$J=events!$X536))&gt;0,1,""),"")</f>
        <v>1</v>
      </c>
      <c r="AA536">
        <f t="shared" si="275"/>
        <v>1286</v>
      </c>
      <c r="AB536" t="str">
        <f t="shared" si="276"/>
        <v/>
      </c>
      <c r="AC536">
        <f t="shared" si="273"/>
        <v>1286</v>
      </c>
      <c r="AD536" s="6">
        <v>1</v>
      </c>
      <c r="AE536" t="s">
        <v>937</v>
      </c>
      <c r="AF536" t="s">
        <v>413</v>
      </c>
      <c r="AG536" t="s">
        <v>756</v>
      </c>
      <c r="AH536" t="s">
        <v>756</v>
      </c>
      <c r="AI536" t="s">
        <v>367</v>
      </c>
      <c r="AJ536" t="str">
        <f t="shared" si="301"/>
        <v>d</v>
      </c>
      <c r="AK536" t="str">
        <f t="shared" si="301"/>
        <v>d</v>
      </c>
      <c r="AL536" t="str">
        <f t="shared" si="278"/>
        <v>d</v>
      </c>
      <c r="AN536" t="s">
        <v>861</v>
      </c>
      <c r="AO536" t="str">
        <f t="shared" si="279"/>
        <v>h</v>
      </c>
      <c r="AP536" t="str">
        <f t="shared" si="286"/>
        <v>d</v>
      </c>
      <c r="AQ536" t="str">
        <f t="shared" si="287"/>
        <v/>
      </c>
      <c r="AR536" t="str">
        <f t="shared" si="288"/>
        <v>Home</v>
      </c>
      <c r="AS536" t="str">
        <f t="shared" si="289"/>
        <v>h</v>
      </c>
      <c r="AT536" t="str">
        <f t="shared" si="290"/>
        <v>Offensive</v>
      </c>
      <c r="BA536" s="6">
        <f t="shared" si="280"/>
        <v>131</v>
      </c>
      <c r="BB536">
        <f t="shared" si="281"/>
        <v>18981</v>
      </c>
      <c r="BC536" t="str">
        <f t="shared" si="282"/>
        <v>Nelson</v>
      </c>
      <c r="BD536" t="str">
        <f t="shared" si="283"/>
        <v>Velodrome</v>
      </c>
      <c r="BE536" t="s">
        <v>238</v>
      </c>
      <c r="BF536" t="s">
        <v>184</v>
      </c>
      <c r="BG536" t="s">
        <v>89</v>
      </c>
      <c r="BI536" cm="1">
        <f t="array" ref="BI536">IFERROR(_xlfn._xlws.FILTER(shifts!A:A,(shifts!B:B=events!AD536)*(shifts!AG:AG&gt;=events!BK536)*(shifts!AH:AH&lt;=events!BL536)),BI535)</f>
        <v>27</v>
      </c>
      <c r="BJ536" s="15">
        <f t="shared" si="284"/>
        <v>0</v>
      </c>
      <c r="BK536">
        <f t="shared" si="291"/>
        <v>420</v>
      </c>
      <c r="BL536">
        <f t="shared" si="292"/>
        <v>420</v>
      </c>
      <c r="BM536" s="15">
        <f>SUMIFS(BJ$2:BJ536,K$2:K536,"=Intermission")+SUMIFS(BJ$2:BJ536,K$2:K536,"=Timeout")</f>
        <v>0</v>
      </c>
      <c r="BN536">
        <f t="shared" si="293"/>
        <v>0</v>
      </c>
      <c r="BO536" s="19">
        <f t="shared" si="294"/>
        <v>660</v>
      </c>
      <c r="BP536">
        <f t="shared" si="295"/>
        <v>655</v>
      </c>
      <c r="BQ536" s="17">
        <f t="shared" si="296"/>
        <v>660</v>
      </c>
      <c r="BR536" t="str">
        <f t="shared" si="297"/>
        <v>event_team_player_2</v>
      </c>
      <c r="BS536">
        <f>COUNTIFS(S$3:S536,"="&amp;S536,AI$3:AI536,"="&amp;AI536)</f>
        <v>2</v>
      </c>
      <c r="BT536" t="str">
        <f>IFERROR(VLOOKUP(BB536&amp;BU536&amp;X536,game_rosters!U:W,3,FALSE),"")</f>
        <v>P100164</v>
      </c>
      <c r="BU536" t="str">
        <f t="shared" si="298"/>
        <v>Nelson</v>
      </c>
    </row>
    <row r="537" spans="1:73" x14ac:dyDescent="0.2">
      <c r="A537">
        <f t="shared" si="285"/>
        <v>1</v>
      </c>
      <c r="E537" s="4"/>
      <c r="F537" s="43"/>
      <c r="G537" s="4"/>
      <c r="H537" s="46"/>
      <c r="J537" s="44" t="str">
        <f t="shared" si="299"/>
        <v>d</v>
      </c>
      <c r="K537" t="s">
        <v>238</v>
      </c>
      <c r="L537" t="s">
        <v>184</v>
      </c>
      <c r="M537" t="s">
        <v>89</v>
      </c>
      <c r="N537" t="str">
        <f t="shared" si="302"/>
        <v>s</v>
      </c>
      <c r="Q537" t="str">
        <f t="shared" si="300"/>
        <v/>
      </c>
      <c r="S537">
        <v>286</v>
      </c>
      <c r="U537" t="str">
        <f>IF(B537=1,MAX($U$2:$U536)+1,IF(AND($T537&lt;&gt;"",$T537=$T536),$U536,IF(B537="x",U536,"")))</f>
        <v/>
      </c>
      <c r="V537" t="str">
        <f>IF(C537=1,MAX($V$2:$V536)+1,IF(AND($T537&lt;&gt;"",$T537=$T536),$U536,IF(C537="x",V536,"")))</f>
        <v/>
      </c>
      <c r="W537" t="str">
        <f t="shared" si="274"/>
        <v>h</v>
      </c>
      <c r="X537">
        <v>61</v>
      </c>
      <c r="Y537" t="e">
        <f>IF(X537&lt;&gt;"",VLOOKUP(X537,game_rosters!$C$43:$E$64,3,FALSE))</f>
        <v>#N/A</v>
      </c>
      <c r="Z537" t="str" cm="1">
        <f t="array" ref="Z537">IFERROR(IF(_xlfn._xlws.FILTER(game_rosters!$J:$J,(game_rosters!$G:$G=events!$AN537)*(game_rosters!$J:$J=events!$X537))&gt;0,1,""),"")</f>
        <v/>
      </c>
      <c r="AA537">
        <f t="shared" si="275"/>
        <v>1286</v>
      </c>
      <c r="AB537" t="str">
        <f t="shared" si="276"/>
        <v/>
      </c>
      <c r="AC537">
        <f t="shared" si="273"/>
        <v>1286</v>
      </c>
      <c r="AD537" s="6">
        <v>1</v>
      </c>
      <c r="AE537" t="s">
        <v>937</v>
      </c>
      <c r="AF537" t="s">
        <v>413</v>
      </c>
      <c r="AG537" t="s">
        <v>756</v>
      </c>
      <c r="AH537" t="s">
        <v>756</v>
      </c>
      <c r="AI537" t="s">
        <v>368</v>
      </c>
      <c r="AJ537" t="str">
        <f t="shared" si="301"/>
        <v>d</v>
      </c>
      <c r="AK537" t="str">
        <f t="shared" si="301"/>
        <v>d</v>
      </c>
      <c r="AL537" t="str">
        <f t="shared" si="278"/>
        <v>d</v>
      </c>
      <c r="AN537" t="s">
        <v>861</v>
      </c>
      <c r="AO537" t="str">
        <f t="shared" si="279"/>
        <v>h</v>
      </c>
      <c r="AP537" t="str">
        <f t="shared" si="286"/>
        <v>d</v>
      </c>
      <c r="AQ537" t="str">
        <f t="shared" si="287"/>
        <v/>
      </c>
      <c r="AR537" t="str">
        <f t="shared" si="288"/>
        <v>Home</v>
      </c>
      <c r="AS537" t="str">
        <f t="shared" si="289"/>
        <v>h</v>
      </c>
      <c r="AT537" t="str">
        <f t="shared" si="290"/>
        <v>Defensive</v>
      </c>
      <c r="BA537" s="6">
        <f t="shared" si="280"/>
        <v>132</v>
      </c>
      <c r="BB537">
        <f t="shared" si="281"/>
        <v>18981</v>
      </c>
      <c r="BC537" t="str">
        <f t="shared" si="282"/>
        <v>Nelson</v>
      </c>
      <c r="BD537" t="str">
        <f t="shared" si="283"/>
        <v>Velodrome</v>
      </c>
      <c r="BE537" t="s">
        <v>238</v>
      </c>
      <c r="BF537" t="s">
        <v>184</v>
      </c>
      <c r="BG537" t="s">
        <v>89</v>
      </c>
      <c r="BI537" cm="1">
        <f t="array" ref="BI537">IFERROR(_xlfn._xlws.FILTER(shifts!A:A,(shifts!B:B=events!AD537)*(shifts!AG:AG&gt;=events!BK537)*(shifts!AH:AH&lt;=events!BL537)),BI536)</f>
        <v>27</v>
      </c>
      <c r="BJ537" s="15">
        <f t="shared" si="284"/>
        <v>0</v>
      </c>
      <c r="BK537">
        <f t="shared" si="291"/>
        <v>420</v>
      </c>
      <c r="BL537">
        <f t="shared" si="292"/>
        <v>420</v>
      </c>
      <c r="BM537" s="15">
        <f>SUMIFS(BJ$2:BJ537,K$2:K537,"=Intermission")+SUMIFS(BJ$2:BJ537,K$2:K537,"=Timeout")</f>
        <v>0</v>
      </c>
      <c r="BN537">
        <f t="shared" si="293"/>
        <v>0</v>
      </c>
      <c r="BO537" s="19">
        <f t="shared" si="294"/>
        <v>660</v>
      </c>
      <c r="BP537">
        <f t="shared" si="295"/>
        <v>655</v>
      </c>
      <c r="BQ537" s="17">
        <f t="shared" si="296"/>
        <v>660</v>
      </c>
      <c r="BR537" t="str">
        <f t="shared" si="297"/>
        <v>opp_team_player_1</v>
      </c>
      <c r="BS537">
        <f>COUNTIFS(S$3:S537,"="&amp;S537,AI$3:AI537,"="&amp;AI537)</f>
        <v>1</v>
      </c>
      <c r="BT537" t="str">
        <f>IFERROR(VLOOKUP(BB537&amp;BU537&amp;X537,game_rosters!U:W,3,FALSE),"")</f>
        <v>P100224</v>
      </c>
      <c r="BU537" t="str">
        <f t="shared" si="298"/>
        <v>Velodrome</v>
      </c>
    </row>
    <row r="538" spans="1:73" x14ac:dyDescent="0.2">
      <c r="A538">
        <f t="shared" si="285"/>
        <v>1</v>
      </c>
      <c r="E538" s="4"/>
      <c r="F538" s="43"/>
      <c r="G538" s="4"/>
      <c r="H538" s="46"/>
      <c r="J538" s="44" t="str">
        <f t="shared" si="299"/>
        <v/>
      </c>
      <c r="K538" t="s">
        <v>7</v>
      </c>
      <c r="L538" t="s">
        <v>172</v>
      </c>
      <c r="M538" t="s">
        <v>68</v>
      </c>
      <c r="N538" t="str">
        <f t="shared" si="302"/>
        <v>s</v>
      </c>
      <c r="Q538" t="str">
        <f t="shared" si="300"/>
        <v/>
      </c>
      <c r="S538">
        <v>287</v>
      </c>
      <c r="U538" t="str">
        <f>IF(B538=1,MAX($U$2:$U537)+1,IF(AND($T538&lt;&gt;"",$T538=$T537),$U537,IF(B538="x",U537,"")))</f>
        <v/>
      </c>
      <c r="V538" t="str">
        <f>IF(C538=1,MAX($V$2:$V537)+1,IF(AND($T538&lt;&gt;"",$T538=$T537),$U537,IF(C538="x",V537,"")))</f>
        <v/>
      </c>
      <c r="W538" t="str">
        <f t="shared" si="274"/>
        <v>h</v>
      </c>
      <c r="X538">
        <v>16</v>
      </c>
      <c r="Y538" t="b">
        <f>IF(X538&lt;&gt;"",VLOOKUP(X538,game_rosters!$C$43:$E$64,3,FALSE))</f>
        <v>0</v>
      </c>
      <c r="Z538" cm="1">
        <f t="array" ref="Z538">IFERROR(IF(_xlfn._xlws.FILTER(game_rosters!$J:$J,(game_rosters!$G:$G=events!$AN538)*(game_rosters!$J:$J=events!$X538))&gt;0,1,""),"")</f>
        <v>1</v>
      </c>
      <c r="AA538">
        <f t="shared" si="275"/>
        <v>1287</v>
      </c>
      <c r="AB538" t="str">
        <f t="shared" si="276"/>
        <v/>
      </c>
      <c r="AC538">
        <f t="shared" si="273"/>
        <v>1287</v>
      </c>
      <c r="AD538" s="6">
        <v>1</v>
      </c>
      <c r="AE538" t="s">
        <v>938</v>
      </c>
      <c r="AF538" t="s">
        <v>927</v>
      </c>
      <c r="AG538" t="s">
        <v>756</v>
      </c>
      <c r="AH538" t="s">
        <v>756</v>
      </c>
      <c r="AI538" t="s">
        <v>367</v>
      </c>
      <c r="AJ538" t="str">
        <f t="shared" si="301"/>
        <v/>
      </c>
      <c r="AK538" t="str">
        <f t="shared" si="301"/>
        <v/>
      </c>
      <c r="AL538" t="str">
        <f t="shared" si="278"/>
        <v/>
      </c>
      <c r="AN538" t="s">
        <v>861</v>
      </c>
      <c r="AO538" t="str">
        <f t="shared" si="279"/>
        <v>h</v>
      </c>
      <c r="AP538" t="str">
        <f t="shared" si="286"/>
        <v/>
      </c>
      <c r="AQ538" t="str">
        <f t="shared" si="287"/>
        <v/>
      </c>
      <c r="AR538" t="str">
        <f t="shared" si="288"/>
        <v>Home</v>
      </c>
      <c r="AS538" t="str">
        <f t="shared" si="289"/>
        <v>h</v>
      </c>
      <c r="AT538" t="str">
        <f t="shared" si="290"/>
        <v>Offensive</v>
      </c>
      <c r="BA538" s="6">
        <f t="shared" si="280"/>
        <v>132</v>
      </c>
      <c r="BB538">
        <f t="shared" si="281"/>
        <v>18981</v>
      </c>
      <c r="BC538" t="str">
        <f t="shared" si="282"/>
        <v>Nelson</v>
      </c>
      <c r="BD538" t="str">
        <f t="shared" si="283"/>
        <v>Velodrome</v>
      </c>
      <c r="BE538" t="s">
        <v>7</v>
      </c>
      <c r="BF538" t="s">
        <v>172</v>
      </c>
      <c r="BG538" t="s">
        <v>68</v>
      </c>
      <c r="BI538" cm="1">
        <f t="array" ref="BI538">IFERROR(_xlfn._xlws.FILTER(shifts!A:A,(shifts!B:B=events!AD538)*(shifts!AG:AG&gt;=events!BK538)*(shifts!AH:AH&lt;=events!BL538)),BI537)</f>
        <v>27</v>
      </c>
      <c r="BJ538" s="15">
        <f t="shared" si="284"/>
        <v>0</v>
      </c>
      <c r="BK538">
        <f t="shared" si="291"/>
        <v>417</v>
      </c>
      <c r="BL538">
        <f t="shared" si="292"/>
        <v>417</v>
      </c>
      <c r="BM538" s="15">
        <f>SUMIFS(BJ$2:BJ538,K$2:K538,"=Intermission")+SUMIFS(BJ$2:BJ538,K$2:K538,"=Timeout")</f>
        <v>0</v>
      </c>
      <c r="BN538">
        <f t="shared" si="293"/>
        <v>0</v>
      </c>
      <c r="BO538" s="19">
        <f t="shared" si="294"/>
        <v>663</v>
      </c>
      <c r="BP538">
        <f t="shared" si="295"/>
        <v>658</v>
      </c>
      <c r="BQ538" s="17">
        <f t="shared" si="296"/>
        <v>663</v>
      </c>
      <c r="BR538" t="str">
        <f t="shared" si="297"/>
        <v>event_team_player_1</v>
      </c>
      <c r="BS538">
        <f>COUNTIFS(S$3:S538,"="&amp;S538,AI$3:AI538,"="&amp;AI538)</f>
        <v>1</v>
      </c>
      <c r="BT538" t="str">
        <f>IFERROR(VLOOKUP(BB538&amp;BU538&amp;X538,game_rosters!U:W,3,FALSE),"")</f>
        <v>P100164</v>
      </c>
      <c r="BU538" t="str">
        <f t="shared" si="298"/>
        <v>Nelson</v>
      </c>
    </row>
    <row r="539" spans="1:73" x14ac:dyDescent="0.2">
      <c r="A539">
        <f t="shared" si="285"/>
        <v>1</v>
      </c>
      <c r="E539" s="4"/>
      <c r="F539" s="43"/>
      <c r="G539" s="4"/>
      <c r="H539" s="46"/>
      <c r="J539" s="44" t="str">
        <f t="shared" si="299"/>
        <v/>
      </c>
      <c r="K539" t="s">
        <v>7</v>
      </c>
      <c r="L539" t="s">
        <v>172</v>
      </c>
      <c r="M539" t="s">
        <v>68</v>
      </c>
      <c r="N539" t="str">
        <f t="shared" si="302"/>
        <v>s</v>
      </c>
      <c r="Q539" t="str">
        <f t="shared" si="300"/>
        <v/>
      </c>
      <c r="S539">
        <v>287</v>
      </c>
      <c r="U539" t="str">
        <f>IF(B539=1,MAX($U$2:$U538)+1,IF(AND($T539&lt;&gt;"",$T539=$T538),$U538,IF(B539="x",U538,"")))</f>
        <v/>
      </c>
      <c r="V539" t="str">
        <f>IF(C539=1,MAX($V$2:$V538)+1,IF(AND($T539&lt;&gt;"",$T539=$T538),$U538,IF(C539="x",V538,"")))</f>
        <v/>
      </c>
      <c r="W539" t="str">
        <f t="shared" si="274"/>
        <v>h</v>
      </c>
      <c r="X539">
        <v>80</v>
      </c>
      <c r="Y539" t="b">
        <f>IF(X539&lt;&gt;"",VLOOKUP(X539,game_rosters!$C$43:$E$64,3,FALSE))</f>
        <v>0</v>
      </c>
      <c r="Z539" cm="1">
        <f t="array" ref="Z539">IFERROR(IF(_xlfn._xlws.FILTER(game_rosters!$J:$J,(game_rosters!$G:$G=events!$AN539)*(game_rosters!$J:$J=events!$X539))&gt;0,1,""),"")</f>
        <v>1</v>
      </c>
      <c r="AA539">
        <f t="shared" si="275"/>
        <v>1287</v>
      </c>
      <c r="AB539" t="str">
        <f t="shared" si="276"/>
        <v/>
      </c>
      <c r="AC539">
        <f t="shared" si="273"/>
        <v>1287</v>
      </c>
      <c r="AD539" s="6">
        <v>1</v>
      </c>
      <c r="AE539" t="s">
        <v>938</v>
      </c>
      <c r="AF539" t="s">
        <v>927</v>
      </c>
      <c r="AG539" t="s">
        <v>756</v>
      </c>
      <c r="AH539" t="s">
        <v>756</v>
      </c>
      <c r="AI539" t="s">
        <v>367</v>
      </c>
      <c r="AJ539" t="str">
        <f t="shared" si="301"/>
        <v/>
      </c>
      <c r="AK539" t="str">
        <f t="shared" si="301"/>
        <v/>
      </c>
      <c r="AL539" t="str">
        <f t="shared" si="278"/>
        <v/>
      </c>
      <c r="AN539" t="s">
        <v>861</v>
      </c>
      <c r="AO539" t="str">
        <f t="shared" si="279"/>
        <v>h</v>
      </c>
      <c r="AP539" t="str">
        <f t="shared" si="286"/>
        <v/>
      </c>
      <c r="AQ539" t="str">
        <f t="shared" si="287"/>
        <v/>
      </c>
      <c r="AR539" t="str">
        <f t="shared" si="288"/>
        <v>Home</v>
      </c>
      <c r="AS539" t="str">
        <f t="shared" si="289"/>
        <v>h</v>
      </c>
      <c r="AT539" t="str">
        <f t="shared" si="290"/>
        <v>Offensive</v>
      </c>
      <c r="BA539" s="6">
        <f t="shared" si="280"/>
        <v>132</v>
      </c>
      <c r="BB539">
        <f t="shared" si="281"/>
        <v>18981</v>
      </c>
      <c r="BC539" t="str">
        <f t="shared" si="282"/>
        <v>Nelson</v>
      </c>
      <c r="BD539" t="str">
        <f t="shared" si="283"/>
        <v>Velodrome</v>
      </c>
      <c r="BE539" t="s">
        <v>7</v>
      </c>
      <c r="BF539" t="s">
        <v>172</v>
      </c>
      <c r="BG539" t="s">
        <v>68</v>
      </c>
      <c r="BI539" cm="1">
        <f t="array" ref="BI539">IFERROR(_xlfn._xlws.FILTER(shifts!A:A,(shifts!B:B=events!AD539)*(shifts!AG:AG&gt;=events!BK539)*(shifts!AH:AH&lt;=events!BL539)),BI538)</f>
        <v>27</v>
      </c>
      <c r="BJ539" s="15">
        <f t="shared" si="284"/>
        <v>0</v>
      </c>
      <c r="BK539">
        <f t="shared" si="291"/>
        <v>417</v>
      </c>
      <c r="BL539">
        <f t="shared" si="292"/>
        <v>417</v>
      </c>
      <c r="BM539" s="15">
        <f>SUMIFS(BJ$2:BJ539,K$2:K539,"=Intermission")+SUMIFS(BJ$2:BJ539,K$2:K539,"=Timeout")</f>
        <v>0</v>
      </c>
      <c r="BN539">
        <f t="shared" si="293"/>
        <v>0</v>
      </c>
      <c r="BO539" s="19">
        <f t="shared" si="294"/>
        <v>663</v>
      </c>
      <c r="BP539">
        <f t="shared" si="295"/>
        <v>658</v>
      </c>
      <c r="BQ539" s="17">
        <f t="shared" si="296"/>
        <v>663</v>
      </c>
      <c r="BR539" t="str">
        <f t="shared" si="297"/>
        <v>event_team_player_2</v>
      </c>
      <c r="BS539">
        <f>COUNTIFS(S$3:S539,"="&amp;S539,AI$3:AI539,"="&amp;AI539)</f>
        <v>2</v>
      </c>
      <c r="BT539" t="str">
        <f>IFERROR(VLOOKUP(BB539&amp;BU539&amp;X539,game_rosters!U:W,3,FALSE),"")</f>
        <v>P100197</v>
      </c>
      <c r="BU539" t="str">
        <f t="shared" si="298"/>
        <v>Nelson</v>
      </c>
    </row>
    <row r="540" spans="1:73" x14ac:dyDescent="0.2">
      <c r="A540">
        <f t="shared" si="285"/>
        <v>1</v>
      </c>
      <c r="E540" s="4"/>
      <c r="F540" s="43"/>
      <c r="G540" s="4"/>
      <c r="H540" s="46"/>
      <c r="J540" s="44" t="str">
        <f t="shared" si="299"/>
        <v>o</v>
      </c>
      <c r="K540" t="s">
        <v>238</v>
      </c>
      <c r="L540" t="s">
        <v>174</v>
      </c>
      <c r="M540" t="s">
        <v>85</v>
      </c>
      <c r="N540" t="str">
        <f t="shared" si="302"/>
        <v>s</v>
      </c>
      <c r="Q540" t="str">
        <f t="shared" si="300"/>
        <v/>
      </c>
      <c r="S540">
        <v>288</v>
      </c>
      <c r="U540" t="str">
        <f>IF(B540=1,MAX($U$2:$U539)+1,IF(AND($T540&lt;&gt;"",$T540=$T539),$U539,IF(B540="x",U539,"")))</f>
        <v/>
      </c>
      <c r="V540" t="str">
        <f>IF(C540=1,MAX($V$2:$V539)+1,IF(AND($T540&lt;&gt;"",$T540=$T539),$U539,IF(C540="x",V539,"")))</f>
        <v/>
      </c>
      <c r="W540" t="str">
        <f t="shared" si="274"/>
        <v>h</v>
      </c>
      <c r="X540">
        <v>80</v>
      </c>
      <c r="Y540" t="b">
        <f>IF(X540&lt;&gt;"",VLOOKUP(X540,game_rosters!$C$43:$E$64,3,FALSE))</f>
        <v>0</v>
      </c>
      <c r="Z540" cm="1">
        <f t="array" ref="Z540">IFERROR(IF(_xlfn._xlws.FILTER(game_rosters!$J:$J,(game_rosters!$G:$G=events!$AN540)*(game_rosters!$J:$J=events!$X540))&gt;0,1,""),"")</f>
        <v>1</v>
      </c>
      <c r="AA540">
        <f t="shared" si="275"/>
        <v>1288</v>
      </c>
      <c r="AB540" t="str">
        <f t="shared" si="276"/>
        <v/>
      </c>
      <c r="AC540">
        <f t="shared" si="273"/>
        <v>1288</v>
      </c>
      <c r="AD540" s="6">
        <v>1</v>
      </c>
      <c r="AE540" t="s">
        <v>938</v>
      </c>
      <c r="AF540" t="s">
        <v>927</v>
      </c>
      <c r="AG540" t="s">
        <v>938</v>
      </c>
      <c r="AH540" t="s">
        <v>897</v>
      </c>
      <c r="AI540" t="s">
        <v>367</v>
      </c>
      <c r="AJ540" t="str">
        <f t="shared" si="301"/>
        <v>o</v>
      </c>
      <c r="AK540" t="str">
        <f t="shared" si="301"/>
        <v>o</v>
      </c>
      <c r="AL540" t="str">
        <f t="shared" si="278"/>
        <v>o</v>
      </c>
      <c r="AN540" t="s">
        <v>861</v>
      </c>
      <c r="AO540" t="str">
        <f t="shared" si="279"/>
        <v>h</v>
      </c>
      <c r="AP540" t="str">
        <f t="shared" si="286"/>
        <v>o</v>
      </c>
      <c r="AQ540" t="str">
        <f t="shared" si="287"/>
        <v/>
      </c>
      <c r="AR540" t="str">
        <f t="shared" si="288"/>
        <v>Home</v>
      </c>
      <c r="AS540" t="str">
        <f t="shared" si="289"/>
        <v>h</v>
      </c>
      <c r="AT540" t="str">
        <f t="shared" si="290"/>
        <v>Offensive</v>
      </c>
      <c r="BA540" s="6">
        <f t="shared" si="280"/>
        <v>133</v>
      </c>
      <c r="BB540">
        <f t="shared" si="281"/>
        <v>18981</v>
      </c>
      <c r="BC540" t="str">
        <f t="shared" si="282"/>
        <v>Nelson</v>
      </c>
      <c r="BD540" t="str">
        <f t="shared" si="283"/>
        <v>Velodrome</v>
      </c>
      <c r="BE540" t="s">
        <v>238</v>
      </c>
      <c r="BF540" t="s">
        <v>174</v>
      </c>
      <c r="BG540" t="s">
        <v>85</v>
      </c>
      <c r="BI540" cm="1">
        <f t="array" ref="BI540">IFERROR(_xlfn._xlws.FILTER(shifts!A:A,(shifts!B:B=events!AD540)*(shifts!AG:AG&gt;=events!BK540)*(shifts!AH:AH&lt;=events!BL540)),BI539)</f>
        <v>27</v>
      </c>
      <c r="BJ540" s="15">
        <f t="shared" si="284"/>
        <v>5</v>
      </c>
      <c r="BK540">
        <f t="shared" si="291"/>
        <v>417</v>
      </c>
      <c r="BL540">
        <f t="shared" si="292"/>
        <v>412</v>
      </c>
      <c r="BM540" s="15">
        <f>SUMIFS(BJ$2:BJ540,K$2:K540,"=Intermission")+SUMIFS(BJ$2:BJ540,K$2:K540,"=Timeout")</f>
        <v>0</v>
      </c>
      <c r="BN540">
        <f t="shared" si="293"/>
        <v>0</v>
      </c>
      <c r="BO540" s="19">
        <f t="shared" si="294"/>
        <v>663</v>
      </c>
      <c r="BP540">
        <f t="shared" si="295"/>
        <v>658</v>
      </c>
      <c r="BQ540" s="17">
        <f t="shared" si="296"/>
        <v>668</v>
      </c>
      <c r="BR540" t="str">
        <f t="shared" si="297"/>
        <v>event_team_player_1</v>
      </c>
      <c r="BS540">
        <f>COUNTIFS(S$3:S540,"="&amp;S540,AI$3:AI540,"="&amp;AI540)</f>
        <v>1</v>
      </c>
      <c r="BT540" t="str">
        <f>IFERROR(VLOOKUP(BB540&amp;BU540&amp;X540,game_rosters!U:W,3,FALSE),"")</f>
        <v>P100197</v>
      </c>
      <c r="BU540" t="str">
        <f t="shared" si="298"/>
        <v>Nelson</v>
      </c>
    </row>
    <row r="541" spans="1:73" x14ac:dyDescent="0.2">
      <c r="A541">
        <f t="shared" si="285"/>
        <v>1</v>
      </c>
      <c r="E541" s="4"/>
      <c r="F541" s="43"/>
      <c r="G541" s="4"/>
      <c r="H541" s="46"/>
      <c r="J541" s="44" t="str">
        <f t="shared" si="299"/>
        <v>o</v>
      </c>
      <c r="K541" t="s">
        <v>238</v>
      </c>
      <c r="L541" t="s">
        <v>174</v>
      </c>
      <c r="M541" t="s">
        <v>85</v>
      </c>
      <c r="N541" t="str">
        <f t="shared" si="302"/>
        <v>s</v>
      </c>
      <c r="Q541" t="str">
        <f t="shared" si="300"/>
        <v/>
      </c>
      <c r="S541">
        <v>288</v>
      </c>
      <c r="U541" t="str">
        <f>IF(B541=1,MAX($U$2:$U540)+1,IF(AND($T541&lt;&gt;"",$T541=$T540),$U540,IF(B541="x",U540,"")))</f>
        <v/>
      </c>
      <c r="V541" t="str">
        <f>IF(C541=1,MAX($V$2:$V540)+1,IF(AND($T541&lt;&gt;"",$T541=$T540),$U540,IF(C541="x",V540,"")))</f>
        <v/>
      </c>
      <c r="W541" t="str">
        <f t="shared" si="274"/>
        <v>h</v>
      </c>
      <c r="X541">
        <v>16</v>
      </c>
      <c r="Y541" t="b">
        <f>IF(X541&lt;&gt;"",VLOOKUP(X541,game_rosters!$C$43:$E$64,3,FALSE))</f>
        <v>0</v>
      </c>
      <c r="Z541" cm="1">
        <f t="array" ref="Z541">IFERROR(IF(_xlfn._xlws.FILTER(game_rosters!$J:$J,(game_rosters!$G:$G=events!$AN541)*(game_rosters!$J:$J=events!$X541))&gt;0,1,""),"")</f>
        <v>1</v>
      </c>
      <c r="AA541">
        <f t="shared" si="275"/>
        <v>1288</v>
      </c>
      <c r="AB541" t="str">
        <f t="shared" si="276"/>
        <v/>
      </c>
      <c r="AC541">
        <f t="shared" si="273"/>
        <v>1288</v>
      </c>
      <c r="AD541" s="6">
        <v>1</v>
      </c>
      <c r="AE541" t="s">
        <v>938</v>
      </c>
      <c r="AF541" t="s">
        <v>927</v>
      </c>
      <c r="AG541" t="s">
        <v>938</v>
      </c>
      <c r="AH541" t="s">
        <v>897</v>
      </c>
      <c r="AI541" t="s">
        <v>367</v>
      </c>
      <c r="AJ541" t="str">
        <f t="shared" si="301"/>
        <v>o</v>
      </c>
      <c r="AK541" t="str">
        <f t="shared" si="301"/>
        <v>o</v>
      </c>
      <c r="AL541" t="str">
        <f t="shared" si="278"/>
        <v>o</v>
      </c>
      <c r="AN541" t="s">
        <v>861</v>
      </c>
      <c r="AO541" t="str">
        <f t="shared" si="279"/>
        <v>h</v>
      </c>
      <c r="AP541" t="str">
        <f t="shared" si="286"/>
        <v>o</v>
      </c>
      <c r="AQ541" t="str">
        <f t="shared" si="287"/>
        <v/>
      </c>
      <c r="AR541" t="str">
        <f t="shared" si="288"/>
        <v>Home</v>
      </c>
      <c r="AS541" t="str">
        <f t="shared" si="289"/>
        <v>h</v>
      </c>
      <c r="AT541" t="str">
        <f t="shared" si="290"/>
        <v>Offensive</v>
      </c>
      <c r="BA541" s="6">
        <f t="shared" si="280"/>
        <v>134</v>
      </c>
      <c r="BB541">
        <f t="shared" si="281"/>
        <v>18981</v>
      </c>
      <c r="BC541" t="str">
        <f t="shared" si="282"/>
        <v>Nelson</v>
      </c>
      <c r="BD541" t="str">
        <f t="shared" si="283"/>
        <v>Velodrome</v>
      </c>
      <c r="BE541" t="s">
        <v>238</v>
      </c>
      <c r="BF541" t="s">
        <v>174</v>
      </c>
      <c r="BG541" t="s">
        <v>85</v>
      </c>
      <c r="BI541" cm="1">
        <f t="array" ref="BI541">IFERROR(_xlfn._xlws.FILTER(shifts!A:A,(shifts!B:B=events!AD541)*(shifts!AG:AG&gt;=events!BK541)*(shifts!AH:AH&lt;=events!BL541)),BI540)</f>
        <v>27</v>
      </c>
      <c r="BJ541" s="15">
        <f t="shared" si="284"/>
        <v>5</v>
      </c>
      <c r="BK541">
        <f t="shared" si="291"/>
        <v>417</v>
      </c>
      <c r="BL541">
        <f t="shared" si="292"/>
        <v>412</v>
      </c>
      <c r="BM541" s="15">
        <f>SUMIFS(BJ$2:BJ541,K$2:K541,"=Intermission")+SUMIFS(BJ$2:BJ541,K$2:K541,"=Timeout")</f>
        <v>0</v>
      </c>
      <c r="BN541">
        <f t="shared" si="293"/>
        <v>0</v>
      </c>
      <c r="BO541" s="19">
        <f t="shared" si="294"/>
        <v>663</v>
      </c>
      <c r="BP541">
        <f t="shared" si="295"/>
        <v>658</v>
      </c>
      <c r="BQ541" s="17">
        <f t="shared" si="296"/>
        <v>668</v>
      </c>
      <c r="BR541" t="str">
        <f t="shared" si="297"/>
        <v>event_team_player_2</v>
      </c>
      <c r="BS541">
        <f>COUNTIFS(S$3:S541,"="&amp;S541,AI$3:AI541,"="&amp;AI541)</f>
        <v>2</v>
      </c>
      <c r="BT541" t="str">
        <f>IFERROR(VLOOKUP(BB541&amp;BU541&amp;X541,game_rosters!U:W,3,FALSE),"")</f>
        <v>P100164</v>
      </c>
      <c r="BU541" t="str">
        <f t="shared" si="298"/>
        <v>Nelson</v>
      </c>
    </row>
    <row r="542" spans="1:73" x14ac:dyDescent="0.2">
      <c r="A542">
        <f t="shared" si="285"/>
        <v>1</v>
      </c>
      <c r="E542" s="4"/>
      <c r="F542" s="43"/>
      <c r="G542" s="4"/>
      <c r="H542" s="46"/>
      <c r="J542" s="44" t="str">
        <f t="shared" si="299"/>
        <v>o</v>
      </c>
      <c r="K542" t="s">
        <v>238</v>
      </c>
      <c r="L542" t="s">
        <v>174</v>
      </c>
      <c r="M542" t="s">
        <v>85</v>
      </c>
      <c r="N542" t="str">
        <f t="shared" si="302"/>
        <v>s</v>
      </c>
      <c r="Q542" t="str">
        <f t="shared" si="300"/>
        <v/>
      </c>
      <c r="S542">
        <v>288</v>
      </c>
      <c r="U542" t="str">
        <f>IF(B542=1,MAX($U$2:$U541)+1,IF(AND($T542&lt;&gt;"",$T542=$T541),$U541,IF(B542="x",U541,"")))</f>
        <v/>
      </c>
      <c r="V542" t="str">
        <f>IF(C542=1,MAX($V$2:$V541)+1,IF(AND($T542&lt;&gt;"",$T542=$T541),$U541,IF(C542="x",V541,"")))</f>
        <v/>
      </c>
      <c r="W542" t="str">
        <f t="shared" si="274"/>
        <v>h</v>
      </c>
      <c r="X542">
        <v>3</v>
      </c>
      <c r="Y542" t="b">
        <f>IF(X542&lt;&gt;"",VLOOKUP(X542,game_rosters!$C$43:$E$64,3,FALSE))</f>
        <v>0</v>
      </c>
      <c r="Z542" cm="1">
        <f t="array" ref="Z542">IFERROR(IF(_xlfn._xlws.FILTER(game_rosters!$J:$J,(game_rosters!$G:$G=events!$AN542)*(game_rosters!$J:$J=events!$X542))&gt;0,1,""),"")</f>
        <v>1</v>
      </c>
      <c r="AA542">
        <f t="shared" si="275"/>
        <v>1288</v>
      </c>
      <c r="AB542" t="str">
        <f t="shared" si="276"/>
        <v/>
      </c>
      <c r="AC542">
        <f t="shared" si="273"/>
        <v>1288</v>
      </c>
      <c r="AD542" s="6">
        <v>1</v>
      </c>
      <c r="AE542" t="s">
        <v>938</v>
      </c>
      <c r="AF542" t="s">
        <v>927</v>
      </c>
      <c r="AG542" t="s">
        <v>938</v>
      </c>
      <c r="AH542" t="s">
        <v>897</v>
      </c>
      <c r="AI542" t="s">
        <v>367</v>
      </c>
      <c r="AJ542" t="str">
        <f t="shared" si="301"/>
        <v>o</v>
      </c>
      <c r="AK542" t="str">
        <f t="shared" si="301"/>
        <v>o</v>
      </c>
      <c r="AL542" t="str">
        <f t="shared" si="278"/>
        <v>o</v>
      </c>
      <c r="AN542" t="s">
        <v>861</v>
      </c>
      <c r="AO542" t="str">
        <f t="shared" si="279"/>
        <v>h</v>
      </c>
      <c r="AP542" t="str">
        <f t="shared" si="286"/>
        <v>o</v>
      </c>
      <c r="AQ542" t="str">
        <f t="shared" si="287"/>
        <v/>
      </c>
      <c r="AR542" t="str">
        <f t="shared" si="288"/>
        <v>Home</v>
      </c>
      <c r="AS542" t="str">
        <f t="shared" si="289"/>
        <v>h</v>
      </c>
      <c r="AT542" t="str">
        <f t="shared" si="290"/>
        <v>Offensive</v>
      </c>
      <c r="BA542" s="6">
        <f t="shared" si="280"/>
        <v>135</v>
      </c>
      <c r="BB542">
        <f t="shared" si="281"/>
        <v>18981</v>
      </c>
      <c r="BC542" t="str">
        <f t="shared" si="282"/>
        <v>Nelson</v>
      </c>
      <c r="BD542" t="str">
        <f t="shared" si="283"/>
        <v>Velodrome</v>
      </c>
      <c r="BE542" t="s">
        <v>238</v>
      </c>
      <c r="BF542" t="s">
        <v>174</v>
      </c>
      <c r="BG542" t="s">
        <v>85</v>
      </c>
      <c r="BI542" cm="1">
        <f t="array" ref="BI542">IFERROR(_xlfn._xlws.FILTER(shifts!A:A,(shifts!B:B=events!AD542)*(shifts!AG:AG&gt;=events!BK542)*(shifts!AH:AH&lt;=events!BL542)),BI541)</f>
        <v>27</v>
      </c>
      <c r="BJ542" s="15">
        <f t="shared" si="284"/>
        <v>5</v>
      </c>
      <c r="BK542">
        <f t="shared" si="291"/>
        <v>417</v>
      </c>
      <c r="BL542">
        <f t="shared" si="292"/>
        <v>412</v>
      </c>
      <c r="BM542" s="15">
        <f>SUMIFS(BJ$2:BJ542,K$2:K542,"=Intermission")+SUMIFS(BJ$2:BJ542,K$2:K542,"=Timeout")</f>
        <v>0</v>
      </c>
      <c r="BN542">
        <f t="shared" si="293"/>
        <v>0</v>
      </c>
      <c r="BO542" s="19">
        <f t="shared" si="294"/>
        <v>663</v>
      </c>
      <c r="BP542">
        <f t="shared" si="295"/>
        <v>658</v>
      </c>
      <c r="BQ542" s="17">
        <f t="shared" si="296"/>
        <v>668</v>
      </c>
      <c r="BR542" t="str">
        <f t="shared" si="297"/>
        <v>event_team_player_3</v>
      </c>
      <c r="BS542">
        <f>COUNTIFS(S$3:S542,"="&amp;S542,AI$3:AI542,"="&amp;AI542)</f>
        <v>3</v>
      </c>
      <c r="BT542" t="str">
        <f>IFERROR(VLOOKUP(BB542&amp;BU542&amp;X542,game_rosters!U:W,3,FALSE),"")</f>
        <v>P100111</v>
      </c>
      <c r="BU542" t="str">
        <f t="shared" si="298"/>
        <v>Nelson</v>
      </c>
    </row>
    <row r="543" spans="1:73" x14ac:dyDescent="0.2">
      <c r="A543">
        <f t="shared" si="285"/>
        <v>1</v>
      </c>
      <c r="E543" s="4"/>
      <c r="F543" s="43"/>
      <c r="G543" s="4"/>
      <c r="H543" s="46"/>
      <c r="J543" s="44" t="str">
        <f t="shared" si="299"/>
        <v>o</v>
      </c>
      <c r="K543" t="s">
        <v>238</v>
      </c>
      <c r="L543" t="s">
        <v>174</v>
      </c>
      <c r="M543" t="s">
        <v>85</v>
      </c>
      <c r="N543" t="str">
        <f t="shared" si="302"/>
        <v>s</v>
      </c>
      <c r="Q543" t="str">
        <f t="shared" si="300"/>
        <v/>
      </c>
      <c r="S543">
        <v>288</v>
      </c>
      <c r="U543" t="str">
        <f>IF(B543=1,MAX($U$2:$U542)+1,IF(AND($T543&lt;&gt;"",$T543=$T542),$U542,IF(B543="x",U542,"")))</f>
        <v/>
      </c>
      <c r="V543" t="str">
        <f>IF(C543=1,MAX($V$2:$V542)+1,IF(AND($T543&lt;&gt;"",$T543=$T542),$U542,IF(C543="x",V542,"")))</f>
        <v/>
      </c>
      <c r="W543" t="str">
        <f t="shared" si="274"/>
        <v>h</v>
      </c>
      <c r="X543">
        <v>9</v>
      </c>
      <c r="Y543" t="e">
        <f>IF(X543&lt;&gt;"",VLOOKUP(X543,game_rosters!$C$43:$E$64,3,FALSE))</f>
        <v>#N/A</v>
      </c>
      <c r="Z543" t="str" cm="1">
        <f t="array" ref="Z543">IFERROR(IF(_xlfn._xlws.FILTER(game_rosters!$J:$J,(game_rosters!$G:$G=events!$AN543)*(game_rosters!$J:$J=events!$X543))&gt;0,1,""),"")</f>
        <v/>
      </c>
      <c r="AA543">
        <f t="shared" si="275"/>
        <v>1288</v>
      </c>
      <c r="AB543" t="str">
        <f t="shared" si="276"/>
        <v/>
      </c>
      <c r="AC543">
        <f t="shared" si="273"/>
        <v>1288</v>
      </c>
      <c r="AD543" s="6">
        <v>1</v>
      </c>
      <c r="AE543" t="s">
        <v>938</v>
      </c>
      <c r="AF543" t="s">
        <v>927</v>
      </c>
      <c r="AG543" t="s">
        <v>938</v>
      </c>
      <c r="AH543" t="s">
        <v>897</v>
      </c>
      <c r="AI543" t="s">
        <v>368</v>
      </c>
      <c r="AJ543" t="str">
        <f t="shared" si="301"/>
        <v>o</v>
      </c>
      <c r="AK543" t="str">
        <f t="shared" si="301"/>
        <v>o</v>
      </c>
      <c r="AL543" t="str">
        <f t="shared" si="278"/>
        <v>o</v>
      </c>
      <c r="AN543" t="s">
        <v>861</v>
      </c>
      <c r="AO543" t="str">
        <f t="shared" si="279"/>
        <v>h</v>
      </c>
      <c r="AP543" t="str">
        <f t="shared" si="286"/>
        <v>o</v>
      </c>
      <c r="AQ543" t="str">
        <f t="shared" si="287"/>
        <v/>
      </c>
      <c r="AR543" t="str">
        <f t="shared" si="288"/>
        <v>Home</v>
      </c>
      <c r="AS543" t="str">
        <f t="shared" si="289"/>
        <v>h</v>
      </c>
      <c r="AT543" t="str">
        <f t="shared" si="290"/>
        <v>Defensive</v>
      </c>
      <c r="BA543" s="6">
        <f t="shared" si="280"/>
        <v>136</v>
      </c>
      <c r="BB543">
        <f t="shared" si="281"/>
        <v>18981</v>
      </c>
      <c r="BC543" t="str">
        <f t="shared" si="282"/>
        <v>Nelson</v>
      </c>
      <c r="BD543" t="str">
        <f t="shared" si="283"/>
        <v>Velodrome</v>
      </c>
      <c r="BE543" t="s">
        <v>238</v>
      </c>
      <c r="BF543" t="s">
        <v>174</v>
      </c>
      <c r="BG543" t="s">
        <v>85</v>
      </c>
      <c r="BI543" cm="1">
        <f t="array" ref="BI543">IFERROR(_xlfn._xlws.FILTER(shifts!A:A,(shifts!B:B=events!AD543)*(shifts!AG:AG&gt;=events!BK543)*(shifts!AH:AH&lt;=events!BL543)),BI542)</f>
        <v>27</v>
      </c>
      <c r="BJ543" s="15">
        <f t="shared" si="284"/>
        <v>5</v>
      </c>
      <c r="BK543">
        <f t="shared" si="291"/>
        <v>417</v>
      </c>
      <c r="BL543">
        <f t="shared" si="292"/>
        <v>412</v>
      </c>
      <c r="BM543" s="15">
        <f>SUMIFS(BJ$2:BJ543,K$2:K543,"=Intermission")+SUMIFS(BJ$2:BJ543,K$2:K543,"=Timeout")</f>
        <v>0</v>
      </c>
      <c r="BN543">
        <f t="shared" si="293"/>
        <v>0</v>
      </c>
      <c r="BO543" s="19">
        <f t="shared" si="294"/>
        <v>663</v>
      </c>
      <c r="BP543">
        <f t="shared" si="295"/>
        <v>658</v>
      </c>
      <c r="BQ543" s="17">
        <f t="shared" si="296"/>
        <v>668</v>
      </c>
      <c r="BR543" t="str">
        <f t="shared" si="297"/>
        <v>opp_team_player_1</v>
      </c>
      <c r="BS543">
        <f>COUNTIFS(S$3:S543,"="&amp;S543,AI$3:AI543,"="&amp;AI543)</f>
        <v>1</v>
      </c>
      <c r="BT543" t="str">
        <f>IFERROR(VLOOKUP(BB543&amp;BU543&amp;X543,game_rosters!U:W,3,FALSE),"")</f>
        <v>P100105</v>
      </c>
      <c r="BU543" t="str">
        <f t="shared" si="298"/>
        <v>Velodrome</v>
      </c>
    </row>
    <row r="544" spans="1:73" x14ac:dyDescent="0.2">
      <c r="A544">
        <f t="shared" si="285"/>
        <v>1</v>
      </c>
      <c r="E544" s="4"/>
      <c r="F544" s="43"/>
      <c r="G544" s="4"/>
      <c r="H544" s="46"/>
      <c r="J544" s="44" t="str">
        <f t="shared" si="299"/>
        <v>o</v>
      </c>
      <c r="K544" t="s">
        <v>238</v>
      </c>
      <c r="L544" t="s">
        <v>174</v>
      </c>
      <c r="M544" t="s">
        <v>85</v>
      </c>
      <c r="N544" t="str">
        <f t="shared" si="302"/>
        <v>s</v>
      </c>
      <c r="Q544" t="str">
        <f t="shared" si="300"/>
        <v/>
      </c>
      <c r="S544">
        <v>288</v>
      </c>
      <c r="U544" t="str">
        <f>IF(B544=1,MAX($U$2:$U543)+1,IF(AND($T544&lt;&gt;"",$T544=$T543),$U543,IF(B544="x",U543,"")))</f>
        <v/>
      </c>
      <c r="V544" t="str">
        <f>IF(C544=1,MAX($V$2:$V543)+1,IF(AND($T544&lt;&gt;"",$T544=$T543),$U543,IF(C544="x",V543,"")))</f>
        <v/>
      </c>
      <c r="W544" t="str">
        <f t="shared" si="274"/>
        <v>h</v>
      </c>
      <c r="X544">
        <v>52</v>
      </c>
      <c r="Y544" t="e">
        <f>IF(X544&lt;&gt;"",VLOOKUP(X544,game_rosters!$C$43:$E$64,3,FALSE))</f>
        <v>#N/A</v>
      </c>
      <c r="Z544" t="str" cm="1">
        <f t="array" ref="Z544">IFERROR(IF(_xlfn._xlws.FILTER(game_rosters!$J:$J,(game_rosters!$G:$G=events!$AN544)*(game_rosters!$J:$J=events!$X544))&gt;0,1,""),"")</f>
        <v/>
      </c>
      <c r="AA544">
        <f t="shared" si="275"/>
        <v>1288</v>
      </c>
      <c r="AB544" t="str">
        <f t="shared" si="276"/>
        <v/>
      </c>
      <c r="AC544">
        <f t="shared" si="273"/>
        <v>1288</v>
      </c>
      <c r="AD544" s="6">
        <v>1</v>
      </c>
      <c r="AE544" t="s">
        <v>938</v>
      </c>
      <c r="AF544" t="s">
        <v>927</v>
      </c>
      <c r="AG544" t="s">
        <v>938</v>
      </c>
      <c r="AH544" t="s">
        <v>897</v>
      </c>
      <c r="AI544" t="s">
        <v>368</v>
      </c>
      <c r="AJ544" t="str">
        <f t="shared" si="301"/>
        <v>o</v>
      </c>
      <c r="AK544" t="str">
        <f t="shared" si="301"/>
        <v>o</v>
      </c>
      <c r="AL544" t="str">
        <f t="shared" si="278"/>
        <v>o</v>
      </c>
      <c r="AN544" t="s">
        <v>861</v>
      </c>
      <c r="AO544" t="str">
        <f t="shared" si="279"/>
        <v>h</v>
      </c>
      <c r="AP544" t="str">
        <f t="shared" si="286"/>
        <v>o</v>
      </c>
      <c r="AQ544" t="str">
        <f t="shared" si="287"/>
        <v/>
      </c>
      <c r="AR544" t="str">
        <f t="shared" si="288"/>
        <v>Home</v>
      </c>
      <c r="AS544" t="str">
        <f t="shared" si="289"/>
        <v>h</v>
      </c>
      <c r="AT544" t="str">
        <f t="shared" si="290"/>
        <v>Defensive</v>
      </c>
      <c r="BA544" s="6">
        <f t="shared" si="280"/>
        <v>137</v>
      </c>
      <c r="BB544">
        <f t="shared" si="281"/>
        <v>18981</v>
      </c>
      <c r="BC544" t="str">
        <f t="shared" si="282"/>
        <v>Nelson</v>
      </c>
      <c r="BD544" t="str">
        <f t="shared" si="283"/>
        <v>Velodrome</v>
      </c>
      <c r="BE544" t="s">
        <v>238</v>
      </c>
      <c r="BF544" t="s">
        <v>174</v>
      </c>
      <c r="BG544" t="s">
        <v>85</v>
      </c>
      <c r="BI544" cm="1">
        <f t="array" ref="BI544">IFERROR(_xlfn._xlws.FILTER(shifts!A:A,(shifts!B:B=events!AD544)*(shifts!AG:AG&gt;=events!BK544)*(shifts!AH:AH&lt;=events!BL544)),BI543)</f>
        <v>27</v>
      </c>
      <c r="BJ544" s="15">
        <f t="shared" si="284"/>
        <v>5</v>
      </c>
      <c r="BK544">
        <f t="shared" si="291"/>
        <v>417</v>
      </c>
      <c r="BL544">
        <f t="shared" si="292"/>
        <v>412</v>
      </c>
      <c r="BM544" s="15">
        <f>SUMIFS(BJ$2:BJ544,K$2:K544,"=Intermission")+SUMIFS(BJ$2:BJ544,K$2:K544,"=Timeout")</f>
        <v>0</v>
      </c>
      <c r="BN544">
        <f t="shared" si="293"/>
        <v>0</v>
      </c>
      <c r="BO544" s="19">
        <f t="shared" si="294"/>
        <v>663</v>
      </c>
      <c r="BP544">
        <f t="shared" si="295"/>
        <v>658</v>
      </c>
      <c r="BQ544" s="17">
        <f t="shared" si="296"/>
        <v>668</v>
      </c>
      <c r="BR544" t="str">
        <f t="shared" si="297"/>
        <v>opp_team_player_2</v>
      </c>
      <c r="BS544">
        <f>COUNTIFS(S$3:S544,"="&amp;S544,AI$3:AI544,"="&amp;AI544)</f>
        <v>2</v>
      </c>
      <c r="BT544" t="str">
        <f>IFERROR(VLOOKUP(BB544&amp;BU544&amp;X544,game_rosters!U:W,3,FALSE),"")</f>
        <v>P100070</v>
      </c>
      <c r="BU544" t="str">
        <f t="shared" si="298"/>
        <v>Velodrome</v>
      </c>
    </row>
    <row r="545" spans="1:73" x14ac:dyDescent="0.2">
      <c r="A545">
        <f t="shared" si="285"/>
        <v>1</v>
      </c>
      <c r="E545" s="4"/>
      <c r="F545" s="43"/>
      <c r="G545" s="4"/>
      <c r="H545" s="46"/>
      <c r="J545" s="44" t="str">
        <f t="shared" si="299"/>
        <v>o</v>
      </c>
      <c r="K545" t="s">
        <v>238</v>
      </c>
      <c r="L545" t="s">
        <v>174</v>
      </c>
      <c r="M545" t="s">
        <v>85</v>
      </c>
      <c r="N545" t="str">
        <f t="shared" si="302"/>
        <v>s</v>
      </c>
      <c r="Q545" t="str">
        <f t="shared" si="300"/>
        <v/>
      </c>
      <c r="S545">
        <v>288</v>
      </c>
      <c r="U545" t="str">
        <f>IF(B545=1,MAX($U$2:$U544)+1,IF(AND($T545&lt;&gt;"",$T545=$T544),$U544,IF(B545="x",U544,"")))</f>
        <v/>
      </c>
      <c r="V545" t="str">
        <f>IF(C545=1,MAX($V$2:$V544)+1,IF(AND($T545&lt;&gt;"",$T545=$T544),$U544,IF(C545="x",V544,"")))</f>
        <v/>
      </c>
      <c r="W545" t="str">
        <f t="shared" si="274"/>
        <v>h</v>
      </c>
      <c r="X545">
        <v>14</v>
      </c>
      <c r="Y545" t="e">
        <f>IF(X545&lt;&gt;"",VLOOKUP(X545,game_rosters!$C$43:$E$64,3,FALSE))</f>
        <v>#N/A</v>
      </c>
      <c r="Z545" t="str" cm="1">
        <f t="array" ref="Z545">IFERROR(IF(_xlfn._xlws.FILTER(game_rosters!$J:$J,(game_rosters!$G:$G=events!$AN545)*(game_rosters!$J:$J=events!$X545))&gt;0,1,""),"")</f>
        <v/>
      </c>
      <c r="AA545">
        <f t="shared" si="275"/>
        <v>1288</v>
      </c>
      <c r="AB545" t="str">
        <f t="shared" si="276"/>
        <v/>
      </c>
      <c r="AC545">
        <f t="shared" si="273"/>
        <v>1288</v>
      </c>
      <c r="AD545" s="6">
        <v>1</v>
      </c>
      <c r="AE545" t="s">
        <v>938</v>
      </c>
      <c r="AF545" t="s">
        <v>927</v>
      </c>
      <c r="AG545" t="s">
        <v>938</v>
      </c>
      <c r="AH545" t="s">
        <v>897</v>
      </c>
      <c r="AI545" t="s">
        <v>368</v>
      </c>
      <c r="AJ545" t="str">
        <f t="shared" si="301"/>
        <v>o</v>
      </c>
      <c r="AK545" t="str">
        <f t="shared" si="301"/>
        <v>o</v>
      </c>
      <c r="AL545" t="str">
        <f t="shared" si="278"/>
        <v>o</v>
      </c>
      <c r="AN545" t="s">
        <v>861</v>
      </c>
      <c r="AO545" t="str">
        <f t="shared" si="279"/>
        <v>h</v>
      </c>
      <c r="AP545" t="str">
        <f t="shared" si="286"/>
        <v>o</v>
      </c>
      <c r="AQ545" t="str">
        <f t="shared" si="287"/>
        <v/>
      </c>
      <c r="AR545" t="str">
        <f t="shared" si="288"/>
        <v>Home</v>
      </c>
      <c r="AS545" t="str">
        <f t="shared" si="289"/>
        <v>h</v>
      </c>
      <c r="AT545" t="str">
        <f t="shared" si="290"/>
        <v>Defensive</v>
      </c>
      <c r="BA545" s="6">
        <f t="shared" si="280"/>
        <v>138</v>
      </c>
      <c r="BB545">
        <f t="shared" si="281"/>
        <v>18981</v>
      </c>
      <c r="BC545" t="str">
        <f t="shared" si="282"/>
        <v>Nelson</v>
      </c>
      <c r="BD545" t="str">
        <f t="shared" si="283"/>
        <v>Velodrome</v>
      </c>
      <c r="BE545" t="s">
        <v>238</v>
      </c>
      <c r="BF545" t="s">
        <v>174</v>
      </c>
      <c r="BG545" t="s">
        <v>85</v>
      </c>
      <c r="BI545" cm="1">
        <f t="array" ref="BI545">IFERROR(_xlfn._xlws.FILTER(shifts!A:A,(shifts!B:B=events!AD545)*(shifts!AG:AG&gt;=events!BK545)*(shifts!AH:AH&lt;=events!BL545)),BI544)</f>
        <v>27</v>
      </c>
      <c r="BJ545" s="15">
        <f t="shared" si="284"/>
        <v>5</v>
      </c>
      <c r="BK545">
        <f t="shared" si="291"/>
        <v>417</v>
      </c>
      <c r="BL545">
        <f t="shared" si="292"/>
        <v>412</v>
      </c>
      <c r="BM545" s="15">
        <f>SUMIFS(BJ$2:BJ545,K$2:K545,"=Intermission")+SUMIFS(BJ$2:BJ545,K$2:K545,"=Timeout")</f>
        <v>0</v>
      </c>
      <c r="BN545">
        <f t="shared" si="293"/>
        <v>0</v>
      </c>
      <c r="BO545" s="19">
        <f t="shared" si="294"/>
        <v>663</v>
      </c>
      <c r="BP545">
        <f t="shared" si="295"/>
        <v>658</v>
      </c>
      <c r="BQ545" s="17">
        <f t="shared" si="296"/>
        <v>668</v>
      </c>
      <c r="BR545" t="str">
        <f t="shared" si="297"/>
        <v>opp_team_player_3</v>
      </c>
      <c r="BS545">
        <f>COUNTIFS(S$3:S545,"="&amp;S545,AI$3:AI545,"="&amp;AI545)</f>
        <v>3</v>
      </c>
      <c r="BT545" t="str">
        <f>IFERROR(VLOOKUP(BB545&amp;BU545&amp;X545,game_rosters!U:W,3,FALSE),"")</f>
        <v>P100132</v>
      </c>
      <c r="BU545" t="str">
        <f t="shared" si="298"/>
        <v>Velodrome</v>
      </c>
    </row>
    <row r="546" spans="1:73" x14ac:dyDescent="0.2">
      <c r="A546">
        <f t="shared" si="285"/>
        <v>1</v>
      </c>
      <c r="E546" s="4"/>
      <c r="F546" s="43"/>
      <c r="G546" s="4"/>
      <c r="H546" s="46"/>
      <c r="J546" s="44" t="str">
        <f t="shared" si="299"/>
        <v>o</v>
      </c>
      <c r="K546" t="s">
        <v>6</v>
      </c>
      <c r="L546" t="s">
        <v>205</v>
      </c>
      <c r="M546" t="s">
        <v>51</v>
      </c>
      <c r="N546" t="str">
        <f t="shared" si="302"/>
        <v>s</v>
      </c>
      <c r="Q546" t="str">
        <f t="shared" si="300"/>
        <v/>
      </c>
      <c r="S546">
        <v>289</v>
      </c>
      <c r="U546" t="str">
        <f>IF(B546=1,MAX($U$2:$U545)+1,IF(AND($T546&lt;&gt;"",$T546=$T545),$U545,IF(B546="x",U545,"")))</f>
        <v/>
      </c>
      <c r="V546" t="str">
        <f>IF(C546=1,MAX($V$2:$V545)+1,IF(AND($T546&lt;&gt;"",$T546=$T545),$U545,IF(C546="x",V545,"")))</f>
        <v/>
      </c>
      <c r="W546" t="str">
        <f t="shared" si="274"/>
        <v>h</v>
      </c>
      <c r="X546">
        <v>80</v>
      </c>
      <c r="Y546" t="b">
        <f>IF(X546&lt;&gt;"",VLOOKUP(X546,game_rosters!$C$43:$E$64,3,FALSE))</f>
        <v>0</v>
      </c>
      <c r="Z546" cm="1">
        <f t="array" ref="Z546">IFERROR(IF(_xlfn._xlws.FILTER(game_rosters!$J:$J,(game_rosters!$G:$G=events!$AN546)*(game_rosters!$J:$J=events!$X546))&gt;0,1,""),"")</f>
        <v>1</v>
      </c>
      <c r="AA546">
        <f t="shared" si="275"/>
        <v>1289</v>
      </c>
      <c r="AB546" t="str">
        <f t="shared" si="276"/>
        <v/>
      </c>
      <c r="AC546">
        <f t="shared" si="273"/>
        <v>1289</v>
      </c>
      <c r="AD546" s="6">
        <v>1</v>
      </c>
      <c r="AE546" t="s">
        <v>938</v>
      </c>
      <c r="AF546" t="s">
        <v>897</v>
      </c>
      <c r="AG546" t="s">
        <v>756</v>
      </c>
      <c r="AH546" t="s">
        <v>756</v>
      </c>
      <c r="AI546" t="s">
        <v>367</v>
      </c>
      <c r="AJ546" t="str">
        <f t="shared" si="301"/>
        <v>o</v>
      </c>
      <c r="AK546" t="str">
        <f t="shared" si="301"/>
        <v>o</v>
      </c>
      <c r="AL546" t="str">
        <f t="shared" si="278"/>
        <v>o</v>
      </c>
      <c r="AN546" t="s">
        <v>861</v>
      </c>
      <c r="AO546" t="str">
        <f t="shared" si="279"/>
        <v>h</v>
      </c>
      <c r="AP546" t="str">
        <f t="shared" si="286"/>
        <v>o</v>
      </c>
      <c r="AQ546" t="str">
        <f t="shared" si="287"/>
        <v/>
      </c>
      <c r="AR546" t="str">
        <f t="shared" si="288"/>
        <v>Home</v>
      </c>
      <c r="AS546" t="str">
        <f t="shared" si="289"/>
        <v>h</v>
      </c>
      <c r="AT546" t="str">
        <f t="shared" si="290"/>
        <v>Offensive</v>
      </c>
      <c r="BA546" s="6">
        <f t="shared" si="280"/>
        <v>138</v>
      </c>
      <c r="BB546">
        <f t="shared" si="281"/>
        <v>18981</v>
      </c>
      <c r="BC546" t="str">
        <f t="shared" si="282"/>
        <v>Nelson</v>
      </c>
      <c r="BD546" t="str">
        <f t="shared" si="283"/>
        <v>Velodrome</v>
      </c>
      <c r="BE546" t="s">
        <v>6</v>
      </c>
      <c r="BF546" t="s">
        <v>205</v>
      </c>
      <c r="BG546" t="s">
        <v>51</v>
      </c>
      <c r="BI546" cm="1">
        <f t="array" ref="BI546">IFERROR(_xlfn._xlws.FILTER(shifts!A:A,(shifts!B:B=events!AD546)*(shifts!AG:AG&gt;=events!BK546)*(shifts!AH:AH&lt;=events!BL546)),BI545)</f>
        <v>27</v>
      </c>
      <c r="BJ546" s="15">
        <f t="shared" si="284"/>
        <v>0</v>
      </c>
      <c r="BK546">
        <f t="shared" si="291"/>
        <v>412</v>
      </c>
      <c r="BL546">
        <f t="shared" si="292"/>
        <v>412</v>
      </c>
      <c r="BM546" s="15">
        <f>SUMIFS(BJ$2:BJ546,K$2:K546,"=Intermission")+SUMIFS(BJ$2:BJ546,K$2:K546,"=Timeout")</f>
        <v>0</v>
      </c>
      <c r="BN546">
        <f t="shared" si="293"/>
        <v>0</v>
      </c>
      <c r="BO546" s="19">
        <f t="shared" si="294"/>
        <v>668</v>
      </c>
      <c r="BP546">
        <f t="shared" si="295"/>
        <v>663</v>
      </c>
      <c r="BQ546" s="17">
        <f t="shared" si="296"/>
        <v>668</v>
      </c>
      <c r="BR546" t="str">
        <f t="shared" si="297"/>
        <v>event_team_player_1</v>
      </c>
      <c r="BS546">
        <f>COUNTIFS(S$3:S546,"="&amp;S546,AI$3:AI546,"="&amp;AI546)</f>
        <v>1</v>
      </c>
      <c r="BT546" t="str">
        <f>IFERROR(VLOOKUP(BB546&amp;BU546&amp;X546,game_rosters!U:W,3,FALSE),"")</f>
        <v>P100197</v>
      </c>
      <c r="BU546" t="str">
        <f t="shared" si="298"/>
        <v>Nelson</v>
      </c>
    </row>
    <row r="547" spans="1:73" x14ac:dyDescent="0.2">
      <c r="A547">
        <f t="shared" si="285"/>
        <v>1</v>
      </c>
      <c r="E547" s="4"/>
      <c r="F547" s="43"/>
      <c r="G547" s="4"/>
      <c r="H547" s="46"/>
      <c r="J547" s="44" t="str">
        <f t="shared" si="299"/>
        <v>o</v>
      </c>
      <c r="K547" t="s">
        <v>6</v>
      </c>
      <c r="L547" t="s">
        <v>205</v>
      </c>
      <c r="M547" t="s">
        <v>51</v>
      </c>
      <c r="N547" t="str">
        <f t="shared" si="302"/>
        <v>s</v>
      </c>
      <c r="Q547" t="str">
        <f t="shared" si="300"/>
        <v/>
      </c>
      <c r="S547">
        <v>289</v>
      </c>
      <c r="U547" t="str">
        <f>IF(B547=1,MAX($U$2:$U546)+1,IF(AND($T547&lt;&gt;"",$T547=$T546),$U546,IF(B547="x",U546,"")))</f>
        <v/>
      </c>
      <c r="V547" t="str">
        <f>IF(C547=1,MAX($V$2:$V546)+1,IF(AND($T547&lt;&gt;"",$T547=$T546),$U546,IF(C547="x",V546,"")))</f>
        <v/>
      </c>
      <c r="W547" t="str">
        <f t="shared" si="274"/>
        <v>h</v>
      </c>
      <c r="X547">
        <v>39</v>
      </c>
      <c r="Y547" t="e">
        <f>IF(X547&lt;&gt;"",VLOOKUP(X547,game_rosters!$C$43:$E$64,3,FALSE))</f>
        <v>#N/A</v>
      </c>
      <c r="Z547" t="str" cm="1">
        <f t="array" ref="Z547">IFERROR(IF(_xlfn._xlws.FILTER(game_rosters!$J:$J,(game_rosters!$G:$G=events!$AN547)*(game_rosters!$J:$J=events!$X547))&gt;0,1,""),"")</f>
        <v/>
      </c>
      <c r="AA547">
        <f t="shared" si="275"/>
        <v>1289</v>
      </c>
      <c r="AB547" t="str">
        <f t="shared" si="276"/>
        <v/>
      </c>
      <c r="AC547">
        <f t="shared" si="273"/>
        <v>1289</v>
      </c>
      <c r="AD547" s="6">
        <v>1</v>
      </c>
      <c r="AE547" t="s">
        <v>938</v>
      </c>
      <c r="AF547" t="s">
        <v>897</v>
      </c>
      <c r="AG547" t="s">
        <v>756</v>
      </c>
      <c r="AH547" t="s">
        <v>756</v>
      </c>
      <c r="AI547" t="s">
        <v>368</v>
      </c>
      <c r="AJ547" t="str">
        <f t="shared" si="301"/>
        <v>o</v>
      </c>
      <c r="AK547" t="str">
        <f t="shared" si="301"/>
        <v>o</v>
      </c>
      <c r="AL547" t="str">
        <f t="shared" si="278"/>
        <v>o</v>
      </c>
      <c r="AN547" t="s">
        <v>861</v>
      </c>
      <c r="AO547" t="str">
        <f t="shared" si="279"/>
        <v>h</v>
      </c>
      <c r="AP547" t="str">
        <f t="shared" si="286"/>
        <v>o</v>
      </c>
      <c r="AQ547" t="str">
        <f t="shared" si="287"/>
        <v/>
      </c>
      <c r="AR547" t="str">
        <f t="shared" si="288"/>
        <v>Home</v>
      </c>
      <c r="AS547" t="str">
        <f t="shared" si="289"/>
        <v>h</v>
      </c>
      <c r="AT547" t="str">
        <f t="shared" si="290"/>
        <v>Defensive</v>
      </c>
      <c r="BA547" s="6">
        <f t="shared" si="280"/>
        <v>138</v>
      </c>
      <c r="BB547">
        <f t="shared" si="281"/>
        <v>18981</v>
      </c>
      <c r="BC547" t="str">
        <f t="shared" si="282"/>
        <v>Nelson</v>
      </c>
      <c r="BD547" t="str">
        <f t="shared" si="283"/>
        <v>Velodrome</v>
      </c>
      <c r="BE547" t="s">
        <v>6</v>
      </c>
      <c r="BF547" t="s">
        <v>205</v>
      </c>
      <c r="BG547" t="s">
        <v>51</v>
      </c>
      <c r="BI547" cm="1">
        <f t="array" ref="BI547">IFERROR(_xlfn._xlws.FILTER(shifts!A:A,(shifts!B:B=events!AD547)*(shifts!AG:AG&gt;=events!BK547)*(shifts!AH:AH&lt;=events!BL547)),BI546)</f>
        <v>27</v>
      </c>
      <c r="BJ547" s="15">
        <f t="shared" si="284"/>
        <v>0</v>
      </c>
      <c r="BK547">
        <f t="shared" si="291"/>
        <v>412</v>
      </c>
      <c r="BL547">
        <f t="shared" si="292"/>
        <v>412</v>
      </c>
      <c r="BM547" s="15">
        <f>SUMIFS(BJ$2:BJ547,K$2:K547,"=Intermission")+SUMIFS(BJ$2:BJ547,K$2:K547,"=Timeout")</f>
        <v>0</v>
      </c>
      <c r="BN547">
        <f t="shared" si="293"/>
        <v>0</v>
      </c>
      <c r="BO547" s="19">
        <f t="shared" si="294"/>
        <v>668</v>
      </c>
      <c r="BP547">
        <f t="shared" si="295"/>
        <v>663</v>
      </c>
      <c r="BQ547" s="17">
        <f t="shared" si="296"/>
        <v>668</v>
      </c>
      <c r="BR547" t="str">
        <f t="shared" si="297"/>
        <v>opp_team_player_1</v>
      </c>
      <c r="BS547">
        <f>COUNTIFS(S$3:S547,"="&amp;S547,AI$3:AI547,"="&amp;AI547)</f>
        <v>1</v>
      </c>
      <c r="BT547" t="str">
        <f>IFERROR(VLOOKUP(BB547&amp;BU547&amp;X547,game_rosters!U:W,3,FALSE),"")</f>
        <v>P100016</v>
      </c>
      <c r="BU547" t="str">
        <f t="shared" si="298"/>
        <v>Velodrome</v>
      </c>
    </row>
    <row r="548" spans="1:73" x14ac:dyDescent="0.2">
      <c r="A548">
        <f t="shared" si="285"/>
        <v>1</v>
      </c>
      <c r="E548" s="4"/>
      <c r="F548" s="43"/>
      <c r="G548" s="4"/>
      <c r="H548" s="46"/>
      <c r="J548" s="44" t="str">
        <f t="shared" si="299"/>
        <v>o</v>
      </c>
      <c r="K548" t="s">
        <v>6</v>
      </c>
      <c r="L548" t="s">
        <v>205</v>
      </c>
      <c r="M548" t="s">
        <v>51</v>
      </c>
      <c r="N548" t="str">
        <f t="shared" si="302"/>
        <v>s</v>
      </c>
      <c r="Q548" t="str">
        <f t="shared" si="300"/>
        <v/>
      </c>
      <c r="S548">
        <v>289</v>
      </c>
      <c r="U548" t="str">
        <f>IF(B548=1,MAX($U$2:$U547)+1,IF(AND($T548&lt;&gt;"",$T548=$T547),$U547,IF(B548="x",U547,"")))</f>
        <v/>
      </c>
      <c r="V548" t="str">
        <f>IF(C548=1,MAX($V$2:$V547)+1,IF(AND($T548&lt;&gt;"",$T548=$T547),$U547,IF(C548="x",V547,"")))</f>
        <v/>
      </c>
      <c r="W548" t="str">
        <f t="shared" si="274"/>
        <v>h</v>
      </c>
      <c r="X548">
        <v>9</v>
      </c>
      <c r="Y548" t="e">
        <f>IF(X548&lt;&gt;"",VLOOKUP(X548,game_rosters!$C$43:$E$64,3,FALSE))</f>
        <v>#N/A</v>
      </c>
      <c r="Z548" t="str" cm="1">
        <f t="array" ref="Z548">IFERROR(IF(_xlfn._xlws.FILTER(game_rosters!$J:$J,(game_rosters!$G:$G=events!$AN548)*(game_rosters!$J:$J=events!$X548))&gt;0,1,""),"")</f>
        <v/>
      </c>
      <c r="AA548">
        <f t="shared" si="275"/>
        <v>1289</v>
      </c>
      <c r="AB548" t="str">
        <f t="shared" si="276"/>
        <v/>
      </c>
      <c r="AC548">
        <f t="shared" si="273"/>
        <v>1289</v>
      </c>
      <c r="AD548" s="6">
        <v>1</v>
      </c>
      <c r="AE548" t="s">
        <v>938</v>
      </c>
      <c r="AF548" t="s">
        <v>897</v>
      </c>
      <c r="AG548" t="s">
        <v>756</v>
      </c>
      <c r="AH548" t="s">
        <v>756</v>
      </c>
      <c r="AI548" t="s">
        <v>368</v>
      </c>
      <c r="AJ548" t="str">
        <f t="shared" ref="AJ548:AK563" si="303">IF($J548&lt;&gt;"",$J548,IF($AC548=$AC547,AJ547,""))</f>
        <v>o</v>
      </c>
      <c r="AK548" t="str">
        <f t="shared" si="303"/>
        <v>o</v>
      </c>
      <c r="AL548" t="str">
        <f t="shared" si="278"/>
        <v>o</v>
      </c>
      <c r="AN548" t="s">
        <v>861</v>
      </c>
      <c r="AO548" t="str">
        <f t="shared" si="279"/>
        <v>h</v>
      </c>
      <c r="AP548" t="str">
        <f t="shared" si="286"/>
        <v>o</v>
      </c>
      <c r="AQ548" t="str">
        <f t="shared" si="287"/>
        <v/>
      </c>
      <c r="AR548" t="str">
        <f t="shared" si="288"/>
        <v>Home</v>
      </c>
      <c r="AS548" t="str">
        <f t="shared" si="289"/>
        <v>h</v>
      </c>
      <c r="AT548" t="str">
        <f t="shared" si="290"/>
        <v>Defensive</v>
      </c>
      <c r="BA548" s="6">
        <f t="shared" si="280"/>
        <v>138</v>
      </c>
      <c r="BB548">
        <f t="shared" si="281"/>
        <v>18981</v>
      </c>
      <c r="BC548" t="str">
        <f t="shared" si="282"/>
        <v>Nelson</v>
      </c>
      <c r="BD548" t="str">
        <f t="shared" si="283"/>
        <v>Velodrome</v>
      </c>
      <c r="BE548" t="s">
        <v>6</v>
      </c>
      <c r="BF548" t="s">
        <v>205</v>
      </c>
      <c r="BG548" t="s">
        <v>51</v>
      </c>
      <c r="BI548" cm="1">
        <f t="array" ref="BI548">IFERROR(_xlfn._xlws.FILTER(shifts!A:A,(shifts!B:B=events!AD548)*(shifts!AG:AG&gt;=events!BK548)*(shifts!AH:AH&lt;=events!BL548)),BI547)</f>
        <v>27</v>
      </c>
      <c r="BJ548" s="15">
        <f t="shared" si="284"/>
        <v>0</v>
      </c>
      <c r="BK548">
        <f t="shared" si="291"/>
        <v>412</v>
      </c>
      <c r="BL548">
        <f t="shared" si="292"/>
        <v>412</v>
      </c>
      <c r="BM548" s="15">
        <f>SUMIFS(BJ$2:BJ548,K$2:K548,"=Intermission")+SUMIFS(BJ$2:BJ548,K$2:K548,"=Timeout")</f>
        <v>0</v>
      </c>
      <c r="BN548">
        <f t="shared" si="293"/>
        <v>0</v>
      </c>
      <c r="BO548" s="19">
        <f t="shared" si="294"/>
        <v>668</v>
      </c>
      <c r="BP548">
        <f t="shared" si="295"/>
        <v>663</v>
      </c>
      <c r="BQ548" s="17">
        <f t="shared" si="296"/>
        <v>668</v>
      </c>
      <c r="BR548" t="str">
        <f t="shared" si="297"/>
        <v>opp_team_player_2</v>
      </c>
      <c r="BS548">
        <f>COUNTIFS(S$3:S548,"="&amp;S548,AI$3:AI548,"="&amp;AI548)</f>
        <v>2</v>
      </c>
      <c r="BT548" t="str">
        <f>IFERROR(VLOOKUP(BB548&amp;BU548&amp;X548,game_rosters!U:W,3,FALSE),"")</f>
        <v>P100105</v>
      </c>
      <c r="BU548" t="str">
        <f t="shared" si="298"/>
        <v>Velodrome</v>
      </c>
    </row>
    <row r="549" spans="1:73" x14ac:dyDescent="0.2">
      <c r="A549">
        <f t="shared" si="285"/>
        <v>1</v>
      </c>
      <c r="E549" s="4"/>
      <c r="F549" s="43"/>
      <c r="G549" s="4"/>
      <c r="H549" s="46"/>
      <c r="J549" s="44" t="str">
        <f t="shared" si="299"/>
        <v>d</v>
      </c>
      <c r="K549" t="s">
        <v>15</v>
      </c>
      <c r="L549" t="s">
        <v>189</v>
      </c>
      <c r="M549" t="s">
        <v>101</v>
      </c>
      <c r="N549" t="str">
        <f t="shared" si="302"/>
        <v/>
      </c>
      <c r="Q549" t="str">
        <f t="shared" si="300"/>
        <v/>
      </c>
      <c r="S549">
        <v>290</v>
      </c>
      <c r="U549" t="str">
        <f>IF(B549=1,MAX($U$2:$U548)+1,IF(AND($T549&lt;&gt;"",$T549=$T548),$U548,IF(B549="x",U548,"")))</f>
        <v/>
      </c>
      <c r="V549" t="str">
        <f>IF(C549=1,MAX($V$2:$V548)+1,IF(AND($T549&lt;&gt;"",$T549=$T548),$U548,IF(C549="x",V548,"")))</f>
        <v/>
      </c>
      <c r="W549" t="str">
        <f t="shared" si="274"/>
        <v>a</v>
      </c>
      <c r="X549">
        <v>39</v>
      </c>
      <c r="Y549" t="e">
        <f>IF(X549&lt;&gt;"",VLOOKUP(X549,game_rosters!$C$43:$E$64,3,FALSE))</f>
        <v>#N/A</v>
      </c>
      <c r="Z549" cm="1">
        <f t="array" ref="Z549">IFERROR(IF(_xlfn._xlws.FILTER(game_rosters!$J:$J,(game_rosters!$G:$G=events!$AN549)*(game_rosters!$J:$J=events!$X549))&gt;0,1,""),"")</f>
        <v>1</v>
      </c>
      <c r="AA549">
        <f t="shared" si="275"/>
        <v>1290</v>
      </c>
      <c r="AB549" t="str">
        <f t="shared" si="276"/>
        <v/>
      </c>
      <c r="AC549">
        <f t="shared" si="273"/>
        <v>1290</v>
      </c>
      <c r="AD549" s="6">
        <v>1</v>
      </c>
      <c r="AE549" t="s">
        <v>938</v>
      </c>
      <c r="AF549" t="s">
        <v>897</v>
      </c>
      <c r="AG549" t="s">
        <v>756</v>
      </c>
      <c r="AH549" t="s">
        <v>756</v>
      </c>
      <c r="AI549" t="s">
        <v>367</v>
      </c>
      <c r="AJ549" t="str">
        <f t="shared" si="303"/>
        <v>d</v>
      </c>
      <c r="AK549" t="str">
        <f t="shared" si="303"/>
        <v>d</v>
      </c>
      <c r="AL549" t="str">
        <f t="shared" si="278"/>
        <v>o</v>
      </c>
      <c r="AN549" t="s">
        <v>862</v>
      </c>
      <c r="AO549" t="str">
        <f t="shared" si="279"/>
        <v>a</v>
      </c>
      <c r="AP549" t="str">
        <f t="shared" si="286"/>
        <v>o</v>
      </c>
      <c r="AQ549" t="str">
        <f t="shared" si="287"/>
        <v/>
      </c>
      <c r="AR549" t="str">
        <f t="shared" si="288"/>
        <v>Away</v>
      </c>
      <c r="AS549" t="str">
        <f t="shared" si="289"/>
        <v>a</v>
      </c>
      <c r="AT549" t="str">
        <f t="shared" si="290"/>
        <v>Defensive</v>
      </c>
      <c r="BA549" s="6">
        <f t="shared" si="280"/>
        <v>138</v>
      </c>
      <c r="BB549">
        <f t="shared" si="281"/>
        <v>18981</v>
      </c>
      <c r="BC549" t="str">
        <f t="shared" si="282"/>
        <v>Nelson</v>
      </c>
      <c r="BD549" t="str">
        <f t="shared" si="283"/>
        <v>Velodrome</v>
      </c>
      <c r="BE549" t="s">
        <v>15</v>
      </c>
      <c r="BF549" t="s">
        <v>189</v>
      </c>
      <c r="BG549" t="s">
        <v>101</v>
      </c>
      <c r="BI549" cm="1">
        <f t="array" ref="BI549">IFERROR(_xlfn._xlws.FILTER(shifts!A:A,(shifts!B:B=events!AD549)*(shifts!AG:AG&gt;=events!BK549)*(shifts!AH:AH&lt;=events!BL549)),BI548)</f>
        <v>27</v>
      </c>
      <c r="BJ549" s="15">
        <f t="shared" si="284"/>
        <v>0</v>
      </c>
      <c r="BK549">
        <f t="shared" si="291"/>
        <v>412</v>
      </c>
      <c r="BL549">
        <f t="shared" si="292"/>
        <v>412</v>
      </c>
      <c r="BM549" s="15">
        <f>SUMIFS(BJ$2:BJ549,K$2:K549,"=Intermission")+SUMIFS(BJ$2:BJ549,K$2:K549,"=Timeout")</f>
        <v>0</v>
      </c>
      <c r="BN549">
        <f t="shared" si="293"/>
        <v>0</v>
      </c>
      <c r="BO549" s="19">
        <f t="shared" si="294"/>
        <v>668</v>
      </c>
      <c r="BP549">
        <f t="shared" si="295"/>
        <v>663</v>
      </c>
      <c r="BQ549" s="17">
        <f t="shared" si="296"/>
        <v>668</v>
      </c>
      <c r="BR549" t="str">
        <f t="shared" si="297"/>
        <v>event_team_player_1</v>
      </c>
      <c r="BS549">
        <f>COUNTIFS(S$3:S549,"="&amp;S549,AI$3:AI549,"="&amp;AI549)</f>
        <v>1</v>
      </c>
      <c r="BT549" t="str">
        <f>IFERROR(VLOOKUP(BB549&amp;BU549&amp;X549,game_rosters!U:W,3,FALSE),"")</f>
        <v>P100016</v>
      </c>
      <c r="BU549" t="str">
        <f t="shared" si="298"/>
        <v>Velodrome</v>
      </c>
    </row>
    <row r="550" spans="1:73" x14ac:dyDescent="0.2">
      <c r="A550">
        <f t="shared" si="285"/>
        <v>1</v>
      </c>
      <c r="E550" s="4"/>
      <c r="F550" s="43"/>
      <c r="G550" s="4"/>
      <c r="H550" s="46"/>
      <c r="J550" s="44" t="str">
        <f t="shared" si="299"/>
        <v>d</v>
      </c>
      <c r="K550" t="s">
        <v>15</v>
      </c>
      <c r="L550" t="s">
        <v>189</v>
      </c>
      <c r="M550" t="s">
        <v>101</v>
      </c>
      <c r="N550" t="str">
        <f t="shared" si="302"/>
        <v/>
      </c>
      <c r="Q550" t="str">
        <f t="shared" si="300"/>
        <v/>
      </c>
      <c r="S550">
        <v>290</v>
      </c>
      <c r="U550" t="str">
        <f>IF(B550=1,MAX($U$2:$U549)+1,IF(AND($T550&lt;&gt;"",$T550=$T549),$U549,IF(B550="x",U549,"")))</f>
        <v/>
      </c>
      <c r="V550" t="str">
        <f>IF(C550=1,MAX($V$2:$V549)+1,IF(AND($T550&lt;&gt;"",$T550=$T549),$U549,IF(C550="x",V549,"")))</f>
        <v/>
      </c>
      <c r="W550" t="str">
        <f t="shared" si="274"/>
        <v>a</v>
      </c>
      <c r="X550">
        <v>9</v>
      </c>
      <c r="Y550" t="e">
        <f>IF(X550&lt;&gt;"",VLOOKUP(X550,game_rosters!$C$43:$E$64,3,FALSE))</f>
        <v>#N/A</v>
      </c>
      <c r="Z550" cm="1">
        <f t="array" ref="Z550">IFERROR(IF(_xlfn._xlws.FILTER(game_rosters!$J:$J,(game_rosters!$G:$G=events!$AN550)*(game_rosters!$J:$J=events!$X550))&gt;0,1,""),"")</f>
        <v>1</v>
      </c>
      <c r="AA550">
        <f t="shared" si="275"/>
        <v>1290</v>
      </c>
      <c r="AB550" t="str">
        <f t="shared" si="276"/>
        <v/>
      </c>
      <c r="AC550">
        <f t="shared" si="273"/>
        <v>1290</v>
      </c>
      <c r="AD550" s="6">
        <v>1</v>
      </c>
      <c r="AE550" t="s">
        <v>938</v>
      </c>
      <c r="AF550" t="s">
        <v>897</v>
      </c>
      <c r="AG550" t="s">
        <v>756</v>
      </c>
      <c r="AH550" t="s">
        <v>756</v>
      </c>
      <c r="AI550" t="s">
        <v>367</v>
      </c>
      <c r="AJ550" t="str">
        <f t="shared" si="303"/>
        <v>d</v>
      </c>
      <c r="AK550" t="str">
        <f t="shared" si="303"/>
        <v>d</v>
      </c>
      <c r="AL550" t="str">
        <f t="shared" si="278"/>
        <v>o</v>
      </c>
      <c r="AN550" t="s">
        <v>862</v>
      </c>
      <c r="AO550" t="str">
        <f t="shared" si="279"/>
        <v>a</v>
      </c>
      <c r="AP550" t="str">
        <f t="shared" si="286"/>
        <v>o</v>
      </c>
      <c r="AQ550" t="str">
        <f t="shared" si="287"/>
        <v/>
      </c>
      <c r="AR550" t="str">
        <f t="shared" si="288"/>
        <v>Away</v>
      </c>
      <c r="AS550" t="str">
        <f t="shared" si="289"/>
        <v>a</v>
      </c>
      <c r="AT550" t="str">
        <f t="shared" si="290"/>
        <v>Defensive</v>
      </c>
      <c r="BA550" s="6">
        <f t="shared" si="280"/>
        <v>138</v>
      </c>
      <c r="BB550">
        <f t="shared" si="281"/>
        <v>18981</v>
      </c>
      <c r="BC550" t="str">
        <f t="shared" si="282"/>
        <v>Nelson</v>
      </c>
      <c r="BD550" t="str">
        <f t="shared" si="283"/>
        <v>Velodrome</v>
      </c>
      <c r="BE550" t="s">
        <v>15</v>
      </c>
      <c r="BF550" t="s">
        <v>189</v>
      </c>
      <c r="BG550" t="s">
        <v>101</v>
      </c>
      <c r="BI550" cm="1">
        <f t="array" ref="BI550">IFERROR(_xlfn._xlws.FILTER(shifts!A:A,(shifts!B:B=events!AD550)*(shifts!AG:AG&gt;=events!BK550)*(shifts!AH:AH&lt;=events!BL550)),BI549)</f>
        <v>27</v>
      </c>
      <c r="BJ550" s="15">
        <f t="shared" si="284"/>
        <v>0</v>
      </c>
      <c r="BK550">
        <f t="shared" si="291"/>
        <v>412</v>
      </c>
      <c r="BL550">
        <f t="shared" si="292"/>
        <v>412</v>
      </c>
      <c r="BM550" s="15">
        <f>SUMIFS(BJ$2:BJ550,K$2:K550,"=Intermission")+SUMIFS(BJ$2:BJ550,K$2:K550,"=Timeout")</f>
        <v>0</v>
      </c>
      <c r="BN550">
        <f t="shared" si="293"/>
        <v>0</v>
      </c>
      <c r="BO550" s="19">
        <f t="shared" si="294"/>
        <v>668</v>
      </c>
      <c r="BP550">
        <f t="shared" si="295"/>
        <v>663</v>
      </c>
      <c r="BQ550" s="17">
        <f t="shared" si="296"/>
        <v>668</v>
      </c>
      <c r="BR550" t="str">
        <f t="shared" si="297"/>
        <v>event_team_player_2</v>
      </c>
      <c r="BS550">
        <f>COUNTIFS(S$3:S550,"="&amp;S550,AI$3:AI550,"="&amp;AI550)</f>
        <v>2</v>
      </c>
      <c r="BT550" t="str">
        <f>IFERROR(VLOOKUP(BB550&amp;BU550&amp;X550,game_rosters!U:W,3,FALSE),"")</f>
        <v>P100105</v>
      </c>
      <c r="BU550" t="str">
        <f t="shared" si="298"/>
        <v>Velodrome</v>
      </c>
    </row>
    <row r="551" spans="1:73" x14ac:dyDescent="0.2">
      <c r="A551">
        <f t="shared" si="285"/>
        <v>1</v>
      </c>
      <c r="E551" s="4"/>
      <c r="F551" s="43"/>
      <c r="G551" s="4"/>
      <c r="H551" s="46"/>
      <c r="J551" s="44" t="str">
        <f t="shared" si="299"/>
        <v>d</v>
      </c>
      <c r="K551" t="s">
        <v>15</v>
      </c>
      <c r="L551" t="s">
        <v>189</v>
      </c>
      <c r="M551" t="s">
        <v>101</v>
      </c>
      <c r="N551" t="str">
        <f t="shared" si="302"/>
        <v/>
      </c>
      <c r="Q551" t="str">
        <f t="shared" si="300"/>
        <v/>
      </c>
      <c r="S551">
        <v>290</v>
      </c>
      <c r="U551" t="str">
        <f>IF(B551=1,MAX($U$2:$U550)+1,IF(AND($T551&lt;&gt;"",$T551=$T550),$U550,IF(B551="x",U550,"")))</f>
        <v/>
      </c>
      <c r="V551" t="str">
        <f>IF(C551=1,MAX($V$2:$V550)+1,IF(AND($T551&lt;&gt;"",$T551=$T550),$U550,IF(C551="x",V550,"")))</f>
        <v/>
      </c>
      <c r="W551" t="str">
        <f t="shared" si="274"/>
        <v>a</v>
      </c>
      <c r="X551">
        <v>80</v>
      </c>
      <c r="Y551" t="b">
        <f>IF(X551&lt;&gt;"",VLOOKUP(X551,game_rosters!$C$43:$E$64,3,FALSE))</f>
        <v>0</v>
      </c>
      <c r="Z551" t="str" cm="1">
        <f t="array" ref="Z551">IFERROR(IF(_xlfn._xlws.FILTER(game_rosters!$J:$J,(game_rosters!$G:$G=events!$AN551)*(game_rosters!$J:$J=events!$X551))&gt;0,1,""),"")</f>
        <v/>
      </c>
      <c r="AA551">
        <f t="shared" si="275"/>
        <v>1290</v>
      </c>
      <c r="AB551" t="str">
        <f t="shared" si="276"/>
        <v/>
      </c>
      <c r="AC551">
        <f t="shared" si="273"/>
        <v>1290</v>
      </c>
      <c r="AD551" s="6">
        <v>1</v>
      </c>
      <c r="AE551" t="s">
        <v>938</v>
      </c>
      <c r="AF551" t="s">
        <v>897</v>
      </c>
      <c r="AG551" t="s">
        <v>756</v>
      </c>
      <c r="AH551" t="s">
        <v>756</v>
      </c>
      <c r="AI551" t="s">
        <v>368</v>
      </c>
      <c r="AJ551" t="str">
        <f t="shared" si="303"/>
        <v>d</v>
      </c>
      <c r="AK551" t="str">
        <f t="shared" si="303"/>
        <v>d</v>
      </c>
      <c r="AL551" t="str">
        <f t="shared" si="278"/>
        <v>o</v>
      </c>
      <c r="AN551" t="s">
        <v>862</v>
      </c>
      <c r="AO551" t="str">
        <f t="shared" si="279"/>
        <v>a</v>
      </c>
      <c r="AP551" t="str">
        <f t="shared" si="286"/>
        <v>o</v>
      </c>
      <c r="AQ551" t="str">
        <f t="shared" si="287"/>
        <v/>
      </c>
      <c r="AR551" t="str">
        <f t="shared" si="288"/>
        <v>Away</v>
      </c>
      <c r="AS551" t="str">
        <f t="shared" si="289"/>
        <v>a</v>
      </c>
      <c r="AT551" t="str">
        <f t="shared" si="290"/>
        <v>Offensive</v>
      </c>
      <c r="BA551" s="6">
        <f t="shared" si="280"/>
        <v>138</v>
      </c>
      <c r="BB551">
        <f t="shared" si="281"/>
        <v>18981</v>
      </c>
      <c r="BC551" t="str">
        <f t="shared" si="282"/>
        <v>Nelson</v>
      </c>
      <c r="BD551" t="str">
        <f t="shared" si="283"/>
        <v>Velodrome</v>
      </c>
      <c r="BE551" t="s">
        <v>15</v>
      </c>
      <c r="BF551" t="s">
        <v>189</v>
      </c>
      <c r="BG551" t="s">
        <v>101</v>
      </c>
      <c r="BI551" cm="1">
        <f t="array" ref="BI551">IFERROR(_xlfn._xlws.FILTER(shifts!A:A,(shifts!B:B=events!AD551)*(shifts!AG:AG&gt;=events!BK551)*(shifts!AH:AH&lt;=events!BL551)),BI550)</f>
        <v>27</v>
      </c>
      <c r="BJ551" s="15">
        <f t="shared" si="284"/>
        <v>0</v>
      </c>
      <c r="BK551">
        <f t="shared" si="291"/>
        <v>412</v>
      </c>
      <c r="BL551">
        <f t="shared" si="292"/>
        <v>412</v>
      </c>
      <c r="BM551" s="15">
        <f>SUMIFS(BJ$2:BJ551,K$2:K551,"=Intermission")+SUMIFS(BJ$2:BJ551,K$2:K551,"=Timeout")</f>
        <v>0</v>
      </c>
      <c r="BN551">
        <f t="shared" si="293"/>
        <v>0</v>
      </c>
      <c r="BO551" s="19">
        <f t="shared" si="294"/>
        <v>668</v>
      </c>
      <c r="BP551">
        <f t="shared" si="295"/>
        <v>663</v>
      </c>
      <c r="BQ551" s="17">
        <f t="shared" si="296"/>
        <v>668</v>
      </c>
      <c r="BR551" t="str">
        <f t="shared" si="297"/>
        <v>opp_team_player_1</v>
      </c>
      <c r="BS551">
        <f>COUNTIFS(S$3:S551,"="&amp;S551,AI$3:AI551,"="&amp;AI551)</f>
        <v>1</v>
      </c>
      <c r="BT551" t="str">
        <f>IFERROR(VLOOKUP(BB551&amp;BU551&amp;X551,game_rosters!U:W,3,FALSE),"")</f>
        <v>P100197</v>
      </c>
      <c r="BU551" t="str">
        <f t="shared" si="298"/>
        <v>Nelson</v>
      </c>
    </row>
    <row r="552" spans="1:73" x14ac:dyDescent="0.2">
      <c r="A552">
        <f t="shared" si="285"/>
        <v>1</v>
      </c>
      <c r="E552" s="4"/>
      <c r="F552" s="43"/>
      <c r="G552" s="4"/>
      <c r="H552" s="46"/>
      <c r="J552" s="44" t="str">
        <f t="shared" si="299"/>
        <v>d</v>
      </c>
      <c r="K552" t="s">
        <v>11</v>
      </c>
      <c r="L552" t="s">
        <v>187</v>
      </c>
      <c r="M552" t="s">
        <v>108</v>
      </c>
      <c r="N552" t="str">
        <f t="shared" si="302"/>
        <v/>
      </c>
      <c r="Q552" t="str">
        <f t="shared" si="300"/>
        <v/>
      </c>
      <c r="S552">
        <v>291</v>
      </c>
      <c r="U552" t="str">
        <f>IF(B552=1,MAX($U$2:$U551)+1,IF(AND($T552&lt;&gt;"",$T552=$T551),$U551,IF(B552="x",U551,"")))</f>
        <v/>
      </c>
      <c r="V552" t="str">
        <f>IF(C552=1,MAX($V$2:$V551)+1,IF(AND($T552&lt;&gt;"",$T552=$T551),$U551,IF(C552="x",V551,"")))</f>
        <v/>
      </c>
      <c r="W552" t="str">
        <f t="shared" si="274"/>
        <v>a</v>
      </c>
      <c r="X552">
        <v>39</v>
      </c>
      <c r="Y552" t="e">
        <f>IF(X552&lt;&gt;"",VLOOKUP(X552,game_rosters!$C$43:$E$64,3,FALSE))</f>
        <v>#N/A</v>
      </c>
      <c r="Z552" cm="1">
        <f t="array" ref="Z552">IFERROR(IF(_xlfn._xlws.FILTER(game_rosters!$J:$J,(game_rosters!$G:$G=events!$AN552)*(game_rosters!$J:$J=events!$X552))&gt;0,1,""),"")</f>
        <v>1</v>
      </c>
      <c r="AA552">
        <f t="shared" si="275"/>
        <v>1291</v>
      </c>
      <c r="AB552" t="str">
        <f t="shared" si="276"/>
        <v/>
      </c>
      <c r="AC552">
        <f t="shared" si="273"/>
        <v>1291</v>
      </c>
      <c r="AD552" s="6">
        <v>1</v>
      </c>
      <c r="AE552" t="s">
        <v>938</v>
      </c>
      <c r="AF552" t="s">
        <v>897</v>
      </c>
      <c r="AG552" t="s">
        <v>756</v>
      </c>
      <c r="AH552" t="s">
        <v>756</v>
      </c>
      <c r="AI552" t="s">
        <v>367</v>
      </c>
      <c r="AJ552" t="str">
        <f t="shared" si="303"/>
        <v>d</v>
      </c>
      <c r="AK552" t="str">
        <f t="shared" si="303"/>
        <v>d</v>
      </c>
      <c r="AL552" t="str">
        <f t="shared" si="278"/>
        <v>o</v>
      </c>
      <c r="AN552" t="s">
        <v>862</v>
      </c>
      <c r="AO552" t="str">
        <f t="shared" si="279"/>
        <v>a</v>
      </c>
      <c r="AP552" t="str">
        <f t="shared" si="286"/>
        <v>o</v>
      </c>
      <c r="AQ552" t="str">
        <f t="shared" si="287"/>
        <v/>
      </c>
      <c r="AR552" t="str">
        <f t="shared" si="288"/>
        <v>Away</v>
      </c>
      <c r="AS552" t="str">
        <f t="shared" si="289"/>
        <v>a</v>
      </c>
      <c r="AT552" t="str">
        <f t="shared" si="290"/>
        <v/>
      </c>
      <c r="BA552" s="6">
        <f t="shared" si="280"/>
        <v>138</v>
      </c>
      <c r="BB552">
        <f t="shared" si="281"/>
        <v>18981</v>
      </c>
      <c r="BC552" t="str">
        <f t="shared" si="282"/>
        <v>Nelson</v>
      </c>
      <c r="BD552" t="str">
        <f t="shared" si="283"/>
        <v>Velodrome</v>
      </c>
      <c r="BE552" t="s">
        <v>11</v>
      </c>
      <c r="BF552" t="s">
        <v>187</v>
      </c>
      <c r="BG552" t="s">
        <v>108</v>
      </c>
      <c r="BI552" cm="1">
        <f t="array" ref="BI552">IFERROR(_xlfn._xlws.FILTER(shifts!A:A,(shifts!B:B=events!AD552)*(shifts!AG:AG&gt;=events!BK552)*(shifts!AH:AH&lt;=events!BL552)),BI551)</f>
        <v>27</v>
      </c>
      <c r="BJ552" s="15">
        <f t="shared" si="284"/>
        <v>0</v>
      </c>
      <c r="BK552">
        <f t="shared" si="291"/>
        <v>412</v>
      </c>
      <c r="BL552">
        <f t="shared" si="292"/>
        <v>412</v>
      </c>
      <c r="BM552" s="15">
        <f>SUMIFS(BJ$2:BJ552,K$2:K552,"=Intermission")+SUMIFS(BJ$2:BJ552,K$2:K552,"=Timeout")</f>
        <v>0</v>
      </c>
      <c r="BN552">
        <f t="shared" si="293"/>
        <v>0</v>
      </c>
      <c r="BO552" s="19">
        <f t="shared" si="294"/>
        <v>668</v>
      </c>
      <c r="BP552">
        <f t="shared" si="295"/>
        <v>663</v>
      </c>
      <c r="BQ552" s="17">
        <f t="shared" si="296"/>
        <v>668</v>
      </c>
      <c r="BR552" t="str">
        <f t="shared" si="297"/>
        <v>event_team_player_1</v>
      </c>
      <c r="BS552">
        <f>COUNTIFS(S$3:S552,"="&amp;S552,AI$3:AI552,"="&amp;AI552)</f>
        <v>1</v>
      </c>
      <c r="BT552" t="str">
        <f>IFERROR(VLOOKUP(BB552&amp;BU552&amp;X552,game_rosters!U:W,3,FALSE),"")</f>
        <v>P100016</v>
      </c>
      <c r="BU552" t="str">
        <f t="shared" si="298"/>
        <v>Velodrome</v>
      </c>
    </row>
    <row r="553" spans="1:73" x14ac:dyDescent="0.2">
      <c r="A553">
        <f t="shared" si="285"/>
        <v>1</v>
      </c>
      <c r="E553" s="4"/>
      <c r="F553" s="43"/>
      <c r="G553" s="4"/>
      <c r="H553" s="46"/>
      <c r="J553" s="44" t="str">
        <f t="shared" si="299"/>
        <v>d</v>
      </c>
      <c r="K553" t="s">
        <v>241</v>
      </c>
      <c r="L553" t="s">
        <v>756</v>
      </c>
      <c r="M553" t="s">
        <v>756</v>
      </c>
      <c r="N553" t="str">
        <f t="shared" si="302"/>
        <v/>
      </c>
      <c r="Q553" t="str">
        <f t="shared" si="300"/>
        <v/>
      </c>
      <c r="S553">
        <v>292</v>
      </c>
      <c r="U553" t="str">
        <f>IF(B553=1,MAX($U$2:$U552)+1,IF(AND($T553&lt;&gt;"",$T553=$T552),$U552,IF(B553="x",U552,"")))</f>
        <v/>
      </c>
      <c r="V553" t="str">
        <f>IF(C553=1,MAX($V$2:$V552)+1,IF(AND($T553&lt;&gt;"",$T553=$T552),$U552,IF(C553="x",V552,"")))</f>
        <v/>
      </c>
      <c r="W553" t="str">
        <f t="shared" si="274"/>
        <v>a</v>
      </c>
      <c r="X553">
        <v>39</v>
      </c>
      <c r="Y553" t="e">
        <f>IF(X553&lt;&gt;"",VLOOKUP(X553,game_rosters!$C$43:$E$64,3,FALSE))</f>
        <v>#N/A</v>
      </c>
      <c r="Z553" cm="1">
        <f t="array" ref="Z553">IFERROR(IF(_xlfn._xlws.FILTER(game_rosters!$J:$J,(game_rosters!$G:$G=events!$AN553)*(game_rosters!$J:$J=events!$X553))&gt;0,1,""),"")</f>
        <v>1</v>
      </c>
      <c r="AA553">
        <f t="shared" si="275"/>
        <v>1292</v>
      </c>
      <c r="AB553" t="str">
        <f t="shared" si="276"/>
        <v/>
      </c>
      <c r="AC553">
        <f t="shared" si="273"/>
        <v>1292</v>
      </c>
      <c r="AD553" s="6">
        <v>1</v>
      </c>
      <c r="AE553" t="s">
        <v>938</v>
      </c>
      <c r="AF553" t="s">
        <v>897</v>
      </c>
      <c r="AG553" t="s">
        <v>938</v>
      </c>
      <c r="AH553" t="s">
        <v>916</v>
      </c>
      <c r="AI553" t="s">
        <v>367</v>
      </c>
      <c r="AJ553" t="str">
        <f t="shared" si="303"/>
        <v>d</v>
      </c>
      <c r="AK553" t="str">
        <f t="shared" si="303"/>
        <v>d</v>
      </c>
      <c r="AL553" t="str">
        <f t="shared" si="278"/>
        <v>o</v>
      </c>
      <c r="AN553" t="s">
        <v>862</v>
      </c>
      <c r="AO553" t="str">
        <f t="shared" si="279"/>
        <v>a</v>
      </c>
      <c r="AP553" t="str">
        <f t="shared" si="286"/>
        <v>o</v>
      </c>
      <c r="AQ553" t="str">
        <f t="shared" si="287"/>
        <v/>
      </c>
      <c r="AR553" t="str">
        <f t="shared" si="288"/>
        <v>Away</v>
      </c>
      <c r="AS553" t="str">
        <f t="shared" si="289"/>
        <v>a</v>
      </c>
      <c r="AT553" t="str">
        <f t="shared" si="290"/>
        <v/>
      </c>
      <c r="BA553" s="6">
        <f t="shared" si="280"/>
        <v>138</v>
      </c>
      <c r="BB553">
        <f t="shared" si="281"/>
        <v>18981</v>
      </c>
      <c r="BC553" t="str">
        <f t="shared" si="282"/>
        <v>Nelson</v>
      </c>
      <c r="BD553" t="str">
        <f t="shared" si="283"/>
        <v>Velodrome</v>
      </c>
      <c r="BE553" t="s">
        <v>241</v>
      </c>
      <c r="BF553" t="s">
        <v>756</v>
      </c>
      <c r="BG553" t="s">
        <v>756</v>
      </c>
      <c r="BI553" cm="1">
        <f t="array" ref="BI553">IFERROR(_xlfn._xlws.FILTER(shifts!A:A,(shifts!B:B=events!AD553)*(shifts!AG:AG&gt;=events!BK553)*(shifts!AH:AH&lt;=events!BL553)),BI552)</f>
        <v>27</v>
      </c>
      <c r="BJ553" s="15">
        <f t="shared" si="284"/>
        <v>25</v>
      </c>
      <c r="BK553">
        <f t="shared" si="291"/>
        <v>412</v>
      </c>
      <c r="BL553">
        <f t="shared" si="292"/>
        <v>387</v>
      </c>
      <c r="BM553" s="15">
        <f>SUMIFS(BJ$2:BJ553,K$2:K553,"=Intermission")+SUMIFS(BJ$2:BJ553,K$2:K553,"=Timeout")</f>
        <v>0</v>
      </c>
      <c r="BN553">
        <f t="shared" si="293"/>
        <v>0</v>
      </c>
      <c r="BO553" s="19">
        <f t="shared" si="294"/>
        <v>668</v>
      </c>
      <c r="BP553">
        <f t="shared" si="295"/>
        <v>663</v>
      </c>
      <c r="BQ553" s="17">
        <f t="shared" si="296"/>
        <v>693</v>
      </c>
      <c r="BR553" t="str">
        <f t="shared" si="297"/>
        <v>event_team_player_1</v>
      </c>
      <c r="BS553">
        <f>COUNTIFS(S$3:S553,"="&amp;S553,AI$3:AI553,"="&amp;AI553)</f>
        <v>1</v>
      </c>
      <c r="BT553" t="str">
        <f>IFERROR(VLOOKUP(BB553&amp;BU553&amp;X553,game_rosters!U:W,3,FALSE),"")</f>
        <v>P100016</v>
      </c>
      <c r="BU553" t="str">
        <f t="shared" si="298"/>
        <v>Velodrome</v>
      </c>
    </row>
    <row r="554" spans="1:73" x14ac:dyDescent="0.2">
      <c r="A554">
        <f t="shared" si="285"/>
        <v>1</v>
      </c>
      <c r="E554" s="4"/>
      <c r="F554" s="43"/>
      <c r="G554" s="4"/>
      <c r="H554" s="46"/>
      <c r="J554" s="44" t="str">
        <f t="shared" si="299"/>
        <v/>
      </c>
      <c r="K554" t="s">
        <v>5</v>
      </c>
      <c r="L554" t="s">
        <v>236</v>
      </c>
      <c r="M554" t="s">
        <v>756</v>
      </c>
      <c r="N554" t="str">
        <f t="shared" si="302"/>
        <v/>
      </c>
      <c r="Q554" t="str">
        <f t="shared" si="300"/>
        <v/>
      </c>
      <c r="S554">
        <v>293</v>
      </c>
      <c r="U554" t="str">
        <f>IF(B554=1,MAX($U$2:$U553)+1,IF(AND($T554&lt;&gt;"",$T554=$T553),$U553,IF(B554="x",U553,"")))</f>
        <v/>
      </c>
      <c r="V554" t="str">
        <f>IF(C554=1,MAX($V$2:$V553)+1,IF(AND($T554&lt;&gt;"",$T554=$T553),$U553,IF(C554="x",V553,"")))</f>
        <v/>
      </c>
      <c r="W554" t="str">
        <f t="shared" si="274"/>
        <v>a</v>
      </c>
      <c r="X554">
        <v>70</v>
      </c>
      <c r="Y554" t="e">
        <f>IF(X554&lt;&gt;"",VLOOKUP(X554,game_rosters!$C$43:$E$64,3,FALSE))</f>
        <v>#N/A</v>
      </c>
      <c r="Z554" cm="1">
        <f t="array" ref="Z554">IFERROR(IF(_xlfn._xlws.FILTER(game_rosters!$J:$J,(game_rosters!$G:$G=events!$AN554)*(game_rosters!$J:$J=events!$X554))&gt;0,1,""),"")</f>
        <v>1</v>
      </c>
      <c r="AA554">
        <f t="shared" si="275"/>
        <v>1293</v>
      </c>
      <c r="AB554" t="str">
        <f t="shared" si="276"/>
        <v/>
      </c>
      <c r="AC554">
        <f t="shared" si="273"/>
        <v>1293</v>
      </c>
      <c r="AD554" s="6">
        <v>1</v>
      </c>
      <c r="AE554" t="s">
        <v>938</v>
      </c>
      <c r="AF554" t="s">
        <v>916</v>
      </c>
      <c r="AG554" t="s">
        <v>756</v>
      </c>
      <c r="AH554" t="s">
        <v>756</v>
      </c>
      <c r="AI554" t="s">
        <v>367</v>
      </c>
      <c r="AJ554" t="str">
        <f t="shared" si="303"/>
        <v/>
      </c>
      <c r="AK554" t="str">
        <f t="shared" si="303"/>
        <v/>
      </c>
      <c r="AL554" t="str">
        <f t="shared" si="278"/>
        <v/>
      </c>
      <c r="AN554" t="s">
        <v>862</v>
      </c>
      <c r="AO554" t="str">
        <f t="shared" si="279"/>
        <v>a</v>
      </c>
      <c r="AP554" t="str">
        <f t="shared" si="286"/>
        <v/>
      </c>
      <c r="AQ554" t="str">
        <f t="shared" si="287"/>
        <v/>
      </c>
      <c r="AR554" t="str">
        <f t="shared" si="288"/>
        <v>Away</v>
      </c>
      <c r="AS554" t="str">
        <f t="shared" si="289"/>
        <v>a</v>
      </c>
      <c r="AT554" t="str">
        <f t="shared" si="290"/>
        <v>Offensive</v>
      </c>
      <c r="BA554" s="6">
        <f t="shared" si="280"/>
        <v>138</v>
      </c>
      <c r="BB554">
        <f t="shared" si="281"/>
        <v>18981</v>
      </c>
      <c r="BC554" t="str">
        <f t="shared" si="282"/>
        <v>Nelson</v>
      </c>
      <c r="BD554" t="str">
        <f t="shared" si="283"/>
        <v>Velodrome</v>
      </c>
      <c r="BE554" t="s">
        <v>5</v>
      </c>
      <c r="BF554" t="s">
        <v>236</v>
      </c>
      <c r="BG554" t="s">
        <v>756</v>
      </c>
      <c r="BI554" cm="1">
        <f t="array" ref="BI554">IFERROR(_xlfn._xlws.FILTER(shifts!A:A,(shifts!B:B=events!AD554)*(shifts!AG:AG&gt;=events!BK554)*(shifts!AH:AH&lt;=events!BL554)),BI553)</f>
        <v>28</v>
      </c>
      <c r="BJ554" s="15">
        <f t="shared" si="284"/>
        <v>0</v>
      </c>
      <c r="BK554">
        <f t="shared" si="291"/>
        <v>387</v>
      </c>
      <c r="BL554">
        <f t="shared" si="292"/>
        <v>387</v>
      </c>
      <c r="BM554" s="15">
        <f>SUMIFS(BJ$2:BJ554,K$2:K554,"=Intermission")+SUMIFS(BJ$2:BJ554,K$2:K554,"=Timeout")</f>
        <v>0</v>
      </c>
      <c r="BN554">
        <f t="shared" si="293"/>
        <v>0</v>
      </c>
      <c r="BO554" s="19">
        <f t="shared" si="294"/>
        <v>693</v>
      </c>
      <c r="BP554">
        <f t="shared" si="295"/>
        <v>688</v>
      </c>
      <c r="BQ554" s="17">
        <f t="shared" si="296"/>
        <v>693</v>
      </c>
      <c r="BR554" t="str">
        <f t="shared" si="297"/>
        <v>event_team_player_1</v>
      </c>
      <c r="BS554">
        <f>COUNTIFS(S$3:S554,"="&amp;S554,AI$3:AI554,"="&amp;AI554)</f>
        <v>1</v>
      </c>
      <c r="BT554" t="str">
        <f>IFERROR(VLOOKUP(BB554&amp;BU554&amp;X554,game_rosters!U:W,3,FALSE),"")</f>
        <v>P100001</v>
      </c>
      <c r="BU554" t="str">
        <f t="shared" si="298"/>
        <v>Velodrome</v>
      </c>
    </row>
    <row r="555" spans="1:73" x14ac:dyDescent="0.2">
      <c r="A555">
        <f t="shared" si="285"/>
        <v>1</v>
      </c>
      <c r="E555" s="4"/>
      <c r="F555" s="43"/>
      <c r="G555" s="4"/>
      <c r="H555" s="46"/>
      <c r="J555" s="44" t="str">
        <f t="shared" si="299"/>
        <v/>
      </c>
      <c r="K555" t="s">
        <v>5</v>
      </c>
      <c r="L555" t="s">
        <v>236</v>
      </c>
      <c r="M555" t="s">
        <v>756</v>
      </c>
      <c r="N555" t="str">
        <f t="shared" si="302"/>
        <v/>
      </c>
      <c r="Q555" t="str">
        <f t="shared" si="300"/>
        <v/>
      </c>
      <c r="S555">
        <v>293</v>
      </c>
      <c r="U555" t="str">
        <f>IF(B555=1,MAX($U$2:$U554)+1,IF(AND($T555&lt;&gt;"",$T555=$T554),$U554,IF(B555="x",U554,"")))</f>
        <v/>
      </c>
      <c r="V555" t="str">
        <f>IF(C555=1,MAX($V$2:$V554)+1,IF(AND($T555&lt;&gt;"",$T555=$T554),$U554,IF(C555="x",V554,"")))</f>
        <v/>
      </c>
      <c r="W555" t="str">
        <f t="shared" si="274"/>
        <v>a</v>
      </c>
      <c r="X555">
        <v>10</v>
      </c>
      <c r="Y555" t="b">
        <f>IF(X555&lt;&gt;"",VLOOKUP(X555,game_rosters!$C$43:$E$64,3,FALSE))</f>
        <v>0</v>
      </c>
      <c r="Z555" t="str" cm="1">
        <f t="array" ref="Z555">IFERROR(IF(_xlfn._xlws.FILTER(game_rosters!$J:$J,(game_rosters!$G:$G=events!$AN555)*(game_rosters!$J:$J=events!$X555))&gt;0,1,""),"")</f>
        <v/>
      </c>
      <c r="AA555">
        <f t="shared" si="275"/>
        <v>1293</v>
      </c>
      <c r="AB555" t="str">
        <f t="shared" si="276"/>
        <v/>
      </c>
      <c r="AC555">
        <f t="shared" si="273"/>
        <v>1293</v>
      </c>
      <c r="AD555" s="6">
        <v>1</v>
      </c>
      <c r="AE555" t="s">
        <v>938</v>
      </c>
      <c r="AF555" t="s">
        <v>916</v>
      </c>
      <c r="AG555" t="s">
        <v>756</v>
      </c>
      <c r="AH555" t="s">
        <v>756</v>
      </c>
      <c r="AI555" t="s">
        <v>368</v>
      </c>
      <c r="AJ555" t="str">
        <f t="shared" si="303"/>
        <v/>
      </c>
      <c r="AK555" t="str">
        <f t="shared" si="303"/>
        <v/>
      </c>
      <c r="AL555" t="str">
        <f t="shared" si="278"/>
        <v/>
      </c>
      <c r="AN555" t="s">
        <v>862</v>
      </c>
      <c r="AO555" t="str">
        <f t="shared" si="279"/>
        <v>a</v>
      </c>
      <c r="AP555" t="str">
        <f t="shared" si="286"/>
        <v/>
      </c>
      <c r="AQ555" t="str">
        <f t="shared" si="287"/>
        <v/>
      </c>
      <c r="AR555" t="str">
        <f t="shared" si="288"/>
        <v>Away</v>
      </c>
      <c r="AS555" t="str">
        <f t="shared" si="289"/>
        <v>a</v>
      </c>
      <c r="AT555" t="str">
        <f t="shared" si="290"/>
        <v>Defensive</v>
      </c>
      <c r="BA555" s="6">
        <f t="shared" si="280"/>
        <v>138</v>
      </c>
      <c r="BB555">
        <f t="shared" si="281"/>
        <v>18981</v>
      </c>
      <c r="BC555" t="str">
        <f t="shared" si="282"/>
        <v>Nelson</v>
      </c>
      <c r="BD555" t="str">
        <f t="shared" si="283"/>
        <v>Velodrome</v>
      </c>
      <c r="BE555" t="s">
        <v>5</v>
      </c>
      <c r="BF555" t="s">
        <v>236</v>
      </c>
      <c r="BG555" t="s">
        <v>756</v>
      </c>
      <c r="BI555" cm="1">
        <f t="array" ref="BI555">IFERROR(_xlfn._xlws.FILTER(shifts!A:A,(shifts!B:B=events!AD555)*(shifts!AG:AG&gt;=events!BK555)*(shifts!AH:AH&lt;=events!BL555)),BI554)</f>
        <v>28</v>
      </c>
      <c r="BJ555" s="15">
        <f t="shared" si="284"/>
        <v>0</v>
      </c>
      <c r="BK555">
        <f t="shared" si="291"/>
        <v>387</v>
      </c>
      <c r="BL555">
        <f t="shared" si="292"/>
        <v>387</v>
      </c>
      <c r="BM555" s="15">
        <f>SUMIFS(BJ$2:BJ555,K$2:K555,"=Intermission")+SUMIFS(BJ$2:BJ555,K$2:K555,"=Timeout")</f>
        <v>0</v>
      </c>
      <c r="BN555">
        <f t="shared" si="293"/>
        <v>0</v>
      </c>
      <c r="BO555" s="19">
        <f t="shared" si="294"/>
        <v>693</v>
      </c>
      <c r="BP555">
        <f t="shared" si="295"/>
        <v>688</v>
      </c>
      <c r="BQ555" s="17">
        <f t="shared" si="296"/>
        <v>693</v>
      </c>
      <c r="BR555" t="str">
        <f t="shared" si="297"/>
        <v>opp_team_player_1</v>
      </c>
      <c r="BS555">
        <f>COUNTIFS(S$3:S555,"="&amp;S555,AI$3:AI555,"="&amp;AI555)</f>
        <v>1</v>
      </c>
      <c r="BT555" t="str">
        <f>IFERROR(VLOOKUP(BB555&amp;BU555&amp;X555,game_rosters!U:W,3,FALSE),"")</f>
        <v>P100078</v>
      </c>
      <c r="BU555" t="str">
        <f t="shared" si="298"/>
        <v>Nelson</v>
      </c>
    </row>
    <row r="556" spans="1:73" x14ac:dyDescent="0.2">
      <c r="A556">
        <f t="shared" si="285"/>
        <v>1</v>
      </c>
      <c r="E556" s="4"/>
      <c r="F556" s="43"/>
      <c r="G556" s="4"/>
      <c r="H556" s="46"/>
      <c r="J556" s="44" t="str">
        <f t="shared" si="299"/>
        <v/>
      </c>
      <c r="K556" t="s">
        <v>13</v>
      </c>
      <c r="L556" t="s">
        <v>756</v>
      </c>
      <c r="M556" t="s">
        <v>756</v>
      </c>
      <c r="N556" t="str">
        <f t="shared" si="302"/>
        <v/>
      </c>
      <c r="Q556" t="str">
        <f t="shared" si="300"/>
        <v/>
      </c>
      <c r="S556">
        <v>294</v>
      </c>
      <c r="U556" t="str">
        <f>IF(B556=1,MAX($U$2:$U555)+1,IF(AND($T556&lt;&gt;"",$T556=$T555),$U555,IF(B556="x",U555,"")))</f>
        <v/>
      </c>
      <c r="V556" t="str">
        <f>IF(C556=1,MAX($V$2:$V555)+1,IF(AND($T556&lt;&gt;"",$T556=$T555),$U555,IF(C556="x",V555,"")))</f>
        <v/>
      </c>
      <c r="W556" t="str">
        <f t="shared" si="274"/>
        <v>a</v>
      </c>
      <c r="X556">
        <v>22</v>
      </c>
      <c r="Y556" t="e">
        <f>IF(X556&lt;&gt;"",VLOOKUP(X556,game_rosters!$C$43:$E$64,3,FALSE))</f>
        <v>#N/A</v>
      </c>
      <c r="Z556" cm="1">
        <f t="array" ref="Z556">IFERROR(IF(_xlfn._xlws.FILTER(game_rosters!$J:$J,(game_rosters!$G:$G=events!$AN556)*(game_rosters!$J:$J=events!$X556))&gt;0,1,""),"")</f>
        <v>1</v>
      </c>
      <c r="AA556">
        <f t="shared" si="275"/>
        <v>1294</v>
      </c>
      <c r="AB556" t="str">
        <f t="shared" si="276"/>
        <v/>
      </c>
      <c r="AC556">
        <f t="shared" si="273"/>
        <v>1294</v>
      </c>
      <c r="AD556" s="6">
        <v>1</v>
      </c>
      <c r="AE556" t="s">
        <v>938</v>
      </c>
      <c r="AF556" t="s">
        <v>917</v>
      </c>
      <c r="AG556" t="s">
        <v>938</v>
      </c>
      <c r="AH556" t="s">
        <v>741</v>
      </c>
      <c r="AI556" t="s">
        <v>367</v>
      </c>
      <c r="AJ556" t="str">
        <f t="shared" si="303"/>
        <v/>
      </c>
      <c r="AK556" t="str">
        <f t="shared" si="303"/>
        <v/>
      </c>
      <c r="AL556" t="str">
        <f t="shared" si="278"/>
        <v/>
      </c>
      <c r="AN556" t="s">
        <v>862</v>
      </c>
      <c r="AO556" t="str">
        <f t="shared" si="279"/>
        <v>a</v>
      </c>
      <c r="AP556" t="str">
        <f t="shared" si="286"/>
        <v/>
      </c>
      <c r="AQ556" t="str">
        <f t="shared" si="287"/>
        <v/>
      </c>
      <c r="AR556" t="str">
        <f t="shared" si="288"/>
        <v>Away</v>
      </c>
      <c r="AS556" t="str">
        <f t="shared" si="289"/>
        <v>a</v>
      </c>
      <c r="AT556" t="str">
        <f t="shared" si="290"/>
        <v>Offensive</v>
      </c>
      <c r="BA556" s="6">
        <f t="shared" si="280"/>
        <v>138</v>
      </c>
      <c r="BB556">
        <f t="shared" si="281"/>
        <v>18981</v>
      </c>
      <c r="BC556" t="str">
        <f t="shared" si="282"/>
        <v>Nelson</v>
      </c>
      <c r="BD556" t="str">
        <f t="shared" si="283"/>
        <v>Velodrome</v>
      </c>
      <c r="BE556" t="s">
        <v>13</v>
      </c>
      <c r="BF556" t="s">
        <v>756</v>
      </c>
      <c r="BG556" t="s">
        <v>756</v>
      </c>
      <c r="BI556" cm="1">
        <f t="array" ref="BI556">IFERROR(_xlfn._xlws.FILTER(shifts!A:A,(shifts!B:B=events!AD556)*(shifts!AG:AG&gt;=events!BK556)*(shifts!AH:AH&lt;=events!BL556)),BI555)</f>
        <v>28</v>
      </c>
      <c r="BJ556" s="15">
        <f t="shared" si="284"/>
        <v>2</v>
      </c>
      <c r="BK556">
        <f t="shared" si="291"/>
        <v>383</v>
      </c>
      <c r="BL556">
        <f t="shared" si="292"/>
        <v>381</v>
      </c>
      <c r="BM556" s="15">
        <f>SUMIFS(BJ$2:BJ556,K$2:K556,"=Intermission")+SUMIFS(BJ$2:BJ556,K$2:K556,"=Timeout")</f>
        <v>0</v>
      </c>
      <c r="BN556">
        <f t="shared" si="293"/>
        <v>0</v>
      </c>
      <c r="BO556" s="19">
        <f t="shared" si="294"/>
        <v>697</v>
      </c>
      <c r="BP556">
        <f t="shared" si="295"/>
        <v>692</v>
      </c>
      <c r="BQ556" s="17">
        <f t="shared" si="296"/>
        <v>699</v>
      </c>
      <c r="BR556" t="str">
        <f t="shared" si="297"/>
        <v>event_team_player_1</v>
      </c>
      <c r="BS556">
        <f>COUNTIFS(S$3:S556,"="&amp;S556,AI$3:AI556,"="&amp;AI556)</f>
        <v>1</v>
      </c>
      <c r="BT556" t="str">
        <f>IFERROR(VLOOKUP(BB556&amp;BU556&amp;X556,game_rosters!U:W,3,FALSE),"")</f>
        <v>P100108</v>
      </c>
      <c r="BU556" t="str">
        <f t="shared" si="298"/>
        <v>Velodrome</v>
      </c>
    </row>
    <row r="557" spans="1:73" x14ac:dyDescent="0.2">
      <c r="A557">
        <f t="shared" si="285"/>
        <v>1</v>
      </c>
      <c r="E557" s="4"/>
      <c r="F557" s="43"/>
      <c r="G557" s="4"/>
      <c r="H557" s="46"/>
      <c r="J557" s="44" t="str">
        <f t="shared" si="299"/>
        <v/>
      </c>
      <c r="K557" t="s">
        <v>13</v>
      </c>
      <c r="L557" t="s">
        <v>756</v>
      </c>
      <c r="M557" t="s">
        <v>756</v>
      </c>
      <c r="N557" t="str">
        <f t="shared" si="302"/>
        <v/>
      </c>
      <c r="Q557" t="str">
        <f t="shared" si="300"/>
        <v/>
      </c>
      <c r="S557">
        <v>294</v>
      </c>
      <c r="U557" t="str">
        <f>IF(B557=1,MAX($U$2:$U556)+1,IF(AND($T557&lt;&gt;"",$T557=$T556),$U556,IF(B557="x",U556,"")))</f>
        <v/>
      </c>
      <c r="V557" t="str">
        <f>IF(C557=1,MAX($V$2:$V556)+1,IF(AND($T557&lt;&gt;"",$T557=$T556),$U556,IF(C557="x",V556,"")))</f>
        <v/>
      </c>
      <c r="W557" t="str">
        <f t="shared" si="274"/>
        <v>a</v>
      </c>
      <c r="X557">
        <v>3</v>
      </c>
      <c r="Y557" t="b">
        <f>IF(X557&lt;&gt;"",VLOOKUP(X557,game_rosters!$C$43:$E$64,3,FALSE))</f>
        <v>0</v>
      </c>
      <c r="Z557" t="str" cm="1">
        <f t="array" ref="Z557">IFERROR(IF(_xlfn._xlws.FILTER(game_rosters!$J:$J,(game_rosters!$G:$G=events!$AN557)*(game_rosters!$J:$J=events!$X557))&gt;0,1,""),"")</f>
        <v/>
      </c>
      <c r="AA557">
        <f t="shared" si="275"/>
        <v>1294</v>
      </c>
      <c r="AB557" t="str">
        <f t="shared" si="276"/>
        <v/>
      </c>
      <c r="AC557">
        <f t="shared" si="273"/>
        <v>1294</v>
      </c>
      <c r="AD557" s="6">
        <v>1</v>
      </c>
      <c r="AE557" t="s">
        <v>938</v>
      </c>
      <c r="AF557" t="s">
        <v>917</v>
      </c>
      <c r="AG557" t="s">
        <v>938</v>
      </c>
      <c r="AH557" t="s">
        <v>741</v>
      </c>
      <c r="AI557" t="s">
        <v>368</v>
      </c>
      <c r="AJ557" t="str">
        <f t="shared" si="303"/>
        <v/>
      </c>
      <c r="AK557" t="str">
        <f t="shared" si="303"/>
        <v/>
      </c>
      <c r="AL557" t="str">
        <f t="shared" si="278"/>
        <v/>
      </c>
      <c r="AN557" t="s">
        <v>862</v>
      </c>
      <c r="AO557" t="str">
        <f t="shared" si="279"/>
        <v>a</v>
      </c>
      <c r="AP557" t="str">
        <f t="shared" si="286"/>
        <v/>
      </c>
      <c r="AQ557" t="str">
        <f t="shared" si="287"/>
        <v/>
      </c>
      <c r="AR557" t="str">
        <f t="shared" si="288"/>
        <v>Away</v>
      </c>
      <c r="AS557" t="str">
        <f t="shared" si="289"/>
        <v>a</v>
      </c>
      <c r="AT557" t="str">
        <f t="shared" si="290"/>
        <v>Defensive</v>
      </c>
      <c r="BA557" s="6">
        <f t="shared" si="280"/>
        <v>138</v>
      </c>
      <c r="BB557">
        <f t="shared" si="281"/>
        <v>18981</v>
      </c>
      <c r="BC557" t="str">
        <f t="shared" si="282"/>
        <v>Nelson</v>
      </c>
      <c r="BD557" t="str">
        <f t="shared" si="283"/>
        <v>Velodrome</v>
      </c>
      <c r="BE557" t="s">
        <v>13</v>
      </c>
      <c r="BF557" t="s">
        <v>756</v>
      </c>
      <c r="BG557" t="s">
        <v>756</v>
      </c>
      <c r="BI557" cm="1">
        <f t="array" ref="BI557">IFERROR(_xlfn._xlws.FILTER(shifts!A:A,(shifts!B:B=events!AD557)*(shifts!AG:AG&gt;=events!BK557)*(shifts!AH:AH&lt;=events!BL557)),BI556)</f>
        <v>28</v>
      </c>
      <c r="BJ557" s="15">
        <f t="shared" si="284"/>
        <v>2</v>
      </c>
      <c r="BK557">
        <f t="shared" si="291"/>
        <v>383</v>
      </c>
      <c r="BL557">
        <f t="shared" si="292"/>
        <v>381</v>
      </c>
      <c r="BM557" s="15">
        <f>SUMIFS(BJ$2:BJ557,K$2:K557,"=Intermission")+SUMIFS(BJ$2:BJ557,K$2:K557,"=Timeout")</f>
        <v>0</v>
      </c>
      <c r="BN557">
        <f t="shared" si="293"/>
        <v>0</v>
      </c>
      <c r="BO557" s="19">
        <f t="shared" si="294"/>
        <v>697</v>
      </c>
      <c r="BP557">
        <f t="shared" si="295"/>
        <v>692</v>
      </c>
      <c r="BQ557" s="17">
        <f t="shared" si="296"/>
        <v>699</v>
      </c>
      <c r="BR557" t="str">
        <f t="shared" si="297"/>
        <v>opp_team_player_1</v>
      </c>
      <c r="BS557">
        <f>COUNTIFS(S$3:S557,"="&amp;S557,AI$3:AI557,"="&amp;AI557)</f>
        <v>1</v>
      </c>
      <c r="BT557" t="str">
        <f>IFERROR(VLOOKUP(BB557&amp;BU557&amp;X557,game_rosters!U:W,3,FALSE),"")</f>
        <v>P100111</v>
      </c>
      <c r="BU557" t="str">
        <f t="shared" si="298"/>
        <v>Nelson</v>
      </c>
    </row>
    <row r="558" spans="1:73" x14ac:dyDescent="0.2">
      <c r="A558">
        <f t="shared" si="285"/>
        <v>1</v>
      </c>
      <c r="E558" s="4"/>
      <c r="F558" s="43"/>
      <c r="G558" s="4"/>
      <c r="H558" s="46"/>
      <c r="J558" s="44" t="str">
        <f t="shared" si="299"/>
        <v/>
      </c>
      <c r="K558" t="s">
        <v>7</v>
      </c>
      <c r="L558" t="s">
        <v>182</v>
      </c>
      <c r="M558" t="s">
        <v>68</v>
      </c>
      <c r="N558" t="str">
        <f t="shared" si="302"/>
        <v>u</v>
      </c>
      <c r="Q558" t="str">
        <f t="shared" si="300"/>
        <v/>
      </c>
      <c r="S558">
        <v>295</v>
      </c>
      <c r="U558" t="str">
        <f>IF(B558=1,MAX($U$2:$U557)+1,IF(AND($T558&lt;&gt;"",$T558=$T557),$U557,IF(B558="x",U557,"")))</f>
        <v/>
      </c>
      <c r="V558" t="str">
        <f>IF(C558=1,MAX($V$2:$V557)+1,IF(AND($T558&lt;&gt;"",$T558=$T557),$U557,IF(C558="x",V557,"")))</f>
        <v/>
      </c>
      <c r="W558" t="str">
        <f t="shared" si="274"/>
        <v>a</v>
      </c>
      <c r="X558">
        <v>22</v>
      </c>
      <c r="Y558" t="e">
        <f>IF(X558&lt;&gt;"",VLOOKUP(X558,game_rosters!$C$43:$E$64,3,FALSE))</f>
        <v>#N/A</v>
      </c>
      <c r="Z558" cm="1">
        <f t="array" ref="Z558">IFERROR(IF(_xlfn._xlws.FILTER(game_rosters!$J:$J,(game_rosters!$G:$G=events!$AN558)*(game_rosters!$J:$J=events!$X558))&gt;0,1,""),"")</f>
        <v>1</v>
      </c>
      <c r="AA558">
        <f t="shared" si="275"/>
        <v>1295</v>
      </c>
      <c r="AB558" t="str">
        <f t="shared" si="276"/>
        <v/>
      </c>
      <c r="AC558">
        <f t="shared" si="273"/>
        <v>1295</v>
      </c>
      <c r="AD558" s="6">
        <v>1</v>
      </c>
      <c r="AE558" t="s">
        <v>938</v>
      </c>
      <c r="AF558" t="s">
        <v>741</v>
      </c>
      <c r="AG558" t="s">
        <v>756</v>
      </c>
      <c r="AH558" t="s">
        <v>756</v>
      </c>
      <c r="AI558" t="s">
        <v>367</v>
      </c>
      <c r="AJ558" t="str">
        <f t="shared" si="303"/>
        <v/>
      </c>
      <c r="AK558" t="str">
        <f t="shared" si="303"/>
        <v/>
      </c>
      <c r="AL558" t="str">
        <f t="shared" si="278"/>
        <v/>
      </c>
      <c r="AN558" t="s">
        <v>862</v>
      </c>
      <c r="AO558" t="str">
        <f t="shared" si="279"/>
        <v>a</v>
      </c>
      <c r="AP558" t="str">
        <f t="shared" si="286"/>
        <v/>
      </c>
      <c r="AQ558" t="str">
        <f t="shared" si="287"/>
        <v/>
      </c>
      <c r="AR558" t="str">
        <f t="shared" si="288"/>
        <v>Away</v>
      </c>
      <c r="AS558" t="str">
        <f t="shared" si="289"/>
        <v>a</v>
      </c>
      <c r="AT558" t="str">
        <f t="shared" si="290"/>
        <v>Offensive</v>
      </c>
      <c r="BA558" s="6">
        <f t="shared" si="280"/>
        <v>138</v>
      </c>
      <c r="BB558">
        <f t="shared" si="281"/>
        <v>18981</v>
      </c>
      <c r="BC558" t="str">
        <f t="shared" si="282"/>
        <v>Nelson</v>
      </c>
      <c r="BD558" t="str">
        <f t="shared" si="283"/>
        <v>Velodrome</v>
      </c>
      <c r="BE558" t="s">
        <v>7</v>
      </c>
      <c r="BF558" t="s">
        <v>182</v>
      </c>
      <c r="BG558" t="s">
        <v>68</v>
      </c>
      <c r="BI558" cm="1">
        <f t="array" ref="BI558">IFERROR(_xlfn._xlws.FILTER(shifts!A:A,(shifts!B:B=events!AD558)*(shifts!AG:AG&gt;=events!BK558)*(shifts!AH:AH&lt;=events!BL558)),BI557)</f>
        <v>28</v>
      </c>
      <c r="BJ558" s="15">
        <f t="shared" si="284"/>
        <v>0</v>
      </c>
      <c r="BK558">
        <f t="shared" si="291"/>
        <v>381</v>
      </c>
      <c r="BL558">
        <f t="shared" si="292"/>
        <v>381</v>
      </c>
      <c r="BM558" s="15">
        <f>SUMIFS(BJ$2:BJ558,K$2:K558,"=Intermission")+SUMIFS(BJ$2:BJ558,K$2:K558,"=Timeout")</f>
        <v>0</v>
      </c>
      <c r="BN558">
        <f t="shared" si="293"/>
        <v>0</v>
      </c>
      <c r="BO558" s="19">
        <f t="shared" si="294"/>
        <v>699</v>
      </c>
      <c r="BP558">
        <f t="shared" si="295"/>
        <v>694</v>
      </c>
      <c r="BQ558" s="17">
        <f t="shared" si="296"/>
        <v>699</v>
      </c>
      <c r="BR558" t="str">
        <f t="shared" si="297"/>
        <v>event_team_player_1</v>
      </c>
      <c r="BS558">
        <f>COUNTIFS(S$3:S558,"="&amp;S558,AI$3:AI558,"="&amp;AI558)</f>
        <v>1</v>
      </c>
      <c r="BT558" t="str">
        <f>IFERROR(VLOOKUP(BB558&amp;BU558&amp;X558,game_rosters!U:W,3,FALSE),"")</f>
        <v>P100108</v>
      </c>
      <c r="BU558" t="str">
        <f t="shared" si="298"/>
        <v>Velodrome</v>
      </c>
    </row>
    <row r="559" spans="1:73" x14ac:dyDescent="0.2">
      <c r="A559">
        <f t="shared" si="285"/>
        <v>1</v>
      </c>
      <c r="E559" s="4"/>
      <c r="F559" s="43"/>
      <c r="G559" s="4"/>
      <c r="H559" s="46"/>
      <c r="J559" s="44" t="str">
        <f t="shared" si="299"/>
        <v/>
      </c>
      <c r="K559" t="s">
        <v>7</v>
      </c>
      <c r="L559" t="s">
        <v>182</v>
      </c>
      <c r="M559" t="s">
        <v>68</v>
      </c>
      <c r="N559" t="str">
        <f t="shared" si="302"/>
        <v>u</v>
      </c>
      <c r="Q559" t="str">
        <f t="shared" si="300"/>
        <v/>
      </c>
      <c r="S559">
        <v>295</v>
      </c>
      <c r="U559" t="str">
        <f>IF(B559=1,MAX($U$2:$U558)+1,IF(AND($T559&lt;&gt;"",$T559=$T558),$U558,IF(B559="x",U558,"")))</f>
        <v/>
      </c>
      <c r="V559" t="str">
        <f>IF(C559=1,MAX($V$2:$V558)+1,IF(AND($T559&lt;&gt;"",$T559=$T558),$U558,IF(C559="x",V558,"")))</f>
        <v/>
      </c>
      <c r="W559" t="str">
        <f t="shared" si="274"/>
        <v>a</v>
      </c>
      <c r="X559">
        <v>87</v>
      </c>
      <c r="Y559" t="e">
        <f>IF(X559&lt;&gt;"",VLOOKUP(X559,game_rosters!$C$43:$E$64,3,FALSE))</f>
        <v>#N/A</v>
      </c>
      <c r="Z559" cm="1">
        <f t="array" ref="Z559">IFERROR(IF(_xlfn._xlws.FILTER(game_rosters!$J:$J,(game_rosters!$G:$G=events!$AN559)*(game_rosters!$J:$J=events!$X559))&gt;0,1,""),"")</f>
        <v>1</v>
      </c>
      <c r="AA559">
        <f t="shared" si="275"/>
        <v>1295</v>
      </c>
      <c r="AB559" t="str">
        <f t="shared" si="276"/>
        <v/>
      </c>
      <c r="AC559">
        <f t="shared" si="273"/>
        <v>1295</v>
      </c>
      <c r="AD559" s="6">
        <v>1</v>
      </c>
      <c r="AE559" t="s">
        <v>938</v>
      </c>
      <c r="AF559" t="s">
        <v>741</v>
      </c>
      <c r="AG559" t="s">
        <v>756</v>
      </c>
      <c r="AH559" t="s">
        <v>756</v>
      </c>
      <c r="AI559" t="s">
        <v>367</v>
      </c>
      <c r="AJ559" t="str">
        <f t="shared" si="303"/>
        <v/>
      </c>
      <c r="AK559" t="str">
        <f t="shared" si="303"/>
        <v/>
      </c>
      <c r="AL559" t="str">
        <f t="shared" si="278"/>
        <v/>
      </c>
      <c r="AN559" t="s">
        <v>862</v>
      </c>
      <c r="AO559" t="str">
        <f t="shared" si="279"/>
        <v>a</v>
      </c>
      <c r="AP559" t="str">
        <f t="shared" si="286"/>
        <v/>
      </c>
      <c r="AQ559" t="str">
        <f t="shared" si="287"/>
        <v/>
      </c>
      <c r="AR559" t="str">
        <f t="shared" si="288"/>
        <v>Away</v>
      </c>
      <c r="AS559" t="str">
        <f t="shared" si="289"/>
        <v>a</v>
      </c>
      <c r="AT559" t="str">
        <f t="shared" si="290"/>
        <v>Offensive</v>
      </c>
      <c r="BA559" s="6">
        <f t="shared" si="280"/>
        <v>138</v>
      </c>
      <c r="BB559">
        <f t="shared" si="281"/>
        <v>18981</v>
      </c>
      <c r="BC559" t="str">
        <f t="shared" si="282"/>
        <v>Nelson</v>
      </c>
      <c r="BD559" t="str">
        <f t="shared" si="283"/>
        <v>Velodrome</v>
      </c>
      <c r="BE559" t="s">
        <v>7</v>
      </c>
      <c r="BF559" t="s">
        <v>182</v>
      </c>
      <c r="BG559" t="s">
        <v>68</v>
      </c>
      <c r="BI559" cm="1">
        <f t="array" ref="BI559">IFERROR(_xlfn._xlws.FILTER(shifts!A:A,(shifts!B:B=events!AD559)*(shifts!AG:AG&gt;=events!BK559)*(shifts!AH:AH&lt;=events!BL559)),BI558)</f>
        <v>28</v>
      </c>
      <c r="BJ559" s="15">
        <f t="shared" si="284"/>
        <v>0</v>
      </c>
      <c r="BK559">
        <f t="shared" si="291"/>
        <v>381</v>
      </c>
      <c r="BL559">
        <f t="shared" si="292"/>
        <v>381</v>
      </c>
      <c r="BM559" s="15">
        <f>SUMIFS(BJ$2:BJ559,K$2:K559,"=Intermission")+SUMIFS(BJ$2:BJ559,K$2:K559,"=Timeout")</f>
        <v>0</v>
      </c>
      <c r="BN559">
        <f t="shared" si="293"/>
        <v>0</v>
      </c>
      <c r="BO559" s="19">
        <f t="shared" si="294"/>
        <v>699</v>
      </c>
      <c r="BP559">
        <f t="shared" si="295"/>
        <v>694</v>
      </c>
      <c r="BQ559" s="17">
        <f t="shared" si="296"/>
        <v>699</v>
      </c>
      <c r="BR559" t="str">
        <f t="shared" si="297"/>
        <v>event_team_player_2</v>
      </c>
      <c r="BS559">
        <f>COUNTIFS(S$3:S559,"="&amp;S559,AI$3:AI559,"="&amp;AI559)</f>
        <v>2</v>
      </c>
      <c r="BT559" t="str">
        <f>IFERROR(VLOOKUP(BB559&amp;BU559&amp;X559,game_rosters!U:W,3,FALSE),"")</f>
        <v>P100159</v>
      </c>
      <c r="BU559" t="str">
        <f t="shared" si="298"/>
        <v>Velodrome</v>
      </c>
    </row>
    <row r="560" spans="1:73" x14ac:dyDescent="0.2">
      <c r="A560">
        <f t="shared" si="285"/>
        <v>1</v>
      </c>
      <c r="E560" s="4"/>
      <c r="F560" s="43"/>
      <c r="G560" s="4"/>
      <c r="H560" s="46"/>
      <c r="J560" s="44" t="str">
        <f t="shared" si="299"/>
        <v/>
      </c>
      <c r="K560" t="s">
        <v>7</v>
      </c>
      <c r="L560" t="s">
        <v>182</v>
      </c>
      <c r="M560" t="s">
        <v>68</v>
      </c>
      <c r="N560" t="str">
        <f t="shared" si="302"/>
        <v>u</v>
      </c>
      <c r="Q560" t="str">
        <f t="shared" si="300"/>
        <v/>
      </c>
      <c r="S560">
        <v>295</v>
      </c>
      <c r="U560" t="str">
        <f>IF(B560=1,MAX($U$2:$U559)+1,IF(AND($T560&lt;&gt;"",$T560=$T559),$U559,IF(B560="x",U559,"")))</f>
        <v/>
      </c>
      <c r="V560" t="str">
        <f>IF(C560=1,MAX($V$2:$V559)+1,IF(AND($T560&lt;&gt;"",$T560=$T559),$U559,IF(C560="x",V559,"")))</f>
        <v/>
      </c>
      <c r="W560" t="str">
        <f t="shared" si="274"/>
        <v>a</v>
      </c>
      <c r="X560">
        <v>8</v>
      </c>
      <c r="Y560" t="b">
        <f>IF(X560&lt;&gt;"",VLOOKUP(X560,game_rosters!$C$43:$E$64,3,FALSE))</f>
        <v>0</v>
      </c>
      <c r="Z560" t="str" cm="1">
        <f t="array" ref="Z560">IFERROR(IF(_xlfn._xlws.FILTER(game_rosters!$J:$J,(game_rosters!$G:$G=events!$AN560)*(game_rosters!$J:$J=events!$X560))&gt;0,1,""),"")</f>
        <v/>
      </c>
      <c r="AA560">
        <f t="shared" si="275"/>
        <v>1295</v>
      </c>
      <c r="AB560" t="str">
        <f t="shared" si="276"/>
        <v/>
      </c>
      <c r="AC560">
        <f t="shared" si="273"/>
        <v>1295</v>
      </c>
      <c r="AD560" s="6">
        <v>1</v>
      </c>
      <c r="AE560" t="s">
        <v>938</v>
      </c>
      <c r="AF560" t="s">
        <v>741</v>
      </c>
      <c r="AG560" t="s">
        <v>756</v>
      </c>
      <c r="AH560" t="s">
        <v>756</v>
      </c>
      <c r="AI560" t="s">
        <v>368</v>
      </c>
      <c r="AJ560" t="str">
        <f t="shared" si="303"/>
        <v/>
      </c>
      <c r="AK560" t="str">
        <f t="shared" si="303"/>
        <v/>
      </c>
      <c r="AL560" t="str">
        <f t="shared" si="278"/>
        <v/>
      </c>
      <c r="AN560" t="s">
        <v>862</v>
      </c>
      <c r="AO560" t="str">
        <f t="shared" si="279"/>
        <v>a</v>
      </c>
      <c r="AP560" t="str">
        <f t="shared" si="286"/>
        <v/>
      </c>
      <c r="AQ560" t="str">
        <f t="shared" si="287"/>
        <v/>
      </c>
      <c r="AR560" t="str">
        <f t="shared" si="288"/>
        <v>Away</v>
      </c>
      <c r="AS560" t="str">
        <f t="shared" si="289"/>
        <v>a</v>
      </c>
      <c r="AT560" t="str">
        <f t="shared" si="290"/>
        <v>Defensive</v>
      </c>
      <c r="BA560" s="6">
        <f t="shared" si="280"/>
        <v>138</v>
      </c>
      <c r="BB560">
        <f t="shared" si="281"/>
        <v>18981</v>
      </c>
      <c r="BC560" t="str">
        <f t="shared" si="282"/>
        <v>Nelson</v>
      </c>
      <c r="BD560" t="str">
        <f t="shared" si="283"/>
        <v>Velodrome</v>
      </c>
      <c r="BE560" t="s">
        <v>7</v>
      </c>
      <c r="BF560" t="s">
        <v>182</v>
      </c>
      <c r="BG560" t="s">
        <v>68</v>
      </c>
      <c r="BI560" cm="1">
        <f t="array" ref="BI560">IFERROR(_xlfn._xlws.FILTER(shifts!A:A,(shifts!B:B=events!AD560)*(shifts!AG:AG&gt;=events!BK560)*(shifts!AH:AH&lt;=events!BL560)),BI559)</f>
        <v>28</v>
      </c>
      <c r="BJ560" s="15">
        <f t="shared" si="284"/>
        <v>0</v>
      </c>
      <c r="BK560">
        <f t="shared" si="291"/>
        <v>381</v>
      </c>
      <c r="BL560">
        <f t="shared" si="292"/>
        <v>381</v>
      </c>
      <c r="BM560" s="15">
        <f>SUMIFS(BJ$2:BJ560,K$2:K560,"=Intermission")+SUMIFS(BJ$2:BJ560,K$2:K560,"=Timeout")</f>
        <v>0</v>
      </c>
      <c r="BN560">
        <f t="shared" si="293"/>
        <v>0</v>
      </c>
      <c r="BO560" s="19">
        <f t="shared" si="294"/>
        <v>699</v>
      </c>
      <c r="BP560">
        <f t="shared" si="295"/>
        <v>694</v>
      </c>
      <c r="BQ560" s="17">
        <f t="shared" si="296"/>
        <v>699</v>
      </c>
      <c r="BR560" t="str">
        <f t="shared" si="297"/>
        <v>opp_team_player_1</v>
      </c>
      <c r="BS560">
        <f>COUNTIFS(S$3:S560,"="&amp;S560,AI$3:AI560,"="&amp;AI560)</f>
        <v>1</v>
      </c>
      <c r="BT560" t="str">
        <f>IFERROR(VLOOKUP(BB560&amp;BU560&amp;X560,game_rosters!U:W,3,FALSE),"")</f>
        <v>P100074</v>
      </c>
      <c r="BU560" t="str">
        <f t="shared" si="298"/>
        <v>Nelson</v>
      </c>
    </row>
    <row r="561" spans="1:73" x14ac:dyDescent="0.2">
      <c r="A561">
        <f t="shared" si="285"/>
        <v>1</v>
      </c>
      <c r="E561" s="4"/>
      <c r="F561" s="43"/>
      <c r="G561" s="4"/>
      <c r="H561" s="46"/>
      <c r="J561" s="44" t="str">
        <f t="shared" si="299"/>
        <v>d</v>
      </c>
      <c r="K561" t="s">
        <v>238</v>
      </c>
      <c r="L561" t="s">
        <v>184</v>
      </c>
      <c r="M561" t="s">
        <v>376</v>
      </c>
      <c r="N561" t="str">
        <f t="shared" si="302"/>
        <v>u</v>
      </c>
      <c r="Q561" t="str">
        <f t="shared" si="300"/>
        <v/>
      </c>
      <c r="S561">
        <v>296</v>
      </c>
      <c r="U561" t="str">
        <f>IF(B561=1,MAX($U$2:$U560)+1,IF(AND($T561&lt;&gt;"",$T561=$T560),$U560,IF(B561="x",U560,"")))</f>
        <v/>
      </c>
      <c r="V561" t="str">
        <f>IF(C561=1,MAX($V$2:$V560)+1,IF(AND($T561&lt;&gt;"",$T561=$T560),$U560,IF(C561="x",V560,"")))</f>
        <v/>
      </c>
      <c r="W561" t="str">
        <f t="shared" si="274"/>
        <v>a</v>
      </c>
      <c r="X561">
        <v>22</v>
      </c>
      <c r="Y561" t="e">
        <f>IF(X561&lt;&gt;"",VLOOKUP(X561,game_rosters!$C$43:$E$64,3,FALSE))</f>
        <v>#N/A</v>
      </c>
      <c r="Z561" cm="1">
        <f t="array" ref="Z561">IFERROR(IF(_xlfn._xlws.FILTER(game_rosters!$J:$J,(game_rosters!$G:$G=events!$AN561)*(game_rosters!$J:$J=events!$X561))&gt;0,1,""),"")</f>
        <v>1</v>
      </c>
      <c r="AA561">
        <f t="shared" si="275"/>
        <v>1296</v>
      </c>
      <c r="AB561" t="str">
        <f t="shared" si="276"/>
        <v/>
      </c>
      <c r="AC561">
        <f t="shared" si="273"/>
        <v>1296</v>
      </c>
      <c r="AD561" s="6">
        <v>1</v>
      </c>
      <c r="AE561" t="s">
        <v>938</v>
      </c>
      <c r="AF561" t="s">
        <v>741</v>
      </c>
      <c r="AG561" t="s">
        <v>756</v>
      </c>
      <c r="AH561" t="s">
        <v>756</v>
      </c>
      <c r="AI561" t="s">
        <v>367</v>
      </c>
      <c r="AJ561" t="str">
        <f t="shared" si="303"/>
        <v>d</v>
      </c>
      <c r="AK561" t="str">
        <f t="shared" si="303"/>
        <v>d</v>
      </c>
      <c r="AL561" t="str">
        <f t="shared" si="278"/>
        <v>o</v>
      </c>
      <c r="AN561" t="s">
        <v>862</v>
      </c>
      <c r="AO561" t="str">
        <f t="shared" si="279"/>
        <v>a</v>
      </c>
      <c r="AP561" t="str">
        <f t="shared" si="286"/>
        <v>o</v>
      </c>
      <c r="AQ561" t="str">
        <f t="shared" si="287"/>
        <v/>
      </c>
      <c r="AR561" t="str">
        <f t="shared" si="288"/>
        <v>Away</v>
      </c>
      <c r="AS561" t="str">
        <f t="shared" si="289"/>
        <v>a</v>
      </c>
      <c r="AT561" t="str">
        <f t="shared" si="290"/>
        <v>Offensive</v>
      </c>
      <c r="BA561" s="6">
        <f t="shared" si="280"/>
        <v>139</v>
      </c>
      <c r="BB561">
        <f t="shared" si="281"/>
        <v>18981</v>
      </c>
      <c r="BC561" t="str">
        <f t="shared" si="282"/>
        <v>Nelson</v>
      </c>
      <c r="BD561" t="str">
        <f t="shared" si="283"/>
        <v>Velodrome</v>
      </c>
      <c r="BE561" t="s">
        <v>238</v>
      </c>
      <c r="BF561" t="s">
        <v>184</v>
      </c>
      <c r="BG561" t="s">
        <v>376</v>
      </c>
      <c r="BI561" cm="1">
        <f t="array" ref="BI561">IFERROR(_xlfn._xlws.FILTER(shifts!A:A,(shifts!B:B=events!AD561)*(shifts!AG:AG&gt;=events!BK561)*(shifts!AH:AH&lt;=events!BL561)),BI560)</f>
        <v>28</v>
      </c>
      <c r="BJ561" s="15">
        <f t="shared" si="284"/>
        <v>0</v>
      </c>
      <c r="BK561">
        <f t="shared" si="291"/>
        <v>381</v>
      </c>
      <c r="BL561">
        <f t="shared" si="292"/>
        <v>381</v>
      </c>
      <c r="BM561" s="15">
        <f>SUMIFS(BJ$2:BJ561,K$2:K561,"=Intermission")+SUMIFS(BJ$2:BJ561,K$2:K561,"=Timeout")</f>
        <v>0</v>
      </c>
      <c r="BN561">
        <f t="shared" si="293"/>
        <v>0</v>
      </c>
      <c r="BO561" s="19">
        <f t="shared" si="294"/>
        <v>699</v>
      </c>
      <c r="BP561">
        <f t="shared" si="295"/>
        <v>694</v>
      </c>
      <c r="BQ561" s="17">
        <f t="shared" si="296"/>
        <v>699</v>
      </c>
      <c r="BR561" t="str">
        <f t="shared" si="297"/>
        <v>event_team_player_1</v>
      </c>
      <c r="BS561">
        <f>COUNTIFS(S$3:S561,"="&amp;S561,AI$3:AI561,"="&amp;AI561)</f>
        <v>1</v>
      </c>
      <c r="BT561" t="str">
        <f>IFERROR(VLOOKUP(BB561&amp;BU561&amp;X561,game_rosters!U:W,3,FALSE),"")</f>
        <v>P100108</v>
      </c>
      <c r="BU561" t="str">
        <f t="shared" si="298"/>
        <v>Velodrome</v>
      </c>
    </row>
    <row r="562" spans="1:73" x14ac:dyDescent="0.2">
      <c r="A562">
        <f t="shared" si="285"/>
        <v>1</v>
      </c>
      <c r="E562" s="4"/>
      <c r="F562" s="43"/>
      <c r="G562" s="4"/>
      <c r="H562" s="46"/>
      <c r="J562" s="44" t="str">
        <f t="shared" si="299"/>
        <v>d</v>
      </c>
      <c r="K562" t="s">
        <v>238</v>
      </c>
      <c r="L562" t="s">
        <v>184</v>
      </c>
      <c r="M562" t="s">
        <v>376</v>
      </c>
      <c r="N562" t="str">
        <f t="shared" si="302"/>
        <v>u</v>
      </c>
      <c r="Q562" t="str">
        <f t="shared" si="300"/>
        <v/>
      </c>
      <c r="S562">
        <v>296</v>
      </c>
      <c r="U562" t="str">
        <f>IF(B562=1,MAX($U$2:$U561)+1,IF(AND($T562&lt;&gt;"",$T562=$T561),$U561,IF(B562="x",U561,"")))</f>
        <v/>
      </c>
      <c r="V562" t="str">
        <f>IF(C562=1,MAX($V$2:$V561)+1,IF(AND($T562&lt;&gt;"",$T562=$T561),$U561,IF(C562="x",V561,"")))</f>
        <v/>
      </c>
      <c r="W562" t="str">
        <f t="shared" si="274"/>
        <v>a</v>
      </c>
      <c r="X562">
        <v>87</v>
      </c>
      <c r="Y562" t="e">
        <f>IF(X562&lt;&gt;"",VLOOKUP(X562,game_rosters!$C$43:$E$64,3,FALSE))</f>
        <v>#N/A</v>
      </c>
      <c r="Z562" cm="1">
        <f t="array" ref="Z562">IFERROR(IF(_xlfn._xlws.FILTER(game_rosters!$J:$J,(game_rosters!$G:$G=events!$AN562)*(game_rosters!$J:$J=events!$X562))&gt;0,1,""),"")</f>
        <v>1</v>
      </c>
      <c r="AA562">
        <f t="shared" si="275"/>
        <v>1296</v>
      </c>
      <c r="AB562" t="str">
        <f t="shared" si="276"/>
        <v/>
      </c>
      <c r="AC562">
        <f t="shared" si="273"/>
        <v>1296</v>
      </c>
      <c r="AD562" s="6">
        <v>1</v>
      </c>
      <c r="AE562" t="s">
        <v>938</v>
      </c>
      <c r="AF562" t="s">
        <v>741</v>
      </c>
      <c r="AG562" t="s">
        <v>756</v>
      </c>
      <c r="AH562" t="s">
        <v>756</v>
      </c>
      <c r="AI562" t="s">
        <v>367</v>
      </c>
      <c r="AJ562" t="str">
        <f t="shared" si="303"/>
        <v>d</v>
      </c>
      <c r="AK562" t="str">
        <f t="shared" si="303"/>
        <v>d</v>
      </c>
      <c r="AL562" t="str">
        <f t="shared" si="278"/>
        <v>o</v>
      </c>
      <c r="AN562" t="s">
        <v>862</v>
      </c>
      <c r="AO562" t="str">
        <f t="shared" si="279"/>
        <v>a</v>
      </c>
      <c r="AP562" t="str">
        <f t="shared" si="286"/>
        <v>o</v>
      </c>
      <c r="AQ562" t="str">
        <f t="shared" si="287"/>
        <v/>
      </c>
      <c r="AR562" t="str">
        <f t="shared" si="288"/>
        <v>Away</v>
      </c>
      <c r="AS562" t="str">
        <f t="shared" si="289"/>
        <v>a</v>
      </c>
      <c r="AT562" t="str">
        <f t="shared" si="290"/>
        <v>Offensive</v>
      </c>
      <c r="BA562" s="6">
        <f t="shared" si="280"/>
        <v>140</v>
      </c>
      <c r="BB562">
        <f t="shared" si="281"/>
        <v>18981</v>
      </c>
      <c r="BC562" t="str">
        <f t="shared" si="282"/>
        <v>Nelson</v>
      </c>
      <c r="BD562" t="str">
        <f t="shared" si="283"/>
        <v>Velodrome</v>
      </c>
      <c r="BE562" t="s">
        <v>238</v>
      </c>
      <c r="BF562" t="s">
        <v>184</v>
      </c>
      <c r="BG562" t="s">
        <v>376</v>
      </c>
      <c r="BI562" cm="1">
        <f t="array" ref="BI562">IFERROR(_xlfn._xlws.FILTER(shifts!A:A,(shifts!B:B=events!AD562)*(shifts!AG:AG&gt;=events!BK562)*(shifts!AH:AH&lt;=events!BL562)),BI561)</f>
        <v>28</v>
      </c>
      <c r="BJ562" s="15">
        <f t="shared" si="284"/>
        <v>0</v>
      </c>
      <c r="BK562">
        <f t="shared" si="291"/>
        <v>381</v>
      </c>
      <c r="BL562">
        <f t="shared" si="292"/>
        <v>381</v>
      </c>
      <c r="BM562" s="15">
        <f>SUMIFS(BJ$2:BJ562,K$2:K562,"=Intermission")+SUMIFS(BJ$2:BJ562,K$2:K562,"=Timeout")</f>
        <v>0</v>
      </c>
      <c r="BN562">
        <f t="shared" si="293"/>
        <v>0</v>
      </c>
      <c r="BO562" s="19">
        <f t="shared" si="294"/>
        <v>699</v>
      </c>
      <c r="BP562">
        <f t="shared" si="295"/>
        <v>694</v>
      </c>
      <c r="BQ562" s="17">
        <f t="shared" si="296"/>
        <v>699</v>
      </c>
      <c r="BR562" t="str">
        <f t="shared" si="297"/>
        <v>event_team_player_2</v>
      </c>
      <c r="BS562">
        <f>COUNTIFS(S$3:S562,"="&amp;S562,AI$3:AI562,"="&amp;AI562)</f>
        <v>2</v>
      </c>
      <c r="BT562" t="str">
        <f>IFERROR(VLOOKUP(BB562&amp;BU562&amp;X562,game_rosters!U:W,3,FALSE),"")</f>
        <v>P100159</v>
      </c>
      <c r="BU562" t="str">
        <f t="shared" si="298"/>
        <v>Velodrome</v>
      </c>
    </row>
    <row r="563" spans="1:73" x14ac:dyDescent="0.2">
      <c r="A563">
        <f t="shared" si="285"/>
        <v>1</v>
      </c>
      <c r="E563" s="4"/>
      <c r="F563" s="43"/>
      <c r="G563" s="4"/>
      <c r="H563" s="46"/>
      <c r="J563" s="44" t="str">
        <f t="shared" si="299"/>
        <v>d</v>
      </c>
      <c r="K563" t="s">
        <v>238</v>
      </c>
      <c r="L563" t="s">
        <v>184</v>
      </c>
      <c r="M563" t="s">
        <v>376</v>
      </c>
      <c r="N563" t="str">
        <f t="shared" si="302"/>
        <v>u</v>
      </c>
      <c r="Q563" t="str">
        <f t="shared" si="300"/>
        <v/>
      </c>
      <c r="S563">
        <v>296</v>
      </c>
      <c r="U563" t="str">
        <f>IF(B563=1,MAX($U$2:$U562)+1,IF(AND($T563&lt;&gt;"",$T563=$T562),$U562,IF(B563="x",U562,"")))</f>
        <v/>
      </c>
      <c r="V563" t="str">
        <f>IF(C563=1,MAX($V$2:$V562)+1,IF(AND($T563&lt;&gt;"",$T563=$T562),$U562,IF(C563="x",V562,"")))</f>
        <v/>
      </c>
      <c r="W563" t="str">
        <f t="shared" si="274"/>
        <v>a</v>
      </c>
      <c r="X563">
        <v>8</v>
      </c>
      <c r="Y563" t="b">
        <f>IF(X563&lt;&gt;"",VLOOKUP(X563,game_rosters!$C$43:$E$64,3,FALSE))</f>
        <v>0</v>
      </c>
      <c r="Z563" t="str" cm="1">
        <f t="array" ref="Z563">IFERROR(IF(_xlfn._xlws.FILTER(game_rosters!$J:$J,(game_rosters!$G:$G=events!$AN563)*(game_rosters!$J:$J=events!$X563))&gt;0,1,""),"")</f>
        <v/>
      </c>
      <c r="AA563">
        <f t="shared" si="275"/>
        <v>1296</v>
      </c>
      <c r="AB563" t="str">
        <f t="shared" si="276"/>
        <v/>
      </c>
      <c r="AC563">
        <f t="shared" si="273"/>
        <v>1296</v>
      </c>
      <c r="AD563" s="6">
        <v>1</v>
      </c>
      <c r="AE563" t="s">
        <v>938</v>
      </c>
      <c r="AF563" t="s">
        <v>741</v>
      </c>
      <c r="AG563" t="s">
        <v>756</v>
      </c>
      <c r="AH563" t="s">
        <v>756</v>
      </c>
      <c r="AI563" t="s">
        <v>368</v>
      </c>
      <c r="AJ563" t="str">
        <f t="shared" si="303"/>
        <v>d</v>
      </c>
      <c r="AK563" t="str">
        <f t="shared" si="303"/>
        <v>d</v>
      </c>
      <c r="AL563" t="str">
        <f t="shared" si="278"/>
        <v>o</v>
      </c>
      <c r="AN563" t="s">
        <v>862</v>
      </c>
      <c r="AO563" t="str">
        <f t="shared" si="279"/>
        <v>a</v>
      </c>
      <c r="AP563" t="str">
        <f t="shared" si="286"/>
        <v>o</v>
      </c>
      <c r="AQ563" t="str">
        <f t="shared" si="287"/>
        <v/>
      </c>
      <c r="AR563" t="str">
        <f t="shared" si="288"/>
        <v>Away</v>
      </c>
      <c r="AS563" t="str">
        <f t="shared" si="289"/>
        <v>a</v>
      </c>
      <c r="AT563" t="str">
        <f t="shared" si="290"/>
        <v>Defensive</v>
      </c>
      <c r="BA563" s="6">
        <f t="shared" si="280"/>
        <v>141</v>
      </c>
      <c r="BB563">
        <f t="shared" si="281"/>
        <v>18981</v>
      </c>
      <c r="BC563" t="str">
        <f t="shared" si="282"/>
        <v>Nelson</v>
      </c>
      <c r="BD563" t="str">
        <f t="shared" si="283"/>
        <v>Velodrome</v>
      </c>
      <c r="BE563" t="s">
        <v>238</v>
      </c>
      <c r="BF563" t="s">
        <v>184</v>
      </c>
      <c r="BG563" t="s">
        <v>376</v>
      </c>
      <c r="BI563" cm="1">
        <f t="array" ref="BI563">IFERROR(_xlfn._xlws.FILTER(shifts!A:A,(shifts!B:B=events!AD563)*(shifts!AG:AG&gt;=events!BK563)*(shifts!AH:AH&lt;=events!BL563)),BI562)</f>
        <v>28</v>
      </c>
      <c r="BJ563" s="15">
        <f t="shared" si="284"/>
        <v>0</v>
      </c>
      <c r="BK563">
        <f t="shared" si="291"/>
        <v>381</v>
      </c>
      <c r="BL563">
        <f t="shared" si="292"/>
        <v>381</v>
      </c>
      <c r="BM563" s="15">
        <f>SUMIFS(BJ$2:BJ563,K$2:K563,"=Intermission")+SUMIFS(BJ$2:BJ563,K$2:K563,"=Timeout")</f>
        <v>0</v>
      </c>
      <c r="BN563">
        <f t="shared" si="293"/>
        <v>0</v>
      </c>
      <c r="BO563" s="19">
        <f t="shared" si="294"/>
        <v>699</v>
      </c>
      <c r="BP563">
        <f t="shared" si="295"/>
        <v>694</v>
      </c>
      <c r="BQ563" s="17">
        <f t="shared" si="296"/>
        <v>699</v>
      </c>
      <c r="BR563" t="str">
        <f t="shared" si="297"/>
        <v>opp_team_player_1</v>
      </c>
      <c r="BS563">
        <f>COUNTIFS(S$3:S563,"="&amp;S563,AI$3:AI563,"="&amp;AI563)</f>
        <v>1</v>
      </c>
      <c r="BT563" t="str">
        <f>IFERROR(VLOOKUP(BB563&amp;BU563&amp;X563,game_rosters!U:W,3,FALSE),"")</f>
        <v>P100074</v>
      </c>
      <c r="BU563" t="str">
        <f t="shared" si="298"/>
        <v>Nelson</v>
      </c>
    </row>
    <row r="564" spans="1:73" x14ac:dyDescent="0.2">
      <c r="A564">
        <f t="shared" si="285"/>
        <v>1</v>
      </c>
      <c r="E564" s="4"/>
      <c r="F564" s="43"/>
      <c r="G564" s="4"/>
      <c r="H564" s="46"/>
      <c r="J564" s="44" t="str">
        <f t="shared" si="299"/>
        <v/>
      </c>
      <c r="K564" t="s">
        <v>9</v>
      </c>
      <c r="L564" t="s">
        <v>173</v>
      </c>
      <c r="M564" t="s">
        <v>74</v>
      </c>
      <c r="N564" t="str">
        <f t="shared" si="302"/>
        <v>u</v>
      </c>
      <c r="Q564" t="str">
        <f t="shared" si="300"/>
        <v/>
      </c>
      <c r="S564">
        <v>297</v>
      </c>
      <c r="U564" t="str">
        <f>IF(B564=1,MAX($U$2:$U563)+1,IF(AND($T564&lt;&gt;"",$T564=$T563),$U563,IF(B564="x",U563,"")))</f>
        <v/>
      </c>
      <c r="V564" t="str">
        <f>IF(C564=1,MAX($V$2:$V563)+1,IF(AND($T564&lt;&gt;"",$T564=$T563),$U563,IF(C564="x",V563,"")))</f>
        <v/>
      </c>
      <c r="W564" t="str">
        <f t="shared" si="274"/>
        <v>a</v>
      </c>
      <c r="X564">
        <v>22</v>
      </c>
      <c r="Y564" t="e">
        <f>IF(X564&lt;&gt;"",VLOOKUP(X564,game_rosters!$C$43:$E$64,3,FALSE))</f>
        <v>#N/A</v>
      </c>
      <c r="Z564" cm="1">
        <f t="array" ref="Z564">IFERROR(IF(_xlfn._xlws.FILTER(game_rosters!$J:$J,(game_rosters!$G:$G=events!$AN564)*(game_rosters!$J:$J=events!$X564))&gt;0,1,""),"")</f>
        <v>1</v>
      </c>
      <c r="AA564">
        <f t="shared" si="275"/>
        <v>1297</v>
      </c>
      <c r="AB564" t="str">
        <f t="shared" si="276"/>
        <v/>
      </c>
      <c r="AC564">
        <f t="shared" si="273"/>
        <v>1297</v>
      </c>
      <c r="AD564" s="6">
        <v>1</v>
      </c>
      <c r="AE564" t="s">
        <v>938</v>
      </c>
      <c r="AF564" t="s">
        <v>741</v>
      </c>
      <c r="AG564" t="s">
        <v>756</v>
      </c>
      <c r="AH564" t="s">
        <v>756</v>
      </c>
      <c r="AI564" t="s">
        <v>367</v>
      </c>
      <c r="AJ564" t="str">
        <f t="shared" ref="AJ564:AK579" si="304">IF($J564&lt;&gt;"",$J564,IF($AC564=$AC563,AJ563,""))</f>
        <v/>
      </c>
      <c r="AK564" t="str">
        <f t="shared" si="304"/>
        <v/>
      </c>
      <c r="AL564" t="str">
        <f t="shared" si="278"/>
        <v/>
      </c>
      <c r="AN564" t="s">
        <v>862</v>
      </c>
      <c r="AO564" t="str">
        <f t="shared" si="279"/>
        <v>a</v>
      </c>
      <c r="AP564" t="str">
        <f t="shared" si="286"/>
        <v/>
      </c>
      <c r="AQ564" t="str">
        <f t="shared" si="287"/>
        <v/>
      </c>
      <c r="AR564" t="str">
        <f t="shared" si="288"/>
        <v>Away</v>
      </c>
      <c r="AS564" t="str">
        <f t="shared" si="289"/>
        <v>a</v>
      </c>
      <c r="AT564" t="str">
        <f t="shared" si="290"/>
        <v>Offensive</v>
      </c>
      <c r="BA564" s="6">
        <f t="shared" si="280"/>
        <v>141</v>
      </c>
      <c r="BB564">
        <f t="shared" si="281"/>
        <v>18981</v>
      </c>
      <c r="BC564" t="str">
        <f t="shared" si="282"/>
        <v>Nelson</v>
      </c>
      <c r="BD564" t="str">
        <f t="shared" si="283"/>
        <v>Velodrome</v>
      </c>
      <c r="BE564" t="s">
        <v>9</v>
      </c>
      <c r="BF564" t="s">
        <v>173</v>
      </c>
      <c r="BG564" t="s">
        <v>74</v>
      </c>
      <c r="BI564" cm="1">
        <f t="array" ref="BI564">IFERROR(_xlfn._xlws.FILTER(shifts!A:A,(shifts!B:B=events!AD564)*(shifts!AG:AG&gt;=events!BK564)*(shifts!AH:AH&lt;=events!BL564)),BI563)</f>
        <v>28</v>
      </c>
      <c r="BJ564" s="15">
        <f t="shared" si="284"/>
        <v>0</v>
      </c>
      <c r="BK564">
        <f t="shared" si="291"/>
        <v>381</v>
      </c>
      <c r="BL564">
        <f t="shared" si="292"/>
        <v>381</v>
      </c>
      <c r="BM564" s="15">
        <f>SUMIFS(BJ$2:BJ564,K$2:K564,"=Intermission")+SUMIFS(BJ$2:BJ564,K$2:K564,"=Timeout")</f>
        <v>0</v>
      </c>
      <c r="BN564">
        <f t="shared" si="293"/>
        <v>0</v>
      </c>
      <c r="BO564" s="19">
        <f t="shared" si="294"/>
        <v>699</v>
      </c>
      <c r="BP564">
        <f t="shared" si="295"/>
        <v>694</v>
      </c>
      <c r="BQ564" s="17">
        <f t="shared" si="296"/>
        <v>699</v>
      </c>
      <c r="BR564" t="str">
        <f t="shared" si="297"/>
        <v>event_team_player_1</v>
      </c>
      <c r="BS564">
        <f>COUNTIFS(S$3:S564,"="&amp;S564,AI$3:AI564,"="&amp;AI564)</f>
        <v>1</v>
      </c>
      <c r="BT564" t="str">
        <f>IFERROR(VLOOKUP(BB564&amp;BU564&amp;X564,game_rosters!U:W,3,FALSE),"")</f>
        <v>P100108</v>
      </c>
      <c r="BU564" t="str">
        <f t="shared" si="298"/>
        <v>Velodrome</v>
      </c>
    </row>
    <row r="565" spans="1:73" x14ac:dyDescent="0.2">
      <c r="A565">
        <f t="shared" si="285"/>
        <v>1</v>
      </c>
      <c r="E565" s="4"/>
      <c r="F565" s="43"/>
      <c r="G565" s="4"/>
      <c r="H565" s="46"/>
      <c r="J565" s="44" t="str">
        <f t="shared" si="299"/>
        <v/>
      </c>
      <c r="K565" t="s">
        <v>9</v>
      </c>
      <c r="L565" t="s">
        <v>173</v>
      </c>
      <c r="M565" t="s">
        <v>74</v>
      </c>
      <c r="N565" t="str">
        <f t="shared" si="302"/>
        <v>u</v>
      </c>
      <c r="Q565" t="str">
        <f t="shared" si="300"/>
        <v/>
      </c>
      <c r="S565">
        <v>297</v>
      </c>
      <c r="U565" t="str">
        <f>IF(B565=1,MAX($U$2:$U564)+1,IF(AND($T565&lt;&gt;"",$T565=$T564),$U564,IF(B565="x",U564,"")))</f>
        <v/>
      </c>
      <c r="V565" t="str">
        <f>IF(C565=1,MAX($V$2:$V564)+1,IF(AND($T565&lt;&gt;"",$T565=$T564),$U564,IF(C565="x",V564,"")))</f>
        <v/>
      </c>
      <c r="W565" t="str">
        <f t="shared" si="274"/>
        <v>a</v>
      </c>
      <c r="X565">
        <v>87</v>
      </c>
      <c r="Y565" t="e">
        <f>IF(X565&lt;&gt;"",VLOOKUP(X565,game_rosters!$C$43:$E$64,3,FALSE))</f>
        <v>#N/A</v>
      </c>
      <c r="Z565" cm="1">
        <f t="array" ref="Z565">IFERROR(IF(_xlfn._xlws.FILTER(game_rosters!$J:$J,(game_rosters!$G:$G=events!$AN565)*(game_rosters!$J:$J=events!$X565))&gt;0,1,""),"")</f>
        <v>1</v>
      </c>
      <c r="AA565">
        <f t="shared" si="275"/>
        <v>1297</v>
      </c>
      <c r="AB565" t="str">
        <f t="shared" si="276"/>
        <v/>
      </c>
      <c r="AC565">
        <f t="shared" si="273"/>
        <v>1297</v>
      </c>
      <c r="AD565" s="6">
        <v>1</v>
      </c>
      <c r="AE565" t="s">
        <v>938</v>
      </c>
      <c r="AF565" t="s">
        <v>741</v>
      </c>
      <c r="AG565" t="s">
        <v>756</v>
      </c>
      <c r="AH565" t="s">
        <v>756</v>
      </c>
      <c r="AI565" t="s">
        <v>367</v>
      </c>
      <c r="AJ565" t="str">
        <f t="shared" si="304"/>
        <v/>
      </c>
      <c r="AK565" t="str">
        <f t="shared" si="304"/>
        <v/>
      </c>
      <c r="AL565" t="str">
        <f t="shared" si="278"/>
        <v/>
      </c>
      <c r="AN565" t="s">
        <v>862</v>
      </c>
      <c r="AO565" t="str">
        <f t="shared" si="279"/>
        <v>a</v>
      </c>
      <c r="AP565" t="str">
        <f t="shared" si="286"/>
        <v/>
      </c>
      <c r="AQ565" t="str">
        <f t="shared" si="287"/>
        <v/>
      </c>
      <c r="AR565" t="str">
        <f t="shared" si="288"/>
        <v>Away</v>
      </c>
      <c r="AS565" t="str">
        <f t="shared" si="289"/>
        <v>a</v>
      </c>
      <c r="AT565" t="str">
        <f t="shared" si="290"/>
        <v>Offensive</v>
      </c>
      <c r="BA565" s="6">
        <f t="shared" si="280"/>
        <v>141</v>
      </c>
      <c r="BB565">
        <f t="shared" si="281"/>
        <v>18981</v>
      </c>
      <c r="BC565" t="str">
        <f t="shared" si="282"/>
        <v>Nelson</v>
      </c>
      <c r="BD565" t="str">
        <f t="shared" si="283"/>
        <v>Velodrome</v>
      </c>
      <c r="BE565" t="s">
        <v>9</v>
      </c>
      <c r="BF565" t="s">
        <v>173</v>
      </c>
      <c r="BG565" t="s">
        <v>74</v>
      </c>
      <c r="BI565" cm="1">
        <f t="array" ref="BI565">IFERROR(_xlfn._xlws.FILTER(shifts!A:A,(shifts!B:B=events!AD565)*(shifts!AG:AG&gt;=events!BK565)*(shifts!AH:AH&lt;=events!BL565)),BI564)</f>
        <v>28</v>
      </c>
      <c r="BJ565" s="15">
        <f t="shared" si="284"/>
        <v>0</v>
      </c>
      <c r="BK565">
        <f t="shared" si="291"/>
        <v>381</v>
      </c>
      <c r="BL565">
        <f t="shared" si="292"/>
        <v>381</v>
      </c>
      <c r="BM565" s="15">
        <f>SUMIFS(BJ$2:BJ565,K$2:K565,"=Intermission")+SUMIFS(BJ$2:BJ565,K$2:K565,"=Timeout")</f>
        <v>0</v>
      </c>
      <c r="BN565">
        <f t="shared" si="293"/>
        <v>0</v>
      </c>
      <c r="BO565" s="19">
        <f t="shared" si="294"/>
        <v>699</v>
      </c>
      <c r="BP565">
        <f t="shared" si="295"/>
        <v>694</v>
      </c>
      <c r="BQ565" s="17">
        <f t="shared" si="296"/>
        <v>699</v>
      </c>
      <c r="BR565" t="str">
        <f t="shared" si="297"/>
        <v>event_team_player_2</v>
      </c>
      <c r="BS565">
        <f>COUNTIFS(S$3:S565,"="&amp;S565,AI$3:AI565,"="&amp;AI565)</f>
        <v>2</v>
      </c>
      <c r="BT565" t="str">
        <f>IFERROR(VLOOKUP(BB565&amp;BU565&amp;X565,game_rosters!U:W,3,FALSE),"")</f>
        <v>P100159</v>
      </c>
      <c r="BU565" t="str">
        <f t="shared" si="298"/>
        <v>Velodrome</v>
      </c>
    </row>
    <row r="566" spans="1:73" x14ac:dyDescent="0.2">
      <c r="A566">
        <f t="shared" si="285"/>
        <v>1</v>
      </c>
      <c r="E566" s="4"/>
      <c r="F566" s="43"/>
      <c r="G566" s="4"/>
      <c r="H566" s="46"/>
      <c r="J566" s="44" t="str">
        <f t="shared" si="299"/>
        <v/>
      </c>
      <c r="K566" t="s">
        <v>9</v>
      </c>
      <c r="L566" t="s">
        <v>173</v>
      </c>
      <c r="M566" t="s">
        <v>74</v>
      </c>
      <c r="N566" t="str">
        <f t="shared" si="302"/>
        <v>u</v>
      </c>
      <c r="Q566" t="str">
        <f t="shared" si="300"/>
        <v/>
      </c>
      <c r="S566">
        <v>297</v>
      </c>
      <c r="U566" t="str">
        <f>IF(B566=1,MAX($U$2:$U565)+1,IF(AND($T566&lt;&gt;"",$T566=$T565),$U565,IF(B566="x",U565,"")))</f>
        <v/>
      </c>
      <c r="V566" t="str">
        <f>IF(C566=1,MAX($V$2:$V565)+1,IF(AND($T566&lt;&gt;"",$T566=$T565),$U565,IF(C566="x",V565,"")))</f>
        <v/>
      </c>
      <c r="W566" t="str">
        <f t="shared" si="274"/>
        <v>a</v>
      </c>
      <c r="X566">
        <v>8</v>
      </c>
      <c r="Y566" t="b">
        <f>IF(X566&lt;&gt;"",VLOOKUP(X566,game_rosters!$C$43:$E$64,3,FALSE))</f>
        <v>0</v>
      </c>
      <c r="Z566" t="str" cm="1">
        <f t="array" ref="Z566">IFERROR(IF(_xlfn._xlws.FILTER(game_rosters!$J:$J,(game_rosters!$G:$G=events!$AN566)*(game_rosters!$J:$J=events!$X566))&gt;0,1,""),"")</f>
        <v/>
      </c>
      <c r="AA566">
        <f t="shared" si="275"/>
        <v>1297</v>
      </c>
      <c r="AB566" t="str">
        <f t="shared" si="276"/>
        <v/>
      </c>
      <c r="AC566">
        <f t="shared" si="273"/>
        <v>1297</v>
      </c>
      <c r="AD566" s="6">
        <v>1</v>
      </c>
      <c r="AE566" t="s">
        <v>938</v>
      </c>
      <c r="AF566" t="s">
        <v>741</v>
      </c>
      <c r="AG566" t="s">
        <v>756</v>
      </c>
      <c r="AH566" t="s">
        <v>756</v>
      </c>
      <c r="AI566" t="s">
        <v>368</v>
      </c>
      <c r="AJ566" t="str">
        <f t="shared" si="304"/>
        <v/>
      </c>
      <c r="AK566" t="str">
        <f t="shared" si="304"/>
        <v/>
      </c>
      <c r="AL566" t="str">
        <f t="shared" si="278"/>
        <v/>
      </c>
      <c r="AN566" t="s">
        <v>862</v>
      </c>
      <c r="AO566" t="str">
        <f t="shared" si="279"/>
        <v>a</v>
      </c>
      <c r="AP566" t="str">
        <f t="shared" si="286"/>
        <v/>
      </c>
      <c r="AQ566" t="str">
        <f t="shared" si="287"/>
        <v/>
      </c>
      <c r="AR566" t="str">
        <f t="shared" si="288"/>
        <v>Away</v>
      </c>
      <c r="AS566" t="str">
        <f t="shared" si="289"/>
        <v>a</v>
      </c>
      <c r="AT566" t="str">
        <f t="shared" si="290"/>
        <v>Defensive</v>
      </c>
      <c r="BA566" s="6">
        <f t="shared" si="280"/>
        <v>141</v>
      </c>
      <c r="BB566">
        <f t="shared" si="281"/>
        <v>18981</v>
      </c>
      <c r="BC566" t="str">
        <f t="shared" si="282"/>
        <v>Nelson</v>
      </c>
      <c r="BD566" t="str">
        <f t="shared" si="283"/>
        <v>Velodrome</v>
      </c>
      <c r="BE566" t="s">
        <v>9</v>
      </c>
      <c r="BF566" t="s">
        <v>173</v>
      </c>
      <c r="BG566" t="s">
        <v>74</v>
      </c>
      <c r="BI566" cm="1">
        <f t="array" ref="BI566">IFERROR(_xlfn._xlws.FILTER(shifts!A:A,(shifts!B:B=events!AD566)*(shifts!AG:AG&gt;=events!BK566)*(shifts!AH:AH&lt;=events!BL566)),BI565)</f>
        <v>28</v>
      </c>
      <c r="BJ566" s="15">
        <f t="shared" si="284"/>
        <v>0</v>
      </c>
      <c r="BK566">
        <f t="shared" si="291"/>
        <v>381</v>
      </c>
      <c r="BL566">
        <f t="shared" si="292"/>
        <v>381</v>
      </c>
      <c r="BM566" s="15">
        <f>SUMIFS(BJ$2:BJ566,K$2:K566,"=Intermission")+SUMIFS(BJ$2:BJ566,K$2:K566,"=Timeout")</f>
        <v>0</v>
      </c>
      <c r="BN566">
        <f t="shared" si="293"/>
        <v>0</v>
      </c>
      <c r="BO566" s="19">
        <f t="shared" si="294"/>
        <v>699</v>
      </c>
      <c r="BP566">
        <f t="shared" si="295"/>
        <v>694</v>
      </c>
      <c r="BQ566" s="17">
        <f t="shared" si="296"/>
        <v>699</v>
      </c>
      <c r="BR566" t="str">
        <f t="shared" si="297"/>
        <v>opp_team_player_1</v>
      </c>
      <c r="BS566">
        <f>COUNTIFS(S$3:S566,"="&amp;S566,AI$3:AI566,"="&amp;AI566)</f>
        <v>1</v>
      </c>
      <c r="BT566" t="str">
        <f>IFERROR(VLOOKUP(BB566&amp;BU566&amp;X566,game_rosters!U:W,3,FALSE),"")</f>
        <v>P100074</v>
      </c>
      <c r="BU566" t="str">
        <f t="shared" si="298"/>
        <v>Nelson</v>
      </c>
    </row>
    <row r="567" spans="1:73" x14ac:dyDescent="0.2">
      <c r="A567">
        <f t="shared" si="285"/>
        <v>1</v>
      </c>
      <c r="E567" s="4"/>
      <c r="F567" s="43"/>
      <c r="G567" s="4"/>
      <c r="H567" s="46"/>
      <c r="J567" s="44" t="str">
        <f t="shared" si="299"/>
        <v>o</v>
      </c>
      <c r="K567" t="s">
        <v>238</v>
      </c>
      <c r="L567" t="s">
        <v>174</v>
      </c>
      <c r="M567" t="s">
        <v>85</v>
      </c>
      <c r="N567" t="str">
        <f t="shared" si="302"/>
        <v>s</v>
      </c>
      <c r="Q567" t="str">
        <f t="shared" si="300"/>
        <v/>
      </c>
      <c r="S567">
        <v>298</v>
      </c>
      <c r="U567" t="str">
        <f>IF(B567=1,MAX($U$2:$U566)+1,IF(AND($T567&lt;&gt;"",$T567=$T566),$U566,IF(B567="x",U566,"")))</f>
        <v/>
      </c>
      <c r="V567" t="str">
        <f>IF(C567=1,MAX($V$2:$V566)+1,IF(AND($T567&lt;&gt;"",$T567=$T566),$U566,IF(C567="x",V566,"")))</f>
        <v/>
      </c>
      <c r="W567" t="str">
        <f t="shared" si="274"/>
        <v>a</v>
      </c>
      <c r="X567">
        <v>87</v>
      </c>
      <c r="Y567" t="e">
        <f>IF(X567&lt;&gt;"",VLOOKUP(X567,game_rosters!$C$43:$E$64,3,FALSE))</f>
        <v>#N/A</v>
      </c>
      <c r="Z567" cm="1">
        <f t="array" ref="Z567">IFERROR(IF(_xlfn._xlws.FILTER(game_rosters!$J:$J,(game_rosters!$G:$G=events!$AN567)*(game_rosters!$J:$J=events!$X567))&gt;0,1,""),"")</f>
        <v>1</v>
      </c>
      <c r="AA567">
        <f t="shared" si="275"/>
        <v>1298</v>
      </c>
      <c r="AB567" t="str">
        <f t="shared" si="276"/>
        <v/>
      </c>
      <c r="AC567">
        <f t="shared" si="273"/>
        <v>1298</v>
      </c>
      <c r="AD567" s="6">
        <v>1</v>
      </c>
      <c r="AE567" t="s">
        <v>938</v>
      </c>
      <c r="AF567" t="s">
        <v>746</v>
      </c>
      <c r="AG567" t="s">
        <v>938</v>
      </c>
      <c r="AH567" t="s">
        <v>910</v>
      </c>
      <c r="AI567" t="s">
        <v>367</v>
      </c>
      <c r="AJ567" t="str">
        <f t="shared" si="304"/>
        <v>o</v>
      </c>
      <c r="AK567" t="str">
        <f t="shared" si="304"/>
        <v>o</v>
      </c>
      <c r="AL567" t="str">
        <f t="shared" si="278"/>
        <v>d</v>
      </c>
      <c r="AN567" t="s">
        <v>862</v>
      </c>
      <c r="AO567" t="str">
        <f t="shared" si="279"/>
        <v>a</v>
      </c>
      <c r="AP567" t="str">
        <f t="shared" si="286"/>
        <v>d</v>
      </c>
      <c r="AQ567" t="str">
        <f t="shared" si="287"/>
        <v/>
      </c>
      <c r="AR567" t="str">
        <f t="shared" si="288"/>
        <v>Away</v>
      </c>
      <c r="AS567" t="str">
        <f t="shared" si="289"/>
        <v>a</v>
      </c>
      <c r="AT567" t="str">
        <f t="shared" si="290"/>
        <v>Offensive</v>
      </c>
      <c r="BA567" s="6">
        <f t="shared" si="280"/>
        <v>142</v>
      </c>
      <c r="BB567">
        <f t="shared" si="281"/>
        <v>18981</v>
      </c>
      <c r="BC567" t="str">
        <f t="shared" si="282"/>
        <v>Nelson</v>
      </c>
      <c r="BD567" t="str">
        <f t="shared" si="283"/>
        <v>Velodrome</v>
      </c>
      <c r="BE567" t="s">
        <v>238</v>
      </c>
      <c r="BF567" t="s">
        <v>174</v>
      </c>
      <c r="BG567" t="s">
        <v>85</v>
      </c>
      <c r="BI567" cm="1">
        <f t="array" ref="BI567">IFERROR(_xlfn._xlws.FILTER(shifts!A:A,(shifts!B:B=events!AD567)*(shifts!AG:AG&gt;=events!BK567)*(shifts!AH:AH&lt;=events!BL567)),BI566)</f>
        <v>28</v>
      </c>
      <c r="BJ567" s="15">
        <f t="shared" si="284"/>
        <v>2</v>
      </c>
      <c r="BK567">
        <f t="shared" si="291"/>
        <v>372</v>
      </c>
      <c r="BL567">
        <f t="shared" si="292"/>
        <v>370</v>
      </c>
      <c r="BM567" s="15">
        <f>SUMIFS(BJ$2:BJ567,K$2:K567,"=Intermission")+SUMIFS(BJ$2:BJ567,K$2:K567,"=Timeout")</f>
        <v>0</v>
      </c>
      <c r="BN567">
        <f t="shared" si="293"/>
        <v>0</v>
      </c>
      <c r="BO567" s="19">
        <f t="shared" si="294"/>
        <v>708</v>
      </c>
      <c r="BP567">
        <f t="shared" si="295"/>
        <v>703</v>
      </c>
      <c r="BQ567" s="17">
        <f t="shared" si="296"/>
        <v>710</v>
      </c>
      <c r="BR567" t="str">
        <f t="shared" si="297"/>
        <v>event_team_player_1</v>
      </c>
      <c r="BS567">
        <f>COUNTIFS(S$3:S567,"="&amp;S567,AI$3:AI567,"="&amp;AI567)</f>
        <v>1</v>
      </c>
      <c r="BT567" t="str">
        <f>IFERROR(VLOOKUP(BB567&amp;BU567&amp;X567,game_rosters!U:W,3,FALSE),"")</f>
        <v>P100159</v>
      </c>
      <c r="BU567" t="str">
        <f t="shared" si="298"/>
        <v>Velodrome</v>
      </c>
    </row>
    <row r="568" spans="1:73" x14ac:dyDescent="0.2">
      <c r="A568">
        <f t="shared" si="285"/>
        <v>1</v>
      </c>
      <c r="E568" s="4"/>
      <c r="F568" s="43"/>
      <c r="G568" s="4"/>
      <c r="H568" s="46"/>
      <c r="J568" s="44" t="str">
        <f t="shared" si="299"/>
        <v>o</v>
      </c>
      <c r="K568" t="s">
        <v>238</v>
      </c>
      <c r="L568" t="s">
        <v>174</v>
      </c>
      <c r="M568" t="s">
        <v>85</v>
      </c>
      <c r="N568" t="str">
        <f t="shared" si="302"/>
        <v>s</v>
      </c>
      <c r="Q568" t="str">
        <f t="shared" si="300"/>
        <v/>
      </c>
      <c r="S568">
        <v>298</v>
      </c>
      <c r="U568" t="str">
        <f>IF(B568=1,MAX($U$2:$U567)+1,IF(AND($T568&lt;&gt;"",$T568=$T567),$U567,IF(B568="x",U567,"")))</f>
        <v/>
      </c>
      <c r="V568" t="str">
        <f>IF(C568=1,MAX($V$2:$V567)+1,IF(AND($T568&lt;&gt;"",$T568=$T567),$U567,IF(C568="x",V567,"")))</f>
        <v/>
      </c>
      <c r="W568" t="str">
        <f t="shared" si="274"/>
        <v>a</v>
      </c>
      <c r="X568">
        <v>3</v>
      </c>
      <c r="Y568" t="b">
        <f>IF(X568&lt;&gt;"",VLOOKUP(X568,game_rosters!$C$43:$E$64,3,FALSE))</f>
        <v>0</v>
      </c>
      <c r="Z568" t="str" cm="1">
        <f t="array" ref="Z568">IFERROR(IF(_xlfn._xlws.FILTER(game_rosters!$J:$J,(game_rosters!$G:$G=events!$AN568)*(game_rosters!$J:$J=events!$X568))&gt;0,1,""),"")</f>
        <v/>
      </c>
      <c r="AA568">
        <f t="shared" si="275"/>
        <v>1298</v>
      </c>
      <c r="AB568" t="str">
        <f t="shared" si="276"/>
        <v/>
      </c>
      <c r="AC568">
        <f t="shared" si="273"/>
        <v>1298</v>
      </c>
      <c r="AD568" s="6">
        <v>1</v>
      </c>
      <c r="AE568" t="s">
        <v>938</v>
      </c>
      <c r="AF568" t="s">
        <v>746</v>
      </c>
      <c r="AG568" t="s">
        <v>938</v>
      </c>
      <c r="AH568" t="s">
        <v>910</v>
      </c>
      <c r="AI568" t="s">
        <v>368</v>
      </c>
      <c r="AJ568" t="str">
        <f t="shared" si="304"/>
        <v>o</v>
      </c>
      <c r="AK568" t="str">
        <f t="shared" si="304"/>
        <v>o</v>
      </c>
      <c r="AL568" t="str">
        <f t="shared" si="278"/>
        <v>d</v>
      </c>
      <c r="AN568" t="s">
        <v>862</v>
      </c>
      <c r="AO568" t="str">
        <f t="shared" si="279"/>
        <v>a</v>
      </c>
      <c r="AP568" t="str">
        <f t="shared" si="286"/>
        <v>d</v>
      </c>
      <c r="AQ568" t="str">
        <f t="shared" si="287"/>
        <v/>
      </c>
      <c r="AR568" t="str">
        <f t="shared" si="288"/>
        <v>Away</v>
      </c>
      <c r="AS568" t="str">
        <f t="shared" si="289"/>
        <v>a</v>
      </c>
      <c r="AT568" t="str">
        <f t="shared" si="290"/>
        <v>Defensive</v>
      </c>
      <c r="BA568" s="6">
        <f t="shared" si="280"/>
        <v>143</v>
      </c>
      <c r="BB568">
        <f t="shared" si="281"/>
        <v>18981</v>
      </c>
      <c r="BC568" t="str">
        <f t="shared" si="282"/>
        <v>Nelson</v>
      </c>
      <c r="BD568" t="str">
        <f t="shared" si="283"/>
        <v>Velodrome</v>
      </c>
      <c r="BE568" t="s">
        <v>238</v>
      </c>
      <c r="BF568" t="s">
        <v>174</v>
      </c>
      <c r="BG568" t="s">
        <v>85</v>
      </c>
      <c r="BI568" cm="1">
        <f t="array" ref="BI568">IFERROR(_xlfn._xlws.FILTER(shifts!A:A,(shifts!B:B=events!AD568)*(shifts!AG:AG&gt;=events!BK568)*(shifts!AH:AH&lt;=events!BL568)),BI567)</f>
        <v>28</v>
      </c>
      <c r="BJ568" s="15">
        <f t="shared" si="284"/>
        <v>2</v>
      </c>
      <c r="BK568">
        <f t="shared" si="291"/>
        <v>372</v>
      </c>
      <c r="BL568">
        <f t="shared" si="292"/>
        <v>370</v>
      </c>
      <c r="BM568" s="15">
        <f>SUMIFS(BJ$2:BJ568,K$2:K568,"=Intermission")+SUMIFS(BJ$2:BJ568,K$2:K568,"=Timeout")</f>
        <v>0</v>
      </c>
      <c r="BN568">
        <f t="shared" si="293"/>
        <v>0</v>
      </c>
      <c r="BO568" s="19">
        <f t="shared" si="294"/>
        <v>708</v>
      </c>
      <c r="BP568">
        <f t="shared" si="295"/>
        <v>703</v>
      </c>
      <c r="BQ568" s="17">
        <f t="shared" si="296"/>
        <v>710</v>
      </c>
      <c r="BR568" t="str">
        <f t="shared" si="297"/>
        <v>opp_team_player_1</v>
      </c>
      <c r="BS568">
        <f>COUNTIFS(S$3:S568,"="&amp;S568,AI$3:AI568,"="&amp;AI568)</f>
        <v>1</v>
      </c>
      <c r="BT568" t="str">
        <f>IFERROR(VLOOKUP(BB568&amp;BU568&amp;X568,game_rosters!U:W,3,FALSE),"")</f>
        <v>P100111</v>
      </c>
      <c r="BU568" t="str">
        <f t="shared" si="298"/>
        <v>Nelson</v>
      </c>
    </row>
    <row r="569" spans="1:73" x14ac:dyDescent="0.2">
      <c r="A569">
        <f t="shared" si="285"/>
        <v>1</v>
      </c>
      <c r="E569" s="4"/>
      <c r="F569" s="43"/>
      <c r="G569" s="4"/>
      <c r="H569" s="46"/>
      <c r="J569" s="44" t="str">
        <f t="shared" si="299"/>
        <v>o</v>
      </c>
      <c r="K569" t="s">
        <v>238</v>
      </c>
      <c r="L569" t="s">
        <v>174</v>
      </c>
      <c r="M569" t="s">
        <v>85</v>
      </c>
      <c r="N569" t="str">
        <f t="shared" si="302"/>
        <v>s</v>
      </c>
      <c r="Q569" t="str">
        <f t="shared" si="300"/>
        <v/>
      </c>
      <c r="S569">
        <v>298</v>
      </c>
      <c r="U569" t="str">
        <f>IF(B569=1,MAX($U$2:$U568)+1,IF(AND($T569&lt;&gt;"",$T569=$T568),$U568,IF(B569="x",U568,"")))</f>
        <v/>
      </c>
      <c r="V569" t="str">
        <f>IF(C569=1,MAX($V$2:$V568)+1,IF(AND($T569&lt;&gt;"",$T569=$T568),$U568,IF(C569="x",V568,"")))</f>
        <v/>
      </c>
      <c r="W569" t="str">
        <f t="shared" si="274"/>
        <v>a</v>
      </c>
      <c r="X569">
        <v>8</v>
      </c>
      <c r="Y569" t="b">
        <f>IF(X569&lt;&gt;"",VLOOKUP(X569,game_rosters!$C$43:$E$64,3,FALSE))</f>
        <v>0</v>
      </c>
      <c r="Z569" t="str" cm="1">
        <f t="array" ref="Z569">IFERROR(IF(_xlfn._xlws.FILTER(game_rosters!$J:$J,(game_rosters!$G:$G=events!$AN569)*(game_rosters!$J:$J=events!$X569))&gt;0,1,""),"")</f>
        <v/>
      </c>
      <c r="AA569">
        <f t="shared" si="275"/>
        <v>1298</v>
      </c>
      <c r="AB569" t="str">
        <f t="shared" si="276"/>
        <v/>
      </c>
      <c r="AC569">
        <f t="shared" si="273"/>
        <v>1298</v>
      </c>
      <c r="AD569" s="6">
        <v>1</v>
      </c>
      <c r="AE569" t="s">
        <v>938</v>
      </c>
      <c r="AF569" t="s">
        <v>746</v>
      </c>
      <c r="AG569" t="s">
        <v>938</v>
      </c>
      <c r="AH569" t="s">
        <v>910</v>
      </c>
      <c r="AI569" t="s">
        <v>368</v>
      </c>
      <c r="AJ569" t="str">
        <f t="shared" si="304"/>
        <v>o</v>
      </c>
      <c r="AK569" t="str">
        <f t="shared" si="304"/>
        <v>o</v>
      </c>
      <c r="AL569" t="str">
        <f t="shared" si="278"/>
        <v>d</v>
      </c>
      <c r="AN569" t="s">
        <v>862</v>
      </c>
      <c r="AO569" t="str">
        <f t="shared" si="279"/>
        <v>a</v>
      </c>
      <c r="AP569" t="str">
        <f t="shared" si="286"/>
        <v>d</v>
      </c>
      <c r="AQ569" t="str">
        <f t="shared" si="287"/>
        <v/>
      </c>
      <c r="AR569" t="str">
        <f t="shared" si="288"/>
        <v>Away</v>
      </c>
      <c r="AS569" t="str">
        <f t="shared" si="289"/>
        <v>a</v>
      </c>
      <c r="AT569" t="str">
        <f t="shared" si="290"/>
        <v>Defensive</v>
      </c>
      <c r="BA569" s="6">
        <f t="shared" si="280"/>
        <v>144</v>
      </c>
      <c r="BB569">
        <f t="shared" si="281"/>
        <v>18981</v>
      </c>
      <c r="BC569" t="str">
        <f t="shared" si="282"/>
        <v>Nelson</v>
      </c>
      <c r="BD569" t="str">
        <f t="shared" si="283"/>
        <v>Velodrome</v>
      </c>
      <c r="BE569" t="s">
        <v>238</v>
      </c>
      <c r="BF569" t="s">
        <v>174</v>
      </c>
      <c r="BG569" t="s">
        <v>85</v>
      </c>
      <c r="BI569" cm="1">
        <f t="array" ref="BI569">IFERROR(_xlfn._xlws.FILTER(shifts!A:A,(shifts!B:B=events!AD569)*(shifts!AG:AG&gt;=events!BK569)*(shifts!AH:AH&lt;=events!BL569)),BI568)</f>
        <v>28</v>
      </c>
      <c r="BJ569" s="15">
        <f t="shared" si="284"/>
        <v>2</v>
      </c>
      <c r="BK569">
        <f t="shared" si="291"/>
        <v>372</v>
      </c>
      <c r="BL569">
        <f t="shared" si="292"/>
        <v>370</v>
      </c>
      <c r="BM569" s="15">
        <f>SUMIFS(BJ$2:BJ569,K$2:K569,"=Intermission")+SUMIFS(BJ$2:BJ569,K$2:K569,"=Timeout")</f>
        <v>0</v>
      </c>
      <c r="BN569">
        <f t="shared" si="293"/>
        <v>0</v>
      </c>
      <c r="BO569" s="19">
        <f t="shared" si="294"/>
        <v>708</v>
      </c>
      <c r="BP569">
        <f t="shared" si="295"/>
        <v>703</v>
      </c>
      <c r="BQ569" s="17">
        <f t="shared" si="296"/>
        <v>710</v>
      </c>
      <c r="BR569" t="str">
        <f t="shared" si="297"/>
        <v>opp_team_player_2</v>
      </c>
      <c r="BS569">
        <f>COUNTIFS(S$3:S569,"="&amp;S569,AI$3:AI569,"="&amp;AI569)</f>
        <v>2</v>
      </c>
      <c r="BT569" t="str">
        <f>IFERROR(VLOOKUP(BB569&amp;BU569&amp;X569,game_rosters!U:W,3,FALSE),"")</f>
        <v>P100074</v>
      </c>
      <c r="BU569" t="str">
        <f t="shared" si="298"/>
        <v>Nelson</v>
      </c>
    </row>
    <row r="570" spans="1:73" x14ac:dyDescent="0.2">
      <c r="A570">
        <f t="shared" si="285"/>
        <v>1</v>
      </c>
      <c r="E570" s="4"/>
      <c r="F570" s="43"/>
      <c r="G570" s="4"/>
      <c r="H570" s="46"/>
      <c r="J570" s="44" t="str">
        <f t="shared" si="299"/>
        <v/>
      </c>
      <c r="K570" t="s">
        <v>9</v>
      </c>
      <c r="L570" t="s">
        <v>183</v>
      </c>
      <c r="M570" t="s">
        <v>80</v>
      </c>
      <c r="N570" t="str">
        <f t="shared" si="302"/>
        <v/>
      </c>
      <c r="Q570" t="str">
        <f t="shared" si="300"/>
        <v/>
      </c>
      <c r="S570">
        <v>299</v>
      </c>
      <c r="U570" t="str">
        <f>IF(B570=1,MAX($U$2:$U569)+1,IF(AND($T570&lt;&gt;"",$T570=$T569),$U569,IF(B570="x",U569,"")))</f>
        <v/>
      </c>
      <c r="V570" t="str">
        <f>IF(C570=1,MAX($V$2:$V569)+1,IF(AND($T570&lt;&gt;"",$T570=$T569),$U569,IF(C570="x",V569,"")))</f>
        <v/>
      </c>
      <c r="W570" t="str">
        <f t="shared" si="274"/>
        <v>h</v>
      </c>
      <c r="X570">
        <v>8</v>
      </c>
      <c r="Y570" t="b">
        <f>IF(X570&lt;&gt;"",VLOOKUP(X570,game_rosters!$C$43:$E$64,3,FALSE))</f>
        <v>0</v>
      </c>
      <c r="Z570" cm="1">
        <f t="array" ref="Z570">IFERROR(IF(_xlfn._xlws.FILTER(game_rosters!$J:$J,(game_rosters!$G:$G=events!$AN570)*(game_rosters!$J:$J=events!$X570))&gt;0,1,""),"")</f>
        <v>1</v>
      </c>
      <c r="AA570">
        <f t="shared" si="275"/>
        <v>1299</v>
      </c>
      <c r="AB570" t="str">
        <f t="shared" si="276"/>
        <v/>
      </c>
      <c r="AC570">
        <f t="shared" si="273"/>
        <v>1299</v>
      </c>
      <c r="AD570" s="6">
        <v>1</v>
      </c>
      <c r="AE570" t="s">
        <v>938</v>
      </c>
      <c r="AF570" t="s">
        <v>910</v>
      </c>
      <c r="AG570" t="s">
        <v>756</v>
      </c>
      <c r="AH570" t="s">
        <v>756</v>
      </c>
      <c r="AI570" t="s">
        <v>367</v>
      </c>
      <c r="AJ570" t="str">
        <f t="shared" si="304"/>
        <v/>
      </c>
      <c r="AK570" t="str">
        <f t="shared" si="304"/>
        <v/>
      </c>
      <c r="AL570" t="str">
        <f t="shared" si="278"/>
        <v/>
      </c>
      <c r="AN570" t="s">
        <v>861</v>
      </c>
      <c r="AO570" t="str">
        <f t="shared" si="279"/>
        <v>h</v>
      </c>
      <c r="AP570" t="str">
        <f t="shared" si="286"/>
        <v/>
      </c>
      <c r="AQ570" t="str">
        <f t="shared" si="287"/>
        <v/>
      </c>
      <c r="AR570" t="str">
        <f t="shared" si="288"/>
        <v>Home</v>
      </c>
      <c r="AS570" t="str">
        <f t="shared" si="289"/>
        <v>h</v>
      </c>
      <c r="AT570" t="str">
        <f t="shared" si="290"/>
        <v>Defensive</v>
      </c>
      <c r="BA570" s="6">
        <f t="shared" si="280"/>
        <v>144</v>
      </c>
      <c r="BB570">
        <f t="shared" si="281"/>
        <v>18981</v>
      </c>
      <c r="BC570" t="str">
        <f t="shared" si="282"/>
        <v>Nelson</v>
      </c>
      <c r="BD570" t="str">
        <f t="shared" si="283"/>
        <v>Velodrome</v>
      </c>
      <c r="BE570" t="s">
        <v>9</v>
      </c>
      <c r="BF570" t="s">
        <v>183</v>
      </c>
      <c r="BG570" t="s">
        <v>80</v>
      </c>
      <c r="BI570" cm="1">
        <f t="array" ref="BI570">IFERROR(_xlfn._xlws.FILTER(shifts!A:A,(shifts!B:B=events!AD570)*(shifts!AG:AG&gt;=events!BK570)*(shifts!AH:AH&lt;=events!BL570)),BI569)</f>
        <v>28</v>
      </c>
      <c r="BJ570" s="15">
        <f t="shared" si="284"/>
        <v>0</v>
      </c>
      <c r="BK570">
        <f t="shared" si="291"/>
        <v>370</v>
      </c>
      <c r="BL570">
        <f t="shared" si="292"/>
        <v>370</v>
      </c>
      <c r="BM570" s="15">
        <f>SUMIFS(BJ$2:BJ570,K$2:K570,"=Intermission")+SUMIFS(BJ$2:BJ570,K$2:K570,"=Timeout")</f>
        <v>0</v>
      </c>
      <c r="BN570">
        <f t="shared" si="293"/>
        <v>0</v>
      </c>
      <c r="BO570" s="19">
        <f t="shared" si="294"/>
        <v>710</v>
      </c>
      <c r="BP570">
        <f t="shared" si="295"/>
        <v>705</v>
      </c>
      <c r="BQ570" s="17">
        <f t="shared" si="296"/>
        <v>710</v>
      </c>
      <c r="BR570" t="str">
        <f t="shared" si="297"/>
        <v>event_team_player_1</v>
      </c>
      <c r="BS570">
        <f>COUNTIFS(S$3:S570,"="&amp;S570,AI$3:AI570,"="&amp;AI570)</f>
        <v>1</v>
      </c>
      <c r="BT570" t="str">
        <f>IFERROR(VLOOKUP(BB570&amp;BU570&amp;X570,game_rosters!U:W,3,FALSE),"")</f>
        <v>P100074</v>
      </c>
      <c r="BU570" t="str">
        <f t="shared" si="298"/>
        <v>Nelson</v>
      </c>
    </row>
    <row r="571" spans="1:73" x14ac:dyDescent="0.2">
      <c r="A571">
        <f t="shared" si="285"/>
        <v>1</v>
      </c>
      <c r="E571" s="4"/>
      <c r="F571" s="43"/>
      <c r="G571" s="4"/>
      <c r="H571" s="46"/>
      <c r="J571" s="44" t="str">
        <f t="shared" si="299"/>
        <v/>
      </c>
      <c r="K571" t="s">
        <v>9</v>
      </c>
      <c r="L571" t="s">
        <v>183</v>
      </c>
      <c r="M571" t="s">
        <v>80</v>
      </c>
      <c r="N571" t="str">
        <f t="shared" si="302"/>
        <v/>
      </c>
      <c r="Q571" t="str">
        <f t="shared" si="300"/>
        <v/>
      </c>
      <c r="S571">
        <v>299</v>
      </c>
      <c r="U571" t="str">
        <f>IF(B571=1,MAX($U$2:$U570)+1,IF(AND($T571&lt;&gt;"",$T571=$T570),$U570,IF(B571="x",U570,"")))</f>
        <v/>
      </c>
      <c r="V571" t="str">
        <f>IF(C571=1,MAX($V$2:$V570)+1,IF(AND($T571&lt;&gt;"",$T571=$T570),$U570,IF(C571="x",V570,"")))</f>
        <v/>
      </c>
      <c r="W571" t="str">
        <f t="shared" si="274"/>
        <v>h</v>
      </c>
      <c r="X571">
        <v>87</v>
      </c>
      <c r="Y571" t="e">
        <f>IF(X571&lt;&gt;"",VLOOKUP(X571,game_rosters!$C$43:$E$64,3,FALSE))</f>
        <v>#N/A</v>
      </c>
      <c r="Z571" t="str" cm="1">
        <f t="array" ref="Z571">IFERROR(IF(_xlfn._xlws.FILTER(game_rosters!$J:$J,(game_rosters!$G:$G=events!$AN571)*(game_rosters!$J:$J=events!$X571))&gt;0,1,""),"")</f>
        <v/>
      </c>
      <c r="AA571">
        <f t="shared" si="275"/>
        <v>1299</v>
      </c>
      <c r="AB571" t="str">
        <f t="shared" si="276"/>
        <v/>
      </c>
      <c r="AC571">
        <f t="shared" si="273"/>
        <v>1299</v>
      </c>
      <c r="AD571" s="6">
        <v>1</v>
      </c>
      <c r="AE571" t="s">
        <v>938</v>
      </c>
      <c r="AF571" t="s">
        <v>910</v>
      </c>
      <c r="AG571" t="s">
        <v>756</v>
      </c>
      <c r="AH571" t="s">
        <v>756</v>
      </c>
      <c r="AI571" t="s">
        <v>368</v>
      </c>
      <c r="AJ571" t="str">
        <f t="shared" si="304"/>
        <v/>
      </c>
      <c r="AK571" t="str">
        <f t="shared" si="304"/>
        <v/>
      </c>
      <c r="AL571" t="str">
        <f t="shared" si="278"/>
        <v/>
      </c>
      <c r="AN571" t="s">
        <v>861</v>
      </c>
      <c r="AO571" t="str">
        <f t="shared" si="279"/>
        <v>h</v>
      </c>
      <c r="AP571" t="str">
        <f t="shared" si="286"/>
        <v/>
      </c>
      <c r="AQ571" t="str">
        <f t="shared" si="287"/>
        <v/>
      </c>
      <c r="AR571" t="str">
        <f t="shared" si="288"/>
        <v>Home</v>
      </c>
      <c r="AS571" t="str">
        <f t="shared" si="289"/>
        <v>h</v>
      </c>
      <c r="AT571" t="str">
        <f t="shared" si="290"/>
        <v>Offensive</v>
      </c>
      <c r="BA571" s="6">
        <f t="shared" si="280"/>
        <v>144</v>
      </c>
      <c r="BB571">
        <f t="shared" si="281"/>
        <v>18981</v>
      </c>
      <c r="BC571" t="str">
        <f t="shared" si="282"/>
        <v>Nelson</v>
      </c>
      <c r="BD571" t="str">
        <f t="shared" si="283"/>
        <v>Velodrome</v>
      </c>
      <c r="BE571" t="s">
        <v>9</v>
      </c>
      <c r="BF571" t="s">
        <v>183</v>
      </c>
      <c r="BG571" t="s">
        <v>80</v>
      </c>
      <c r="BI571" cm="1">
        <f t="array" ref="BI571">IFERROR(_xlfn._xlws.FILTER(shifts!A:A,(shifts!B:B=events!AD571)*(shifts!AG:AG&gt;=events!BK571)*(shifts!AH:AH&lt;=events!BL571)),BI570)</f>
        <v>28</v>
      </c>
      <c r="BJ571" s="15">
        <f t="shared" si="284"/>
        <v>0</v>
      </c>
      <c r="BK571">
        <f t="shared" si="291"/>
        <v>370</v>
      </c>
      <c r="BL571">
        <f t="shared" si="292"/>
        <v>370</v>
      </c>
      <c r="BM571" s="15">
        <f>SUMIFS(BJ$2:BJ571,K$2:K571,"=Intermission")+SUMIFS(BJ$2:BJ571,K$2:K571,"=Timeout")</f>
        <v>0</v>
      </c>
      <c r="BN571">
        <f t="shared" si="293"/>
        <v>0</v>
      </c>
      <c r="BO571" s="19">
        <f t="shared" si="294"/>
        <v>710</v>
      </c>
      <c r="BP571">
        <f t="shared" si="295"/>
        <v>705</v>
      </c>
      <c r="BQ571" s="17">
        <f t="shared" si="296"/>
        <v>710</v>
      </c>
      <c r="BR571" t="str">
        <f t="shared" si="297"/>
        <v>opp_team_player_1</v>
      </c>
      <c r="BS571">
        <f>COUNTIFS(S$3:S571,"="&amp;S571,AI$3:AI571,"="&amp;AI571)</f>
        <v>1</v>
      </c>
      <c r="BT571" t="str">
        <f>IFERROR(VLOOKUP(BB571&amp;BU571&amp;X571,game_rosters!U:W,3,FALSE),"")</f>
        <v>P100159</v>
      </c>
      <c r="BU571" t="str">
        <f t="shared" si="298"/>
        <v>Velodrome</v>
      </c>
    </row>
    <row r="572" spans="1:73" x14ac:dyDescent="0.2">
      <c r="A572">
        <f t="shared" si="285"/>
        <v>1</v>
      </c>
      <c r="E572" s="4"/>
      <c r="F572" s="43"/>
      <c r="G572" s="4"/>
      <c r="H572" s="46"/>
      <c r="J572" s="44" t="str">
        <f t="shared" si="299"/>
        <v>d</v>
      </c>
      <c r="K572" t="s">
        <v>238</v>
      </c>
      <c r="L572" t="s">
        <v>184</v>
      </c>
      <c r="M572" t="s">
        <v>88</v>
      </c>
      <c r="N572" t="str">
        <f t="shared" si="302"/>
        <v>s</v>
      </c>
      <c r="Q572" t="str">
        <f t="shared" si="300"/>
        <v/>
      </c>
      <c r="S572">
        <v>300</v>
      </c>
      <c r="U572" t="str">
        <f>IF(B572=1,MAX($U$2:$U571)+1,IF(AND($T572&lt;&gt;"",$T572=$T571),$U571,IF(B572="x",U571,"")))</f>
        <v/>
      </c>
      <c r="V572" t="str">
        <f>IF(C572=1,MAX($V$2:$V571)+1,IF(AND($T572&lt;&gt;"",$T572=$T571),$U571,IF(C572="x",V571,"")))</f>
        <v/>
      </c>
      <c r="W572" t="str">
        <f t="shared" si="274"/>
        <v>h</v>
      </c>
      <c r="X572">
        <v>10</v>
      </c>
      <c r="Y572" t="b">
        <f>IF(X572&lt;&gt;"",VLOOKUP(X572,game_rosters!$C$43:$E$64,3,FALSE))</f>
        <v>0</v>
      </c>
      <c r="Z572" cm="1">
        <f t="array" ref="Z572">IFERROR(IF(_xlfn._xlws.FILTER(game_rosters!$J:$J,(game_rosters!$G:$G=events!$AN572)*(game_rosters!$J:$J=events!$X572))&gt;0,1,""),"")</f>
        <v>1</v>
      </c>
      <c r="AA572">
        <f t="shared" si="275"/>
        <v>1300</v>
      </c>
      <c r="AB572" t="str">
        <f t="shared" si="276"/>
        <v/>
      </c>
      <c r="AC572">
        <f t="shared" si="273"/>
        <v>1300</v>
      </c>
      <c r="AD572" s="6">
        <v>1</v>
      </c>
      <c r="AE572" t="s">
        <v>938</v>
      </c>
      <c r="AF572" t="s">
        <v>939</v>
      </c>
      <c r="AG572" t="s">
        <v>938</v>
      </c>
      <c r="AH572" t="s">
        <v>911</v>
      </c>
      <c r="AI572" t="s">
        <v>367</v>
      </c>
      <c r="AJ572" t="str">
        <f t="shared" si="304"/>
        <v>d</v>
      </c>
      <c r="AK572" t="str">
        <f t="shared" si="304"/>
        <v>d</v>
      </c>
      <c r="AL572" t="str">
        <f t="shared" si="278"/>
        <v>d</v>
      </c>
      <c r="AN572" t="s">
        <v>861</v>
      </c>
      <c r="AO572" t="str">
        <f t="shared" si="279"/>
        <v>h</v>
      </c>
      <c r="AP572" t="str">
        <f t="shared" si="286"/>
        <v>d</v>
      </c>
      <c r="AQ572" t="str">
        <f t="shared" si="287"/>
        <v/>
      </c>
      <c r="AR572" t="str">
        <f t="shared" si="288"/>
        <v>Home</v>
      </c>
      <c r="AS572" t="str">
        <f t="shared" si="289"/>
        <v>h</v>
      </c>
      <c r="AT572" t="str">
        <f t="shared" si="290"/>
        <v>Offensive</v>
      </c>
      <c r="BA572" s="6">
        <f t="shared" si="280"/>
        <v>145</v>
      </c>
      <c r="BB572">
        <f t="shared" si="281"/>
        <v>18981</v>
      </c>
      <c r="BC572" t="str">
        <f t="shared" si="282"/>
        <v>Nelson</v>
      </c>
      <c r="BD572" t="str">
        <f t="shared" si="283"/>
        <v>Velodrome</v>
      </c>
      <c r="BE572" t="s">
        <v>238</v>
      </c>
      <c r="BF572" t="s">
        <v>184</v>
      </c>
      <c r="BG572" t="s">
        <v>88</v>
      </c>
      <c r="BI572" cm="1">
        <f t="array" ref="BI572">IFERROR(_xlfn._xlws.FILTER(shifts!A:A,(shifts!B:B=events!AD572)*(shifts!AG:AG&gt;=events!BK572)*(shifts!AH:AH&lt;=events!BL572)),BI571)</f>
        <v>28</v>
      </c>
      <c r="BJ572" s="15">
        <f t="shared" si="284"/>
        <v>2</v>
      </c>
      <c r="BK572">
        <f t="shared" si="291"/>
        <v>368</v>
      </c>
      <c r="BL572">
        <f t="shared" si="292"/>
        <v>366</v>
      </c>
      <c r="BM572" s="15">
        <f>SUMIFS(BJ$2:BJ572,K$2:K572,"=Intermission")+SUMIFS(BJ$2:BJ572,K$2:K572,"=Timeout")</f>
        <v>0</v>
      </c>
      <c r="BN572">
        <f t="shared" si="293"/>
        <v>0</v>
      </c>
      <c r="BO572" s="19">
        <f t="shared" si="294"/>
        <v>712</v>
      </c>
      <c r="BP572">
        <f t="shared" si="295"/>
        <v>707</v>
      </c>
      <c r="BQ572" s="17">
        <f t="shared" si="296"/>
        <v>714</v>
      </c>
      <c r="BR572" t="str">
        <f t="shared" si="297"/>
        <v>event_team_player_1</v>
      </c>
      <c r="BS572">
        <f>COUNTIFS(S$3:S572,"="&amp;S572,AI$3:AI572,"="&amp;AI572)</f>
        <v>1</v>
      </c>
      <c r="BT572" t="str">
        <f>IFERROR(VLOOKUP(BB572&amp;BU572&amp;X572,game_rosters!U:W,3,FALSE),"")</f>
        <v>P100078</v>
      </c>
      <c r="BU572" t="str">
        <f t="shared" si="298"/>
        <v>Nelson</v>
      </c>
    </row>
    <row r="573" spans="1:73" x14ac:dyDescent="0.2">
      <c r="A573">
        <f t="shared" si="285"/>
        <v>1</v>
      </c>
      <c r="E573" s="4"/>
      <c r="F573" s="43"/>
      <c r="G573" s="4"/>
      <c r="H573" s="46"/>
      <c r="J573" s="44" t="str">
        <f t="shared" si="299"/>
        <v>d</v>
      </c>
      <c r="K573" t="s">
        <v>238</v>
      </c>
      <c r="L573" t="s">
        <v>184</v>
      </c>
      <c r="M573" t="s">
        <v>88</v>
      </c>
      <c r="N573" t="str">
        <f t="shared" si="302"/>
        <v>s</v>
      </c>
      <c r="Q573" t="str">
        <f t="shared" si="300"/>
        <v/>
      </c>
      <c r="S573">
        <v>300</v>
      </c>
      <c r="U573" t="str">
        <f>IF(B573=1,MAX($U$2:$U572)+1,IF(AND($T573&lt;&gt;"",$T573=$T572),$U572,IF(B573="x",U572,"")))</f>
        <v/>
      </c>
      <c r="V573" t="str">
        <f>IF(C573=1,MAX($V$2:$V572)+1,IF(AND($T573&lt;&gt;"",$T573=$T572),$U572,IF(C573="x",V572,"")))</f>
        <v/>
      </c>
      <c r="W573" t="str">
        <f t="shared" si="274"/>
        <v>h</v>
      </c>
      <c r="X573">
        <v>75</v>
      </c>
      <c r="Y573" t="e">
        <f>IF(X573&lt;&gt;"",VLOOKUP(X573,game_rosters!$C$43:$E$64,3,FALSE))</f>
        <v>#N/A</v>
      </c>
      <c r="Z573" t="str" cm="1">
        <f t="array" ref="Z573">IFERROR(IF(_xlfn._xlws.FILTER(game_rosters!$J:$J,(game_rosters!$G:$G=events!$AN573)*(game_rosters!$J:$J=events!$X573))&gt;0,1,""),"")</f>
        <v/>
      </c>
      <c r="AA573">
        <f t="shared" si="275"/>
        <v>1300</v>
      </c>
      <c r="AB573" t="str">
        <f t="shared" si="276"/>
        <v/>
      </c>
      <c r="AC573">
        <f t="shared" si="273"/>
        <v>1300</v>
      </c>
      <c r="AD573" s="6">
        <v>1</v>
      </c>
      <c r="AE573" t="s">
        <v>938</v>
      </c>
      <c r="AF573" t="s">
        <v>939</v>
      </c>
      <c r="AG573" t="s">
        <v>938</v>
      </c>
      <c r="AH573" t="s">
        <v>911</v>
      </c>
      <c r="AI573" t="s">
        <v>368</v>
      </c>
      <c r="AJ573" t="str">
        <f t="shared" si="304"/>
        <v>d</v>
      </c>
      <c r="AK573" t="str">
        <f t="shared" si="304"/>
        <v>d</v>
      </c>
      <c r="AL573" t="str">
        <f t="shared" si="278"/>
        <v>d</v>
      </c>
      <c r="AN573" t="s">
        <v>861</v>
      </c>
      <c r="AO573" t="str">
        <f t="shared" si="279"/>
        <v>h</v>
      </c>
      <c r="AP573" t="str">
        <f t="shared" si="286"/>
        <v>d</v>
      </c>
      <c r="AQ573" t="str">
        <f t="shared" si="287"/>
        <v/>
      </c>
      <c r="AR573" t="str">
        <f t="shared" si="288"/>
        <v>Home</v>
      </c>
      <c r="AS573" t="str">
        <f t="shared" si="289"/>
        <v>h</v>
      </c>
      <c r="AT573" t="str">
        <f t="shared" si="290"/>
        <v>Defensive</v>
      </c>
      <c r="BA573" s="6">
        <f t="shared" si="280"/>
        <v>146</v>
      </c>
      <c r="BB573">
        <f t="shared" si="281"/>
        <v>18981</v>
      </c>
      <c r="BC573" t="str">
        <f t="shared" si="282"/>
        <v>Nelson</v>
      </c>
      <c r="BD573" t="str">
        <f t="shared" si="283"/>
        <v>Velodrome</v>
      </c>
      <c r="BE573" t="s">
        <v>238</v>
      </c>
      <c r="BF573" t="s">
        <v>184</v>
      </c>
      <c r="BG573" t="s">
        <v>88</v>
      </c>
      <c r="BI573" cm="1">
        <f t="array" ref="BI573">IFERROR(_xlfn._xlws.FILTER(shifts!A:A,(shifts!B:B=events!AD573)*(shifts!AG:AG&gt;=events!BK573)*(shifts!AH:AH&lt;=events!BL573)),BI572)</f>
        <v>28</v>
      </c>
      <c r="BJ573" s="15">
        <f t="shared" si="284"/>
        <v>2</v>
      </c>
      <c r="BK573">
        <f t="shared" si="291"/>
        <v>368</v>
      </c>
      <c r="BL573">
        <f t="shared" si="292"/>
        <v>366</v>
      </c>
      <c r="BM573" s="15">
        <f>SUMIFS(BJ$2:BJ573,K$2:K573,"=Intermission")+SUMIFS(BJ$2:BJ573,K$2:K573,"=Timeout")</f>
        <v>0</v>
      </c>
      <c r="BN573">
        <f t="shared" si="293"/>
        <v>0</v>
      </c>
      <c r="BO573" s="19">
        <f t="shared" si="294"/>
        <v>712</v>
      </c>
      <c r="BP573">
        <f t="shared" si="295"/>
        <v>707</v>
      </c>
      <c r="BQ573" s="17">
        <f t="shared" si="296"/>
        <v>714</v>
      </c>
      <c r="BR573" t="str">
        <f t="shared" si="297"/>
        <v>opp_team_player_1</v>
      </c>
      <c r="BS573">
        <f>COUNTIFS(S$3:S573,"="&amp;S573,AI$3:AI573,"="&amp;AI573)</f>
        <v>1</v>
      </c>
      <c r="BT573" t="str">
        <f>IFERROR(VLOOKUP(BB573&amp;BU573&amp;X573,game_rosters!U:W,3,FALSE),"")</f>
        <v>P100039</v>
      </c>
      <c r="BU573" t="str">
        <f t="shared" si="298"/>
        <v>Velodrome</v>
      </c>
    </row>
    <row r="574" spans="1:73" x14ac:dyDescent="0.2">
      <c r="A574">
        <f t="shared" si="285"/>
        <v>1</v>
      </c>
      <c r="E574" s="4"/>
      <c r="F574" s="43"/>
      <c r="G574" s="4"/>
      <c r="H574" s="46"/>
      <c r="J574" s="44" t="str">
        <f t="shared" si="299"/>
        <v/>
      </c>
      <c r="K574" t="s">
        <v>13</v>
      </c>
      <c r="L574" t="s">
        <v>756</v>
      </c>
      <c r="M574" t="s">
        <v>756</v>
      </c>
      <c r="N574" t="str">
        <f t="shared" si="302"/>
        <v/>
      </c>
      <c r="Q574" t="str">
        <f t="shared" si="300"/>
        <v/>
      </c>
      <c r="S574">
        <v>301</v>
      </c>
      <c r="U574" t="str">
        <f>IF(B574=1,MAX($U$2:$U573)+1,IF(AND($T574&lt;&gt;"",$T574=$T573),$U573,IF(B574="x",U573,"")))</f>
        <v/>
      </c>
      <c r="V574" t="str">
        <f>IF(C574=1,MAX($V$2:$V573)+1,IF(AND($T574&lt;&gt;"",$T574=$T573),$U573,IF(C574="x",V573,"")))</f>
        <v/>
      </c>
      <c r="W574" t="str">
        <f t="shared" si="274"/>
        <v>h</v>
      </c>
      <c r="X574">
        <v>10</v>
      </c>
      <c r="Y574" t="b">
        <f>IF(X574&lt;&gt;"",VLOOKUP(X574,game_rosters!$C$43:$E$64,3,FALSE))</f>
        <v>0</v>
      </c>
      <c r="Z574" cm="1">
        <f t="array" ref="Z574">IFERROR(IF(_xlfn._xlws.FILTER(game_rosters!$J:$J,(game_rosters!$G:$G=events!$AN574)*(game_rosters!$J:$J=events!$X574))&gt;0,1,""),"")</f>
        <v>1</v>
      </c>
      <c r="AA574">
        <f t="shared" si="275"/>
        <v>1301</v>
      </c>
      <c r="AB574" t="str">
        <f t="shared" si="276"/>
        <v/>
      </c>
      <c r="AC574">
        <f t="shared" si="273"/>
        <v>1301</v>
      </c>
      <c r="AD574" s="6">
        <v>1</v>
      </c>
      <c r="AE574" t="s">
        <v>938</v>
      </c>
      <c r="AF574" t="s">
        <v>911</v>
      </c>
      <c r="AG574" t="s">
        <v>938</v>
      </c>
      <c r="AH574" t="s">
        <v>912</v>
      </c>
      <c r="AI574" t="s">
        <v>367</v>
      </c>
      <c r="AJ574" t="str">
        <f t="shared" si="304"/>
        <v/>
      </c>
      <c r="AK574" t="str">
        <f t="shared" si="304"/>
        <v/>
      </c>
      <c r="AL574" t="str">
        <f t="shared" si="278"/>
        <v/>
      </c>
      <c r="AN574" t="s">
        <v>861</v>
      </c>
      <c r="AO574" t="str">
        <f t="shared" si="279"/>
        <v>h</v>
      </c>
      <c r="AP574" t="str">
        <f t="shared" si="286"/>
        <v/>
      </c>
      <c r="AQ574" t="str">
        <f t="shared" si="287"/>
        <v/>
      </c>
      <c r="AR574" t="str">
        <f t="shared" si="288"/>
        <v>Home</v>
      </c>
      <c r="AS574" t="str">
        <f t="shared" si="289"/>
        <v>h</v>
      </c>
      <c r="AT574" t="str">
        <f t="shared" si="290"/>
        <v>Offensive</v>
      </c>
      <c r="BA574" s="6">
        <f t="shared" si="280"/>
        <v>146</v>
      </c>
      <c r="BB574">
        <f t="shared" si="281"/>
        <v>18981</v>
      </c>
      <c r="BC574" t="str">
        <f t="shared" si="282"/>
        <v>Nelson</v>
      </c>
      <c r="BD574" t="str">
        <f t="shared" si="283"/>
        <v>Velodrome</v>
      </c>
      <c r="BE574" t="s">
        <v>13</v>
      </c>
      <c r="BF574" t="s">
        <v>756</v>
      </c>
      <c r="BG574" t="s">
        <v>756</v>
      </c>
      <c r="BI574" cm="1">
        <f t="array" ref="BI574">IFERROR(_xlfn._xlws.FILTER(shifts!A:A,(shifts!B:B=events!AD574)*(shifts!AG:AG&gt;=events!BK574)*(shifts!AH:AH&lt;=events!BL574)),BI573)</f>
        <v>28</v>
      </c>
      <c r="BJ574" s="15">
        <f t="shared" si="284"/>
        <v>1</v>
      </c>
      <c r="BK574">
        <f t="shared" si="291"/>
        <v>366</v>
      </c>
      <c r="BL574">
        <f t="shared" si="292"/>
        <v>365</v>
      </c>
      <c r="BM574" s="15">
        <f>SUMIFS(BJ$2:BJ574,K$2:K574,"=Intermission")+SUMIFS(BJ$2:BJ574,K$2:K574,"=Timeout")</f>
        <v>0</v>
      </c>
      <c r="BN574">
        <f t="shared" si="293"/>
        <v>0</v>
      </c>
      <c r="BO574" s="19">
        <f t="shared" si="294"/>
        <v>714</v>
      </c>
      <c r="BP574">
        <f t="shared" si="295"/>
        <v>709</v>
      </c>
      <c r="BQ574" s="17">
        <f t="shared" si="296"/>
        <v>715</v>
      </c>
      <c r="BR574" t="str">
        <f t="shared" si="297"/>
        <v>event_team_player_1</v>
      </c>
      <c r="BS574">
        <f>COUNTIFS(S$3:S574,"="&amp;S574,AI$3:AI574,"="&amp;AI574)</f>
        <v>1</v>
      </c>
      <c r="BT574" t="str">
        <f>IFERROR(VLOOKUP(BB574&amp;BU574&amp;X574,game_rosters!U:W,3,FALSE),"")</f>
        <v>P100078</v>
      </c>
      <c r="BU574" t="str">
        <f t="shared" si="298"/>
        <v>Nelson</v>
      </c>
    </row>
    <row r="575" spans="1:73" x14ac:dyDescent="0.2">
      <c r="A575">
        <f t="shared" si="285"/>
        <v>1</v>
      </c>
      <c r="E575" s="4"/>
      <c r="F575" s="43"/>
      <c r="G575" s="4"/>
      <c r="H575" s="46"/>
      <c r="J575" s="44" t="str">
        <f t="shared" si="299"/>
        <v/>
      </c>
      <c r="K575" t="s">
        <v>13</v>
      </c>
      <c r="L575" t="s">
        <v>756</v>
      </c>
      <c r="M575" t="s">
        <v>756</v>
      </c>
      <c r="N575" t="str">
        <f t="shared" si="302"/>
        <v/>
      </c>
      <c r="Q575" t="str">
        <f t="shared" si="300"/>
        <v/>
      </c>
      <c r="S575">
        <v>301</v>
      </c>
      <c r="U575" t="str">
        <f>IF(B575=1,MAX($U$2:$U574)+1,IF(AND($T575&lt;&gt;"",$T575=$T574),$U574,IF(B575="x",U574,"")))</f>
        <v/>
      </c>
      <c r="V575" t="str">
        <f>IF(C575=1,MAX($V$2:$V574)+1,IF(AND($T575&lt;&gt;"",$T575=$T574),$U574,IF(C575="x",V574,"")))</f>
        <v/>
      </c>
      <c r="W575" t="str">
        <f t="shared" si="274"/>
        <v>h</v>
      </c>
      <c r="X575">
        <v>22</v>
      </c>
      <c r="Y575" t="e">
        <f>IF(X575&lt;&gt;"",VLOOKUP(X575,game_rosters!$C$43:$E$64,3,FALSE))</f>
        <v>#N/A</v>
      </c>
      <c r="Z575" t="str" cm="1">
        <f t="array" ref="Z575">IFERROR(IF(_xlfn._xlws.FILTER(game_rosters!$J:$J,(game_rosters!$G:$G=events!$AN575)*(game_rosters!$J:$J=events!$X575))&gt;0,1,""),"")</f>
        <v/>
      </c>
      <c r="AA575">
        <f t="shared" si="275"/>
        <v>1301</v>
      </c>
      <c r="AB575" t="str">
        <f t="shared" si="276"/>
        <v/>
      </c>
      <c r="AC575">
        <f t="shared" si="273"/>
        <v>1301</v>
      </c>
      <c r="AD575" s="6">
        <v>1</v>
      </c>
      <c r="AE575" t="s">
        <v>938</v>
      </c>
      <c r="AF575" t="s">
        <v>911</v>
      </c>
      <c r="AG575" t="s">
        <v>938</v>
      </c>
      <c r="AH575" t="s">
        <v>912</v>
      </c>
      <c r="AI575" t="s">
        <v>368</v>
      </c>
      <c r="AJ575" t="str">
        <f t="shared" si="304"/>
        <v/>
      </c>
      <c r="AK575" t="str">
        <f t="shared" si="304"/>
        <v/>
      </c>
      <c r="AL575" t="str">
        <f t="shared" si="278"/>
        <v/>
      </c>
      <c r="AN575" t="s">
        <v>861</v>
      </c>
      <c r="AO575" t="str">
        <f t="shared" si="279"/>
        <v>h</v>
      </c>
      <c r="AP575" t="str">
        <f t="shared" si="286"/>
        <v/>
      </c>
      <c r="AQ575" t="str">
        <f t="shared" si="287"/>
        <v/>
      </c>
      <c r="AR575" t="str">
        <f t="shared" si="288"/>
        <v>Home</v>
      </c>
      <c r="AS575" t="str">
        <f t="shared" si="289"/>
        <v>h</v>
      </c>
      <c r="AT575" t="str">
        <f t="shared" si="290"/>
        <v>Defensive</v>
      </c>
      <c r="BA575" s="6">
        <f t="shared" si="280"/>
        <v>146</v>
      </c>
      <c r="BB575">
        <f t="shared" si="281"/>
        <v>18981</v>
      </c>
      <c r="BC575" t="str">
        <f t="shared" si="282"/>
        <v>Nelson</v>
      </c>
      <c r="BD575" t="str">
        <f t="shared" si="283"/>
        <v>Velodrome</v>
      </c>
      <c r="BE575" t="s">
        <v>13</v>
      </c>
      <c r="BF575" t="s">
        <v>756</v>
      </c>
      <c r="BG575" t="s">
        <v>756</v>
      </c>
      <c r="BI575" cm="1">
        <f t="array" ref="BI575">IFERROR(_xlfn._xlws.FILTER(shifts!A:A,(shifts!B:B=events!AD575)*(shifts!AG:AG&gt;=events!BK575)*(shifts!AH:AH&lt;=events!BL575)),BI574)</f>
        <v>28</v>
      </c>
      <c r="BJ575" s="15">
        <f t="shared" si="284"/>
        <v>1</v>
      </c>
      <c r="BK575">
        <f t="shared" si="291"/>
        <v>366</v>
      </c>
      <c r="BL575">
        <f t="shared" si="292"/>
        <v>365</v>
      </c>
      <c r="BM575" s="15">
        <f>SUMIFS(BJ$2:BJ575,K$2:K575,"=Intermission")+SUMIFS(BJ$2:BJ575,K$2:K575,"=Timeout")</f>
        <v>0</v>
      </c>
      <c r="BN575">
        <f t="shared" si="293"/>
        <v>0</v>
      </c>
      <c r="BO575" s="19">
        <f t="shared" si="294"/>
        <v>714</v>
      </c>
      <c r="BP575">
        <f t="shared" si="295"/>
        <v>709</v>
      </c>
      <c r="BQ575" s="17">
        <f t="shared" si="296"/>
        <v>715</v>
      </c>
      <c r="BR575" t="str">
        <f t="shared" si="297"/>
        <v>opp_team_player_1</v>
      </c>
      <c r="BS575">
        <f>COUNTIFS(S$3:S575,"="&amp;S575,AI$3:AI575,"="&amp;AI575)</f>
        <v>1</v>
      </c>
      <c r="BT575" t="str">
        <f>IFERROR(VLOOKUP(BB575&amp;BU575&amp;X575,game_rosters!U:W,3,FALSE),"")</f>
        <v>P100108</v>
      </c>
      <c r="BU575" t="str">
        <f t="shared" si="298"/>
        <v>Velodrome</v>
      </c>
    </row>
    <row r="576" spans="1:73" x14ac:dyDescent="0.2">
      <c r="A576">
        <f t="shared" si="285"/>
        <v>1</v>
      </c>
      <c r="E576" s="4"/>
      <c r="F576" s="43"/>
      <c r="G576" s="4"/>
      <c r="H576" s="46"/>
      <c r="J576" s="44" t="str">
        <f t="shared" si="299"/>
        <v/>
      </c>
      <c r="K576" t="s">
        <v>9</v>
      </c>
      <c r="L576" t="s">
        <v>183</v>
      </c>
      <c r="M576" t="s">
        <v>80</v>
      </c>
      <c r="N576" t="str">
        <f t="shared" si="302"/>
        <v/>
      </c>
      <c r="Q576" t="str">
        <f t="shared" si="300"/>
        <v/>
      </c>
      <c r="S576">
        <v>302</v>
      </c>
      <c r="U576" t="str">
        <f>IF(B576=1,MAX($U$2:$U575)+1,IF(AND($T576&lt;&gt;"",$T576=$T575),$U575,IF(B576="x",U575,"")))</f>
        <v/>
      </c>
      <c r="V576" t="str">
        <f>IF(C576=1,MAX($V$2:$V575)+1,IF(AND($T576&lt;&gt;"",$T576=$T575),$U575,IF(C576="x",V575,"")))</f>
        <v/>
      </c>
      <c r="W576" t="str">
        <f t="shared" si="274"/>
        <v>a</v>
      </c>
      <c r="X576">
        <v>22</v>
      </c>
      <c r="Y576" t="e">
        <f>IF(X576&lt;&gt;"",VLOOKUP(X576,game_rosters!$C$43:$E$64,3,FALSE))</f>
        <v>#N/A</v>
      </c>
      <c r="Z576" cm="1">
        <f t="array" ref="Z576">IFERROR(IF(_xlfn._xlws.FILTER(game_rosters!$J:$J,(game_rosters!$G:$G=events!$AN576)*(game_rosters!$J:$J=events!$X576))&gt;0,1,""),"")</f>
        <v>1</v>
      </c>
      <c r="AA576">
        <f t="shared" si="275"/>
        <v>1302</v>
      </c>
      <c r="AB576" t="str">
        <f t="shared" si="276"/>
        <v/>
      </c>
      <c r="AC576">
        <f t="shared" si="273"/>
        <v>1302</v>
      </c>
      <c r="AD576" s="6">
        <v>1</v>
      </c>
      <c r="AE576" t="s">
        <v>938</v>
      </c>
      <c r="AF576" t="s">
        <v>912</v>
      </c>
      <c r="AG576" t="s">
        <v>756</v>
      </c>
      <c r="AH576" t="s">
        <v>756</v>
      </c>
      <c r="AI576" t="s">
        <v>367</v>
      </c>
      <c r="AJ576" t="str">
        <f t="shared" si="304"/>
        <v/>
      </c>
      <c r="AK576" t="str">
        <f t="shared" si="304"/>
        <v/>
      </c>
      <c r="AL576" t="str">
        <f t="shared" si="278"/>
        <v/>
      </c>
      <c r="AN576" t="s">
        <v>862</v>
      </c>
      <c r="AO576" t="str">
        <f t="shared" si="279"/>
        <v>a</v>
      </c>
      <c r="AP576" t="str">
        <f t="shared" si="286"/>
        <v/>
      </c>
      <c r="AQ576" t="str">
        <f t="shared" si="287"/>
        <v/>
      </c>
      <c r="AR576" t="str">
        <f t="shared" si="288"/>
        <v>Away</v>
      </c>
      <c r="AS576" t="str">
        <f t="shared" si="289"/>
        <v>a</v>
      </c>
      <c r="AT576" t="str">
        <f t="shared" si="290"/>
        <v>Defensive</v>
      </c>
      <c r="BA576" s="6">
        <f t="shared" si="280"/>
        <v>146</v>
      </c>
      <c r="BB576">
        <f t="shared" si="281"/>
        <v>18981</v>
      </c>
      <c r="BC576" t="str">
        <f t="shared" si="282"/>
        <v>Nelson</v>
      </c>
      <c r="BD576" t="str">
        <f t="shared" si="283"/>
        <v>Velodrome</v>
      </c>
      <c r="BE576" t="s">
        <v>9</v>
      </c>
      <c r="BF576" t="s">
        <v>183</v>
      </c>
      <c r="BG576" t="s">
        <v>80</v>
      </c>
      <c r="BI576" cm="1">
        <f t="array" ref="BI576">IFERROR(_xlfn._xlws.FILTER(shifts!A:A,(shifts!B:B=events!AD576)*(shifts!AG:AG&gt;=events!BK576)*(shifts!AH:AH&lt;=events!BL576)),BI575)</f>
        <v>28</v>
      </c>
      <c r="BJ576" s="15">
        <f t="shared" si="284"/>
        <v>0</v>
      </c>
      <c r="BK576">
        <f t="shared" si="291"/>
        <v>365</v>
      </c>
      <c r="BL576">
        <f t="shared" si="292"/>
        <v>365</v>
      </c>
      <c r="BM576" s="15">
        <f>SUMIFS(BJ$2:BJ576,K$2:K576,"=Intermission")+SUMIFS(BJ$2:BJ576,K$2:K576,"=Timeout")</f>
        <v>0</v>
      </c>
      <c r="BN576">
        <f t="shared" si="293"/>
        <v>0</v>
      </c>
      <c r="BO576" s="19">
        <f t="shared" si="294"/>
        <v>715</v>
      </c>
      <c r="BP576">
        <f t="shared" si="295"/>
        <v>710</v>
      </c>
      <c r="BQ576" s="17">
        <f t="shared" si="296"/>
        <v>715</v>
      </c>
      <c r="BR576" t="str">
        <f t="shared" si="297"/>
        <v>event_team_player_1</v>
      </c>
      <c r="BS576">
        <f>COUNTIFS(S$3:S576,"="&amp;S576,AI$3:AI576,"="&amp;AI576)</f>
        <v>1</v>
      </c>
      <c r="BT576" t="str">
        <f>IFERROR(VLOOKUP(BB576&amp;BU576&amp;X576,game_rosters!U:W,3,FALSE),"")</f>
        <v>P100108</v>
      </c>
      <c r="BU576" t="str">
        <f t="shared" si="298"/>
        <v>Velodrome</v>
      </c>
    </row>
    <row r="577" spans="1:73" x14ac:dyDescent="0.2">
      <c r="A577">
        <f t="shared" si="285"/>
        <v>1</v>
      </c>
      <c r="E577" s="4"/>
      <c r="F577" s="43"/>
      <c r="G577" s="4"/>
      <c r="H577" s="46"/>
      <c r="J577" s="44" t="str">
        <f t="shared" si="299"/>
        <v/>
      </c>
      <c r="K577" t="s">
        <v>9</v>
      </c>
      <c r="L577" t="s">
        <v>183</v>
      </c>
      <c r="M577" t="s">
        <v>80</v>
      </c>
      <c r="N577" t="str">
        <f t="shared" si="302"/>
        <v/>
      </c>
      <c r="Q577" t="str">
        <f t="shared" si="300"/>
        <v/>
      </c>
      <c r="S577">
        <v>302</v>
      </c>
      <c r="U577" t="str">
        <f>IF(B577=1,MAX($U$2:$U576)+1,IF(AND($T577&lt;&gt;"",$T577=$T576),$U576,IF(B577="x",U576,"")))</f>
        <v/>
      </c>
      <c r="V577" t="str">
        <f>IF(C577=1,MAX($V$2:$V576)+1,IF(AND($T577&lt;&gt;"",$T577=$T576),$U576,IF(C577="x",V576,"")))</f>
        <v/>
      </c>
      <c r="W577" t="str">
        <f t="shared" si="274"/>
        <v>a</v>
      </c>
      <c r="X577">
        <v>10</v>
      </c>
      <c r="Y577" t="b">
        <f>IF(X577&lt;&gt;"",VLOOKUP(X577,game_rosters!$C$43:$E$64,3,FALSE))</f>
        <v>0</v>
      </c>
      <c r="Z577" t="str" cm="1">
        <f t="array" ref="Z577">IFERROR(IF(_xlfn._xlws.FILTER(game_rosters!$J:$J,(game_rosters!$G:$G=events!$AN577)*(game_rosters!$J:$J=events!$X577))&gt;0,1,""),"")</f>
        <v/>
      </c>
      <c r="AA577">
        <f t="shared" si="275"/>
        <v>1302</v>
      </c>
      <c r="AB577" t="str">
        <f t="shared" si="276"/>
        <v/>
      </c>
      <c r="AC577">
        <f t="shared" si="273"/>
        <v>1302</v>
      </c>
      <c r="AD577" s="6">
        <v>1</v>
      </c>
      <c r="AE577" t="s">
        <v>938</v>
      </c>
      <c r="AF577" t="s">
        <v>912</v>
      </c>
      <c r="AG577" t="s">
        <v>756</v>
      </c>
      <c r="AH577" t="s">
        <v>756</v>
      </c>
      <c r="AI577" t="s">
        <v>368</v>
      </c>
      <c r="AJ577" t="str">
        <f t="shared" si="304"/>
        <v/>
      </c>
      <c r="AK577" t="str">
        <f t="shared" si="304"/>
        <v/>
      </c>
      <c r="AL577" t="str">
        <f t="shared" si="278"/>
        <v/>
      </c>
      <c r="AN577" t="s">
        <v>862</v>
      </c>
      <c r="AO577" t="str">
        <f t="shared" si="279"/>
        <v>a</v>
      </c>
      <c r="AP577" t="str">
        <f t="shared" si="286"/>
        <v/>
      </c>
      <c r="AQ577" t="str">
        <f t="shared" si="287"/>
        <v/>
      </c>
      <c r="AR577" t="str">
        <f t="shared" si="288"/>
        <v>Away</v>
      </c>
      <c r="AS577" t="str">
        <f t="shared" si="289"/>
        <v>a</v>
      </c>
      <c r="AT577" t="str">
        <f t="shared" si="290"/>
        <v>Offensive</v>
      </c>
      <c r="BA577" s="6">
        <f t="shared" si="280"/>
        <v>146</v>
      </c>
      <c r="BB577">
        <f t="shared" si="281"/>
        <v>18981</v>
      </c>
      <c r="BC577" t="str">
        <f t="shared" si="282"/>
        <v>Nelson</v>
      </c>
      <c r="BD577" t="str">
        <f t="shared" si="283"/>
        <v>Velodrome</v>
      </c>
      <c r="BE577" t="s">
        <v>9</v>
      </c>
      <c r="BF577" t="s">
        <v>183</v>
      </c>
      <c r="BG577" t="s">
        <v>80</v>
      </c>
      <c r="BI577" cm="1">
        <f t="array" ref="BI577">IFERROR(_xlfn._xlws.FILTER(shifts!A:A,(shifts!B:B=events!AD577)*(shifts!AG:AG&gt;=events!BK577)*(shifts!AH:AH&lt;=events!BL577)),BI576)</f>
        <v>28</v>
      </c>
      <c r="BJ577" s="15">
        <f t="shared" si="284"/>
        <v>0</v>
      </c>
      <c r="BK577">
        <f t="shared" si="291"/>
        <v>365</v>
      </c>
      <c r="BL577">
        <f t="shared" si="292"/>
        <v>365</v>
      </c>
      <c r="BM577" s="15">
        <f>SUMIFS(BJ$2:BJ577,K$2:K577,"=Intermission")+SUMIFS(BJ$2:BJ577,K$2:K577,"=Timeout")</f>
        <v>0</v>
      </c>
      <c r="BN577">
        <f t="shared" si="293"/>
        <v>0</v>
      </c>
      <c r="BO577" s="19">
        <f t="shared" si="294"/>
        <v>715</v>
      </c>
      <c r="BP577">
        <f t="shared" si="295"/>
        <v>710</v>
      </c>
      <c r="BQ577" s="17">
        <f t="shared" si="296"/>
        <v>715</v>
      </c>
      <c r="BR577" t="str">
        <f t="shared" si="297"/>
        <v>opp_team_player_1</v>
      </c>
      <c r="BS577">
        <f>COUNTIFS(S$3:S577,"="&amp;S577,AI$3:AI577,"="&amp;AI577)</f>
        <v>1</v>
      </c>
      <c r="BT577" t="str">
        <f>IFERROR(VLOOKUP(BB577&amp;BU577&amp;X577,game_rosters!U:W,3,FALSE),"")</f>
        <v>P100078</v>
      </c>
      <c r="BU577" t="str">
        <f t="shared" si="298"/>
        <v>Nelson</v>
      </c>
    </row>
    <row r="578" spans="1:73" x14ac:dyDescent="0.2">
      <c r="A578">
        <f t="shared" si="285"/>
        <v>1</v>
      </c>
      <c r="E578" s="4"/>
      <c r="F578" s="43"/>
      <c r="G578" s="4"/>
      <c r="H578" s="46"/>
      <c r="J578" s="44" t="str">
        <f t="shared" si="299"/>
        <v/>
      </c>
      <c r="K578" t="s">
        <v>13</v>
      </c>
      <c r="L578" t="s">
        <v>756</v>
      </c>
      <c r="M578" t="s">
        <v>756</v>
      </c>
      <c r="N578" t="str">
        <f t="shared" si="302"/>
        <v/>
      </c>
      <c r="Q578" t="str">
        <f t="shared" si="300"/>
        <v/>
      </c>
      <c r="S578">
        <v>303</v>
      </c>
      <c r="U578" t="str">
        <f>IF(B578=1,MAX($U$2:$U577)+1,IF(AND($T578&lt;&gt;"",$T578=$T577),$U577,IF(B578="x",U577,"")))</f>
        <v/>
      </c>
      <c r="V578" t="str">
        <f>IF(C578=1,MAX($V$2:$V577)+1,IF(AND($T578&lt;&gt;"",$T578=$T577),$U577,IF(C578="x",V577,"")))</f>
        <v/>
      </c>
      <c r="W578" t="str">
        <f t="shared" si="274"/>
        <v>a</v>
      </c>
      <c r="X578">
        <v>70</v>
      </c>
      <c r="Y578" t="e">
        <f>IF(X578&lt;&gt;"",VLOOKUP(X578,game_rosters!$C$43:$E$64,3,FALSE))</f>
        <v>#N/A</v>
      </c>
      <c r="Z578" cm="1">
        <f t="array" ref="Z578">IFERROR(IF(_xlfn._xlws.FILTER(game_rosters!$J:$J,(game_rosters!$G:$G=events!$AN578)*(game_rosters!$J:$J=events!$X578))&gt;0,1,""),"")</f>
        <v>1</v>
      </c>
      <c r="AA578">
        <f t="shared" si="275"/>
        <v>1303</v>
      </c>
      <c r="AB578" t="str">
        <f t="shared" si="276"/>
        <v/>
      </c>
      <c r="AC578">
        <f t="shared" ref="AC578:AC641" si="305">IF(AB578&lt;&gt;"",AB578,S578+1000)</f>
        <v>1303</v>
      </c>
      <c r="AD578" s="6">
        <v>1</v>
      </c>
      <c r="AE578" t="s">
        <v>938</v>
      </c>
      <c r="AF578" t="s">
        <v>925</v>
      </c>
      <c r="AG578" t="s">
        <v>938</v>
      </c>
      <c r="AH578" t="s">
        <v>413</v>
      </c>
      <c r="AI578" t="s">
        <v>367</v>
      </c>
      <c r="AJ578" t="str">
        <f t="shared" si="304"/>
        <v/>
      </c>
      <c r="AK578" t="str">
        <f t="shared" si="304"/>
        <v/>
      </c>
      <c r="AL578" t="str">
        <f t="shared" si="278"/>
        <v/>
      </c>
      <c r="AN578" t="s">
        <v>862</v>
      </c>
      <c r="AO578" t="str">
        <f t="shared" si="279"/>
        <v>a</v>
      </c>
      <c r="AP578" t="str">
        <f t="shared" si="286"/>
        <v/>
      </c>
      <c r="AQ578" t="str">
        <f t="shared" si="287"/>
        <v/>
      </c>
      <c r="AR578" t="str">
        <f t="shared" si="288"/>
        <v>Away</v>
      </c>
      <c r="AS578" t="str">
        <f t="shared" si="289"/>
        <v>a</v>
      </c>
      <c r="AT578" t="str">
        <f t="shared" si="290"/>
        <v>Offensive</v>
      </c>
      <c r="BA578" s="6">
        <f t="shared" si="280"/>
        <v>146</v>
      </c>
      <c r="BB578">
        <f t="shared" si="281"/>
        <v>18981</v>
      </c>
      <c r="BC578" t="str">
        <f t="shared" si="282"/>
        <v>Nelson</v>
      </c>
      <c r="BD578" t="str">
        <f t="shared" si="283"/>
        <v>Velodrome</v>
      </c>
      <c r="BE578" t="s">
        <v>13</v>
      </c>
      <c r="BF578" t="s">
        <v>756</v>
      </c>
      <c r="BG578" t="s">
        <v>756</v>
      </c>
      <c r="BI578" cm="1">
        <f t="array" ref="BI578">IFERROR(_xlfn._xlws.FILTER(shifts!A:A,(shifts!B:B=events!AD578)*(shifts!AG:AG&gt;=events!BK578)*(shifts!AH:AH&lt;=events!BL578)),BI577)</f>
        <v>28</v>
      </c>
      <c r="BJ578" s="15">
        <f t="shared" si="284"/>
        <v>3</v>
      </c>
      <c r="BK578">
        <f t="shared" si="291"/>
        <v>363</v>
      </c>
      <c r="BL578">
        <f t="shared" si="292"/>
        <v>360</v>
      </c>
      <c r="BM578" s="15">
        <f>SUMIFS(BJ$2:BJ578,K$2:K578,"=Intermission")+SUMIFS(BJ$2:BJ578,K$2:K578,"=Timeout")</f>
        <v>0</v>
      </c>
      <c r="BN578">
        <f t="shared" si="293"/>
        <v>0</v>
      </c>
      <c r="BO578" s="19">
        <f t="shared" si="294"/>
        <v>717</v>
      </c>
      <c r="BP578">
        <f t="shared" si="295"/>
        <v>712</v>
      </c>
      <c r="BQ578" s="17">
        <f t="shared" si="296"/>
        <v>720</v>
      </c>
      <c r="BR578" t="str">
        <f t="shared" si="297"/>
        <v>event_team_player_1</v>
      </c>
      <c r="BS578">
        <f>COUNTIFS(S$3:S578,"="&amp;S578,AI$3:AI578,"="&amp;AI578)</f>
        <v>1</v>
      </c>
      <c r="BT578" t="str">
        <f>IFERROR(VLOOKUP(BB578&amp;BU578&amp;X578,game_rosters!U:W,3,FALSE),"")</f>
        <v>P100001</v>
      </c>
      <c r="BU578" t="str">
        <f t="shared" si="298"/>
        <v>Velodrome</v>
      </c>
    </row>
    <row r="579" spans="1:73" x14ac:dyDescent="0.2">
      <c r="A579">
        <f t="shared" si="285"/>
        <v>1</v>
      </c>
      <c r="E579" s="4"/>
      <c r="F579" s="43"/>
      <c r="G579" s="4"/>
      <c r="H579" s="46"/>
      <c r="J579" s="44" t="str">
        <f t="shared" si="299"/>
        <v/>
      </c>
      <c r="K579" t="s">
        <v>13</v>
      </c>
      <c r="L579" t="s">
        <v>756</v>
      </c>
      <c r="M579" t="s">
        <v>756</v>
      </c>
      <c r="N579" t="str">
        <f t="shared" si="302"/>
        <v/>
      </c>
      <c r="Q579" t="str">
        <f t="shared" si="300"/>
        <v/>
      </c>
      <c r="S579">
        <v>303</v>
      </c>
      <c r="U579" t="str">
        <f>IF(B579=1,MAX($U$2:$U578)+1,IF(AND($T579&lt;&gt;"",$T579=$T578),$U578,IF(B579="x",U578,"")))</f>
        <v/>
      </c>
      <c r="V579" t="str">
        <f>IF(C579=1,MAX($V$2:$V578)+1,IF(AND($T579&lt;&gt;"",$T579=$T578),$U578,IF(C579="x",V578,"")))</f>
        <v/>
      </c>
      <c r="W579" t="str">
        <f t="shared" si="274"/>
        <v>a</v>
      </c>
      <c r="X579">
        <v>16</v>
      </c>
      <c r="Y579" t="b">
        <f>IF(X579&lt;&gt;"",VLOOKUP(X579,game_rosters!$C$43:$E$64,3,FALSE))</f>
        <v>0</v>
      </c>
      <c r="Z579" t="str" cm="1">
        <f t="array" ref="Z579">IFERROR(IF(_xlfn._xlws.FILTER(game_rosters!$J:$J,(game_rosters!$G:$G=events!$AN579)*(game_rosters!$J:$J=events!$X579))&gt;0,1,""),"")</f>
        <v/>
      </c>
      <c r="AA579">
        <f t="shared" si="275"/>
        <v>1303</v>
      </c>
      <c r="AB579" t="str">
        <f t="shared" si="276"/>
        <v/>
      </c>
      <c r="AC579">
        <f t="shared" si="305"/>
        <v>1303</v>
      </c>
      <c r="AD579" s="6">
        <v>1</v>
      </c>
      <c r="AE579" t="s">
        <v>938</v>
      </c>
      <c r="AF579" t="s">
        <v>925</v>
      </c>
      <c r="AG579" t="s">
        <v>938</v>
      </c>
      <c r="AH579" t="s">
        <v>413</v>
      </c>
      <c r="AI579" t="s">
        <v>368</v>
      </c>
      <c r="AJ579" t="str">
        <f t="shared" si="304"/>
        <v/>
      </c>
      <c r="AK579" t="str">
        <f t="shared" si="304"/>
        <v/>
      </c>
      <c r="AL579" t="str">
        <f t="shared" si="278"/>
        <v/>
      </c>
      <c r="AN579" t="s">
        <v>862</v>
      </c>
      <c r="AO579" t="str">
        <f t="shared" si="279"/>
        <v>a</v>
      </c>
      <c r="AP579" t="str">
        <f t="shared" si="286"/>
        <v/>
      </c>
      <c r="AQ579" t="str">
        <f t="shared" si="287"/>
        <v/>
      </c>
      <c r="AR579" t="str">
        <f t="shared" si="288"/>
        <v>Away</v>
      </c>
      <c r="AS579" t="str">
        <f t="shared" si="289"/>
        <v>a</v>
      </c>
      <c r="AT579" t="str">
        <f t="shared" si="290"/>
        <v>Defensive</v>
      </c>
      <c r="BA579" s="6">
        <f t="shared" si="280"/>
        <v>146</v>
      </c>
      <c r="BB579">
        <f t="shared" si="281"/>
        <v>18981</v>
      </c>
      <c r="BC579" t="str">
        <f t="shared" si="282"/>
        <v>Nelson</v>
      </c>
      <c r="BD579" t="str">
        <f t="shared" si="283"/>
        <v>Velodrome</v>
      </c>
      <c r="BE579" t="s">
        <v>13</v>
      </c>
      <c r="BF579" t="s">
        <v>756</v>
      </c>
      <c r="BG579" t="s">
        <v>756</v>
      </c>
      <c r="BI579" cm="1">
        <f t="array" ref="BI579">IFERROR(_xlfn._xlws.FILTER(shifts!A:A,(shifts!B:B=events!AD579)*(shifts!AG:AG&gt;=events!BK579)*(shifts!AH:AH&lt;=events!BL579)),BI578)</f>
        <v>28</v>
      </c>
      <c r="BJ579" s="15">
        <f t="shared" si="284"/>
        <v>3</v>
      </c>
      <c r="BK579">
        <f t="shared" si="291"/>
        <v>363</v>
      </c>
      <c r="BL579">
        <f t="shared" si="292"/>
        <v>360</v>
      </c>
      <c r="BM579" s="15">
        <f>SUMIFS(BJ$2:BJ579,K$2:K579,"=Intermission")+SUMIFS(BJ$2:BJ579,K$2:K579,"=Timeout")</f>
        <v>0</v>
      </c>
      <c r="BN579">
        <f t="shared" si="293"/>
        <v>0</v>
      </c>
      <c r="BO579" s="19">
        <f t="shared" si="294"/>
        <v>717</v>
      </c>
      <c r="BP579">
        <f t="shared" si="295"/>
        <v>712</v>
      </c>
      <c r="BQ579" s="17">
        <f t="shared" si="296"/>
        <v>720</v>
      </c>
      <c r="BR579" t="str">
        <f t="shared" si="297"/>
        <v>opp_team_player_1</v>
      </c>
      <c r="BS579">
        <f>COUNTIFS(S$3:S579,"="&amp;S579,AI$3:AI579,"="&amp;AI579)</f>
        <v>1</v>
      </c>
      <c r="BT579" t="str">
        <f>IFERROR(VLOOKUP(BB579&amp;BU579&amp;X579,game_rosters!U:W,3,FALSE),"")</f>
        <v>P100164</v>
      </c>
      <c r="BU579" t="str">
        <f t="shared" si="298"/>
        <v>Nelson</v>
      </c>
    </row>
    <row r="580" spans="1:73" x14ac:dyDescent="0.2">
      <c r="A580">
        <f t="shared" si="285"/>
        <v>1</v>
      </c>
      <c r="E580" s="4"/>
      <c r="F580" s="43"/>
      <c r="G580" s="4"/>
      <c r="H580" s="46"/>
      <c r="J580" s="44" t="str">
        <f t="shared" si="299"/>
        <v/>
      </c>
      <c r="K580" t="s">
        <v>7</v>
      </c>
      <c r="L580" t="s">
        <v>172</v>
      </c>
      <c r="M580" t="s">
        <v>67</v>
      </c>
      <c r="N580" t="str">
        <f t="shared" si="302"/>
        <v>s</v>
      </c>
      <c r="Q580" t="str">
        <f t="shared" si="300"/>
        <v/>
      </c>
      <c r="S580">
        <v>304</v>
      </c>
      <c r="U580" t="str">
        <f>IF(B580=1,MAX($U$2:$U579)+1,IF(AND($T580&lt;&gt;"",$T580=$T579),$U579,IF(B580="x",U579,"")))</f>
        <v/>
      </c>
      <c r="V580" t="str">
        <f>IF(C580=1,MAX($V$2:$V579)+1,IF(AND($T580&lt;&gt;"",$T580=$T579),$U579,IF(C580="x",V579,"")))</f>
        <v/>
      </c>
      <c r="W580" t="str">
        <f t="shared" ref="W580:W643" si="306">IF(AN580="Away","a",IF(AN580="Home","h",""))</f>
        <v>a</v>
      </c>
      <c r="X580">
        <v>70</v>
      </c>
      <c r="Y580" t="e">
        <f>IF(X580&lt;&gt;"",VLOOKUP(X580,game_rosters!$C$43:$E$64,3,FALSE))</f>
        <v>#N/A</v>
      </c>
      <c r="Z580" cm="1">
        <f t="array" ref="Z580">IFERROR(IF(_xlfn._xlws.FILTER(game_rosters!$J:$J,(game_rosters!$G:$G=events!$AN580)*(game_rosters!$J:$J=events!$X580))&gt;0,1,""),"")</f>
        <v>1</v>
      </c>
      <c r="AA580">
        <f t="shared" ref="AA580:AA643" si="307">S580+1000</f>
        <v>1304</v>
      </c>
      <c r="AB580" t="str">
        <f t="shared" ref="AB580:AB643" si="308">IF(T580&lt;&gt;"",9000+T580,"")</f>
        <v/>
      </c>
      <c r="AC580">
        <f t="shared" si="305"/>
        <v>1304</v>
      </c>
      <c r="AD580" s="6">
        <v>1</v>
      </c>
      <c r="AE580" t="s">
        <v>752</v>
      </c>
      <c r="AF580" t="s">
        <v>896</v>
      </c>
      <c r="AG580" t="s">
        <v>756</v>
      </c>
      <c r="AH580" t="s">
        <v>756</v>
      </c>
      <c r="AI580" t="s">
        <v>367</v>
      </c>
      <c r="AJ580" t="str">
        <f t="shared" ref="AJ580:AK595" si="309">IF($J580&lt;&gt;"",$J580,IF($AC580=$AC579,AJ579,""))</f>
        <v/>
      </c>
      <c r="AK580" t="str">
        <f t="shared" si="309"/>
        <v/>
      </c>
      <c r="AL580" t="str">
        <f t="shared" ref="AL580:AL643" si="310">IF($W580="","",IF($AJ580="","",IF($W580="h",$AJ580,IF($AJ580="n","n",IF(AND($W580="a",$AJ580="d"),"o",IF(AND($W580="a",$AJ580="o"),"d"))))))</f>
        <v/>
      </c>
      <c r="AN580" t="s">
        <v>862</v>
      </c>
      <c r="AO580" t="str">
        <f t="shared" ref="AO580:AO643" si="311">IF($W580&lt;&gt;"",$W580,IF($AC580=$AC579,AO579,""))</f>
        <v>a</v>
      </c>
      <c r="AP580" t="str">
        <f t="shared" si="286"/>
        <v/>
      </c>
      <c r="AQ580" t="str">
        <f t="shared" si="287"/>
        <v/>
      </c>
      <c r="AR580" t="str">
        <f t="shared" si="288"/>
        <v>Away</v>
      </c>
      <c r="AS580" t="str">
        <f t="shared" si="289"/>
        <v>a</v>
      </c>
      <c r="AT580" t="str">
        <f t="shared" si="290"/>
        <v>Offensive</v>
      </c>
      <c r="BA580" s="6">
        <f t="shared" ref="BA580:BA643" si="312">IF(OR(L580="Zone_Entry",L580="Zone_Exit"),BA579+1,BA579)</f>
        <v>146</v>
      </c>
      <c r="BB580">
        <f t="shared" ref="BB580:BB643" si="313">BB579</f>
        <v>18981</v>
      </c>
      <c r="BC580" t="str">
        <f t="shared" ref="BC580:BC643" si="314">BC579</f>
        <v>Nelson</v>
      </c>
      <c r="BD580" t="str">
        <f t="shared" ref="BD580:BD643" si="315">BD579</f>
        <v>Velodrome</v>
      </c>
      <c r="BE580" t="s">
        <v>7</v>
      </c>
      <c r="BF580" t="s">
        <v>172</v>
      </c>
      <c r="BG580" t="s">
        <v>67</v>
      </c>
      <c r="BI580" cm="1">
        <f t="array" ref="BI580">IFERROR(_xlfn._xlws.FILTER(shifts!A:A,(shifts!B:B=events!AD580)*(shifts!AG:AG&gt;=events!BK580)*(shifts!AH:AH&lt;=events!BL580)),BI579)</f>
        <v>29</v>
      </c>
      <c r="BJ580" s="15">
        <f t="shared" ref="BJ580:BJ643" si="316">IF(AND(AG580="",AH580=""),0,((AE580*60)+AF580)-((AG580*60)+AH580))</f>
        <v>0</v>
      </c>
      <c r="BK580">
        <f t="shared" si="291"/>
        <v>359</v>
      </c>
      <c r="BL580">
        <f t="shared" si="292"/>
        <v>359</v>
      </c>
      <c r="BM580" s="15">
        <f>SUMIFS(BJ$2:BJ580,K$2:K580,"=Intermission")+SUMIFS(BJ$2:BJ580,K$2:K580,"=Timeout")</f>
        <v>0</v>
      </c>
      <c r="BN580">
        <f t="shared" si="293"/>
        <v>0</v>
      </c>
      <c r="BO580" s="19">
        <f t="shared" si="294"/>
        <v>721</v>
      </c>
      <c r="BP580">
        <f t="shared" si="295"/>
        <v>716</v>
      </c>
      <c r="BQ580" s="17">
        <f t="shared" si="296"/>
        <v>721</v>
      </c>
      <c r="BR580" t="str">
        <f t="shared" si="297"/>
        <v>event_team_player_1</v>
      </c>
      <c r="BS580">
        <f>COUNTIFS(S$3:S580,"="&amp;S580,AI$3:AI580,"="&amp;AI580)</f>
        <v>1</v>
      </c>
      <c r="BT580" t="str">
        <f>IFERROR(VLOOKUP(BB580&amp;BU580&amp;X580,game_rosters!U:W,3,FALSE),"")</f>
        <v>P100001</v>
      </c>
      <c r="BU580" t="str">
        <f t="shared" si="298"/>
        <v>Velodrome</v>
      </c>
    </row>
    <row r="581" spans="1:73" x14ac:dyDescent="0.2">
      <c r="A581">
        <f t="shared" ref="A581:A644" si="317">IF(K581&lt;&gt;"",1,IF(D581="x","x",""))</f>
        <v>1</v>
      </c>
      <c r="E581" s="4"/>
      <c r="F581" s="43"/>
      <c r="G581" s="4"/>
      <c r="H581" s="46"/>
      <c r="J581" s="44" t="str">
        <f t="shared" si="299"/>
        <v/>
      </c>
      <c r="K581" t="s">
        <v>7</v>
      </c>
      <c r="L581" t="s">
        <v>172</v>
      </c>
      <c r="M581" t="s">
        <v>67</v>
      </c>
      <c r="N581" t="str">
        <f t="shared" si="302"/>
        <v>s</v>
      </c>
      <c r="Q581" t="str">
        <f t="shared" si="300"/>
        <v/>
      </c>
      <c r="S581">
        <v>304</v>
      </c>
      <c r="U581" t="str">
        <f>IF(B581=1,MAX($U$2:$U580)+1,IF(AND($T581&lt;&gt;"",$T581=$T580),$U580,IF(B581="x",U580,"")))</f>
        <v/>
      </c>
      <c r="V581" t="str">
        <f>IF(C581=1,MAX($V$2:$V580)+1,IF(AND($T581&lt;&gt;"",$T581=$T580),$U580,IF(C581="x",V580,"")))</f>
        <v/>
      </c>
      <c r="W581" t="str">
        <f t="shared" si="306"/>
        <v>a</v>
      </c>
      <c r="X581">
        <v>75</v>
      </c>
      <c r="Y581" t="e">
        <f>IF(X581&lt;&gt;"",VLOOKUP(X581,game_rosters!$C$43:$E$64,3,FALSE))</f>
        <v>#N/A</v>
      </c>
      <c r="Z581" cm="1">
        <f t="array" ref="Z581">IFERROR(IF(_xlfn._xlws.FILTER(game_rosters!$J:$J,(game_rosters!$G:$G=events!$AN581)*(game_rosters!$J:$J=events!$X581))&gt;0,1,""),"")</f>
        <v>1</v>
      </c>
      <c r="AA581">
        <f t="shared" si="307"/>
        <v>1304</v>
      </c>
      <c r="AB581" t="str">
        <f t="shared" si="308"/>
        <v/>
      </c>
      <c r="AC581">
        <f t="shared" si="305"/>
        <v>1304</v>
      </c>
      <c r="AD581" s="6">
        <v>1</v>
      </c>
      <c r="AE581" t="s">
        <v>752</v>
      </c>
      <c r="AF581" t="s">
        <v>896</v>
      </c>
      <c r="AG581" t="s">
        <v>756</v>
      </c>
      <c r="AH581" t="s">
        <v>756</v>
      </c>
      <c r="AI581" t="s">
        <v>367</v>
      </c>
      <c r="AJ581" t="str">
        <f t="shared" si="309"/>
        <v/>
      </c>
      <c r="AK581" t="str">
        <f t="shared" si="309"/>
        <v/>
      </c>
      <c r="AL581" t="str">
        <f t="shared" si="310"/>
        <v/>
      </c>
      <c r="AN581" t="s">
        <v>862</v>
      </c>
      <c r="AO581" t="str">
        <f t="shared" si="311"/>
        <v>a</v>
      </c>
      <c r="AP581" t="str">
        <f t="shared" ref="AP581:AP644" si="318">IF(AL581&lt;&gt;"",AL581,IF($AC581=$AC580,AP580,""))</f>
        <v/>
      </c>
      <c r="AQ581" t="str">
        <f t="shared" ref="AQ581:AQ644" si="319">IF(AM581&lt;&gt;"",AM581,IF($AC581=$AC580,AQ580,""))</f>
        <v/>
      </c>
      <c r="AR581" t="str">
        <f t="shared" ref="AR581:AR644" si="320">IF(AN581&lt;&gt;"",AN581,IF($AC581=$AC580,AR580,""))</f>
        <v>Away</v>
      </c>
      <c r="AS581" t="str">
        <f t="shared" ref="AS581:AS644" si="321">IF(AO581&lt;&gt;"",AO581,IF($AC581=$AC580,AS580,""))</f>
        <v>a</v>
      </c>
      <c r="AT581" t="str">
        <f t="shared" ref="AT581:AT644" si="322">IF(AND(AI581="e",OR(BE581="Save",BF581="Turnover_Takeaway",BF581="Play_Defensive")),"Defensive",IF(AND(AI581="o",OR(BE581="Save",BF581="Turnover_Takeaway",BF581="Play_Defensive")),"Offensive",IF(OR(BE581="Deadice",BE581="Stoppage",BE581="Intermission"),"",IF(AI581="e","Offensive",IF(AI581="o","Defensive","")))))</f>
        <v>Offensive</v>
      </c>
      <c r="BA581" s="6">
        <f t="shared" si="312"/>
        <v>146</v>
      </c>
      <c r="BB581">
        <f t="shared" si="313"/>
        <v>18981</v>
      </c>
      <c r="BC581" t="str">
        <f t="shared" si="314"/>
        <v>Nelson</v>
      </c>
      <c r="BD581" t="str">
        <f t="shared" si="315"/>
        <v>Velodrome</v>
      </c>
      <c r="BE581" t="s">
        <v>7</v>
      </c>
      <c r="BF581" t="s">
        <v>172</v>
      </c>
      <c r="BG581" t="s">
        <v>67</v>
      </c>
      <c r="BI581" cm="1">
        <f t="array" ref="BI581">IFERROR(_xlfn._xlws.FILTER(shifts!A:A,(shifts!B:B=events!AD581)*(shifts!AG:AG&gt;=events!BK581)*(shifts!AH:AH&lt;=events!BL581)),BI580)</f>
        <v>29</v>
      </c>
      <c r="BJ581" s="15">
        <f t="shared" si="316"/>
        <v>0</v>
      </c>
      <c r="BK581">
        <f t="shared" ref="BK581:BK644" si="323">(AE581*60)+AF581</f>
        <v>359</v>
      </c>
      <c r="BL581">
        <f t="shared" ref="BL581:BL644" si="324">IF(AND(AG581="",AH581=""),BK581,((AG581*60)+AH581))</f>
        <v>359</v>
      </c>
      <c r="BM581" s="15">
        <f>SUMIFS(BJ$2:BJ581,K$2:K581,"=Intermission")+SUMIFS(BJ$2:BJ581,K$2:K581,"=Timeout")</f>
        <v>0</v>
      </c>
      <c r="BN581">
        <f t="shared" ref="BN581:BN644" si="325">IF(AD581=1,0,IF(AD581=2,1080+BM581,IF(AD581=3,(1080*2)+BM581,0)))</f>
        <v>0</v>
      </c>
      <c r="BO581" s="19">
        <f t="shared" ref="BO581:BO644" si="326">IF(K581="Intermission",BO580,((1080)-((AE581*60)+AF581))+BN581)</f>
        <v>721</v>
      </c>
      <c r="BP581">
        <f t="shared" ref="BP581:BP644" si="327">IF(BO581&lt;5,0,BO581-5)</f>
        <v>716</v>
      </c>
      <c r="BQ581" s="17">
        <f t="shared" ref="BQ581:BQ644" si="328">BP581+BJ581+5</f>
        <v>721</v>
      </c>
      <c r="BR581" t="str">
        <f t="shared" ref="BR581:BR644" si="329">IF(AI581="e","event_team_player_"&amp;BS581,IF(AI581="o","opp_team_player_"&amp;BS581,""))</f>
        <v>event_team_player_2</v>
      </c>
      <c r="BS581">
        <f>COUNTIFS(S$3:S581,"="&amp;S581,AI$3:AI581,"="&amp;AI581)</f>
        <v>2</v>
      </c>
      <c r="BT581" t="str">
        <f>IFERROR(VLOOKUP(BB581&amp;BU581&amp;X581,game_rosters!U:W,3,FALSE),"")</f>
        <v>P100039</v>
      </c>
      <c r="BU581" t="str">
        <f t="shared" ref="BU581:BU644" si="330">IF(AR581="","",IF(AND(AR581="Away",AI581="e"),BD581,IF(AND(AR581="Home",AI581="e"),BC581,IF(AND(AR581="Away",AI581="o"),BC581,IF(AND(AR581="Home",AI581="o"),BD581)))))</f>
        <v>Velodrome</v>
      </c>
    </row>
    <row r="582" spans="1:73" x14ac:dyDescent="0.2">
      <c r="A582">
        <f t="shared" si="317"/>
        <v>1</v>
      </c>
      <c r="E582" s="4"/>
      <c r="F582" s="43"/>
      <c r="G582" s="4"/>
      <c r="H582" s="46"/>
      <c r="J582" s="44" t="str">
        <f t="shared" ref="J582:J645" si="331">IF(OR(K582="Goal",K582="Shot",L582="Zone_Entry",M582="Stoppage-Goal",M581="Stoppage-Goal"),"o",IF(OR(K582="Save",K582="Rebound",L582="Zone_Exit",M582="Stoppage-GoalieStoppage",M581="Stoppage-GoalieStoppage"),"d",IF(OR(L582="Faceoff_AfterGoal",L582="Faceoff_PeriodStart",698="Faceoff_GameStart",M581="Stoppage-Goal"),"n","")))</f>
        <v/>
      </c>
      <c r="K582" t="s">
        <v>7</v>
      </c>
      <c r="L582" t="s">
        <v>172</v>
      </c>
      <c r="M582" t="s">
        <v>67</v>
      </c>
      <c r="N582" t="str">
        <f t="shared" si="302"/>
        <v>s</v>
      </c>
      <c r="Q582" t="str">
        <f t="shared" si="300"/>
        <v/>
      </c>
      <c r="S582">
        <v>304</v>
      </c>
      <c r="U582" t="str">
        <f>IF(B582=1,MAX($U$2:$U581)+1,IF(AND($T582&lt;&gt;"",$T582=$T581),$U581,IF(B582="x",U581,"")))</f>
        <v/>
      </c>
      <c r="V582" t="str">
        <f>IF(C582=1,MAX($V$2:$V581)+1,IF(AND($T582&lt;&gt;"",$T582=$T581),$U581,IF(C582="x",V581,"")))</f>
        <v/>
      </c>
      <c r="W582" t="str">
        <f t="shared" si="306"/>
        <v>a</v>
      </c>
      <c r="X582">
        <v>16</v>
      </c>
      <c r="Y582" t="b">
        <f>IF(X582&lt;&gt;"",VLOOKUP(X582,game_rosters!$C$43:$E$64,3,FALSE))</f>
        <v>0</v>
      </c>
      <c r="Z582" t="str" cm="1">
        <f t="array" ref="Z582">IFERROR(IF(_xlfn._xlws.FILTER(game_rosters!$J:$J,(game_rosters!$G:$G=events!$AN582)*(game_rosters!$J:$J=events!$X582))&gt;0,1,""),"")</f>
        <v/>
      </c>
      <c r="AA582">
        <f t="shared" si="307"/>
        <v>1304</v>
      </c>
      <c r="AB582" t="str">
        <f t="shared" si="308"/>
        <v/>
      </c>
      <c r="AC582">
        <f t="shared" si="305"/>
        <v>1304</v>
      </c>
      <c r="AD582" s="6">
        <v>1</v>
      </c>
      <c r="AE582" t="s">
        <v>752</v>
      </c>
      <c r="AF582" t="s">
        <v>896</v>
      </c>
      <c r="AG582" t="s">
        <v>756</v>
      </c>
      <c r="AH582" t="s">
        <v>756</v>
      </c>
      <c r="AI582" t="s">
        <v>368</v>
      </c>
      <c r="AJ582" t="str">
        <f t="shared" si="309"/>
        <v/>
      </c>
      <c r="AK582" t="str">
        <f t="shared" si="309"/>
        <v/>
      </c>
      <c r="AL582" t="str">
        <f t="shared" si="310"/>
        <v/>
      </c>
      <c r="AN582" t="s">
        <v>862</v>
      </c>
      <c r="AO582" t="str">
        <f t="shared" si="311"/>
        <v>a</v>
      </c>
      <c r="AP582" t="str">
        <f t="shared" si="318"/>
        <v/>
      </c>
      <c r="AQ582" t="str">
        <f t="shared" si="319"/>
        <v/>
      </c>
      <c r="AR582" t="str">
        <f t="shared" si="320"/>
        <v>Away</v>
      </c>
      <c r="AS582" t="str">
        <f t="shared" si="321"/>
        <v>a</v>
      </c>
      <c r="AT582" t="str">
        <f t="shared" si="322"/>
        <v>Defensive</v>
      </c>
      <c r="BA582" s="6">
        <f t="shared" si="312"/>
        <v>146</v>
      </c>
      <c r="BB582">
        <f t="shared" si="313"/>
        <v>18981</v>
      </c>
      <c r="BC582" t="str">
        <f t="shared" si="314"/>
        <v>Nelson</v>
      </c>
      <c r="BD582" t="str">
        <f t="shared" si="315"/>
        <v>Velodrome</v>
      </c>
      <c r="BE582" t="s">
        <v>7</v>
      </c>
      <c r="BF582" t="s">
        <v>172</v>
      </c>
      <c r="BG582" t="s">
        <v>67</v>
      </c>
      <c r="BI582" cm="1">
        <f t="array" ref="BI582">IFERROR(_xlfn._xlws.FILTER(shifts!A:A,(shifts!B:B=events!AD582)*(shifts!AG:AG&gt;=events!BK582)*(shifts!AH:AH&lt;=events!BL582)),BI581)</f>
        <v>29</v>
      </c>
      <c r="BJ582" s="15">
        <f t="shared" si="316"/>
        <v>0</v>
      </c>
      <c r="BK582">
        <f t="shared" si="323"/>
        <v>359</v>
      </c>
      <c r="BL582">
        <f t="shared" si="324"/>
        <v>359</v>
      </c>
      <c r="BM582" s="15">
        <f>SUMIFS(BJ$2:BJ582,K$2:K582,"=Intermission")+SUMIFS(BJ$2:BJ582,K$2:K582,"=Timeout")</f>
        <v>0</v>
      </c>
      <c r="BN582">
        <f t="shared" si="325"/>
        <v>0</v>
      </c>
      <c r="BO582" s="19">
        <f t="shared" si="326"/>
        <v>721</v>
      </c>
      <c r="BP582">
        <f t="shared" si="327"/>
        <v>716</v>
      </c>
      <c r="BQ582" s="17">
        <f t="shared" si="328"/>
        <v>721</v>
      </c>
      <c r="BR582" t="str">
        <f t="shared" si="329"/>
        <v>opp_team_player_1</v>
      </c>
      <c r="BS582">
        <f>COUNTIFS(S$3:S582,"="&amp;S582,AI$3:AI582,"="&amp;AI582)</f>
        <v>1</v>
      </c>
      <c r="BT582" t="str">
        <f>IFERROR(VLOOKUP(BB582&amp;BU582&amp;X582,game_rosters!U:W,3,FALSE),"")</f>
        <v>P100164</v>
      </c>
      <c r="BU582" t="str">
        <f t="shared" si="330"/>
        <v>Nelson</v>
      </c>
    </row>
    <row r="583" spans="1:73" x14ac:dyDescent="0.2">
      <c r="A583">
        <f t="shared" si="317"/>
        <v>1</v>
      </c>
      <c r="E583" s="4"/>
      <c r="F583" s="43"/>
      <c r="G583" s="4"/>
      <c r="H583" s="46"/>
      <c r="J583" s="44" t="str">
        <f t="shared" si="331"/>
        <v>d</v>
      </c>
      <c r="K583" t="s">
        <v>238</v>
      </c>
      <c r="L583" t="s">
        <v>184</v>
      </c>
      <c r="M583" t="s">
        <v>89</v>
      </c>
      <c r="N583" t="str">
        <f t="shared" si="302"/>
        <v>s</v>
      </c>
      <c r="Q583" t="str">
        <f t="shared" si="300"/>
        <v/>
      </c>
      <c r="S583">
        <v>305</v>
      </c>
      <c r="U583" t="str">
        <f>IF(B583=1,MAX($U$2:$U582)+1,IF(AND($T583&lt;&gt;"",$T583=$T582),$U582,IF(B583="x",U582,"")))</f>
        <v/>
      </c>
      <c r="V583" t="str">
        <f>IF(C583=1,MAX($V$2:$V582)+1,IF(AND($T583&lt;&gt;"",$T583=$T582),$U582,IF(C583="x",V582,"")))</f>
        <v/>
      </c>
      <c r="W583" t="str">
        <f t="shared" si="306"/>
        <v>a</v>
      </c>
      <c r="X583">
        <v>70</v>
      </c>
      <c r="Y583" t="e">
        <f>IF(X583&lt;&gt;"",VLOOKUP(X583,game_rosters!$C$43:$E$64,3,FALSE))</f>
        <v>#N/A</v>
      </c>
      <c r="Z583" cm="1">
        <f t="array" ref="Z583">IFERROR(IF(_xlfn._xlws.FILTER(game_rosters!$J:$J,(game_rosters!$G:$G=events!$AN583)*(game_rosters!$J:$J=events!$X583))&gt;0,1,""),"")</f>
        <v>1</v>
      </c>
      <c r="AA583">
        <f t="shared" si="307"/>
        <v>1305</v>
      </c>
      <c r="AB583" t="str">
        <f t="shared" si="308"/>
        <v/>
      </c>
      <c r="AC583">
        <f t="shared" si="305"/>
        <v>1305</v>
      </c>
      <c r="AD583" s="6">
        <v>1</v>
      </c>
      <c r="AE583" t="s">
        <v>752</v>
      </c>
      <c r="AF583" t="s">
        <v>896</v>
      </c>
      <c r="AG583" t="s">
        <v>756</v>
      </c>
      <c r="AH583" t="s">
        <v>756</v>
      </c>
      <c r="AI583" t="s">
        <v>367</v>
      </c>
      <c r="AJ583" t="str">
        <f t="shared" si="309"/>
        <v>d</v>
      </c>
      <c r="AK583" t="str">
        <f t="shared" si="309"/>
        <v>d</v>
      </c>
      <c r="AL583" t="str">
        <f t="shared" si="310"/>
        <v>o</v>
      </c>
      <c r="AN583" t="s">
        <v>862</v>
      </c>
      <c r="AO583" t="str">
        <f t="shared" si="311"/>
        <v>a</v>
      </c>
      <c r="AP583" t="str">
        <f t="shared" si="318"/>
        <v>o</v>
      </c>
      <c r="AQ583" t="str">
        <f t="shared" si="319"/>
        <v/>
      </c>
      <c r="AR583" t="str">
        <f t="shared" si="320"/>
        <v>Away</v>
      </c>
      <c r="AS583" t="str">
        <f t="shared" si="321"/>
        <v>a</v>
      </c>
      <c r="AT583" t="str">
        <f t="shared" si="322"/>
        <v>Offensive</v>
      </c>
      <c r="BA583" s="6">
        <f t="shared" si="312"/>
        <v>147</v>
      </c>
      <c r="BB583">
        <f t="shared" si="313"/>
        <v>18981</v>
      </c>
      <c r="BC583" t="str">
        <f t="shared" si="314"/>
        <v>Nelson</v>
      </c>
      <c r="BD583" t="str">
        <f t="shared" si="315"/>
        <v>Velodrome</v>
      </c>
      <c r="BE583" t="s">
        <v>238</v>
      </c>
      <c r="BF583" t="s">
        <v>184</v>
      </c>
      <c r="BG583" t="s">
        <v>89</v>
      </c>
      <c r="BI583" cm="1">
        <f t="array" ref="BI583">IFERROR(_xlfn._xlws.FILTER(shifts!A:A,(shifts!B:B=events!AD583)*(shifts!AG:AG&gt;=events!BK583)*(shifts!AH:AH&lt;=events!BL583)),BI582)</f>
        <v>29</v>
      </c>
      <c r="BJ583" s="15">
        <f t="shared" si="316"/>
        <v>0</v>
      </c>
      <c r="BK583">
        <f t="shared" si="323"/>
        <v>359</v>
      </c>
      <c r="BL583">
        <f t="shared" si="324"/>
        <v>359</v>
      </c>
      <c r="BM583" s="15">
        <f>SUMIFS(BJ$2:BJ583,K$2:K583,"=Intermission")+SUMIFS(BJ$2:BJ583,K$2:K583,"=Timeout")</f>
        <v>0</v>
      </c>
      <c r="BN583">
        <f t="shared" si="325"/>
        <v>0</v>
      </c>
      <c r="BO583" s="19">
        <f t="shared" si="326"/>
        <v>721</v>
      </c>
      <c r="BP583">
        <f t="shared" si="327"/>
        <v>716</v>
      </c>
      <c r="BQ583" s="17">
        <f t="shared" si="328"/>
        <v>721</v>
      </c>
      <c r="BR583" t="str">
        <f t="shared" si="329"/>
        <v>event_team_player_1</v>
      </c>
      <c r="BS583">
        <f>COUNTIFS(S$3:S583,"="&amp;S583,AI$3:AI583,"="&amp;AI583)</f>
        <v>1</v>
      </c>
      <c r="BT583" t="str">
        <f>IFERROR(VLOOKUP(BB583&amp;BU583&amp;X583,game_rosters!U:W,3,FALSE),"")</f>
        <v>P100001</v>
      </c>
      <c r="BU583" t="str">
        <f t="shared" si="330"/>
        <v>Velodrome</v>
      </c>
    </row>
    <row r="584" spans="1:73" x14ac:dyDescent="0.2">
      <c r="A584">
        <f t="shared" si="317"/>
        <v>1</v>
      </c>
      <c r="E584" s="4"/>
      <c r="F584" s="43"/>
      <c r="G584" s="4"/>
      <c r="H584" s="46"/>
      <c r="J584" s="44" t="str">
        <f t="shared" si="331"/>
        <v>d</v>
      </c>
      <c r="K584" t="s">
        <v>238</v>
      </c>
      <c r="L584" t="s">
        <v>184</v>
      </c>
      <c r="M584" t="s">
        <v>89</v>
      </c>
      <c r="N584" t="str">
        <f t="shared" si="302"/>
        <v>s</v>
      </c>
      <c r="Q584" t="str">
        <f t="shared" si="300"/>
        <v/>
      </c>
      <c r="S584">
        <v>305</v>
      </c>
      <c r="U584" t="str">
        <f>IF(B584=1,MAX($U$2:$U583)+1,IF(AND($T584&lt;&gt;"",$T584=$T583),$U583,IF(B584="x",U583,"")))</f>
        <v/>
      </c>
      <c r="V584" t="str">
        <f>IF(C584=1,MAX($V$2:$V583)+1,IF(AND($T584&lt;&gt;"",$T584=$T583),$U583,IF(C584="x",V583,"")))</f>
        <v/>
      </c>
      <c r="W584" t="str">
        <f t="shared" si="306"/>
        <v>a</v>
      </c>
      <c r="X584">
        <v>75</v>
      </c>
      <c r="Y584" t="e">
        <f>IF(X584&lt;&gt;"",VLOOKUP(X584,game_rosters!$C$43:$E$64,3,FALSE))</f>
        <v>#N/A</v>
      </c>
      <c r="Z584" cm="1">
        <f t="array" ref="Z584">IFERROR(IF(_xlfn._xlws.FILTER(game_rosters!$J:$J,(game_rosters!$G:$G=events!$AN584)*(game_rosters!$J:$J=events!$X584))&gt;0,1,""),"")</f>
        <v>1</v>
      </c>
      <c r="AA584">
        <f t="shared" si="307"/>
        <v>1305</v>
      </c>
      <c r="AB584" t="str">
        <f t="shared" si="308"/>
        <v/>
      </c>
      <c r="AC584">
        <f t="shared" si="305"/>
        <v>1305</v>
      </c>
      <c r="AD584" s="6">
        <v>1</v>
      </c>
      <c r="AE584" t="s">
        <v>752</v>
      </c>
      <c r="AF584" t="s">
        <v>896</v>
      </c>
      <c r="AG584" t="s">
        <v>756</v>
      </c>
      <c r="AH584" t="s">
        <v>756</v>
      </c>
      <c r="AI584" t="s">
        <v>367</v>
      </c>
      <c r="AJ584" t="str">
        <f t="shared" si="309"/>
        <v>d</v>
      </c>
      <c r="AK584" t="str">
        <f t="shared" si="309"/>
        <v>d</v>
      </c>
      <c r="AL584" t="str">
        <f t="shared" si="310"/>
        <v>o</v>
      </c>
      <c r="AN584" t="s">
        <v>862</v>
      </c>
      <c r="AO584" t="str">
        <f t="shared" si="311"/>
        <v>a</v>
      </c>
      <c r="AP584" t="str">
        <f t="shared" si="318"/>
        <v>o</v>
      </c>
      <c r="AQ584" t="str">
        <f t="shared" si="319"/>
        <v/>
      </c>
      <c r="AR584" t="str">
        <f t="shared" si="320"/>
        <v>Away</v>
      </c>
      <c r="AS584" t="str">
        <f t="shared" si="321"/>
        <v>a</v>
      </c>
      <c r="AT584" t="str">
        <f t="shared" si="322"/>
        <v>Offensive</v>
      </c>
      <c r="BA584" s="6">
        <f t="shared" si="312"/>
        <v>148</v>
      </c>
      <c r="BB584">
        <f t="shared" si="313"/>
        <v>18981</v>
      </c>
      <c r="BC584" t="str">
        <f t="shared" si="314"/>
        <v>Nelson</v>
      </c>
      <c r="BD584" t="str">
        <f t="shared" si="315"/>
        <v>Velodrome</v>
      </c>
      <c r="BE584" t="s">
        <v>238</v>
      </c>
      <c r="BF584" t="s">
        <v>184</v>
      </c>
      <c r="BG584" t="s">
        <v>89</v>
      </c>
      <c r="BI584" cm="1">
        <f t="array" ref="BI584">IFERROR(_xlfn._xlws.FILTER(shifts!A:A,(shifts!B:B=events!AD584)*(shifts!AG:AG&gt;=events!BK584)*(shifts!AH:AH&lt;=events!BL584)),BI583)</f>
        <v>29</v>
      </c>
      <c r="BJ584" s="15">
        <f t="shared" si="316"/>
        <v>0</v>
      </c>
      <c r="BK584">
        <f t="shared" si="323"/>
        <v>359</v>
      </c>
      <c r="BL584">
        <f t="shared" si="324"/>
        <v>359</v>
      </c>
      <c r="BM584" s="15">
        <f>SUMIFS(BJ$2:BJ584,K$2:K584,"=Intermission")+SUMIFS(BJ$2:BJ584,K$2:K584,"=Timeout")</f>
        <v>0</v>
      </c>
      <c r="BN584">
        <f t="shared" si="325"/>
        <v>0</v>
      </c>
      <c r="BO584" s="19">
        <f t="shared" si="326"/>
        <v>721</v>
      </c>
      <c r="BP584">
        <f t="shared" si="327"/>
        <v>716</v>
      </c>
      <c r="BQ584" s="17">
        <f t="shared" si="328"/>
        <v>721</v>
      </c>
      <c r="BR584" t="str">
        <f t="shared" si="329"/>
        <v>event_team_player_2</v>
      </c>
      <c r="BS584">
        <f>COUNTIFS(S$3:S584,"="&amp;S584,AI$3:AI584,"="&amp;AI584)</f>
        <v>2</v>
      </c>
      <c r="BT584" t="str">
        <f>IFERROR(VLOOKUP(BB584&amp;BU584&amp;X584,game_rosters!U:W,3,FALSE),"")</f>
        <v>P100039</v>
      </c>
      <c r="BU584" t="str">
        <f t="shared" si="330"/>
        <v>Velodrome</v>
      </c>
    </row>
    <row r="585" spans="1:73" x14ac:dyDescent="0.2">
      <c r="A585">
        <f t="shared" si="317"/>
        <v>1</v>
      </c>
      <c r="E585" s="4"/>
      <c r="F585" s="43"/>
      <c r="G585" s="4"/>
      <c r="H585" s="46"/>
      <c r="J585" s="44" t="str">
        <f t="shared" si="331"/>
        <v>d</v>
      </c>
      <c r="K585" t="s">
        <v>238</v>
      </c>
      <c r="L585" t="s">
        <v>184</v>
      </c>
      <c r="M585" t="s">
        <v>89</v>
      </c>
      <c r="N585" t="str">
        <f t="shared" si="302"/>
        <v>s</v>
      </c>
      <c r="Q585" t="str">
        <f t="shared" si="300"/>
        <v/>
      </c>
      <c r="S585">
        <v>305</v>
      </c>
      <c r="U585" t="str">
        <f>IF(B585=1,MAX($U$2:$U584)+1,IF(AND($T585&lt;&gt;"",$T585=$T584),$U584,IF(B585="x",U584,"")))</f>
        <v/>
      </c>
      <c r="V585" t="str">
        <f>IF(C585=1,MAX($V$2:$V584)+1,IF(AND($T585&lt;&gt;"",$T585=$T584),$U584,IF(C585="x",V584,"")))</f>
        <v/>
      </c>
      <c r="W585" t="str">
        <f t="shared" si="306"/>
        <v>a</v>
      </c>
      <c r="X585">
        <v>16</v>
      </c>
      <c r="Y585" t="b">
        <f>IF(X585&lt;&gt;"",VLOOKUP(X585,game_rosters!$C$43:$E$64,3,FALSE))</f>
        <v>0</v>
      </c>
      <c r="Z585" t="str" cm="1">
        <f t="array" ref="Z585">IFERROR(IF(_xlfn._xlws.FILTER(game_rosters!$J:$J,(game_rosters!$G:$G=events!$AN585)*(game_rosters!$J:$J=events!$X585))&gt;0,1,""),"")</f>
        <v/>
      </c>
      <c r="AA585">
        <f t="shared" si="307"/>
        <v>1305</v>
      </c>
      <c r="AB585" t="str">
        <f t="shared" si="308"/>
        <v/>
      </c>
      <c r="AC585">
        <f t="shared" si="305"/>
        <v>1305</v>
      </c>
      <c r="AD585" s="6">
        <v>1</v>
      </c>
      <c r="AE585" t="s">
        <v>752</v>
      </c>
      <c r="AF585" t="s">
        <v>896</v>
      </c>
      <c r="AG585" t="s">
        <v>756</v>
      </c>
      <c r="AH585" t="s">
        <v>756</v>
      </c>
      <c r="AI585" t="s">
        <v>368</v>
      </c>
      <c r="AJ585" t="str">
        <f t="shared" si="309"/>
        <v>d</v>
      </c>
      <c r="AK585" t="str">
        <f t="shared" si="309"/>
        <v>d</v>
      </c>
      <c r="AL585" t="str">
        <f t="shared" si="310"/>
        <v>o</v>
      </c>
      <c r="AN585" t="s">
        <v>862</v>
      </c>
      <c r="AO585" t="str">
        <f t="shared" si="311"/>
        <v>a</v>
      </c>
      <c r="AP585" t="str">
        <f t="shared" si="318"/>
        <v>o</v>
      </c>
      <c r="AQ585" t="str">
        <f t="shared" si="319"/>
        <v/>
      </c>
      <c r="AR585" t="str">
        <f t="shared" si="320"/>
        <v>Away</v>
      </c>
      <c r="AS585" t="str">
        <f t="shared" si="321"/>
        <v>a</v>
      </c>
      <c r="AT585" t="str">
        <f t="shared" si="322"/>
        <v>Defensive</v>
      </c>
      <c r="BA585" s="6">
        <f t="shared" si="312"/>
        <v>149</v>
      </c>
      <c r="BB585">
        <f t="shared" si="313"/>
        <v>18981</v>
      </c>
      <c r="BC585" t="str">
        <f t="shared" si="314"/>
        <v>Nelson</v>
      </c>
      <c r="BD585" t="str">
        <f t="shared" si="315"/>
        <v>Velodrome</v>
      </c>
      <c r="BE585" t="s">
        <v>238</v>
      </c>
      <c r="BF585" t="s">
        <v>184</v>
      </c>
      <c r="BG585" t="s">
        <v>89</v>
      </c>
      <c r="BI585" cm="1">
        <f t="array" ref="BI585">IFERROR(_xlfn._xlws.FILTER(shifts!A:A,(shifts!B:B=events!AD585)*(shifts!AG:AG&gt;=events!BK585)*(shifts!AH:AH&lt;=events!BL585)),BI584)</f>
        <v>29</v>
      </c>
      <c r="BJ585" s="15">
        <f t="shared" si="316"/>
        <v>0</v>
      </c>
      <c r="BK585">
        <f t="shared" si="323"/>
        <v>359</v>
      </c>
      <c r="BL585">
        <f t="shared" si="324"/>
        <v>359</v>
      </c>
      <c r="BM585" s="15">
        <f>SUMIFS(BJ$2:BJ585,K$2:K585,"=Intermission")+SUMIFS(BJ$2:BJ585,K$2:K585,"=Timeout")</f>
        <v>0</v>
      </c>
      <c r="BN585">
        <f t="shared" si="325"/>
        <v>0</v>
      </c>
      <c r="BO585" s="19">
        <f t="shared" si="326"/>
        <v>721</v>
      </c>
      <c r="BP585">
        <f t="shared" si="327"/>
        <v>716</v>
      </c>
      <c r="BQ585" s="17">
        <f t="shared" si="328"/>
        <v>721</v>
      </c>
      <c r="BR585" t="str">
        <f t="shared" si="329"/>
        <v>opp_team_player_1</v>
      </c>
      <c r="BS585">
        <f>COUNTIFS(S$3:S585,"="&amp;S585,AI$3:AI585,"="&amp;AI585)</f>
        <v>1</v>
      </c>
      <c r="BT585" t="str">
        <f>IFERROR(VLOOKUP(BB585&amp;BU585&amp;X585,game_rosters!U:W,3,FALSE),"")</f>
        <v>P100164</v>
      </c>
      <c r="BU585" t="str">
        <f t="shared" si="330"/>
        <v>Nelson</v>
      </c>
    </row>
    <row r="586" spans="1:73" x14ac:dyDescent="0.2">
      <c r="A586">
        <f t="shared" si="317"/>
        <v>1</v>
      </c>
      <c r="E586" s="4"/>
      <c r="F586" s="43"/>
      <c r="G586" s="4"/>
      <c r="H586" s="46"/>
      <c r="J586" s="44" t="str">
        <f t="shared" si="331"/>
        <v>o</v>
      </c>
      <c r="K586" t="s">
        <v>238</v>
      </c>
      <c r="L586" t="s">
        <v>174</v>
      </c>
      <c r="M586" t="s">
        <v>390</v>
      </c>
      <c r="N586" t="str">
        <f t="shared" si="302"/>
        <v>u</v>
      </c>
      <c r="Q586" t="str">
        <f t="shared" si="300"/>
        <v/>
      </c>
      <c r="S586">
        <v>306</v>
      </c>
      <c r="U586" t="str">
        <f>IF(B586=1,MAX($U$2:$U585)+1,IF(AND($T586&lt;&gt;"",$T586=$T585),$U585,IF(B586="x",U585,"")))</f>
        <v/>
      </c>
      <c r="V586" t="str">
        <f>IF(C586=1,MAX($V$2:$V585)+1,IF(AND($T586&lt;&gt;"",$T586=$T585),$U585,IF(C586="x",V585,"")))</f>
        <v/>
      </c>
      <c r="W586" t="str">
        <f t="shared" si="306"/>
        <v>a</v>
      </c>
      <c r="X586">
        <v>75</v>
      </c>
      <c r="Y586" t="e">
        <f>IF(X586&lt;&gt;"",VLOOKUP(X586,game_rosters!$C$43:$E$64,3,FALSE))</f>
        <v>#N/A</v>
      </c>
      <c r="Z586" cm="1">
        <f t="array" ref="Z586">IFERROR(IF(_xlfn._xlws.FILTER(game_rosters!$J:$J,(game_rosters!$G:$G=events!$AN586)*(game_rosters!$J:$J=events!$X586))&gt;0,1,""),"")</f>
        <v>1</v>
      </c>
      <c r="AA586">
        <f t="shared" si="307"/>
        <v>1306</v>
      </c>
      <c r="AB586" t="str">
        <f t="shared" si="308"/>
        <v/>
      </c>
      <c r="AC586">
        <f t="shared" si="305"/>
        <v>1306</v>
      </c>
      <c r="AD586" s="6">
        <v>1</v>
      </c>
      <c r="AE586" t="s">
        <v>752</v>
      </c>
      <c r="AF586" t="s">
        <v>932</v>
      </c>
      <c r="AG586" t="s">
        <v>756</v>
      </c>
      <c r="AH586" t="s">
        <v>756</v>
      </c>
      <c r="AI586" t="s">
        <v>367</v>
      </c>
      <c r="AJ586" t="str">
        <f t="shared" si="309"/>
        <v>o</v>
      </c>
      <c r="AK586" t="str">
        <f t="shared" si="309"/>
        <v>o</v>
      </c>
      <c r="AL586" t="str">
        <f t="shared" si="310"/>
        <v>d</v>
      </c>
      <c r="AN586" t="s">
        <v>862</v>
      </c>
      <c r="AO586" t="str">
        <f t="shared" si="311"/>
        <v>a</v>
      </c>
      <c r="AP586" t="str">
        <f t="shared" si="318"/>
        <v>d</v>
      </c>
      <c r="AQ586" t="str">
        <f t="shared" si="319"/>
        <v/>
      </c>
      <c r="AR586" t="str">
        <f t="shared" si="320"/>
        <v>Away</v>
      </c>
      <c r="AS586" t="str">
        <f t="shared" si="321"/>
        <v>a</v>
      </c>
      <c r="AT586" t="str">
        <f t="shared" si="322"/>
        <v>Offensive</v>
      </c>
      <c r="BA586" s="6">
        <f t="shared" si="312"/>
        <v>150</v>
      </c>
      <c r="BB586">
        <f t="shared" si="313"/>
        <v>18981</v>
      </c>
      <c r="BC586" t="str">
        <f t="shared" si="314"/>
        <v>Nelson</v>
      </c>
      <c r="BD586" t="str">
        <f t="shared" si="315"/>
        <v>Velodrome</v>
      </c>
      <c r="BE586" t="s">
        <v>238</v>
      </c>
      <c r="BF586" t="s">
        <v>174</v>
      </c>
      <c r="BG586" t="s">
        <v>390</v>
      </c>
      <c r="BI586" cm="1">
        <f t="array" ref="BI586">IFERROR(_xlfn._xlws.FILTER(shifts!A:A,(shifts!B:B=events!AD586)*(shifts!AG:AG&gt;=events!BK586)*(shifts!AH:AH&lt;=events!BL586)),BI585)</f>
        <v>29</v>
      </c>
      <c r="BJ586" s="15">
        <f t="shared" si="316"/>
        <v>0</v>
      </c>
      <c r="BK586">
        <f t="shared" si="323"/>
        <v>358</v>
      </c>
      <c r="BL586">
        <f t="shared" si="324"/>
        <v>358</v>
      </c>
      <c r="BM586" s="15">
        <f>SUMIFS(BJ$2:BJ586,K$2:K586,"=Intermission")+SUMIFS(BJ$2:BJ586,K$2:K586,"=Timeout")</f>
        <v>0</v>
      </c>
      <c r="BN586">
        <f t="shared" si="325"/>
        <v>0</v>
      </c>
      <c r="BO586" s="19">
        <f t="shared" si="326"/>
        <v>722</v>
      </c>
      <c r="BP586">
        <f t="shared" si="327"/>
        <v>717</v>
      </c>
      <c r="BQ586" s="17">
        <f t="shared" si="328"/>
        <v>722</v>
      </c>
      <c r="BR586" t="str">
        <f t="shared" si="329"/>
        <v>event_team_player_1</v>
      </c>
      <c r="BS586">
        <f>COUNTIFS(S$3:S586,"="&amp;S586,AI$3:AI586,"="&amp;AI586)</f>
        <v>1</v>
      </c>
      <c r="BT586" t="str">
        <f>IFERROR(VLOOKUP(BB586&amp;BU586&amp;X586,game_rosters!U:W,3,FALSE),"")</f>
        <v>P100039</v>
      </c>
      <c r="BU586" t="str">
        <f t="shared" si="330"/>
        <v>Velodrome</v>
      </c>
    </row>
    <row r="587" spans="1:73" x14ac:dyDescent="0.2">
      <c r="A587">
        <f t="shared" si="317"/>
        <v>1</v>
      </c>
      <c r="E587" s="4"/>
      <c r="F587" s="43"/>
      <c r="G587" s="4"/>
      <c r="H587" s="46"/>
      <c r="J587" s="44" t="str">
        <f t="shared" si="331"/>
        <v>o</v>
      </c>
      <c r="K587" t="s">
        <v>238</v>
      </c>
      <c r="L587" t="s">
        <v>174</v>
      </c>
      <c r="M587" t="s">
        <v>390</v>
      </c>
      <c r="N587" t="str">
        <f t="shared" si="302"/>
        <v>u</v>
      </c>
      <c r="Q587" t="str">
        <f t="shared" si="300"/>
        <v/>
      </c>
      <c r="S587">
        <v>306</v>
      </c>
      <c r="U587" t="str">
        <f>IF(B587=1,MAX($U$2:$U586)+1,IF(AND($T587&lt;&gt;"",$T587=$T586),$U586,IF(B587="x",U586,"")))</f>
        <v/>
      </c>
      <c r="V587" t="str">
        <f>IF(C587=1,MAX($V$2:$V586)+1,IF(AND($T587&lt;&gt;"",$T587=$T586),$U586,IF(C587="x",V586,"")))</f>
        <v/>
      </c>
      <c r="W587" t="str">
        <f t="shared" si="306"/>
        <v>a</v>
      </c>
      <c r="X587">
        <v>80</v>
      </c>
      <c r="Y587" t="b">
        <f>IF(X587&lt;&gt;"",VLOOKUP(X587,game_rosters!$C$43:$E$64,3,FALSE))</f>
        <v>0</v>
      </c>
      <c r="Z587" t="str" cm="1">
        <f t="array" ref="Z587">IFERROR(IF(_xlfn._xlws.FILTER(game_rosters!$J:$J,(game_rosters!$G:$G=events!$AN587)*(game_rosters!$J:$J=events!$X587))&gt;0,1,""),"")</f>
        <v/>
      </c>
      <c r="AA587">
        <f t="shared" si="307"/>
        <v>1306</v>
      </c>
      <c r="AB587" t="str">
        <f t="shared" si="308"/>
        <v/>
      </c>
      <c r="AC587">
        <f t="shared" si="305"/>
        <v>1306</v>
      </c>
      <c r="AD587" s="6">
        <v>1</v>
      </c>
      <c r="AE587" t="s">
        <v>752</v>
      </c>
      <c r="AF587" t="s">
        <v>932</v>
      </c>
      <c r="AG587" t="s">
        <v>756</v>
      </c>
      <c r="AH587" t="s">
        <v>756</v>
      </c>
      <c r="AI587" t="s">
        <v>368</v>
      </c>
      <c r="AJ587" t="str">
        <f t="shared" si="309"/>
        <v>o</v>
      </c>
      <c r="AK587" t="str">
        <f t="shared" si="309"/>
        <v>o</v>
      </c>
      <c r="AL587" t="str">
        <f t="shared" si="310"/>
        <v>d</v>
      </c>
      <c r="AN587" t="s">
        <v>862</v>
      </c>
      <c r="AO587" t="str">
        <f t="shared" si="311"/>
        <v>a</v>
      </c>
      <c r="AP587" t="str">
        <f t="shared" si="318"/>
        <v>d</v>
      </c>
      <c r="AQ587" t="str">
        <f t="shared" si="319"/>
        <v/>
      </c>
      <c r="AR587" t="str">
        <f t="shared" si="320"/>
        <v>Away</v>
      </c>
      <c r="AS587" t="str">
        <f t="shared" si="321"/>
        <v>a</v>
      </c>
      <c r="AT587" t="str">
        <f t="shared" si="322"/>
        <v>Defensive</v>
      </c>
      <c r="BA587" s="6">
        <f t="shared" si="312"/>
        <v>151</v>
      </c>
      <c r="BB587">
        <f t="shared" si="313"/>
        <v>18981</v>
      </c>
      <c r="BC587" t="str">
        <f t="shared" si="314"/>
        <v>Nelson</v>
      </c>
      <c r="BD587" t="str">
        <f t="shared" si="315"/>
        <v>Velodrome</v>
      </c>
      <c r="BE587" t="s">
        <v>238</v>
      </c>
      <c r="BF587" t="s">
        <v>174</v>
      </c>
      <c r="BG587" t="s">
        <v>390</v>
      </c>
      <c r="BI587" cm="1">
        <f t="array" ref="BI587">IFERROR(_xlfn._xlws.FILTER(shifts!A:A,(shifts!B:B=events!AD587)*(shifts!AG:AG&gt;=events!BK587)*(shifts!AH:AH&lt;=events!BL587)),BI586)</f>
        <v>29</v>
      </c>
      <c r="BJ587" s="15">
        <f t="shared" si="316"/>
        <v>0</v>
      </c>
      <c r="BK587">
        <f t="shared" si="323"/>
        <v>358</v>
      </c>
      <c r="BL587">
        <f t="shared" si="324"/>
        <v>358</v>
      </c>
      <c r="BM587" s="15">
        <f>SUMIFS(BJ$2:BJ587,K$2:K587,"=Intermission")+SUMIFS(BJ$2:BJ587,K$2:K587,"=Timeout")</f>
        <v>0</v>
      </c>
      <c r="BN587">
        <f t="shared" si="325"/>
        <v>0</v>
      </c>
      <c r="BO587" s="19">
        <f t="shared" si="326"/>
        <v>722</v>
      </c>
      <c r="BP587">
        <f t="shared" si="327"/>
        <v>717</v>
      </c>
      <c r="BQ587" s="17">
        <f t="shared" si="328"/>
        <v>722</v>
      </c>
      <c r="BR587" t="str">
        <f t="shared" si="329"/>
        <v>opp_team_player_1</v>
      </c>
      <c r="BS587">
        <f>COUNTIFS(S$3:S587,"="&amp;S587,AI$3:AI587,"="&amp;AI587)</f>
        <v>1</v>
      </c>
      <c r="BT587" t="str">
        <f>IFERROR(VLOOKUP(BB587&amp;BU587&amp;X587,game_rosters!U:W,3,FALSE),"")</f>
        <v>P100197</v>
      </c>
      <c r="BU587" t="str">
        <f t="shared" si="330"/>
        <v>Nelson</v>
      </c>
    </row>
    <row r="588" spans="1:73" x14ac:dyDescent="0.2">
      <c r="A588">
        <f t="shared" si="317"/>
        <v>1</v>
      </c>
      <c r="E588" s="4"/>
      <c r="F588" s="43"/>
      <c r="G588" s="4"/>
      <c r="H588" s="46"/>
      <c r="J588" s="44" t="str">
        <f t="shared" si="331"/>
        <v/>
      </c>
      <c r="K588" t="s">
        <v>9</v>
      </c>
      <c r="L588" t="s">
        <v>173</v>
      </c>
      <c r="M588" t="s">
        <v>71</v>
      </c>
      <c r="N588" t="str">
        <f t="shared" si="302"/>
        <v>u</v>
      </c>
      <c r="Q588" t="str">
        <f t="shared" si="300"/>
        <v/>
      </c>
      <c r="S588">
        <v>307</v>
      </c>
      <c r="U588" t="str">
        <f>IF(B588=1,MAX($U$2:$U587)+1,IF(AND($T588&lt;&gt;"",$T588=$T587),$U587,IF(B588="x",U587,"")))</f>
        <v/>
      </c>
      <c r="V588" t="str">
        <f>IF(C588=1,MAX($V$2:$V587)+1,IF(AND($T588&lt;&gt;"",$T588=$T587),$U587,IF(C588="x",V587,"")))</f>
        <v/>
      </c>
      <c r="W588" t="str">
        <f t="shared" si="306"/>
        <v>a</v>
      </c>
      <c r="X588">
        <v>75</v>
      </c>
      <c r="Y588" t="e">
        <f>IF(X588&lt;&gt;"",VLOOKUP(X588,game_rosters!$C$43:$E$64,3,FALSE))</f>
        <v>#N/A</v>
      </c>
      <c r="Z588" cm="1">
        <f t="array" ref="Z588">IFERROR(IF(_xlfn._xlws.FILTER(game_rosters!$J:$J,(game_rosters!$G:$G=events!$AN588)*(game_rosters!$J:$J=events!$X588))&gt;0,1,""),"")</f>
        <v>1</v>
      </c>
      <c r="AA588">
        <f t="shared" si="307"/>
        <v>1307</v>
      </c>
      <c r="AB588" t="str">
        <f t="shared" si="308"/>
        <v/>
      </c>
      <c r="AC588">
        <f t="shared" si="305"/>
        <v>1307</v>
      </c>
      <c r="AD588" s="6">
        <v>1</v>
      </c>
      <c r="AE588" t="s">
        <v>752</v>
      </c>
      <c r="AF588" t="s">
        <v>932</v>
      </c>
      <c r="AG588" t="s">
        <v>756</v>
      </c>
      <c r="AH588" t="s">
        <v>756</v>
      </c>
      <c r="AI588" t="s">
        <v>367</v>
      </c>
      <c r="AJ588" t="str">
        <f t="shared" si="309"/>
        <v/>
      </c>
      <c r="AK588" t="str">
        <f t="shared" si="309"/>
        <v/>
      </c>
      <c r="AL588" t="str">
        <f t="shared" si="310"/>
        <v/>
      </c>
      <c r="AN588" t="s">
        <v>862</v>
      </c>
      <c r="AO588" t="str">
        <f t="shared" si="311"/>
        <v>a</v>
      </c>
      <c r="AP588" t="str">
        <f t="shared" si="318"/>
        <v/>
      </c>
      <c r="AQ588" t="str">
        <f t="shared" si="319"/>
        <v/>
      </c>
      <c r="AR588" t="str">
        <f t="shared" si="320"/>
        <v>Away</v>
      </c>
      <c r="AS588" t="str">
        <f t="shared" si="321"/>
        <v>a</v>
      </c>
      <c r="AT588" t="str">
        <f t="shared" si="322"/>
        <v>Offensive</v>
      </c>
      <c r="BA588" s="6">
        <f t="shared" si="312"/>
        <v>151</v>
      </c>
      <c r="BB588">
        <f t="shared" si="313"/>
        <v>18981</v>
      </c>
      <c r="BC588" t="str">
        <f t="shared" si="314"/>
        <v>Nelson</v>
      </c>
      <c r="BD588" t="str">
        <f t="shared" si="315"/>
        <v>Velodrome</v>
      </c>
      <c r="BE588" t="s">
        <v>9</v>
      </c>
      <c r="BF588" t="s">
        <v>173</v>
      </c>
      <c r="BG588" t="s">
        <v>71</v>
      </c>
      <c r="BI588" cm="1">
        <f t="array" ref="BI588">IFERROR(_xlfn._xlws.FILTER(shifts!A:A,(shifts!B:B=events!AD588)*(shifts!AG:AG&gt;=events!BK588)*(shifts!AH:AH&lt;=events!BL588)),BI587)</f>
        <v>29</v>
      </c>
      <c r="BJ588" s="15">
        <f t="shared" si="316"/>
        <v>0</v>
      </c>
      <c r="BK588">
        <f t="shared" si="323"/>
        <v>358</v>
      </c>
      <c r="BL588">
        <f t="shared" si="324"/>
        <v>358</v>
      </c>
      <c r="BM588" s="15">
        <f>SUMIFS(BJ$2:BJ588,K$2:K588,"=Intermission")+SUMIFS(BJ$2:BJ588,K$2:K588,"=Timeout")</f>
        <v>0</v>
      </c>
      <c r="BN588">
        <f t="shared" si="325"/>
        <v>0</v>
      </c>
      <c r="BO588" s="19">
        <f t="shared" si="326"/>
        <v>722</v>
      </c>
      <c r="BP588">
        <f t="shared" si="327"/>
        <v>717</v>
      </c>
      <c r="BQ588" s="17">
        <f t="shared" si="328"/>
        <v>722</v>
      </c>
      <c r="BR588" t="str">
        <f t="shared" si="329"/>
        <v>event_team_player_1</v>
      </c>
      <c r="BS588">
        <f>COUNTIFS(S$3:S588,"="&amp;S588,AI$3:AI588,"="&amp;AI588)</f>
        <v>1</v>
      </c>
      <c r="BT588" t="str">
        <f>IFERROR(VLOOKUP(BB588&amp;BU588&amp;X588,game_rosters!U:W,3,FALSE),"")</f>
        <v>P100039</v>
      </c>
      <c r="BU588" t="str">
        <f t="shared" si="330"/>
        <v>Velodrome</v>
      </c>
    </row>
    <row r="589" spans="1:73" x14ac:dyDescent="0.2">
      <c r="A589">
        <f t="shared" si="317"/>
        <v>1</v>
      </c>
      <c r="E589" s="4"/>
      <c r="F589" s="43"/>
      <c r="G589" s="4"/>
      <c r="H589" s="46"/>
      <c r="J589" s="44" t="str">
        <f t="shared" si="331"/>
        <v/>
      </c>
      <c r="K589" t="s">
        <v>9</v>
      </c>
      <c r="L589" t="s">
        <v>173</v>
      </c>
      <c r="M589" t="s">
        <v>71</v>
      </c>
      <c r="N589" t="str">
        <f t="shared" si="302"/>
        <v>u</v>
      </c>
      <c r="Q589" t="str">
        <f t="shared" si="300"/>
        <v/>
      </c>
      <c r="S589">
        <v>307</v>
      </c>
      <c r="U589" t="str">
        <f>IF(B589=1,MAX($U$2:$U588)+1,IF(AND($T589&lt;&gt;"",$T589=$T588),$U588,IF(B589="x",U588,"")))</f>
        <v/>
      </c>
      <c r="V589" t="str">
        <f>IF(C589=1,MAX($V$2:$V588)+1,IF(AND($T589&lt;&gt;"",$T589=$T588),$U588,IF(C589="x",V588,"")))</f>
        <v/>
      </c>
      <c r="W589" t="str">
        <f t="shared" si="306"/>
        <v>a</v>
      </c>
      <c r="X589">
        <v>80</v>
      </c>
      <c r="Y589" t="b">
        <f>IF(X589&lt;&gt;"",VLOOKUP(X589,game_rosters!$C$43:$E$64,3,FALSE))</f>
        <v>0</v>
      </c>
      <c r="Z589" t="str" cm="1">
        <f t="array" ref="Z589">IFERROR(IF(_xlfn._xlws.FILTER(game_rosters!$J:$J,(game_rosters!$G:$G=events!$AN589)*(game_rosters!$J:$J=events!$X589))&gt;0,1,""),"")</f>
        <v/>
      </c>
      <c r="AA589">
        <f t="shared" si="307"/>
        <v>1307</v>
      </c>
      <c r="AB589" t="str">
        <f t="shared" si="308"/>
        <v/>
      </c>
      <c r="AC589">
        <f t="shared" si="305"/>
        <v>1307</v>
      </c>
      <c r="AD589" s="6">
        <v>1</v>
      </c>
      <c r="AE589" t="s">
        <v>752</v>
      </c>
      <c r="AF589" t="s">
        <v>932</v>
      </c>
      <c r="AG589" t="s">
        <v>756</v>
      </c>
      <c r="AH589" t="s">
        <v>756</v>
      </c>
      <c r="AI589" t="s">
        <v>368</v>
      </c>
      <c r="AJ589" t="str">
        <f t="shared" si="309"/>
        <v/>
      </c>
      <c r="AK589" t="str">
        <f t="shared" si="309"/>
        <v/>
      </c>
      <c r="AL589" t="str">
        <f t="shared" si="310"/>
        <v/>
      </c>
      <c r="AN589" t="s">
        <v>862</v>
      </c>
      <c r="AO589" t="str">
        <f t="shared" si="311"/>
        <v>a</v>
      </c>
      <c r="AP589" t="str">
        <f t="shared" si="318"/>
        <v/>
      </c>
      <c r="AQ589" t="str">
        <f t="shared" si="319"/>
        <v/>
      </c>
      <c r="AR589" t="str">
        <f t="shared" si="320"/>
        <v>Away</v>
      </c>
      <c r="AS589" t="str">
        <f t="shared" si="321"/>
        <v>a</v>
      </c>
      <c r="AT589" t="str">
        <f t="shared" si="322"/>
        <v>Defensive</v>
      </c>
      <c r="BA589" s="6">
        <f t="shared" si="312"/>
        <v>151</v>
      </c>
      <c r="BB589">
        <f t="shared" si="313"/>
        <v>18981</v>
      </c>
      <c r="BC589" t="str">
        <f t="shared" si="314"/>
        <v>Nelson</v>
      </c>
      <c r="BD589" t="str">
        <f t="shared" si="315"/>
        <v>Velodrome</v>
      </c>
      <c r="BE589" t="s">
        <v>9</v>
      </c>
      <c r="BF589" t="s">
        <v>173</v>
      </c>
      <c r="BG589" t="s">
        <v>71</v>
      </c>
      <c r="BI589" cm="1">
        <f t="array" ref="BI589">IFERROR(_xlfn._xlws.FILTER(shifts!A:A,(shifts!B:B=events!AD589)*(shifts!AG:AG&gt;=events!BK589)*(shifts!AH:AH&lt;=events!BL589)),BI588)</f>
        <v>29</v>
      </c>
      <c r="BJ589" s="15">
        <f t="shared" si="316"/>
        <v>0</v>
      </c>
      <c r="BK589">
        <f t="shared" si="323"/>
        <v>358</v>
      </c>
      <c r="BL589">
        <f t="shared" si="324"/>
        <v>358</v>
      </c>
      <c r="BM589" s="15">
        <f>SUMIFS(BJ$2:BJ589,K$2:K589,"=Intermission")+SUMIFS(BJ$2:BJ589,K$2:K589,"=Timeout")</f>
        <v>0</v>
      </c>
      <c r="BN589">
        <f t="shared" si="325"/>
        <v>0</v>
      </c>
      <c r="BO589" s="19">
        <f t="shared" si="326"/>
        <v>722</v>
      </c>
      <c r="BP589">
        <f t="shared" si="327"/>
        <v>717</v>
      </c>
      <c r="BQ589" s="17">
        <f t="shared" si="328"/>
        <v>722</v>
      </c>
      <c r="BR589" t="str">
        <f t="shared" si="329"/>
        <v>opp_team_player_1</v>
      </c>
      <c r="BS589">
        <f>COUNTIFS(S$3:S589,"="&amp;S589,AI$3:AI589,"="&amp;AI589)</f>
        <v>1</v>
      </c>
      <c r="BT589" t="str">
        <f>IFERROR(VLOOKUP(BB589&amp;BU589&amp;X589,game_rosters!U:W,3,FALSE),"")</f>
        <v>P100197</v>
      </c>
      <c r="BU589" t="str">
        <f t="shared" si="330"/>
        <v>Nelson</v>
      </c>
    </row>
    <row r="590" spans="1:73" x14ac:dyDescent="0.2">
      <c r="A590">
        <f t="shared" si="317"/>
        <v>1</v>
      </c>
      <c r="E590" s="4"/>
      <c r="F590" s="43"/>
      <c r="G590" s="4"/>
      <c r="H590" s="46"/>
      <c r="J590" s="44" t="str">
        <f t="shared" si="331"/>
        <v/>
      </c>
      <c r="K590" t="s">
        <v>7</v>
      </c>
      <c r="L590" t="s">
        <v>172</v>
      </c>
      <c r="M590" t="s">
        <v>68</v>
      </c>
      <c r="N590" t="str">
        <f t="shared" si="302"/>
        <v>s</v>
      </c>
      <c r="Q590" t="str">
        <f t="shared" si="300"/>
        <v/>
      </c>
      <c r="S590">
        <v>308</v>
      </c>
      <c r="U590" t="str">
        <f>IF(B590=1,MAX($U$2:$U589)+1,IF(AND($T590&lt;&gt;"",$T590=$T589),$U589,IF(B590="x",U589,"")))</f>
        <v/>
      </c>
      <c r="V590" t="str">
        <f>IF(C590=1,MAX($V$2:$V589)+1,IF(AND($T590&lt;&gt;"",$T590=$T589),$U589,IF(C590="x",V589,"")))</f>
        <v/>
      </c>
      <c r="W590" t="str">
        <f t="shared" si="306"/>
        <v>h</v>
      </c>
      <c r="X590">
        <v>8</v>
      </c>
      <c r="Y590" t="b">
        <f>IF(X590&lt;&gt;"",VLOOKUP(X590,game_rosters!$C$43:$E$64,3,FALSE))</f>
        <v>0</v>
      </c>
      <c r="Z590" cm="1">
        <f t="array" ref="Z590">IFERROR(IF(_xlfn._xlws.FILTER(game_rosters!$J:$J,(game_rosters!$G:$G=events!$AN590)*(game_rosters!$J:$J=events!$X590))&gt;0,1,""),"")</f>
        <v>1</v>
      </c>
      <c r="AA590">
        <f t="shared" si="307"/>
        <v>1308</v>
      </c>
      <c r="AB590" t="str">
        <f t="shared" si="308"/>
        <v/>
      </c>
      <c r="AC590">
        <f t="shared" si="305"/>
        <v>1308</v>
      </c>
      <c r="AD590" s="6">
        <v>1</v>
      </c>
      <c r="AE590" t="s">
        <v>752</v>
      </c>
      <c r="AF590" t="s">
        <v>733</v>
      </c>
      <c r="AG590" t="s">
        <v>756</v>
      </c>
      <c r="AH590" t="s">
        <v>756</v>
      </c>
      <c r="AI590" t="s">
        <v>367</v>
      </c>
      <c r="AJ590" t="str">
        <f t="shared" si="309"/>
        <v/>
      </c>
      <c r="AK590" t="str">
        <f t="shared" si="309"/>
        <v/>
      </c>
      <c r="AL590" t="str">
        <f t="shared" si="310"/>
        <v/>
      </c>
      <c r="AN590" t="s">
        <v>861</v>
      </c>
      <c r="AO590" t="str">
        <f t="shared" si="311"/>
        <v>h</v>
      </c>
      <c r="AP590" t="str">
        <f t="shared" si="318"/>
        <v/>
      </c>
      <c r="AQ590" t="str">
        <f t="shared" si="319"/>
        <v/>
      </c>
      <c r="AR590" t="str">
        <f t="shared" si="320"/>
        <v>Home</v>
      </c>
      <c r="AS590" t="str">
        <f t="shared" si="321"/>
        <v>h</v>
      </c>
      <c r="AT590" t="str">
        <f t="shared" si="322"/>
        <v>Offensive</v>
      </c>
      <c r="BA590" s="6">
        <f t="shared" si="312"/>
        <v>151</v>
      </c>
      <c r="BB590">
        <f t="shared" si="313"/>
        <v>18981</v>
      </c>
      <c r="BC590" t="str">
        <f t="shared" si="314"/>
        <v>Nelson</v>
      </c>
      <c r="BD590" t="str">
        <f t="shared" si="315"/>
        <v>Velodrome</v>
      </c>
      <c r="BE590" t="s">
        <v>7</v>
      </c>
      <c r="BF590" t="s">
        <v>172</v>
      </c>
      <c r="BG590" t="s">
        <v>68</v>
      </c>
      <c r="BI590" cm="1">
        <f t="array" ref="BI590">IFERROR(_xlfn._xlws.FILTER(shifts!A:A,(shifts!B:B=events!AD590)*(shifts!AG:AG&gt;=events!BK590)*(shifts!AH:AH&lt;=events!BL590)),BI589)</f>
        <v>29</v>
      </c>
      <c r="BJ590" s="15">
        <f t="shared" si="316"/>
        <v>0</v>
      </c>
      <c r="BK590">
        <f t="shared" si="323"/>
        <v>356</v>
      </c>
      <c r="BL590">
        <f t="shared" si="324"/>
        <v>356</v>
      </c>
      <c r="BM590" s="15">
        <f>SUMIFS(BJ$2:BJ590,K$2:K590,"=Intermission")+SUMIFS(BJ$2:BJ590,K$2:K590,"=Timeout")</f>
        <v>0</v>
      </c>
      <c r="BN590">
        <f t="shared" si="325"/>
        <v>0</v>
      </c>
      <c r="BO590" s="19">
        <f t="shared" si="326"/>
        <v>724</v>
      </c>
      <c r="BP590">
        <f t="shared" si="327"/>
        <v>719</v>
      </c>
      <c r="BQ590" s="17">
        <f t="shared" si="328"/>
        <v>724</v>
      </c>
      <c r="BR590" t="str">
        <f t="shared" si="329"/>
        <v>event_team_player_1</v>
      </c>
      <c r="BS590">
        <f>COUNTIFS(S$3:S590,"="&amp;S590,AI$3:AI590,"="&amp;AI590)</f>
        <v>1</v>
      </c>
      <c r="BT590" t="str">
        <f>IFERROR(VLOOKUP(BB590&amp;BU590&amp;X590,game_rosters!U:W,3,FALSE),"")</f>
        <v>P100074</v>
      </c>
      <c r="BU590" t="str">
        <f t="shared" si="330"/>
        <v>Nelson</v>
      </c>
    </row>
    <row r="591" spans="1:73" x14ac:dyDescent="0.2">
      <c r="A591">
        <f t="shared" si="317"/>
        <v>1</v>
      </c>
      <c r="E591" s="4"/>
      <c r="F591" s="43"/>
      <c r="G591" s="4"/>
      <c r="H591" s="46"/>
      <c r="J591" s="44" t="str">
        <f t="shared" si="331"/>
        <v/>
      </c>
      <c r="K591" t="s">
        <v>7</v>
      </c>
      <c r="L591" t="s">
        <v>172</v>
      </c>
      <c r="M591" t="s">
        <v>68</v>
      </c>
      <c r="N591" t="str">
        <f t="shared" si="302"/>
        <v>s</v>
      </c>
      <c r="Q591" t="str">
        <f t="shared" si="300"/>
        <v/>
      </c>
      <c r="S591">
        <v>308</v>
      </c>
      <c r="U591" t="str">
        <f>IF(B591=1,MAX($U$2:$U590)+1,IF(AND($T591&lt;&gt;"",$T591=$T590),$U590,IF(B591="x",U590,"")))</f>
        <v/>
      </c>
      <c r="V591" t="str">
        <f>IF(C591=1,MAX($V$2:$V590)+1,IF(AND($T591&lt;&gt;"",$T591=$T590),$U590,IF(C591="x",V590,"")))</f>
        <v/>
      </c>
      <c r="W591" t="str">
        <f t="shared" si="306"/>
        <v>h</v>
      </c>
      <c r="X591">
        <v>80</v>
      </c>
      <c r="Y591" t="b">
        <f>IF(X591&lt;&gt;"",VLOOKUP(X591,game_rosters!$C$43:$E$64,3,FALSE))</f>
        <v>0</v>
      </c>
      <c r="Z591" cm="1">
        <f t="array" ref="Z591">IFERROR(IF(_xlfn._xlws.FILTER(game_rosters!$J:$J,(game_rosters!$G:$G=events!$AN591)*(game_rosters!$J:$J=events!$X591))&gt;0,1,""),"")</f>
        <v>1</v>
      </c>
      <c r="AA591">
        <f t="shared" si="307"/>
        <v>1308</v>
      </c>
      <c r="AB591" t="str">
        <f t="shared" si="308"/>
        <v/>
      </c>
      <c r="AC591">
        <f t="shared" si="305"/>
        <v>1308</v>
      </c>
      <c r="AD591" s="6">
        <v>1</v>
      </c>
      <c r="AE591" t="s">
        <v>752</v>
      </c>
      <c r="AF591" t="s">
        <v>733</v>
      </c>
      <c r="AG591" t="s">
        <v>756</v>
      </c>
      <c r="AH591" t="s">
        <v>756</v>
      </c>
      <c r="AI591" t="s">
        <v>367</v>
      </c>
      <c r="AJ591" t="str">
        <f t="shared" si="309"/>
        <v/>
      </c>
      <c r="AK591" t="str">
        <f t="shared" si="309"/>
        <v/>
      </c>
      <c r="AL591" t="str">
        <f t="shared" si="310"/>
        <v/>
      </c>
      <c r="AN591" t="s">
        <v>861</v>
      </c>
      <c r="AO591" t="str">
        <f t="shared" si="311"/>
        <v>h</v>
      </c>
      <c r="AP591" t="str">
        <f t="shared" si="318"/>
        <v/>
      </c>
      <c r="AQ591" t="str">
        <f t="shared" si="319"/>
        <v/>
      </c>
      <c r="AR591" t="str">
        <f t="shared" si="320"/>
        <v>Home</v>
      </c>
      <c r="AS591" t="str">
        <f t="shared" si="321"/>
        <v>h</v>
      </c>
      <c r="AT591" t="str">
        <f t="shared" si="322"/>
        <v>Offensive</v>
      </c>
      <c r="BA591" s="6">
        <f t="shared" si="312"/>
        <v>151</v>
      </c>
      <c r="BB591">
        <f t="shared" si="313"/>
        <v>18981</v>
      </c>
      <c r="BC591" t="str">
        <f t="shared" si="314"/>
        <v>Nelson</v>
      </c>
      <c r="BD591" t="str">
        <f t="shared" si="315"/>
        <v>Velodrome</v>
      </c>
      <c r="BE591" t="s">
        <v>7</v>
      </c>
      <c r="BF591" t="s">
        <v>172</v>
      </c>
      <c r="BG591" t="s">
        <v>68</v>
      </c>
      <c r="BI591" cm="1">
        <f t="array" ref="BI591">IFERROR(_xlfn._xlws.FILTER(shifts!A:A,(shifts!B:B=events!AD591)*(shifts!AG:AG&gt;=events!BK591)*(shifts!AH:AH&lt;=events!BL591)),BI590)</f>
        <v>29</v>
      </c>
      <c r="BJ591" s="15">
        <f t="shared" si="316"/>
        <v>0</v>
      </c>
      <c r="BK591">
        <f t="shared" si="323"/>
        <v>356</v>
      </c>
      <c r="BL591">
        <f t="shared" si="324"/>
        <v>356</v>
      </c>
      <c r="BM591" s="15">
        <f>SUMIFS(BJ$2:BJ591,K$2:K591,"=Intermission")+SUMIFS(BJ$2:BJ591,K$2:K591,"=Timeout")</f>
        <v>0</v>
      </c>
      <c r="BN591">
        <f t="shared" si="325"/>
        <v>0</v>
      </c>
      <c r="BO591" s="19">
        <f t="shared" si="326"/>
        <v>724</v>
      </c>
      <c r="BP591">
        <f t="shared" si="327"/>
        <v>719</v>
      </c>
      <c r="BQ591" s="17">
        <f t="shared" si="328"/>
        <v>724</v>
      </c>
      <c r="BR591" t="str">
        <f t="shared" si="329"/>
        <v>event_team_player_2</v>
      </c>
      <c r="BS591">
        <f>COUNTIFS(S$3:S591,"="&amp;S591,AI$3:AI591,"="&amp;AI591)</f>
        <v>2</v>
      </c>
      <c r="BT591" t="str">
        <f>IFERROR(VLOOKUP(BB591&amp;BU591&amp;X591,game_rosters!U:W,3,FALSE),"")</f>
        <v>P100197</v>
      </c>
      <c r="BU591" t="str">
        <f t="shared" si="330"/>
        <v>Nelson</v>
      </c>
    </row>
    <row r="592" spans="1:73" x14ac:dyDescent="0.2">
      <c r="A592">
        <f t="shared" si="317"/>
        <v>1</v>
      </c>
      <c r="E592" s="4"/>
      <c r="F592" s="43"/>
      <c r="G592" s="4"/>
      <c r="H592" s="46"/>
      <c r="J592" s="44" t="str">
        <f t="shared" si="331"/>
        <v>d</v>
      </c>
      <c r="K592" t="s">
        <v>238</v>
      </c>
      <c r="L592" t="s">
        <v>184</v>
      </c>
      <c r="M592" t="s">
        <v>89</v>
      </c>
      <c r="N592" t="str">
        <f t="shared" si="302"/>
        <v>s</v>
      </c>
      <c r="Q592" t="str">
        <f t="shared" ref="Q592:Q655" si="332">IF(O592="","",IF(AND(N592&lt;&gt;"",OR(O592&lt;&gt;"",P592&lt;&gt;"")),N592,IF(OR(ISNUMBER(SEARCH("attemp",O592)),ISNUMBER(SEARCH("beat",O592)),ISNUMBER(SEARCH("mis",O592)),ISNUMBER(SEARCH("fail",O592)),ISNUMBER(SEARCH("loss",O592)),ISNUMBER(SEARCH("lost",O592)),ISNUMBER(SEARCH("attemp",P592)),ISNUMBER(SEARCH("mis",P592)),ISNUMBER(SEARCH("fail",P592)),ISNUMBER(SEARCH("loss",P592)),ISNUMBER(SEARCH("beat",P592)),ISNUMBER(SEARCH("lost",P592))),"u","")))</f>
        <v/>
      </c>
      <c r="S592">
        <v>309</v>
      </c>
      <c r="U592" t="str">
        <f>IF(B592=1,MAX($U$2:$U591)+1,IF(AND($T592&lt;&gt;"",$T592=$T591),$U591,IF(B592="x",U591,"")))</f>
        <v/>
      </c>
      <c r="V592" t="str">
        <f>IF(C592=1,MAX($V$2:$V591)+1,IF(AND($T592&lt;&gt;"",$T592=$T591),$U591,IF(C592="x",V591,"")))</f>
        <v/>
      </c>
      <c r="W592" t="str">
        <f t="shared" si="306"/>
        <v>h</v>
      </c>
      <c r="X592">
        <v>8</v>
      </c>
      <c r="Y592" t="b">
        <f>IF(X592&lt;&gt;"",VLOOKUP(X592,game_rosters!$C$43:$E$64,3,FALSE))</f>
        <v>0</v>
      </c>
      <c r="Z592" cm="1">
        <f t="array" ref="Z592">IFERROR(IF(_xlfn._xlws.FILTER(game_rosters!$J:$J,(game_rosters!$G:$G=events!$AN592)*(game_rosters!$J:$J=events!$X592))&gt;0,1,""),"")</f>
        <v>1</v>
      </c>
      <c r="AA592">
        <f t="shared" si="307"/>
        <v>1309</v>
      </c>
      <c r="AB592" t="str">
        <f t="shared" si="308"/>
        <v/>
      </c>
      <c r="AC592">
        <f t="shared" si="305"/>
        <v>1309</v>
      </c>
      <c r="AD592" s="6">
        <v>1</v>
      </c>
      <c r="AE592" t="s">
        <v>752</v>
      </c>
      <c r="AF592" t="s">
        <v>733</v>
      </c>
      <c r="AG592" t="s">
        <v>756</v>
      </c>
      <c r="AH592" t="s">
        <v>756</v>
      </c>
      <c r="AI592" t="s">
        <v>367</v>
      </c>
      <c r="AJ592" t="str">
        <f t="shared" si="309"/>
        <v>d</v>
      </c>
      <c r="AK592" t="str">
        <f t="shared" si="309"/>
        <v>d</v>
      </c>
      <c r="AL592" t="str">
        <f t="shared" si="310"/>
        <v>d</v>
      </c>
      <c r="AN592" t="s">
        <v>861</v>
      </c>
      <c r="AO592" t="str">
        <f t="shared" si="311"/>
        <v>h</v>
      </c>
      <c r="AP592" t="str">
        <f t="shared" si="318"/>
        <v>d</v>
      </c>
      <c r="AQ592" t="str">
        <f t="shared" si="319"/>
        <v/>
      </c>
      <c r="AR592" t="str">
        <f t="shared" si="320"/>
        <v>Home</v>
      </c>
      <c r="AS592" t="str">
        <f t="shared" si="321"/>
        <v>h</v>
      </c>
      <c r="AT592" t="str">
        <f t="shared" si="322"/>
        <v>Offensive</v>
      </c>
      <c r="BA592" s="6">
        <f t="shared" si="312"/>
        <v>152</v>
      </c>
      <c r="BB592">
        <f t="shared" si="313"/>
        <v>18981</v>
      </c>
      <c r="BC592" t="str">
        <f t="shared" si="314"/>
        <v>Nelson</v>
      </c>
      <c r="BD592" t="str">
        <f t="shared" si="315"/>
        <v>Velodrome</v>
      </c>
      <c r="BE592" t="s">
        <v>238</v>
      </c>
      <c r="BF592" t="s">
        <v>184</v>
      </c>
      <c r="BG592" t="s">
        <v>89</v>
      </c>
      <c r="BI592" cm="1">
        <f t="array" ref="BI592">IFERROR(_xlfn._xlws.FILTER(shifts!A:A,(shifts!B:B=events!AD592)*(shifts!AG:AG&gt;=events!BK592)*(shifts!AH:AH&lt;=events!BL592)),BI591)</f>
        <v>29</v>
      </c>
      <c r="BJ592" s="15">
        <f t="shared" si="316"/>
        <v>0</v>
      </c>
      <c r="BK592">
        <f t="shared" si="323"/>
        <v>356</v>
      </c>
      <c r="BL592">
        <f t="shared" si="324"/>
        <v>356</v>
      </c>
      <c r="BM592" s="15">
        <f>SUMIFS(BJ$2:BJ592,K$2:K592,"=Intermission")+SUMIFS(BJ$2:BJ592,K$2:K592,"=Timeout")</f>
        <v>0</v>
      </c>
      <c r="BN592">
        <f t="shared" si="325"/>
        <v>0</v>
      </c>
      <c r="BO592" s="19">
        <f t="shared" si="326"/>
        <v>724</v>
      </c>
      <c r="BP592">
        <f t="shared" si="327"/>
        <v>719</v>
      </c>
      <c r="BQ592" s="17">
        <f t="shared" si="328"/>
        <v>724</v>
      </c>
      <c r="BR592" t="str">
        <f t="shared" si="329"/>
        <v>event_team_player_1</v>
      </c>
      <c r="BS592">
        <f>COUNTIFS(S$3:S592,"="&amp;S592,AI$3:AI592,"="&amp;AI592)</f>
        <v>1</v>
      </c>
      <c r="BT592" t="str">
        <f>IFERROR(VLOOKUP(BB592&amp;BU592&amp;X592,game_rosters!U:W,3,FALSE),"")</f>
        <v>P100074</v>
      </c>
      <c r="BU592" t="str">
        <f t="shared" si="330"/>
        <v>Nelson</v>
      </c>
    </row>
    <row r="593" spans="1:73" x14ac:dyDescent="0.2">
      <c r="A593">
        <f t="shared" si="317"/>
        <v>1</v>
      </c>
      <c r="E593" s="4"/>
      <c r="F593" s="43"/>
      <c r="G593" s="4"/>
      <c r="H593" s="46"/>
      <c r="J593" s="44" t="str">
        <f t="shared" si="331"/>
        <v>d</v>
      </c>
      <c r="K593" t="s">
        <v>238</v>
      </c>
      <c r="L593" t="s">
        <v>184</v>
      </c>
      <c r="M593" t="s">
        <v>89</v>
      </c>
      <c r="N593" t="str">
        <f t="shared" si="302"/>
        <v>s</v>
      </c>
      <c r="Q593" t="str">
        <f t="shared" si="332"/>
        <v/>
      </c>
      <c r="S593">
        <v>309</v>
      </c>
      <c r="U593" t="str">
        <f>IF(B593=1,MAX($U$2:$U592)+1,IF(AND($T593&lt;&gt;"",$T593=$T592),$U592,IF(B593="x",U592,"")))</f>
        <v/>
      </c>
      <c r="V593" t="str">
        <f>IF(C593=1,MAX($V$2:$V592)+1,IF(AND($T593&lt;&gt;"",$T593=$T592),$U592,IF(C593="x",V592,"")))</f>
        <v/>
      </c>
      <c r="W593" t="str">
        <f t="shared" si="306"/>
        <v>h</v>
      </c>
      <c r="X593">
        <v>80</v>
      </c>
      <c r="Y593" t="b">
        <f>IF(X593&lt;&gt;"",VLOOKUP(X593,game_rosters!$C$43:$E$64,3,FALSE))</f>
        <v>0</v>
      </c>
      <c r="Z593" cm="1">
        <f t="array" ref="Z593">IFERROR(IF(_xlfn._xlws.FILTER(game_rosters!$J:$J,(game_rosters!$G:$G=events!$AN593)*(game_rosters!$J:$J=events!$X593))&gt;0,1,""),"")</f>
        <v>1</v>
      </c>
      <c r="AA593">
        <f t="shared" si="307"/>
        <v>1309</v>
      </c>
      <c r="AB593" t="str">
        <f t="shared" si="308"/>
        <v/>
      </c>
      <c r="AC593">
        <f t="shared" si="305"/>
        <v>1309</v>
      </c>
      <c r="AD593" s="6">
        <v>1</v>
      </c>
      <c r="AE593" t="s">
        <v>752</v>
      </c>
      <c r="AF593" t="s">
        <v>733</v>
      </c>
      <c r="AG593" t="s">
        <v>756</v>
      </c>
      <c r="AH593" t="s">
        <v>756</v>
      </c>
      <c r="AI593" t="s">
        <v>367</v>
      </c>
      <c r="AJ593" t="str">
        <f t="shared" si="309"/>
        <v>d</v>
      </c>
      <c r="AK593" t="str">
        <f t="shared" si="309"/>
        <v>d</v>
      </c>
      <c r="AL593" t="str">
        <f t="shared" si="310"/>
        <v>d</v>
      </c>
      <c r="AN593" t="s">
        <v>861</v>
      </c>
      <c r="AO593" t="str">
        <f t="shared" si="311"/>
        <v>h</v>
      </c>
      <c r="AP593" t="str">
        <f t="shared" si="318"/>
        <v>d</v>
      </c>
      <c r="AQ593" t="str">
        <f t="shared" si="319"/>
        <v/>
      </c>
      <c r="AR593" t="str">
        <f t="shared" si="320"/>
        <v>Home</v>
      </c>
      <c r="AS593" t="str">
        <f t="shared" si="321"/>
        <v>h</v>
      </c>
      <c r="AT593" t="str">
        <f t="shared" si="322"/>
        <v>Offensive</v>
      </c>
      <c r="BA593" s="6">
        <f t="shared" si="312"/>
        <v>153</v>
      </c>
      <c r="BB593">
        <f t="shared" si="313"/>
        <v>18981</v>
      </c>
      <c r="BC593" t="str">
        <f t="shared" si="314"/>
        <v>Nelson</v>
      </c>
      <c r="BD593" t="str">
        <f t="shared" si="315"/>
        <v>Velodrome</v>
      </c>
      <c r="BE593" t="s">
        <v>238</v>
      </c>
      <c r="BF593" t="s">
        <v>184</v>
      </c>
      <c r="BG593" t="s">
        <v>89</v>
      </c>
      <c r="BI593" cm="1">
        <f t="array" ref="BI593">IFERROR(_xlfn._xlws.FILTER(shifts!A:A,(shifts!B:B=events!AD593)*(shifts!AG:AG&gt;=events!BK593)*(shifts!AH:AH&lt;=events!BL593)),BI592)</f>
        <v>29</v>
      </c>
      <c r="BJ593" s="15">
        <f t="shared" si="316"/>
        <v>0</v>
      </c>
      <c r="BK593">
        <f t="shared" si="323"/>
        <v>356</v>
      </c>
      <c r="BL593">
        <f t="shared" si="324"/>
        <v>356</v>
      </c>
      <c r="BM593" s="15">
        <f>SUMIFS(BJ$2:BJ593,K$2:K593,"=Intermission")+SUMIFS(BJ$2:BJ593,K$2:K593,"=Timeout")</f>
        <v>0</v>
      </c>
      <c r="BN593">
        <f t="shared" si="325"/>
        <v>0</v>
      </c>
      <c r="BO593" s="19">
        <f t="shared" si="326"/>
        <v>724</v>
      </c>
      <c r="BP593">
        <f t="shared" si="327"/>
        <v>719</v>
      </c>
      <c r="BQ593" s="17">
        <f t="shared" si="328"/>
        <v>724</v>
      </c>
      <c r="BR593" t="str">
        <f t="shared" si="329"/>
        <v>event_team_player_2</v>
      </c>
      <c r="BS593">
        <f>COUNTIFS(S$3:S593,"="&amp;S593,AI$3:AI593,"="&amp;AI593)</f>
        <v>2</v>
      </c>
      <c r="BT593" t="str">
        <f>IFERROR(VLOOKUP(BB593&amp;BU593&amp;X593,game_rosters!U:W,3,FALSE),"")</f>
        <v>P100197</v>
      </c>
      <c r="BU593" t="str">
        <f t="shared" si="330"/>
        <v>Nelson</v>
      </c>
    </row>
    <row r="594" spans="1:73" x14ac:dyDescent="0.2">
      <c r="A594">
        <f t="shared" si="317"/>
        <v>1</v>
      </c>
      <c r="E594" s="4"/>
      <c r="F594" s="43"/>
      <c r="G594" s="4"/>
      <c r="H594" s="46"/>
      <c r="J594" s="44" t="str">
        <f t="shared" si="331"/>
        <v>d</v>
      </c>
      <c r="K594" t="s">
        <v>238</v>
      </c>
      <c r="L594" t="s">
        <v>184</v>
      </c>
      <c r="M594" t="s">
        <v>89</v>
      </c>
      <c r="N594" t="str">
        <f t="shared" si="302"/>
        <v>s</v>
      </c>
      <c r="Q594" t="str">
        <f t="shared" si="332"/>
        <v/>
      </c>
      <c r="S594">
        <v>309</v>
      </c>
      <c r="U594" t="str">
        <f>IF(B594=1,MAX($U$2:$U593)+1,IF(AND($T594&lt;&gt;"",$T594=$T593),$U593,IF(B594="x",U593,"")))</f>
        <v/>
      </c>
      <c r="V594" t="str">
        <f>IF(C594=1,MAX($V$2:$V593)+1,IF(AND($T594&lt;&gt;"",$T594=$T593),$U593,IF(C594="x",V593,"")))</f>
        <v/>
      </c>
      <c r="W594" t="str">
        <f t="shared" si="306"/>
        <v>h</v>
      </c>
      <c r="X594">
        <v>70</v>
      </c>
      <c r="Y594" t="e">
        <f>IF(X594&lt;&gt;"",VLOOKUP(X594,game_rosters!$C$43:$E$64,3,FALSE))</f>
        <v>#N/A</v>
      </c>
      <c r="Z594" t="str" cm="1">
        <f t="array" ref="Z594">IFERROR(IF(_xlfn._xlws.FILTER(game_rosters!$J:$J,(game_rosters!$G:$G=events!$AN594)*(game_rosters!$J:$J=events!$X594))&gt;0,1,""),"")</f>
        <v/>
      </c>
      <c r="AA594">
        <f t="shared" si="307"/>
        <v>1309</v>
      </c>
      <c r="AB594" t="str">
        <f t="shared" si="308"/>
        <v/>
      </c>
      <c r="AC594">
        <f t="shared" si="305"/>
        <v>1309</v>
      </c>
      <c r="AD594" s="6">
        <v>1</v>
      </c>
      <c r="AE594" t="s">
        <v>752</v>
      </c>
      <c r="AF594" t="s">
        <v>733</v>
      </c>
      <c r="AG594" t="s">
        <v>756</v>
      </c>
      <c r="AH594" t="s">
        <v>756</v>
      </c>
      <c r="AI594" t="s">
        <v>368</v>
      </c>
      <c r="AJ594" t="str">
        <f t="shared" si="309"/>
        <v>d</v>
      </c>
      <c r="AK594" t="str">
        <f t="shared" si="309"/>
        <v>d</v>
      </c>
      <c r="AL594" t="str">
        <f t="shared" si="310"/>
        <v>d</v>
      </c>
      <c r="AN594" t="s">
        <v>861</v>
      </c>
      <c r="AO594" t="str">
        <f t="shared" si="311"/>
        <v>h</v>
      </c>
      <c r="AP594" t="str">
        <f t="shared" si="318"/>
        <v>d</v>
      </c>
      <c r="AQ594" t="str">
        <f t="shared" si="319"/>
        <v/>
      </c>
      <c r="AR594" t="str">
        <f t="shared" si="320"/>
        <v>Home</v>
      </c>
      <c r="AS594" t="str">
        <f t="shared" si="321"/>
        <v>h</v>
      </c>
      <c r="AT594" t="str">
        <f t="shared" si="322"/>
        <v>Defensive</v>
      </c>
      <c r="BA594" s="6">
        <f t="shared" si="312"/>
        <v>154</v>
      </c>
      <c r="BB594">
        <f t="shared" si="313"/>
        <v>18981</v>
      </c>
      <c r="BC594" t="str">
        <f t="shared" si="314"/>
        <v>Nelson</v>
      </c>
      <c r="BD594" t="str">
        <f t="shared" si="315"/>
        <v>Velodrome</v>
      </c>
      <c r="BE594" t="s">
        <v>238</v>
      </c>
      <c r="BF594" t="s">
        <v>184</v>
      </c>
      <c r="BG594" t="s">
        <v>89</v>
      </c>
      <c r="BI594" cm="1">
        <f t="array" ref="BI594">IFERROR(_xlfn._xlws.FILTER(shifts!A:A,(shifts!B:B=events!AD594)*(shifts!AG:AG&gt;=events!BK594)*(shifts!AH:AH&lt;=events!BL594)),BI593)</f>
        <v>29</v>
      </c>
      <c r="BJ594" s="15">
        <f t="shared" si="316"/>
        <v>0</v>
      </c>
      <c r="BK594">
        <f t="shared" si="323"/>
        <v>356</v>
      </c>
      <c r="BL594">
        <f t="shared" si="324"/>
        <v>356</v>
      </c>
      <c r="BM594" s="15">
        <f>SUMIFS(BJ$2:BJ594,K$2:K594,"=Intermission")+SUMIFS(BJ$2:BJ594,K$2:K594,"=Timeout")</f>
        <v>0</v>
      </c>
      <c r="BN594">
        <f t="shared" si="325"/>
        <v>0</v>
      </c>
      <c r="BO594" s="19">
        <f t="shared" si="326"/>
        <v>724</v>
      </c>
      <c r="BP594">
        <f t="shared" si="327"/>
        <v>719</v>
      </c>
      <c r="BQ594" s="17">
        <f t="shared" si="328"/>
        <v>724</v>
      </c>
      <c r="BR594" t="str">
        <f t="shared" si="329"/>
        <v>opp_team_player_1</v>
      </c>
      <c r="BS594">
        <f>COUNTIFS(S$3:S594,"="&amp;S594,AI$3:AI594,"="&amp;AI594)</f>
        <v>1</v>
      </c>
      <c r="BT594" t="str">
        <f>IFERROR(VLOOKUP(BB594&amp;BU594&amp;X594,game_rosters!U:W,3,FALSE),"")</f>
        <v>P100001</v>
      </c>
      <c r="BU594" t="str">
        <f t="shared" si="330"/>
        <v>Velodrome</v>
      </c>
    </row>
    <row r="595" spans="1:73" x14ac:dyDescent="0.2">
      <c r="A595">
        <f t="shared" si="317"/>
        <v>1</v>
      </c>
      <c r="E595" s="4"/>
      <c r="F595" s="43"/>
      <c r="G595" s="4"/>
      <c r="H595" s="46"/>
      <c r="J595" s="44" t="str">
        <f t="shared" si="331"/>
        <v/>
      </c>
      <c r="K595" t="s">
        <v>13</v>
      </c>
      <c r="L595" t="s">
        <v>756</v>
      </c>
      <c r="M595" t="s">
        <v>756</v>
      </c>
      <c r="N595" t="str">
        <f t="shared" si="302"/>
        <v/>
      </c>
      <c r="Q595" t="str">
        <f t="shared" si="332"/>
        <v/>
      </c>
      <c r="S595">
        <v>310</v>
      </c>
      <c r="U595" t="str">
        <f>IF(B595=1,MAX($U$2:$U594)+1,IF(AND($T595&lt;&gt;"",$T595=$T594),$U594,IF(B595="x",U594,"")))</f>
        <v/>
      </c>
      <c r="V595" t="str">
        <f>IF(C595=1,MAX($V$2:$V594)+1,IF(AND($T595&lt;&gt;"",$T595=$T594),$U594,IF(C595="x",V594,"")))</f>
        <v/>
      </c>
      <c r="W595" t="str">
        <f t="shared" si="306"/>
        <v>h</v>
      </c>
      <c r="X595">
        <v>80</v>
      </c>
      <c r="Y595" t="b">
        <f>IF(X595&lt;&gt;"",VLOOKUP(X595,game_rosters!$C$43:$E$64,3,FALSE))</f>
        <v>0</v>
      </c>
      <c r="Z595" cm="1">
        <f t="array" ref="Z595">IFERROR(IF(_xlfn._xlws.FILTER(game_rosters!$J:$J,(game_rosters!$G:$G=events!$AN595)*(game_rosters!$J:$J=events!$X595))&gt;0,1,""),"")</f>
        <v>1</v>
      </c>
      <c r="AA595">
        <f t="shared" si="307"/>
        <v>1310</v>
      </c>
      <c r="AB595" t="str">
        <f t="shared" si="308"/>
        <v/>
      </c>
      <c r="AC595">
        <f t="shared" si="305"/>
        <v>1310</v>
      </c>
      <c r="AD595" s="6">
        <v>1</v>
      </c>
      <c r="AE595" t="s">
        <v>752</v>
      </c>
      <c r="AF595" t="s">
        <v>921</v>
      </c>
      <c r="AG595" t="s">
        <v>752</v>
      </c>
      <c r="AH595" t="s">
        <v>897</v>
      </c>
      <c r="AI595" t="s">
        <v>367</v>
      </c>
      <c r="AJ595" t="str">
        <f t="shared" si="309"/>
        <v/>
      </c>
      <c r="AK595" t="str">
        <f t="shared" si="309"/>
        <v/>
      </c>
      <c r="AL595" t="str">
        <f t="shared" si="310"/>
        <v/>
      </c>
      <c r="AN595" t="s">
        <v>861</v>
      </c>
      <c r="AO595" t="str">
        <f t="shared" si="311"/>
        <v>h</v>
      </c>
      <c r="AP595" t="str">
        <f t="shared" si="318"/>
        <v/>
      </c>
      <c r="AQ595" t="str">
        <f t="shared" si="319"/>
        <v/>
      </c>
      <c r="AR595" t="str">
        <f t="shared" si="320"/>
        <v>Home</v>
      </c>
      <c r="AS595" t="str">
        <f t="shared" si="321"/>
        <v>h</v>
      </c>
      <c r="AT595" t="str">
        <f t="shared" si="322"/>
        <v>Offensive</v>
      </c>
      <c r="BA595" s="6">
        <f t="shared" si="312"/>
        <v>154</v>
      </c>
      <c r="BB595">
        <f t="shared" si="313"/>
        <v>18981</v>
      </c>
      <c r="BC595" t="str">
        <f t="shared" si="314"/>
        <v>Nelson</v>
      </c>
      <c r="BD595" t="str">
        <f t="shared" si="315"/>
        <v>Velodrome</v>
      </c>
      <c r="BE595" t="s">
        <v>13</v>
      </c>
      <c r="BF595" t="s">
        <v>756</v>
      </c>
      <c r="BG595" t="s">
        <v>756</v>
      </c>
      <c r="BI595" cm="1">
        <f t="array" ref="BI595">IFERROR(_xlfn._xlws.FILTER(shifts!A:A,(shifts!B:B=events!AD595)*(shifts!AG:AG&gt;=events!BK595)*(shifts!AH:AH&lt;=events!BL595)),BI594)</f>
        <v>29</v>
      </c>
      <c r="BJ595" s="15">
        <f t="shared" si="316"/>
        <v>1</v>
      </c>
      <c r="BK595">
        <f t="shared" si="323"/>
        <v>353</v>
      </c>
      <c r="BL595">
        <f t="shared" si="324"/>
        <v>352</v>
      </c>
      <c r="BM595" s="15">
        <f>SUMIFS(BJ$2:BJ595,K$2:K595,"=Intermission")+SUMIFS(BJ$2:BJ595,K$2:K595,"=Timeout")</f>
        <v>0</v>
      </c>
      <c r="BN595">
        <f t="shared" si="325"/>
        <v>0</v>
      </c>
      <c r="BO595" s="19">
        <f t="shared" si="326"/>
        <v>727</v>
      </c>
      <c r="BP595">
        <f t="shared" si="327"/>
        <v>722</v>
      </c>
      <c r="BQ595" s="17">
        <f t="shared" si="328"/>
        <v>728</v>
      </c>
      <c r="BR595" t="str">
        <f t="shared" si="329"/>
        <v>event_team_player_1</v>
      </c>
      <c r="BS595">
        <f>COUNTIFS(S$3:S595,"="&amp;S595,AI$3:AI595,"="&amp;AI595)</f>
        <v>1</v>
      </c>
      <c r="BT595" t="str">
        <f>IFERROR(VLOOKUP(BB595&amp;BU595&amp;X595,game_rosters!U:W,3,FALSE),"")</f>
        <v>P100197</v>
      </c>
      <c r="BU595" t="str">
        <f t="shared" si="330"/>
        <v>Nelson</v>
      </c>
    </row>
    <row r="596" spans="1:73" x14ac:dyDescent="0.2">
      <c r="A596">
        <f t="shared" si="317"/>
        <v>1</v>
      </c>
      <c r="E596" s="4"/>
      <c r="F596" s="43"/>
      <c r="G596" s="4"/>
      <c r="H596" s="46"/>
      <c r="J596" s="44" t="str">
        <f t="shared" si="331"/>
        <v>o</v>
      </c>
      <c r="K596" t="s">
        <v>238</v>
      </c>
      <c r="L596" t="s">
        <v>174</v>
      </c>
      <c r="M596" t="s">
        <v>85</v>
      </c>
      <c r="N596" t="str">
        <f t="shared" si="302"/>
        <v>s</v>
      </c>
      <c r="Q596" t="str">
        <f t="shared" si="332"/>
        <v/>
      </c>
      <c r="S596">
        <v>311</v>
      </c>
      <c r="U596" t="str">
        <f>IF(B596=1,MAX($U$2:$U595)+1,IF(AND($T596&lt;&gt;"",$T596=$T595),$U595,IF(B596="x",U595,"")))</f>
        <v/>
      </c>
      <c r="V596" t="str">
        <f>IF(C596=1,MAX($V$2:$V595)+1,IF(AND($T596&lt;&gt;"",$T596=$T595),$U595,IF(C596="x",V595,"")))</f>
        <v/>
      </c>
      <c r="W596" t="str">
        <f t="shared" si="306"/>
        <v>h</v>
      </c>
      <c r="X596">
        <v>80</v>
      </c>
      <c r="Y596" t="b">
        <f>IF(X596&lt;&gt;"",VLOOKUP(X596,game_rosters!$C$43:$E$64,3,FALSE))</f>
        <v>0</v>
      </c>
      <c r="Z596" cm="1">
        <f t="array" ref="Z596">IFERROR(IF(_xlfn._xlws.FILTER(game_rosters!$J:$J,(game_rosters!$G:$G=events!$AN596)*(game_rosters!$J:$J=events!$X596))&gt;0,1,""),"")</f>
        <v>1</v>
      </c>
      <c r="AA596">
        <f t="shared" si="307"/>
        <v>1311</v>
      </c>
      <c r="AB596" t="str">
        <f t="shared" si="308"/>
        <v/>
      </c>
      <c r="AC596">
        <f t="shared" si="305"/>
        <v>1311</v>
      </c>
      <c r="AD596" s="6">
        <v>1</v>
      </c>
      <c r="AE596" t="s">
        <v>752</v>
      </c>
      <c r="AF596" t="s">
        <v>897</v>
      </c>
      <c r="AG596" t="s">
        <v>752</v>
      </c>
      <c r="AH596" t="s">
        <v>922</v>
      </c>
      <c r="AI596" t="s">
        <v>367</v>
      </c>
      <c r="AJ596" t="str">
        <f t="shared" ref="AJ596:AK611" si="333">IF($J596&lt;&gt;"",$J596,IF($AC596=$AC595,AJ595,""))</f>
        <v>o</v>
      </c>
      <c r="AK596" t="str">
        <f t="shared" si="333"/>
        <v>o</v>
      </c>
      <c r="AL596" t="str">
        <f t="shared" si="310"/>
        <v>o</v>
      </c>
      <c r="AN596" t="s">
        <v>861</v>
      </c>
      <c r="AO596" t="str">
        <f t="shared" si="311"/>
        <v>h</v>
      </c>
      <c r="AP596" t="str">
        <f t="shared" si="318"/>
        <v>o</v>
      </c>
      <c r="AQ596" t="str">
        <f t="shared" si="319"/>
        <v/>
      </c>
      <c r="AR596" t="str">
        <f t="shared" si="320"/>
        <v>Home</v>
      </c>
      <c r="AS596" t="str">
        <f t="shared" si="321"/>
        <v>h</v>
      </c>
      <c r="AT596" t="str">
        <f t="shared" si="322"/>
        <v>Offensive</v>
      </c>
      <c r="BA596" s="6">
        <f t="shared" si="312"/>
        <v>155</v>
      </c>
      <c r="BB596">
        <f t="shared" si="313"/>
        <v>18981</v>
      </c>
      <c r="BC596" t="str">
        <f t="shared" si="314"/>
        <v>Nelson</v>
      </c>
      <c r="BD596" t="str">
        <f t="shared" si="315"/>
        <v>Velodrome</v>
      </c>
      <c r="BE596" t="s">
        <v>238</v>
      </c>
      <c r="BF596" t="s">
        <v>174</v>
      </c>
      <c r="BG596" t="s">
        <v>85</v>
      </c>
      <c r="BI596" cm="1">
        <f t="array" ref="BI596">IFERROR(_xlfn._xlws.FILTER(shifts!A:A,(shifts!B:B=events!AD596)*(shifts!AG:AG&gt;=events!BK596)*(shifts!AH:AH&lt;=events!BL596)),BI595)</f>
        <v>29</v>
      </c>
      <c r="BJ596" s="15">
        <f t="shared" si="316"/>
        <v>2</v>
      </c>
      <c r="BK596">
        <f t="shared" si="323"/>
        <v>352</v>
      </c>
      <c r="BL596">
        <f t="shared" si="324"/>
        <v>350</v>
      </c>
      <c r="BM596" s="15">
        <f>SUMIFS(BJ$2:BJ596,K$2:K596,"=Intermission")+SUMIFS(BJ$2:BJ596,K$2:K596,"=Timeout")</f>
        <v>0</v>
      </c>
      <c r="BN596">
        <f t="shared" si="325"/>
        <v>0</v>
      </c>
      <c r="BO596" s="19">
        <f t="shared" si="326"/>
        <v>728</v>
      </c>
      <c r="BP596">
        <f t="shared" si="327"/>
        <v>723</v>
      </c>
      <c r="BQ596" s="17">
        <f t="shared" si="328"/>
        <v>730</v>
      </c>
      <c r="BR596" t="str">
        <f t="shared" si="329"/>
        <v>event_team_player_1</v>
      </c>
      <c r="BS596">
        <f>COUNTIFS(S$3:S596,"="&amp;S596,AI$3:AI596,"="&amp;AI596)</f>
        <v>1</v>
      </c>
      <c r="BT596" t="str">
        <f>IFERROR(VLOOKUP(BB596&amp;BU596&amp;X596,game_rosters!U:W,3,FALSE),"")</f>
        <v>P100197</v>
      </c>
      <c r="BU596" t="str">
        <f t="shared" si="330"/>
        <v>Nelson</v>
      </c>
    </row>
    <row r="597" spans="1:73" x14ac:dyDescent="0.2">
      <c r="A597">
        <f t="shared" si="317"/>
        <v>1</v>
      </c>
      <c r="E597" s="4"/>
      <c r="F597" s="43"/>
      <c r="G597" s="4"/>
      <c r="H597" s="46"/>
      <c r="J597" s="44" t="str">
        <f t="shared" si="331"/>
        <v>o</v>
      </c>
      <c r="K597" t="s">
        <v>238</v>
      </c>
      <c r="L597" t="s">
        <v>174</v>
      </c>
      <c r="M597" t="s">
        <v>85</v>
      </c>
      <c r="N597" t="str">
        <f t="shared" ref="N597:N660" si="334">IF(K597="","",IF(K597="Goal","s",IF(AND(K597="Zone_Entry_Exit",OR(ISNUMBER(SEARCH("fail",L597)),ISNUMBER(SEARCH("FromExitClear",M597)),ISNUMBER(SEARCH("miss",M597)))),"u",IF(AND(K597="Zone_Entry_Exit",OR(NOT(ISNUMBER(SEARCH("fail",L597))),NOT(ISNUMBER(SEARCH("FromExitClear",M597))),NOT(ISNUMBER(SEARCH("miss",M597))))),"s",IF(AND(OR(K597="Shot",K597="Pass"),OR(ISNUMBER(SEARCH("complete",L597)),ISNUMBER(SEARCH("goal",L597)),ISNUMBER(SEARCH("OnNet",L597)))),"s",IF(L597="Turnover_Giveaway","u",IF(AND(OR(K597="Shot",K597="Pass"),OR(ISNUMBER(SEARCH("fail",L597)),NOT(ISNUMBER(SEARCH("complete",L597))),NOT(ISNUMBER(SEARCH("OnNet",L597))))),"u","")))))))</f>
        <v>s</v>
      </c>
      <c r="Q597" t="str">
        <f t="shared" si="332"/>
        <v/>
      </c>
      <c r="S597">
        <v>311</v>
      </c>
      <c r="U597" t="str">
        <f>IF(B597=1,MAX($U$2:$U596)+1,IF(AND($T597&lt;&gt;"",$T597=$T596),$U596,IF(B597="x",U596,"")))</f>
        <v/>
      </c>
      <c r="V597" t="str">
        <f>IF(C597=1,MAX($V$2:$V596)+1,IF(AND($T597&lt;&gt;"",$T597=$T596),$U596,IF(C597="x",V596,"")))</f>
        <v/>
      </c>
      <c r="W597" t="str">
        <f t="shared" si="306"/>
        <v>h</v>
      </c>
      <c r="X597">
        <v>79</v>
      </c>
      <c r="Y597" t="b">
        <f>IF(X597&lt;&gt;"",VLOOKUP(X597,game_rosters!$C$43:$E$64,3,FALSE))</f>
        <v>0</v>
      </c>
      <c r="Z597" cm="1">
        <f t="array" ref="Z597">IFERROR(IF(_xlfn._xlws.FILTER(game_rosters!$J:$J,(game_rosters!$G:$G=events!$AN597)*(game_rosters!$J:$J=events!$X597))&gt;0,1,""),"")</f>
        <v>1</v>
      </c>
      <c r="AA597">
        <f t="shared" si="307"/>
        <v>1311</v>
      </c>
      <c r="AB597" t="str">
        <f t="shared" si="308"/>
        <v/>
      </c>
      <c r="AC597">
        <f t="shared" si="305"/>
        <v>1311</v>
      </c>
      <c r="AD597" s="6">
        <v>1</v>
      </c>
      <c r="AE597" t="s">
        <v>752</v>
      </c>
      <c r="AF597" t="s">
        <v>897</v>
      </c>
      <c r="AG597" t="s">
        <v>752</v>
      </c>
      <c r="AH597" t="s">
        <v>922</v>
      </c>
      <c r="AI597" t="s">
        <v>367</v>
      </c>
      <c r="AJ597" t="str">
        <f t="shared" si="333"/>
        <v>o</v>
      </c>
      <c r="AK597" t="str">
        <f t="shared" si="333"/>
        <v>o</v>
      </c>
      <c r="AL597" t="str">
        <f t="shared" si="310"/>
        <v>o</v>
      </c>
      <c r="AN597" t="s">
        <v>861</v>
      </c>
      <c r="AO597" t="str">
        <f t="shared" si="311"/>
        <v>h</v>
      </c>
      <c r="AP597" t="str">
        <f t="shared" si="318"/>
        <v>o</v>
      </c>
      <c r="AQ597" t="str">
        <f t="shared" si="319"/>
        <v/>
      </c>
      <c r="AR597" t="str">
        <f t="shared" si="320"/>
        <v>Home</v>
      </c>
      <c r="AS597" t="str">
        <f t="shared" si="321"/>
        <v>h</v>
      </c>
      <c r="AT597" t="str">
        <f t="shared" si="322"/>
        <v>Offensive</v>
      </c>
      <c r="BA597" s="6">
        <f t="shared" si="312"/>
        <v>156</v>
      </c>
      <c r="BB597">
        <f t="shared" si="313"/>
        <v>18981</v>
      </c>
      <c r="BC597" t="str">
        <f t="shared" si="314"/>
        <v>Nelson</v>
      </c>
      <c r="BD597" t="str">
        <f t="shared" si="315"/>
        <v>Velodrome</v>
      </c>
      <c r="BE597" t="s">
        <v>238</v>
      </c>
      <c r="BF597" t="s">
        <v>174</v>
      </c>
      <c r="BG597" t="s">
        <v>85</v>
      </c>
      <c r="BI597" cm="1">
        <f t="array" ref="BI597">IFERROR(_xlfn._xlws.FILTER(shifts!A:A,(shifts!B:B=events!AD597)*(shifts!AG:AG&gt;=events!BK597)*(shifts!AH:AH&lt;=events!BL597)),BI596)</f>
        <v>29</v>
      </c>
      <c r="BJ597" s="15">
        <f t="shared" si="316"/>
        <v>2</v>
      </c>
      <c r="BK597">
        <f t="shared" si="323"/>
        <v>352</v>
      </c>
      <c r="BL597">
        <f t="shared" si="324"/>
        <v>350</v>
      </c>
      <c r="BM597" s="15">
        <f>SUMIFS(BJ$2:BJ597,K$2:K597,"=Intermission")+SUMIFS(BJ$2:BJ597,K$2:K597,"=Timeout")</f>
        <v>0</v>
      </c>
      <c r="BN597">
        <f t="shared" si="325"/>
        <v>0</v>
      </c>
      <c r="BO597" s="19">
        <f t="shared" si="326"/>
        <v>728</v>
      </c>
      <c r="BP597">
        <f t="shared" si="327"/>
        <v>723</v>
      </c>
      <c r="BQ597" s="17">
        <f t="shared" si="328"/>
        <v>730</v>
      </c>
      <c r="BR597" t="str">
        <f t="shared" si="329"/>
        <v>event_team_player_2</v>
      </c>
      <c r="BS597">
        <f>COUNTIFS(S$3:S597,"="&amp;S597,AI$3:AI597,"="&amp;AI597)</f>
        <v>2</v>
      </c>
      <c r="BT597" t="str">
        <f>IFERROR(VLOOKUP(BB597&amp;BU597&amp;X597,game_rosters!U:W,3,FALSE),"")</f>
        <v>P100066</v>
      </c>
      <c r="BU597" t="str">
        <f t="shared" si="330"/>
        <v>Nelson</v>
      </c>
    </row>
    <row r="598" spans="1:73" x14ac:dyDescent="0.2">
      <c r="A598">
        <f t="shared" si="317"/>
        <v>1</v>
      </c>
      <c r="E598" s="4"/>
      <c r="F598" s="43"/>
      <c r="G598" s="4"/>
      <c r="H598" s="46"/>
      <c r="J598" s="44" t="str">
        <f t="shared" si="331"/>
        <v>o</v>
      </c>
      <c r="K598" t="s">
        <v>238</v>
      </c>
      <c r="L598" t="s">
        <v>174</v>
      </c>
      <c r="M598" t="s">
        <v>85</v>
      </c>
      <c r="N598" t="str">
        <f t="shared" si="334"/>
        <v>s</v>
      </c>
      <c r="Q598" t="str">
        <f t="shared" si="332"/>
        <v/>
      </c>
      <c r="S598">
        <v>311</v>
      </c>
      <c r="U598" t="str">
        <f>IF(B598=1,MAX($U$2:$U597)+1,IF(AND($T598&lt;&gt;"",$T598=$T597),$U597,IF(B598="x",U597,"")))</f>
        <v/>
      </c>
      <c r="V598" t="str">
        <f>IF(C598=1,MAX($V$2:$V597)+1,IF(AND($T598&lt;&gt;"",$T598=$T597),$U597,IF(C598="x",V597,"")))</f>
        <v/>
      </c>
      <c r="W598" t="str">
        <f t="shared" si="306"/>
        <v>h</v>
      </c>
      <c r="X598">
        <v>16</v>
      </c>
      <c r="Y598" t="b">
        <f>IF(X598&lt;&gt;"",VLOOKUP(X598,game_rosters!$C$43:$E$64,3,FALSE))</f>
        <v>0</v>
      </c>
      <c r="Z598" cm="1">
        <f t="array" ref="Z598">IFERROR(IF(_xlfn._xlws.FILTER(game_rosters!$J:$J,(game_rosters!$G:$G=events!$AN598)*(game_rosters!$J:$J=events!$X598))&gt;0,1,""),"")</f>
        <v>1</v>
      </c>
      <c r="AA598">
        <f t="shared" si="307"/>
        <v>1311</v>
      </c>
      <c r="AB598" t="str">
        <f t="shared" si="308"/>
        <v/>
      </c>
      <c r="AC598">
        <f t="shared" si="305"/>
        <v>1311</v>
      </c>
      <c r="AD598" s="6">
        <v>1</v>
      </c>
      <c r="AE598" t="s">
        <v>752</v>
      </c>
      <c r="AF598" t="s">
        <v>897</v>
      </c>
      <c r="AG598" t="s">
        <v>752</v>
      </c>
      <c r="AH598" t="s">
        <v>922</v>
      </c>
      <c r="AI598" t="s">
        <v>367</v>
      </c>
      <c r="AJ598" t="str">
        <f t="shared" si="333"/>
        <v>o</v>
      </c>
      <c r="AK598" t="str">
        <f t="shared" si="333"/>
        <v>o</v>
      </c>
      <c r="AL598" t="str">
        <f t="shared" si="310"/>
        <v>o</v>
      </c>
      <c r="AN598" t="s">
        <v>861</v>
      </c>
      <c r="AO598" t="str">
        <f t="shared" si="311"/>
        <v>h</v>
      </c>
      <c r="AP598" t="str">
        <f t="shared" si="318"/>
        <v>o</v>
      </c>
      <c r="AQ598" t="str">
        <f t="shared" si="319"/>
        <v/>
      </c>
      <c r="AR598" t="str">
        <f t="shared" si="320"/>
        <v>Home</v>
      </c>
      <c r="AS598" t="str">
        <f t="shared" si="321"/>
        <v>h</v>
      </c>
      <c r="AT598" t="str">
        <f t="shared" si="322"/>
        <v>Offensive</v>
      </c>
      <c r="BA598" s="6">
        <f t="shared" si="312"/>
        <v>157</v>
      </c>
      <c r="BB598">
        <f t="shared" si="313"/>
        <v>18981</v>
      </c>
      <c r="BC598" t="str">
        <f t="shared" si="314"/>
        <v>Nelson</v>
      </c>
      <c r="BD598" t="str">
        <f t="shared" si="315"/>
        <v>Velodrome</v>
      </c>
      <c r="BE598" t="s">
        <v>238</v>
      </c>
      <c r="BF598" t="s">
        <v>174</v>
      </c>
      <c r="BG598" t="s">
        <v>85</v>
      </c>
      <c r="BI598" cm="1">
        <f t="array" ref="BI598">IFERROR(_xlfn._xlws.FILTER(shifts!A:A,(shifts!B:B=events!AD598)*(shifts!AG:AG&gt;=events!BK598)*(shifts!AH:AH&lt;=events!BL598)),BI597)</f>
        <v>29</v>
      </c>
      <c r="BJ598" s="15">
        <f t="shared" si="316"/>
        <v>2</v>
      </c>
      <c r="BK598">
        <f t="shared" si="323"/>
        <v>352</v>
      </c>
      <c r="BL598">
        <f t="shared" si="324"/>
        <v>350</v>
      </c>
      <c r="BM598" s="15">
        <f>SUMIFS(BJ$2:BJ598,K$2:K598,"=Intermission")+SUMIFS(BJ$2:BJ598,K$2:K598,"=Timeout")</f>
        <v>0</v>
      </c>
      <c r="BN598">
        <f t="shared" si="325"/>
        <v>0</v>
      </c>
      <c r="BO598" s="19">
        <f t="shared" si="326"/>
        <v>728</v>
      </c>
      <c r="BP598">
        <f t="shared" si="327"/>
        <v>723</v>
      </c>
      <c r="BQ598" s="17">
        <f t="shared" si="328"/>
        <v>730</v>
      </c>
      <c r="BR598" t="str">
        <f t="shared" si="329"/>
        <v>event_team_player_3</v>
      </c>
      <c r="BS598">
        <f>COUNTIFS(S$3:S598,"="&amp;S598,AI$3:AI598,"="&amp;AI598)</f>
        <v>3</v>
      </c>
      <c r="BT598" t="str">
        <f>IFERROR(VLOOKUP(BB598&amp;BU598&amp;X598,game_rosters!U:W,3,FALSE),"")</f>
        <v>P100164</v>
      </c>
      <c r="BU598" t="str">
        <f t="shared" si="330"/>
        <v>Nelson</v>
      </c>
    </row>
    <row r="599" spans="1:73" x14ac:dyDescent="0.2">
      <c r="A599">
        <f t="shared" si="317"/>
        <v>1</v>
      </c>
      <c r="E599" s="4"/>
      <c r="F599" s="43"/>
      <c r="G599" s="4"/>
      <c r="H599" s="46"/>
      <c r="J599" s="44" t="str">
        <f t="shared" si="331"/>
        <v>o</v>
      </c>
      <c r="K599" t="s">
        <v>238</v>
      </c>
      <c r="L599" t="s">
        <v>174</v>
      </c>
      <c r="M599" t="s">
        <v>85</v>
      </c>
      <c r="N599" t="str">
        <f t="shared" si="334"/>
        <v>s</v>
      </c>
      <c r="Q599" t="str">
        <f t="shared" si="332"/>
        <v/>
      </c>
      <c r="S599">
        <v>311</v>
      </c>
      <c r="U599" t="str">
        <f>IF(B599=1,MAX($U$2:$U598)+1,IF(AND($T599&lt;&gt;"",$T599=$T598),$U598,IF(B599="x",U598,"")))</f>
        <v/>
      </c>
      <c r="V599" t="str">
        <f>IF(C599=1,MAX($V$2:$V598)+1,IF(AND($T599&lt;&gt;"",$T599=$T598),$U598,IF(C599="x",V598,"")))</f>
        <v/>
      </c>
      <c r="W599" t="str">
        <f t="shared" si="306"/>
        <v>h</v>
      </c>
      <c r="X599">
        <v>87</v>
      </c>
      <c r="Y599" t="e">
        <f>IF(X599&lt;&gt;"",VLOOKUP(X599,game_rosters!$C$43:$E$64,3,FALSE))</f>
        <v>#N/A</v>
      </c>
      <c r="Z599" t="str" cm="1">
        <f t="array" ref="Z599">IFERROR(IF(_xlfn._xlws.FILTER(game_rosters!$J:$J,(game_rosters!$G:$G=events!$AN599)*(game_rosters!$J:$J=events!$X599))&gt;0,1,""),"")</f>
        <v/>
      </c>
      <c r="AA599">
        <f t="shared" si="307"/>
        <v>1311</v>
      </c>
      <c r="AB599" t="str">
        <f t="shared" si="308"/>
        <v/>
      </c>
      <c r="AC599">
        <f t="shared" si="305"/>
        <v>1311</v>
      </c>
      <c r="AD599" s="6">
        <v>1</v>
      </c>
      <c r="AE599" t="s">
        <v>752</v>
      </c>
      <c r="AF599" t="s">
        <v>897</v>
      </c>
      <c r="AG599" t="s">
        <v>752</v>
      </c>
      <c r="AH599" t="s">
        <v>922</v>
      </c>
      <c r="AI599" t="s">
        <v>368</v>
      </c>
      <c r="AJ599" t="str">
        <f t="shared" si="333"/>
        <v>o</v>
      </c>
      <c r="AK599" t="str">
        <f t="shared" si="333"/>
        <v>o</v>
      </c>
      <c r="AL599" t="str">
        <f t="shared" si="310"/>
        <v>o</v>
      </c>
      <c r="AN599" t="s">
        <v>861</v>
      </c>
      <c r="AO599" t="str">
        <f t="shared" si="311"/>
        <v>h</v>
      </c>
      <c r="AP599" t="str">
        <f t="shared" si="318"/>
        <v>o</v>
      </c>
      <c r="AQ599" t="str">
        <f t="shared" si="319"/>
        <v/>
      </c>
      <c r="AR599" t="str">
        <f t="shared" si="320"/>
        <v>Home</v>
      </c>
      <c r="AS599" t="str">
        <f t="shared" si="321"/>
        <v>h</v>
      </c>
      <c r="AT599" t="str">
        <f t="shared" si="322"/>
        <v>Defensive</v>
      </c>
      <c r="BA599" s="6">
        <f t="shared" si="312"/>
        <v>158</v>
      </c>
      <c r="BB599">
        <f t="shared" si="313"/>
        <v>18981</v>
      </c>
      <c r="BC599" t="str">
        <f t="shared" si="314"/>
        <v>Nelson</v>
      </c>
      <c r="BD599" t="str">
        <f t="shared" si="315"/>
        <v>Velodrome</v>
      </c>
      <c r="BE599" t="s">
        <v>238</v>
      </c>
      <c r="BF599" t="s">
        <v>174</v>
      </c>
      <c r="BG599" t="s">
        <v>85</v>
      </c>
      <c r="BI599" cm="1">
        <f t="array" ref="BI599">IFERROR(_xlfn._xlws.FILTER(shifts!A:A,(shifts!B:B=events!AD599)*(shifts!AG:AG&gt;=events!BK599)*(shifts!AH:AH&lt;=events!BL599)),BI598)</f>
        <v>29</v>
      </c>
      <c r="BJ599" s="15">
        <f t="shared" si="316"/>
        <v>2</v>
      </c>
      <c r="BK599">
        <f t="shared" si="323"/>
        <v>352</v>
      </c>
      <c r="BL599">
        <f t="shared" si="324"/>
        <v>350</v>
      </c>
      <c r="BM599" s="15">
        <f>SUMIFS(BJ$2:BJ599,K$2:K599,"=Intermission")+SUMIFS(BJ$2:BJ599,K$2:K599,"=Timeout")</f>
        <v>0</v>
      </c>
      <c r="BN599">
        <f t="shared" si="325"/>
        <v>0</v>
      </c>
      <c r="BO599" s="19">
        <f t="shared" si="326"/>
        <v>728</v>
      </c>
      <c r="BP599">
        <f t="shared" si="327"/>
        <v>723</v>
      </c>
      <c r="BQ599" s="17">
        <f t="shared" si="328"/>
        <v>730</v>
      </c>
      <c r="BR599" t="str">
        <f t="shared" si="329"/>
        <v>opp_team_player_1</v>
      </c>
      <c r="BS599">
        <f>COUNTIFS(S$3:S599,"="&amp;S599,AI$3:AI599,"="&amp;AI599)</f>
        <v>1</v>
      </c>
      <c r="BT599" t="str">
        <f>IFERROR(VLOOKUP(BB599&amp;BU599&amp;X599,game_rosters!U:W,3,FALSE),"")</f>
        <v>P100159</v>
      </c>
      <c r="BU599" t="str">
        <f t="shared" si="330"/>
        <v>Velodrome</v>
      </c>
    </row>
    <row r="600" spans="1:73" x14ac:dyDescent="0.2">
      <c r="A600">
        <f t="shared" si="317"/>
        <v>1</v>
      </c>
      <c r="E600" s="4"/>
      <c r="F600" s="43"/>
      <c r="G600" s="4"/>
      <c r="H600" s="46"/>
      <c r="J600" s="44" t="str">
        <f t="shared" si="331"/>
        <v>o</v>
      </c>
      <c r="K600" t="s">
        <v>238</v>
      </c>
      <c r="L600" t="s">
        <v>174</v>
      </c>
      <c r="M600" t="s">
        <v>85</v>
      </c>
      <c r="N600" t="str">
        <f t="shared" si="334"/>
        <v>s</v>
      </c>
      <c r="Q600" t="str">
        <f t="shared" si="332"/>
        <v/>
      </c>
      <c r="S600">
        <v>311</v>
      </c>
      <c r="U600" t="str">
        <f>IF(B600=1,MAX($U$2:$U599)+1,IF(AND($T600&lt;&gt;"",$T600=$T599),$U599,IF(B600="x",U599,"")))</f>
        <v/>
      </c>
      <c r="V600" t="str">
        <f>IF(C600=1,MAX($V$2:$V599)+1,IF(AND($T600&lt;&gt;"",$T600=$T599),$U599,IF(C600="x",V599,"")))</f>
        <v/>
      </c>
      <c r="W600" t="str">
        <f t="shared" si="306"/>
        <v>h</v>
      </c>
      <c r="X600">
        <v>84</v>
      </c>
      <c r="Y600" t="e">
        <f>IF(X600&lt;&gt;"",VLOOKUP(X600,game_rosters!$C$43:$E$64,3,FALSE))</f>
        <v>#N/A</v>
      </c>
      <c r="Z600" t="str" cm="1">
        <f t="array" ref="Z600">IFERROR(IF(_xlfn._xlws.FILTER(game_rosters!$J:$J,(game_rosters!$G:$G=events!$AN600)*(game_rosters!$J:$J=events!$X600))&gt;0,1,""),"")</f>
        <v/>
      </c>
      <c r="AA600">
        <f t="shared" si="307"/>
        <v>1311</v>
      </c>
      <c r="AB600" t="str">
        <f t="shared" si="308"/>
        <v/>
      </c>
      <c r="AC600">
        <f t="shared" si="305"/>
        <v>1311</v>
      </c>
      <c r="AD600" s="6">
        <v>1</v>
      </c>
      <c r="AE600" t="s">
        <v>752</v>
      </c>
      <c r="AF600" t="s">
        <v>897</v>
      </c>
      <c r="AG600" t="s">
        <v>752</v>
      </c>
      <c r="AH600" t="s">
        <v>922</v>
      </c>
      <c r="AI600" t="s">
        <v>368</v>
      </c>
      <c r="AJ600" t="str">
        <f t="shared" si="333"/>
        <v>o</v>
      </c>
      <c r="AK600" t="str">
        <f t="shared" si="333"/>
        <v>o</v>
      </c>
      <c r="AL600" t="str">
        <f t="shared" si="310"/>
        <v>o</v>
      </c>
      <c r="AN600" t="s">
        <v>861</v>
      </c>
      <c r="AO600" t="str">
        <f t="shared" si="311"/>
        <v>h</v>
      </c>
      <c r="AP600" t="str">
        <f t="shared" si="318"/>
        <v>o</v>
      </c>
      <c r="AQ600" t="str">
        <f t="shared" si="319"/>
        <v/>
      </c>
      <c r="AR600" t="str">
        <f t="shared" si="320"/>
        <v>Home</v>
      </c>
      <c r="AS600" t="str">
        <f t="shared" si="321"/>
        <v>h</v>
      </c>
      <c r="AT600" t="str">
        <f t="shared" si="322"/>
        <v>Defensive</v>
      </c>
      <c r="BA600" s="6">
        <f t="shared" si="312"/>
        <v>159</v>
      </c>
      <c r="BB600">
        <f t="shared" si="313"/>
        <v>18981</v>
      </c>
      <c r="BC600" t="str">
        <f t="shared" si="314"/>
        <v>Nelson</v>
      </c>
      <c r="BD600" t="str">
        <f t="shared" si="315"/>
        <v>Velodrome</v>
      </c>
      <c r="BE600" t="s">
        <v>238</v>
      </c>
      <c r="BF600" t="s">
        <v>174</v>
      </c>
      <c r="BG600" t="s">
        <v>85</v>
      </c>
      <c r="BI600" cm="1">
        <f t="array" ref="BI600">IFERROR(_xlfn._xlws.FILTER(shifts!A:A,(shifts!B:B=events!AD600)*(shifts!AG:AG&gt;=events!BK600)*(shifts!AH:AH&lt;=events!BL600)),BI599)</f>
        <v>29</v>
      </c>
      <c r="BJ600" s="15">
        <f t="shared" si="316"/>
        <v>2</v>
      </c>
      <c r="BK600">
        <f t="shared" si="323"/>
        <v>352</v>
      </c>
      <c r="BL600">
        <f t="shared" si="324"/>
        <v>350</v>
      </c>
      <c r="BM600" s="15">
        <f>SUMIFS(BJ$2:BJ600,K$2:K600,"=Intermission")+SUMIFS(BJ$2:BJ600,K$2:K600,"=Timeout")</f>
        <v>0</v>
      </c>
      <c r="BN600">
        <f t="shared" si="325"/>
        <v>0</v>
      </c>
      <c r="BO600" s="19">
        <f t="shared" si="326"/>
        <v>728</v>
      </c>
      <c r="BP600">
        <f t="shared" si="327"/>
        <v>723</v>
      </c>
      <c r="BQ600" s="17">
        <f t="shared" si="328"/>
        <v>730</v>
      </c>
      <c r="BR600" t="str">
        <f t="shared" si="329"/>
        <v>opp_team_player_2</v>
      </c>
      <c r="BS600">
        <f>COUNTIFS(S$3:S600,"="&amp;S600,AI$3:AI600,"="&amp;AI600)</f>
        <v>2</v>
      </c>
      <c r="BT600" t="str">
        <f>IFERROR(VLOOKUP(BB600&amp;BU600&amp;X600,game_rosters!U:W,3,FALSE),"")</f>
        <v>P100198</v>
      </c>
      <c r="BU600" t="str">
        <f t="shared" si="330"/>
        <v>Velodrome</v>
      </c>
    </row>
    <row r="601" spans="1:73" x14ac:dyDescent="0.2">
      <c r="A601">
        <f t="shared" si="317"/>
        <v>1</v>
      </c>
      <c r="E601" s="4"/>
      <c r="F601" s="43"/>
      <c r="G601" s="4"/>
      <c r="H601" s="46"/>
      <c r="J601" s="44" t="str">
        <f t="shared" si="331"/>
        <v>o</v>
      </c>
      <c r="K601" t="s">
        <v>238</v>
      </c>
      <c r="L601" t="s">
        <v>174</v>
      </c>
      <c r="M601" t="s">
        <v>85</v>
      </c>
      <c r="N601" t="str">
        <f t="shared" si="334"/>
        <v>s</v>
      </c>
      <c r="Q601" t="str">
        <f t="shared" si="332"/>
        <v/>
      </c>
      <c r="S601">
        <v>311</v>
      </c>
      <c r="U601" t="str">
        <f>IF(B601=1,MAX($U$2:$U600)+1,IF(AND($T601&lt;&gt;"",$T601=$T600),$U600,IF(B601="x",U600,"")))</f>
        <v/>
      </c>
      <c r="V601" t="str">
        <f>IF(C601=1,MAX($V$2:$V600)+1,IF(AND($T601&lt;&gt;"",$T601=$T600),$U600,IF(C601="x",V600,"")))</f>
        <v/>
      </c>
      <c r="W601" t="str">
        <f t="shared" si="306"/>
        <v>h</v>
      </c>
      <c r="X601">
        <v>22</v>
      </c>
      <c r="Y601" t="e">
        <f>IF(X601&lt;&gt;"",VLOOKUP(X601,game_rosters!$C$43:$E$64,3,FALSE))</f>
        <v>#N/A</v>
      </c>
      <c r="Z601" t="str" cm="1">
        <f t="array" ref="Z601">IFERROR(IF(_xlfn._xlws.FILTER(game_rosters!$J:$J,(game_rosters!$G:$G=events!$AN601)*(game_rosters!$J:$J=events!$X601))&gt;0,1,""),"")</f>
        <v/>
      </c>
      <c r="AA601">
        <f t="shared" si="307"/>
        <v>1311</v>
      </c>
      <c r="AB601" t="str">
        <f t="shared" si="308"/>
        <v/>
      </c>
      <c r="AC601">
        <f t="shared" si="305"/>
        <v>1311</v>
      </c>
      <c r="AD601" s="6">
        <v>1</v>
      </c>
      <c r="AE601" t="s">
        <v>752</v>
      </c>
      <c r="AF601" t="s">
        <v>897</v>
      </c>
      <c r="AG601" t="s">
        <v>752</v>
      </c>
      <c r="AH601" t="s">
        <v>922</v>
      </c>
      <c r="AI601" t="s">
        <v>368</v>
      </c>
      <c r="AJ601" t="str">
        <f t="shared" si="333"/>
        <v>o</v>
      </c>
      <c r="AK601" t="str">
        <f t="shared" si="333"/>
        <v>o</v>
      </c>
      <c r="AL601" t="str">
        <f t="shared" si="310"/>
        <v>o</v>
      </c>
      <c r="AN601" t="s">
        <v>861</v>
      </c>
      <c r="AO601" t="str">
        <f t="shared" si="311"/>
        <v>h</v>
      </c>
      <c r="AP601" t="str">
        <f t="shared" si="318"/>
        <v>o</v>
      </c>
      <c r="AQ601" t="str">
        <f t="shared" si="319"/>
        <v/>
      </c>
      <c r="AR601" t="str">
        <f t="shared" si="320"/>
        <v>Home</v>
      </c>
      <c r="AS601" t="str">
        <f t="shared" si="321"/>
        <v>h</v>
      </c>
      <c r="AT601" t="str">
        <f t="shared" si="322"/>
        <v>Defensive</v>
      </c>
      <c r="BA601" s="6">
        <f t="shared" si="312"/>
        <v>160</v>
      </c>
      <c r="BB601">
        <f t="shared" si="313"/>
        <v>18981</v>
      </c>
      <c r="BC601" t="str">
        <f t="shared" si="314"/>
        <v>Nelson</v>
      </c>
      <c r="BD601" t="str">
        <f t="shared" si="315"/>
        <v>Velodrome</v>
      </c>
      <c r="BE601" t="s">
        <v>238</v>
      </c>
      <c r="BF601" t="s">
        <v>174</v>
      </c>
      <c r="BG601" t="s">
        <v>85</v>
      </c>
      <c r="BI601" cm="1">
        <f t="array" ref="BI601">IFERROR(_xlfn._xlws.FILTER(shifts!A:A,(shifts!B:B=events!AD601)*(shifts!AG:AG&gt;=events!BK601)*(shifts!AH:AH&lt;=events!BL601)),BI600)</f>
        <v>29</v>
      </c>
      <c r="BJ601" s="15">
        <f t="shared" si="316"/>
        <v>2</v>
      </c>
      <c r="BK601">
        <f t="shared" si="323"/>
        <v>352</v>
      </c>
      <c r="BL601">
        <f t="shared" si="324"/>
        <v>350</v>
      </c>
      <c r="BM601" s="15">
        <f>SUMIFS(BJ$2:BJ601,K$2:K601,"=Intermission")+SUMIFS(BJ$2:BJ601,K$2:K601,"=Timeout")</f>
        <v>0</v>
      </c>
      <c r="BN601">
        <f t="shared" si="325"/>
        <v>0</v>
      </c>
      <c r="BO601" s="19">
        <f t="shared" si="326"/>
        <v>728</v>
      </c>
      <c r="BP601">
        <f t="shared" si="327"/>
        <v>723</v>
      </c>
      <c r="BQ601" s="17">
        <f t="shared" si="328"/>
        <v>730</v>
      </c>
      <c r="BR601" t="str">
        <f t="shared" si="329"/>
        <v>opp_team_player_3</v>
      </c>
      <c r="BS601">
        <f>COUNTIFS(S$3:S601,"="&amp;S601,AI$3:AI601,"="&amp;AI601)</f>
        <v>3</v>
      </c>
      <c r="BT601" t="str">
        <f>IFERROR(VLOOKUP(BB601&amp;BU601&amp;X601,game_rosters!U:W,3,FALSE),"")</f>
        <v>P100108</v>
      </c>
      <c r="BU601" t="str">
        <f t="shared" si="330"/>
        <v>Velodrome</v>
      </c>
    </row>
    <row r="602" spans="1:73" x14ac:dyDescent="0.2">
      <c r="A602">
        <f t="shared" si="317"/>
        <v>1</v>
      </c>
      <c r="E602" s="4"/>
      <c r="F602" s="43"/>
      <c r="G602" s="4"/>
      <c r="H602" s="46"/>
      <c r="J602" s="44" t="str">
        <f t="shared" si="331"/>
        <v>o</v>
      </c>
      <c r="K602" t="s">
        <v>6</v>
      </c>
      <c r="L602" t="s">
        <v>181</v>
      </c>
      <c r="M602" t="s">
        <v>51</v>
      </c>
      <c r="N602" t="str">
        <f t="shared" si="334"/>
        <v>u</v>
      </c>
      <c r="Q602" t="str">
        <f t="shared" si="332"/>
        <v/>
      </c>
      <c r="S602">
        <v>312</v>
      </c>
      <c r="U602" t="str">
        <f>IF(B602=1,MAX($U$2:$U601)+1,IF(AND($T602&lt;&gt;"",$T602=$T601),$U601,IF(B602="x",U601,"")))</f>
        <v/>
      </c>
      <c r="V602" t="str">
        <f>IF(C602=1,MAX($V$2:$V601)+1,IF(AND($T602&lt;&gt;"",$T602=$T601),$U601,IF(C602="x",V601,"")))</f>
        <v/>
      </c>
      <c r="W602" t="str">
        <f t="shared" si="306"/>
        <v>h</v>
      </c>
      <c r="X602">
        <v>80</v>
      </c>
      <c r="Y602" t="b">
        <f>IF(X602&lt;&gt;"",VLOOKUP(X602,game_rosters!$C$43:$E$64,3,FALSE))</f>
        <v>0</v>
      </c>
      <c r="Z602" cm="1">
        <f t="array" ref="Z602">IFERROR(IF(_xlfn._xlws.FILTER(game_rosters!$J:$J,(game_rosters!$G:$G=events!$AN602)*(game_rosters!$J:$J=events!$X602))&gt;0,1,""),"")</f>
        <v>1</v>
      </c>
      <c r="AA602">
        <f t="shared" si="307"/>
        <v>1312</v>
      </c>
      <c r="AB602" t="str">
        <f t="shared" si="308"/>
        <v/>
      </c>
      <c r="AC602">
        <f t="shared" si="305"/>
        <v>1312</v>
      </c>
      <c r="AD602" s="6">
        <v>1</v>
      </c>
      <c r="AE602" t="s">
        <v>752</v>
      </c>
      <c r="AF602" t="s">
        <v>922</v>
      </c>
      <c r="AG602" t="s">
        <v>756</v>
      </c>
      <c r="AH602" t="s">
        <v>756</v>
      </c>
      <c r="AI602" t="s">
        <v>367</v>
      </c>
      <c r="AJ602" t="str">
        <f t="shared" si="333"/>
        <v>o</v>
      </c>
      <c r="AK602" t="str">
        <f t="shared" si="333"/>
        <v>o</v>
      </c>
      <c r="AL602" t="str">
        <f t="shared" si="310"/>
        <v>o</v>
      </c>
      <c r="AN602" t="s">
        <v>861</v>
      </c>
      <c r="AO602" t="str">
        <f t="shared" si="311"/>
        <v>h</v>
      </c>
      <c r="AP602" t="str">
        <f t="shared" si="318"/>
        <v>o</v>
      </c>
      <c r="AQ602" t="str">
        <f t="shared" si="319"/>
        <v/>
      </c>
      <c r="AR602" t="str">
        <f t="shared" si="320"/>
        <v>Home</v>
      </c>
      <c r="AS602" t="str">
        <f t="shared" si="321"/>
        <v>h</v>
      </c>
      <c r="AT602" t="str">
        <f t="shared" si="322"/>
        <v>Offensive</v>
      </c>
      <c r="BA602" s="6">
        <f t="shared" si="312"/>
        <v>160</v>
      </c>
      <c r="BB602">
        <f t="shared" si="313"/>
        <v>18981</v>
      </c>
      <c r="BC602" t="str">
        <f t="shared" si="314"/>
        <v>Nelson</v>
      </c>
      <c r="BD602" t="str">
        <f t="shared" si="315"/>
        <v>Velodrome</v>
      </c>
      <c r="BE602" t="s">
        <v>6</v>
      </c>
      <c r="BF602" t="s">
        <v>181</v>
      </c>
      <c r="BG602" t="s">
        <v>51</v>
      </c>
      <c r="BI602" cm="1">
        <f t="array" ref="BI602">IFERROR(_xlfn._xlws.FILTER(shifts!A:A,(shifts!B:B=events!AD602)*(shifts!AG:AG&gt;=events!BK602)*(shifts!AH:AH&lt;=events!BL602)),BI601)</f>
        <v>29</v>
      </c>
      <c r="BJ602" s="15">
        <f t="shared" si="316"/>
        <v>0</v>
      </c>
      <c r="BK602">
        <f t="shared" si="323"/>
        <v>350</v>
      </c>
      <c r="BL602">
        <f t="shared" si="324"/>
        <v>350</v>
      </c>
      <c r="BM602" s="15">
        <f>SUMIFS(BJ$2:BJ602,K$2:K602,"=Intermission")+SUMIFS(BJ$2:BJ602,K$2:K602,"=Timeout")</f>
        <v>0</v>
      </c>
      <c r="BN602">
        <f t="shared" si="325"/>
        <v>0</v>
      </c>
      <c r="BO602" s="19">
        <f t="shared" si="326"/>
        <v>730</v>
      </c>
      <c r="BP602">
        <f t="shared" si="327"/>
        <v>725</v>
      </c>
      <c r="BQ602" s="17">
        <f t="shared" si="328"/>
        <v>730</v>
      </c>
      <c r="BR602" t="str">
        <f t="shared" si="329"/>
        <v>event_team_player_1</v>
      </c>
      <c r="BS602">
        <f>COUNTIFS(S$3:S602,"="&amp;S602,AI$3:AI602,"="&amp;AI602)</f>
        <v>1</v>
      </c>
      <c r="BT602" t="str">
        <f>IFERROR(VLOOKUP(BB602&amp;BU602&amp;X602,game_rosters!U:W,3,FALSE),"")</f>
        <v>P100197</v>
      </c>
      <c r="BU602" t="str">
        <f t="shared" si="330"/>
        <v>Nelson</v>
      </c>
    </row>
    <row r="603" spans="1:73" x14ac:dyDescent="0.2">
      <c r="A603">
        <f t="shared" si="317"/>
        <v>1</v>
      </c>
      <c r="E603" s="4"/>
      <c r="F603" s="43"/>
      <c r="G603" s="4"/>
      <c r="H603" s="46"/>
      <c r="J603" s="44" t="str">
        <f t="shared" si="331"/>
        <v>d</v>
      </c>
      <c r="K603" t="s">
        <v>238</v>
      </c>
      <c r="L603" t="s">
        <v>184</v>
      </c>
      <c r="M603" t="s">
        <v>374</v>
      </c>
      <c r="N603" t="str">
        <f t="shared" si="334"/>
        <v>s</v>
      </c>
      <c r="Q603" t="str">
        <f t="shared" si="332"/>
        <v/>
      </c>
      <c r="S603">
        <v>313</v>
      </c>
      <c r="U603" t="str">
        <f>IF(B603=1,MAX($U$2:$U602)+1,IF(AND($T603&lt;&gt;"",$T603=$T602),$U602,IF(B603="x",U602,"")))</f>
        <v/>
      </c>
      <c r="V603" t="str">
        <f>IF(C603=1,MAX($V$2:$V602)+1,IF(AND($T603&lt;&gt;"",$T603=$T602),$U602,IF(C603="x",V602,"")))</f>
        <v/>
      </c>
      <c r="W603" t="str">
        <f t="shared" si="306"/>
        <v>a</v>
      </c>
      <c r="X603">
        <v>22</v>
      </c>
      <c r="Y603" t="e">
        <f>IF(X603&lt;&gt;"",VLOOKUP(X603,game_rosters!$C$43:$E$64,3,FALSE))</f>
        <v>#N/A</v>
      </c>
      <c r="Z603" cm="1">
        <f t="array" ref="Z603">IFERROR(IF(_xlfn._xlws.FILTER(game_rosters!$J:$J,(game_rosters!$G:$G=events!$AN603)*(game_rosters!$J:$J=events!$X603))&gt;0,1,""),"")</f>
        <v>1</v>
      </c>
      <c r="AA603">
        <f t="shared" si="307"/>
        <v>1313</v>
      </c>
      <c r="AB603" t="str">
        <f t="shared" si="308"/>
        <v/>
      </c>
      <c r="AC603">
        <f t="shared" si="305"/>
        <v>1313</v>
      </c>
      <c r="AD603" s="6">
        <v>1</v>
      </c>
      <c r="AE603" t="s">
        <v>752</v>
      </c>
      <c r="AF603" t="s">
        <v>901</v>
      </c>
      <c r="AG603" t="s">
        <v>756</v>
      </c>
      <c r="AH603" t="s">
        <v>756</v>
      </c>
      <c r="AI603" t="s">
        <v>367</v>
      </c>
      <c r="AJ603" t="str">
        <f t="shared" si="333"/>
        <v>d</v>
      </c>
      <c r="AK603" t="str">
        <f t="shared" si="333"/>
        <v>d</v>
      </c>
      <c r="AL603" t="str">
        <f t="shared" si="310"/>
        <v>o</v>
      </c>
      <c r="AN603" t="s">
        <v>862</v>
      </c>
      <c r="AO603" t="str">
        <f t="shared" si="311"/>
        <v>a</v>
      </c>
      <c r="AP603" t="str">
        <f t="shared" si="318"/>
        <v>o</v>
      </c>
      <c r="AQ603" t="str">
        <f t="shared" si="319"/>
        <v/>
      </c>
      <c r="AR603" t="str">
        <f t="shared" si="320"/>
        <v>Away</v>
      </c>
      <c r="AS603" t="str">
        <f t="shared" si="321"/>
        <v>a</v>
      </c>
      <c r="AT603" t="str">
        <f t="shared" si="322"/>
        <v>Offensive</v>
      </c>
      <c r="BA603" s="6">
        <f t="shared" si="312"/>
        <v>161</v>
      </c>
      <c r="BB603">
        <f t="shared" si="313"/>
        <v>18981</v>
      </c>
      <c r="BC603" t="str">
        <f t="shared" si="314"/>
        <v>Nelson</v>
      </c>
      <c r="BD603" t="str">
        <f t="shared" si="315"/>
        <v>Velodrome</v>
      </c>
      <c r="BE603" t="s">
        <v>238</v>
      </c>
      <c r="BF603" t="s">
        <v>184</v>
      </c>
      <c r="BG603" t="s">
        <v>374</v>
      </c>
      <c r="BI603" cm="1">
        <f t="array" ref="BI603">IFERROR(_xlfn._xlws.FILTER(shifts!A:A,(shifts!B:B=events!AD603)*(shifts!AG:AG&gt;=events!BK603)*(shifts!AH:AH&lt;=events!BL603)),BI602)</f>
        <v>29</v>
      </c>
      <c r="BJ603" s="15">
        <f t="shared" si="316"/>
        <v>0</v>
      </c>
      <c r="BK603">
        <f t="shared" si="323"/>
        <v>343</v>
      </c>
      <c r="BL603">
        <f t="shared" si="324"/>
        <v>343</v>
      </c>
      <c r="BM603" s="15">
        <f>SUMIFS(BJ$2:BJ603,K$2:K603,"=Intermission")+SUMIFS(BJ$2:BJ603,K$2:K603,"=Timeout")</f>
        <v>0</v>
      </c>
      <c r="BN603">
        <f t="shared" si="325"/>
        <v>0</v>
      </c>
      <c r="BO603" s="19">
        <f t="shared" si="326"/>
        <v>737</v>
      </c>
      <c r="BP603">
        <f t="shared" si="327"/>
        <v>732</v>
      </c>
      <c r="BQ603" s="17">
        <f t="shared" si="328"/>
        <v>737</v>
      </c>
      <c r="BR603" t="str">
        <f t="shared" si="329"/>
        <v>event_team_player_1</v>
      </c>
      <c r="BS603">
        <f>COUNTIFS(S$3:S603,"="&amp;S603,AI$3:AI603,"="&amp;AI603)</f>
        <v>1</v>
      </c>
      <c r="BT603" t="str">
        <f>IFERROR(VLOOKUP(BB603&amp;BU603&amp;X603,game_rosters!U:W,3,FALSE),"")</f>
        <v>P100108</v>
      </c>
      <c r="BU603" t="str">
        <f t="shared" si="330"/>
        <v>Velodrome</v>
      </c>
    </row>
    <row r="604" spans="1:73" x14ac:dyDescent="0.2">
      <c r="A604">
        <f t="shared" si="317"/>
        <v>1</v>
      </c>
      <c r="E604" s="4"/>
      <c r="F604" s="43"/>
      <c r="G604" s="4"/>
      <c r="H604" s="46"/>
      <c r="J604" s="44" t="str">
        <f t="shared" si="331"/>
        <v/>
      </c>
      <c r="K604" t="s">
        <v>9</v>
      </c>
      <c r="L604" t="s">
        <v>173</v>
      </c>
      <c r="M604" t="s">
        <v>71</v>
      </c>
      <c r="N604" t="str">
        <f t="shared" si="334"/>
        <v>u</v>
      </c>
      <c r="Q604" t="str">
        <f t="shared" si="332"/>
        <v/>
      </c>
      <c r="S604">
        <v>314</v>
      </c>
      <c r="U604" t="str">
        <f>IF(B604=1,MAX($U$2:$U603)+1,IF(AND($T604&lt;&gt;"",$T604=$T603),$U603,IF(B604="x",U603,"")))</f>
        <v/>
      </c>
      <c r="V604" t="str">
        <f>IF(C604=1,MAX($V$2:$V603)+1,IF(AND($T604&lt;&gt;"",$T604=$T603),$U603,IF(C604="x",V603,"")))</f>
        <v/>
      </c>
      <c r="W604" t="str">
        <f t="shared" si="306"/>
        <v>a</v>
      </c>
      <c r="X604">
        <v>22</v>
      </c>
      <c r="Y604" t="e">
        <f>IF(X604&lt;&gt;"",VLOOKUP(X604,game_rosters!$C$43:$E$64,3,FALSE))</f>
        <v>#N/A</v>
      </c>
      <c r="Z604" cm="1">
        <f t="array" ref="Z604">IFERROR(IF(_xlfn._xlws.FILTER(game_rosters!$J:$J,(game_rosters!$G:$G=events!$AN604)*(game_rosters!$J:$J=events!$X604))&gt;0,1,""),"")</f>
        <v>1</v>
      </c>
      <c r="AA604">
        <f t="shared" si="307"/>
        <v>1314</v>
      </c>
      <c r="AB604" t="str">
        <f t="shared" si="308"/>
        <v/>
      </c>
      <c r="AC604">
        <f t="shared" si="305"/>
        <v>1314</v>
      </c>
      <c r="AD604" s="6">
        <v>1</v>
      </c>
      <c r="AE604" t="s">
        <v>752</v>
      </c>
      <c r="AF604" t="s">
        <v>901</v>
      </c>
      <c r="AG604" t="s">
        <v>756</v>
      </c>
      <c r="AH604" t="s">
        <v>756</v>
      </c>
      <c r="AI604" t="s">
        <v>367</v>
      </c>
      <c r="AJ604" t="str">
        <f t="shared" si="333"/>
        <v/>
      </c>
      <c r="AK604" t="str">
        <f t="shared" si="333"/>
        <v/>
      </c>
      <c r="AL604" t="str">
        <f t="shared" si="310"/>
        <v/>
      </c>
      <c r="AN604" t="s">
        <v>862</v>
      </c>
      <c r="AO604" t="str">
        <f t="shared" si="311"/>
        <v>a</v>
      </c>
      <c r="AP604" t="str">
        <f t="shared" si="318"/>
        <v/>
      </c>
      <c r="AQ604" t="str">
        <f t="shared" si="319"/>
        <v/>
      </c>
      <c r="AR604" t="str">
        <f t="shared" si="320"/>
        <v>Away</v>
      </c>
      <c r="AS604" t="str">
        <f t="shared" si="321"/>
        <v>a</v>
      </c>
      <c r="AT604" t="str">
        <f t="shared" si="322"/>
        <v>Offensive</v>
      </c>
      <c r="BA604" s="6">
        <f t="shared" si="312"/>
        <v>161</v>
      </c>
      <c r="BB604">
        <f t="shared" si="313"/>
        <v>18981</v>
      </c>
      <c r="BC604" t="str">
        <f t="shared" si="314"/>
        <v>Nelson</v>
      </c>
      <c r="BD604" t="str">
        <f t="shared" si="315"/>
        <v>Velodrome</v>
      </c>
      <c r="BE604" t="s">
        <v>9</v>
      </c>
      <c r="BF604" t="s">
        <v>173</v>
      </c>
      <c r="BG604" t="s">
        <v>71</v>
      </c>
      <c r="BI604" cm="1">
        <f t="array" ref="BI604">IFERROR(_xlfn._xlws.FILTER(shifts!A:A,(shifts!B:B=events!AD604)*(shifts!AG:AG&gt;=events!BK604)*(shifts!AH:AH&lt;=events!BL604)),BI603)</f>
        <v>29</v>
      </c>
      <c r="BJ604" s="15">
        <f t="shared" si="316"/>
        <v>0</v>
      </c>
      <c r="BK604">
        <f t="shared" si="323"/>
        <v>343</v>
      </c>
      <c r="BL604">
        <f t="shared" si="324"/>
        <v>343</v>
      </c>
      <c r="BM604" s="15">
        <f>SUMIFS(BJ$2:BJ604,K$2:K604,"=Intermission")+SUMIFS(BJ$2:BJ604,K$2:K604,"=Timeout")</f>
        <v>0</v>
      </c>
      <c r="BN604">
        <f t="shared" si="325"/>
        <v>0</v>
      </c>
      <c r="BO604" s="19">
        <f t="shared" si="326"/>
        <v>737</v>
      </c>
      <c r="BP604">
        <f t="shared" si="327"/>
        <v>732</v>
      </c>
      <c r="BQ604" s="17">
        <f t="shared" si="328"/>
        <v>737</v>
      </c>
      <c r="BR604" t="str">
        <f t="shared" si="329"/>
        <v>event_team_player_1</v>
      </c>
      <c r="BS604">
        <f>COUNTIFS(S$3:S604,"="&amp;S604,AI$3:AI604,"="&amp;AI604)</f>
        <v>1</v>
      </c>
      <c r="BT604" t="str">
        <f>IFERROR(VLOOKUP(BB604&amp;BU604&amp;X604,game_rosters!U:W,3,FALSE),"")</f>
        <v>P100108</v>
      </c>
      <c r="BU604" t="str">
        <f t="shared" si="330"/>
        <v>Velodrome</v>
      </c>
    </row>
    <row r="605" spans="1:73" x14ac:dyDescent="0.2">
      <c r="A605">
        <f t="shared" si="317"/>
        <v>1</v>
      </c>
      <c r="E605" s="4"/>
      <c r="F605" s="43"/>
      <c r="G605" s="4"/>
      <c r="H605" s="46"/>
      <c r="J605" s="44" t="str">
        <f t="shared" si="331"/>
        <v/>
      </c>
      <c r="K605" t="s">
        <v>9</v>
      </c>
      <c r="L605" t="s">
        <v>173</v>
      </c>
      <c r="M605" t="s">
        <v>71</v>
      </c>
      <c r="N605" t="str">
        <f t="shared" si="334"/>
        <v>u</v>
      </c>
      <c r="Q605" t="str">
        <f t="shared" si="332"/>
        <v/>
      </c>
      <c r="S605">
        <v>314</v>
      </c>
      <c r="U605" t="str">
        <f>IF(B605=1,MAX($U$2:$U604)+1,IF(AND($T605&lt;&gt;"",$T605=$T604),$U604,IF(B605="x",U604,"")))</f>
        <v/>
      </c>
      <c r="V605" t="str">
        <f>IF(C605=1,MAX($V$2:$V604)+1,IF(AND($T605&lt;&gt;"",$T605=$T604),$U604,IF(C605="x",V604,"")))</f>
        <v/>
      </c>
      <c r="W605" t="str">
        <f t="shared" si="306"/>
        <v>a</v>
      </c>
      <c r="X605">
        <v>16</v>
      </c>
      <c r="Y605" t="b">
        <f>IF(X605&lt;&gt;"",VLOOKUP(X605,game_rosters!$C$43:$E$64,3,FALSE))</f>
        <v>0</v>
      </c>
      <c r="Z605" t="str" cm="1">
        <f t="array" ref="Z605">IFERROR(IF(_xlfn._xlws.FILTER(game_rosters!$J:$J,(game_rosters!$G:$G=events!$AN605)*(game_rosters!$J:$J=events!$X605))&gt;0,1,""),"")</f>
        <v/>
      </c>
      <c r="AA605">
        <f t="shared" si="307"/>
        <v>1314</v>
      </c>
      <c r="AB605" t="str">
        <f t="shared" si="308"/>
        <v/>
      </c>
      <c r="AC605">
        <f t="shared" si="305"/>
        <v>1314</v>
      </c>
      <c r="AD605" s="6">
        <v>1</v>
      </c>
      <c r="AE605" t="s">
        <v>752</v>
      </c>
      <c r="AF605" t="s">
        <v>901</v>
      </c>
      <c r="AG605" t="s">
        <v>756</v>
      </c>
      <c r="AH605" t="s">
        <v>756</v>
      </c>
      <c r="AI605" t="s">
        <v>368</v>
      </c>
      <c r="AJ605" t="str">
        <f t="shared" si="333"/>
        <v/>
      </c>
      <c r="AK605" t="str">
        <f t="shared" si="333"/>
        <v/>
      </c>
      <c r="AL605" t="str">
        <f t="shared" si="310"/>
        <v/>
      </c>
      <c r="AN605" t="s">
        <v>862</v>
      </c>
      <c r="AO605" t="str">
        <f t="shared" si="311"/>
        <v>a</v>
      </c>
      <c r="AP605" t="str">
        <f t="shared" si="318"/>
        <v/>
      </c>
      <c r="AQ605" t="str">
        <f t="shared" si="319"/>
        <v/>
      </c>
      <c r="AR605" t="str">
        <f t="shared" si="320"/>
        <v>Away</v>
      </c>
      <c r="AS605" t="str">
        <f t="shared" si="321"/>
        <v>a</v>
      </c>
      <c r="AT605" t="str">
        <f t="shared" si="322"/>
        <v>Defensive</v>
      </c>
      <c r="BA605" s="6">
        <f t="shared" si="312"/>
        <v>161</v>
      </c>
      <c r="BB605">
        <f t="shared" si="313"/>
        <v>18981</v>
      </c>
      <c r="BC605" t="str">
        <f t="shared" si="314"/>
        <v>Nelson</v>
      </c>
      <c r="BD605" t="str">
        <f t="shared" si="315"/>
        <v>Velodrome</v>
      </c>
      <c r="BE605" t="s">
        <v>9</v>
      </c>
      <c r="BF605" t="s">
        <v>173</v>
      </c>
      <c r="BG605" t="s">
        <v>71</v>
      </c>
      <c r="BI605" cm="1">
        <f t="array" ref="BI605">IFERROR(_xlfn._xlws.FILTER(shifts!A:A,(shifts!B:B=events!AD605)*(shifts!AG:AG&gt;=events!BK605)*(shifts!AH:AH&lt;=events!BL605)),BI604)</f>
        <v>29</v>
      </c>
      <c r="BJ605" s="15">
        <f t="shared" si="316"/>
        <v>0</v>
      </c>
      <c r="BK605">
        <f t="shared" si="323"/>
        <v>343</v>
      </c>
      <c r="BL605">
        <f t="shared" si="324"/>
        <v>343</v>
      </c>
      <c r="BM605" s="15">
        <f>SUMIFS(BJ$2:BJ605,K$2:K605,"=Intermission")+SUMIFS(BJ$2:BJ605,K$2:K605,"=Timeout")</f>
        <v>0</v>
      </c>
      <c r="BN605">
        <f t="shared" si="325"/>
        <v>0</v>
      </c>
      <c r="BO605" s="19">
        <f t="shared" si="326"/>
        <v>737</v>
      </c>
      <c r="BP605">
        <f t="shared" si="327"/>
        <v>732</v>
      </c>
      <c r="BQ605" s="17">
        <f t="shared" si="328"/>
        <v>737</v>
      </c>
      <c r="BR605" t="str">
        <f t="shared" si="329"/>
        <v>opp_team_player_1</v>
      </c>
      <c r="BS605">
        <f>COUNTIFS(S$3:S605,"="&amp;S605,AI$3:AI605,"="&amp;AI605)</f>
        <v>1</v>
      </c>
      <c r="BT605" t="str">
        <f>IFERROR(VLOOKUP(BB605&amp;BU605&amp;X605,game_rosters!U:W,3,FALSE),"")</f>
        <v>P100164</v>
      </c>
      <c r="BU605" t="str">
        <f t="shared" si="330"/>
        <v>Nelson</v>
      </c>
    </row>
    <row r="606" spans="1:73" x14ac:dyDescent="0.2">
      <c r="A606">
        <f t="shared" si="317"/>
        <v>1</v>
      </c>
      <c r="E606" s="4"/>
      <c r="F606" s="43"/>
      <c r="G606" s="4"/>
      <c r="H606" s="46"/>
      <c r="J606" s="44" t="str">
        <f t="shared" si="331"/>
        <v/>
      </c>
      <c r="K606" t="s">
        <v>13</v>
      </c>
      <c r="L606" t="s">
        <v>756</v>
      </c>
      <c r="M606" t="s">
        <v>756</v>
      </c>
      <c r="N606" t="str">
        <f t="shared" si="334"/>
        <v/>
      </c>
      <c r="Q606" t="str">
        <f t="shared" si="332"/>
        <v/>
      </c>
      <c r="S606">
        <v>315</v>
      </c>
      <c r="U606" t="str">
        <f>IF(B606=1,MAX($U$2:$U605)+1,IF(AND($T606&lt;&gt;"",$T606=$T605),$U605,IF(B606="x",U605,"")))</f>
        <v/>
      </c>
      <c r="V606" t="str">
        <f>IF(C606=1,MAX($V$2:$V605)+1,IF(AND($T606&lt;&gt;"",$T606=$T605),$U605,IF(C606="x",V605,"")))</f>
        <v/>
      </c>
      <c r="W606" t="str">
        <f t="shared" si="306"/>
        <v>h</v>
      </c>
      <c r="X606">
        <v>16</v>
      </c>
      <c r="Y606" t="b">
        <f>IF(X606&lt;&gt;"",VLOOKUP(X606,game_rosters!$C$43:$E$64,3,FALSE))</f>
        <v>0</v>
      </c>
      <c r="Z606" cm="1">
        <f t="array" ref="Z606">IFERROR(IF(_xlfn._xlws.FILTER(game_rosters!$J:$J,(game_rosters!$G:$G=events!$AN606)*(game_rosters!$J:$J=events!$X606))&gt;0,1,""),"")</f>
        <v>1</v>
      </c>
      <c r="AA606">
        <f t="shared" si="307"/>
        <v>1315</v>
      </c>
      <c r="AB606" t="str">
        <f t="shared" si="308"/>
        <v/>
      </c>
      <c r="AC606">
        <f t="shared" si="305"/>
        <v>1315</v>
      </c>
      <c r="AD606" s="6">
        <v>1</v>
      </c>
      <c r="AE606" t="s">
        <v>752</v>
      </c>
      <c r="AF606" t="s">
        <v>902</v>
      </c>
      <c r="AG606" t="s">
        <v>752</v>
      </c>
      <c r="AH606" t="s">
        <v>749</v>
      </c>
      <c r="AI606" t="s">
        <v>367</v>
      </c>
      <c r="AJ606" t="str">
        <f t="shared" si="333"/>
        <v/>
      </c>
      <c r="AK606" t="str">
        <f t="shared" si="333"/>
        <v/>
      </c>
      <c r="AL606" t="str">
        <f t="shared" si="310"/>
        <v/>
      </c>
      <c r="AN606" t="s">
        <v>861</v>
      </c>
      <c r="AO606" t="str">
        <f t="shared" si="311"/>
        <v>h</v>
      </c>
      <c r="AP606" t="str">
        <f t="shared" si="318"/>
        <v/>
      </c>
      <c r="AQ606" t="str">
        <f t="shared" si="319"/>
        <v/>
      </c>
      <c r="AR606" t="str">
        <f t="shared" si="320"/>
        <v>Home</v>
      </c>
      <c r="AS606" t="str">
        <f t="shared" si="321"/>
        <v>h</v>
      </c>
      <c r="AT606" t="str">
        <f t="shared" si="322"/>
        <v>Offensive</v>
      </c>
      <c r="BA606" s="6">
        <f t="shared" si="312"/>
        <v>161</v>
      </c>
      <c r="BB606">
        <f t="shared" si="313"/>
        <v>18981</v>
      </c>
      <c r="BC606" t="str">
        <f t="shared" si="314"/>
        <v>Nelson</v>
      </c>
      <c r="BD606" t="str">
        <f t="shared" si="315"/>
        <v>Velodrome</v>
      </c>
      <c r="BE606" t="s">
        <v>13</v>
      </c>
      <c r="BF606" t="s">
        <v>756</v>
      </c>
      <c r="BG606" t="s">
        <v>756</v>
      </c>
      <c r="BI606" cm="1">
        <f t="array" ref="BI606">IFERROR(_xlfn._xlws.FILTER(shifts!A:A,(shifts!B:B=events!AD606)*(shifts!AG:AG&gt;=events!BK606)*(shifts!AH:AH&lt;=events!BL606)),BI605)</f>
        <v>29</v>
      </c>
      <c r="BJ606" s="15">
        <f t="shared" si="316"/>
        <v>3</v>
      </c>
      <c r="BK606">
        <f t="shared" si="323"/>
        <v>342</v>
      </c>
      <c r="BL606">
        <f t="shared" si="324"/>
        <v>339</v>
      </c>
      <c r="BM606" s="15">
        <f>SUMIFS(BJ$2:BJ606,K$2:K606,"=Intermission")+SUMIFS(BJ$2:BJ606,K$2:K606,"=Timeout")</f>
        <v>0</v>
      </c>
      <c r="BN606">
        <f t="shared" si="325"/>
        <v>0</v>
      </c>
      <c r="BO606" s="19">
        <f t="shared" si="326"/>
        <v>738</v>
      </c>
      <c r="BP606">
        <f t="shared" si="327"/>
        <v>733</v>
      </c>
      <c r="BQ606" s="17">
        <f t="shared" si="328"/>
        <v>741</v>
      </c>
      <c r="BR606" t="str">
        <f t="shared" si="329"/>
        <v>event_team_player_1</v>
      </c>
      <c r="BS606">
        <f>COUNTIFS(S$3:S606,"="&amp;S606,AI$3:AI606,"="&amp;AI606)</f>
        <v>1</v>
      </c>
      <c r="BT606" t="str">
        <f>IFERROR(VLOOKUP(BB606&amp;BU606&amp;X606,game_rosters!U:W,3,FALSE),"")</f>
        <v>P100164</v>
      </c>
      <c r="BU606" t="str">
        <f t="shared" si="330"/>
        <v>Nelson</v>
      </c>
    </row>
    <row r="607" spans="1:73" x14ac:dyDescent="0.2">
      <c r="A607">
        <f t="shared" si="317"/>
        <v>1</v>
      </c>
      <c r="E607" s="4"/>
      <c r="F607" s="43"/>
      <c r="G607" s="4"/>
      <c r="H607" s="46"/>
      <c r="J607" s="44" t="str">
        <f t="shared" si="331"/>
        <v>o</v>
      </c>
      <c r="K607" t="s">
        <v>238</v>
      </c>
      <c r="L607" t="s">
        <v>174</v>
      </c>
      <c r="M607" t="s">
        <v>85</v>
      </c>
      <c r="N607" t="str">
        <f t="shared" si="334"/>
        <v>s</v>
      </c>
      <c r="Q607" t="str">
        <f t="shared" si="332"/>
        <v/>
      </c>
      <c r="S607">
        <v>316</v>
      </c>
      <c r="U607" t="str">
        <f>IF(B607=1,MAX($U$2:$U606)+1,IF(AND($T607&lt;&gt;"",$T607=$T606),$U606,IF(B607="x",U606,"")))</f>
        <v/>
      </c>
      <c r="V607" t="str">
        <f>IF(C607=1,MAX($V$2:$V606)+1,IF(AND($T607&lt;&gt;"",$T607=$T606),$U606,IF(C607="x",V606,"")))</f>
        <v/>
      </c>
      <c r="W607" t="str">
        <f t="shared" si="306"/>
        <v>h</v>
      </c>
      <c r="X607">
        <v>16</v>
      </c>
      <c r="Y607" t="b">
        <f>IF(X607&lt;&gt;"",VLOOKUP(X607,game_rosters!$C$43:$E$64,3,FALSE))</f>
        <v>0</v>
      </c>
      <c r="Z607" cm="1">
        <f t="array" ref="Z607">IFERROR(IF(_xlfn._xlws.FILTER(game_rosters!$J:$J,(game_rosters!$G:$G=events!$AN607)*(game_rosters!$J:$J=events!$X607))&gt;0,1,""),"")</f>
        <v>1</v>
      </c>
      <c r="AA607">
        <f t="shared" si="307"/>
        <v>1316</v>
      </c>
      <c r="AB607" t="str">
        <f t="shared" si="308"/>
        <v/>
      </c>
      <c r="AC607">
        <f t="shared" si="305"/>
        <v>1316</v>
      </c>
      <c r="AD607" s="6">
        <v>1</v>
      </c>
      <c r="AE607" t="s">
        <v>752</v>
      </c>
      <c r="AF607" t="s">
        <v>749</v>
      </c>
      <c r="AG607" t="s">
        <v>940</v>
      </c>
      <c r="AH607" t="s">
        <v>750</v>
      </c>
      <c r="AI607" t="s">
        <v>367</v>
      </c>
      <c r="AJ607" t="str">
        <f t="shared" si="333"/>
        <v>o</v>
      </c>
      <c r="AK607" t="str">
        <f t="shared" si="333"/>
        <v>o</v>
      </c>
      <c r="AL607" t="str">
        <f t="shared" si="310"/>
        <v>o</v>
      </c>
      <c r="AN607" t="s">
        <v>861</v>
      </c>
      <c r="AO607" t="str">
        <f t="shared" si="311"/>
        <v>h</v>
      </c>
      <c r="AP607" t="str">
        <f t="shared" si="318"/>
        <v>o</v>
      </c>
      <c r="AQ607" t="str">
        <f t="shared" si="319"/>
        <v/>
      </c>
      <c r="AR607" t="str">
        <f t="shared" si="320"/>
        <v>Home</v>
      </c>
      <c r="AS607" t="str">
        <f t="shared" si="321"/>
        <v>h</v>
      </c>
      <c r="AT607" t="str">
        <f t="shared" si="322"/>
        <v>Offensive</v>
      </c>
      <c r="BA607" s="6">
        <f t="shared" si="312"/>
        <v>162</v>
      </c>
      <c r="BB607">
        <f t="shared" si="313"/>
        <v>18981</v>
      </c>
      <c r="BC607" t="str">
        <f t="shared" si="314"/>
        <v>Nelson</v>
      </c>
      <c r="BD607" t="str">
        <f t="shared" si="315"/>
        <v>Velodrome</v>
      </c>
      <c r="BE607" t="s">
        <v>238</v>
      </c>
      <c r="BF607" t="s">
        <v>174</v>
      </c>
      <c r="BG607" t="s">
        <v>85</v>
      </c>
      <c r="BI607" cm="1">
        <f t="array" ref="BI607">IFERROR(_xlfn._xlws.FILTER(shifts!A:A,(shifts!B:B=events!AD607)*(shifts!AG:AG&gt;=events!BK607)*(shifts!AH:AH&lt;=events!BL607)),BI606)</f>
        <v>29</v>
      </c>
      <c r="BJ607" s="15">
        <f t="shared" si="316"/>
        <v>124</v>
      </c>
      <c r="BK607">
        <f t="shared" si="323"/>
        <v>339</v>
      </c>
      <c r="BL607">
        <f t="shared" si="324"/>
        <v>215</v>
      </c>
      <c r="BM607" s="15">
        <f>SUMIFS(BJ$2:BJ607,K$2:K607,"=Intermission")+SUMIFS(BJ$2:BJ607,K$2:K607,"=Timeout")</f>
        <v>0</v>
      </c>
      <c r="BN607">
        <f t="shared" si="325"/>
        <v>0</v>
      </c>
      <c r="BO607" s="19">
        <f t="shared" si="326"/>
        <v>741</v>
      </c>
      <c r="BP607">
        <f t="shared" si="327"/>
        <v>736</v>
      </c>
      <c r="BQ607" s="17">
        <f t="shared" si="328"/>
        <v>865</v>
      </c>
      <c r="BR607" t="str">
        <f t="shared" si="329"/>
        <v>event_team_player_1</v>
      </c>
      <c r="BS607">
        <f>COUNTIFS(S$3:S607,"="&amp;S607,AI$3:AI607,"="&amp;AI607)</f>
        <v>1</v>
      </c>
      <c r="BT607" t="str">
        <f>IFERROR(VLOOKUP(BB607&amp;BU607&amp;X607,game_rosters!U:W,3,FALSE),"")</f>
        <v>P100164</v>
      </c>
      <c r="BU607" t="str">
        <f t="shared" si="330"/>
        <v>Nelson</v>
      </c>
    </row>
    <row r="608" spans="1:73" x14ac:dyDescent="0.2">
      <c r="A608">
        <f t="shared" si="317"/>
        <v>1</v>
      </c>
      <c r="E608" s="4"/>
      <c r="F608" s="43"/>
      <c r="G608" s="4"/>
      <c r="H608" s="46"/>
      <c r="J608" s="44" t="str">
        <f t="shared" si="331"/>
        <v>o</v>
      </c>
      <c r="K608" t="s">
        <v>238</v>
      </c>
      <c r="L608" t="s">
        <v>174</v>
      </c>
      <c r="M608" t="s">
        <v>85</v>
      </c>
      <c r="N608" t="str">
        <f t="shared" si="334"/>
        <v>s</v>
      </c>
      <c r="Q608" t="str">
        <f t="shared" si="332"/>
        <v/>
      </c>
      <c r="S608">
        <v>316</v>
      </c>
      <c r="U608" t="str">
        <f>IF(B608=1,MAX($U$2:$U607)+1,IF(AND($T608&lt;&gt;"",$T608=$T607),$U607,IF(B608="x",U607,"")))</f>
        <v/>
      </c>
      <c r="V608" t="str">
        <f>IF(C608=1,MAX($V$2:$V607)+1,IF(AND($T608&lt;&gt;"",$T608=$T607),$U607,IF(C608="x",V607,"")))</f>
        <v/>
      </c>
      <c r="W608" t="str">
        <f t="shared" si="306"/>
        <v>h</v>
      </c>
      <c r="X608">
        <v>87</v>
      </c>
      <c r="Y608" t="e">
        <f>IF(X608&lt;&gt;"",VLOOKUP(X608,game_rosters!$C$43:$E$64,3,FALSE))</f>
        <v>#N/A</v>
      </c>
      <c r="Z608" t="str" cm="1">
        <f t="array" ref="Z608">IFERROR(IF(_xlfn._xlws.FILTER(game_rosters!$J:$J,(game_rosters!$G:$G=events!$AN608)*(game_rosters!$J:$J=events!$X608))&gt;0,1,""),"")</f>
        <v/>
      </c>
      <c r="AA608">
        <f t="shared" si="307"/>
        <v>1316</v>
      </c>
      <c r="AB608" t="str">
        <f t="shared" si="308"/>
        <v/>
      </c>
      <c r="AC608">
        <f t="shared" si="305"/>
        <v>1316</v>
      </c>
      <c r="AD608" s="6">
        <v>1</v>
      </c>
      <c r="AE608" t="s">
        <v>752</v>
      </c>
      <c r="AF608" t="s">
        <v>749</v>
      </c>
      <c r="AG608" t="s">
        <v>940</v>
      </c>
      <c r="AH608" t="s">
        <v>750</v>
      </c>
      <c r="AI608" t="s">
        <v>368</v>
      </c>
      <c r="AJ608" t="str">
        <f t="shared" si="333"/>
        <v>o</v>
      </c>
      <c r="AK608" t="str">
        <f t="shared" si="333"/>
        <v>o</v>
      </c>
      <c r="AL608" t="str">
        <f t="shared" si="310"/>
        <v>o</v>
      </c>
      <c r="AN608" t="s">
        <v>861</v>
      </c>
      <c r="AO608" t="str">
        <f t="shared" si="311"/>
        <v>h</v>
      </c>
      <c r="AP608" t="str">
        <f t="shared" si="318"/>
        <v>o</v>
      </c>
      <c r="AQ608" t="str">
        <f t="shared" si="319"/>
        <v/>
      </c>
      <c r="AR608" t="str">
        <f t="shared" si="320"/>
        <v>Home</v>
      </c>
      <c r="AS608" t="str">
        <f t="shared" si="321"/>
        <v>h</v>
      </c>
      <c r="AT608" t="str">
        <f t="shared" si="322"/>
        <v>Defensive</v>
      </c>
      <c r="BA608" s="6">
        <f t="shared" si="312"/>
        <v>163</v>
      </c>
      <c r="BB608">
        <f t="shared" si="313"/>
        <v>18981</v>
      </c>
      <c r="BC608" t="str">
        <f t="shared" si="314"/>
        <v>Nelson</v>
      </c>
      <c r="BD608" t="str">
        <f t="shared" si="315"/>
        <v>Velodrome</v>
      </c>
      <c r="BE608" t="s">
        <v>238</v>
      </c>
      <c r="BF608" t="s">
        <v>174</v>
      </c>
      <c r="BG608" t="s">
        <v>85</v>
      </c>
      <c r="BI608" cm="1">
        <f t="array" ref="BI608">IFERROR(_xlfn._xlws.FILTER(shifts!A:A,(shifts!B:B=events!AD608)*(shifts!AG:AG&gt;=events!BK608)*(shifts!AH:AH&lt;=events!BL608)),BI607)</f>
        <v>29</v>
      </c>
      <c r="BJ608" s="15">
        <f t="shared" si="316"/>
        <v>124</v>
      </c>
      <c r="BK608">
        <f t="shared" si="323"/>
        <v>339</v>
      </c>
      <c r="BL608">
        <f t="shared" si="324"/>
        <v>215</v>
      </c>
      <c r="BM608" s="15">
        <f>SUMIFS(BJ$2:BJ608,K$2:K608,"=Intermission")+SUMIFS(BJ$2:BJ608,K$2:K608,"=Timeout")</f>
        <v>0</v>
      </c>
      <c r="BN608">
        <f t="shared" si="325"/>
        <v>0</v>
      </c>
      <c r="BO608" s="19">
        <f t="shared" si="326"/>
        <v>741</v>
      </c>
      <c r="BP608">
        <f t="shared" si="327"/>
        <v>736</v>
      </c>
      <c r="BQ608" s="17">
        <f t="shared" si="328"/>
        <v>865</v>
      </c>
      <c r="BR608" t="str">
        <f t="shared" si="329"/>
        <v>opp_team_player_1</v>
      </c>
      <c r="BS608">
        <f>COUNTIFS(S$3:S608,"="&amp;S608,AI$3:AI608,"="&amp;AI608)</f>
        <v>1</v>
      </c>
      <c r="BT608" t="str">
        <f>IFERROR(VLOOKUP(BB608&amp;BU608&amp;X608,game_rosters!U:W,3,FALSE),"")</f>
        <v>P100159</v>
      </c>
      <c r="BU608" t="str">
        <f t="shared" si="330"/>
        <v>Velodrome</v>
      </c>
    </row>
    <row r="609" spans="1:73" x14ac:dyDescent="0.2">
      <c r="A609">
        <f t="shared" si="317"/>
        <v>1</v>
      </c>
      <c r="E609" s="4"/>
      <c r="F609" s="43"/>
      <c r="G609" s="4"/>
      <c r="H609" s="46"/>
      <c r="J609" s="44" t="str">
        <f t="shared" si="331"/>
        <v>o</v>
      </c>
      <c r="K609" t="s">
        <v>238</v>
      </c>
      <c r="L609" t="s">
        <v>174</v>
      </c>
      <c r="M609" t="s">
        <v>85</v>
      </c>
      <c r="N609" t="str">
        <f t="shared" si="334"/>
        <v>s</v>
      </c>
      <c r="Q609" t="str">
        <f t="shared" si="332"/>
        <v/>
      </c>
      <c r="S609">
        <v>316</v>
      </c>
      <c r="U609" t="str">
        <f>IF(B609=1,MAX($U$2:$U608)+1,IF(AND($T609&lt;&gt;"",$T609=$T608),$U608,IF(B609="x",U608,"")))</f>
        <v/>
      </c>
      <c r="V609" t="str">
        <f>IF(C609=1,MAX($V$2:$V608)+1,IF(AND($T609&lt;&gt;"",$T609=$T608),$U608,IF(C609="x",V608,"")))</f>
        <v/>
      </c>
      <c r="W609" t="str">
        <f t="shared" si="306"/>
        <v>h</v>
      </c>
      <c r="X609">
        <v>22</v>
      </c>
      <c r="Y609" t="e">
        <f>IF(X609&lt;&gt;"",VLOOKUP(X609,game_rosters!$C$43:$E$64,3,FALSE))</f>
        <v>#N/A</v>
      </c>
      <c r="Z609" t="str" cm="1">
        <f t="array" ref="Z609">IFERROR(IF(_xlfn._xlws.FILTER(game_rosters!$J:$J,(game_rosters!$G:$G=events!$AN609)*(game_rosters!$J:$J=events!$X609))&gt;0,1,""),"")</f>
        <v/>
      </c>
      <c r="AA609">
        <f t="shared" si="307"/>
        <v>1316</v>
      </c>
      <c r="AB609" t="str">
        <f t="shared" si="308"/>
        <v/>
      </c>
      <c r="AC609">
        <f t="shared" si="305"/>
        <v>1316</v>
      </c>
      <c r="AD609" s="6">
        <v>1</v>
      </c>
      <c r="AE609" t="s">
        <v>752</v>
      </c>
      <c r="AF609" t="s">
        <v>749</v>
      </c>
      <c r="AG609" t="s">
        <v>940</v>
      </c>
      <c r="AH609" t="s">
        <v>750</v>
      </c>
      <c r="AI609" t="s">
        <v>368</v>
      </c>
      <c r="AJ609" t="str">
        <f t="shared" si="333"/>
        <v>o</v>
      </c>
      <c r="AK609" t="str">
        <f t="shared" si="333"/>
        <v>o</v>
      </c>
      <c r="AL609" t="str">
        <f t="shared" si="310"/>
        <v>o</v>
      </c>
      <c r="AN609" t="s">
        <v>861</v>
      </c>
      <c r="AO609" t="str">
        <f t="shared" si="311"/>
        <v>h</v>
      </c>
      <c r="AP609" t="str">
        <f t="shared" si="318"/>
        <v>o</v>
      </c>
      <c r="AQ609" t="str">
        <f t="shared" si="319"/>
        <v/>
      </c>
      <c r="AR609" t="str">
        <f t="shared" si="320"/>
        <v>Home</v>
      </c>
      <c r="AS609" t="str">
        <f t="shared" si="321"/>
        <v>h</v>
      </c>
      <c r="AT609" t="str">
        <f t="shared" si="322"/>
        <v>Defensive</v>
      </c>
      <c r="BA609" s="6">
        <f t="shared" si="312"/>
        <v>164</v>
      </c>
      <c r="BB609">
        <f t="shared" si="313"/>
        <v>18981</v>
      </c>
      <c r="BC609" t="str">
        <f t="shared" si="314"/>
        <v>Nelson</v>
      </c>
      <c r="BD609" t="str">
        <f t="shared" si="315"/>
        <v>Velodrome</v>
      </c>
      <c r="BE609" t="s">
        <v>238</v>
      </c>
      <c r="BF609" t="s">
        <v>174</v>
      </c>
      <c r="BG609" t="s">
        <v>85</v>
      </c>
      <c r="BI609" cm="1">
        <f t="array" ref="BI609">IFERROR(_xlfn._xlws.FILTER(shifts!A:A,(shifts!B:B=events!AD609)*(shifts!AG:AG&gt;=events!BK609)*(shifts!AH:AH&lt;=events!BL609)),BI608)</f>
        <v>29</v>
      </c>
      <c r="BJ609" s="15">
        <f t="shared" si="316"/>
        <v>124</v>
      </c>
      <c r="BK609">
        <f t="shared" si="323"/>
        <v>339</v>
      </c>
      <c r="BL609">
        <f t="shared" si="324"/>
        <v>215</v>
      </c>
      <c r="BM609" s="15">
        <f>SUMIFS(BJ$2:BJ609,K$2:K609,"=Intermission")+SUMIFS(BJ$2:BJ609,K$2:K609,"=Timeout")</f>
        <v>0</v>
      </c>
      <c r="BN609">
        <f t="shared" si="325"/>
        <v>0</v>
      </c>
      <c r="BO609" s="19">
        <f t="shared" si="326"/>
        <v>741</v>
      </c>
      <c r="BP609">
        <f t="shared" si="327"/>
        <v>736</v>
      </c>
      <c r="BQ609" s="17">
        <f t="shared" si="328"/>
        <v>865</v>
      </c>
      <c r="BR609" t="str">
        <f t="shared" si="329"/>
        <v>opp_team_player_2</v>
      </c>
      <c r="BS609">
        <f>COUNTIFS(S$3:S609,"="&amp;S609,AI$3:AI609,"="&amp;AI609)</f>
        <v>2</v>
      </c>
      <c r="BT609" t="str">
        <f>IFERROR(VLOOKUP(BB609&amp;BU609&amp;X609,game_rosters!U:W,3,FALSE),"")</f>
        <v>P100108</v>
      </c>
      <c r="BU609" t="str">
        <f t="shared" si="330"/>
        <v>Velodrome</v>
      </c>
    </row>
    <row r="610" spans="1:73" x14ac:dyDescent="0.2">
      <c r="A610">
        <f t="shared" si="317"/>
        <v>1</v>
      </c>
      <c r="E610" s="4"/>
      <c r="F610" s="43"/>
      <c r="G610" s="4"/>
      <c r="H610" s="46"/>
      <c r="J610" s="44" t="str">
        <f t="shared" si="331"/>
        <v>o</v>
      </c>
      <c r="K610" t="s">
        <v>238</v>
      </c>
      <c r="L610" t="s">
        <v>174</v>
      </c>
      <c r="M610" t="s">
        <v>85</v>
      </c>
      <c r="N610" t="str">
        <f t="shared" si="334"/>
        <v>s</v>
      </c>
      <c r="Q610" t="str">
        <f t="shared" si="332"/>
        <v/>
      </c>
      <c r="S610">
        <v>316</v>
      </c>
      <c r="U610" t="str">
        <f>IF(B610=1,MAX($U$2:$U609)+1,IF(AND($T610&lt;&gt;"",$T610=$T609),$U609,IF(B610="x",U609,"")))</f>
        <v/>
      </c>
      <c r="V610" t="str">
        <f>IF(C610=1,MAX($V$2:$V609)+1,IF(AND($T610&lt;&gt;"",$T610=$T609),$U609,IF(C610="x",V609,"")))</f>
        <v/>
      </c>
      <c r="W610" t="str">
        <f t="shared" si="306"/>
        <v>h</v>
      </c>
      <c r="X610">
        <v>84</v>
      </c>
      <c r="Y610" t="e">
        <f>IF(X610&lt;&gt;"",VLOOKUP(X610,game_rosters!$C$43:$E$64,3,FALSE))</f>
        <v>#N/A</v>
      </c>
      <c r="Z610" t="str" cm="1">
        <f t="array" ref="Z610">IFERROR(IF(_xlfn._xlws.FILTER(game_rosters!$J:$J,(game_rosters!$G:$G=events!$AN610)*(game_rosters!$J:$J=events!$X610))&gt;0,1,""),"")</f>
        <v/>
      </c>
      <c r="AA610">
        <f t="shared" si="307"/>
        <v>1316</v>
      </c>
      <c r="AB610" t="str">
        <f t="shared" si="308"/>
        <v/>
      </c>
      <c r="AC610">
        <f t="shared" si="305"/>
        <v>1316</v>
      </c>
      <c r="AD610" s="6">
        <v>1</v>
      </c>
      <c r="AE610" t="s">
        <v>752</v>
      </c>
      <c r="AF610" t="s">
        <v>749</v>
      </c>
      <c r="AG610" t="s">
        <v>940</v>
      </c>
      <c r="AH610" t="s">
        <v>750</v>
      </c>
      <c r="AI610" t="s">
        <v>368</v>
      </c>
      <c r="AJ610" t="str">
        <f t="shared" si="333"/>
        <v>o</v>
      </c>
      <c r="AK610" t="str">
        <f t="shared" si="333"/>
        <v>o</v>
      </c>
      <c r="AL610" t="str">
        <f t="shared" si="310"/>
        <v>o</v>
      </c>
      <c r="AN610" t="s">
        <v>861</v>
      </c>
      <c r="AO610" t="str">
        <f t="shared" si="311"/>
        <v>h</v>
      </c>
      <c r="AP610" t="str">
        <f t="shared" si="318"/>
        <v>o</v>
      </c>
      <c r="AQ610" t="str">
        <f t="shared" si="319"/>
        <v/>
      </c>
      <c r="AR610" t="str">
        <f t="shared" si="320"/>
        <v>Home</v>
      </c>
      <c r="AS610" t="str">
        <f t="shared" si="321"/>
        <v>h</v>
      </c>
      <c r="AT610" t="str">
        <f t="shared" si="322"/>
        <v>Defensive</v>
      </c>
      <c r="BA610" s="6">
        <f t="shared" si="312"/>
        <v>165</v>
      </c>
      <c r="BB610">
        <f t="shared" si="313"/>
        <v>18981</v>
      </c>
      <c r="BC610" t="str">
        <f t="shared" si="314"/>
        <v>Nelson</v>
      </c>
      <c r="BD610" t="str">
        <f t="shared" si="315"/>
        <v>Velodrome</v>
      </c>
      <c r="BE610" t="s">
        <v>238</v>
      </c>
      <c r="BF610" t="s">
        <v>174</v>
      </c>
      <c r="BG610" t="s">
        <v>85</v>
      </c>
      <c r="BI610" cm="1">
        <f t="array" ref="BI610">IFERROR(_xlfn._xlws.FILTER(shifts!A:A,(shifts!B:B=events!AD610)*(shifts!AG:AG&gt;=events!BK610)*(shifts!AH:AH&lt;=events!BL610)),BI609)</f>
        <v>29</v>
      </c>
      <c r="BJ610" s="15">
        <f t="shared" si="316"/>
        <v>124</v>
      </c>
      <c r="BK610">
        <f t="shared" si="323"/>
        <v>339</v>
      </c>
      <c r="BL610">
        <f t="shared" si="324"/>
        <v>215</v>
      </c>
      <c r="BM610" s="15">
        <f>SUMIFS(BJ$2:BJ610,K$2:K610,"=Intermission")+SUMIFS(BJ$2:BJ610,K$2:K610,"=Timeout")</f>
        <v>0</v>
      </c>
      <c r="BN610">
        <f t="shared" si="325"/>
        <v>0</v>
      </c>
      <c r="BO610" s="19">
        <f t="shared" si="326"/>
        <v>741</v>
      </c>
      <c r="BP610">
        <f t="shared" si="327"/>
        <v>736</v>
      </c>
      <c r="BQ610" s="17">
        <f t="shared" si="328"/>
        <v>865</v>
      </c>
      <c r="BR610" t="str">
        <f t="shared" si="329"/>
        <v>opp_team_player_3</v>
      </c>
      <c r="BS610">
        <f>COUNTIFS(S$3:S610,"="&amp;S610,AI$3:AI610,"="&amp;AI610)</f>
        <v>3</v>
      </c>
      <c r="BT610" t="str">
        <f>IFERROR(VLOOKUP(BB610&amp;BU610&amp;X610,game_rosters!U:W,3,FALSE),"")</f>
        <v>P100198</v>
      </c>
      <c r="BU610" t="str">
        <f t="shared" si="330"/>
        <v>Velodrome</v>
      </c>
    </row>
    <row r="611" spans="1:73" x14ac:dyDescent="0.2">
      <c r="A611">
        <f t="shared" si="317"/>
        <v>1</v>
      </c>
      <c r="E611" s="4"/>
      <c r="F611" s="43"/>
      <c r="G611" s="4"/>
      <c r="H611" s="46"/>
      <c r="J611" s="44" t="str">
        <f t="shared" si="331"/>
        <v>o</v>
      </c>
      <c r="K611" t="s">
        <v>6</v>
      </c>
      <c r="L611" t="s">
        <v>240</v>
      </c>
      <c r="M611" t="s">
        <v>756</v>
      </c>
      <c r="N611" t="str">
        <f t="shared" si="334"/>
        <v>s</v>
      </c>
      <c r="Q611" t="str">
        <f t="shared" si="332"/>
        <v/>
      </c>
      <c r="S611">
        <v>317</v>
      </c>
      <c r="U611" t="str">
        <f>IF(B611=1,MAX($U$2:$U610)+1,IF(AND($T611&lt;&gt;"",$T611=$T610),$U610,IF(B611="x",U610,"")))</f>
        <v/>
      </c>
      <c r="V611" t="str">
        <f>IF(C611=1,MAX($V$2:$V610)+1,IF(AND($T611&lt;&gt;"",$T611=$T610),$U610,IF(C611="x",V610,"")))</f>
        <v/>
      </c>
      <c r="W611" t="str">
        <f t="shared" si="306"/>
        <v>h</v>
      </c>
      <c r="X611">
        <v>16</v>
      </c>
      <c r="Y611" t="b">
        <f>IF(X611&lt;&gt;"",VLOOKUP(X611,game_rosters!$C$43:$E$64,3,FALSE))</f>
        <v>0</v>
      </c>
      <c r="Z611" cm="1">
        <f t="array" ref="Z611">IFERROR(IF(_xlfn._xlws.FILTER(game_rosters!$J:$J,(game_rosters!$G:$G=events!$AN611)*(game_rosters!$J:$J=events!$X611))&gt;0,1,""),"")</f>
        <v>1</v>
      </c>
      <c r="AA611">
        <f t="shared" si="307"/>
        <v>1317</v>
      </c>
      <c r="AB611" t="str">
        <f t="shared" si="308"/>
        <v/>
      </c>
      <c r="AC611">
        <f t="shared" si="305"/>
        <v>1317</v>
      </c>
      <c r="AD611" s="6">
        <v>1</v>
      </c>
      <c r="AE611" t="s">
        <v>940</v>
      </c>
      <c r="AF611" t="s">
        <v>750</v>
      </c>
      <c r="AG611" t="s">
        <v>756</v>
      </c>
      <c r="AH611" t="s">
        <v>756</v>
      </c>
      <c r="AI611" t="s">
        <v>367</v>
      </c>
      <c r="AJ611" t="str">
        <f t="shared" si="333"/>
        <v>o</v>
      </c>
      <c r="AK611" t="str">
        <f t="shared" si="333"/>
        <v>o</v>
      </c>
      <c r="AL611" t="str">
        <f t="shared" si="310"/>
        <v>o</v>
      </c>
      <c r="AN611" t="s">
        <v>861</v>
      </c>
      <c r="AO611" t="str">
        <f t="shared" si="311"/>
        <v>h</v>
      </c>
      <c r="AP611" t="str">
        <f t="shared" si="318"/>
        <v>o</v>
      </c>
      <c r="AQ611" t="str">
        <f t="shared" si="319"/>
        <v/>
      </c>
      <c r="AR611" t="str">
        <f t="shared" si="320"/>
        <v>Home</v>
      </c>
      <c r="AS611" t="str">
        <f t="shared" si="321"/>
        <v>h</v>
      </c>
      <c r="AT611" t="str">
        <f t="shared" si="322"/>
        <v>Offensive</v>
      </c>
      <c r="BA611" s="6">
        <f t="shared" si="312"/>
        <v>165</v>
      </c>
      <c r="BB611">
        <f t="shared" si="313"/>
        <v>18981</v>
      </c>
      <c r="BC611" t="str">
        <f t="shared" si="314"/>
        <v>Nelson</v>
      </c>
      <c r="BD611" t="str">
        <f t="shared" si="315"/>
        <v>Velodrome</v>
      </c>
      <c r="BE611" t="s">
        <v>6</v>
      </c>
      <c r="BF611" t="s">
        <v>240</v>
      </c>
      <c r="BG611" t="s">
        <v>756</v>
      </c>
      <c r="BI611">
        <v>29</v>
      </c>
      <c r="BJ611" s="15">
        <f t="shared" si="316"/>
        <v>0</v>
      </c>
      <c r="BK611">
        <f t="shared" si="323"/>
        <v>215</v>
      </c>
      <c r="BL611">
        <f t="shared" si="324"/>
        <v>215</v>
      </c>
      <c r="BM611" s="15">
        <f>SUMIFS(BJ$2:BJ611,K$2:K611,"=Intermission")+SUMIFS(BJ$2:BJ611,K$2:K611,"=Timeout")</f>
        <v>0</v>
      </c>
      <c r="BN611">
        <f t="shared" si="325"/>
        <v>0</v>
      </c>
      <c r="BO611" s="19">
        <f t="shared" si="326"/>
        <v>865</v>
      </c>
      <c r="BP611">
        <f t="shared" si="327"/>
        <v>860</v>
      </c>
      <c r="BQ611" s="17">
        <f t="shared" si="328"/>
        <v>865</v>
      </c>
      <c r="BR611" t="str">
        <f t="shared" si="329"/>
        <v>event_team_player_1</v>
      </c>
      <c r="BS611">
        <f>COUNTIFS(S$3:S611,"="&amp;S611,AI$3:AI611,"="&amp;AI611)</f>
        <v>1</v>
      </c>
      <c r="BT611" t="str">
        <f>IFERROR(VLOOKUP(BB611&amp;BU611&amp;X611,game_rosters!U:W,3,FALSE),"")</f>
        <v>P100164</v>
      </c>
      <c r="BU611" t="str">
        <f t="shared" si="330"/>
        <v>Nelson</v>
      </c>
    </row>
    <row r="612" spans="1:73" x14ac:dyDescent="0.2">
      <c r="A612">
        <f t="shared" si="317"/>
        <v>1</v>
      </c>
      <c r="E612" s="4"/>
      <c r="F612" s="43"/>
      <c r="G612" s="4"/>
      <c r="H612" s="46"/>
      <c r="J612" s="44" t="str">
        <f t="shared" si="331"/>
        <v>o</v>
      </c>
      <c r="K612" t="s">
        <v>6</v>
      </c>
      <c r="L612" t="s">
        <v>240</v>
      </c>
      <c r="M612" t="s">
        <v>756</v>
      </c>
      <c r="N612" t="str">
        <f t="shared" si="334"/>
        <v>s</v>
      </c>
      <c r="Q612" t="str">
        <f t="shared" si="332"/>
        <v/>
      </c>
      <c r="S612">
        <v>317</v>
      </c>
      <c r="U612" t="str">
        <f>IF(B612=1,MAX($U$2:$U611)+1,IF(AND($T612&lt;&gt;"",$T612=$T611),$U611,IF(B612="x",U611,"")))</f>
        <v/>
      </c>
      <c r="V612" t="str">
        <f>IF(C612=1,MAX($V$2:$V611)+1,IF(AND($T612&lt;&gt;"",$T612=$T611),$U611,IF(C612="x",V611,"")))</f>
        <v/>
      </c>
      <c r="W612" t="str">
        <f t="shared" si="306"/>
        <v>h</v>
      </c>
      <c r="X612">
        <v>39</v>
      </c>
      <c r="Y612" t="e">
        <f>IF(X612&lt;&gt;"",VLOOKUP(X612,game_rosters!$C$43:$E$64,3,FALSE))</f>
        <v>#N/A</v>
      </c>
      <c r="Z612" t="str" cm="1">
        <f t="array" ref="Z612">IFERROR(IF(_xlfn._xlws.FILTER(game_rosters!$J:$J,(game_rosters!$G:$G=events!$AN612)*(game_rosters!$J:$J=events!$X612))&gt;0,1,""),"")</f>
        <v/>
      </c>
      <c r="AA612">
        <f t="shared" si="307"/>
        <v>1317</v>
      </c>
      <c r="AB612" t="str">
        <f t="shared" si="308"/>
        <v/>
      </c>
      <c r="AC612">
        <f t="shared" si="305"/>
        <v>1317</v>
      </c>
      <c r="AD612" s="6">
        <v>1</v>
      </c>
      <c r="AE612" t="s">
        <v>940</v>
      </c>
      <c r="AF612" t="s">
        <v>750</v>
      </c>
      <c r="AG612" t="s">
        <v>756</v>
      </c>
      <c r="AH612" t="s">
        <v>756</v>
      </c>
      <c r="AI612" t="s">
        <v>368</v>
      </c>
      <c r="AJ612" t="str">
        <f t="shared" ref="AJ612:AK627" si="335">IF($J612&lt;&gt;"",$J612,IF($AC612=$AC611,AJ611,""))</f>
        <v>o</v>
      </c>
      <c r="AK612" t="str">
        <f t="shared" si="335"/>
        <v>o</v>
      </c>
      <c r="AL612" t="str">
        <f t="shared" si="310"/>
        <v>o</v>
      </c>
      <c r="AN612" t="s">
        <v>861</v>
      </c>
      <c r="AO612" t="str">
        <f t="shared" si="311"/>
        <v>h</v>
      </c>
      <c r="AP612" t="str">
        <f t="shared" si="318"/>
        <v>o</v>
      </c>
      <c r="AQ612" t="str">
        <f t="shared" si="319"/>
        <v/>
      </c>
      <c r="AR612" t="str">
        <f t="shared" si="320"/>
        <v>Home</v>
      </c>
      <c r="AS612" t="str">
        <f t="shared" si="321"/>
        <v>h</v>
      </c>
      <c r="AT612" t="str">
        <f t="shared" si="322"/>
        <v>Defensive</v>
      </c>
      <c r="BA612" s="6">
        <f t="shared" si="312"/>
        <v>165</v>
      </c>
      <c r="BB612">
        <f t="shared" si="313"/>
        <v>18981</v>
      </c>
      <c r="BC612" t="str">
        <f t="shared" si="314"/>
        <v>Nelson</v>
      </c>
      <c r="BD612" t="str">
        <f t="shared" si="315"/>
        <v>Velodrome</v>
      </c>
      <c r="BE612" t="s">
        <v>6</v>
      </c>
      <c r="BF612" t="s">
        <v>240</v>
      </c>
      <c r="BG612" t="s">
        <v>756</v>
      </c>
      <c r="BI612">
        <v>29</v>
      </c>
      <c r="BJ612" s="15">
        <f t="shared" si="316"/>
        <v>0</v>
      </c>
      <c r="BK612">
        <f t="shared" si="323"/>
        <v>215</v>
      </c>
      <c r="BL612">
        <f t="shared" si="324"/>
        <v>215</v>
      </c>
      <c r="BM612" s="15">
        <f>SUMIFS(BJ$2:BJ612,K$2:K612,"=Intermission")+SUMIFS(BJ$2:BJ612,K$2:K612,"=Timeout")</f>
        <v>0</v>
      </c>
      <c r="BN612">
        <f t="shared" si="325"/>
        <v>0</v>
      </c>
      <c r="BO612" s="19">
        <f t="shared" si="326"/>
        <v>865</v>
      </c>
      <c r="BP612">
        <f t="shared" si="327"/>
        <v>860</v>
      </c>
      <c r="BQ612" s="17">
        <f t="shared" si="328"/>
        <v>865</v>
      </c>
      <c r="BR612" t="str">
        <f t="shared" si="329"/>
        <v>opp_team_player_1</v>
      </c>
      <c r="BS612">
        <f>COUNTIFS(S$3:S612,"="&amp;S612,AI$3:AI612,"="&amp;AI612)</f>
        <v>1</v>
      </c>
      <c r="BT612" t="str">
        <f>IFERROR(VLOOKUP(BB612&amp;BU612&amp;X612,game_rosters!U:W,3,FALSE),"")</f>
        <v>P100016</v>
      </c>
      <c r="BU612" t="str">
        <f t="shared" si="330"/>
        <v>Velodrome</v>
      </c>
    </row>
    <row r="613" spans="1:73" x14ac:dyDescent="0.2">
      <c r="A613">
        <f t="shared" si="317"/>
        <v>1</v>
      </c>
      <c r="E613" s="4"/>
      <c r="F613" s="43"/>
      <c r="G613" s="4"/>
      <c r="H613" s="46"/>
      <c r="J613" s="44" t="str">
        <f t="shared" si="331"/>
        <v>o</v>
      </c>
      <c r="K613" t="s">
        <v>8</v>
      </c>
      <c r="L613" t="s">
        <v>213</v>
      </c>
      <c r="M613" t="s">
        <v>224</v>
      </c>
      <c r="N613" t="str">
        <f t="shared" si="334"/>
        <v>s</v>
      </c>
      <c r="Q613" t="str">
        <f t="shared" si="332"/>
        <v/>
      </c>
      <c r="S613">
        <v>318</v>
      </c>
      <c r="U613" t="str">
        <f>IF(B613=1,MAX($U$2:$U612)+1,IF(AND($T613&lt;&gt;"",$T613=$T612),$U612,IF(B613="x",U612,"")))</f>
        <v/>
      </c>
      <c r="V613" t="str">
        <f>IF(C613=1,MAX($V$2:$V612)+1,IF(AND($T613&lt;&gt;"",$T613=$T612),$U612,IF(C613="x",V612,"")))</f>
        <v/>
      </c>
      <c r="W613" t="str">
        <f t="shared" si="306"/>
        <v>h</v>
      </c>
      <c r="X613">
        <v>16</v>
      </c>
      <c r="Y613" t="b">
        <f>IF(X613&lt;&gt;"",VLOOKUP(X613,game_rosters!$C$43:$E$64,3,FALSE))</f>
        <v>0</v>
      </c>
      <c r="Z613" cm="1">
        <f t="array" ref="Z613">IFERROR(IF(_xlfn._xlws.FILTER(game_rosters!$J:$J,(game_rosters!$G:$G=events!$AN613)*(game_rosters!$J:$J=events!$X613))&gt;0,1,""),"")</f>
        <v>1</v>
      </c>
      <c r="AA613">
        <f t="shared" si="307"/>
        <v>1318</v>
      </c>
      <c r="AB613" t="str">
        <f t="shared" si="308"/>
        <v/>
      </c>
      <c r="AC613">
        <f t="shared" si="305"/>
        <v>1318</v>
      </c>
      <c r="AD613" s="6">
        <v>1</v>
      </c>
      <c r="AE613" t="s">
        <v>940</v>
      </c>
      <c r="AF613" t="s">
        <v>750</v>
      </c>
      <c r="AG613" t="s">
        <v>756</v>
      </c>
      <c r="AH613" t="s">
        <v>756</v>
      </c>
      <c r="AI613" t="s">
        <v>367</v>
      </c>
      <c r="AJ613" t="str">
        <f t="shared" si="335"/>
        <v>o</v>
      </c>
      <c r="AK613" t="str">
        <f t="shared" si="335"/>
        <v>o</v>
      </c>
      <c r="AL613" t="str">
        <f t="shared" si="310"/>
        <v>o</v>
      </c>
      <c r="AN613" t="s">
        <v>861</v>
      </c>
      <c r="AO613" t="str">
        <f t="shared" si="311"/>
        <v>h</v>
      </c>
      <c r="AP613" t="str">
        <f t="shared" si="318"/>
        <v>o</v>
      </c>
      <c r="AQ613" t="str">
        <f t="shared" si="319"/>
        <v/>
      </c>
      <c r="AR613" t="str">
        <f t="shared" si="320"/>
        <v>Home</v>
      </c>
      <c r="AS613" t="str">
        <f t="shared" si="321"/>
        <v>h</v>
      </c>
      <c r="AT613" t="str">
        <f t="shared" si="322"/>
        <v>Offensive</v>
      </c>
      <c r="BA613" s="6">
        <f t="shared" si="312"/>
        <v>165</v>
      </c>
      <c r="BB613">
        <f t="shared" si="313"/>
        <v>18981</v>
      </c>
      <c r="BC613" t="str">
        <f t="shared" si="314"/>
        <v>Nelson</v>
      </c>
      <c r="BD613" t="str">
        <f t="shared" si="315"/>
        <v>Velodrome</v>
      </c>
      <c r="BE613" t="s">
        <v>8</v>
      </c>
      <c r="BF613" t="s">
        <v>213</v>
      </c>
      <c r="BG613" t="s">
        <v>224</v>
      </c>
      <c r="BI613">
        <v>29</v>
      </c>
      <c r="BJ613" s="15">
        <f t="shared" si="316"/>
        <v>0</v>
      </c>
      <c r="BK613">
        <f t="shared" si="323"/>
        <v>215</v>
      </c>
      <c r="BL613">
        <f t="shared" si="324"/>
        <v>215</v>
      </c>
      <c r="BM613" s="15">
        <f>SUMIFS(BJ$2:BJ613,K$2:K613,"=Intermission")+SUMIFS(BJ$2:BJ613,K$2:K613,"=Timeout")</f>
        <v>0</v>
      </c>
      <c r="BN613">
        <f t="shared" si="325"/>
        <v>0</v>
      </c>
      <c r="BO613" s="19">
        <f t="shared" si="326"/>
        <v>865</v>
      </c>
      <c r="BP613">
        <f t="shared" si="327"/>
        <v>860</v>
      </c>
      <c r="BQ613" s="17">
        <f t="shared" si="328"/>
        <v>865</v>
      </c>
      <c r="BR613" t="str">
        <f t="shared" si="329"/>
        <v>event_team_player_1</v>
      </c>
      <c r="BS613">
        <f>COUNTIFS(S$3:S613,"="&amp;S613,AI$3:AI613,"="&amp;AI613)</f>
        <v>1</v>
      </c>
      <c r="BT613" t="str">
        <f>IFERROR(VLOOKUP(BB613&amp;BU613&amp;X613,game_rosters!U:W,3,FALSE),"")</f>
        <v>P100164</v>
      </c>
      <c r="BU613" t="str">
        <f t="shared" si="330"/>
        <v>Nelson</v>
      </c>
    </row>
    <row r="614" spans="1:73" x14ac:dyDescent="0.2">
      <c r="A614">
        <f t="shared" si="317"/>
        <v>1</v>
      </c>
      <c r="E614" s="4"/>
      <c r="F614" s="43"/>
      <c r="G614" s="4"/>
      <c r="H614" s="46"/>
      <c r="J614" s="44" t="str">
        <f t="shared" si="331"/>
        <v>o</v>
      </c>
      <c r="K614" t="s">
        <v>8</v>
      </c>
      <c r="L614" t="s">
        <v>213</v>
      </c>
      <c r="M614" t="s">
        <v>224</v>
      </c>
      <c r="N614" t="str">
        <f t="shared" si="334"/>
        <v>s</v>
      </c>
      <c r="Q614" t="str">
        <f t="shared" si="332"/>
        <v/>
      </c>
      <c r="S614">
        <v>318</v>
      </c>
      <c r="U614" t="str">
        <f>IF(B614=1,MAX($U$2:$U613)+1,IF(AND($T614&lt;&gt;"",$T614=$T613),$U613,IF(B614="x",U613,"")))</f>
        <v/>
      </c>
      <c r="V614" t="str">
        <f>IF(C614=1,MAX($V$2:$V613)+1,IF(AND($T614&lt;&gt;"",$T614=$T613),$U613,IF(C614="x",V613,"")))</f>
        <v/>
      </c>
      <c r="W614" t="str">
        <f t="shared" si="306"/>
        <v>h</v>
      </c>
      <c r="X614">
        <v>39</v>
      </c>
      <c r="Y614" t="e">
        <f>IF(X614&lt;&gt;"",VLOOKUP(X614,game_rosters!$C$43:$E$64,3,FALSE))</f>
        <v>#N/A</v>
      </c>
      <c r="Z614" t="str" cm="1">
        <f t="array" ref="Z614">IFERROR(IF(_xlfn._xlws.FILTER(game_rosters!$J:$J,(game_rosters!$G:$G=events!$AN614)*(game_rosters!$J:$J=events!$X614))&gt;0,1,""),"")</f>
        <v/>
      </c>
      <c r="AA614">
        <f t="shared" si="307"/>
        <v>1318</v>
      </c>
      <c r="AB614" t="str">
        <f t="shared" si="308"/>
        <v/>
      </c>
      <c r="AC614">
        <f t="shared" si="305"/>
        <v>1318</v>
      </c>
      <c r="AD614" s="6">
        <v>1</v>
      </c>
      <c r="AE614" t="s">
        <v>940</v>
      </c>
      <c r="AF614" t="s">
        <v>750</v>
      </c>
      <c r="AG614" t="s">
        <v>756</v>
      </c>
      <c r="AH614" t="s">
        <v>756</v>
      </c>
      <c r="AI614" t="s">
        <v>368</v>
      </c>
      <c r="AJ614" t="str">
        <f t="shared" si="335"/>
        <v>o</v>
      </c>
      <c r="AK614" t="str">
        <f t="shared" si="335"/>
        <v>o</v>
      </c>
      <c r="AL614" t="str">
        <f t="shared" si="310"/>
        <v>o</v>
      </c>
      <c r="AN614" t="s">
        <v>861</v>
      </c>
      <c r="AO614" t="str">
        <f t="shared" si="311"/>
        <v>h</v>
      </c>
      <c r="AP614" t="str">
        <f t="shared" si="318"/>
        <v>o</v>
      </c>
      <c r="AQ614" t="str">
        <f t="shared" si="319"/>
        <v/>
      </c>
      <c r="AR614" t="str">
        <f t="shared" si="320"/>
        <v>Home</v>
      </c>
      <c r="AS614" t="str">
        <f t="shared" si="321"/>
        <v>h</v>
      </c>
      <c r="AT614" t="str">
        <f t="shared" si="322"/>
        <v>Defensive</v>
      </c>
      <c r="BA614" s="6">
        <f t="shared" si="312"/>
        <v>165</v>
      </c>
      <c r="BB614">
        <f t="shared" si="313"/>
        <v>18981</v>
      </c>
      <c r="BC614" t="str">
        <f t="shared" si="314"/>
        <v>Nelson</v>
      </c>
      <c r="BD614" t="str">
        <f t="shared" si="315"/>
        <v>Velodrome</v>
      </c>
      <c r="BE614" t="s">
        <v>8</v>
      </c>
      <c r="BF614" t="s">
        <v>213</v>
      </c>
      <c r="BG614" t="s">
        <v>224</v>
      </c>
      <c r="BI614">
        <v>29</v>
      </c>
      <c r="BJ614" s="15">
        <f t="shared" si="316"/>
        <v>0</v>
      </c>
      <c r="BK614">
        <f t="shared" si="323"/>
        <v>215</v>
      </c>
      <c r="BL614">
        <f t="shared" si="324"/>
        <v>215</v>
      </c>
      <c r="BM614" s="15">
        <f>SUMIFS(BJ$2:BJ614,K$2:K614,"=Intermission")+SUMIFS(BJ$2:BJ614,K$2:K614,"=Timeout")</f>
        <v>0</v>
      </c>
      <c r="BN614">
        <f t="shared" si="325"/>
        <v>0</v>
      </c>
      <c r="BO614" s="19">
        <f t="shared" si="326"/>
        <v>865</v>
      </c>
      <c r="BP614">
        <f t="shared" si="327"/>
        <v>860</v>
      </c>
      <c r="BQ614" s="17">
        <f t="shared" si="328"/>
        <v>865</v>
      </c>
      <c r="BR614" t="str">
        <f t="shared" si="329"/>
        <v>opp_team_player_1</v>
      </c>
      <c r="BS614">
        <f>COUNTIFS(S$3:S614,"="&amp;S614,AI$3:AI614,"="&amp;AI614)</f>
        <v>1</v>
      </c>
      <c r="BT614" t="str">
        <f>IFERROR(VLOOKUP(BB614&amp;BU614&amp;X614,game_rosters!U:W,3,FALSE),"")</f>
        <v>P100016</v>
      </c>
      <c r="BU614" t="str">
        <f t="shared" si="330"/>
        <v>Velodrome</v>
      </c>
    </row>
    <row r="615" spans="1:73" x14ac:dyDescent="0.2">
      <c r="A615">
        <f t="shared" si="317"/>
        <v>1</v>
      </c>
      <c r="E615" s="4"/>
      <c r="F615" s="43"/>
      <c r="G615" s="4"/>
      <c r="H615" s="46"/>
      <c r="J615" s="44" t="str">
        <f t="shared" si="331"/>
        <v>o</v>
      </c>
      <c r="K615" t="s">
        <v>11</v>
      </c>
      <c r="L615" t="s">
        <v>187</v>
      </c>
      <c r="M615" t="s">
        <v>40</v>
      </c>
      <c r="N615" t="str">
        <f t="shared" si="334"/>
        <v/>
      </c>
      <c r="Q615" t="str">
        <f t="shared" si="332"/>
        <v/>
      </c>
      <c r="S615">
        <v>319</v>
      </c>
      <c r="U615" t="str">
        <f>IF(B615=1,MAX($U$2:$U614)+1,IF(AND($T615&lt;&gt;"",$T615=$T614),$U614,IF(B615="x",U614,"")))</f>
        <v/>
      </c>
      <c r="V615" t="str">
        <f>IF(C615=1,MAX($V$2:$V614)+1,IF(AND($T615&lt;&gt;"",$T615=$T614),$U614,IF(C615="x",V614,"")))</f>
        <v/>
      </c>
      <c r="W615" t="str">
        <f t="shared" si="306"/>
        <v>h</v>
      </c>
      <c r="X615">
        <v>16</v>
      </c>
      <c r="Y615" t="b">
        <f>IF(X615&lt;&gt;"",VLOOKUP(X615,game_rosters!$C$43:$E$64,3,FALSE))</f>
        <v>0</v>
      </c>
      <c r="Z615" cm="1">
        <f t="array" ref="Z615">IFERROR(IF(_xlfn._xlws.FILTER(game_rosters!$J:$J,(game_rosters!$G:$G=events!$AN615)*(game_rosters!$J:$J=events!$X615))&gt;0,1,""),"")</f>
        <v>1</v>
      </c>
      <c r="AA615">
        <f t="shared" si="307"/>
        <v>1319</v>
      </c>
      <c r="AB615" t="str">
        <f t="shared" si="308"/>
        <v/>
      </c>
      <c r="AC615">
        <f t="shared" si="305"/>
        <v>1319</v>
      </c>
      <c r="AD615" s="6">
        <v>1</v>
      </c>
      <c r="AE615" t="s">
        <v>940</v>
      </c>
      <c r="AF615" t="s">
        <v>750</v>
      </c>
      <c r="AG615" t="s">
        <v>756</v>
      </c>
      <c r="AH615" t="s">
        <v>756</v>
      </c>
      <c r="AI615" t="s">
        <v>367</v>
      </c>
      <c r="AJ615" t="str">
        <f t="shared" si="335"/>
        <v>o</v>
      </c>
      <c r="AK615" t="str">
        <f t="shared" si="335"/>
        <v>o</v>
      </c>
      <c r="AL615" t="str">
        <f t="shared" si="310"/>
        <v>o</v>
      </c>
      <c r="AN615" t="s">
        <v>861</v>
      </c>
      <c r="AO615" t="str">
        <f t="shared" si="311"/>
        <v>h</v>
      </c>
      <c r="AP615" t="str">
        <f t="shared" si="318"/>
        <v>o</v>
      </c>
      <c r="AQ615" t="str">
        <f t="shared" si="319"/>
        <v/>
      </c>
      <c r="AR615" t="str">
        <f t="shared" si="320"/>
        <v>Home</v>
      </c>
      <c r="AS615" t="str">
        <f t="shared" si="321"/>
        <v>h</v>
      </c>
      <c r="AT615" t="str">
        <f t="shared" si="322"/>
        <v/>
      </c>
      <c r="BA615" s="6">
        <f t="shared" si="312"/>
        <v>165</v>
      </c>
      <c r="BB615">
        <f t="shared" si="313"/>
        <v>18981</v>
      </c>
      <c r="BC615" t="str">
        <f t="shared" si="314"/>
        <v>Nelson</v>
      </c>
      <c r="BD615" t="str">
        <f t="shared" si="315"/>
        <v>Velodrome</v>
      </c>
      <c r="BE615" t="s">
        <v>11</v>
      </c>
      <c r="BF615" t="s">
        <v>187</v>
      </c>
      <c r="BG615" t="s">
        <v>40</v>
      </c>
      <c r="BI615">
        <v>29</v>
      </c>
      <c r="BJ615" s="15">
        <f t="shared" si="316"/>
        <v>0</v>
      </c>
      <c r="BK615">
        <f t="shared" si="323"/>
        <v>215</v>
      </c>
      <c r="BL615">
        <f t="shared" si="324"/>
        <v>215</v>
      </c>
      <c r="BM615" s="15">
        <f>SUMIFS(BJ$2:BJ615,K$2:K615,"=Intermission")+SUMIFS(BJ$2:BJ615,K$2:K615,"=Timeout")</f>
        <v>0</v>
      </c>
      <c r="BN615">
        <f t="shared" si="325"/>
        <v>0</v>
      </c>
      <c r="BO615" s="19">
        <f t="shared" si="326"/>
        <v>865</v>
      </c>
      <c r="BP615">
        <f t="shared" si="327"/>
        <v>860</v>
      </c>
      <c r="BQ615" s="17">
        <f t="shared" si="328"/>
        <v>865</v>
      </c>
      <c r="BR615" t="str">
        <f t="shared" si="329"/>
        <v>event_team_player_1</v>
      </c>
      <c r="BS615">
        <f>COUNTIFS(S$3:S615,"="&amp;S615,AI$3:AI615,"="&amp;AI615)</f>
        <v>1</v>
      </c>
      <c r="BT615" t="str">
        <f>IFERROR(VLOOKUP(BB615&amp;BU615&amp;X615,game_rosters!U:W,3,FALSE),"")</f>
        <v>P100164</v>
      </c>
      <c r="BU615" t="str">
        <f t="shared" si="330"/>
        <v>Nelson</v>
      </c>
    </row>
    <row r="616" spans="1:73" x14ac:dyDescent="0.2">
      <c r="A616">
        <f t="shared" si="317"/>
        <v>1</v>
      </c>
      <c r="E616" s="4"/>
      <c r="F616" s="43"/>
      <c r="G616" s="4"/>
      <c r="H616" s="46"/>
      <c r="J616" s="44" t="str">
        <f t="shared" si="331"/>
        <v>o</v>
      </c>
      <c r="K616" t="s">
        <v>241</v>
      </c>
      <c r="L616" t="s">
        <v>756</v>
      </c>
      <c r="M616" t="s">
        <v>756</v>
      </c>
      <c r="N616" t="str">
        <f t="shared" si="334"/>
        <v/>
      </c>
      <c r="Q616" t="str">
        <f t="shared" si="332"/>
        <v/>
      </c>
      <c r="S616">
        <v>320</v>
      </c>
      <c r="U616" t="str">
        <f>IF(B616=1,MAX($U$2:$U615)+1,IF(AND($T616&lt;&gt;"",$T616=$T615),$U615,IF(B616="x",U615,"")))</f>
        <v/>
      </c>
      <c r="V616" t="str">
        <f>IF(C616=1,MAX($V$2:$V615)+1,IF(AND($T616&lt;&gt;"",$T616=$T615),$U615,IF(C616="x",V615,"")))</f>
        <v/>
      </c>
      <c r="W616" t="str">
        <f t="shared" si="306"/>
        <v>h</v>
      </c>
      <c r="X616">
        <v>16</v>
      </c>
      <c r="Y616" t="b">
        <f>IF(X616&lt;&gt;"",VLOOKUP(X616,game_rosters!$C$43:$E$64,3,FALSE))</f>
        <v>0</v>
      </c>
      <c r="Z616" cm="1">
        <f t="array" ref="Z616">IFERROR(IF(_xlfn._xlws.FILTER(game_rosters!$J:$J,(game_rosters!$G:$G=events!$AN616)*(game_rosters!$J:$J=events!$X616))&gt;0,1,""),"")</f>
        <v>1</v>
      </c>
      <c r="AA616">
        <f t="shared" si="307"/>
        <v>1320</v>
      </c>
      <c r="AB616" t="str">
        <f t="shared" si="308"/>
        <v/>
      </c>
      <c r="AC616">
        <f t="shared" si="305"/>
        <v>1320</v>
      </c>
      <c r="AD616" s="6">
        <v>1</v>
      </c>
      <c r="AE616" t="s">
        <v>940</v>
      </c>
      <c r="AF616" t="s">
        <v>750</v>
      </c>
      <c r="AG616" t="s">
        <v>752</v>
      </c>
      <c r="AH616" t="s">
        <v>912</v>
      </c>
      <c r="AI616" t="s">
        <v>367</v>
      </c>
      <c r="AJ616" t="str">
        <f t="shared" si="335"/>
        <v>o</v>
      </c>
      <c r="AK616" t="str">
        <f t="shared" si="335"/>
        <v>o</v>
      </c>
      <c r="AL616" t="str">
        <f t="shared" si="310"/>
        <v>o</v>
      </c>
      <c r="AN616" t="s">
        <v>861</v>
      </c>
      <c r="AO616" t="str">
        <f t="shared" si="311"/>
        <v>h</v>
      </c>
      <c r="AP616" t="str">
        <f t="shared" si="318"/>
        <v>o</v>
      </c>
      <c r="AQ616" t="str">
        <f t="shared" si="319"/>
        <v/>
      </c>
      <c r="AR616" t="str">
        <f t="shared" si="320"/>
        <v>Home</v>
      </c>
      <c r="AS616" t="str">
        <f t="shared" si="321"/>
        <v>h</v>
      </c>
      <c r="AT616" t="str">
        <f t="shared" si="322"/>
        <v/>
      </c>
      <c r="BA616" s="6">
        <f t="shared" si="312"/>
        <v>165</v>
      </c>
      <c r="BB616">
        <f t="shared" si="313"/>
        <v>18981</v>
      </c>
      <c r="BC616" t="str">
        <f t="shared" si="314"/>
        <v>Nelson</v>
      </c>
      <c r="BD616" t="str">
        <f t="shared" si="315"/>
        <v>Velodrome</v>
      </c>
      <c r="BE616" t="s">
        <v>241</v>
      </c>
      <c r="BF616" t="s">
        <v>756</v>
      </c>
      <c r="BG616" t="s">
        <v>756</v>
      </c>
      <c r="BI616">
        <v>29</v>
      </c>
      <c r="BJ616" s="15">
        <f t="shared" si="316"/>
        <v>-90</v>
      </c>
      <c r="BK616">
        <f t="shared" si="323"/>
        <v>215</v>
      </c>
      <c r="BL616">
        <f t="shared" si="324"/>
        <v>305</v>
      </c>
      <c r="BM616" s="15">
        <f>SUMIFS(BJ$2:BJ616,K$2:K616,"=Intermission")+SUMIFS(BJ$2:BJ616,K$2:K616,"=Timeout")</f>
        <v>0</v>
      </c>
      <c r="BN616">
        <f t="shared" si="325"/>
        <v>0</v>
      </c>
      <c r="BO616" s="19">
        <f t="shared" si="326"/>
        <v>865</v>
      </c>
      <c r="BP616">
        <f t="shared" si="327"/>
        <v>860</v>
      </c>
      <c r="BQ616" s="17">
        <f t="shared" si="328"/>
        <v>775</v>
      </c>
      <c r="BR616" t="str">
        <f t="shared" si="329"/>
        <v>event_team_player_1</v>
      </c>
      <c r="BS616">
        <f>COUNTIFS(S$3:S616,"="&amp;S616,AI$3:AI616,"="&amp;AI616)</f>
        <v>1</v>
      </c>
      <c r="BT616" t="str">
        <f>IFERROR(VLOOKUP(BB616&amp;BU616&amp;X616,game_rosters!U:W,3,FALSE),"")</f>
        <v>P100164</v>
      </c>
      <c r="BU616" t="str">
        <f t="shared" si="330"/>
        <v>Nelson</v>
      </c>
    </row>
    <row r="617" spans="1:73" x14ac:dyDescent="0.2">
      <c r="A617">
        <f t="shared" si="317"/>
        <v>1</v>
      </c>
      <c r="E617" s="4"/>
      <c r="F617" s="43"/>
      <c r="G617" s="4"/>
      <c r="H617" s="46"/>
      <c r="J617" s="44" t="str">
        <f t="shared" si="331"/>
        <v>n</v>
      </c>
      <c r="K617" t="s">
        <v>5</v>
      </c>
      <c r="L617" t="s">
        <v>190</v>
      </c>
      <c r="M617" t="s">
        <v>756</v>
      </c>
      <c r="N617" t="str">
        <f t="shared" si="334"/>
        <v/>
      </c>
      <c r="Q617" t="str">
        <f t="shared" si="332"/>
        <v/>
      </c>
      <c r="S617">
        <v>321</v>
      </c>
      <c r="U617" t="str">
        <f>IF(B617=1,MAX($U$2:$U616)+1,IF(AND($T617&lt;&gt;"",$T617=$T616),$U616,IF(B617="x",U616,"")))</f>
        <v/>
      </c>
      <c r="V617" t="str">
        <f>IF(C617=1,MAX($V$2:$V616)+1,IF(AND($T617&lt;&gt;"",$T617=$T616),$U616,IF(C617="x",V616,"")))</f>
        <v/>
      </c>
      <c r="W617" t="str">
        <f t="shared" si="306"/>
        <v>a</v>
      </c>
      <c r="X617">
        <v>70</v>
      </c>
      <c r="Y617" t="e">
        <f>IF(X617&lt;&gt;"",VLOOKUP(X617,game_rosters!$C$43:$E$64,3,FALSE))</f>
        <v>#N/A</v>
      </c>
      <c r="Z617" cm="1">
        <f t="array" ref="Z617">IFERROR(IF(_xlfn._xlws.FILTER(game_rosters!$J:$J,(game_rosters!$G:$G=events!$AN617)*(game_rosters!$J:$J=events!$X617))&gt;0,1,""),"")</f>
        <v>1</v>
      </c>
      <c r="AA617">
        <f t="shared" si="307"/>
        <v>1321</v>
      </c>
      <c r="AB617" t="str">
        <f t="shared" si="308"/>
        <v/>
      </c>
      <c r="AC617">
        <f t="shared" si="305"/>
        <v>1321</v>
      </c>
      <c r="AD617" s="6">
        <v>1</v>
      </c>
      <c r="AE617" t="s">
        <v>752</v>
      </c>
      <c r="AF617" t="s">
        <v>912</v>
      </c>
      <c r="AG617" t="s">
        <v>756</v>
      </c>
      <c r="AH617" t="s">
        <v>756</v>
      </c>
      <c r="AI617" t="s">
        <v>367</v>
      </c>
      <c r="AJ617" t="str">
        <f t="shared" si="335"/>
        <v>n</v>
      </c>
      <c r="AK617" t="str">
        <f t="shared" si="335"/>
        <v>n</v>
      </c>
      <c r="AL617" t="str">
        <f t="shared" si="310"/>
        <v>n</v>
      </c>
      <c r="AN617" t="s">
        <v>862</v>
      </c>
      <c r="AO617" t="str">
        <f t="shared" si="311"/>
        <v>a</v>
      </c>
      <c r="AP617" t="str">
        <f t="shared" si="318"/>
        <v>n</v>
      </c>
      <c r="AQ617" t="str">
        <f t="shared" si="319"/>
        <v/>
      </c>
      <c r="AR617" t="str">
        <f t="shared" si="320"/>
        <v>Away</v>
      </c>
      <c r="AS617" t="str">
        <f t="shared" si="321"/>
        <v>a</v>
      </c>
      <c r="AT617" t="str">
        <f t="shared" si="322"/>
        <v>Offensive</v>
      </c>
      <c r="BA617" s="6">
        <f t="shared" si="312"/>
        <v>165</v>
      </c>
      <c r="BB617">
        <f t="shared" si="313"/>
        <v>18981</v>
      </c>
      <c r="BC617" t="str">
        <f t="shared" si="314"/>
        <v>Nelson</v>
      </c>
      <c r="BD617" t="str">
        <f t="shared" si="315"/>
        <v>Velodrome</v>
      </c>
      <c r="BE617" t="s">
        <v>5</v>
      </c>
      <c r="BF617" t="s">
        <v>190</v>
      </c>
      <c r="BG617" t="s">
        <v>756</v>
      </c>
      <c r="BI617">
        <v>30</v>
      </c>
      <c r="BJ617" s="15">
        <f t="shared" si="316"/>
        <v>0</v>
      </c>
      <c r="BK617">
        <f t="shared" si="323"/>
        <v>305</v>
      </c>
      <c r="BL617">
        <f t="shared" si="324"/>
        <v>305</v>
      </c>
      <c r="BM617" s="15">
        <f>SUMIFS(BJ$2:BJ617,K$2:K617,"=Intermission")+SUMIFS(BJ$2:BJ617,K$2:K617,"=Timeout")</f>
        <v>0</v>
      </c>
      <c r="BN617">
        <f t="shared" si="325"/>
        <v>0</v>
      </c>
      <c r="BO617" s="19">
        <f t="shared" si="326"/>
        <v>775</v>
      </c>
      <c r="BP617">
        <f t="shared" si="327"/>
        <v>770</v>
      </c>
      <c r="BQ617" s="17">
        <f t="shared" si="328"/>
        <v>775</v>
      </c>
      <c r="BR617" t="str">
        <f t="shared" si="329"/>
        <v>event_team_player_1</v>
      </c>
      <c r="BS617">
        <f>COUNTIFS(S$3:S617,"="&amp;S617,AI$3:AI617,"="&amp;AI617)</f>
        <v>1</v>
      </c>
      <c r="BT617" t="str">
        <f>IFERROR(VLOOKUP(BB617&amp;BU617&amp;X617,game_rosters!U:W,3,FALSE),"")</f>
        <v>P100001</v>
      </c>
      <c r="BU617" t="str">
        <f t="shared" si="330"/>
        <v>Velodrome</v>
      </c>
    </row>
    <row r="618" spans="1:73" x14ac:dyDescent="0.2">
      <c r="A618">
        <f t="shared" si="317"/>
        <v>1</v>
      </c>
      <c r="E618" s="4"/>
      <c r="F618" s="43"/>
      <c r="G618" s="4"/>
      <c r="H618" s="46"/>
      <c r="J618" s="44" t="str">
        <f t="shared" si="331"/>
        <v>n</v>
      </c>
      <c r="K618" t="s">
        <v>5</v>
      </c>
      <c r="L618" t="s">
        <v>190</v>
      </c>
      <c r="M618" t="s">
        <v>756</v>
      </c>
      <c r="N618" t="str">
        <f t="shared" si="334"/>
        <v/>
      </c>
      <c r="Q618" t="str">
        <f t="shared" si="332"/>
        <v/>
      </c>
      <c r="S618">
        <v>321</v>
      </c>
      <c r="U618" t="str">
        <f>IF(B618=1,MAX($U$2:$U617)+1,IF(AND($T618&lt;&gt;"",$T618=$T617),$U617,IF(B618="x",U617,"")))</f>
        <v/>
      </c>
      <c r="V618" t="str">
        <f>IF(C618=1,MAX($V$2:$V617)+1,IF(AND($T618&lt;&gt;"",$T618=$T617),$U617,IF(C618="x",V617,"")))</f>
        <v/>
      </c>
      <c r="W618" t="str">
        <f t="shared" si="306"/>
        <v>a</v>
      </c>
      <c r="X618">
        <v>79</v>
      </c>
      <c r="Y618" t="b">
        <f>IF(X618&lt;&gt;"",VLOOKUP(X618,game_rosters!$C$43:$E$64,3,FALSE))</f>
        <v>0</v>
      </c>
      <c r="Z618" t="str" cm="1">
        <f t="array" ref="Z618">IFERROR(IF(_xlfn._xlws.FILTER(game_rosters!$J:$J,(game_rosters!$G:$G=events!$AN618)*(game_rosters!$J:$J=events!$X618))&gt;0,1,""),"")</f>
        <v/>
      </c>
      <c r="AA618">
        <f t="shared" si="307"/>
        <v>1321</v>
      </c>
      <c r="AB618" t="str">
        <f t="shared" si="308"/>
        <v/>
      </c>
      <c r="AC618">
        <f t="shared" si="305"/>
        <v>1321</v>
      </c>
      <c r="AD618" s="6">
        <v>1</v>
      </c>
      <c r="AE618" t="s">
        <v>752</v>
      </c>
      <c r="AF618" t="s">
        <v>912</v>
      </c>
      <c r="AG618" t="s">
        <v>756</v>
      </c>
      <c r="AH618" t="s">
        <v>756</v>
      </c>
      <c r="AI618" t="s">
        <v>368</v>
      </c>
      <c r="AJ618" t="str">
        <f t="shared" si="335"/>
        <v>n</v>
      </c>
      <c r="AK618" t="str">
        <f t="shared" si="335"/>
        <v>n</v>
      </c>
      <c r="AL618" t="str">
        <f t="shared" si="310"/>
        <v>n</v>
      </c>
      <c r="AN618" t="s">
        <v>862</v>
      </c>
      <c r="AO618" t="str">
        <f t="shared" si="311"/>
        <v>a</v>
      </c>
      <c r="AP618" t="str">
        <f t="shared" si="318"/>
        <v>n</v>
      </c>
      <c r="AQ618" t="str">
        <f t="shared" si="319"/>
        <v/>
      </c>
      <c r="AR618" t="str">
        <f t="shared" si="320"/>
        <v>Away</v>
      </c>
      <c r="AS618" t="str">
        <f t="shared" si="321"/>
        <v>a</v>
      </c>
      <c r="AT618" t="str">
        <f t="shared" si="322"/>
        <v>Defensive</v>
      </c>
      <c r="BA618" s="6">
        <f t="shared" si="312"/>
        <v>165</v>
      </c>
      <c r="BB618">
        <f t="shared" si="313"/>
        <v>18981</v>
      </c>
      <c r="BC618" t="str">
        <f t="shared" si="314"/>
        <v>Nelson</v>
      </c>
      <c r="BD618" t="str">
        <f t="shared" si="315"/>
        <v>Velodrome</v>
      </c>
      <c r="BE618" t="s">
        <v>5</v>
      </c>
      <c r="BF618" t="s">
        <v>190</v>
      </c>
      <c r="BG618" t="s">
        <v>756</v>
      </c>
      <c r="BI618">
        <v>30</v>
      </c>
      <c r="BJ618" s="15">
        <f t="shared" si="316"/>
        <v>0</v>
      </c>
      <c r="BK618">
        <f t="shared" si="323"/>
        <v>305</v>
      </c>
      <c r="BL618">
        <f t="shared" si="324"/>
        <v>305</v>
      </c>
      <c r="BM618" s="15">
        <f>SUMIFS(BJ$2:BJ618,K$2:K618,"=Intermission")+SUMIFS(BJ$2:BJ618,K$2:K618,"=Timeout")</f>
        <v>0</v>
      </c>
      <c r="BN618">
        <f t="shared" si="325"/>
        <v>0</v>
      </c>
      <c r="BO618" s="19">
        <f t="shared" si="326"/>
        <v>775</v>
      </c>
      <c r="BP618">
        <f t="shared" si="327"/>
        <v>770</v>
      </c>
      <c r="BQ618" s="17">
        <f t="shared" si="328"/>
        <v>775</v>
      </c>
      <c r="BR618" t="str">
        <f t="shared" si="329"/>
        <v>opp_team_player_1</v>
      </c>
      <c r="BS618">
        <f>COUNTIFS(S$3:S618,"="&amp;S618,AI$3:AI618,"="&amp;AI618)</f>
        <v>1</v>
      </c>
      <c r="BT618" t="str">
        <f>IFERROR(VLOOKUP(BB618&amp;BU618&amp;X618,game_rosters!U:W,3,FALSE),"")</f>
        <v>P100066</v>
      </c>
      <c r="BU618" t="str">
        <f t="shared" si="330"/>
        <v>Nelson</v>
      </c>
    </row>
    <row r="619" spans="1:73" x14ac:dyDescent="0.2">
      <c r="A619">
        <f t="shared" si="317"/>
        <v>1</v>
      </c>
      <c r="E619" s="4"/>
      <c r="F619" s="43"/>
      <c r="G619" s="4"/>
      <c r="H619" s="46"/>
      <c r="J619" s="44" t="str">
        <f t="shared" si="331"/>
        <v>o</v>
      </c>
      <c r="K619" t="s">
        <v>238</v>
      </c>
      <c r="L619" t="s">
        <v>174</v>
      </c>
      <c r="M619" t="s">
        <v>85</v>
      </c>
      <c r="N619" t="str">
        <f t="shared" si="334"/>
        <v>s</v>
      </c>
      <c r="Q619" t="str">
        <f t="shared" si="332"/>
        <v/>
      </c>
      <c r="S619">
        <v>322</v>
      </c>
      <c r="U619" t="str">
        <f>IF(B619=1,MAX($U$2:$U618)+1,IF(AND($T619&lt;&gt;"",$T619=$T618),$U618,IF(B619="x",U618,"")))</f>
        <v/>
      </c>
      <c r="V619" t="str">
        <f>IF(C619=1,MAX($V$2:$V618)+1,IF(AND($T619&lt;&gt;"",$T619=$T618),$U618,IF(C619="x",V618,"")))</f>
        <v/>
      </c>
      <c r="W619" t="str">
        <f t="shared" si="306"/>
        <v>a</v>
      </c>
      <c r="X619">
        <v>70</v>
      </c>
      <c r="Y619" t="e">
        <f>IF(X619&lt;&gt;"",VLOOKUP(X619,game_rosters!$C$43:$E$64,3,FALSE))</f>
        <v>#N/A</v>
      </c>
      <c r="Z619" cm="1">
        <f t="array" ref="Z619">IFERROR(IF(_xlfn._xlws.FILTER(game_rosters!$J:$J,(game_rosters!$G:$G=events!$AN619)*(game_rosters!$J:$J=events!$X619))&gt;0,1,""),"")</f>
        <v>1</v>
      </c>
      <c r="AA619">
        <f t="shared" si="307"/>
        <v>1322</v>
      </c>
      <c r="AB619" t="str">
        <f t="shared" si="308"/>
        <v/>
      </c>
      <c r="AC619">
        <f t="shared" si="305"/>
        <v>1322</v>
      </c>
      <c r="AD619" s="6">
        <v>1</v>
      </c>
      <c r="AE619" t="s">
        <v>752</v>
      </c>
      <c r="AF619" t="s">
        <v>931</v>
      </c>
      <c r="AG619" t="s">
        <v>752</v>
      </c>
      <c r="AH619" t="s">
        <v>913</v>
      </c>
      <c r="AI619" t="s">
        <v>367</v>
      </c>
      <c r="AJ619" t="str">
        <f t="shared" si="335"/>
        <v>o</v>
      </c>
      <c r="AK619" t="str">
        <f t="shared" si="335"/>
        <v>o</v>
      </c>
      <c r="AL619" t="str">
        <f t="shared" si="310"/>
        <v>d</v>
      </c>
      <c r="AN619" t="s">
        <v>862</v>
      </c>
      <c r="AO619" t="str">
        <f t="shared" si="311"/>
        <v>a</v>
      </c>
      <c r="AP619" t="str">
        <f t="shared" si="318"/>
        <v>d</v>
      </c>
      <c r="AQ619" t="str">
        <f t="shared" si="319"/>
        <v/>
      </c>
      <c r="AR619" t="str">
        <f t="shared" si="320"/>
        <v>Away</v>
      </c>
      <c r="AS619" t="str">
        <f t="shared" si="321"/>
        <v>a</v>
      </c>
      <c r="AT619" t="str">
        <f t="shared" si="322"/>
        <v>Offensive</v>
      </c>
      <c r="BA619" s="6">
        <f t="shared" si="312"/>
        <v>166</v>
      </c>
      <c r="BB619">
        <f t="shared" si="313"/>
        <v>18981</v>
      </c>
      <c r="BC619" t="str">
        <f t="shared" si="314"/>
        <v>Nelson</v>
      </c>
      <c r="BD619" t="str">
        <f t="shared" si="315"/>
        <v>Velodrome</v>
      </c>
      <c r="BE619" t="s">
        <v>238</v>
      </c>
      <c r="BF619" t="s">
        <v>174</v>
      </c>
      <c r="BG619" t="s">
        <v>85</v>
      </c>
      <c r="BI619">
        <v>30</v>
      </c>
      <c r="BJ619" s="15">
        <f t="shared" si="316"/>
        <v>2</v>
      </c>
      <c r="BK619">
        <f t="shared" si="323"/>
        <v>304</v>
      </c>
      <c r="BL619">
        <f t="shared" si="324"/>
        <v>302</v>
      </c>
      <c r="BM619" s="15">
        <f>SUMIFS(BJ$2:BJ619,K$2:K619,"=Intermission")+SUMIFS(BJ$2:BJ619,K$2:K619,"=Timeout")</f>
        <v>0</v>
      </c>
      <c r="BN619">
        <f t="shared" si="325"/>
        <v>0</v>
      </c>
      <c r="BO619" s="19">
        <f t="shared" si="326"/>
        <v>776</v>
      </c>
      <c r="BP619">
        <f t="shared" si="327"/>
        <v>771</v>
      </c>
      <c r="BQ619" s="17">
        <f t="shared" si="328"/>
        <v>778</v>
      </c>
      <c r="BR619" t="str">
        <f t="shared" si="329"/>
        <v>event_team_player_1</v>
      </c>
      <c r="BS619">
        <f>COUNTIFS(S$3:S619,"="&amp;S619,AI$3:AI619,"="&amp;AI619)</f>
        <v>1</v>
      </c>
      <c r="BT619" t="str">
        <f>IFERROR(VLOOKUP(BB619&amp;BU619&amp;X619,game_rosters!U:W,3,FALSE),"")</f>
        <v>P100001</v>
      </c>
      <c r="BU619" t="str">
        <f t="shared" si="330"/>
        <v>Velodrome</v>
      </c>
    </row>
    <row r="620" spans="1:73" x14ac:dyDescent="0.2">
      <c r="A620">
        <f t="shared" si="317"/>
        <v>1</v>
      </c>
      <c r="E620" s="4"/>
      <c r="F620" s="43"/>
      <c r="G620" s="4"/>
      <c r="H620" s="46"/>
      <c r="J620" s="44" t="str">
        <f t="shared" si="331"/>
        <v>o</v>
      </c>
      <c r="K620" t="s">
        <v>238</v>
      </c>
      <c r="L620" t="s">
        <v>174</v>
      </c>
      <c r="M620" t="s">
        <v>85</v>
      </c>
      <c r="N620" t="str">
        <f t="shared" si="334"/>
        <v>s</v>
      </c>
      <c r="Q620" t="str">
        <f t="shared" si="332"/>
        <v/>
      </c>
      <c r="S620">
        <v>322</v>
      </c>
      <c r="U620" t="str">
        <f>IF(B620=1,MAX($U$2:$U619)+1,IF(AND($T620&lt;&gt;"",$T620=$T619),$U619,IF(B620="x",U619,"")))</f>
        <v/>
      </c>
      <c r="V620" t="str">
        <f>IF(C620=1,MAX($V$2:$V619)+1,IF(AND($T620&lt;&gt;"",$T620=$T619),$U619,IF(C620="x",V619,"")))</f>
        <v/>
      </c>
      <c r="W620" t="str">
        <f t="shared" si="306"/>
        <v>a</v>
      </c>
      <c r="X620">
        <v>80</v>
      </c>
      <c r="Y620" t="b">
        <f>IF(X620&lt;&gt;"",VLOOKUP(X620,game_rosters!$C$43:$E$64,3,FALSE))</f>
        <v>0</v>
      </c>
      <c r="Z620" t="str" cm="1">
        <f t="array" ref="Z620">IFERROR(IF(_xlfn._xlws.FILTER(game_rosters!$J:$J,(game_rosters!$G:$G=events!$AN620)*(game_rosters!$J:$J=events!$X620))&gt;0,1,""),"")</f>
        <v/>
      </c>
      <c r="AA620">
        <f t="shared" si="307"/>
        <v>1322</v>
      </c>
      <c r="AB620" t="str">
        <f t="shared" si="308"/>
        <v/>
      </c>
      <c r="AC620">
        <f t="shared" si="305"/>
        <v>1322</v>
      </c>
      <c r="AD620" s="6">
        <v>1</v>
      </c>
      <c r="AE620" t="s">
        <v>752</v>
      </c>
      <c r="AF620" t="s">
        <v>931</v>
      </c>
      <c r="AG620" t="s">
        <v>752</v>
      </c>
      <c r="AH620" t="s">
        <v>913</v>
      </c>
      <c r="AI620" t="s">
        <v>368</v>
      </c>
      <c r="AJ620" t="str">
        <f t="shared" si="335"/>
        <v>o</v>
      </c>
      <c r="AK620" t="str">
        <f t="shared" si="335"/>
        <v>o</v>
      </c>
      <c r="AL620" t="str">
        <f t="shared" si="310"/>
        <v>d</v>
      </c>
      <c r="AN620" t="s">
        <v>862</v>
      </c>
      <c r="AO620" t="str">
        <f t="shared" si="311"/>
        <v>a</v>
      </c>
      <c r="AP620" t="str">
        <f t="shared" si="318"/>
        <v>d</v>
      </c>
      <c r="AQ620" t="str">
        <f t="shared" si="319"/>
        <v/>
      </c>
      <c r="AR620" t="str">
        <f t="shared" si="320"/>
        <v>Away</v>
      </c>
      <c r="AS620" t="str">
        <f t="shared" si="321"/>
        <v>a</v>
      </c>
      <c r="AT620" t="str">
        <f t="shared" si="322"/>
        <v>Defensive</v>
      </c>
      <c r="BA620" s="6">
        <f t="shared" si="312"/>
        <v>167</v>
      </c>
      <c r="BB620">
        <f t="shared" si="313"/>
        <v>18981</v>
      </c>
      <c r="BC620" t="str">
        <f t="shared" si="314"/>
        <v>Nelson</v>
      </c>
      <c r="BD620" t="str">
        <f t="shared" si="315"/>
        <v>Velodrome</v>
      </c>
      <c r="BE620" t="s">
        <v>238</v>
      </c>
      <c r="BF620" t="s">
        <v>174</v>
      </c>
      <c r="BG620" t="s">
        <v>85</v>
      </c>
      <c r="BI620">
        <v>30</v>
      </c>
      <c r="BJ620" s="15">
        <f t="shared" si="316"/>
        <v>2</v>
      </c>
      <c r="BK620">
        <f t="shared" si="323"/>
        <v>304</v>
      </c>
      <c r="BL620">
        <f t="shared" si="324"/>
        <v>302</v>
      </c>
      <c r="BM620" s="15">
        <f>SUMIFS(BJ$2:BJ620,K$2:K620,"=Intermission")+SUMIFS(BJ$2:BJ620,K$2:K620,"=Timeout")</f>
        <v>0</v>
      </c>
      <c r="BN620">
        <f t="shared" si="325"/>
        <v>0</v>
      </c>
      <c r="BO620" s="19">
        <f t="shared" si="326"/>
        <v>776</v>
      </c>
      <c r="BP620">
        <f t="shared" si="327"/>
        <v>771</v>
      </c>
      <c r="BQ620" s="17">
        <f t="shared" si="328"/>
        <v>778</v>
      </c>
      <c r="BR620" t="str">
        <f t="shared" si="329"/>
        <v>opp_team_player_1</v>
      </c>
      <c r="BS620">
        <f>COUNTIFS(S$3:S620,"="&amp;S620,AI$3:AI620,"="&amp;AI620)</f>
        <v>1</v>
      </c>
      <c r="BT620" t="str">
        <f>IFERROR(VLOOKUP(BB620&amp;BU620&amp;X620,game_rosters!U:W,3,FALSE),"")</f>
        <v>P100197</v>
      </c>
      <c r="BU620" t="str">
        <f t="shared" si="330"/>
        <v>Nelson</v>
      </c>
    </row>
    <row r="621" spans="1:73" x14ac:dyDescent="0.2">
      <c r="A621">
        <f t="shared" si="317"/>
        <v>1</v>
      </c>
      <c r="E621" s="4"/>
      <c r="F621" s="43"/>
      <c r="G621" s="4"/>
      <c r="H621" s="46"/>
      <c r="J621" s="44" t="str">
        <f t="shared" si="331"/>
        <v>o</v>
      </c>
      <c r="K621" t="s">
        <v>238</v>
      </c>
      <c r="L621" t="s">
        <v>174</v>
      </c>
      <c r="M621" t="s">
        <v>85</v>
      </c>
      <c r="N621" t="str">
        <f t="shared" si="334"/>
        <v>s</v>
      </c>
      <c r="Q621" t="str">
        <f t="shared" si="332"/>
        <v/>
      </c>
      <c r="S621">
        <v>322</v>
      </c>
      <c r="U621" t="str">
        <f>IF(B621=1,MAX($U$2:$U620)+1,IF(AND($T621&lt;&gt;"",$T621=$T620),$U620,IF(B621="x",U620,"")))</f>
        <v/>
      </c>
      <c r="V621" t="str">
        <f>IF(C621=1,MAX($V$2:$V620)+1,IF(AND($T621&lt;&gt;"",$T621=$T620),$U620,IF(C621="x",V620,"")))</f>
        <v/>
      </c>
      <c r="W621" t="str">
        <f t="shared" si="306"/>
        <v>a</v>
      </c>
      <c r="X621">
        <v>8</v>
      </c>
      <c r="Y621" t="b">
        <f>IF(X621&lt;&gt;"",VLOOKUP(X621,game_rosters!$C$43:$E$64,3,FALSE))</f>
        <v>0</v>
      </c>
      <c r="Z621" t="str" cm="1">
        <f t="array" ref="Z621">IFERROR(IF(_xlfn._xlws.FILTER(game_rosters!$J:$J,(game_rosters!$G:$G=events!$AN621)*(game_rosters!$J:$J=events!$X621))&gt;0,1,""),"")</f>
        <v/>
      </c>
      <c r="AA621">
        <f t="shared" si="307"/>
        <v>1322</v>
      </c>
      <c r="AB621" t="str">
        <f t="shared" si="308"/>
        <v/>
      </c>
      <c r="AC621">
        <f t="shared" si="305"/>
        <v>1322</v>
      </c>
      <c r="AD621" s="6">
        <v>1</v>
      </c>
      <c r="AE621" t="s">
        <v>752</v>
      </c>
      <c r="AF621" t="s">
        <v>931</v>
      </c>
      <c r="AG621" t="s">
        <v>752</v>
      </c>
      <c r="AH621" t="s">
        <v>913</v>
      </c>
      <c r="AI621" t="s">
        <v>368</v>
      </c>
      <c r="AJ621" t="str">
        <f t="shared" si="335"/>
        <v>o</v>
      </c>
      <c r="AK621" t="str">
        <f t="shared" si="335"/>
        <v>o</v>
      </c>
      <c r="AL621" t="str">
        <f t="shared" si="310"/>
        <v>d</v>
      </c>
      <c r="AN621" t="s">
        <v>862</v>
      </c>
      <c r="AO621" t="str">
        <f t="shared" si="311"/>
        <v>a</v>
      </c>
      <c r="AP621" t="str">
        <f t="shared" si="318"/>
        <v>d</v>
      </c>
      <c r="AQ621" t="str">
        <f t="shared" si="319"/>
        <v/>
      </c>
      <c r="AR621" t="str">
        <f t="shared" si="320"/>
        <v>Away</v>
      </c>
      <c r="AS621" t="str">
        <f t="shared" si="321"/>
        <v>a</v>
      </c>
      <c r="AT621" t="str">
        <f t="shared" si="322"/>
        <v>Defensive</v>
      </c>
      <c r="BA621" s="6">
        <f t="shared" si="312"/>
        <v>168</v>
      </c>
      <c r="BB621">
        <f t="shared" si="313"/>
        <v>18981</v>
      </c>
      <c r="BC621" t="str">
        <f t="shared" si="314"/>
        <v>Nelson</v>
      </c>
      <c r="BD621" t="str">
        <f t="shared" si="315"/>
        <v>Velodrome</v>
      </c>
      <c r="BE621" t="s">
        <v>238</v>
      </c>
      <c r="BF621" t="s">
        <v>174</v>
      </c>
      <c r="BG621" t="s">
        <v>85</v>
      </c>
      <c r="BI621">
        <v>30</v>
      </c>
      <c r="BJ621" s="15">
        <f t="shared" si="316"/>
        <v>2</v>
      </c>
      <c r="BK621">
        <f t="shared" si="323"/>
        <v>304</v>
      </c>
      <c r="BL621">
        <f t="shared" si="324"/>
        <v>302</v>
      </c>
      <c r="BM621" s="15">
        <f>SUMIFS(BJ$2:BJ621,K$2:K621,"=Intermission")+SUMIFS(BJ$2:BJ621,K$2:K621,"=Timeout")</f>
        <v>0</v>
      </c>
      <c r="BN621">
        <f t="shared" si="325"/>
        <v>0</v>
      </c>
      <c r="BO621" s="19">
        <f t="shared" si="326"/>
        <v>776</v>
      </c>
      <c r="BP621">
        <f t="shared" si="327"/>
        <v>771</v>
      </c>
      <c r="BQ621" s="17">
        <f t="shared" si="328"/>
        <v>778</v>
      </c>
      <c r="BR621" t="str">
        <f t="shared" si="329"/>
        <v>opp_team_player_2</v>
      </c>
      <c r="BS621">
        <f>COUNTIFS(S$3:S621,"="&amp;S621,AI$3:AI621,"="&amp;AI621)</f>
        <v>2</v>
      </c>
      <c r="BT621" t="str">
        <f>IFERROR(VLOOKUP(BB621&amp;BU621&amp;X621,game_rosters!U:W,3,FALSE),"")</f>
        <v>P100074</v>
      </c>
      <c r="BU621" t="str">
        <f t="shared" si="330"/>
        <v>Nelson</v>
      </c>
    </row>
    <row r="622" spans="1:73" x14ac:dyDescent="0.2">
      <c r="A622">
        <f t="shared" si="317"/>
        <v>1</v>
      </c>
      <c r="E622" s="4"/>
      <c r="F622" s="43"/>
      <c r="G622" s="4"/>
      <c r="H622" s="46"/>
      <c r="J622" s="44" t="str">
        <f t="shared" si="331"/>
        <v>o</v>
      </c>
      <c r="K622" t="s">
        <v>6</v>
      </c>
      <c r="L622" t="s">
        <v>240</v>
      </c>
      <c r="M622" t="s">
        <v>756</v>
      </c>
      <c r="N622" t="str">
        <f t="shared" si="334"/>
        <v>s</v>
      </c>
      <c r="Q622" t="str">
        <f t="shared" si="332"/>
        <v/>
      </c>
      <c r="S622">
        <v>323</v>
      </c>
      <c r="U622" t="str">
        <f>IF(B622=1,MAX($U$2:$U621)+1,IF(AND($T622&lt;&gt;"",$T622=$T621),$U621,IF(B622="x",U621,"")))</f>
        <v/>
      </c>
      <c r="V622" t="str">
        <f>IF(C622=1,MAX($V$2:$V621)+1,IF(AND($T622&lt;&gt;"",$T622=$T621),$U621,IF(C622="x",V621,"")))</f>
        <v/>
      </c>
      <c r="W622" t="str">
        <f t="shared" si="306"/>
        <v>a</v>
      </c>
      <c r="X622">
        <v>70</v>
      </c>
      <c r="Y622" t="e">
        <f>IF(X622&lt;&gt;"",VLOOKUP(X622,game_rosters!$C$43:$E$64,3,FALSE))</f>
        <v>#N/A</v>
      </c>
      <c r="Z622" cm="1">
        <f t="array" ref="Z622">IFERROR(IF(_xlfn._xlws.FILTER(game_rosters!$J:$J,(game_rosters!$G:$G=events!$AN622)*(game_rosters!$J:$J=events!$X622))&gt;0,1,""),"")</f>
        <v>1</v>
      </c>
      <c r="AA622">
        <f t="shared" si="307"/>
        <v>1323</v>
      </c>
      <c r="AB622" t="str">
        <f t="shared" si="308"/>
        <v/>
      </c>
      <c r="AC622">
        <f t="shared" si="305"/>
        <v>1323</v>
      </c>
      <c r="AD622" s="6">
        <v>1</v>
      </c>
      <c r="AE622" t="s">
        <v>752</v>
      </c>
      <c r="AF622" t="s">
        <v>913</v>
      </c>
      <c r="AG622" t="s">
        <v>756</v>
      </c>
      <c r="AH622" t="s">
        <v>756</v>
      </c>
      <c r="AI622" t="s">
        <v>367</v>
      </c>
      <c r="AJ622" t="str">
        <f t="shared" si="335"/>
        <v>o</v>
      </c>
      <c r="AK622" t="str">
        <f t="shared" si="335"/>
        <v>o</v>
      </c>
      <c r="AL622" t="str">
        <f t="shared" si="310"/>
        <v>d</v>
      </c>
      <c r="AN622" t="s">
        <v>862</v>
      </c>
      <c r="AO622" t="str">
        <f t="shared" si="311"/>
        <v>a</v>
      </c>
      <c r="AP622" t="str">
        <f t="shared" si="318"/>
        <v>d</v>
      </c>
      <c r="AQ622" t="str">
        <f t="shared" si="319"/>
        <v/>
      </c>
      <c r="AR622" t="str">
        <f t="shared" si="320"/>
        <v>Away</v>
      </c>
      <c r="AS622" t="str">
        <f t="shared" si="321"/>
        <v>a</v>
      </c>
      <c r="AT622" t="str">
        <f t="shared" si="322"/>
        <v>Offensive</v>
      </c>
      <c r="BA622" s="6">
        <f t="shared" si="312"/>
        <v>168</v>
      </c>
      <c r="BB622">
        <f t="shared" si="313"/>
        <v>18981</v>
      </c>
      <c r="BC622" t="str">
        <f t="shared" si="314"/>
        <v>Nelson</v>
      </c>
      <c r="BD622" t="str">
        <f t="shared" si="315"/>
        <v>Velodrome</v>
      </c>
      <c r="BE622" t="s">
        <v>6</v>
      </c>
      <c r="BF622" t="s">
        <v>240</v>
      </c>
      <c r="BG622" t="s">
        <v>756</v>
      </c>
      <c r="BI622">
        <v>30</v>
      </c>
      <c r="BJ622" s="15">
        <f t="shared" si="316"/>
        <v>0</v>
      </c>
      <c r="BK622">
        <f t="shared" si="323"/>
        <v>302</v>
      </c>
      <c r="BL622">
        <f t="shared" si="324"/>
        <v>302</v>
      </c>
      <c r="BM622" s="15">
        <f>SUMIFS(BJ$2:BJ622,K$2:K622,"=Intermission")+SUMIFS(BJ$2:BJ622,K$2:K622,"=Timeout")</f>
        <v>0</v>
      </c>
      <c r="BN622">
        <f t="shared" si="325"/>
        <v>0</v>
      </c>
      <c r="BO622" s="19">
        <f t="shared" si="326"/>
        <v>778</v>
      </c>
      <c r="BP622">
        <f t="shared" si="327"/>
        <v>773</v>
      </c>
      <c r="BQ622" s="17">
        <f t="shared" si="328"/>
        <v>778</v>
      </c>
      <c r="BR622" t="str">
        <f t="shared" si="329"/>
        <v>event_team_player_1</v>
      </c>
      <c r="BS622">
        <f>COUNTIFS(S$3:S622,"="&amp;S622,AI$3:AI622,"="&amp;AI622)</f>
        <v>1</v>
      </c>
      <c r="BT622" t="str">
        <f>IFERROR(VLOOKUP(BB622&amp;BU622&amp;X622,game_rosters!U:W,3,FALSE),"")</f>
        <v>P100001</v>
      </c>
      <c r="BU622" t="str">
        <f t="shared" si="330"/>
        <v>Velodrome</v>
      </c>
    </row>
    <row r="623" spans="1:73" x14ac:dyDescent="0.2">
      <c r="A623">
        <f t="shared" si="317"/>
        <v>1</v>
      </c>
      <c r="E623" s="4"/>
      <c r="F623" s="43"/>
      <c r="G623" s="4"/>
      <c r="H623" s="46"/>
      <c r="J623" s="44" t="str">
        <f t="shared" si="331"/>
        <v>o</v>
      </c>
      <c r="K623" t="s">
        <v>6</v>
      </c>
      <c r="L623" t="s">
        <v>240</v>
      </c>
      <c r="M623" t="s">
        <v>756</v>
      </c>
      <c r="N623" t="str">
        <f t="shared" si="334"/>
        <v>s</v>
      </c>
      <c r="Q623" t="str">
        <f t="shared" si="332"/>
        <v/>
      </c>
      <c r="S623">
        <v>323</v>
      </c>
      <c r="U623" t="str">
        <f>IF(B623=1,MAX($U$2:$U622)+1,IF(AND($T623&lt;&gt;"",$T623=$T622),$U622,IF(B623="x",U622,"")))</f>
        <v/>
      </c>
      <c r="V623" t="str">
        <f>IF(C623=1,MAX($V$2:$V622)+1,IF(AND($T623&lt;&gt;"",$T623=$T622),$U622,IF(C623="x",V622,"")))</f>
        <v/>
      </c>
      <c r="W623" t="str">
        <f t="shared" si="306"/>
        <v>a</v>
      </c>
      <c r="X623">
        <v>31</v>
      </c>
      <c r="Y623" t="b">
        <f>IF(X623&lt;&gt;"",VLOOKUP(X623,game_rosters!$C$43:$E$64,3,FALSE))</f>
        <v>0</v>
      </c>
      <c r="Z623" t="str" cm="1">
        <f t="array" ref="Z623">IFERROR(IF(_xlfn._xlws.FILTER(game_rosters!$J:$J,(game_rosters!$G:$G=events!$AN623)*(game_rosters!$J:$J=events!$X623))&gt;0,1,""),"")</f>
        <v/>
      </c>
      <c r="AA623">
        <f t="shared" si="307"/>
        <v>1323</v>
      </c>
      <c r="AB623" t="str">
        <f t="shared" si="308"/>
        <v/>
      </c>
      <c r="AC623">
        <f t="shared" si="305"/>
        <v>1323</v>
      </c>
      <c r="AD623" s="6">
        <v>1</v>
      </c>
      <c r="AE623" t="s">
        <v>752</v>
      </c>
      <c r="AF623" t="s">
        <v>913</v>
      </c>
      <c r="AG623" t="s">
        <v>756</v>
      </c>
      <c r="AH623" t="s">
        <v>756</v>
      </c>
      <c r="AI623" t="s">
        <v>368</v>
      </c>
      <c r="AJ623" t="str">
        <f t="shared" si="335"/>
        <v>o</v>
      </c>
      <c r="AK623" t="str">
        <f t="shared" si="335"/>
        <v>o</v>
      </c>
      <c r="AL623" t="str">
        <f t="shared" si="310"/>
        <v>d</v>
      </c>
      <c r="AN623" t="s">
        <v>862</v>
      </c>
      <c r="AO623" t="str">
        <f t="shared" si="311"/>
        <v>a</v>
      </c>
      <c r="AP623" t="str">
        <f t="shared" si="318"/>
        <v>d</v>
      </c>
      <c r="AQ623" t="str">
        <f t="shared" si="319"/>
        <v/>
      </c>
      <c r="AR623" t="str">
        <f t="shared" si="320"/>
        <v>Away</v>
      </c>
      <c r="AS623" t="str">
        <f t="shared" si="321"/>
        <v>a</v>
      </c>
      <c r="AT623" t="str">
        <f t="shared" si="322"/>
        <v>Defensive</v>
      </c>
      <c r="BA623" s="6">
        <f t="shared" si="312"/>
        <v>168</v>
      </c>
      <c r="BB623">
        <f t="shared" si="313"/>
        <v>18981</v>
      </c>
      <c r="BC623" t="str">
        <f t="shared" si="314"/>
        <v>Nelson</v>
      </c>
      <c r="BD623" t="str">
        <f t="shared" si="315"/>
        <v>Velodrome</v>
      </c>
      <c r="BE623" t="s">
        <v>6</v>
      </c>
      <c r="BF623" t="s">
        <v>240</v>
      </c>
      <c r="BG623" t="s">
        <v>756</v>
      </c>
      <c r="BI623">
        <v>30</v>
      </c>
      <c r="BJ623" s="15">
        <f t="shared" si="316"/>
        <v>0</v>
      </c>
      <c r="BK623">
        <f t="shared" si="323"/>
        <v>302</v>
      </c>
      <c r="BL623">
        <f t="shared" si="324"/>
        <v>302</v>
      </c>
      <c r="BM623" s="15">
        <f>SUMIFS(BJ$2:BJ623,K$2:K623,"=Intermission")+SUMIFS(BJ$2:BJ623,K$2:K623,"=Timeout")</f>
        <v>0</v>
      </c>
      <c r="BN623">
        <f t="shared" si="325"/>
        <v>0</v>
      </c>
      <c r="BO623" s="19">
        <f t="shared" si="326"/>
        <v>778</v>
      </c>
      <c r="BP623">
        <f t="shared" si="327"/>
        <v>773</v>
      </c>
      <c r="BQ623" s="17">
        <f t="shared" si="328"/>
        <v>778</v>
      </c>
      <c r="BR623" t="str">
        <f t="shared" si="329"/>
        <v>opp_team_player_1</v>
      </c>
      <c r="BS623">
        <f>COUNTIFS(S$3:S623,"="&amp;S623,AI$3:AI623,"="&amp;AI623)</f>
        <v>1</v>
      </c>
      <c r="BT623" t="str">
        <f>IFERROR(VLOOKUP(BB623&amp;BU623&amp;X623,game_rosters!U:W,3,FALSE),"")</f>
        <v>P100138</v>
      </c>
      <c r="BU623" t="str">
        <f t="shared" si="330"/>
        <v>Nelson</v>
      </c>
    </row>
    <row r="624" spans="1:73" x14ac:dyDescent="0.2">
      <c r="A624">
        <f t="shared" si="317"/>
        <v>1</v>
      </c>
      <c r="E624" s="4"/>
      <c r="F624" s="43"/>
      <c r="G624" s="4"/>
      <c r="H624" s="46"/>
      <c r="J624" s="44" t="str">
        <f t="shared" si="331"/>
        <v>o</v>
      </c>
      <c r="K624" t="s">
        <v>8</v>
      </c>
      <c r="L624" t="s">
        <v>213</v>
      </c>
      <c r="M624" t="s">
        <v>216</v>
      </c>
      <c r="N624" t="str">
        <f t="shared" si="334"/>
        <v>s</v>
      </c>
      <c r="Q624" t="str">
        <f t="shared" si="332"/>
        <v/>
      </c>
      <c r="S624">
        <v>324</v>
      </c>
      <c r="U624" t="str">
        <f>IF(B624=1,MAX($U$2:$U623)+1,IF(AND($T624&lt;&gt;"",$T624=$T623),$U623,IF(B624="x",U623,"")))</f>
        <v/>
      </c>
      <c r="V624" t="str">
        <f>IF(C624=1,MAX($V$2:$V623)+1,IF(AND($T624&lt;&gt;"",$T624=$T623),$U623,IF(C624="x",V623,"")))</f>
        <v/>
      </c>
      <c r="W624" t="str">
        <f t="shared" si="306"/>
        <v>a</v>
      </c>
      <c r="X624">
        <v>70</v>
      </c>
      <c r="Y624" t="e">
        <f>IF(X624&lt;&gt;"",VLOOKUP(X624,game_rosters!$C$43:$E$64,3,FALSE))</f>
        <v>#N/A</v>
      </c>
      <c r="Z624" cm="1">
        <f t="array" ref="Z624">IFERROR(IF(_xlfn._xlws.FILTER(game_rosters!$J:$J,(game_rosters!$G:$G=events!$AN624)*(game_rosters!$J:$J=events!$X624))&gt;0,1,""),"")</f>
        <v>1</v>
      </c>
      <c r="AA624">
        <f t="shared" si="307"/>
        <v>1324</v>
      </c>
      <c r="AB624" t="str">
        <f t="shared" si="308"/>
        <v/>
      </c>
      <c r="AC624">
        <f t="shared" si="305"/>
        <v>1324</v>
      </c>
      <c r="AD624" s="6">
        <v>1</v>
      </c>
      <c r="AE624" t="s">
        <v>752</v>
      </c>
      <c r="AF624" t="s">
        <v>913</v>
      </c>
      <c r="AG624" t="s">
        <v>756</v>
      </c>
      <c r="AH624" t="s">
        <v>756</v>
      </c>
      <c r="AI624" t="s">
        <v>367</v>
      </c>
      <c r="AJ624" t="str">
        <f t="shared" si="335"/>
        <v>o</v>
      </c>
      <c r="AK624" t="str">
        <f t="shared" si="335"/>
        <v>o</v>
      </c>
      <c r="AL624" t="str">
        <f t="shared" si="310"/>
        <v>d</v>
      </c>
      <c r="AN624" t="s">
        <v>862</v>
      </c>
      <c r="AO624" t="str">
        <f t="shared" si="311"/>
        <v>a</v>
      </c>
      <c r="AP624" t="str">
        <f t="shared" si="318"/>
        <v>d</v>
      </c>
      <c r="AQ624" t="str">
        <f t="shared" si="319"/>
        <v/>
      </c>
      <c r="AR624" t="str">
        <f t="shared" si="320"/>
        <v>Away</v>
      </c>
      <c r="AS624" t="str">
        <f t="shared" si="321"/>
        <v>a</v>
      </c>
      <c r="AT624" t="str">
        <f t="shared" si="322"/>
        <v>Offensive</v>
      </c>
      <c r="BA624" s="6">
        <f t="shared" si="312"/>
        <v>168</v>
      </c>
      <c r="BB624">
        <f t="shared" si="313"/>
        <v>18981</v>
      </c>
      <c r="BC624" t="str">
        <f t="shared" si="314"/>
        <v>Nelson</v>
      </c>
      <c r="BD624" t="str">
        <f t="shared" si="315"/>
        <v>Velodrome</v>
      </c>
      <c r="BE624" t="s">
        <v>8</v>
      </c>
      <c r="BF624" t="s">
        <v>213</v>
      </c>
      <c r="BG624" t="s">
        <v>216</v>
      </c>
      <c r="BI624">
        <v>30</v>
      </c>
      <c r="BJ624" s="15">
        <f t="shared" si="316"/>
        <v>0</v>
      </c>
      <c r="BK624">
        <f t="shared" si="323"/>
        <v>302</v>
      </c>
      <c r="BL624">
        <f t="shared" si="324"/>
        <v>302</v>
      </c>
      <c r="BM624" s="15">
        <f>SUMIFS(BJ$2:BJ624,K$2:K624,"=Intermission")+SUMIFS(BJ$2:BJ624,K$2:K624,"=Timeout")</f>
        <v>0</v>
      </c>
      <c r="BN624">
        <f t="shared" si="325"/>
        <v>0</v>
      </c>
      <c r="BO624" s="19">
        <f t="shared" si="326"/>
        <v>778</v>
      </c>
      <c r="BP624">
        <f t="shared" si="327"/>
        <v>773</v>
      </c>
      <c r="BQ624" s="17">
        <f t="shared" si="328"/>
        <v>778</v>
      </c>
      <c r="BR624" t="str">
        <f t="shared" si="329"/>
        <v>event_team_player_1</v>
      </c>
      <c r="BS624">
        <f>COUNTIFS(S$3:S624,"="&amp;S624,AI$3:AI624,"="&amp;AI624)</f>
        <v>1</v>
      </c>
      <c r="BT624" t="str">
        <f>IFERROR(VLOOKUP(BB624&amp;BU624&amp;X624,game_rosters!U:W,3,FALSE),"")</f>
        <v>P100001</v>
      </c>
      <c r="BU624" t="str">
        <f t="shared" si="330"/>
        <v>Velodrome</v>
      </c>
    </row>
    <row r="625" spans="1:73" x14ac:dyDescent="0.2">
      <c r="A625">
        <f t="shared" si="317"/>
        <v>1</v>
      </c>
      <c r="E625" s="4"/>
      <c r="F625" s="43"/>
      <c r="G625" s="4"/>
      <c r="H625" s="46"/>
      <c r="J625" s="44" t="str">
        <f t="shared" si="331"/>
        <v>o</v>
      </c>
      <c r="K625" t="s">
        <v>8</v>
      </c>
      <c r="L625" t="s">
        <v>213</v>
      </c>
      <c r="M625" t="s">
        <v>216</v>
      </c>
      <c r="N625" t="str">
        <f t="shared" si="334"/>
        <v>s</v>
      </c>
      <c r="Q625" t="str">
        <f t="shared" si="332"/>
        <v/>
      </c>
      <c r="S625">
        <v>324</v>
      </c>
      <c r="U625" t="str">
        <f>IF(B625=1,MAX($U$2:$U624)+1,IF(AND($T625&lt;&gt;"",$T625=$T624),$U624,IF(B625="x",U624,"")))</f>
        <v/>
      </c>
      <c r="V625" t="str">
        <f>IF(C625=1,MAX($V$2:$V624)+1,IF(AND($T625&lt;&gt;"",$T625=$T624),$U624,IF(C625="x",V624,"")))</f>
        <v/>
      </c>
      <c r="W625" t="str">
        <f t="shared" si="306"/>
        <v>a</v>
      </c>
      <c r="X625">
        <v>31</v>
      </c>
      <c r="Y625" t="b">
        <f>IF(X625&lt;&gt;"",VLOOKUP(X625,game_rosters!$C$43:$E$64,3,FALSE))</f>
        <v>0</v>
      </c>
      <c r="Z625" t="str" cm="1">
        <f t="array" ref="Z625">IFERROR(IF(_xlfn._xlws.FILTER(game_rosters!$J:$J,(game_rosters!$G:$G=events!$AN625)*(game_rosters!$J:$J=events!$X625))&gt;0,1,""),"")</f>
        <v/>
      </c>
      <c r="AA625">
        <f t="shared" si="307"/>
        <v>1324</v>
      </c>
      <c r="AB625" t="str">
        <f t="shared" si="308"/>
        <v/>
      </c>
      <c r="AC625">
        <f t="shared" si="305"/>
        <v>1324</v>
      </c>
      <c r="AD625" s="6">
        <v>1</v>
      </c>
      <c r="AE625" t="s">
        <v>752</v>
      </c>
      <c r="AF625" t="s">
        <v>913</v>
      </c>
      <c r="AG625" t="s">
        <v>756</v>
      </c>
      <c r="AH625" t="s">
        <v>756</v>
      </c>
      <c r="AI625" t="s">
        <v>368</v>
      </c>
      <c r="AJ625" t="str">
        <f t="shared" si="335"/>
        <v>o</v>
      </c>
      <c r="AK625" t="str">
        <f t="shared" si="335"/>
        <v>o</v>
      </c>
      <c r="AL625" t="str">
        <f t="shared" si="310"/>
        <v>d</v>
      </c>
      <c r="AN625" t="s">
        <v>862</v>
      </c>
      <c r="AO625" t="str">
        <f t="shared" si="311"/>
        <v>a</v>
      </c>
      <c r="AP625" t="str">
        <f t="shared" si="318"/>
        <v>d</v>
      </c>
      <c r="AQ625" t="str">
        <f t="shared" si="319"/>
        <v/>
      </c>
      <c r="AR625" t="str">
        <f t="shared" si="320"/>
        <v>Away</v>
      </c>
      <c r="AS625" t="str">
        <f t="shared" si="321"/>
        <v>a</v>
      </c>
      <c r="AT625" t="str">
        <f t="shared" si="322"/>
        <v>Defensive</v>
      </c>
      <c r="BA625" s="6">
        <f t="shared" si="312"/>
        <v>168</v>
      </c>
      <c r="BB625">
        <f t="shared" si="313"/>
        <v>18981</v>
      </c>
      <c r="BC625" t="str">
        <f t="shared" si="314"/>
        <v>Nelson</v>
      </c>
      <c r="BD625" t="str">
        <f t="shared" si="315"/>
        <v>Velodrome</v>
      </c>
      <c r="BE625" t="s">
        <v>8</v>
      </c>
      <c r="BF625" t="s">
        <v>213</v>
      </c>
      <c r="BG625" t="s">
        <v>216</v>
      </c>
      <c r="BI625">
        <v>30</v>
      </c>
      <c r="BJ625" s="15">
        <f t="shared" si="316"/>
        <v>0</v>
      </c>
      <c r="BK625">
        <f t="shared" si="323"/>
        <v>302</v>
      </c>
      <c r="BL625">
        <f t="shared" si="324"/>
        <v>302</v>
      </c>
      <c r="BM625" s="15">
        <f>SUMIFS(BJ$2:BJ625,K$2:K625,"=Intermission")+SUMIFS(BJ$2:BJ625,K$2:K625,"=Timeout")</f>
        <v>0</v>
      </c>
      <c r="BN625">
        <f t="shared" si="325"/>
        <v>0</v>
      </c>
      <c r="BO625" s="19">
        <f t="shared" si="326"/>
        <v>778</v>
      </c>
      <c r="BP625">
        <f t="shared" si="327"/>
        <v>773</v>
      </c>
      <c r="BQ625" s="17">
        <f t="shared" si="328"/>
        <v>778</v>
      </c>
      <c r="BR625" t="str">
        <f t="shared" si="329"/>
        <v>opp_team_player_1</v>
      </c>
      <c r="BS625">
        <f>COUNTIFS(S$3:S625,"="&amp;S625,AI$3:AI625,"="&amp;AI625)</f>
        <v>1</v>
      </c>
      <c r="BT625" t="str">
        <f>IFERROR(VLOOKUP(BB625&amp;BU625&amp;X625,game_rosters!U:W,3,FALSE),"")</f>
        <v>P100138</v>
      </c>
      <c r="BU625" t="str">
        <f t="shared" si="330"/>
        <v>Nelson</v>
      </c>
    </row>
    <row r="626" spans="1:73" x14ac:dyDescent="0.2">
      <c r="A626">
        <f t="shared" si="317"/>
        <v>1</v>
      </c>
      <c r="E626" s="4"/>
      <c r="F626" s="43"/>
      <c r="G626" s="4"/>
      <c r="H626" s="46"/>
      <c r="J626" s="44" t="str">
        <f t="shared" si="331"/>
        <v>o</v>
      </c>
      <c r="K626" t="s">
        <v>11</v>
      </c>
      <c r="L626" t="s">
        <v>187</v>
      </c>
      <c r="M626" t="s">
        <v>40</v>
      </c>
      <c r="N626" t="str">
        <f t="shared" si="334"/>
        <v/>
      </c>
      <c r="Q626" t="str">
        <f t="shared" si="332"/>
        <v/>
      </c>
      <c r="S626">
        <v>325</v>
      </c>
      <c r="U626" t="str">
        <f>IF(B626=1,MAX($U$2:$U625)+1,IF(AND($T626&lt;&gt;"",$T626=$T625),$U625,IF(B626="x",U625,"")))</f>
        <v/>
      </c>
      <c r="V626" t="str">
        <f>IF(C626=1,MAX($V$2:$V625)+1,IF(AND($T626&lt;&gt;"",$T626=$T625),$U625,IF(C626="x",V625,"")))</f>
        <v/>
      </c>
      <c r="W626" t="str">
        <f t="shared" si="306"/>
        <v>a</v>
      </c>
      <c r="X626">
        <v>70</v>
      </c>
      <c r="Y626" t="e">
        <f>IF(X626&lt;&gt;"",VLOOKUP(X626,game_rosters!$C$43:$E$64,3,FALSE))</f>
        <v>#N/A</v>
      </c>
      <c r="Z626" cm="1">
        <f t="array" ref="Z626">IFERROR(IF(_xlfn._xlws.FILTER(game_rosters!$J:$J,(game_rosters!$G:$G=events!$AN626)*(game_rosters!$J:$J=events!$X626))&gt;0,1,""),"")</f>
        <v>1</v>
      </c>
      <c r="AA626">
        <f t="shared" si="307"/>
        <v>1325</v>
      </c>
      <c r="AB626" t="str">
        <f t="shared" si="308"/>
        <v/>
      </c>
      <c r="AC626">
        <f t="shared" si="305"/>
        <v>1325</v>
      </c>
      <c r="AD626" s="6">
        <v>1</v>
      </c>
      <c r="AE626" t="s">
        <v>752</v>
      </c>
      <c r="AF626" t="s">
        <v>913</v>
      </c>
      <c r="AG626" t="s">
        <v>756</v>
      </c>
      <c r="AH626" t="s">
        <v>756</v>
      </c>
      <c r="AI626" t="s">
        <v>367</v>
      </c>
      <c r="AJ626" t="str">
        <f t="shared" si="335"/>
        <v>o</v>
      </c>
      <c r="AK626" t="str">
        <f t="shared" si="335"/>
        <v>o</v>
      </c>
      <c r="AL626" t="str">
        <f t="shared" si="310"/>
        <v>d</v>
      </c>
      <c r="AN626" t="s">
        <v>862</v>
      </c>
      <c r="AO626" t="str">
        <f t="shared" si="311"/>
        <v>a</v>
      </c>
      <c r="AP626" t="str">
        <f t="shared" si="318"/>
        <v>d</v>
      </c>
      <c r="AQ626" t="str">
        <f t="shared" si="319"/>
        <v/>
      </c>
      <c r="AR626" t="str">
        <f t="shared" si="320"/>
        <v>Away</v>
      </c>
      <c r="AS626" t="str">
        <f t="shared" si="321"/>
        <v>a</v>
      </c>
      <c r="AT626" t="str">
        <f t="shared" si="322"/>
        <v/>
      </c>
      <c r="BA626" s="6">
        <f t="shared" si="312"/>
        <v>168</v>
      </c>
      <c r="BB626">
        <f t="shared" si="313"/>
        <v>18981</v>
      </c>
      <c r="BC626" t="str">
        <f t="shared" si="314"/>
        <v>Nelson</v>
      </c>
      <c r="BD626" t="str">
        <f t="shared" si="315"/>
        <v>Velodrome</v>
      </c>
      <c r="BE626" t="s">
        <v>11</v>
      </c>
      <c r="BF626" t="s">
        <v>187</v>
      </c>
      <c r="BG626" t="s">
        <v>40</v>
      </c>
      <c r="BI626">
        <v>30</v>
      </c>
      <c r="BJ626" s="15">
        <f t="shared" si="316"/>
        <v>0</v>
      </c>
      <c r="BK626">
        <f t="shared" si="323"/>
        <v>302</v>
      </c>
      <c r="BL626">
        <f t="shared" si="324"/>
        <v>302</v>
      </c>
      <c r="BM626" s="15">
        <f>SUMIFS(BJ$2:BJ626,K$2:K626,"=Intermission")+SUMIFS(BJ$2:BJ626,K$2:K626,"=Timeout")</f>
        <v>0</v>
      </c>
      <c r="BN626">
        <f t="shared" si="325"/>
        <v>0</v>
      </c>
      <c r="BO626" s="19">
        <f t="shared" si="326"/>
        <v>778</v>
      </c>
      <c r="BP626">
        <f t="shared" si="327"/>
        <v>773</v>
      </c>
      <c r="BQ626" s="17">
        <f t="shared" si="328"/>
        <v>778</v>
      </c>
      <c r="BR626" t="str">
        <f t="shared" si="329"/>
        <v>event_team_player_1</v>
      </c>
      <c r="BS626">
        <f>COUNTIFS(S$3:S626,"="&amp;S626,AI$3:AI626,"="&amp;AI626)</f>
        <v>1</v>
      </c>
      <c r="BT626" t="str">
        <f>IFERROR(VLOOKUP(BB626&amp;BU626&amp;X626,game_rosters!U:W,3,FALSE),"")</f>
        <v>P100001</v>
      </c>
      <c r="BU626" t="str">
        <f t="shared" si="330"/>
        <v>Velodrome</v>
      </c>
    </row>
    <row r="627" spans="1:73" x14ac:dyDescent="0.2">
      <c r="A627">
        <f t="shared" si="317"/>
        <v>1</v>
      </c>
      <c r="E627" s="4"/>
      <c r="F627" s="43"/>
      <c r="G627" s="4"/>
      <c r="H627" s="46"/>
      <c r="J627" s="44" t="str">
        <f t="shared" si="331"/>
        <v>o</v>
      </c>
      <c r="K627" t="s">
        <v>241</v>
      </c>
      <c r="L627" t="s">
        <v>756</v>
      </c>
      <c r="M627" t="s">
        <v>756</v>
      </c>
      <c r="N627" t="str">
        <f t="shared" si="334"/>
        <v/>
      </c>
      <c r="Q627" t="str">
        <f t="shared" si="332"/>
        <v/>
      </c>
      <c r="S627">
        <v>326</v>
      </c>
      <c r="U627" t="str">
        <f>IF(B627=1,MAX($U$2:$U626)+1,IF(AND($T627&lt;&gt;"",$T627=$T626),$U626,IF(B627="x",U626,"")))</f>
        <v/>
      </c>
      <c r="V627" t="str">
        <f>IF(C627=1,MAX($V$2:$V626)+1,IF(AND($T627&lt;&gt;"",$T627=$T626),$U626,IF(C627="x",V626,"")))</f>
        <v/>
      </c>
      <c r="W627" t="str">
        <f t="shared" si="306"/>
        <v>a</v>
      </c>
      <c r="X627">
        <v>70</v>
      </c>
      <c r="Y627" t="e">
        <f>IF(X627&lt;&gt;"",VLOOKUP(X627,game_rosters!$C$43:$E$64,3,FALSE))</f>
        <v>#N/A</v>
      </c>
      <c r="Z627" cm="1">
        <f t="array" ref="Z627">IFERROR(IF(_xlfn._xlws.FILTER(game_rosters!$J:$J,(game_rosters!$G:$G=events!$AN627)*(game_rosters!$J:$J=events!$X627))&gt;0,1,""),"")</f>
        <v>1</v>
      </c>
      <c r="AA627">
        <f t="shared" si="307"/>
        <v>1326</v>
      </c>
      <c r="AB627" t="str">
        <f t="shared" si="308"/>
        <v/>
      </c>
      <c r="AC627">
        <f t="shared" si="305"/>
        <v>1326</v>
      </c>
      <c r="AD627" s="6">
        <v>1</v>
      </c>
      <c r="AE627" t="s">
        <v>752</v>
      </c>
      <c r="AF627" t="s">
        <v>913</v>
      </c>
      <c r="AG627" t="s">
        <v>941</v>
      </c>
      <c r="AH627" t="s">
        <v>928</v>
      </c>
      <c r="AI627" t="s">
        <v>367</v>
      </c>
      <c r="AJ627" t="str">
        <f t="shared" si="335"/>
        <v>o</v>
      </c>
      <c r="AK627" t="str">
        <f t="shared" si="335"/>
        <v>o</v>
      </c>
      <c r="AL627" t="str">
        <f t="shared" si="310"/>
        <v>d</v>
      </c>
      <c r="AN627" t="s">
        <v>862</v>
      </c>
      <c r="AO627" t="str">
        <f t="shared" si="311"/>
        <v>a</v>
      </c>
      <c r="AP627" t="str">
        <f t="shared" si="318"/>
        <v>d</v>
      </c>
      <c r="AQ627" t="str">
        <f t="shared" si="319"/>
        <v/>
      </c>
      <c r="AR627" t="str">
        <f t="shared" si="320"/>
        <v>Away</v>
      </c>
      <c r="AS627" t="str">
        <f t="shared" si="321"/>
        <v>a</v>
      </c>
      <c r="AT627" t="str">
        <f t="shared" si="322"/>
        <v/>
      </c>
      <c r="BA627" s="6">
        <f t="shared" si="312"/>
        <v>168</v>
      </c>
      <c r="BB627">
        <f t="shared" si="313"/>
        <v>18981</v>
      </c>
      <c r="BC627" t="str">
        <f t="shared" si="314"/>
        <v>Nelson</v>
      </c>
      <c r="BD627" t="str">
        <f t="shared" si="315"/>
        <v>Velodrome</v>
      </c>
      <c r="BE627" t="s">
        <v>241</v>
      </c>
      <c r="BF627" t="s">
        <v>756</v>
      </c>
      <c r="BG627" t="s">
        <v>756</v>
      </c>
      <c r="BI627" cm="1">
        <f t="array" ref="BI627">IFERROR(_xlfn._xlws.FILTER(shifts!A:A,(shifts!B:B=events!AD627)*(shifts!AG:AG&gt;=events!BK627)*(shifts!AH:AH&lt;=events!BL627)),BI626)</f>
        <v>31</v>
      </c>
      <c r="BJ627" s="15">
        <f t="shared" si="316"/>
        <v>25</v>
      </c>
      <c r="BK627">
        <f t="shared" si="323"/>
        <v>302</v>
      </c>
      <c r="BL627">
        <f t="shared" si="324"/>
        <v>277</v>
      </c>
      <c r="BM627" s="15">
        <f>SUMIFS(BJ$2:BJ627,K$2:K627,"=Intermission")+SUMIFS(BJ$2:BJ627,K$2:K627,"=Timeout")</f>
        <v>0</v>
      </c>
      <c r="BN627">
        <f t="shared" si="325"/>
        <v>0</v>
      </c>
      <c r="BO627" s="19">
        <f t="shared" si="326"/>
        <v>778</v>
      </c>
      <c r="BP627">
        <f t="shared" si="327"/>
        <v>773</v>
      </c>
      <c r="BQ627" s="17">
        <f t="shared" si="328"/>
        <v>803</v>
      </c>
      <c r="BR627" t="str">
        <f t="shared" si="329"/>
        <v>event_team_player_1</v>
      </c>
      <c r="BS627">
        <f>COUNTIFS(S$3:S627,"="&amp;S627,AI$3:AI627,"="&amp;AI627)</f>
        <v>1</v>
      </c>
      <c r="BT627" t="str">
        <f>IFERROR(VLOOKUP(BB627&amp;BU627&amp;X627,game_rosters!U:W,3,FALSE),"")</f>
        <v>P100001</v>
      </c>
      <c r="BU627" t="str">
        <f t="shared" si="330"/>
        <v>Velodrome</v>
      </c>
    </row>
    <row r="628" spans="1:73" x14ac:dyDescent="0.2">
      <c r="A628">
        <f t="shared" si="317"/>
        <v>1</v>
      </c>
      <c r="E628" s="4"/>
      <c r="F628" s="43"/>
      <c r="G628" s="4"/>
      <c r="H628" s="46"/>
      <c r="J628" s="44" t="str">
        <f t="shared" si="331"/>
        <v>n</v>
      </c>
      <c r="K628" t="s">
        <v>5</v>
      </c>
      <c r="L628" t="s">
        <v>190</v>
      </c>
      <c r="M628" t="s">
        <v>756</v>
      </c>
      <c r="N628" t="str">
        <f t="shared" si="334"/>
        <v/>
      </c>
      <c r="Q628" t="str">
        <f t="shared" si="332"/>
        <v/>
      </c>
      <c r="S628">
        <v>327</v>
      </c>
      <c r="U628" t="str">
        <f>IF(B628=1,MAX($U$2:$U627)+1,IF(AND($T628&lt;&gt;"",$T628=$T627),$U627,IF(B628="x",U627,"")))</f>
        <v/>
      </c>
      <c r="V628" t="str">
        <f>IF(C628=1,MAX($V$2:$V627)+1,IF(AND($T628&lt;&gt;"",$T628=$T627),$U627,IF(C628="x",V627,"")))</f>
        <v/>
      </c>
      <c r="W628" t="str">
        <f t="shared" si="306"/>
        <v>a</v>
      </c>
      <c r="X628">
        <v>70</v>
      </c>
      <c r="Y628" t="e">
        <f>IF(X628&lt;&gt;"",VLOOKUP(X628,game_rosters!$C$43:$E$64,3,FALSE))</f>
        <v>#N/A</v>
      </c>
      <c r="Z628" cm="1">
        <f t="array" ref="Z628">IFERROR(IF(_xlfn._xlws.FILTER(game_rosters!$J:$J,(game_rosters!$G:$G=events!$AN628)*(game_rosters!$J:$J=events!$X628))&gt;0,1,""),"")</f>
        <v>1</v>
      </c>
      <c r="AA628">
        <f t="shared" si="307"/>
        <v>1327</v>
      </c>
      <c r="AB628" t="str">
        <f t="shared" si="308"/>
        <v/>
      </c>
      <c r="AC628">
        <f t="shared" si="305"/>
        <v>1327</v>
      </c>
      <c r="AD628" s="6">
        <v>1</v>
      </c>
      <c r="AE628" t="s">
        <v>941</v>
      </c>
      <c r="AF628" t="s">
        <v>928</v>
      </c>
      <c r="AG628" t="s">
        <v>756</v>
      </c>
      <c r="AH628" t="s">
        <v>756</v>
      </c>
      <c r="AI628" t="s">
        <v>367</v>
      </c>
      <c r="AJ628" t="str">
        <f t="shared" ref="AJ628:AK643" si="336">IF($J628&lt;&gt;"",$J628,IF($AC628=$AC627,AJ627,""))</f>
        <v>n</v>
      </c>
      <c r="AK628" t="str">
        <f t="shared" si="336"/>
        <v>n</v>
      </c>
      <c r="AL628" t="str">
        <f t="shared" si="310"/>
        <v>n</v>
      </c>
      <c r="AN628" t="s">
        <v>862</v>
      </c>
      <c r="AO628" t="str">
        <f t="shared" si="311"/>
        <v>a</v>
      </c>
      <c r="AP628" t="str">
        <f t="shared" si="318"/>
        <v>n</v>
      </c>
      <c r="AQ628" t="str">
        <f t="shared" si="319"/>
        <v/>
      </c>
      <c r="AR628" t="str">
        <f t="shared" si="320"/>
        <v>Away</v>
      </c>
      <c r="AS628" t="str">
        <f t="shared" si="321"/>
        <v>a</v>
      </c>
      <c r="AT628" t="str">
        <f t="shared" si="322"/>
        <v>Offensive</v>
      </c>
      <c r="BA628" s="6">
        <f t="shared" si="312"/>
        <v>168</v>
      </c>
      <c r="BB628">
        <f t="shared" si="313"/>
        <v>18981</v>
      </c>
      <c r="BC628" t="str">
        <f t="shared" si="314"/>
        <v>Nelson</v>
      </c>
      <c r="BD628" t="str">
        <f t="shared" si="315"/>
        <v>Velodrome</v>
      </c>
      <c r="BE628" t="s">
        <v>5</v>
      </c>
      <c r="BF628" t="s">
        <v>190</v>
      </c>
      <c r="BG628" t="s">
        <v>756</v>
      </c>
      <c r="BI628" cm="1">
        <f t="array" ref="BI628">IFERROR(_xlfn._xlws.FILTER(shifts!A:A,(shifts!B:B=events!AD628)*(shifts!AG:AG&gt;=events!BK628)*(shifts!AH:AH&lt;=events!BL628)),BI627)</f>
        <v>31</v>
      </c>
      <c r="BJ628" s="15">
        <f t="shared" si="316"/>
        <v>0</v>
      </c>
      <c r="BK628">
        <f t="shared" si="323"/>
        <v>277</v>
      </c>
      <c r="BL628">
        <f t="shared" si="324"/>
        <v>277</v>
      </c>
      <c r="BM628" s="15">
        <f>SUMIFS(BJ$2:BJ628,K$2:K628,"=Intermission")+SUMIFS(BJ$2:BJ628,K$2:K628,"=Timeout")</f>
        <v>0</v>
      </c>
      <c r="BN628">
        <f t="shared" si="325"/>
        <v>0</v>
      </c>
      <c r="BO628" s="19">
        <f t="shared" si="326"/>
        <v>803</v>
      </c>
      <c r="BP628">
        <f t="shared" si="327"/>
        <v>798</v>
      </c>
      <c r="BQ628" s="17">
        <f t="shared" si="328"/>
        <v>803</v>
      </c>
      <c r="BR628" t="str">
        <f t="shared" si="329"/>
        <v>event_team_player_1</v>
      </c>
      <c r="BS628">
        <f>COUNTIFS(S$3:S628,"="&amp;S628,AI$3:AI628,"="&amp;AI628)</f>
        <v>1</v>
      </c>
      <c r="BT628" t="str">
        <f>IFERROR(VLOOKUP(BB628&amp;BU628&amp;X628,game_rosters!U:W,3,FALSE),"")</f>
        <v>P100001</v>
      </c>
      <c r="BU628" t="str">
        <f t="shared" si="330"/>
        <v>Velodrome</v>
      </c>
    </row>
    <row r="629" spans="1:73" x14ac:dyDescent="0.2">
      <c r="A629">
        <f t="shared" si="317"/>
        <v>1</v>
      </c>
      <c r="E629" s="4"/>
      <c r="F629" s="43"/>
      <c r="G629" s="4"/>
      <c r="H629" s="46"/>
      <c r="J629" s="44" t="str">
        <f t="shared" si="331"/>
        <v>n</v>
      </c>
      <c r="K629" t="s">
        <v>5</v>
      </c>
      <c r="L629" t="s">
        <v>190</v>
      </c>
      <c r="M629" t="s">
        <v>756</v>
      </c>
      <c r="N629" t="str">
        <f t="shared" si="334"/>
        <v/>
      </c>
      <c r="Q629" t="str">
        <f t="shared" si="332"/>
        <v/>
      </c>
      <c r="S629">
        <v>327</v>
      </c>
      <c r="U629" t="str">
        <f>IF(B629=1,MAX($U$2:$U628)+1,IF(AND($T629&lt;&gt;"",$T629=$T628),$U628,IF(B629="x",U628,"")))</f>
        <v/>
      </c>
      <c r="V629" t="str">
        <f>IF(C629=1,MAX($V$2:$V628)+1,IF(AND($T629&lt;&gt;"",$T629=$T628),$U628,IF(C629="x",V628,"")))</f>
        <v/>
      </c>
      <c r="W629" t="str">
        <f t="shared" si="306"/>
        <v>a</v>
      </c>
      <c r="X629">
        <v>79</v>
      </c>
      <c r="Y629" t="b">
        <f>IF(X629&lt;&gt;"",VLOOKUP(X629,game_rosters!$C$43:$E$64,3,FALSE))</f>
        <v>0</v>
      </c>
      <c r="Z629" t="str" cm="1">
        <f t="array" ref="Z629">IFERROR(IF(_xlfn._xlws.FILTER(game_rosters!$J:$J,(game_rosters!$G:$G=events!$AN629)*(game_rosters!$J:$J=events!$X629))&gt;0,1,""),"")</f>
        <v/>
      </c>
      <c r="AA629">
        <f t="shared" si="307"/>
        <v>1327</v>
      </c>
      <c r="AB629" t="str">
        <f t="shared" si="308"/>
        <v/>
      </c>
      <c r="AC629">
        <f t="shared" si="305"/>
        <v>1327</v>
      </c>
      <c r="AD629" s="6">
        <v>1</v>
      </c>
      <c r="AE629" t="s">
        <v>941</v>
      </c>
      <c r="AF629" t="s">
        <v>928</v>
      </c>
      <c r="AG629" t="s">
        <v>756</v>
      </c>
      <c r="AH629" t="s">
        <v>756</v>
      </c>
      <c r="AI629" t="s">
        <v>368</v>
      </c>
      <c r="AJ629" t="str">
        <f t="shared" si="336"/>
        <v>n</v>
      </c>
      <c r="AK629" t="str">
        <f t="shared" si="336"/>
        <v>n</v>
      </c>
      <c r="AL629" t="str">
        <f t="shared" si="310"/>
        <v>n</v>
      </c>
      <c r="AN629" t="s">
        <v>862</v>
      </c>
      <c r="AO629" t="str">
        <f t="shared" si="311"/>
        <v>a</v>
      </c>
      <c r="AP629" t="str">
        <f t="shared" si="318"/>
        <v>n</v>
      </c>
      <c r="AQ629" t="str">
        <f t="shared" si="319"/>
        <v/>
      </c>
      <c r="AR629" t="str">
        <f t="shared" si="320"/>
        <v>Away</v>
      </c>
      <c r="AS629" t="str">
        <f t="shared" si="321"/>
        <v>a</v>
      </c>
      <c r="AT629" t="str">
        <f t="shared" si="322"/>
        <v>Defensive</v>
      </c>
      <c r="BA629" s="6">
        <f t="shared" si="312"/>
        <v>168</v>
      </c>
      <c r="BB629">
        <f t="shared" si="313"/>
        <v>18981</v>
      </c>
      <c r="BC629" t="str">
        <f t="shared" si="314"/>
        <v>Nelson</v>
      </c>
      <c r="BD629" t="str">
        <f t="shared" si="315"/>
        <v>Velodrome</v>
      </c>
      <c r="BE629" t="s">
        <v>5</v>
      </c>
      <c r="BF629" t="s">
        <v>190</v>
      </c>
      <c r="BG629" t="s">
        <v>756</v>
      </c>
      <c r="BI629" cm="1">
        <f t="array" ref="BI629">IFERROR(_xlfn._xlws.FILTER(shifts!A:A,(shifts!B:B=events!AD629)*(shifts!AG:AG&gt;=events!BK629)*(shifts!AH:AH&lt;=events!BL629)),BI628)</f>
        <v>31</v>
      </c>
      <c r="BJ629" s="15">
        <f t="shared" si="316"/>
        <v>0</v>
      </c>
      <c r="BK629">
        <f t="shared" si="323"/>
        <v>277</v>
      </c>
      <c r="BL629">
        <f t="shared" si="324"/>
        <v>277</v>
      </c>
      <c r="BM629" s="15">
        <f>SUMIFS(BJ$2:BJ629,K$2:K629,"=Intermission")+SUMIFS(BJ$2:BJ629,K$2:K629,"=Timeout")</f>
        <v>0</v>
      </c>
      <c r="BN629">
        <f t="shared" si="325"/>
        <v>0</v>
      </c>
      <c r="BO629" s="19">
        <f t="shared" si="326"/>
        <v>803</v>
      </c>
      <c r="BP629">
        <f t="shared" si="327"/>
        <v>798</v>
      </c>
      <c r="BQ629" s="17">
        <f t="shared" si="328"/>
        <v>803</v>
      </c>
      <c r="BR629" t="str">
        <f t="shared" si="329"/>
        <v>opp_team_player_1</v>
      </c>
      <c r="BS629">
        <f>COUNTIFS(S$3:S629,"="&amp;S629,AI$3:AI629,"="&amp;AI629)</f>
        <v>1</v>
      </c>
      <c r="BT629" t="str">
        <f>IFERROR(VLOOKUP(BB629&amp;BU629&amp;X629,game_rosters!U:W,3,FALSE),"")</f>
        <v>P100066</v>
      </c>
      <c r="BU629" t="str">
        <f t="shared" si="330"/>
        <v>Nelson</v>
      </c>
    </row>
    <row r="630" spans="1:73" x14ac:dyDescent="0.2">
      <c r="A630">
        <f t="shared" si="317"/>
        <v>1</v>
      </c>
      <c r="E630" s="4"/>
      <c r="F630" s="43"/>
      <c r="G630" s="4"/>
      <c r="H630" s="46"/>
      <c r="J630" s="44" t="str">
        <f t="shared" si="331"/>
        <v/>
      </c>
      <c r="K630" t="s">
        <v>13</v>
      </c>
      <c r="L630" t="s">
        <v>756</v>
      </c>
      <c r="M630" t="s">
        <v>756</v>
      </c>
      <c r="N630" t="str">
        <f t="shared" si="334"/>
        <v/>
      </c>
      <c r="Q630" t="str">
        <f t="shared" si="332"/>
        <v/>
      </c>
      <c r="S630">
        <v>328</v>
      </c>
      <c r="U630" t="str">
        <f>IF(B630=1,MAX($U$2:$U629)+1,IF(AND($T630&lt;&gt;"",$T630=$T629),$U629,IF(B630="x",U629,"")))</f>
        <v/>
      </c>
      <c r="V630" t="str">
        <f>IF(C630=1,MAX($V$2:$V629)+1,IF(AND($T630&lt;&gt;"",$T630=$T629),$U629,IF(C630="x",V629,"")))</f>
        <v/>
      </c>
      <c r="W630" t="str">
        <f t="shared" si="306"/>
        <v>a</v>
      </c>
      <c r="X630">
        <v>70</v>
      </c>
      <c r="Y630" t="e">
        <f>IF(X630&lt;&gt;"",VLOOKUP(X630,game_rosters!$C$43:$E$64,3,FALSE))</f>
        <v>#N/A</v>
      </c>
      <c r="Z630" cm="1">
        <f t="array" ref="Z630">IFERROR(IF(_xlfn._xlws.FILTER(game_rosters!$J:$J,(game_rosters!$G:$G=events!$AN630)*(game_rosters!$J:$J=events!$X630))&gt;0,1,""),"")</f>
        <v>1</v>
      </c>
      <c r="AA630">
        <f t="shared" si="307"/>
        <v>1328</v>
      </c>
      <c r="AB630" t="str">
        <f t="shared" si="308"/>
        <v/>
      </c>
      <c r="AC630">
        <f t="shared" si="305"/>
        <v>1328</v>
      </c>
      <c r="AD630" s="6">
        <v>1</v>
      </c>
      <c r="AE630" t="s">
        <v>941</v>
      </c>
      <c r="AF630" t="s">
        <v>904</v>
      </c>
      <c r="AG630" t="s">
        <v>941</v>
      </c>
      <c r="AH630" t="s">
        <v>914</v>
      </c>
      <c r="AI630" t="s">
        <v>367</v>
      </c>
      <c r="AJ630" t="str">
        <f t="shared" si="336"/>
        <v/>
      </c>
      <c r="AK630" t="str">
        <f t="shared" si="336"/>
        <v/>
      </c>
      <c r="AL630" t="str">
        <f t="shared" si="310"/>
        <v/>
      </c>
      <c r="AN630" t="s">
        <v>862</v>
      </c>
      <c r="AO630" t="str">
        <f t="shared" si="311"/>
        <v>a</v>
      </c>
      <c r="AP630" t="str">
        <f t="shared" si="318"/>
        <v/>
      </c>
      <c r="AQ630" t="str">
        <f t="shared" si="319"/>
        <v/>
      </c>
      <c r="AR630" t="str">
        <f t="shared" si="320"/>
        <v>Away</v>
      </c>
      <c r="AS630" t="str">
        <f t="shared" si="321"/>
        <v>a</v>
      </c>
      <c r="AT630" t="str">
        <f t="shared" si="322"/>
        <v>Offensive</v>
      </c>
      <c r="BA630" s="6">
        <f t="shared" si="312"/>
        <v>168</v>
      </c>
      <c r="BB630">
        <f t="shared" si="313"/>
        <v>18981</v>
      </c>
      <c r="BC630" t="str">
        <f t="shared" si="314"/>
        <v>Nelson</v>
      </c>
      <c r="BD630" t="str">
        <f t="shared" si="315"/>
        <v>Velodrome</v>
      </c>
      <c r="BE630" t="s">
        <v>13</v>
      </c>
      <c r="BF630" t="s">
        <v>756</v>
      </c>
      <c r="BG630" t="s">
        <v>756</v>
      </c>
      <c r="BI630" cm="1">
        <f t="array" ref="BI630">IFERROR(_xlfn._xlws.FILTER(shifts!A:A,(shifts!B:B=events!AD630)*(shifts!AG:AG&gt;=events!BK630)*(shifts!AH:AH&lt;=events!BL630)),BI629)</f>
        <v>31</v>
      </c>
      <c r="BJ630" s="15">
        <f t="shared" si="316"/>
        <v>3</v>
      </c>
      <c r="BK630">
        <f t="shared" si="323"/>
        <v>276</v>
      </c>
      <c r="BL630">
        <f t="shared" si="324"/>
        <v>273</v>
      </c>
      <c r="BM630" s="15">
        <f>SUMIFS(BJ$2:BJ630,K$2:K630,"=Intermission")+SUMIFS(BJ$2:BJ630,K$2:K630,"=Timeout")</f>
        <v>0</v>
      </c>
      <c r="BN630">
        <f t="shared" si="325"/>
        <v>0</v>
      </c>
      <c r="BO630" s="19">
        <f t="shared" si="326"/>
        <v>804</v>
      </c>
      <c r="BP630">
        <f t="shared" si="327"/>
        <v>799</v>
      </c>
      <c r="BQ630" s="17">
        <f t="shared" si="328"/>
        <v>807</v>
      </c>
      <c r="BR630" t="str">
        <f t="shared" si="329"/>
        <v>event_team_player_1</v>
      </c>
      <c r="BS630">
        <f>COUNTIFS(S$3:S630,"="&amp;S630,AI$3:AI630,"="&amp;AI630)</f>
        <v>1</v>
      </c>
      <c r="BT630" t="str">
        <f>IFERROR(VLOOKUP(BB630&amp;BU630&amp;X630,game_rosters!U:W,3,FALSE),"")</f>
        <v>P100001</v>
      </c>
      <c r="BU630" t="str">
        <f t="shared" si="330"/>
        <v>Velodrome</v>
      </c>
    </row>
    <row r="631" spans="1:73" x14ac:dyDescent="0.2">
      <c r="A631">
        <f t="shared" si="317"/>
        <v>1</v>
      </c>
      <c r="E631" s="4"/>
      <c r="F631" s="43"/>
      <c r="G631" s="4"/>
      <c r="H631" s="46"/>
      <c r="J631" s="44" t="str">
        <f t="shared" si="331"/>
        <v/>
      </c>
      <c r="K631" t="s">
        <v>7</v>
      </c>
      <c r="L631" t="s">
        <v>172</v>
      </c>
      <c r="M631" t="s">
        <v>68</v>
      </c>
      <c r="N631" t="str">
        <f t="shared" si="334"/>
        <v>s</v>
      </c>
      <c r="Q631" t="str">
        <f t="shared" si="332"/>
        <v/>
      </c>
      <c r="S631">
        <v>329</v>
      </c>
      <c r="U631" t="str">
        <f>IF(B631=1,MAX($U$2:$U630)+1,IF(AND($T631&lt;&gt;"",$T631=$T630),$U630,IF(B631="x",U630,"")))</f>
        <v/>
      </c>
      <c r="V631" t="str">
        <f>IF(C631=1,MAX($V$2:$V630)+1,IF(AND($T631&lt;&gt;"",$T631=$T630),$U630,IF(C631="x",V630,"")))</f>
        <v/>
      </c>
      <c r="W631" t="str">
        <f t="shared" si="306"/>
        <v>a</v>
      </c>
      <c r="X631">
        <v>70</v>
      </c>
      <c r="Y631" t="e">
        <f>IF(X631&lt;&gt;"",VLOOKUP(X631,game_rosters!$C$43:$E$64,3,FALSE))</f>
        <v>#N/A</v>
      </c>
      <c r="Z631" cm="1">
        <f t="array" ref="Z631">IFERROR(IF(_xlfn._xlws.FILTER(game_rosters!$J:$J,(game_rosters!$G:$G=events!$AN631)*(game_rosters!$J:$J=events!$X631))&gt;0,1,""),"")</f>
        <v>1</v>
      </c>
      <c r="AA631">
        <f t="shared" si="307"/>
        <v>1329</v>
      </c>
      <c r="AB631" t="str">
        <f t="shared" si="308"/>
        <v/>
      </c>
      <c r="AC631">
        <f t="shared" si="305"/>
        <v>1329</v>
      </c>
      <c r="AD631" s="6">
        <v>1</v>
      </c>
      <c r="AE631" t="s">
        <v>941</v>
      </c>
      <c r="AF631" t="s">
        <v>914</v>
      </c>
      <c r="AG631" t="s">
        <v>756</v>
      </c>
      <c r="AH631" t="s">
        <v>756</v>
      </c>
      <c r="AI631" t="s">
        <v>367</v>
      </c>
      <c r="AJ631" t="str">
        <f t="shared" si="336"/>
        <v/>
      </c>
      <c r="AK631" t="str">
        <f t="shared" si="336"/>
        <v/>
      </c>
      <c r="AL631" t="str">
        <f t="shared" si="310"/>
        <v/>
      </c>
      <c r="AN631" t="s">
        <v>862</v>
      </c>
      <c r="AO631" t="str">
        <f t="shared" si="311"/>
        <v>a</v>
      </c>
      <c r="AP631" t="str">
        <f t="shared" si="318"/>
        <v/>
      </c>
      <c r="AQ631" t="str">
        <f t="shared" si="319"/>
        <v/>
      </c>
      <c r="AR631" t="str">
        <f t="shared" si="320"/>
        <v>Away</v>
      </c>
      <c r="AS631" t="str">
        <f t="shared" si="321"/>
        <v>a</v>
      </c>
      <c r="AT631" t="str">
        <f t="shared" si="322"/>
        <v>Offensive</v>
      </c>
      <c r="BA631" s="6">
        <f t="shared" si="312"/>
        <v>168</v>
      </c>
      <c r="BB631">
        <f t="shared" si="313"/>
        <v>18981</v>
      </c>
      <c r="BC631" t="str">
        <f t="shared" si="314"/>
        <v>Nelson</v>
      </c>
      <c r="BD631" t="str">
        <f t="shared" si="315"/>
        <v>Velodrome</v>
      </c>
      <c r="BE631" t="s">
        <v>7</v>
      </c>
      <c r="BF631" t="s">
        <v>172</v>
      </c>
      <c r="BG631" t="s">
        <v>68</v>
      </c>
      <c r="BI631" cm="1">
        <f t="array" ref="BI631">IFERROR(_xlfn._xlws.FILTER(shifts!A:A,(shifts!B:B=events!AD631)*(shifts!AG:AG&gt;=events!BK631)*(shifts!AH:AH&lt;=events!BL631)),BI630)</f>
        <v>31</v>
      </c>
      <c r="BJ631" s="15">
        <f t="shared" si="316"/>
        <v>0</v>
      </c>
      <c r="BK631">
        <f t="shared" si="323"/>
        <v>273</v>
      </c>
      <c r="BL631">
        <f t="shared" si="324"/>
        <v>273</v>
      </c>
      <c r="BM631" s="15">
        <f>SUMIFS(BJ$2:BJ631,K$2:K631,"=Intermission")+SUMIFS(BJ$2:BJ631,K$2:K631,"=Timeout")</f>
        <v>0</v>
      </c>
      <c r="BN631">
        <f t="shared" si="325"/>
        <v>0</v>
      </c>
      <c r="BO631" s="19">
        <f t="shared" si="326"/>
        <v>807</v>
      </c>
      <c r="BP631">
        <f t="shared" si="327"/>
        <v>802</v>
      </c>
      <c r="BQ631" s="17">
        <f t="shared" si="328"/>
        <v>807</v>
      </c>
      <c r="BR631" t="str">
        <f t="shared" si="329"/>
        <v>event_team_player_1</v>
      </c>
      <c r="BS631">
        <f>COUNTIFS(S$3:S631,"="&amp;S631,AI$3:AI631,"="&amp;AI631)</f>
        <v>1</v>
      </c>
      <c r="BT631" t="str">
        <f>IFERROR(VLOOKUP(BB631&amp;BU631&amp;X631,game_rosters!U:W,3,FALSE),"")</f>
        <v>P100001</v>
      </c>
      <c r="BU631" t="str">
        <f t="shared" si="330"/>
        <v>Velodrome</v>
      </c>
    </row>
    <row r="632" spans="1:73" x14ac:dyDescent="0.2">
      <c r="A632">
        <f t="shared" si="317"/>
        <v>1</v>
      </c>
      <c r="E632" s="4"/>
      <c r="F632" s="43"/>
      <c r="G632" s="4"/>
      <c r="H632" s="46"/>
      <c r="J632" s="44" t="str">
        <f t="shared" si="331"/>
        <v/>
      </c>
      <c r="K632" t="s">
        <v>7</v>
      </c>
      <c r="L632" t="s">
        <v>172</v>
      </c>
      <c r="M632" t="s">
        <v>68</v>
      </c>
      <c r="N632" t="str">
        <f t="shared" si="334"/>
        <v>s</v>
      </c>
      <c r="Q632" t="str">
        <f t="shared" si="332"/>
        <v/>
      </c>
      <c r="S632">
        <v>329</v>
      </c>
      <c r="U632" t="str">
        <f>IF(B632=1,MAX($U$2:$U631)+1,IF(AND($T632&lt;&gt;"",$T632=$T631),$U631,IF(B632="x",U631,"")))</f>
        <v/>
      </c>
      <c r="V632" t="str">
        <f>IF(C632=1,MAX($V$2:$V631)+1,IF(AND($T632&lt;&gt;"",$T632=$T631),$U631,IF(C632="x",V631,"")))</f>
        <v/>
      </c>
      <c r="W632" t="str">
        <f t="shared" si="306"/>
        <v>a</v>
      </c>
      <c r="X632">
        <v>75</v>
      </c>
      <c r="Y632" t="e">
        <f>IF(X632&lt;&gt;"",VLOOKUP(X632,game_rosters!$C$43:$E$64,3,FALSE))</f>
        <v>#N/A</v>
      </c>
      <c r="Z632" cm="1">
        <f t="array" ref="Z632">IFERROR(IF(_xlfn._xlws.FILTER(game_rosters!$J:$J,(game_rosters!$G:$G=events!$AN632)*(game_rosters!$J:$J=events!$X632))&gt;0,1,""),"")</f>
        <v>1</v>
      </c>
      <c r="AA632">
        <f t="shared" si="307"/>
        <v>1329</v>
      </c>
      <c r="AB632" t="str">
        <f t="shared" si="308"/>
        <v/>
      </c>
      <c r="AC632">
        <f t="shared" si="305"/>
        <v>1329</v>
      </c>
      <c r="AD632" s="6">
        <v>1</v>
      </c>
      <c r="AE632" t="s">
        <v>941</v>
      </c>
      <c r="AF632" t="s">
        <v>914</v>
      </c>
      <c r="AG632" t="s">
        <v>756</v>
      </c>
      <c r="AH632" t="s">
        <v>756</v>
      </c>
      <c r="AI632" t="s">
        <v>367</v>
      </c>
      <c r="AJ632" t="str">
        <f t="shared" si="336"/>
        <v/>
      </c>
      <c r="AK632" t="str">
        <f t="shared" si="336"/>
        <v/>
      </c>
      <c r="AL632" t="str">
        <f t="shared" si="310"/>
        <v/>
      </c>
      <c r="AN632" t="s">
        <v>862</v>
      </c>
      <c r="AO632" t="str">
        <f t="shared" si="311"/>
        <v>a</v>
      </c>
      <c r="AP632" t="str">
        <f t="shared" si="318"/>
        <v/>
      </c>
      <c r="AQ632" t="str">
        <f t="shared" si="319"/>
        <v/>
      </c>
      <c r="AR632" t="str">
        <f t="shared" si="320"/>
        <v>Away</v>
      </c>
      <c r="AS632" t="str">
        <f t="shared" si="321"/>
        <v>a</v>
      </c>
      <c r="AT632" t="str">
        <f t="shared" si="322"/>
        <v>Offensive</v>
      </c>
      <c r="BA632" s="6">
        <f t="shared" si="312"/>
        <v>168</v>
      </c>
      <c r="BB632">
        <f t="shared" si="313"/>
        <v>18981</v>
      </c>
      <c r="BC632" t="str">
        <f t="shared" si="314"/>
        <v>Nelson</v>
      </c>
      <c r="BD632" t="str">
        <f t="shared" si="315"/>
        <v>Velodrome</v>
      </c>
      <c r="BE632" t="s">
        <v>7</v>
      </c>
      <c r="BF632" t="s">
        <v>172</v>
      </c>
      <c r="BG632" t="s">
        <v>68</v>
      </c>
      <c r="BI632" cm="1">
        <f t="array" ref="BI632">IFERROR(_xlfn._xlws.FILTER(shifts!A:A,(shifts!B:B=events!AD632)*(shifts!AG:AG&gt;=events!BK632)*(shifts!AH:AH&lt;=events!BL632)),BI631)</f>
        <v>31</v>
      </c>
      <c r="BJ632" s="15">
        <f t="shared" si="316"/>
        <v>0</v>
      </c>
      <c r="BK632">
        <f t="shared" si="323"/>
        <v>273</v>
      </c>
      <c r="BL632">
        <f t="shared" si="324"/>
        <v>273</v>
      </c>
      <c r="BM632" s="15">
        <f>SUMIFS(BJ$2:BJ632,K$2:K632,"=Intermission")+SUMIFS(BJ$2:BJ632,K$2:K632,"=Timeout")</f>
        <v>0</v>
      </c>
      <c r="BN632">
        <f t="shared" si="325"/>
        <v>0</v>
      </c>
      <c r="BO632" s="19">
        <f t="shared" si="326"/>
        <v>807</v>
      </c>
      <c r="BP632">
        <f t="shared" si="327"/>
        <v>802</v>
      </c>
      <c r="BQ632" s="17">
        <f t="shared" si="328"/>
        <v>807</v>
      </c>
      <c r="BR632" t="str">
        <f t="shared" si="329"/>
        <v>event_team_player_2</v>
      </c>
      <c r="BS632">
        <f>COUNTIFS(S$3:S632,"="&amp;S632,AI$3:AI632,"="&amp;AI632)</f>
        <v>2</v>
      </c>
      <c r="BT632" t="str">
        <f>IFERROR(VLOOKUP(BB632&amp;BU632&amp;X632,game_rosters!U:W,3,FALSE),"")</f>
        <v>P100039</v>
      </c>
      <c r="BU632" t="str">
        <f t="shared" si="330"/>
        <v>Velodrome</v>
      </c>
    </row>
    <row r="633" spans="1:73" x14ac:dyDescent="0.2">
      <c r="A633">
        <f t="shared" si="317"/>
        <v>1</v>
      </c>
      <c r="E633" s="4"/>
      <c r="F633" s="43"/>
      <c r="G633" s="4"/>
      <c r="H633" s="46"/>
      <c r="J633" s="44" t="str">
        <f t="shared" si="331"/>
        <v>o</v>
      </c>
      <c r="K633" t="s">
        <v>238</v>
      </c>
      <c r="L633" t="s">
        <v>174</v>
      </c>
      <c r="M633" t="s">
        <v>390</v>
      </c>
      <c r="N633" t="str">
        <f t="shared" si="334"/>
        <v>u</v>
      </c>
      <c r="Q633" t="str">
        <f t="shared" si="332"/>
        <v/>
      </c>
      <c r="S633">
        <v>330</v>
      </c>
      <c r="U633" t="str">
        <f>IF(B633=1,MAX($U$2:$U632)+1,IF(AND($T633&lt;&gt;"",$T633=$T632),$U632,IF(B633="x",U632,"")))</f>
        <v/>
      </c>
      <c r="V633" t="str">
        <f>IF(C633=1,MAX($V$2:$V632)+1,IF(AND($T633&lt;&gt;"",$T633=$T632),$U632,IF(C633="x",V632,"")))</f>
        <v/>
      </c>
      <c r="W633" t="str">
        <f t="shared" si="306"/>
        <v>a</v>
      </c>
      <c r="X633">
        <v>75</v>
      </c>
      <c r="Y633" t="e">
        <f>IF(X633&lt;&gt;"",VLOOKUP(X633,game_rosters!$C$43:$E$64,3,FALSE))</f>
        <v>#N/A</v>
      </c>
      <c r="Z633" cm="1">
        <f t="array" ref="Z633">IFERROR(IF(_xlfn._xlws.FILTER(game_rosters!$J:$J,(game_rosters!$G:$G=events!$AN633)*(game_rosters!$J:$J=events!$X633))&gt;0,1,""),"")</f>
        <v>1</v>
      </c>
      <c r="AA633">
        <f t="shared" si="307"/>
        <v>1330</v>
      </c>
      <c r="AB633" t="str">
        <f t="shared" si="308"/>
        <v/>
      </c>
      <c r="AC633">
        <f t="shared" si="305"/>
        <v>1330</v>
      </c>
      <c r="AD633" s="6">
        <v>1</v>
      </c>
      <c r="AE633" t="s">
        <v>941</v>
      </c>
      <c r="AF633" t="s">
        <v>914</v>
      </c>
      <c r="AG633" t="s">
        <v>756</v>
      </c>
      <c r="AH633" t="s">
        <v>756</v>
      </c>
      <c r="AI633" t="s">
        <v>367</v>
      </c>
      <c r="AJ633" t="str">
        <f t="shared" si="336"/>
        <v>o</v>
      </c>
      <c r="AK633" t="str">
        <f t="shared" si="336"/>
        <v>o</v>
      </c>
      <c r="AL633" t="str">
        <f t="shared" si="310"/>
        <v>d</v>
      </c>
      <c r="AN633" t="s">
        <v>862</v>
      </c>
      <c r="AO633" t="str">
        <f t="shared" si="311"/>
        <v>a</v>
      </c>
      <c r="AP633" t="str">
        <f t="shared" si="318"/>
        <v>d</v>
      </c>
      <c r="AQ633" t="str">
        <f t="shared" si="319"/>
        <v/>
      </c>
      <c r="AR633" t="str">
        <f t="shared" si="320"/>
        <v>Away</v>
      </c>
      <c r="AS633" t="str">
        <f t="shared" si="321"/>
        <v>a</v>
      </c>
      <c r="AT633" t="str">
        <f t="shared" si="322"/>
        <v>Offensive</v>
      </c>
      <c r="BA633" s="6">
        <f t="shared" si="312"/>
        <v>169</v>
      </c>
      <c r="BB633">
        <f t="shared" si="313"/>
        <v>18981</v>
      </c>
      <c r="BC633" t="str">
        <f t="shared" si="314"/>
        <v>Nelson</v>
      </c>
      <c r="BD633" t="str">
        <f t="shared" si="315"/>
        <v>Velodrome</v>
      </c>
      <c r="BE633" t="s">
        <v>238</v>
      </c>
      <c r="BF633" t="s">
        <v>174</v>
      </c>
      <c r="BG633" t="s">
        <v>390</v>
      </c>
      <c r="BI633" cm="1">
        <f t="array" ref="BI633">IFERROR(_xlfn._xlws.FILTER(shifts!A:A,(shifts!B:B=events!AD633)*(shifts!AG:AG&gt;=events!BK633)*(shifts!AH:AH&lt;=events!BL633)),BI632)</f>
        <v>31</v>
      </c>
      <c r="BJ633" s="15">
        <f t="shared" si="316"/>
        <v>0</v>
      </c>
      <c r="BK633">
        <f t="shared" si="323"/>
        <v>273</v>
      </c>
      <c r="BL633">
        <f t="shared" si="324"/>
        <v>273</v>
      </c>
      <c r="BM633" s="15">
        <f>SUMIFS(BJ$2:BJ633,K$2:K633,"=Intermission")+SUMIFS(BJ$2:BJ633,K$2:K633,"=Timeout")</f>
        <v>0</v>
      </c>
      <c r="BN633">
        <f t="shared" si="325"/>
        <v>0</v>
      </c>
      <c r="BO633" s="19">
        <f t="shared" si="326"/>
        <v>807</v>
      </c>
      <c r="BP633">
        <f t="shared" si="327"/>
        <v>802</v>
      </c>
      <c r="BQ633" s="17">
        <f t="shared" si="328"/>
        <v>807</v>
      </c>
      <c r="BR633" t="str">
        <f t="shared" si="329"/>
        <v>event_team_player_1</v>
      </c>
      <c r="BS633">
        <f>COUNTIFS(S$3:S633,"="&amp;S633,AI$3:AI633,"="&amp;AI633)</f>
        <v>1</v>
      </c>
      <c r="BT633" t="str">
        <f>IFERROR(VLOOKUP(BB633&amp;BU633&amp;X633,game_rosters!U:W,3,FALSE),"")</f>
        <v>P100039</v>
      </c>
      <c r="BU633" t="str">
        <f t="shared" si="330"/>
        <v>Velodrome</v>
      </c>
    </row>
    <row r="634" spans="1:73" x14ac:dyDescent="0.2">
      <c r="A634">
        <f t="shared" si="317"/>
        <v>1</v>
      </c>
      <c r="E634" s="4"/>
      <c r="F634" s="43"/>
      <c r="G634" s="4"/>
      <c r="H634" s="46"/>
      <c r="J634" s="44" t="str">
        <f t="shared" si="331"/>
        <v/>
      </c>
      <c r="K634" t="s">
        <v>9</v>
      </c>
      <c r="L634" t="s">
        <v>173</v>
      </c>
      <c r="M634" t="s">
        <v>383</v>
      </c>
      <c r="N634" t="str">
        <f t="shared" si="334"/>
        <v>u</v>
      </c>
      <c r="Q634" t="str">
        <f t="shared" si="332"/>
        <v/>
      </c>
      <c r="S634">
        <v>331</v>
      </c>
      <c r="U634" t="str">
        <f>IF(B634=1,MAX($U$2:$U633)+1,IF(AND($T634&lt;&gt;"",$T634=$T633),$U633,IF(B634="x",U633,"")))</f>
        <v/>
      </c>
      <c r="V634" t="str">
        <f>IF(C634=1,MAX($V$2:$V633)+1,IF(AND($T634&lt;&gt;"",$T634=$T633),$U633,IF(C634="x",V633,"")))</f>
        <v/>
      </c>
      <c r="W634" t="str">
        <f t="shared" si="306"/>
        <v>a</v>
      </c>
      <c r="X634">
        <v>75</v>
      </c>
      <c r="Y634" t="e">
        <f>IF(X634&lt;&gt;"",VLOOKUP(X634,game_rosters!$C$43:$E$64,3,FALSE))</f>
        <v>#N/A</v>
      </c>
      <c r="Z634" cm="1">
        <f t="array" ref="Z634">IFERROR(IF(_xlfn._xlws.FILTER(game_rosters!$J:$J,(game_rosters!$G:$G=events!$AN634)*(game_rosters!$J:$J=events!$X634))&gt;0,1,""),"")</f>
        <v>1</v>
      </c>
      <c r="AA634">
        <f t="shared" si="307"/>
        <v>1331</v>
      </c>
      <c r="AB634" t="str">
        <f t="shared" si="308"/>
        <v/>
      </c>
      <c r="AC634">
        <f t="shared" si="305"/>
        <v>1331</v>
      </c>
      <c r="AD634" s="6">
        <v>1</v>
      </c>
      <c r="AE634" t="s">
        <v>941</v>
      </c>
      <c r="AF634" t="s">
        <v>914</v>
      </c>
      <c r="AG634" t="s">
        <v>756</v>
      </c>
      <c r="AH634" t="s">
        <v>756</v>
      </c>
      <c r="AI634" t="s">
        <v>367</v>
      </c>
      <c r="AJ634" t="str">
        <f t="shared" si="336"/>
        <v/>
      </c>
      <c r="AK634" t="str">
        <f t="shared" si="336"/>
        <v/>
      </c>
      <c r="AL634" t="str">
        <f t="shared" si="310"/>
        <v/>
      </c>
      <c r="AN634" t="s">
        <v>862</v>
      </c>
      <c r="AO634" t="str">
        <f t="shared" si="311"/>
        <v>a</v>
      </c>
      <c r="AP634" t="str">
        <f t="shared" si="318"/>
        <v/>
      </c>
      <c r="AQ634" t="str">
        <f t="shared" si="319"/>
        <v/>
      </c>
      <c r="AR634" t="str">
        <f t="shared" si="320"/>
        <v>Away</v>
      </c>
      <c r="AS634" t="str">
        <f t="shared" si="321"/>
        <v>a</v>
      </c>
      <c r="AT634" t="str">
        <f t="shared" si="322"/>
        <v>Offensive</v>
      </c>
      <c r="BA634" s="6">
        <f t="shared" si="312"/>
        <v>169</v>
      </c>
      <c r="BB634">
        <f t="shared" si="313"/>
        <v>18981</v>
      </c>
      <c r="BC634" t="str">
        <f t="shared" si="314"/>
        <v>Nelson</v>
      </c>
      <c r="BD634" t="str">
        <f t="shared" si="315"/>
        <v>Velodrome</v>
      </c>
      <c r="BE634" t="s">
        <v>9</v>
      </c>
      <c r="BF634" t="s">
        <v>173</v>
      </c>
      <c r="BG634" t="s">
        <v>383</v>
      </c>
      <c r="BI634" cm="1">
        <f t="array" ref="BI634">IFERROR(_xlfn._xlws.FILTER(shifts!A:A,(shifts!B:B=events!AD634)*(shifts!AG:AG&gt;=events!BK634)*(shifts!AH:AH&lt;=events!BL634)),BI633)</f>
        <v>31</v>
      </c>
      <c r="BJ634" s="15">
        <f t="shared" si="316"/>
        <v>0</v>
      </c>
      <c r="BK634">
        <f t="shared" si="323"/>
        <v>273</v>
      </c>
      <c r="BL634">
        <f t="shared" si="324"/>
        <v>273</v>
      </c>
      <c r="BM634" s="15">
        <f>SUMIFS(BJ$2:BJ634,K$2:K634,"=Intermission")+SUMIFS(BJ$2:BJ634,K$2:K634,"=Timeout")</f>
        <v>0</v>
      </c>
      <c r="BN634">
        <f t="shared" si="325"/>
        <v>0</v>
      </c>
      <c r="BO634" s="19">
        <f t="shared" si="326"/>
        <v>807</v>
      </c>
      <c r="BP634">
        <f t="shared" si="327"/>
        <v>802</v>
      </c>
      <c r="BQ634" s="17">
        <f t="shared" si="328"/>
        <v>807</v>
      </c>
      <c r="BR634" t="str">
        <f t="shared" si="329"/>
        <v>event_team_player_1</v>
      </c>
      <c r="BS634">
        <f>COUNTIFS(S$3:S634,"="&amp;S634,AI$3:AI634,"="&amp;AI634)</f>
        <v>1</v>
      </c>
      <c r="BT634" t="str">
        <f>IFERROR(VLOOKUP(BB634&amp;BU634&amp;X634,game_rosters!U:W,3,FALSE),"")</f>
        <v>P100039</v>
      </c>
      <c r="BU634" t="str">
        <f t="shared" si="330"/>
        <v>Velodrome</v>
      </c>
    </row>
    <row r="635" spans="1:73" x14ac:dyDescent="0.2">
      <c r="A635">
        <f t="shared" si="317"/>
        <v>1</v>
      </c>
      <c r="E635" s="4"/>
      <c r="F635" s="43"/>
      <c r="G635" s="4"/>
      <c r="H635" s="46"/>
      <c r="J635" s="44" t="str">
        <f t="shared" si="331"/>
        <v/>
      </c>
      <c r="K635" t="s">
        <v>13</v>
      </c>
      <c r="L635" t="s">
        <v>756</v>
      </c>
      <c r="M635" t="s">
        <v>756</v>
      </c>
      <c r="N635" t="str">
        <f t="shared" si="334"/>
        <v/>
      </c>
      <c r="Q635" t="str">
        <f t="shared" si="332"/>
        <v/>
      </c>
      <c r="S635">
        <v>332</v>
      </c>
      <c r="U635" t="str">
        <f>IF(B635=1,MAX($U$2:$U634)+1,IF(AND($T635&lt;&gt;"",$T635=$T634),$U634,IF(B635="x",U634,"")))</f>
        <v/>
      </c>
      <c r="V635" t="str">
        <f>IF(C635=1,MAX($V$2:$V634)+1,IF(AND($T635&lt;&gt;"",$T635=$T634),$U634,IF(C635="x",V634,"")))</f>
        <v/>
      </c>
      <c r="W635" t="str">
        <f t="shared" si="306"/>
        <v>h</v>
      </c>
      <c r="X635">
        <v>80</v>
      </c>
      <c r="Y635" t="b">
        <f>IF(X635&lt;&gt;"",VLOOKUP(X635,game_rosters!$C$43:$E$64,3,FALSE))</f>
        <v>0</v>
      </c>
      <c r="Z635" cm="1">
        <f t="array" ref="Z635">IFERROR(IF(_xlfn._xlws.FILTER(game_rosters!$J:$J,(game_rosters!$G:$G=events!$AN635)*(game_rosters!$J:$J=events!$X635))&gt;0,1,""),"")</f>
        <v>1</v>
      </c>
      <c r="AA635">
        <f t="shared" si="307"/>
        <v>1332</v>
      </c>
      <c r="AB635" t="str">
        <f t="shared" si="308"/>
        <v/>
      </c>
      <c r="AC635">
        <f t="shared" si="305"/>
        <v>1332</v>
      </c>
      <c r="AD635" s="6">
        <v>1</v>
      </c>
      <c r="AE635" t="s">
        <v>941</v>
      </c>
      <c r="AF635" t="s">
        <v>738</v>
      </c>
      <c r="AG635" t="s">
        <v>941</v>
      </c>
      <c r="AH635" t="s">
        <v>930</v>
      </c>
      <c r="AI635" t="s">
        <v>367</v>
      </c>
      <c r="AJ635" t="str">
        <f t="shared" si="336"/>
        <v/>
      </c>
      <c r="AK635" t="str">
        <f t="shared" si="336"/>
        <v/>
      </c>
      <c r="AL635" t="str">
        <f t="shared" si="310"/>
        <v/>
      </c>
      <c r="AN635" t="s">
        <v>861</v>
      </c>
      <c r="AO635" t="str">
        <f t="shared" si="311"/>
        <v>h</v>
      </c>
      <c r="AP635" t="str">
        <f t="shared" si="318"/>
        <v/>
      </c>
      <c r="AQ635" t="str">
        <f t="shared" si="319"/>
        <v/>
      </c>
      <c r="AR635" t="str">
        <f t="shared" si="320"/>
        <v>Home</v>
      </c>
      <c r="AS635" t="str">
        <f t="shared" si="321"/>
        <v>h</v>
      </c>
      <c r="AT635" t="str">
        <f t="shared" si="322"/>
        <v>Offensive</v>
      </c>
      <c r="BA635" s="6">
        <f t="shared" si="312"/>
        <v>169</v>
      </c>
      <c r="BB635">
        <f t="shared" si="313"/>
        <v>18981</v>
      </c>
      <c r="BC635" t="str">
        <f t="shared" si="314"/>
        <v>Nelson</v>
      </c>
      <c r="BD635" t="str">
        <f t="shared" si="315"/>
        <v>Velodrome</v>
      </c>
      <c r="BE635" t="s">
        <v>13</v>
      </c>
      <c r="BF635" t="s">
        <v>756</v>
      </c>
      <c r="BG635" t="s">
        <v>756</v>
      </c>
      <c r="BI635" cm="1">
        <f t="array" ref="BI635">IFERROR(_xlfn._xlws.FILTER(shifts!A:A,(shifts!B:B=events!AD635)*(shifts!AG:AG&gt;=events!BK635)*(shifts!AH:AH&lt;=events!BL635)),BI634)</f>
        <v>31</v>
      </c>
      <c r="BJ635" s="15">
        <f t="shared" si="316"/>
        <v>3</v>
      </c>
      <c r="BK635">
        <f t="shared" si="323"/>
        <v>271</v>
      </c>
      <c r="BL635">
        <f t="shared" si="324"/>
        <v>268</v>
      </c>
      <c r="BM635" s="15">
        <f>SUMIFS(BJ$2:BJ635,K$2:K635,"=Intermission")+SUMIFS(BJ$2:BJ635,K$2:K635,"=Timeout")</f>
        <v>0</v>
      </c>
      <c r="BN635">
        <f t="shared" si="325"/>
        <v>0</v>
      </c>
      <c r="BO635" s="19">
        <f t="shared" si="326"/>
        <v>809</v>
      </c>
      <c r="BP635">
        <f t="shared" si="327"/>
        <v>804</v>
      </c>
      <c r="BQ635" s="17">
        <f t="shared" si="328"/>
        <v>812</v>
      </c>
      <c r="BR635" t="str">
        <f t="shared" si="329"/>
        <v>event_team_player_1</v>
      </c>
      <c r="BS635">
        <f>COUNTIFS(S$3:S635,"="&amp;S635,AI$3:AI635,"="&amp;AI635)</f>
        <v>1</v>
      </c>
      <c r="BT635" t="str">
        <f>IFERROR(VLOOKUP(BB635&amp;BU635&amp;X635,game_rosters!U:W,3,FALSE),"")</f>
        <v>P100197</v>
      </c>
      <c r="BU635" t="str">
        <f t="shared" si="330"/>
        <v>Nelson</v>
      </c>
    </row>
    <row r="636" spans="1:73" x14ac:dyDescent="0.2">
      <c r="A636">
        <f t="shared" si="317"/>
        <v>1</v>
      </c>
      <c r="E636" s="4"/>
      <c r="F636" s="43"/>
      <c r="G636" s="4"/>
      <c r="H636" s="46"/>
      <c r="J636" s="44" t="str">
        <f t="shared" si="331"/>
        <v/>
      </c>
      <c r="K636" t="s">
        <v>7</v>
      </c>
      <c r="L636" t="s">
        <v>182</v>
      </c>
      <c r="M636" t="s">
        <v>68</v>
      </c>
      <c r="N636" t="str">
        <f t="shared" si="334"/>
        <v>u</v>
      </c>
      <c r="Q636" t="str">
        <f t="shared" si="332"/>
        <v/>
      </c>
      <c r="S636">
        <v>333</v>
      </c>
      <c r="U636" t="str">
        <f>IF(B636=1,MAX($U$2:$U635)+1,IF(AND($T636&lt;&gt;"",$T636=$T635),$U635,IF(B636="x",U635,"")))</f>
        <v/>
      </c>
      <c r="V636" t="str">
        <f>IF(C636=1,MAX($V$2:$V635)+1,IF(AND($T636&lt;&gt;"",$T636=$T635),$U635,IF(C636="x",V635,"")))</f>
        <v/>
      </c>
      <c r="W636" t="str">
        <f t="shared" si="306"/>
        <v>h</v>
      </c>
      <c r="X636">
        <v>80</v>
      </c>
      <c r="Y636" t="b">
        <f>IF(X636&lt;&gt;"",VLOOKUP(X636,game_rosters!$C$43:$E$64,3,FALSE))</f>
        <v>0</v>
      </c>
      <c r="Z636" cm="1">
        <f t="array" ref="Z636">IFERROR(IF(_xlfn._xlws.FILTER(game_rosters!$J:$J,(game_rosters!$G:$G=events!$AN636)*(game_rosters!$J:$J=events!$X636))&gt;0,1,""),"")</f>
        <v>1</v>
      </c>
      <c r="AA636">
        <f t="shared" si="307"/>
        <v>1333</v>
      </c>
      <c r="AB636" t="str">
        <f t="shared" si="308"/>
        <v/>
      </c>
      <c r="AC636">
        <f t="shared" si="305"/>
        <v>1333</v>
      </c>
      <c r="AD636" s="6">
        <v>1</v>
      </c>
      <c r="AE636" t="s">
        <v>941</v>
      </c>
      <c r="AF636" t="s">
        <v>930</v>
      </c>
      <c r="AG636" t="s">
        <v>756</v>
      </c>
      <c r="AH636" t="s">
        <v>756</v>
      </c>
      <c r="AI636" t="s">
        <v>367</v>
      </c>
      <c r="AJ636" t="str">
        <f t="shared" si="336"/>
        <v/>
      </c>
      <c r="AK636" t="str">
        <f t="shared" si="336"/>
        <v/>
      </c>
      <c r="AL636" t="str">
        <f t="shared" si="310"/>
        <v/>
      </c>
      <c r="AN636" t="s">
        <v>861</v>
      </c>
      <c r="AO636" t="str">
        <f t="shared" si="311"/>
        <v>h</v>
      </c>
      <c r="AP636" t="str">
        <f t="shared" si="318"/>
        <v/>
      </c>
      <c r="AQ636" t="str">
        <f t="shared" si="319"/>
        <v/>
      </c>
      <c r="AR636" t="str">
        <f t="shared" si="320"/>
        <v>Home</v>
      </c>
      <c r="AS636" t="str">
        <f t="shared" si="321"/>
        <v>h</v>
      </c>
      <c r="AT636" t="str">
        <f t="shared" si="322"/>
        <v>Offensive</v>
      </c>
      <c r="BA636" s="6">
        <f t="shared" si="312"/>
        <v>169</v>
      </c>
      <c r="BB636">
        <f t="shared" si="313"/>
        <v>18981</v>
      </c>
      <c r="BC636" t="str">
        <f t="shared" si="314"/>
        <v>Nelson</v>
      </c>
      <c r="BD636" t="str">
        <f t="shared" si="315"/>
        <v>Velodrome</v>
      </c>
      <c r="BE636" t="s">
        <v>7</v>
      </c>
      <c r="BF636" t="s">
        <v>182</v>
      </c>
      <c r="BG636" t="s">
        <v>68</v>
      </c>
      <c r="BI636" cm="1">
        <f t="array" ref="BI636">IFERROR(_xlfn._xlws.FILTER(shifts!A:A,(shifts!B:B=events!AD636)*(shifts!AG:AG&gt;=events!BK636)*(shifts!AH:AH&lt;=events!BL636)),BI635)</f>
        <v>31</v>
      </c>
      <c r="BJ636" s="15">
        <f t="shared" si="316"/>
        <v>0</v>
      </c>
      <c r="BK636">
        <f t="shared" si="323"/>
        <v>268</v>
      </c>
      <c r="BL636">
        <f t="shared" si="324"/>
        <v>268</v>
      </c>
      <c r="BM636" s="15">
        <f>SUMIFS(BJ$2:BJ636,K$2:K636,"=Intermission")+SUMIFS(BJ$2:BJ636,K$2:K636,"=Timeout")</f>
        <v>0</v>
      </c>
      <c r="BN636">
        <f t="shared" si="325"/>
        <v>0</v>
      </c>
      <c r="BO636" s="19">
        <f t="shared" si="326"/>
        <v>812</v>
      </c>
      <c r="BP636">
        <f t="shared" si="327"/>
        <v>807</v>
      </c>
      <c r="BQ636" s="17">
        <f t="shared" si="328"/>
        <v>812</v>
      </c>
      <c r="BR636" t="str">
        <f t="shared" si="329"/>
        <v>event_team_player_1</v>
      </c>
      <c r="BS636">
        <f>COUNTIFS(S$3:S636,"="&amp;S636,AI$3:AI636,"="&amp;AI636)</f>
        <v>1</v>
      </c>
      <c r="BT636" t="str">
        <f>IFERROR(VLOOKUP(BB636&amp;BU636&amp;X636,game_rosters!U:W,3,FALSE),"")</f>
        <v>P100197</v>
      </c>
      <c r="BU636" t="str">
        <f t="shared" si="330"/>
        <v>Nelson</v>
      </c>
    </row>
    <row r="637" spans="1:73" x14ac:dyDescent="0.2">
      <c r="A637">
        <f t="shared" si="317"/>
        <v>1</v>
      </c>
      <c r="E637" s="4"/>
      <c r="F637" s="43"/>
      <c r="G637" s="4"/>
      <c r="H637" s="46"/>
      <c r="J637" s="44" t="str">
        <f t="shared" si="331"/>
        <v/>
      </c>
      <c r="K637" t="s">
        <v>7</v>
      </c>
      <c r="L637" t="s">
        <v>182</v>
      </c>
      <c r="M637" t="s">
        <v>68</v>
      </c>
      <c r="N637" t="str">
        <f t="shared" si="334"/>
        <v>u</v>
      </c>
      <c r="Q637" t="str">
        <f t="shared" si="332"/>
        <v/>
      </c>
      <c r="S637">
        <v>333</v>
      </c>
      <c r="U637" t="str">
        <f>IF(B637=1,MAX($U$2:$U636)+1,IF(AND($T637&lt;&gt;"",$T637=$T636),$U636,IF(B637="x",U636,"")))</f>
        <v/>
      </c>
      <c r="V637" t="str">
        <f>IF(C637=1,MAX($V$2:$V636)+1,IF(AND($T637&lt;&gt;"",$T637=$T636),$U636,IF(C637="x",V636,"")))</f>
        <v/>
      </c>
      <c r="W637" t="str">
        <f t="shared" si="306"/>
        <v>h</v>
      </c>
      <c r="X637">
        <v>7</v>
      </c>
      <c r="Y637" t="b">
        <f>IF(X637&lt;&gt;"",VLOOKUP(X637,game_rosters!$C$43:$E$64,3,FALSE))</f>
        <v>0</v>
      </c>
      <c r="Z637" cm="1">
        <f t="array" ref="Z637">IFERROR(IF(_xlfn._xlws.FILTER(game_rosters!$J:$J,(game_rosters!$G:$G=events!$AN637)*(game_rosters!$J:$J=events!$X637))&gt;0,1,""),"")</f>
        <v>1</v>
      </c>
      <c r="AA637">
        <f t="shared" si="307"/>
        <v>1333</v>
      </c>
      <c r="AB637" t="str">
        <f t="shared" si="308"/>
        <v/>
      </c>
      <c r="AC637">
        <f t="shared" si="305"/>
        <v>1333</v>
      </c>
      <c r="AD637" s="6">
        <v>1</v>
      </c>
      <c r="AE637" t="s">
        <v>941</v>
      </c>
      <c r="AF637" t="s">
        <v>930</v>
      </c>
      <c r="AG637" t="s">
        <v>756</v>
      </c>
      <c r="AH637" t="s">
        <v>756</v>
      </c>
      <c r="AI637" t="s">
        <v>367</v>
      </c>
      <c r="AJ637" t="str">
        <f t="shared" si="336"/>
        <v/>
      </c>
      <c r="AK637" t="str">
        <f t="shared" si="336"/>
        <v/>
      </c>
      <c r="AL637" t="str">
        <f t="shared" si="310"/>
        <v/>
      </c>
      <c r="AN637" t="s">
        <v>861</v>
      </c>
      <c r="AO637" t="str">
        <f t="shared" si="311"/>
        <v>h</v>
      </c>
      <c r="AP637" t="str">
        <f t="shared" si="318"/>
        <v/>
      </c>
      <c r="AQ637" t="str">
        <f t="shared" si="319"/>
        <v/>
      </c>
      <c r="AR637" t="str">
        <f t="shared" si="320"/>
        <v>Home</v>
      </c>
      <c r="AS637" t="str">
        <f t="shared" si="321"/>
        <v>h</v>
      </c>
      <c r="AT637" t="str">
        <f t="shared" si="322"/>
        <v>Offensive</v>
      </c>
      <c r="BA637" s="6">
        <f t="shared" si="312"/>
        <v>169</v>
      </c>
      <c r="BB637">
        <f t="shared" si="313"/>
        <v>18981</v>
      </c>
      <c r="BC637" t="str">
        <f t="shared" si="314"/>
        <v>Nelson</v>
      </c>
      <c r="BD637" t="str">
        <f t="shared" si="315"/>
        <v>Velodrome</v>
      </c>
      <c r="BE637" t="s">
        <v>7</v>
      </c>
      <c r="BF637" t="s">
        <v>182</v>
      </c>
      <c r="BG637" t="s">
        <v>68</v>
      </c>
      <c r="BI637" cm="1">
        <f t="array" ref="BI637">IFERROR(_xlfn._xlws.FILTER(shifts!A:A,(shifts!B:B=events!AD637)*(shifts!AG:AG&gt;=events!BK637)*(shifts!AH:AH&lt;=events!BL637)),BI636)</f>
        <v>31</v>
      </c>
      <c r="BJ637" s="15">
        <f t="shared" si="316"/>
        <v>0</v>
      </c>
      <c r="BK637">
        <f t="shared" si="323"/>
        <v>268</v>
      </c>
      <c r="BL637">
        <f t="shared" si="324"/>
        <v>268</v>
      </c>
      <c r="BM637" s="15">
        <f>SUMIFS(BJ$2:BJ637,K$2:K637,"=Intermission")+SUMIFS(BJ$2:BJ637,K$2:K637,"=Timeout")</f>
        <v>0</v>
      </c>
      <c r="BN637">
        <f t="shared" si="325"/>
        <v>0</v>
      </c>
      <c r="BO637" s="19">
        <f t="shared" si="326"/>
        <v>812</v>
      </c>
      <c r="BP637">
        <f t="shared" si="327"/>
        <v>807</v>
      </c>
      <c r="BQ637" s="17">
        <f t="shared" si="328"/>
        <v>812</v>
      </c>
      <c r="BR637" t="str">
        <f t="shared" si="329"/>
        <v>event_team_player_2</v>
      </c>
      <c r="BS637">
        <f>COUNTIFS(S$3:S637,"="&amp;S637,AI$3:AI637,"="&amp;AI637)</f>
        <v>2</v>
      </c>
      <c r="BT637" t="str">
        <f>IFERROR(VLOOKUP(BB637&amp;BU637&amp;X637,game_rosters!U:W,3,FALSE),"")</f>
        <v>P100072</v>
      </c>
      <c r="BU637" t="str">
        <f t="shared" si="330"/>
        <v>Nelson</v>
      </c>
    </row>
    <row r="638" spans="1:73" x14ac:dyDescent="0.2">
      <c r="A638">
        <f t="shared" si="317"/>
        <v>1</v>
      </c>
      <c r="E638" s="4"/>
      <c r="F638" s="43"/>
      <c r="G638" s="4"/>
      <c r="H638" s="46"/>
      <c r="J638" s="44" t="str">
        <f t="shared" si="331"/>
        <v>d</v>
      </c>
      <c r="K638" t="s">
        <v>238</v>
      </c>
      <c r="L638" t="s">
        <v>184</v>
      </c>
      <c r="M638" t="s">
        <v>376</v>
      </c>
      <c r="N638" t="str">
        <f t="shared" si="334"/>
        <v>u</v>
      </c>
      <c r="Q638" t="str">
        <f t="shared" si="332"/>
        <v/>
      </c>
      <c r="S638">
        <v>334</v>
      </c>
      <c r="U638" t="str">
        <f>IF(B638=1,MAX($U$2:$U637)+1,IF(AND($T638&lt;&gt;"",$T638=$T637),$U637,IF(B638="x",U637,"")))</f>
        <v/>
      </c>
      <c r="V638" t="str">
        <f>IF(C638=1,MAX($V$2:$V637)+1,IF(AND($T638&lt;&gt;"",$T638=$T637),$U637,IF(C638="x",V637,"")))</f>
        <v/>
      </c>
      <c r="W638" t="str">
        <f t="shared" si="306"/>
        <v>h</v>
      </c>
      <c r="X638">
        <v>80</v>
      </c>
      <c r="Y638" t="b">
        <f>IF(X638&lt;&gt;"",VLOOKUP(X638,game_rosters!$C$43:$E$64,3,FALSE))</f>
        <v>0</v>
      </c>
      <c r="Z638" cm="1">
        <f t="array" ref="Z638">IFERROR(IF(_xlfn._xlws.FILTER(game_rosters!$J:$J,(game_rosters!$G:$G=events!$AN638)*(game_rosters!$J:$J=events!$X638))&gt;0,1,""),"")</f>
        <v>1</v>
      </c>
      <c r="AA638">
        <f t="shared" si="307"/>
        <v>1334</v>
      </c>
      <c r="AB638" t="str">
        <f t="shared" si="308"/>
        <v/>
      </c>
      <c r="AC638">
        <f t="shared" si="305"/>
        <v>1334</v>
      </c>
      <c r="AD638" s="6">
        <v>1</v>
      </c>
      <c r="AE638" t="s">
        <v>941</v>
      </c>
      <c r="AF638" t="s">
        <v>930</v>
      </c>
      <c r="AG638" t="s">
        <v>756</v>
      </c>
      <c r="AH638" t="s">
        <v>756</v>
      </c>
      <c r="AI638" t="s">
        <v>367</v>
      </c>
      <c r="AJ638" t="str">
        <f t="shared" si="336"/>
        <v>d</v>
      </c>
      <c r="AK638" t="str">
        <f t="shared" si="336"/>
        <v>d</v>
      </c>
      <c r="AL638" t="str">
        <f t="shared" si="310"/>
        <v>d</v>
      </c>
      <c r="AN638" t="s">
        <v>861</v>
      </c>
      <c r="AO638" t="str">
        <f t="shared" si="311"/>
        <v>h</v>
      </c>
      <c r="AP638" t="str">
        <f t="shared" si="318"/>
        <v>d</v>
      </c>
      <c r="AQ638" t="str">
        <f t="shared" si="319"/>
        <v/>
      </c>
      <c r="AR638" t="str">
        <f t="shared" si="320"/>
        <v>Home</v>
      </c>
      <c r="AS638" t="str">
        <f t="shared" si="321"/>
        <v>h</v>
      </c>
      <c r="AT638" t="str">
        <f t="shared" si="322"/>
        <v>Offensive</v>
      </c>
      <c r="BA638" s="6">
        <f t="shared" si="312"/>
        <v>170</v>
      </c>
      <c r="BB638">
        <f t="shared" si="313"/>
        <v>18981</v>
      </c>
      <c r="BC638" t="str">
        <f t="shared" si="314"/>
        <v>Nelson</v>
      </c>
      <c r="BD638" t="str">
        <f t="shared" si="315"/>
        <v>Velodrome</v>
      </c>
      <c r="BE638" t="s">
        <v>238</v>
      </c>
      <c r="BF638" t="s">
        <v>184</v>
      </c>
      <c r="BG638" t="s">
        <v>376</v>
      </c>
      <c r="BI638" cm="1">
        <f t="array" ref="BI638">IFERROR(_xlfn._xlws.FILTER(shifts!A:A,(shifts!B:B=events!AD638)*(shifts!AG:AG&gt;=events!BK638)*(shifts!AH:AH&lt;=events!BL638)),BI637)</f>
        <v>31</v>
      </c>
      <c r="BJ638" s="15">
        <f t="shared" si="316"/>
        <v>0</v>
      </c>
      <c r="BK638">
        <f t="shared" si="323"/>
        <v>268</v>
      </c>
      <c r="BL638">
        <f t="shared" si="324"/>
        <v>268</v>
      </c>
      <c r="BM638" s="15">
        <f>SUMIFS(BJ$2:BJ638,K$2:K638,"=Intermission")+SUMIFS(BJ$2:BJ638,K$2:K638,"=Timeout")</f>
        <v>0</v>
      </c>
      <c r="BN638">
        <f t="shared" si="325"/>
        <v>0</v>
      </c>
      <c r="BO638" s="19">
        <f t="shared" si="326"/>
        <v>812</v>
      </c>
      <c r="BP638">
        <f t="shared" si="327"/>
        <v>807</v>
      </c>
      <c r="BQ638" s="17">
        <f t="shared" si="328"/>
        <v>812</v>
      </c>
      <c r="BR638" t="str">
        <f t="shared" si="329"/>
        <v>event_team_player_1</v>
      </c>
      <c r="BS638">
        <f>COUNTIFS(S$3:S638,"="&amp;S638,AI$3:AI638,"="&amp;AI638)</f>
        <v>1</v>
      </c>
      <c r="BT638" t="str">
        <f>IFERROR(VLOOKUP(BB638&amp;BU638&amp;X638,game_rosters!U:W,3,FALSE),"")</f>
        <v>P100197</v>
      </c>
      <c r="BU638" t="str">
        <f t="shared" si="330"/>
        <v>Nelson</v>
      </c>
    </row>
    <row r="639" spans="1:73" x14ac:dyDescent="0.2">
      <c r="A639">
        <f t="shared" si="317"/>
        <v>1</v>
      </c>
      <c r="E639" s="4"/>
      <c r="F639" s="43"/>
      <c r="G639" s="4"/>
      <c r="H639" s="46"/>
      <c r="J639" s="44" t="str">
        <f t="shared" si="331"/>
        <v>d</v>
      </c>
      <c r="K639" t="s">
        <v>238</v>
      </c>
      <c r="L639" t="s">
        <v>184</v>
      </c>
      <c r="M639" t="s">
        <v>376</v>
      </c>
      <c r="N639" t="str">
        <f t="shared" si="334"/>
        <v>u</v>
      </c>
      <c r="Q639" t="str">
        <f t="shared" si="332"/>
        <v/>
      </c>
      <c r="S639">
        <v>334</v>
      </c>
      <c r="U639" t="str">
        <f>IF(B639=1,MAX($U$2:$U638)+1,IF(AND($T639&lt;&gt;"",$T639=$T638),$U638,IF(B639="x",U638,"")))</f>
        <v/>
      </c>
      <c r="V639" t="str">
        <f>IF(C639=1,MAX($V$2:$V638)+1,IF(AND($T639&lt;&gt;"",$T639=$T638),$U638,IF(C639="x",V638,"")))</f>
        <v/>
      </c>
      <c r="W639" t="str">
        <f t="shared" si="306"/>
        <v>h</v>
      </c>
      <c r="X639">
        <v>7</v>
      </c>
      <c r="Y639" t="b">
        <f>IF(X639&lt;&gt;"",VLOOKUP(X639,game_rosters!$C$43:$E$64,3,FALSE))</f>
        <v>0</v>
      </c>
      <c r="Z639" cm="1">
        <f t="array" ref="Z639">IFERROR(IF(_xlfn._xlws.FILTER(game_rosters!$J:$J,(game_rosters!$G:$G=events!$AN639)*(game_rosters!$J:$J=events!$X639))&gt;0,1,""),"")</f>
        <v>1</v>
      </c>
      <c r="AA639">
        <f t="shared" si="307"/>
        <v>1334</v>
      </c>
      <c r="AB639" t="str">
        <f t="shared" si="308"/>
        <v/>
      </c>
      <c r="AC639">
        <f t="shared" si="305"/>
        <v>1334</v>
      </c>
      <c r="AD639" s="6">
        <v>1</v>
      </c>
      <c r="AE639" t="s">
        <v>941</v>
      </c>
      <c r="AF639" t="s">
        <v>930</v>
      </c>
      <c r="AG639" t="s">
        <v>756</v>
      </c>
      <c r="AH639" t="s">
        <v>756</v>
      </c>
      <c r="AI639" t="s">
        <v>367</v>
      </c>
      <c r="AJ639" t="str">
        <f t="shared" si="336"/>
        <v>d</v>
      </c>
      <c r="AK639" t="str">
        <f t="shared" si="336"/>
        <v>d</v>
      </c>
      <c r="AL639" t="str">
        <f t="shared" si="310"/>
        <v>d</v>
      </c>
      <c r="AN639" t="s">
        <v>861</v>
      </c>
      <c r="AO639" t="str">
        <f t="shared" si="311"/>
        <v>h</v>
      </c>
      <c r="AP639" t="str">
        <f t="shared" si="318"/>
        <v>d</v>
      </c>
      <c r="AQ639" t="str">
        <f t="shared" si="319"/>
        <v/>
      </c>
      <c r="AR639" t="str">
        <f t="shared" si="320"/>
        <v>Home</v>
      </c>
      <c r="AS639" t="str">
        <f t="shared" si="321"/>
        <v>h</v>
      </c>
      <c r="AT639" t="str">
        <f t="shared" si="322"/>
        <v>Offensive</v>
      </c>
      <c r="BA639" s="6">
        <f t="shared" si="312"/>
        <v>171</v>
      </c>
      <c r="BB639">
        <f t="shared" si="313"/>
        <v>18981</v>
      </c>
      <c r="BC639" t="str">
        <f t="shared" si="314"/>
        <v>Nelson</v>
      </c>
      <c r="BD639" t="str">
        <f t="shared" si="315"/>
        <v>Velodrome</v>
      </c>
      <c r="BE639" t="s">
        <v>238</v>
      </c>
      <c r="BF639" t="s">
        <v>184</v>
      </c>
      <c r="BG639" t="s">
        <v>376</v>
      </c>
      <c r="BI639" cm="1">
        <f t="array" ref="BI639">IFERROR(_xlfn._xlws.FILTER(shifts!A:A,(shifts!B:B=events!AD639)*(shifts!AG:AG&gt;=events!BK639)*(shifts!AH:AH&lt;=events!BL639)),BI638)</f>
        <v>31</v>
      </c>
      <c r="BJ639" s="15">
        <f t="shared" si="316"/>
        <v>0</v>
      </c>
      <c r="BK639">
        <f t="shared" si="323"/>
        <v>268</v>
      </c>
      <c r="BL639">
        <f t="shared" si="324"/>
        <v>268</v>
      </c>
      <c r="BM639" s="15">
        <f>SUMIFS(BJ$2:BJ639,K$2:K639,"=Intermission")+SUMIFS(BJ$2:BJ639,K$2:K639,"=Timeout")</f>
        <v>0</v>
      </c>
      <c r="BN639">
        <f t="shared" si="325"/>
        <v>0</v>
      </c>
      <c r="BO639" s="19">
        <f t="shared" si="326"/>
        <v>812</v>
      </c>
      <c r="BP639">
        <f t="shared" si="327"/>
        <v>807</v>
      </c>
      <c r="BQ639" s="17">
        <f t="shared" si="328"/>
        <v>812</v>
      </c>
      <c r="BR639" t="str">
        <f t="shared" si="329"/>
        <v>event_team_player_2</v>
      </c>
      <c r="BS639">
        <f>COUNTIFS(S$3:S639,"="&amp;S639,AI$3:AI639,"="&amp;AI639)</f>
        <v>2</v>
      </c>
      <c r="BT639" t="str">
        <f>IFERROR(VLOOKUP(BB639&amp;BU639&amp;X639,game_rosters!U:W,3,FALSE),"")</f>
        <v>P100072</v>
      </c>
      <c r="BU639" t="str">
        <f t="shared" si="330"/>
        <v>Nelson</v>
      </c>
    </row>
    <row r="640" spans="1:73" x14ac:dyDescent="0.2">
      <c r="A640">
        <f t="shared" si="317"/>
        <v>1</v>
      </c>
      <c r="E640" s="4"/>
      <c r="F640" s="43"/>
      <c r="G640" s="4"/>
      <c r="H640" s="46"/>
      <c r="J640" s="44" t="str">
        <f t="shared" si="331"/>
        <v>o</v>
      </c>
      <c r="K640" t="s">
        <v>238</v>
      </c>
      <c r="L640" t="s">
        <v>174</v>
      </c>
      <c r="M640" t="s">
        <v>375</v>
      </c>
      <c r="N640" t="str">
        <f t="shared" si="334"/>
        <v>u</v>
      </c>
      <c r="Q640" t="str">
        <f t="shared" si="332"/>
        <v/>
      </c>
      <c r="S640">
        <v>335</v>
      </c>
      <c r="U640" t="str">
        <f>IF(B640=1,MAX($U$2:$U639)+1,IF(AND($T640&lt;&gt;"",$T640=$T639),$U639,IF(B640="x",U639,"")))</f>
        <v/>
      </c>
      <c r="V640" t="str">
        <f>IF(C640=1,MAX($V$2:$V639)+1,IF(AND($T640&lt;&gt;"",$T640=$T639),$U639,IF(C640="x",V639,"")))</f>
        <v/>
      </c>
      <c r="W640" t="str">
        <f t="shared" si="306"/>
        <v>h</v>
      </c>
      <c r="X640">
        <v>80</v>
      </c>
      <c r="Y640" t="b">
        <f>IF(X640&lt;&gt;"",VLOOKUP(X640,game_rosters!$C$43:$E$64,3,FALSE))</f>
        <v>0</v>
      </c>
      <c r="Z640" cm="1">
        <f t="array" ref="Z640">IFERROR(IF(_xlfn._xlws.FILTER(game_rosters!$J:$J,(game_rosters!$G:$G=events!$AN640)*(game_rosters!$J:$J=events!$X640))&gt;0,1,""),"")</f>
        <v>1</v>
      </c>
      <c r="AA640">
        <f t="shared" si="307"/>
        <v>1335</v>
      </c>
      <c r="AB640" t="str">
        <f t="shared" si="308"/>
        <v/>
      </c>
      <c r="AC640">
        <f t="shared" si="305"/>
        <v>1335</v>
      </c>
      <c r="AD640" s="6">
        <v>1</v>
      </c>
      <c r="AE640" t="s">
        <v>941</v>
      </c>
      <c r="AF640" t="s">
        <v>930</v>
      </c>
      <c r="AG640" t="s">
        <v>756</v>
      </c>
      <c r="AH640" t="s">
        <v>756</v>
      </c>
      <c r="AI640" t="s">
        <v>367</v>
      </c>
      <c r="AJ640" t="str">
        <f t="shared" si="336"/>
        <v>o</v>
      </c>
      <c r="AK640" t="str">
        <f t="shared" si="336"/>
        <v>o</v>
      </c>
      <c r="AL640" t="str">
        <f t="shared" si="310"/>
        <v>o</v>
      </c>
      <c r="AN640" t="s">
        <v>861</v>
      </c>
      <c r="AO640" t="str">
        <f t="shared" si="311"/>
        <v>h</v>
      </c>
      <c r="AP640" t="str">
        <f t="shared" si="318"/>
        <v>o</v>
      </c>
      <c r="AQ640" t="str">
        <f t="shared" si="319"/>
        <v/>
      </c>
      <c r="AR640" t="str">
        <f t="shared" si="320"/>
        <v>Home</v>
      </c>
      <c r="AS640" t="str">
        <f t="shared" si="321"/>
        <v>h</v>
      </c>
      <c r="AT640" t="str">
        <f t="shared" si="322"/>
        <v>Offensive</v>
      </c>
      <c r="BA640" s="6">
        <f t="shared" si="312"/>
        <v>172</v>
      </c>
      <c r="BB640">
        <f t="shared" si="313"/>
        <v>18981</v>
      </c>
      <c r="BC640" t="str">
        <f t="shared" si="314"/>
        <v>Nelson</v>
      </c>
      <c r="BD640" t="str">
        <f t="shared" si="315"/>
        <v>Velodrome</v>
      </c>
      <c r="BE640" t="s">
        <v>238</v>
      </c>
      <c r="BF640" t="s">
        <v>174</v>
      </c>
      <c r="BG640" t="s">
        <v>375</v>
      </c>
      <c r="BI640" cm="1">
        <f t="array" ref="BI640">IFERROR(_xlfn._xlws.FILTER(shifts!A:A,(shifts!B:B=events!AD640)*(shifts!AG:AG&gt;=events!BK640)*(shifts!AH:AH&lt;=events!BL640)),BI639)</f>
        <v>31</v>
      </c>
      <c r="BJ640" s="15">
        <f t="shared" si="316"/>
        <v>0</v>
      </c>
      <c r="BK640">
        <f t="shared" si="323"/>
        <v>268</v>
      </c>
      <c r="BL640">
        <f t="shared" si="324"/>
        <v>268</v>
      </c>
      <c r="BM640" s="15">
        <f>SUMIFS(BJ$2:BJ640,K$2:K640,"=Intermission")+SUMIFS(BJ$2:BJ640,K$2:K640,"=Timeout")</f>
        <v>0</v>
      </c>
      <c r="BN640">
        <f t="shared" si="325"/>
        <v>0</v>
      </c>
      <c r="BO640" s="19">
        <f t="shared" si="326"/>
        <v>812</v>
      </c>
      <c r="BP640">
        <f t="shared" si="327"/>
        <v>807</v>
      </c>
      <c r="BQ640" s="17">
        <f t="shared" si="328"/>
        <v>812</v>
      </c>
      <c r="BR640" t="str">
        <f t="shared" si="329"/>
        <v>event_team_player_1</v>
      </c>
      <c r="BS640">
        <f>COUNTIFS(S$3:S640,"="&amp;S640,AI$3:AI640,"="&amp;AI640)</f>
        <v>1</v>
      </c>
      <c r="BT640" t="str">
        <f>IFERROR(VLOOKUP(BB640&amp;BU640&amp;X640,game_rosters!U:W,3,FALSE),"")</f>
        <v>P100197</v>
      </c>
      <c r="BU640" t="str">
        <f t="shared" si="330"/>
        <v>Nelson</v>
      </c>
    </row>
    <row r="641" spans="1:73" x14ac:dyDescent="0.2">
      <c r="A641">
        <f t="shared" si="317"/>
        <v>1</v>
      </c>
      <c r="E641" s="4"/>
      <c r="F641" s="43"/>
      <c r="G641" s="4"/>
      <c r="H641" s="46"/>
      <c r="J641" s="44" t="str">
        <f t="shared" si="331"/>
        <v/>
      </c>
      <c r="K641" t="s">
        <v>9</v>
      </c>
      <c r="L641" t="s">
        <v>173</v>
      </c>
      <c r="M641" t="s">
        <v>74</v>
      </c>
      <c r="N641" t="str">
        <f t="shared" si="334"/>
        <v>u</v>
      </c>
      <c r="Q641" t="str">
        <f t="shared" si="332"/>
        <v/>
      </c>
      <c r="S641">
        <v>336</v>
      </c>
      <c r="U641" t="str">
        <f>IF(B641=1,MAX($U$2:$U640)+1,IF(AND($T641&lt;&gt;"",$T641=$T640),$U640,IF(B641="x",U640,"")))</f>
        <v/>
      </c>
      <c r="V641" t="str">
        <f>IF(C641=1,MAX($V$2:$V640)+1,IF(AND($T641&lt;&gt;"",$T641=$T640),$U640,IF(C641="x",V640,"")))</f>
        <v/>
      </c>
      <c r="W641" t="str">
        <f t="shared" si="306"/>
        <v>h</v>
      </c>
      <c r="X641">
        <v>80</v>
      </c>
      <c r="Y641" t="b">
        <f>IF(X641&lt;&gt;"",VLOOKUP(X641,game_rosters!$C$43:$E$64,3,FALSE))</f>
        <v>0</v>
      </c>
      <c r="Z641" cm="1">
        <f t="array" ref="Z641">IFERROR(IF(_xlfn._xlws.FILTER(game_rosters!$J:$J,(game_rosters!$G:$G=events!$AN641)*(game_rosters!$J:$J=events!$X641))&gt;0,1,""),"")</f>
        <v>1</v>
      </c>
      <c r="AA641">
        <f t="shared" si="307"/>
        <v>1336</v>
      </c>
      <c r="AB641" t="str">
        <f t="shared" si="308"/>
        <v/>
      </c>
      <c r="AC641">
        <f t="shared" si="305"/>
        <v>1336</v>
      </c>
      <c r="AD641" s="6">
        <v>1</v>
      </c>
      <c r="AE641" t="s">
        <v>941</v>
      </c>
      <c r="AF641" t="s">
        <v>930</v>
      </c>
      <c r="AG641" t="s">
        <v>756</v>
      </c>
      <c r="AH641" t="s">
        <v>756</v>
      </c>
      <c r="AI641" t="s">
        <v>367</v>
      </c>
      <c r="AJ641" t="str">
        <f t="shared" si="336"/>
        <v/>
      </c>
      <c r="AK641" t="str">
        <f t="shared" si="336"/>
        <v/>
      </c>
      <c r="AL641" t="str">
        <f t="shared" si="310"/>
        <v/>
      </c>
      <c r="AN641" t="s">
        <v>861</v>
      </c>
      <c r="AO641" t="str">
        <f t="shared" si="311"/>
        <v>h</v>
      </c>
      <c r="AP641" t="str">
        <f t="shared" si="318"/>
        <v/>
      </c>
      <c r="AQ641" t="str">
        <f t="shared" si="319"/>
        <v/>
      </c>
      <c r="AR641" t="str">
        <f t="shared" si="320"/>
        <v>Home</v>
      </c>
      <c r="AS641" t="str">
        <f t="shared" si="321"/>
        <v>h</v>
      </c>
      <c r="AT641" t="str">
        <f t="shared" si="322"/>
        <v>Offensive</v>
      </c>
      <c r="BA641" s="6">
        <f t="shared" si="312"/>
        <v>172</v>
      </c>
      <c r="BB641">
        <f t="shared" si="313"/>
        <v>18981</v>
      </c>
      <c r="BC641" t="str">
        <f t="shared" si="314"/>
        <v>Nelson</v>
      </c>
      <c r="BD641" t="str">
        <f t="shared" si="315"/>
        <v>Velodrome</v>
      </c>
      <c r="BE641" t="s">
        <v>9</v>
      </c>
      <c r="BF641" t="s">
        <v>173</v>
      </c>
      <c r="BG641" t="s">
        <v>74</v>
      </c>
      <c r="BI641" cm="1">
        <f t="array" ref="BI641">IFERROR(_xlfn._xlws.FILTER(shifts!A:A,(shifts!B:B=events!AD641)*(shifts!AG:AG&gt;=events!BK641)*(shifts!AH:AH&lt;=events!BL641)),BI640)</f>
        <v>31</v>
      </c>
      <c r="BJ641" s="15">
        <f t="shared" si="316"/>
        <v>0</v>
      </c>
      <c r="BK641">
        <f t="shared" si="323"/>
        <v>268</v>
      </c>
      <c r="BL641">
        <f t="shared" si="324"/>
        <v>268</v>
      </c>
      <c r="BM641" s="15">
        <f>SUMIFS(BJ$2:BJ641,K$2:K641,"=Intermission")+SUMIFS(BJ$2:BJ641,K$2:K641,"=Timeout")</f>
        <v>0</v>
      </c>
      <c r="BN641">
        <f t="shared" si="325"/>
        <v>0</v>
      </c>
      <c r="BO641" s="19">
        <f t="shared" si="326"/>
        <v>812</v>
      </c>
      <c r="BP641">
        <f t="shared" si="327"/>
        <v>807</v>
      </c>
      <c r="BQ641" s="17">
        <f t="shared" si="328"/>
        <v>812</v>
      </c>
      <c r="BR641" t="str">
        <f t="shared" si="329"/>
        <v>event_team_player_1</v>
      </c>
      <c r="BS641">
        <f>COUNTIFS(S$3:S641,"="&amp;S641,AI$3:AI641,"="&amp;AI641)</f>
        <v>1</v>
      </c>
      <c r="BT641" t="str">
        <f>IFERROR(VLOOKUP(BB641&amp;BU641&amp;X641,game_rosters!U:W,3,FALSE),"")</f>
        <v>P100197</v>
      </c>
      <c r="BU641" t="str">
        <f t="shared" si="330"/>
        <v>Nelson</v>
      </c>
    </row>
    <row r="642" spans="1:73" x14ac:dyDescent="0.2">
      <c r="A642">
        <f t="shared" si="317"/>
        <v>1</v>
      </c>
      <c r="E642" s="4"/>
      <c r="F642" s="43"/>
      <c r="G642" s="4"/>
      <c r="H642" s="46"/>
      <c r="J642" s="44" t="str">
        <f t="shared" si="331"/>
        <v/>
      </c>
      <c r="K642" t="s">
        <v>7</v>
      </c>
      <c r="L642" t="s">
        <v>182</v>
      </c>
      <c r="M642" t="s">
        <v>68</v>
      </c>
      <c r="N642" t="str">
        <f t="shared" si="334"/>
        <v>u</v>
      </c>
      <c r="Q642" t="str">
        <f t="shared" si="332"/>
        <v/>
      </c>
      <c r="S642">
        <v>337</v>
      </c>
      <c r="U642" t="str">
        <f>IF(B642=1,MAX($U$2:$U641)+1,IF(AND($T642&lt;&gt;"",$T642=$T641),$U641,IF(B642="x",U641,"")))</f>
        <v/>
      </c>
      <c r="V642" t="str">
        <f>IF(C642=1,MAX($V$2:$V641)+1,IF(AND($T642&lt;&gt;"",$T642=$T641),$U641,IF(C642="x",V641,"")))</f>
        <v/>
      </c>
      <c r="W642" t="str">
        <f t="shared" si="306"/>
        <v>a</v>
      </c>
      <c r="X642">
        <v>93</v>
      </c>
      <c r="Y642" t="e">
        <f>IF(X642&lt;&gt;"",VLOOKUP(X642,game_rosters!$C$43:$E$64,3,FALSE))</f>
        <v>#N/A</v>
      </c>
      <c r="Z642" cm="1">
        <f t="array" ref="Z642">IFERROR(IF(_xlfn._xlws.FILTER(game_rosters!$J:$J,(game_rosters!$G:$G=events!$AN642)*(game_rosters!$J:$J=events!$X642))&gt;0,1,""),"")</f>
        <v>1</v>
      </c>
      <c r="AA642">
        <f t="shared" si="307"/>
        <v>1337</v>
      </c>
      <c r="AB642" t="str">
        <f t="shared" si="308"/>
        <v/>
      </c>
      <c r="AC642">
        <f t="shared" ref="AC642:AC705" si="337">IF(AB642&lt;&gt;"",AB642,S642+1000)</f>
        <v>1337</v>
      </c>
      <c r="AD642" s="6">
        <v>1</v>
      </c>
      <c r="AE642" t="s">
        <v>941</v>
      </c>
      <c r="AF642" t="s">
        <v>740</v>
      </c>
      <c r="AG642" t="s">
        <v>756</v>
      </c>
      <c r="AH642" t="s">
        <v>756</v>
      </c>
      <c r="AI642" t="s">
        <v>367</v>
      </c>
      <c r="AJ642" t="str">
        <f t="shared" si="336"/>
        <v/>
      </c>
      <c r="AK642" t="str">
        <f t="shared" si="336"/>
        <v/>
      </c>
      <c r="AL642" t="str">
        <f t="shared" si="310"/>
        <v/>
      </c>
      <c r="AN642" t="s">
        <v>862</v>
      </c>
      <c r="AO642" t="str">
        <f t="shared" si="311"/>
        <v>a</v>
      </c>
      <c r="AP642" t="str">
        <f t="shared" si="318"/>
        <v/>
      </c>
      <c r="AQ642" t="str">
        <f t="shared" si="319"/>
        <v/>
      </c>
      <c r="AR642" t="str">
        <f t="shared" si="320"/>
        <v>Away</v>
      </c>
      <c r="AS642" t="str">
        <f t="shared" si="321"/>
        <v>a</v>
      </c>
      <c r="AT642" t="str">
        <f t="shared" si="322"/>
        <v>Offensive</v>
      </c>
      <c r="BA642" s="6">
        <f t="shared" si="312"/>
        <v>172</v>
      </c>
      <c r="BB642">
        <f t="shared" si="313"/>
        <v>18981</v>
      </c>
      <c r="BC642" t="str">
        <f t="shared" si="314"/>
        <v>Nelson</v>
      </c>
      <c r="BD642" t="str">
        <f t="shared" si="315"/>
        <v>Velodrome</v>
      </c>
      <c r="BE642" t="s">
        <v>7</v>
      </c>
      <c r="BF642" t="s">
        <v>182</v>
      </c>
      <c r="BG642" t="s">
        <v>68</v>
      </c>
      <c r="BI642" cm="1">
        <f t="array" ref="BI642">IFERROR(_xlfn._xlws.FILTER(shifts!A:A,(shifts!B:B=events!AD642)*(shifts!AG:AG&gt;=events!BK642)*(shifts!AH:AH&lt;=events!BL642)),BI641)</f>
        <v>31</v>
      </c>
      <c r="BJ642" s="15">
        <f t="shared" si="316"/>
        <v>0</v>
      </c>
      <c r="BK642">
        <f t="shared" si="323"/>
        <v>265</v>
      </c>
      <c r="BL642">
        <f t="shared" si="324"/>
        <v>265</v>
      </c>
      <c r="BM642" s="15">
        <f>SUMIFS(BJ$2:BJ642,K$2:K642,"=Intermission")+SUMIFS(BJ$2:BJ642,K$2:K642,"=Timeout")</f>
        <v>0</v>
      </c>
      <c r="BN642">
        <f t="shared" si="325"/>
        <v>0</v>
      </c>
      <c r="BO642" s="19">
        <f t="shared" si="326"/>
        <v>815</v>
      </c>
      <c r="BP642">
        <f t="shared" si="327"/>
        <v>810</v>
      </c>
      <c r="BQ642" s="17">
        <f t="shared" si="328"/>
        <v>815</v>
      </c>
      <c r="BR642" t="str">
        <f t="shared" si="329"/>
        <v>event_team_player_1</v>
      </c>
      <c r="BS642">
        <f>COUNTIFS(S$3:S642,"="&amp;S642,AI$3:AI642,"="&amp;AI642)</f>
        <v>1</v>
      </c>
      <c r="BT642" t="str">
        <f>IFERROR(VLOOKUP(BB642&amp;BU642&amp;X642,game_rosters!U:W,3,FALSE),"")</f>
        <v>P100093</v>
      </c>
      <c r="BU642" t="str">
        <f t="shared" si="330"/>
        <v>Velodrome</v>
      </c>
    </row>
    <row r="643" spans="1:73" x14ac:dyDescent="0.2">
      <c r="A643">
        <f t="shared" si="317"/>
        <v>1</v>
      </c>
      <c r="E643" s="4"/>
      <c r="F643" s="43"/>
      <c r="G643" s="4"/>
      <c r="H643" s="46"/>
      <c r="J643" s="44" t="str">
        <f t="shared" si="331"/>
        <v/>
      </c>
      <c r="K643" t="s">
        <v>7</v>
      </c>
      <c r="L643" t="s">
        <v>182</v>
      </c>
      <c r="M643" t="s">
        <v>68</v>
      </c>
      <c r="N643" t="str">
        <f t="shared" si="334"/>
        <v>u</v>
      </c>
      <c r="Q643" t="str">
        <f t="shared" si="332"/>
        <v/>
      </c>
      <c r="S643">
        <v>337</v>
      </c>
      <c r="U643" t="str">
        <f>IF(B643=1,MAX($U$2:$U642)+1,IF(AND($T643&lt;&gt;"",$T643=$T642),$U642,IF(B643="x",U642,"")))</f>
        <v/>
      </c>
      <c r="V643" t="str">
        <f>IF(C643=1,MAX($V$2:$V642)+1,IF(AND($T643&lt;&gt;"",$T643=$T642),$U642,IF(C643="x",V642,"")))</f>
        <v/>
      </c>
      <c r="W643" t="str">
        <f t="shared" si="306"/>
        <v>a</v>
      </c>
      <c r="X643">
        <v>87</v>
      </c>
      <c r="Y643" t="e">
        <f>IF(X643&lt;&gt;"",VLOOKUP(X643,game_rosters!$C$43:$E$64,3,FALSE))</f>
        <v>#N/A</v>
      </c>
      <c r="Z643" cm="1">
        <f t="array" ref="Z643">IFERROR(IF(_xlfn._xlws.FILTER(game_rosters!$J:$J,(game_rosters!$G:$G=events!$AN643)*(game_rosters!$J:$J=events!$X643))&gt;0,1,""),"")</f>
        <v>1</v>
      </c>
      <c r="AA643">
        <f t="shared" si="307"/>
        <v>1337</v>
      </c>
      <c r="AB643" t="str">
        <f t="shared" si="308"/>
        <v/>
      </c>
      <c r="AC643">
        <f t="shared" si="337"/>
        <v>1337</v>
      </c>
      <c r="AD643" s="6">
        <v>1</v>
      </c>
      <c r="AE643" t="s">
        <v>941</v>
      </c>
      <c r="AF643" t="s">
        <v>740</v>
      </c>
      <c r="AG643" t="s">
        <v>756</v>
      </c>
      <c r="AH643" t="s">
        <v>756</v>
      </c>
      <c r="AI643" t="s">
        <v>367</v>
      </c>
      <c r="AJ643" t="str">
        <f t="shared" si="336"/>
        <v/>
      </c>
      <c r="AK643" t="str">
        <f t="shared" si="336"/>
        <v/>
      </c>
      <c r="AL643" t="str">
        <f t="shared" si="310"/>
        <v/>
      </c>
      <c r="AN643" t="s">
        <v>862</v>
      </c>
      <c r="AO643" t="str">
        <f t="shared" si="311"/>
        <v>a</v>
      </c>
      <c r="AP643" t="str">
        <f t="shared" si="318"/>
        <v/>
      </c>
      <c r="AQ643" t="str">
        <f t="shared" si="319"/>
        <v/>
      </c>
      <c r="AR643" t="str">
        <f t="shared" si="320"/>
        <v>Away</v>
      </c>
      <c r="AS643" t="str">
        <f t="shared" si="321"/>
        <v>a</v>
      </c>
      <c r="AT643" t="str">
        <f t="shared" si="322"/>
        <v>Offensive</v>
      </c>
      <c r="BA643" s="6">
        <f t="shared" si="312"/>
        <v>172</v>
      </c>
      <c r="BB643">
        <f t="shared" si="313"/>
        <v>18981</v>
      </c>
      <c r="BC643" t="str">
        <f t="shared" si="314"/>
        <v>Nelson</v>
      </c>
      <c r="BD643" t="str">
        <f t="shared" si="315"/>
        <v>Velodrome</v>
      </c>
      <c r="BE643" t="s">
        <v>7</v>
      </c>
      <c r="BF643" t="s">
        <v>182</v>
      </c>
      <c r="BG643" t="s">
        <v>68</v>
      </c>
      <c r="BI643" cm="1">
        <f t="array" ref="BI643">IFERROR(_xlfn._xlws.FILTER(shifts!A:A,(shifts!B:B=events!AD643)*(shifts!AG:AG&gt;=events!BK643)*(shifts!AH:AH&lt;=events!BL643)),BI642)</f>
        <v>31</v>
      </c>
      <c r="BJ643" s="15">
        <f t="shared" si="316"/>
        <v>0</v>
      </c>
      <c r="BK643">
        <f t="shared" si="323"/>
        <v>265</v>
      </c>
      <c r="BL643">
        <f t="shared" si="324"/>
        <v>265</v>
      </c>
      <c r="BM643" s="15">
        <f>SUMIFS(BJ$2:BJ643,K$2:K643,"=Intermission")+SUMIFS(BJ$2:BJ643,K$2:K643,"=Timeout")</f>
        <v>0</v>
      </c>
      <c r="BN643">
        <f t="shared" si="325"/>
        <v>0</v>
      </c>
      <c r="BO643" s="19">
        <f t="shared" si="326"/>
        <v>815</v>
      </c>
      <c r="BP643">
        <f t="shared" si="327"/>
        <v>810</v>
      </c>
      <c r="BQ643" s="17">
        <f t="shared" si="328"/>
        <v>815</v>
      </c>
      <c r="BR643" t="str">
        <f t="shared" si="329"/>
        <v>event_team_player_2</v>
      </c>
      <c r="BS643">
        <f>COUNTIFS(S$3:S643,"="&amp;S643,AI$3:AI643,"="&amp;AI643)</f>
        <v>2</v>
      </c>
      <c r="BT643" t="str">
        <f>IFERROR(VLOOKUP(BB643&amp;BU643&amp;X643,game_rosters!U:W,3,FALSE),"")</f>
        <v>P100159</v>
      </c>
      <c r="BU643" t="str">
        <f t="shared" si="330"/>
        <v>Velodrome</v>
      </c>
    </row>
    <row r="644" spans="1:73" x14ac:dyDescent="0.2">
      <c r="A644">
        <f t="shared" si="317"/>
        <v>1</v>
      </c>
      <c r="E644" s="4"/>
      <c r="F644" s="43"/>
      <c r="G644" s="4"/>
      <c r="H644" s="46"/>
      <c r="J644" s="44" t="str">
        <f t="shared" si="331"/>
        <v>d</v>
      </c>
      <c r="K644" t="s">
        <v>238</v>
      </c>
      <c r="L644" t="s">
        <v>184</v>
      </c>
      <c r="M644" t="s">
        <v>376</v>
      </c>
      <c r="N644" t="str">
        <f t="shared" si="334"/>
        <v>u</v>
      </c>
      <c r="Q644" t="str">
        <f t="shared" si="332"/>
        <v/>
      </c>
      <c r="S644">
        <v>338</v>
      </c>
      <c r="U644" t="str">
        <f>IF(B644=1,MAX($U$2:$U643)+1,IF(AND($T644&lt;&gt;"",$T644=$T643),$U643,IF(B644="x",U643,"")))</f>
        <v/>
      </c>
      <c r="V644" t="str">
        <f>IF(C644=1,MAX($V$2:$V643)+1,IF(AND($T644&lt;&gt;"",$T644=$T643),$U643,IF(C644="x",V643,"")))</f>
        <v/>
      </c>
      <c r="W644" t="str">
        <f t="shared" ref="W644:W707" si="338">IF(AN644="Away","a",IF(AN644="Home","h",""))</f>
        <v>a</v>
      </c>
      <c r="X644">
        <v>93</v>
      </c>
      <c r="Y644" t="e">
        <f>IF(X644&lt;&gt;"",VLOOKUP(X644,game_rosters!$C$43:$E$64,3,FALSE))</f>
        <v>#N/A</v>
      </c>
      <c r="Z644" cm="1">
        <f t="array" ref="Z644">IFERROR(IF(_xlfn._xlws.FILTER(game_rosters!$J:$J,(game_rosters!$G:$G=events!$AN644)*(game_rosters!$J:$J=events!$X644))&gt;0,1,""),"")</f>
        <v>1</v>
      </c>
      <c r="AA644">
        <f t="shared" ref="AA644:AA707" si="339">S644+1000</f>
        <v>1338</v>
      </c>
      <c r="AB644" t="str">
        <f t="shared" ref="AB644:AB707" si="340">IF(T644&lt;&gt;"",9000+T644,"")</f>
        <v/>
      </c>
      <c r="AC644">
        <f t="shared" si="337"/>
        <v>1338</v>
      </c>
      <c r="AD644" s="6">
        <v>1</v>
      </c>
      <c r="AE644" t="s">
        <v>941</v>
      </c>
      <c r="AF644" t="s">
        <v>740</v>
      </c>
      <c r="AG644" t="s">
        <v>756</v>
      </c>
      <c r="AH644" t="s">
        <v>756</v>
      </c>
      <c r="AI644" t="s">
        <v>367</v>
      </c>
      <c r="AJ644" t="str">
        <f t="shared" ref="AJ644:AK659" si="341">IF($J644&lt;&gt;"",$J644,IF($AC644=$AC643,AJ643,""))</f>
        <v>d</v>
      </c>
      <c r="AK644" t="str">
        <f t="shared" si="341"/>
        <v>d</v>
      </c>
      <c r="AL644" t="str">
        <f t="shared" ref="AL644:AL707" si="342">IF($W644="","",IF($AJ644="","",IF($W644="h",$AJ644,IF($AJ644="n","n",IF(AND($W644="a",$AJ644="d"),"o",IF(AND($W644="a",$AJ644="o"),"d"))))))</f>
        <v>o</v>
      </c>
      <c r="AN644" t="s">
        <v>862</v>
      </c>
      <c r="AO644" t="str">
        <f t="shared" ref="AO644:AO707" si="343">IF($W644&lt;&gt;"",$W644,IF($AC644=$AC643,AO643,""))</f>
        <v>a</v>
      </c>
      <c r="AP644" t="str">
        <f t="shared" si="318"/>
        <v>o</v>
      </c>
      <c r="AQ644" t="str">
        <f t="shared" si="319"/>
        <v/>
      </c>
      <c r="AR644" t="str">
        <f t="shared" si="320"/>
        <v>Away</v>
      </c>
      <c r="AS644" t="str">
        <f t="shared" si="321"/>
        <v>a</v>
      </c>
      <c r="AT644" t="str">
        <f t="shared" si="322"/>
        <v>Offensive</v>
      </c>
      <c r="BA644" s="6">
        <f t="shared" ref="BA644:BA707" si="344">IF(OR(L644="Zone_Entry",L644="Zone_Exit"),BA643+1,BA643)</f>
        <v>173</v>
      </c>
      <c r="BB644">
        <f t="shared" ref="BB644:BB707" si="345">BB643</f>
        <v>18981</v>
      </c>
      <c r="BC644" t="str">
        <f t="shared" ref="BC644:BC707" si="346">BC643</f>
        <v>Nelson</v>
      </c>
      <c r="BD644" t="str">
        <f t="shared" ref="BD644:BD707" si="347">BD643</f>
        <v>Velodrome</v>
      </c>
      <c r="BE644" t="s">
        <v>238</v>
      </c>
      <c r="BF644" t="s">
        <v>184</v>
      </c>
      <c r="BG644" t="s">
        <v>376</v>
      </c>
      <c r="BI644" cm="1">
        <f t="array" ref="BI644">IFERROR(_xlfn._xlws.FILTER(shifts!A:A,(shifts!B:B=events!AD644)*(shifts!AG:AG&gt;=events!BK644)*(shifts!AH:AH&lt;=events!BL644)),BI643)</f>
        <v>31</v>
      </c>
      <c r="BJ644" s="15">
        <f t="shared" ref="BJ644:BJ707" si="348">IF(AND(AG644="",AH644=""),0,((AE644*60)+AF644)-((AG644*60)+AH644))</f>
        <v>0</v>
      </c>
      <c r="BK644">
        <f t="shared" si="323"/>
        <v>265</v>
      </c>
      <c r="BL644">
        <f t="shared" si="324"/>
        <v>265</v>
      </c>
      <c r="BM644" s="15">
        <f>SUMIFS(BJ$2:BJ644,K$2:K644,"=Intermission")+SUMIFS(BJ$2:BJ644,K$2:K644,"=Timeout")</f>
        <v>0</v>
      </c>
      <c r="BN644">
        <f t="shared" si="325"/>
        <v>0</v>
      </c>
      <c r="BO644" s="19">
        <f t="shared" si="326"/>
        <v>815</v>
      </c>
      <c r="BP644">
        <f t="shared" si="327"/>
        <v>810</v>
      </c>
      <c r="BQ644" s="17">
        <f t="shared" si="328"/>
        <v>815</v>
      </c>
      <c r="BR644" t="str">
        <f t="shared" si="329"/>
        <v>event_team_player_1</v>
      </c>
      <c r="BS644">
        <f>COUNTIFS(S$3:S644,"="&amp;S644,AI$3:AI644,"="&amp;AI644)</f>
        <v>1</v>
      </c>
      <c r="BT644" t="str">
        <f>IFERROR(VLOOKUP(BB644&amp;BU644&amp;X644,game_rosters!U:W,3,FALSE),"")</f>
        <v>P100093</v>
      </c>
      <c r="BU644" t="str">
        <f t="shared" si="330"/>
        <v>Velodrome</v>
      </c>
    </row>
    <row r="645" spans="1:73" x14ac:dyDescent="0.2">
      <c r="A645">
        <f t="shared" ref="A645:A708" si="349">IF(K645&lt;&gt;"",1,IF(D645="x","x",""))</f>
        <v>1</v>
      </c>
      <c r="E645" s="4"/>
      <c r="F645" s="43"/>
      <c r="G645" s="4"/>
      <c r="H645" s="46"/>
      <c r="J645" s="44" t="str">
        <f t="shared" si="331"/>
        <v>d</v>
      </c>
      <c r="K645" t="s">
        <v>238</v>
      </c>
      <c r="L645" t="s">
        <v>184</v>
      </c>
      <c r="M645" t="s">
        <v>376</v>
      </c>
      <c r="N645" t="str">
        <f t="shared" si="334"/>
        <v>u</v>
      </c>
      <c r="Q645" t="str">
        <f t="shared" si="332"/>
        <v/>
      </c>
      <c r="S645">
        <v>338</v>
      </c>
      <c r="U645" t="str">
        <f>IF(B645=1,MAX($U$2:$U644)+1,IF(AND($T645&lt;&gt;"",$T645=$T644),$U644,IF(B645="x",U644,"")))</f>
        <v/>
      </c>
      <c r="V645" t="str">
        <f>IF(C645=1,MAX($V$2:$V644)+1,IF(AND($T645&lt;&gt;"",$T645=$T644),$U644,IF(C645="x",V644,"")))</f>
        <v/>
      </c>
      <c r="W645" t="str">
        <f t="shared" si="338"/>
        <v>a</v>
      </c>
      <c r="X645">
        <v>87</v>
      </c>
      <c r="Y645" t="e">
        <f>IF(X645&lt;&gt;"",VLOOKUP(X645,game_rosters!$C$43:$E$64,3,FALSE))</f>
        <v>#N/A</v>
      </c>
      <c r="Z645" cm="1">
        <f t="array" ref="Z645">IFERROR(IF(_xlfn._xlws.FILTER(game_rosters!$J:$J,(game_rosters!$G:$G=events!$AN645)*(game_rosters!$J:$J=events!$X645))&gt;0,1,""),"")</f>
        <v>1</v>
      </c>
      <c r="AA645">
        <f t="shared" si="339"/>
        <v>1338</v>
      </c>
      <c r="AB645" t="str">
        <f t="shared" si="340"/>
        <v/>
      </c>
      <c r="AC645">
        <f t="shared" si="337"/>
        <v>1338</v>
      </c>
      <c r="AD645" s="6">
        <v>1</v>
      </c>
      <c r="AE645" t="s">
        <v>941</v>
      </c>
      <c r="AF645" t="s">
        <v>740</v>
      </c>
      <c r="AG645" t="s">
        <v>756</v>
      </c>
      <c r="AH645" t="s">
        <v>756</v>
      </c>
      <c r="AI645" t="s">
        <v>367</v>
      </c>
      <c r="AJ645" t="str">
        <f t="shared" si="341"/>
        <v>d</v>
      </c>
      <c r="AK645" t="str">
        <f t="shared" si="341"/>
        <v>d</v>
      </c>
      <c r="AL645" t="str">
        <f t="shared" si="342"/>
        <v>o</v>
      </c>
      <c r="AN645" t="s">
        <v>862</v>
      </c>
      <c r="AO645" t="str">
        <f t="shared" si="343"/>
        <v>a</v>
      </c>
      <c r="AP645" t="str">
        <f t="shared" ref="AP645:AP708" si="350">IF(AL645&lt;&gt;"",AL645,IF($AC645=$AC644,AP644,""))</f>
        <v>o</v>
      </c>
      <c r="AQ645" t="str">
        <f t="shared" ref="AQ645:AQ708" si="351">IF(AM645&lt;&gt;"",AM645,IF($AC645=$AC644,AQ644,""))</f>
        <v/>
      </c>
      <c r="AR645" t="str">
        <f t="shared" ref="AR645:AR708" si="352">IF(AN645&lt;&gt;"",AN645,IF($AC645=$AC644,AR644,""))</f>
        <v>Away</v>
      </c>
      <c r="AS645" t="str">
        <f t="shared" ref="AS645:AS708" si="353">IF(AO645&lt;&gt;"",AO645,IF($AC645=$AC644,AS644,""))</f>
        <v>a</v>
      </c>
      <c r="AT645" t="str">
        <f t="shared" ref="AT645:AT708" si="354">IF(AND(AI645="e",OR(BE645="Save",BF645="Turnover_Takeaway",BF645="Play_Defensive")),"Defensive",IF(AND(AI645="o",OR(BE645="Save",BF645="Turnover_Takeaway",BF645="Play_Defensive")),"Offensive",IF(OR(BE645="Deadice",BE645="Stoppage",BE645="Intermission"),"",IF(AI645="e","Offensive",IF(AI645="o","Defensive","")))))</f>
        <v>Offensive</v>
      </c>
      <c r="BA645" s="6">
        <f t="shared" si="344"/>
        <v>174</v>
      </c>
      <c r="BB645">
        <f t="shared" si="345"/>
        <v>18981</v>
      </c>
      <c r="BC645" t="str">
        <f t="shared" si="346"/>
        <v>Nelson</v>
      </c>
      <c r="BD645" t="str">
        <f t="shared" si="347"/>
        <v>Velodrome</v>
      </c>
      <c r="BE645" t="s">
        <v>238</v>
      </c>
      <c r="BF645" t="s">
        <v>184</v>
      </c>
      <c r="BG645" t="s">
        <v>376</v>
      </c>
      <c r="BI645" cm="1">
        <f t="array" ref="BI645">IFERROR(_xlfn._xlws.FILTER(shifts!A:A,(shifts!B:B=events!AD645)*(shifts!AG:AG&gt;=events!BK645)*(shifts!AH:AH&lt;=events!BL645)),BI644)</f>
        <v>31</v>
      </c>
      <c r="BJ645" s="15">
        <f t="shared" si="348"/>
        <v>0</v>
      </c>
      <c r="BK645">
        <f t="shared" ref="BK645:BK708" si="355">(AE645*60)+AF645</f>
        <v>265</v>
      </c>
      <c r="BL645">
        <f t="shared" ref="BL645:BL708" si="356">IF(AND(AG645="",AH645=""),BK645,((AG645*60)+AH645))</f>
        <v>265</v>
      </c>
      <c r="BM645" s="15">
        <f>SUMIFS(BJ$2:BJ645,K$2:K645,"=Intermission")+SUMIFS(BJ$2:BJ645,K$2:K645,"=Timeout")</f>
        <v>0</v>
      </c>
      <c r="BN645">
        <f t="shared" ref="BN645:BN708" si="357">IF(AD645=1,0,IF(AD645=2,1080+BM645,IF(AD645=3,(1080*2)+BM645,0)))</f>
        <v>0</v>
      </c>
      <c r="BO645" s="19">
        <f t="shared" ref="BO645:BO708" si="358">IF(K645="Intermission",BO644,((1080)-((AE645*60)+AF645))+BN645)</f>
        <v>815</v>
      </c>
      <c r="BP645">
        <f t="shared" ref="BP645:BP708" si="359">IF(BO645&lt;5,0,BO645-5)</f>
        <v>810</v>
      </c>
      <c r="BQ645" s="17">
        <f t="shared" ref="BQ645:BQ708" si="360">BP645+BJ645+5</f>
        <v>815</v>
      </c>
      <c r="BR645" t="str">
        <f t="shared" ref="BR645:BR708" si="361">IF(AI645="e","event_team_player_"&amp;BS645,IF(AI645="o","opp_team_player_"&amp;BS645,""))</f>
        <v>event_team_player_2</v>
      </c>
      <c r="BS645">
        <f>COUNTIFS(S$3:S645,"="&amp;S645,AI$3:AI645,"="&amp;AI645)</f>
        <v>2</v>
      </c>
      <c r="BT645" t="str">
        <f>IFERROR(VLOOKUP(BB645&amp;BU645&amp;X645,game_rosters!U:W,3,FALSE),"")</f>
        <v>P100159</v>
      </c>
      <c r="BU645" t="str">
        <f t="shared" ref="BU645:BU708" si="362">IF(AR645="","",IF(AND(AR645="Away",AI645="e"),BD645,IF(AND(AR645="Home",AI645="e"),BC645,IF(AND(AR645="Away",AI645="o"),BC645,IF(AND(AR645="Home",AI645="o"),BD645)))))</f>
        <v>Velodrome</v>
      </c>
    </row>
    <row r="646" spans="1:73" x14ac:dyDescent="0.2">
      <c r="A646">
        <f t="shared" si="349"/>
        <v>1</v>
      </c>
      <c r="E646" s="4"/>
      <c r="F646" s="43"/>
      <c r="G646" s="4"/>
      <c r="H646" s="46"/>
      <c r="J646" s="44" t="str">
        <f t="shared" ref="J646:J709" si="363">IF(OR(K646="Goal",K646="Shot",L646="Zone_Entry",M646="Stoppage-Goal",M645="Stoppage-Goal"),"o",IF(OR(K646="Save",K646="Rebound",L646="Zone_Exit",M646="Stoppage-GoalieStoppage",M645="Stoppage-GoalieStoppage"),"d",IF(OR(L646="Faceoff_AfterGoal",L646="Faceoff_PeriodStart",698="Faceoff_GameStart",M645="Stoppage-Goal"),"n","")))</f>
        <v>o</v>
      </c>
      <c r="K646" t="s">
        <v>238</v>
      </c>
      <c r="L646" t="s">
        <v>174</v>
      </c>
      <c r="M646" t="s">
        <v>375</v>
      </c>
      <c r="N646" t="str">
        <f t="shared" si="334"/>
        <v>u</v>
      </c>
      <c r="Q646" t="str">
        <f t="shared" si="332"/>
        <v/>
      </c>
      <c r="S646">
        <v>339</v>
      </c>
      <c r="U646" t="str">
        <f>IF(B646=1,MAX($U$2:$U645)+1,IF(AND($T646&lt;&gt;"",$T646=$T645),$U645,IF(B646="x",U645,"")))</f>
        <v/>
      </c>
      <c r="V646" t="str">
        <f>IF(C646=1,MAX($V$2:$V645)+1,IF(AND($T646&lt;&gt;"",$T646=$T645),$U645,IF(C646="x",V645,"")))</f>
        <v/>
      </c>
      <c r="W646" t="str">
        <f t="shared" si="338"/>
        <v>a</v>
      </c>
      <c r="X646">
        <v>93</v>
      </c>
      <c r="Y646" t="e">
        <f>IF(X646&lt;&gt;"",VLOOKUP(X646,game_rosters!$C$43:$E$64,3,FALSE))</f>
        <v>#N/A</v>
      </c>
      <c r="Z646" cm="1">
        <f t="array" ref="Z646">IFERROR(IF(_xlfn._xlws.FILTER(game_rosters!$J:$J,(game_rosters!$G:$G=events!$AN646)*(game_rosters!$J:$J=events!$X646))&gt;0,1,""),"")</f>
        <v>1</v>
      </c>
      <c r="AA646">
        <f t="shared" si="339"/>
        <v>1339</v>
      </c>
      <c r="AB646" t="str">
        <f t="shared" si="340"/>
        <v/>
      </c>
      <c r="AC646">
        <f t="shared" si="337"/>
        <v>1339</v>
      </c>
      <c r="AD646" s="6">
        <v>1</v>
      </c>
      <c r="AE646" t="s">
        <v>941</v>
      </c>
      <c r="AF646" t="s">
        <v>918</v>
      </c>
      <c r="AG646" t="s">
        <v>756</v>
      </c>
      <c r="AH646" t="s">
        <v>756</v>
      </c>
      <c r="AI646" t="s">
        <v>367</v>
      </c>
      <c r="AJ646" t="str">
        <f t="shared" si="341"/>
        <v>o</v>
      </c>
      <c r="AK646" t="str">
        <f t="shared" si="341"/>
        <v>o</v>
      </c>
      <c r="AL646" t="str">
        <f t="shared" si="342"/>
        <v>d</v>
      </c>
      <c r="AN646" t="s">
        <v>862</v>
      </c>
      <c r="AO646" t="str">
        <f t="shared" si="343"/>
        <v>a</v>
      </c>
      <c r="AP646" t="str">
        <f t="shared" si="350"/>
        <v>d</v>
      </c>
      <c r="AQ646" t="str">
        <f t="shared" si="351"/>
        <v/>
      </c>
      <c r="AR646" t="str">
        <f t="shared" si="352"/>
        <v>Away</v>
      </c>
      <c r="AS646" t="str">
        <f t="shared" si="353"/>
        <v>a</v>
      </c>
      <c r="AT646" t="str">
        <f t="shared" si="354"/>
        <v>Offensive</v>
      </c>
      <c r="BA646" s="6">
        <f t="shared" si="344"/>
        <v>175</v>
      </c>
      <c r="BB646">
        <f t="shared" si="345"/>
        <v>18981</v>
      </c>
      <c r="BC646" t="str">
        <f t="shared" si="346"/>
        <v>Nelson</v>
      </c>
      <c r="BD646" t="str">
        <f t="shared" si="347"/>
        <v>Velodrome</v>
      </c>
      <c r="BE646" t="s">
        <v>238</v>
      </c>
      <c r="BF646" t="s">
        <v>174</v>
      </c>
      <c r="BG646" t="s">
        <v>375</v>
      </c>
      <c r="BI646" cm="1">
        <f t="array" ref="BI646">IFERROR(_xlfn._xlws.FILTER(shifts!A:A,(shifts!B:B=events!AD646)*(shifts!AG:AG&gt;=events!BK646)*(shifts!AH:AH&lt;=events!BL646)),BI645)</f>
        <v>31</v>
      </c>
      <c r="BJ646" s="15">
        <f t="shared" si="348"/>
        <v>0</v>
      </c>
      <c r="BK646">
        <f t="shared" si="355"/>
        <v>262</v>
      </c>
      <c r="BL646">
        <f t="shared" si="356"/>
        <v>262</v>
      </c>
      <c r="BM646" s="15">
        <f>SUMIFS(BJ$2:BJ646,K$2:K646,"=Intermission")+SUMIFS(BJ$2:BJ646,K$2:K646,"=Timeout")</f>
        <v>0</v>
      </c>
      <c r="BN646">
        <f t="shared" si="357"/>
        <v>0</v>
      </c>
      <c r="BO646" s="19">
        <f t="shared" si="358"/>
        <v>818</v>
      </c>
      <c r="BP646">
        <f t="shared" si="359"/>
        <v>813</v>
      </c>
      <c r="BQ646" s="17">
        <f t="shared" si="360"/>
        <v>818</v>
      </c>
      <c r="BR646" t="str">
        <f t="shared" si="361"/>
        <v>event_team_player_1</v>
      </c>
      <c r="BS646">
        <f>COUNTIFS(S$3:S646,"="&amp;S646,AI$3:AI646,"="&amp;AI646)</f>
        <v>1</v>
      </c>
      <c r="BT646" t="str">
        <f>IFERROR(VLOOKUP(BB646&amp;BU646&amp;X646,game_rosters!U:W,3,FALSE),"")</f>
        <v>P100093</v>
      </c>
      <c r="BU646" t="str">
        <f t="shared" si="362"/>
        <v>Velodrome</v>
      </c>
    </row>
    <row r="647" spans="1:73" x14ac:dyDescent="0.2">
      <c r="A647">
        <f t="shared" si="349"/>
        <v>1</v>
      </c>
      <c r="E647" s="4"/>
      <c r="F647" s="43"/>
      <c r="G647" s="4"/>
      <c r="H647" s="46"/>
      <c r="J647" s="44" t="str">
        <f t="shared" si="363"/>
        <v>d</v>
      </c>
      <c r="K647" t="s">
        <v>238</v>
      </c>
      <c r="L647" t="s">
        <v>184</v>
      </c>
      <c r="M647" t="s">
        <v>90</v>
      </c>
      <c r="N647" t="str">
        <f t="shared" si="334"/>
        <v>s</v>
      </c>
      <c r="Q647" t="str">
        <f t="shared" si="332"/>
        <v/>
      </c>
      <c r="S647">
        <v>340</v>
      </c>
      <c r="U647" t="str">
        <f>IF(B647=1,MAX($U$2:$U646)+1,IF(AND($T647&lt;&gt;"",$T647=$T646),$U646,IF(B647="x",U646,"")))</f>
        <v/>
      </c>
      <c r="V647" t="str">
        <f>IF(C647=1,MAX($V$2:$V646)+1,IF(AND($T647&lt;&gt;"",$T647=$T646),$U646,IF(C647="x",V646,"")))</f>
        <v/>
      </c>
      <c r="W647" t="str">
        <f t="shared" si="338"/>
        <v>h</v>
      </c>
      <c r="X647">
        <v>8</v>
      </c>
      <c r="Y647" t="b">
        <f>IF(X647&lt;&gt;"",VLOOKUP(X647,game_rosters!$C$43:$E$64,3,FALSE))</f>
        <v>0</v>
      </c>
      <c r="Z647" cm="1">
        <f t="array" ref="Z647">IFERROR(IF(_xlfn._xlws.FILTER(game_rosters!$J:$J,(game_rosters!$G:$G=events!$AN647)*(game_rosters!$J:$J=events!$X647))&gt;0,1,""),"")</f>
        <v>1</v>
      </c>
      <c r="AA647">
        <f t="shared" si="339"/>
        <v>1340</v>
      </c>
      <c r="AB647" t="str">
        <f t="shared" si="340"/>
        <v/>
      </c>
      <c r="AC647">
        <f t="shared" si="337"/>
        <v>1340</v>
      </c>
      <c r="AD647" s="6">
        <v>1</v>
      </c>
      <c r="AE647" t="s">
        <v>941</v>
      </c>
      <c r="AF647" t="s">
        <v>743</v>
      </c>
      <c r="AG647" t="s">
        <v>756</v>
      </c>
      <c r="AH647" t="s">
        <v>756</v>
      </c>
      <c r="AI647" t="s">
        <v>367</v>
      </c>
      <c r="AJ647" t="str">
        <f t="shared" si="341"/>
        <v>d</v>
      </c>
      <c r="AK647" t="str">
        <f t="shared" si="341"/>
        <v>d</v>
      </c>
      <c r="AL647" t="str">
        <f t="shared" si="342"/>
        <v>d</v>
      </c>
      <c r="AN647" t="s">
        <v>861</v>
      </c>
      <c r="AO647" t="str">
        <f t="shared" si="343"/>
        <v>h</v>
      </c>
      <c r="AP647" t="str">
        <f t="shared" si="350"/>
        <v>d</v>
      </c>
      <c r="AQ647" t="str">
        <f t="shared" si="351"/>
        <v/>
      </c>
      <c r="AR647" t="str">
        <f t="shared" si="352"/>
        <v>Home</v>
      </c>
      <c r="AS647" t="str">
        <f t="shared" si="353"/>
        <v>h</v>
      </c>
      <c r="AT647" t="str">
        <f t="shared" si="354"/>
        <v>Offensive</v>
      </c>
      <c r="BA647" s="6">
        <f t="shared" si="344"/>
        <v>176</v>
      </c>
      <c r="BB647">
        <f t="shared" si="345"/>
        <v>18981</v>
      </c>
      <c r="BC647" t="str">
        <f t="shared" si="346"/>
        <v>Nelson</v>
      </c>
      <c r="BD647" t="str">
        <f t="shared" si="347"/>
        <v>Velodrome</v>
      </c>
      <c r="BE647" t="s">
        <v>238</v>
      </c>
      <c r="BF647" t="s">
        <v>184</v>
      </c>
      <c r="BG647" t="s">
        <v>90</v>
      </c>
      <c r="BI647" cm="1">
        <f t="array" ref="BI647">IFERROR(_xlfn._xlws.FILTER(shifts!A:A,(shifts!B:B=events!AD647)*(shifts!AG:AG&gt;=events!BK647)*(shifts!AH:AH&lt;=events!BL647)),BI646)</f>
        <v>31</v>
      </c>
      <c r="BJ647" s="15">
        <f t="shared" si="348"/>
        <v>0</v>
      </c>
      <c r="BK647">
        <f t="shared" si="355"/>
        <v>258</v>
      </c>
      <c r="BL647">
        <f t="shared" si="356"/>
        <v>258</v>
      </c>
      <c r="BM647" s="15">
        <f>SUMIFS(BJ$2:BJ647,K$2:K647,"=Intermission")+SUMIFS(BJ$2:BJ647,K$2:K647,"=Timeout")</f>
        <v>0</v>
      </c>
      <c r="BN647">
        <f t="shared" si="357"/>
        <v>0</v>
      </c>
      <c r="BO647" s="19">
        <f t="shared" si="358"/>
        <v>822</v>
      </c>
      <c r="BP647">
        <f t="shared" si="359"/>
        <v>817</v>
      </c>
      <c r="BQ647" s="17">
        <f t="shared" si="360"/>
        <v>822</v>
      </c>
      <c r="BR647" t="str">
        <f t="shared" si="361"/>
        <v>event_team_player_1</v>
      </c>
      <c r="BS647">
        <f>COUNTIFS(S$3:S647,"="&amp;S647,AI$3:AI647,"="&amp;AI647)</f>
        <v>1</v>
      </c>
      <c r="BT647" t="str">
        <f>IFERROR(VLOOKUP(BB647&amp;BU647&amp;X647,game_rosters!U:W,3,FALSE),"")</f>
        <v>P100074</v>
      </c>
      <c r="BU647" t="str">
        <f t="shared" si="362"/>
        <v>Nelson</v>
      </c>
    </row>
    <row r="648" spans="1:73" x14ac:dyDescent="0.2">
      <c r="A648">
        <f t="shared" si="349"/>
        <v>1</v>
      </c>
      <c r="E648" s="4"/>
      <c r="F648" s="43"/>
      <c r="G648" s="4"/>
      <c r="H648" s="46"/>
      <c r="J648" s="44" t="str">
        <f t="shared" si="363"/>
        <v>d</v>
      </c>
      <c r="K648" t="s">
        <v>238</v>
      </c>
      <c r="L648" t="s">
        <v>184</v>
      </c>
      <c r="M648" t="s">
        <v>90</v>
      </c>
      <c r="N648" t="str">
        <f t="shared" si="334"/>
        <v>s</v>
      </c>
      <c r="Q648" t="str">
        <f t="shared" si="332"/>
        <v/>
      </c>
      <c r="S648">
        <v>340</v>
      </c>
      <c r="U648" t="str">
        <f>IF(B648=1,MAX($U$2:$U647)+1,IF(AND($T648&lt;&gt;"",$T648=$T647),$U647,IF(B648="x",U647,"")))</f>
        <v/>
      </c>
      <c r="V648" t="str">
        <f>IF(C648=1,MAX($V$2:$V647)+1,IF(AND($T648&lt;&gt;"",$T648=$T647),$U647,IF(C648="x",V647,"")))</f>
        <v/>
      </c>
      <c r="W648" t="str">
        <f t="shared" si="338"/>
        <v>h</v>
      </c>
      <c r="X648">
        <v>87</v>
      </c>
      <c r="Y648" t="e">
        <f>IF(X648&lt;&gt;"",VLOOKUP(X648,game_rosters!$C$43:$E$64,3,FALSE))</f>
        <v>#N/A</v>
      </c>
      <c r="Z648" t="str" cm="1">
        <f t="array" ref="Z648">IFERROR(IF(_xlfn._xlws.FILTER(game_rosters!$J:$J,(game_rosters!$G:$G=events!$AN648)*(game_rosters!$J:$J=events!$X648))&gt;0,1,""),"")</f>
        <v/>
      </c>
      <c r="AA648">
        <f t="shared" si="339"/>
        <v>1340</v>
      </c>
      <c r="AB648" t="str">
        <f t="shared" si="340"/>
        <v/>
      </c>
      <c r="AC648">
        <f t="shared" si="337"/>
        <v>1340</v>
      </c>
      <c r="AD648" s="6">
        <v>1</v>
      </c>
      <c r="AE648" t="s">
        <v>941</v>
      </c>
      <c r="AF648" t="s">
        <v>743</v>
      </c>
      <c r="AG648" t="s">
        <v>756</v>
      </c>
      <c r="AH648" t="s">
        <v>756</v>
      </c>
      <c r="AI648" t="s">
        <v>368</v>
      </c>
      <c r="AJ648" t="str">
        <f t="shared" si="341"/>
        <v>d</v>
      </c>
      <c r="AK648" t="str">
        <f t="shared" si="341"/>
        <v>d</v>
      </c>
      <c r="AL648" t="str">
        <f t="shared" si="342"/>
        <v>d</v>
      </c>
      <c r="AN648" t="s">
        <v>861</v>
      </c>
      <c r="AO648" t="str">
        <f t="shared" si="343"/>
        <v>h</v>
      </c>
      <c r="AP648" t="str">
        <f t="shared" si="350"/>
        <v>d</v>
      </c>
      <c r="AQ648" t="str">
        <f t="shared" si="351"/>
        <v/>
      </c>
      <c r="AR648" t="str">
        <f t="shared" si="352"/>
        <v>Home</v>
      </c>
      <c r="AS648" t="str">
        <f t="shared" si="353"/>
        <v>h</v>
      </c>
      <c r="AT648" t="str">
        <f t="shared" si="354"/>
        <v>Defensive</v>
      </c>
      <c r="BA648" s="6">
        <f t="shared" si="344"/>
        <v>177</v>
      </c>
      <c r="BB648">
        <f t="shared" si="345"/>
        <v>18981</v>
      </c>
      <c r="BC648" t="str">
        <f t="shared" si="346"/>
        <v>Nelson</v>
      </c>
      <c r="BD648" t="str">
        <f t="shared" si="347"/>
        <v>Velodrome</v>
      </c>
      <c r="BE648" t="s">
        <v>238</v>
      </c>
      <c r="BF648" t="s">
        <v>184</v>
      </c>
      <c r="BG648" t="s">
        <v>90</v>
      </c>
      <c r="BI648" cm="1">
        <f t="array" ref="BI648">IFERROR(_xlfn._xlws.FILTER(shifts!A:A,(shifts!B:B=events!AD648)*(shifts!AG:AG&gt;=events!BK648)*(shifts!AH:AH&lt;=events!BL648)),BI647)</f>
        <v>31</v>
      </c>
      <c r="BJ648" s="15">
        <f t="shared" si="348"/>
        <v>0</v>
      </c>
      <c r="BK648">
        <f t="shared" si="355"/>
        <v>258</v>
      </c>
      <c r="BL648">
        <f t="shared" si="356"/>
        <v>258</v>
      </c>
      <c r="BM648" s="15">
        <f>SUMIFS(BJ$2:BJ648,K$2:K648,"=Intermission")+SUMIFS(BJ$2:BJ648,K$2:K648,"=Timeout")</f>
        <v>0</v>
      </c>
      <c r="BN648">
        <f t="shared" si="357"/>
        <v>0</v>
      </c>
      <c r="BO648" s="19">
        <f t="shared" si="358"/>
        <v>822</v>
      </c>
      <c r="BP648">
        <f t="shared" si="359"/>
        <v>817</v>
      </c>
      <c r="BQ648" s="17">
        <f t="shared" si="360"/>
        <v>822</v>
      </c>
      <c r="BR648" t="str">
        <f t="shared" si="361"/>
        <v>opp_team_player_1</v>
      </c>
      <c r="BS648">
        <f>COUNTIFS(S$3:S648,"="&amp;S648,AI$3:AI648,"="&amp;AI648)</f>
        <v>1</v>
      </c>
      <c r="BT648" t="str">
        <f>IFERROR(VLOOKUP(BB648&amp;BU648&amp;X648,game_rosters!U:W,3,FALSE),"")</f>
        <v>P100159</v>
      </c>
      <c r="BU648" t="str">
        <f t="shared" si="362"/>
        <v>Velodrome</v>
      </c>
    </row>
    <row r="649" spans="1:73" x14ac:dyDescent="0.2">
      <c r="A649">
        <f t="shared" si="349"/>
        <v>1</v>
      </c>
      <c r="E649" s="4"/>
      <c r="F649" s="43"/>
      <c r="G649" s="4"/>
      <c r="H649" s="46"/>
      <c r="J649" s="44" t="str">
        <f t="shared" si="363"/>
        <v>o</v>
      </c>
      <c r="K649" t="s">
        <v>238</v>
      </c>
      <c r="L649" t="s">
        <v>174</v>
      </c>
      <c r="M649" t="s">
        <v>375</v>
      </c>
      <c r="N649" t="str">
        <f t="shared" si="334"/>
        <v>u</v>
      </c>
      <c r="Q649" t="str">
        <f t="shared" si="332"/>
        <v/>
      </c>
      <c r="S649">
        <v>341</v>
      </c>
      <c r="U649" t="str">
        <f>IF(B649=1,MAX($U$2:$U648)+1,IF(AND($T649&lt;&gt;"",$T649=$T648),$U648,IF(B649="x",U648,"")))</f>
        <v/>
      </c>
      <c r="V649" t="str">
        <f>IF(C649=1,MAX($V$2:$V648)+1,IF(AND($T649&lt;&gt;"",$T649=$T648),$U648,IF(C649="x",V648,"")))</f>
        <v/>
      </c>
      <c r="W649" t="str">
        <f t="shared" si="338"/>
        <v>h</v>
      </c>
      <c r="X649">
        <v>8</v>
      </c>
      <c r="Y649" t="b">
        <f>IF(X649&lt;&gt;"",VLOOKUP(X649,game_rosters!$C$43:$E$64,3,FALSE))</f>
        <v>0</v>
      </c>
      <c r="Z649" cm="1">
        <f t="array" ref="Z649">IFERROR(IF(_xlfn._xlws.FILTER(game_rosters!$J:$J,(game_rosters!$G:$G=events!$AN649)*(game_rosters!$J:$J=events!$X649))&gt;0,1,""),"")</f>
        <v>1</v>
      </c>
      <c r="AA649">
        <f t="shared" si="339"/>
        <v>1341</v>
      </c>
      <c r="AB649" t="str">
        <f t="shared" si="340"/>
        <v/>
      </c>
      <c r="AC649">
        <f t="shared" si="337"/>
        <v>1341</v>
      </c>
      <c r="AD649" s="6">
        <v>1</v>
      </c>
      <c r="AE649" t="s">
        <v>941</v>
      </c>
      <c r="AF649" t="s">
        <v>743</v>
      </c>
      <c r="AG649" t="s">
        <v>756</v>
      </c>
      <c r="AH649" t="s">
        <v>756</v>
      </c>
      <c r="AI649" t="s">
        <v>367</v>
      </c>
      <c r="AJ649" t="str">
        <f t="shared" si="341"/>
        <v>o</v>
      </c>
      <c r="AK649" t="str">
        <f t="shared" si="341"/>
        <v>o</v>
      </c>
      <c r="AL649" t="str">
        <f t="shared" si="342"/>
        <v>o</v>
      </c>
      <c r="AN649" t="s">
        <v>861</v>
      </c>
      <c r="AO649" t="str">
        <f t="shared" si="343"/>
        <v>h</v>
      </c>
      <c r="AP649" t="str">
        <f t="shared" si="350"/>
        <v>o</v>
      </c>
      <c r="AQ649" t="str">
        <f t="shared" si="351"/>
        <v/>
      </c>
      <c r="AR649" t="str">
        <f t="shared" si="352"/>
        <v>Home</v>
      </c>
      <c r="AS649" t="str">
        <f t="shared" si="353"/>
        <v>h</v>
      </c>
      <c r="AT649" t="str">
        <f t="shared" si="354"/>
        <v>Offensive</v>
      </c>
      <c r="BA649" s="6">
        <f t="shared" si="344"/>
        <v>178</v>
      </c>
      <c r="BB649">
        <f t="shared" si="345"/>
        <v>18981</v>
      </c>
      <c r="BC649" t="str">
        <f t="shared" si="346"/>
        <v>Nelson</v>
      </c>
      <c r="BD649" t="str">
        <f t="shared" si="347"/>
        <v>Velodrome</v>
      </c>
      <c r="BE649" t="s">
        <v>238</v>
      </c>
      <c r="BF649" t="s">
        <v>174</v>
      </c>
      <c r="BG649" t="s">
        <v>375</v>
      </c>
      <c r="BI649" cm="1">
        <f t="array" ref="BI649">IFERROR(_xlfn._xlws.FILTER(shifts!A:A,(shifts!B:B=events!AD649)*(shifts!AG:AG&gt;=events!BK649)*(shifts!AH:AH&lt;=events!BL649)),BI648)</f>
        <v>31</v>
      </c>
      <c r="BJ649" s="15">
        <f t="shared" si="348"/>
        <v>0</v>
      </c>
      <c r="BK649">
        <f t="shared" si="355"/>
        <v>258</v>
      </c>
      <c r="BL649">
        <f t="shared" si="356"/>
        <v>258</v>
      </c>
      <c r="BM649" s="15">
        <f>SUMIFS(BJ$2:BJ649,K$2:K649,"=Intermission")+SUMIFS(BJ$2:BJ649,K$2:K649,"=Timeout")</f>
        <v>0</v>
      </c>
      <c r="BN649">
        <f t="shared" si="357"/>
        <v>0</v>
      </c>
      <c r="BO649" s="19">
        <f t="shared" si="358"/>
        <v>822</v>
      </c>
      <c r="BP649">
        <f t="shared" si="359"/>
        <v>817</v>
      </c>
      <c r="BQ649" s="17">
        <f t="shared" si="360"/>
        <v>822</v>
      </c>
      <c r="BR649" t="str">
        <f t="shared" si="361"/>
        <v>event_team_player_1</v>
      </c>
      <c r="BS649">
        <f>COUNTIFS(S$3:S649,"="&amp;S649,AI$3:AI649,"="&amp;AI649)</f>
        <v>1</v>
      </c>
      <c r="BT649" t="str">
        <f>IFERROR(VLOOKUP(BB649&amp;BU649&amp;X649,game_rosters!U:W,3,FALSE),"")</f>
        <v>P100074</v>
      </c>
      <c r="BU649" t="str">
        <f t="shared" si="362"/>
        <v>Nelson</v>
      </c>
    </row>
    <row r="650" spans="1:73" x14ac:dyDescent="0.2">
      <c r="A650">
        <f t="shared" si="349"/>
        <v>1</v>
      </c>
      <c r="E650" s="4"/>
      <c r="F650" s="43"/>
      <c r="G650" s="4"/>
      <c r="H650" s="46"/>
      <c r="J650" s="44" t="str">
        <f t="shared" si="363"/>
        <v/>
      </c>
      <c r="K650" t="s">
        <v>9</v>
      </c>
      <c r="L650" t="s">
        <v>173</v>
      </c>
      <c r="M650" t="s">
        <v>354</v>
      </c>
      <c r="N650" t="str">
        <f t="shared" si="334"/>
        <v>u</v>
      </c>
      <c r="Q650" t="str">
        <f t="shared" si="332"/>
        <v/>
      </c>
      <c r="S650">
        <v>342</v>
      </c>
      <c r="U650" t="str">
        <f>IF(B650=1,MAX($U$2:$U649)+1,IF(AND($T650&lt;&gt;"",$T650=$T649),$U649,IF(B650="x",U649,"")))</f>
        <v/>
      </c>
      <c r="V650" t="str">
        <f>IF(C650=1,MAX($V$2:$V649)+1,IF(AND($T650&lt;&gt;"",$T650=$T649),$U649,IF(C650="x",V649,"")))</f>
        <v/>
      </c>
      <c r="W650" t="str">
        <f t="shared" si="338"/>
        <v>h</v>
      </c>
      <c r="X650">
        <v>8</v>
      </c>
      <c r="Y650" t="b">
        <f>IF(X650&lt;&gt;"",VLOOKUP(X650,game_rosters!$C$43:$E$64,3,FALSE))</f>
        <v>0</v>
      </c>
      <c r="Z650" cm="1">
        <f t="array" ref="Z650">IFERROR(IF(_xlfn._xlws.FILTER(game_rosters!$J:$J,(game_rosters!$G:$G=events!$AN650)*(game_rosters!$J:$J=events!$X650))&gt;0,1,""),"")</f>
        <v>1</v>
      </c>
      <c r="AA650">
        <f t="shared" si="339"/>
        <v>1342</v>
      </c>
      <c r="AB650" t="str">
        <f t="shared" si="340"/>
        <v/>
      </c>
      <c r="AC650">
        <f t="shared" si="337"/>
        <v>1342</v>
      </c>
      <c r="AD650" s="6">
        <v>1</v>
      </c>
      <c r="AE650" t="s">
        <v>941</v>
      </c>
      <c r="AF650" t="s">
        <v>754</v>
      </c>
      <c r="AG650" t="s">
        <v>756</v>
      </c>
      <c r="AH650" t="s">
        <v>756</v>
      </c>
      <c r="AI650" t="s">
        <v>367</v>
      </c>
      <c r="AJ650" t="str">
        <f t="shared" si="341"/>
        <v/>
      </c>
      <c r="AK650" t="str">
        <f t="shared" si="341"/>
        <v/>
      </c>
      <c r="AL650" t="str">
        <f t="shared" si="342"/>
        <v/>
      </c>
      <c r="AN650" t="s">
        <v>861</v>
      </c>
      <c r="AO650" t="str">
        <f t="shared" si="343"/>
        <v>h</v>
      </c>
      <c r="AP650" t="str">
        <f t="shared" si="350"/>
        <v/>
      </c>
      <c r="AQ650" t="str">
        <f t="shared" si="351"/>
        <v/>
      </c>
      <c r="AR650" t="str">
        <f t="shared" si="352"/>
        <v>Home</v>
      </c>
      <c r="AS650" t="str">
        <f t="shared" si="353"/>
        <v>h</v>
      </c>
      <c r="AT650" t="str">
        <f t="shared" si="354"/>
        <v>Offensive</v>
      </c>
      <c r="BA650" s="6">
        <f t="shared" si="344"/>
        <v>178</v>
      </c>
      <c r="BB650">
        <f t="shared" si="345"/>
        <v>18981</v>
      </c>
      <c r="BC650" t="str">
        <f t="shared" si="346"/>
        <v>Nelson</v>
      </c>
      <c r="BD650" t="str">
        <f t="shared" si="347"/>
        <v>Velodrome</v>
      </c>
      <c r="BE650" t="s">
        <v>9</v>
      </c>
      <c r="BF650" t="s">
        <v>173</v>
      </c>
      <c r="BG650" t="s">
        <v>354</v>
      </c>
      <c r="BI650" cm="1">
        <f t="array" ref="BI650">IFERROR(_xlfn._xlws.FILTER(shifts!A:A,(shifts!B:B=events!AD650)*(shifts!AG:AG&gt;=events!BK650)*(shifts!AH:AH&lt;=events!BL650)),BI649)</f>
        <v>31</v>
      </c>
      <c r="BJ650" s="15">
        <f t="shared" si="348"/>
        <v>0</v>
      </c>
      <c r="BK650">
        <f t="shared" si="355"/>
        <v>251</v>
      </c>
      <c r="BL650">
        <f t="shared" si="356"/>
        <v>251</v>
      </c>
      <c r="BM650" s="15">
        <f>SUMIFS(BJ$2:BJ650,K$2:K650,"=Intermission")+SUMIFS(BJ$2:BJ650,K$2:K650,"=Timeout")</f>
        <v>0</v>
      </c>
      <c r="BN650">
        <f t="shared" si="357"/>
        <v>0</v>
      </c>
      <c r="BO650" s="19">
        <f t="shared" si="358"/>
        <v>829</v>
      </c>
      <c r="BP650">
        <f t="shared" si="359"/>
        <v>824</v>
      </c>
      <c r="BQ650" s="17">
        <f t="shared" si="360"/>
        <v>829</v>
      </c>
      <c r="BR650" t="str">
        <f t="shared" si="361"/>
        <v>event_team_player_1</v>
      </c>
      <c r="BS650">
        <f>COUNTIFS(S$3:S650,"="&amp;S650,AI$3:AI650,"="&amp;AI650)</f>
        <v>1</v>
      </c>
      <c r="BT650" t="str">
        <f>IFERROR(VLOOKUP(BB650&amp;BU650&amp;X650,game_rosters!U:W,3,FALSE),"")</f>
        <v>P100074</v>
      </c>
      <c r="BU650" t="str">
        <f t="shared" si="362"/>
        <v>Nelson</v>
      </c>
    </row>
    <row r="651" spans="1:73" x14ac:dyDescent="0.2">
      <c r="A651">
        <f t="shared" si="349"/>
        <v>1</v>
      </c>
      <c r="E651" s="4"/>
      <c r="F651" s="43"/>
      <c r="G651" s="4"/>
      <c r="H651" s="46"/>
      <c r="J651" s="44" t="str">
        <f t="shared" si="363"/>
        <v/>
      </c>
      <c r="K651" t="s">
        <v>13</v>
      </c>
      <c r="L651" t="s">
        <v>756</v>
      </c>
      <c r="M651" t="s">
        <v>756</v>
      </c>
      <c r="N651" t="str">
        <f t="shared" si="334"/>
        <v/>
      </c>
      <c r="Q651" t="str">
        <f t="shared" si="332"/>
        <v/>
      </c>
      <c r="S651">
        <v>343</v>
      </c>
      <c r="U651" t="str">
        <f>IF(B651=1,MAX($U$2:$U650)+1,IF(AND($T651&lt;&gt;"",$T651=$T650),$U650,IF(B651="x",U650,"")))</f>
        <v/>
      </c>
      <c r="V651" t="str">
        <f>IF(C651=1,MAX($V$2:$V650)+1,IF(AND($T651&lt;&gt;"",$T651=$T650),$U650,IF(C651="x",V650,"")))</f>
        <v/>
      </c>
      <c r="W651" t="str">
        <f t="shared" si="338"/>
        <v>a</v>
      </c>
      <c r="X651">
        <v>84</v>
      </c>
      <c r="Y651" t="e">
        <f>IF(X651&lt;&gt;"",VLOOKUP(X651,game_rosters!$C$43:$E$64,3,FALSE))</f>
        <v>#N/A</v>
      </c>
      <c r="Z651" cm="1">
        <f t="array" ref="Z651">IFERROR(IF(_xlfn._xlws.FILTER(game_rosters!$J:$J,(game_rosters!$G:$G=events!$AN651)*(game_rosters!$J:$J=events!$X651))&gt;0,1,""),"")</f>
        <v>1</v>
      </c>
      <c r="AA651">
        <f t="shared" si="339"/>
        <v>1343</v>
      </c>
      <c r="AB651" t="str">
        <f t="shared" si="340"/>
        <v/>
      </c>
      <c r="AC651">
        <f t="shared" si="337"/>
        <v>1343</v>
      </c>
      <c r="AD651" s="6">
        <v>1</v>
      </c>
      <c r="AE651" t="s">
        <v>941</v>
      </c>
      <c r="AF651" t="s">
        <v>754</v>
      </c>
      <c r="AG651" t="s">
        <v>941</v>
      </c>
      <c r="AH651" t="s">
        <v>920</v>
      </c>
      <c r="AI651" t="s">
        <v>367</v>
      </c>
      <c r="AJ651" t="str">
        <f t="shared" si="341"/>
        <v/>
      </c>
      <c r="AK651" t="str">
        <f t="shared" si="341"/>
        <v/>
      </c>
      <c r="AL651" t="str">
        <f t="shared" si="342"/>
        <v/>
      </c>
      <c r="AN651" t="s">
        <v>862</v>
      </c>
      <c r="AO651" t="str">
        <f t="shared" si="343"/>
        <v>a</v>
      </c>
      <c r="AP651" t="str">
        <f t="shared" si="350"/>
        <v/>
      </c>
      <c r="AQ651" t="str">
        <f t="shared" si="351"/>
        <v/>
      </c>
      <c r="AR651" t="str">
        <f t="shared" si="352"/>
        <v>Away</v>
      </c>
      <c r="AS651" t="str">
        <f t="shared" si="353"/>
        <v>a</v>
      </c>
      <c r="AT651" t="str">
        <f t="shared" si="354"/>
        <v>Offensive</v>
      </c>
      <c r="BA651" s="6">
        <f t="shared" si="344"/>
        <v>178</v>
      </c>
      <c r="BB651">
        <f t="shared" si="345"/>
        <v>18981</v>
      </c>
      <c r="BC651" t="str">
        <f t="shared" si="346"/>
        <v>Nelson</v>
      </c>
      <c r="BD651" t="str">
        <f t="shared" si="347"/>
        <v>Velodrome</v>
      </c>
      <c r="BE651" t="s">
        <v>13</v>
      </c>
      <c r="BF651" t="s">
        <v>756</v>
      </c>
      <c r="BG651" t="s">
        <v>756</v>
      </c>
      <c r="BI651" cm="1">
        <f t="array" ref="BI651">IFERROR(_xlfn._xlws.FILTER(shifts!A:A,(shifts!B:B=events!AD651)*(shifts!AG:AG&gt;=events!BK651)*(shifts!AH:AH&lt;=events!BL651)),BI650)</f>
        <v>31</v>
      </c>
      <c r="BJ651" s="15">
        <f t="shared" si="348"/>
        <v>2</v>
      </c>
      <c r="BK651">
        <f t="shared" si="355"/>
        <v>251</v>
      </c>
      <c r="BL651">
        <f t="shared" si="356"/>
        <v>249</v>
      </c>
      <c r="BM651" s="15">
        <f>SUMIFS(BJ$2:BJ651,K$2:K651,"=Intermission")+SUMIFS(BJ$2:BJ651,K$2:K651,"=Timeout")</f>
        <v>0</v>
      </c>
      <c r="BN651">
        <f t="shared" si="357"/>
        <v>0</v>
      </c>
      <c r="BO651" s="19">
        <f t="shared" si="358"/>
        <v>829</v>
      </c>
      <c r="BP651">
        <f t="shared" si="359"/>
        <v>824</v>
      </c>
      <c r="BQ651" s="17">
        <f t="shared" si="360"/>
        <v>831</v>
      </c>
      <c r="BR651" t="str">
        <f t="shared" si="361"/>
        <v>event_team_player_1</v>
      </c>
      <c r="BS651">
        <f>COUNTIFS(S$3:S651,"="&amp;S651,AI$3:AI651,"="&amp;AI651)</f>
        <v>1</v>
      </c>
      <c r="BT651" t="str">
        <f>IFERROR(VLOOKUP(BB651&amp;BU651&amp;X651,game_rosters!U:W,3,FALSE),"")</f>
        <v>P100198</v>
      </c>
      <c r="BU651" t="str">
        <f t="shared" si="362"/>
        <v>Velodrome</v>
      </c>
    </row>
    <row r="652" spans="1:73" x14ac:dyDescent="0.2">
      <c r="A652">
        <f t="shared" si="349"/>
        <v>1</v>
      </c>
      <c r="E652" s="4"/>
      <c r="F652" s="43"/>
      <c r="G652" s="4"/>
      <c r="H652" s="46"/>
      <c r="J652" s="44" t="str">
        <f t="shared" si="363"/>
        <v/>
      </c>
      <c r="K652" t="s">
        <v>9</v>
      </c>
      <c r="L652" t="s">
        <v>173</v>
      </c>
      <c r="M652" t="s">
        <v>365</v>
      </c>
      <c r="N652" t="str">
        <f t="shared" si="334"/>
        <v>u</v>
      </c>
      <c r="Q652" t="str">
        <f t="shared" si="332"/>
        <v/>
      </c>
      <c r="S652">
        <v>345</v>
      </c>
      <c r="U652" t="str">
        <f>IF(B652=1,MAX($U$2:$U651)+1,IF(AND($T652&lt;&gt;"",$T652=$T651),$U651,IF(B652="x",U651,"")))</f>
        <v/>
      </c>
      <c r="V652" t="str">
        <f>IF(C652=1,MAX($V$2:$V651)+1,IF(AND($T652&lt;&gt;"",$T652=$T651),$U651,IF(C652="x",V651,"")))</f>
        <v/>
      </c>
      <c r="W652" t="str">
        <f t="shared" si="338"/>
        <v>a</v>
      </c>
      <c r="X652">
        <v>84</v>
      </c>
      <c r="Y652" t="e">
        <f>IF(X652&lt;&gt;"",VLOOKUP(X652,game_rosters!$C$43:$E$64,3,FALSE))</f>
        <v>#N/A</v>
      </c>
      <c r="Z652" cm="1">
        <f t="array" ref="Z652">IFERROR(IF(_xlfn._xlws.FILTER(game_rosters!$J:$J,(game_rosters!$G:$G=events!$AN652)*(game_rosters!$J:$J=events!$X652))&gt;0,1,""),"")</f>
        <v>1</v>
      </c>
      <c r="AA652">
        <f t="shared" si="339"/>
        <v>1345</v>
      </c>
      <c r="AB652" t="str">
        <f t="shared" si="340"/>
        <v/>
      </c>
      <c r="AC652">
        <f t="shared" si="337"/>
        <v>1345</v>
      </c>
      <c r="AD652" s="6">
        <v>1</v>
      </c>
      <c r="AE652" t="s">
        <v>941</v>
      </c>
      <c r="AF652" t="s">
        <v>920</v>
      </c>
      <c r="AG652" t="s">
        <v>756</v>
      </c>
      <c r="AH652" t="s">
        <v>756</v>
      </c>
      <c r="AI652" t="s">
        <v>367</v>
      </c>
      <c r="AJ652" t="str">
        <f t="shared" si="341"/>
        <v/>
      </c>
      <c r="AK652" t="str">
        <f t="shared" si="341"/>
        <v/>
      </c>
      <c r="AL652" t="str">
        <f t="shared" si="342"/>
        <v/>
      </c>
      <c r="AN652" t="s">
        <v>862</v>
      </c>
      <c r="AO652" t="str">
        <f t="shared" si="343"/>
        <v>a</v>
      </c>
      <c r="AP652" t="str">
        <f t="shared" si="350"/>
        <v/>
      </c>
      <c r="AQ652" t="str">
        <f t="shared" si="351"/>
        <v/>
      </c>
      <c r="AR652" t="str">
        <f t="shared" si="352"/>
        <v>Away</v>
      </c>
      <c r="AS652" t="str">
        <f t="shared" si="353"/>
        <v>a</v>
      </c>
      <c r="AT652" t="str">
        <f t="shared" si="354"/>
        <v>Offensive</v>
      </c>
      <c r="BA652" s="6">
        <f t="shared" si="344"/>
        <v>178</v>
      </c>
      <c r="BB652">
        <f t="shared" si="345"/>
        <v>18981</v>
      </c>
      <c r="BC652" t="str">
        <f t="shared" si="346"/>
        <v>Nelson</v>
      </c>
      <c r="BD652" t="str">
        <f t="shared" si="347"/>
        <v>Velodrome</v>
      </c>
      <c r="BE652" t="s">
        <v>9</v>
      </c>
      <c r="BF652" t="s">
        <v>173</v>
      </c>
      <c r="BG652" t="s">
        <v>365</v>
      </c>
      <c r="BI652" cm="1">
        <f t="array" ref="BI652">IFERROR(_xlfn._xlws.FILTER(shifts!A:A,(shifts!B:B=events!AD652)*(shifts!AG:AG&gt;=events!BK652)*(shifts!AH:AH&lt;=events!BL652)),BI651)</f>
        <v>31</v>
      </c>
      <c r="BJ652" s="15">
        <f t="shared" si="348"/>
        <v>0</v>
      </c>
      <c r="BK652">
        <f t="shared" si="355"/>
        <v>249</v>
      </c>
      <c r="BL652">
        <f t="shared" si="356"/>
        <v>249</v>
      </c>
      <c r="BM652" s="15">
        <f>SUMIFS(BJ$2:BJ652,K$2:K652,"=Intermission")+SUMIFS(BJ$2:BJ652,K$2:K652,"=Timeout")</f>
        <v>0</v>
      </c>
      <c r="BN652">
        <f t="shared" si="357"/>
        <v>0</v>
      </c>
      <c r="BO652" s="19">
        <f t="shared" si="358"/>
        <v>831</v>
      </c>
      <c r="BP652">
        <f t="shared" si="359"/>
        <v>826</v>
      </c>
      <c r="BQ652" s="17">
        <f t="shared" si="360"/>
        <v>831</v>
      </c>
      <c r="BR652" t="str">
        <f t="shared" si="361"/>
        <v>event_team_player_1</v>
      </c>
      <c r="BS652">
        <f>COUNTIFS(S$3:S652,"="&amp;S652,AI$3:AI652,"="&amp;AI652)</f>
        <v>1</v>
      </c>
      <c r="BT652" t="str">
        <f>IFERROR(VLOOKUP(BB652&amp;BU652&amp;X652,game_rosters!U:W,3,FALSE),"")</f>
        <v>P100198</v>
      </c>
      <c r="BU652" t="str">
        <f t="shared" si="362"/>
        <v>Velodrome</v>
      </c>
    </row>
    <row r="653" spans="1:73" x14ac:dyDescent="0.2">
      <c r="A653">
        <f t="shared" si="349"/>
        <v>1</v>
      </c>
      <c r="E653" s="4"/>
      <c r="F653" s="43"/>
      <c r="G653" s="4"/>
      <c r="H653" s="46"/>
      <c r="J653" s="44" t="str">
        <f t="shared" si="363"/>
        <v/>
      </c>
      <c r="K653" t="s">
        <v>238</v>
      </c>
      <c r="L653" t="s">
        <v>193</v>
      </c>
      <c r="M653" t="s">
        <v>91</v>
      </c>
      <c r="N653" t="str">
        <f t="shared" si="334"/>
        <v>s</v>
      </c>
      <c r="Q653" t="str">
        <f t="shared" si="332"/>
        <v/>
      </c>
      <c r="S653">
        <v>346</v>
      </c>
      <c r="U653" t="str">
        <f>IF(B653=1,MAX($U$2:$U652)+1,IF(AND($T653&lt;&gt;"",$T653=$T652),$U652,IF(B653="x",U652,"")))</f>
        <v/>
      </c>
      <c r="V653" t="str">
        <f>IF(C653=1,MAX($V$2:$V652)+1,IF(AND($T653&lt;&gt;"",$T653=$T652),$U652,IF(C653="x",V652,"")))</f>
        <v/>
      </c>
      <c r="W653" t="str">
        <f t="shared" si="338"/>
        <v>h</v>
      </c>
      <c r="X653">
        <v>80</v>
      </c>
      <c r="Y653" t="b">
        <f>IF(X653&lt;&gt;"",VLOOKUP(X653,game_rosters!$C$43:$E$64,3,FALSE))</f>
        <v>0</v>
      </c>
      <c r="Z653" cm="1">
        <f t="array" ref="Z653">IFERROR(IF(_xlfn._xlws.FILTER(game_rosters!$J:$J,(game_rosters!$G:$G=events!$AN653)*(game_rosters!$J:$J=events!$X653))&gt;0,1,""),"")</f>
        <v>1</v>
      </c>
      <c r="AA653">
        <f t="shared" si="339"/>
        <v>1346</v>
      </c>
      <c r="AB653" t="str">
        <f t="shared" si="340"/>
        <v/>
      </c>
      <c r="AC653">
        <f t="shared" si="337"/>
        <v>1346</v>
      </c>
      <c r="AD653" s="6">
        <v>1</v>
      </c>
      <c r="AE653" t="s">
        <v>941</v>
      </c>
      <c r="AF653" t="s">
        <v>920</v>
      </c>
      <c r="AG653" t="s">
        <v>756</v>
      </c>
      <c r="AH653" t="s">
        <v>756</v>
      </c>
      <c r="AI653" t="s">
        <v>367</v>
      </c>
      <c r="AJ653" t="str">
        <f t="shared" si="341"/>
        <v/>
      </c>
      <c r="AK653" t="str">
        <f t="shared" si="341"/>
        <v/>
      </c>
      <c r="AL653" t="str">
        <f t="shared" si="342"/>
        <v/>
      </c>
      <c r="AN653" t="s">
        <v>861</v>
      </c>
      <c r="AO653" t="str">
        <f t="shared" si="343"/>
        <v>h</v>
      </c>
      <c r="AP653" t="str">
        <f t="shared" si="350"/>
        <v/>
      </c>
      <c r="AQ653" t="str">
        <f t="shared" si="351"/>
        <v/>
      </c>
      <c r="AR653" t="str">
        <f t="shared" si="352"/>
        <v>Home</v>
      </c>
      <c r="AS653" t="str">
        <f t="shared" si="353"/>
        <v>h</v>
      </c>
      <c r="AT653" t="str">
        <f t="shared" si="354"/>
        <v>Offensive</v>
      </c>
      <c r="BA653" s="6">
        <f t="shared" si="344"/>
        <v>178</v>
      </c>
      <c r="BB653">
        <f t="shared" si="345"/>
        <v>18981</v>
      </c>
      <c r="BC653" t="str">
        <f t="shared" si="346"/>
        <v>Nelson</v>
      </c>
      <c r="BD653" t="str">
        <f t="shared" si="347"/>
        <v>Velodrome</v>
      </c>
      <c r="BE653" t="s">
        <v>238</v>
      </c>
      <c r="BF653" t="s">
        <v>193</v>
      </c>
      <c r="BG653" t="s">
        <v>91</v>
      </c>
      <c r="BI653" cm="1">
        <f t="array" ref="BI653">IFERROR(_xlfn._xlws.FILTER(shifts!A:A,(shifts!B:B=events!AD653)*(shifts!AG:AG&gt;=events!BK653)*(shifts!AH:AH&lt;=events!BL653)),BI652)</f>
        <v>31</v>
      </c>
      <c r="BJ653" s="15">
        <f t="shared" si="348"/>
        <v>0</v>
      </c>
      <c r="BK653">
        <f t="shared" si="355"/>
        <v>249</v>
      </c>
      <c r="BL653">
        <f t="shared" si="356"/>
        <v>249</v>
      </c>
      <c r="BM653" s="15">
        <f>SUMIFS(BJ$2:BJ653,K$2:K653,"=Intermission")+SUMIFS(BJ$2:BJ653,K$2:K653,"=Timeout")</f>
        <v>0</v>
      </c>
      <c r="BN653">
        <f t="shared" si="357"/>
        <v>0</v>
      </c>
      <c r="BO653" s="19">
        <f t="shared" si="358"/>
        <v>831</v>
      </c>
      <c r="BP653">
        <f t="shared" si="359"/>
        <v>826</v>
      </c>
      <c r="BQ653" s="17">
        <f t="shared" si="360"/>
        <v>831</v>
      </c>
      <c r="BR653" t="str">
        <f t="shared" si="361"/>
        <v>event_team_player_1</v>
      </c>
      <c r="BS653">
        <f>COUNTIFS(S$3:S653,"="&amp;S653,AI$3:AI653,"="&amp;AI653)</f>
        <v>1</v>
      </c>
      <c r="BT653" t="str">
        <f>IFERROR(VLOOKUP(BB653&amp;BU653&amp;X653,game_rosters!U:W,3,FALSE),"")</f>
        <v>P100197</v>
      </c>
      <c r="BU653" t="str">
        <f t="shared" si="362"/>
        <v>Nelson</v>
      </c>
    </row>
    <row r="654" spans="1:73" x14ac:dyDescent="0.2">
      <c r="A654">
        <f t="shared" si="349"/>
        <v>1</v>
      </c>
      <c r="E654" s="4"/>
      <c r="F654" s="43"/>
      <c r="G654" s="4"/>
      <c r="H654" s="46"/>
      <c r="J654" s="44" t="str">
        <f t="shared" si="363"/>
        <v/>
      </c>
      <c r="K654" t="s">
        <v>238</v>
      </c>
      <c r="L654" t="s">
        <v>193</v>
      </c>
      <c r="M654" t="s">
        <v>91</v>
      </c>
      <c r="N654" t="str">
        <f t="shared" si="334"/>
        <v>s</v>
      </c>
      <c r="Q654" t="str">
        <f t="shared" si="332"/>
        <v/>
      </c>
      <c r="S654">
        <v>346</v>
      </c>
      <c r="U654" t="str">
        <f>IF(B654=1,MAX($U$2:$U653)+1,IF(AND($T654&lt;&gt;"",$T654=$T653),$U653,IF(B654="x",U653,"")))</f>
        <v/>
      </c>
      <c r="V654" t="str">
        <f>IF(C654=1,MAX($V$2:$V653)+1,IF(AND($T654&lt;&gt;"",$T654=$T653),$U653,IF(C654="x",V653,"")))</f>
        <v/>
      </c>
      <c r="W654" t="str">
        <f t="shared" si="338"/>
        <v>h</v>
      </c>
      <c r="X654">
        <v>75</v>
      </c>
      <c r="Y654" t="e">
        <f>IF(X654&lt;&gt;"",VLOOKUP(X654,game_rosters!$C$43:$E$64,3,FALSE))</f>
        <v>#N/A</v>
      </c>
      <c r="Z654" t="str" cm="1">
        <f t="array" ref="Z654">IFERROR(IF(_xlfn._xlws.FILTER(game_rosters!$J:$J,(game_rosters!$G:$G=events!$AN654)*(game_rosters!$J:$J=events!$X654))&gt;0,1,""),"")</f>
        <v/>
      </c>
      <c r="AA654">
        <f t="shared" si="339"/>
        <v>1346</v>
      </c>
      <c r="AB654" t="str">
        <f t="shared" si="340"/>
        <v/>
      </c>
      <c r="AC654">
        <f t="shared" si="337"/>
        <v>1346</v>
      </c>
      <c r="AD654" s="6">
        <v>1</v>
      </c>
      <c r="AE654" t="s">
        <v>941</v>
      </c>
      <c r="AF654" t="s">
        <v>920</v>
      </c>
      <c r="AG654" t="s">
        <v>756</v>
      </c>
      <c r="AH654" t="s">
        <v>756</v>
      </c>
      <c r="AI654" t="s">
        <v>368</v>
      </c>
      <c r="AJ654" t="str">
        <f t="shared" si="341"/>
        <v/>
      </c>
      <c r="AK654" t="str">
        <f t="shared" si="341"/>
        <v/>
      </c>
      <c r="AL654" t="str">
        <f t="shared" si="342"/>
        <v/>
      </c>
      <c r="AN654" t="s">
        <v>861</v>
      </c>
      <c r="AO654" t="str">
        <f t="shared" si="343"/>
        <v>h</v>
      </c>
      <c r="AP654" t="str">
        <f t="shared" si="350"/>
        <v/>
      </c>
      <c r="AQ654" t="str">
        <f t="shared" si="351"/>
        <v/>
      </c>
      <c r="AR654" t="str">
        <f t="shared" si="352"/>
        <v>Home</v>
      </c>
      <c r="AS654" t="str">
        <f t="shared" si="353"/>
        <v>h</v>
      </c>
      <c r="AT654" t="str">
        <f t="shared" si="354"/>
        <v>Defensive</v>
      </c>
      <c r="BA654" s="6">
        <f t="shared" si="344"/>
        <v>178</v>
      </c>
      <c r="BB654">
        <f t="shared" si="345"/>
        <v>18981</v>
      </c>
      <c r="BC654" t="str">
        <f t="shared" si="346"/>
        <v>Nelson</v>
      </c>
      <c r="BD654" t="str">
        <f t="shared" si="347"/>
        <v>Velodrome</v>
      </c>
      <c r="BE654" t="s">
        <v>238</v>
      </c>
      <c r="BF654" t="s">
        <v>193</v>
      </c>
      <c r="BG654" t="s">
        <v>91</v>
      </c>
      <c r="BI654" cm="1">
        <f t="array" ref="BI654">IFERROR(_xlfn._xlws.FILTER(shifts!A:A,(shifts!B:B=events!AD654)*(shifts!AG:AG&gt;=events!BK654)*(shifts!AH:AH&lt;=events!BL654)),BI653)</f>
        <v>31</v>
      </c>
      <c r="BJ654" s="15">
        <f t="shared" si="348"/>
        <v>0</v>
      </c>
      <c r="BK654">
        <f t="shared" si="355"/>
        <v>249</v>
      </c>
      <c r="BL654">
        <f t="shared" si="356"/>
        <v>249</v>
      </c>
      <c r="BM654" s="15">
        <f>SUMIFS(BJ$2:BJ654,K$2:K654,"=Intermission")+SUMIFS(BJ$2:BJ654,K$2:K654,"=Timeout")</f>
        <v>0</v>
      </c>
      <c r="BN654">
        <f t="shared" si="357"/>
        <v>0</v>
      </c>
      <c r="BO654" s="19">
        <f t="shared" si="358"/>
        <v>831</v>
      </c>
      <c r="BP654">
        <f t="shared" si="359"/>
        <v>826</v>
      </c>
      <c r="BQ654" s="17">
        <f t="shared" si="360"/>
        <v>831</v>
      </c>
      <c r="BR654" t="str">
        <f t="shared" si="361"/>
        <v>opp_team_player_1</v>
      </c>
      <c r="BS654">
        <f>COUNTIFS(S$3:S654,"="&amp;S654,AI$3:AI654,"="&amp;AI654)</f>
        <v>1</v>
      </c>
      <c r="BT654" t="str">
        <f>IFERROR(VLOOKUP(BB654&amp;BU654&amp;X654,game_rosters!U:W,3,FALSE),"")</f>
        <v>P100039</v>
      </c>
      <c r="BU654" t="str">
        <f t="shared" si="362"/>
        <v>Velodrome</v>
      </c>
    </row>
    <row r="655" spans="1:73" x14ac:dyDescent="0.2">
      <c r="A655">
        <f t="shared" si="349"/>
        <v>1</v>
      </c>
      <c r="E655" s="4"/>
      <c r="F655" s="43"/>
      <c r="G655" s="4"/>
      <c r="H655" s="46"/>
      <c r="J655" s="44" t="str">
        <f t="shared" si="363"/>
        <v/>
      </c>
      <c r="K655" t="s">
        <v>9</v>
      </c>
      <c r="L655" t="s">
        <v>173</v>
      </c>
      <c r="M655" t="s">
        <v>71</v>
      </c>
      <c r="N655" t="str">
        <f t="shared" si="334"/>
        <v>u</v>
      </c>
      <c r="Q655" t="str">
        <f t="shared" si="332"/>
        <v/>
      </c>
      <c r="S655">
        <v>347</v>
      </c>
      <c r="U655" t="str">
        <f>IF(B655=1,MAX($U$2:$U654)+1,IF(AND($T655&lt;&gt;"",$T655=$T654),$U654,IF(B655="x",U654,"")))</f>
        <v/>
      </c>
      <c r="V655" t="str">
        <f>IF(C655=1,MAX($V$2:$V654)+1,IF(AND($T655&lt;&gt;"",$T655=$T654),$U654,IF(C655="x",V654,"")))</f>
        <v/>
      </c>
      <c r="W655" t="str">
        <f t="shared" si="338"/>
        <v>h</v>
      </c>
      <c r="X655">
        <v>80</v>
      </c>
      <c r="Y655" t="b">
        <f>IF(X655&lt;&gt;"",VLOOKUP(X655,game_rosters!$C$43:$E$64,3,FALSE))</f>
        <v>0</v>
      </c>
      <c r="Z655" cm="1">
        <f t="array" ref="Z655">IFERROR(IF(_xlfn._xlws.FILTER(game_rosters!$J:$J,(game_rosters!$G:$G=events!$AN655)*(game_rosters!$J:$J=events!$X655))&gt;0,1,""),"")</f>
        <v>1</v>
      </c>
      <c r="AA655">
        <f t="shared" si="339"/>
        <v>1347</v>
      </c>
      <c r="AB655" t="str">
        <f t="shared" si="340"/>
        <v/>
      </c>
      <c r="AC655">
        <f t="shared" si="337"/>
        <v>1347</v>
      </c>
      <c r="AD655" s="6">
        <v>1</v>
      </c>
      <c r="AE655" t="s">
        <v>941</v>
      </c>
      <c r="AF655" t="s">
        <v>912</v>
      </c>
      <c r="AG655" t="s">
        <v>756</v>
      </c>
      <c r="AH655" t="s">
        <v>756</v>
      </c>
      <c r="AI655" t="s">
        <v>367</v>
      </c>
      <c r="AJ655" t="str">
        <f t="shared" si="341"/>
        <v/>
      </c>
      <c r="AK655" t="str">
        <f t="shared" si="341"/>
        <v/>
      </c>
      <c r="AL655" t="str">
        <f t="shared" si="342"/>
        <v/>
      </c>
      <c r="AN655" t="s">
        <v>861</v>
      </c>
      <c r="AO655" t="str">
        <f t="shared" si="343"/>
        <v>h</v>
      </c>
      <c r="AP655" t="str">
        <f t="shared" si="350"/>
        <v/>
      </c>
      <c r="AQ655" t="str">
        <f t="shared" si="351"/>
        <v/>
      </c>
      <c r="AR655" t="str">
        <f t="shared" si="352"/>
        <v>Home</v>
      </c>
      <c r="AS655" t="str">
        <f t="shared" si="353"/>
        <v>h</v>
      </c>
      <c r="AT655" t="str">
        <f t="shared" si="354"/>
        <v>Offensive</v>
      </c>
      <c r="BA655" s="6">
        <f t="shared" si="344"/>
        <v>178</v>
      </c>
      <c r="BB655">
        <f t="shared" si="345"/>
        <v>18981</v>
      </c>
      <c r="BC655" t="str">
        <f t="shared" si="346"/>
        <v>Nelson</v>
      </c>
      <c r="BD655" t="str">
        <f t="shared" si="347"/>
        <v>Velodrome</v>
      </c>
      <c r="BE655" t="s">
        <v>9</v>
      </c>
      <c r="BF655" t="s">
        <v>173</v>
      </c>
      <c r="BG655" t="s">
        <v>71</v>
      </c>
      <c r="BI655" cm="1">
        <f t="array" ref="BI655">IFERROR(_xlfn._xlws.FILTER(shifts!A:A,(shifts!B:B=events!AD655)*(shifts!AG:AG&gt;=events!BK655)*(shifts!AH:AH&lt;=events!BL655)),BI654)</f>
        <v>31</v>
      </c>
      <c r="BJ655" s="15">
        <f t="shared" si="348"/>
        <v>0</v>
      </c>
      <c r="BK655">
        <f t="shared" si="355"/>
        <v>245</v>
      </c>
      <c r="BL655">
        <f t="shared" si="356"/>
        <v>245</v>
      </c>
      <c r="BM655" s="15">
        <f>SUMIFS(BJ$2:BJ655,K$2:K655,"=Intermission")+SUMIFS(BJ$2:BJ655,K$2:K655,"=Timeout")</f>
        <v>0</v>
      </c>
      <c r="BN655">
        <f t="shared" si="357"/>
        <v>0</v>
      </c>
      <c r="BO655" s="19">
        <f t="shared" si="358"/>
        <v>835</v>
      </c>
      <c r="BP655">
        <f t="shared" si="359"/>
        <v>830</v>
      </c>
      <c r="BQ655" s="17">
        <f t="shared" si="360"/>
        <v>835</v>
      </c>
      <c r="BR655" t="str">
        <f t="shared" si="361"/>
        <v>event_team_player_1</v>
      </c>
      <c r="BS655">
        <f>COUNTIFS(S$3:S655,"="&amp;S655,AI$3:AI655,"="&amp;AI655)</f>
        <v>1</v>
      </c>
      <c r="BT655" t="str">
        <f>IFERROR(VLOOKUP(BB655&amp;BU655&amp;X655,game_rosters!U:W,3,FALSE),"")</f>
        <v>P100197</v>
      </c>
      <c r="BU655" t="str">
        <f t="shared" si="362"/>
        <v>Nelson</v>
      </c>
    </row>
    <row r="656" spans="1:73" x14ac:dyDescent="0.2">
      <c r="A656">
        <f t="shared" si="349"/>
        <v>1</v>
      </c>
      <c r="E656" s="4"/>
      <c r="F656" s="43"/>
      <c r="G656" s="4"/>
      <c r="H656" s="46"/>
      <c r="J656" s="44" t="str">
        <f t="shared" si="363"/>
        <v>d</v>
      </c>
      <c r="K656" t="s">
        <v>238</v>
      </c>
      <c r="L656" t="s">
        <v>184</v>
      </c>
      <c r="M656" t="s">
        <v>88</v>
      </c>
      <c r="N656" t="str">
        <f t="shared" si="334"/>
        <v>s</v>
      </c>
      <c r="Q656" t="str">
        <f t="shared" ref="Q656:Q719" si="364">IF(O656="","",IF(AND(N656&lt;&gt;"",OR(O656&lt;&gt;"",P656&lt;&gt;"")),N656,IF(OR(ISNUMBER(SEARCH("attemp",O656)),ISNUMBER(SEARCH("beat",O656)),ISNUMBER(SEARCH("mis",O656)),ISNUMBER(SEARCH("fail",O656)),ISNUMBER(SEARCH("loss",O656)),ISNUMBER(SEARCH("lost",O656)),ISNUMBER(SEARCH("attemp",P656)),ISNUMBER(SEARCH("mis",P656)),ISNUMBER(SEARCH("fail",P656)),ISNUMBER(SEARCH("loss",P656)),ISNUMBER(SEARCH("beat",P656)),ISNUMBER(SEARCH("lost",P656))),"u","")))</f>
        <v/>
      </c>
      <c r="S656">
        <v>348</v>
      </c>
      <c r="U656" t="str">
        <f>IF(B656=1,MAX($U$2:$U655)+1,IF(AND($T656&lt;&gt;"",$T656=$T655),$U655,IF(B656="x",U655,"")))</f>
        <v/>
      </c>
      <c r="V656" t="str">
        <f>IF(C656=1,MAX($V$2:$V655)+1,IF(AND($T656&lt;&gt;"",$T656=$T655),$U655,IF(C656="x",V655,"")))</f>
        <v/>
      </c>
      <c r="W656" t="str">
        <f t="shared" si="338"/>
        <v>a</v>
      </c>
      <c r="X656">
        <v>70</v>
      </c>
      <c r="Y656" t="e">
        <f>IF(X656&lt;&gt;"",VLOOKUP(X656,game_rosters!$C$43:$E$64,3,FALSE))</f>
        <v>#N/A</v>
      </c>
      <c r="Z656" cm="1">
        <f t="array" ref="Z656">IFERROR(IF(_xlfn._xlws.FILTER(game_rosters!$J:$J,(game_rosters!$G:$G=events!$AN656)*(game_rosters!$J:$J=events!$X656))&gt;0,1,""),"")</f>
        <v>1</v>
      </c>
      <c r="AA656">
        <f t="shared" si="339"/>
        <v>1348</v>
      </c>
      <c r="AB656" t="str">
        <f t="shared" si="340"/>
        <v/>
      </c>
      <c r="AC656">
        <f t="shared" si="337"/>
        <v>1348</v>
      </c>
      <c r="AD656" s="6">
        <v>1</v>
      </c>
      <c r="AE656" t="s">
        <v>941</v>
      </c>
      <c r="AF656" t="s">
        <v>912</v>
      </c>
      <c r="AG656" t="s">
        <v>941</v>
      </c>
      <c r="AH656" t="s">
        <v>931</v>
      </c>
      <c r="AI656" t="s">
        <v>367</v>
      </c>
      <c r="AJ656" t="str">
        <f t="shared" si="341"/>
        <v>d</v>
      </c>
      <c r="AK656" t="str">
        <f t="shared" si="341"/>
        <v>d</v>
      </c>
      <c r="AL656" t="str">
        <f t="shared" si="342"/>
        <v>o</v>
      </c>
      <c r="AN656" t="s">
        <v>862</v>
      </c>
      <c r="AO656" t="str">
        <f t="shared" si="343"/>
        <v>a</v>
      </c>
      <c r="AP656" t="str">
        <f t="shared" si="350"/>
        <v>o</v>
      </c>
      <c r="AQ656" t="str">
        <f t="shared" si="351"/>
        <v/>
      </c>
      <c r="AR656" t="str">
        <f t="shared" si="352"/>
        <v>Away</v>
      </c>
      <c r="AS656" t="str">
        <f t="shared" si="353"/>
        <v>a</v>
      </c>
      <c r="AT656" t="str">
        <f t="shared" si="354"/>
        <v>Offensive</v>
      </c>
      <c r="BA656" s="6">
        <f t="shared" si="344"/>
        <v>179</v>
      </c>
      <c r="BB656">
        <f t="shared" si="345"/>
        <v>18981</v>
      </c>
      <c r="BC656" t="str">
        <f t="shared" si="346"/>
        <v>Nelson</v>
      </c>
      <c r="BD656" t="str">
        <f t="shared" si="347"/>
        <v>Velodrome</v>
      </c>
      <c r="BE656" t="s">
        <v>238</v>
      </c>
      <c r="BF656" t="s">
        <v>184</v>
      </c>
      <c r="BG656" t="s">
        <v>88</v>
      </c>
      <c r="BI656" cm="1">
        <f t="array" ref="BI656">IFERROR(_xlfn._xlws.FILTER(shifts!A:A,(shifts!B:B=events!AD656)*(shifts!AG:AG&gt;=events!BK656)*(shifts!AH:AH&lt;=events!BL656)),BI655)</f>
        <v>31</v>
      </c>
      <c r="BJ656" s="15">
        <f t="shared" si="348"/>
        <v>1</v>
      </c>
      <c r="BK656">
        <f t="shared" si="355"/>
        <v>245</v>
      </c>
      <c r="BL656">
        <f t="shared" si="356"/>
        <v>244</v>
      </c>
      <c r="BM656" s="15">
        <f>SUMIFS(BJ$2:BJ656,K$2:K656,"=Intermission")+SUMIFS(BJ$2:BJ656,K$2:K656,"=Timeout")</f>
        <v>0</v>
      </c>
      <c r="BN656">
        <f t="shared" si="357"/>
        <v>0</v>
      </c>
      <c r="BO656" s="19">
        <f t="shared" si="358"/>
        <v>835</v>
      </c>
      <c r="BP656">
        <f t="shared" si="359"/>
        <v>830</v>
      </c>
      <c r="BQ656" s="17">
        <f t="shared" si="360"/>
        <v>836</v>
      </c>
      <c r="BR656" t="str">
        <f t="shared" si="361"/>
        <v>event_team_player_1</v>
      </c>
      <c r="BS656">
        <f>COUNTIFS(S$3:S656,"="&amp;S656,AI$3:AI656,"="&amp;AI656)</f>
        <v>1</v>
      </c>
      <c r="BT656" t="str">
        <f>IFERROR(VLOOKUP(BB656&amp;BU656&amp;X656,game_rosters!U:W,3,FALSE),"")</f>
        <v>P100001</v>
      </c>
      <c r="BU656" t="str">
        <f t="shared" si="362"/>
        <v>Velodrome</v>
      </c>
    </row>
    <row r="657" spans="1:73" x14ac:dyDescent="0.2">
      <c r="A657">
        <f t="shared" si="349"/>
        <v>1</v>
      </c>
      <c r="E657" s="4"/>
      <c r="F657" s="43"/>
      <c r="G657" s="4"/>
      <c r="H657" s="46"/>
      <c r="J657" s="44" t="str">
        <f t="shared" si="363"/>
        <v/>
      </c>
      <c r="K657" t="s">
        <v>13</v>
      </c>
      <c r="L657" t="s">
        <v>756</v>
      </c>
      <c r="M657" t="s">
        <v>756</v>
      </c>
      <c r="N657" t="str">
        <f t="shared" si="334"/>
        <v/>
      </c>
      <c r="Q657" t="str">
        <f t="shared" si="364"/>
        <v/>
      </c>
      <c r="S657">
        <v>349</v>
      </c>
      <c r="U657" t="str">
        <f>IF(B657=1,MAX($U$2:$U656)+1,IF(AND($T657&lt;&gt;"",$T657=$T656),$U656,IF(B657="x",U656,"")))</f>
        <v/>
      </c>
      <c r="V657" t="str">
        <f>IF(C657=1,MAX($V$2:$V656)+1,IF(AND($T657&lt;&gt;"",$T657=$T656),$U656,IF(C657="x",V656,"")))</f>
        <v/>
      </c>
      <c r="W657" t="str">
        <f t="shared" si="338"/>
        <v>a</v>
      </c>
      <c r="X657">
        <v>70</v>
      </c>
      <c r="Y657" t="e">
        <f>IF(X657&lt;&gt;"",VLOOKUP(X657,game_rosters!$C$43:$E$64,3,FALSE))</f>
        <v>#N/A</v>
      </c>
      <c r="Z657" cm="1">
        <f t="array" ref="Z657">IFERROR(IF(_xlfn._xlws.FILTER(game_rosters!$J:$J,(game_rosters!$G:$G=events!$AN657)*(game_rosters!$J:$J=events!$X657))&gt;0,1,""),"")</f>
        <v>1</v>
      </c>
      <c r="AA657">
        <f t="shared" si="339"/>
        <v>1349</v>
      </c>
      <c r="AB657" t="str">
        <f t="shared" si="340"/>
        <v/>
      </c>
      <c r="AC657">
        <f t="shared" si="337"/>
        <v>1349</v>
      </c>
      <c r="AD657" s="6">
        <v>1</v>
      </c>
      <c r="AE657" t="s">
        <v>941</v>
      </c>
      <c r="AF657" t="s">
        <v>931</v>
      </c>
      <c r="AG657" t="s">
        <v>941</v>
      </c>
      <c r="AH657" t="s">
        <v>748</v>
      </c>
      <c r="AI657" t="s">
        <v>367</v>
      </c>
      <c r="AJ657" t="str">
        <f t="shared" si="341"/>
        <v/>
      </c>
      <c r="AK657" t="str">
        <f t="shared" si="341"/>
        <v/>
      </c>
      <c r="AL657" t="str">
        <f t="shared" si="342"/>
        <v/>
      </c>
      <c r="AN657" t="s">
        <v>862</v>
      </c>
      <c r="AO657" t="str">
        <f t="shared" si="343"/>
        <v>a</v>
      </c>
      <c r="AP657" t="str">
        <f t="shared" si="350"/>
        <v/>
      </c>
      <c r="AQ657" t="str">
        <f t="shared" si="351"/>
        <v/>
      </c>
      <c r="AR657" t="str">
        <f t="shared" si="352"/>
        <v>Away</v>
      </c>
      <c r="AS657" t="str">
        <f t="shared" si="353"/>
        <v>a</v>
      </c>
      <c r="AT657" t="str">
        <f t="shared" si="354"/>
        <v>Offensive</v>
      </c>
      <c r="BA657" s="6">
        <f t="shared" si="344"/>
        <v>179</v>
      </c>
      <c r="BB657">
        <f t="shared" si="345"/>
        <v>18981</v>
      </c>
      <c r="BC657" t="str">
        <f t="shared" si="346"/>
        <v>Nelson</v>
      </c>
      <c r="BD657" t="str">
        <f t="shared" si="347"/>
        <v>Velodrome</v>
      </c>
      <c r="BE657" t="s">
        <v>13</v>
      </c>
      <c r="BF657" t="s">
        <v>756</v>
      </c>
      <c r="BG657" t="s">
        <v>756</v>
      </c>
      <c r="BI657" cm="1">
        <f t="array" ref="BI657">IFERROR(_xlfn._xlws.FILTER(shifts!A:A,(shifts!B:B=events!AD657)*(shifts!AG:AG&gt;=events!BK657)*(shifts!AH:AH&lt;=events!BL657)),BI656)</f>
        <v>31</v>
      </c>
      <c r="BJ657" s="15">
        <f t="shared" si="348"/>
        <v>3</v>
      </c>
      <c r="BK657">
        <f t="shared" si="355"/>
        <v>244</v>
      </c>
      <c r="BL657">
        <f t="shared" si="356"/>
        <v>241</v>
      </c>
      <c r="BM657" s="15">
        <f>SUMIFS(BJ$2:BJ657,K$2:K657,"=Intermission")+SUMIFS(BJ$2:BJ657,K$2:K657,"=Timeout")</f>
        <v>0</v>
      </c>
      <c r="BN657">
        <f t="shared" si="357"/>
        <v>0</v>
      </c>
      <c r="BO657" s="19">
        <f t="shared" si="358"/>
        <v>836</v>
      </c>
      <c r="BP657">
        <f t="shared" si="359"/>
        <v>831</v>
      </c>
      <c r="BQ657" s="17">
        <f t="shared" si="360"/>
        <v>839</v>
      </c>
      <c r="BR657" t="str">
        <f t="shared" si="361"/>
        <v>event_team_player_1</v>
      </c>
      <c r="BS657">
        <f>COUNTIFS(S$3:S657,"="&amp;S657,AI$3:AI657,"="&amp;AI657)</f>
        <v>1</v>
      </c>
      <c r="BT657" t="str">
        <f>IFERROR(VLOOKUP(BB657&amp;BU657&amp;X657,game_rosters!U:W,3,FALSE),"")</f>
        <v>P100001</v>
      </c>
      <c r="BU657" t="str">
        <f t="shared" si="362"/>
        <v>Velodrome</v>
      </c>
    </row>
    <row r="658" spans="1:73" x14ac:dyDescent="0.2">
      <c r="A658">
        <f t="shared" si="349"/>
        <v>1</v>
      </c>
      <c r="E658" s="4"/>
      <c r="F658" s="43"/>
      <c r="G658" s="4"/>
      <c r="H658" s="46"/>
      <c r="J658" s="44" t="str">
        <f t="shared" si="363"/>
        <v>o</v>
      </c>
      <c r="K658" t="s">
        <v>238</v>
      </c>
      <c r="L658" t="s">
        <v>174</v>
      </c>
      <c r="M658" t="s">
        <v>85</v>
      </c>
      <c r="N658" t="str">
        <f t="shared" si="334"/>
        <v>s</v>
      </c>
      <c r="Q658" t="str">
        <f t="shared" si="364"/>
        <v/>
      </c>
      <c r="S658">
        <v>350</v>
      </c>
      <c r="U658" t="str">
        <f>IF(B658=1,MAX($U$2:$U657)+1,IF(AND($T658&lt;&gt;"",$T658=$T657),$U657,IF(B658="x",U657,"")))</f>
        <v/>
      </c>
      <c r="V658" t="str">
        <f>IF(C658=1,MAX($V$2:$V657)+1,IF(AND($T658&lt;&gt;"",$T658=$T657),$U657,IF(C658="x",V657,"")))</f>
        <v/>
      </c>
      <c r="W658" t="str">
        <f t="shared" si="338"/>
        <v>a</v>
      </c>
      <c r="X658">
        <v>70</v>
      </c>
      <c r="Y658" t="e">
        <f>IF(X658&lt;&gt;"",VLOOKUP(X658,game_rosters!$C$43:$E$64,3,FALSE))</f>
        <v>#N/A</v>
      </c>
      <c r="Z658" cm="1">
        <f t="array" ref="Z658">IFERROR(IF(_xlfn._xlws.FILTER(game_rosters!$J:$J,(game_rosters!$G:$G=events!$AN658)*(game_rosters!$J:$J=events!$X658))&gt;0,1,""),"")</f>
        <v>1</v>
      </c>
      <c r="AA658">
        <f t="shared" si="339"/>
        <v>1350</v>
      </c>
      <c r="AB658" t="str">
        <f t="shared" si="340"/>
        <v/>
      </c>
      <c r="AC658">
        <f t="shared" si="337"/>
        <v>1350</v>
      </c>
      <c r="AD658" s="6">
        <v>1</v>
      </c>
      <c r="AE658" t="s">
        <v>941</v>
      </c>
      <c r="AF658" t="s">
        <v>748</v>
      </c>
      <c r="AG658" t="s">
        <v>940</v>
      </c>
      <c r="AH658" t="s">
        <v>896</v>
      </c>
      <c r="AI658" t="s">
        <v>367</v>
      </c>
      <c r="AJ658" t="str">
        <f t="shared" si="341"/>
        <v>o</v>
      </c>
      <c r="AK658" t="str">
        <f t="shared" si="341"/>
        <v>o</v>
      </c>
      <c r="AL658" t="str">
        <f t="shared" si="342"/>
        <v>d</v>
      </c>
      <c r="AN658" t="s">
        <v>862</v>
      </c>
      <c r="AO658" t="str">
        <f t="shared" si="343"/>
        <v>a</v>
      </c>
      <c r="AP658" t="str">
        <f t="shared" si="350"/>
        <v>d</v>
      </c>
      <c r="AQ658" t="str">
        <f t="shared" si="351"/>
        <v/>
      </c>
      <c r="AR658" t="str">
        <f t="shared" si="352"/>
        <v>Away</v>
      </c>
      <c r="AS658" t="str">
        <f t="shared" si="353"/>
        <v>a</v>
      </c>
      <c r="AT658" t="str">
        <f t="shared" si="354"/>
        <v>Offensive</v>
      </c>
      <c r="BA658" s="6">
        <f t="shared" si="344"/>
        <v>180</v>
      </c>
      <c r="BB658">
        <f t="shared" si="345"/>
        <v>18981</v>
      </c>
      <c r="BC658" t="str">
        <f t="shared" si="346"/>
        <v>Nelson</v>
      </c>
      <c r="BD658" t="str">
        <f t="shared" si="347"/>
        <v>Velodrome</v>
      </c>
      <c r="BE658" t="s">
        <v>238</v>
      </c>
      <c r="BF658" t="s">
        <v>174</v>
      </c>
      <c r="BG658" t="s">
        <v>85</v>
      </c>
      <c r="BI658" cm="1">
        <f t="array" ref="BI658">IFERROR(_xlfn._xlws.FILTER(shifts!A:A,(shifts!B:B=events!AD658)*(shifts!AG:AG&gt;=events!BK658)*(shifts!AH:AH&lt;=events!BL658)),BI657)</f>
        <v>31</v>
      </c>
      <c r="BJ658" s="15">
        <f t="shared" si="348"/>
        <v>2</v>
      </c>
      <c r="BK658">
        <f t="shared" si="355"/>
        <v>241</v>
      </c>
      <c r="BL658">
        <f t="shared" si="356"/>
        <v>239</v>
      </c>
      <c r="BM658" s="15">
        <f>SUMIFS(BJ$2:BJ658,K$2:K658,"=Intermission")+SUMIFS(BJ$2:BJ658,K$2:K658,"=Timeout")</f>
        <v>0</v>
      </c>
      <c r="BN658">
        <f t="shared" si="357"/>
        <v>0</v>
      </c>
      <c r="BO658" s="19">
        <f t="shared" si="358"/>
        <v>839</v>
      </c>
      <c r="BP658">
        <f t="shared" si="359"/>
        <v>834</v>
      </c>
      <c r="BQ658" s="17">
        <f t="shared" si="360"/>
        <v>841</v>
      </c>
      <c r="BR658" t="str">
        <f t="shared" si="361"/>
        <v>event_team_player_1</v>
      </c>
      <c r="BS658">
        <f>COUNTIFS(S$3:S658,"="&amp;S658,AI$3:AI658,"="&amp;AI658)</f>
        <v>1</v>
      </c>
      <c r="BT658" t="str">
        <f>IFERROR(VLOOKUP(BB658&amp;BU658&amp;X658,game_rosters!U:W,3,FALSE),"")</f>
        <v>P100001</v>
      </c>
      <c r="BU658" t="str">
        <f t="shared" si="362"/>
        <v>Velodrome</v>
      </c>
    </row>
    <row r="659" spans="1:73" x14ac:dyDescent="0.2">
      <c r="A659">
        <f t="shared" si="349"/>
        <v>1</v>
      </c>
      <c r="E659" s="4"/>
      <c r="F659" s="43"/>
      <c r="G659" s="4"/>
      <c r="H659" s="46"/>
      <c r="J659" s="44" t="str">
        <f t="shared" si="363"/>
        <v>o</v>
      </c>
      <c r="K659" t="s">
        <v>238</v>
      </c>
      <c r="L659" t="s">
        <v>174</v>
      </c>
      <c r="M659" t="s">
        <v>85</v>
      </c>
      <c r="N659" t="str">
        <f t="shared" si="334"/>
        <v>s</v>
      </c>
      <c r="Q659" t="str">
        <f t="shared" si="364"/>
        <v/>
      </c>
      <c r="S659">
        <v>350</v>
      </c>
      <c r="U659" t="str">
        <f>IF(B659=1,MAX($U$2:$U658)+1,IF(AND($T659&lt;&gt;"",$T659=$T658),$U658,IF(B659="x",U658,"")))</f>
        <v/>
      </c>
      <c r="V659" t="str">
        <f>IF(C659=1,MAX($V$2:$V658)+1,IF(AND($T659&lt;&gt;"",$T659=$T658),$U658,IF(C659="x",V658,"")))</f>
        <v/>
      </c>
      <c r="W659" t="str">
        <f t="shared" si="338"/>
        <v>a</v>
      </c>
      <c r="X659">
        <v>75</v>
      </c>
      <c r="Y659" t="e">
        <f>IF(X659&lt;&gt;"",VLOOKUP(X659,game_rosters!$C$43:$E$64,3,FALSE))</f>
        <v>#N/A</v>
      </c>
      <c r="Z659" cm="1">
        <f t="array" ref="Z659">IFERROR(IF(_xlfn._xlws.FILTER(game_rosters!$J:$J,(game_rosters!$G:$G=events!$AN659)*(game_rosters!$J:$J=events!$X659))&gt;0,1,""),"")</f>
        <v>1</v>
      </c>
      <c r="AA659">
        <f t="shared" si="339"/>
        <v>1350</v>
      </c>
      <c r="AB659" t="str">
        <f t="shared" si="340"/>
        <v/>
      </c>
      <c r="AC659">
        <f t="shared" si="337"/>
        <v>1350</v>
      </c>
      <c r="AD659" s="6">
        <v>1</v>
      </c>
      <c r="AE659" t="s">
        <v>941</v>
      </c>
      <c r="AF659" t="s">
        <v>748</v>
      </c>
      <c r="AG659" t="s">
        <v>940</v>
      </c>
      <c r="AH659" t="s">
        <v>896</v>
      </c>
      <c r="AI659" t="s">
        <v>367</v>
      </c>
      <c r="AJ659" t="str">
        <f t="shared" si="341"/>
        <v>o</v>
      </c>
      <c r="AK659" t="str">
        <f t="shared" si="341"/>
        <v>o</v>
      </c>
      <c r="AL659" t="str">
        <f t="shared" si="342"/>
        <v>d</v>
      </c>
      <c r="AN659" t="s">
        <v>862</v>
      </c>
      <c r="AO659" t="str">
        <f t="shared" si="343"/>
        <v>a</v>
      </c>
      <c r="AP659" t="str">
        <f t="shared" si="350"/>
        <v>d</v>
      </c>
      <c r="AQ659" t="str">
        <f t="shared" si="351"/>
        <v/>
      </c>
      <c r="AR659" t="str">
        <f t="shared" si="352"/>
        <v>Away</v>
      </c>
      <c r="AS659" t="str">
        <f t="shared" si="353"/>
        <v>a</v>
      </c>
      <c r="AT659" t="str">
        <f t="shared" si="354"/>
        <v>Offensive</v>
      </c>
      <c r="BA659" s="6">
        <f t="shared" si="344"/>
        <v>181</v>
      </c>
      <c r="BB659">
        <f t="shared" si="345"/>
        <v>18981</v>
      </c>
      <c r="BC659" t="str">
        <f t="shared" si="346"/>
        <v>Nelson</v>
      </c>
      <c r="BD659" t="str">
        <f t="shared" si="347"/>
        <v>Velodrome</v>
      </c>
      <c r="BE659" t="s">
        <v>238</v>
      </c>
      <c r="BF659" t="s">
        <v>174</v>
      </c>
      <c r="BG659" t="s">
        <v>85</v>
      </c>
      <c r="BI659" cm="1">
        <f t="array" ref="BI659">IFERROR(_xlfn._xlws.FILTER(shifts!A:A,(shifts!B:B=events!AD659)*(shifts!AG:AG&gt;=events!BK659)*(shifts!AH:AH&lt;=events!BL659)),BI658)</f>
        <v>31</v>
      </c>
      <c r="BJ659" s="15">
        <f t="shared" si="348"/>
        <v>2</v>
      </c>
      <c r="BK659">
        <f t="shared" si="355"/>
        <v>241</v>
      </c>
      <c r="BL659">
        <f t="shared" si="356"/>
        <v>239</v>
      </c>
      <c r="BM659" s="15">
        <f>SUMIFS(BJ$2:BJ659,K$2:K659,"=Intermission")+SUMIFS(BJ$2:BJ659,K$2:K659,"=Timeout")</f>
        <v>0</v>
      </c>
      <c r="BN659">
        <f t="shared" si="357"/>
        <v>0</v>
      </c>
      <c r="BO659" s="19">
        <f t="shared" si="358"/>
        <v>839</v>
      </c>
      <c r="BP659">
        <f t="shared" si="359"/>
        <v>834</v>
      </c>
      <c r="BQ659" s="17">
        <f t="shared" si="360"/>
        <v>841</v>
      </c>
      <c r="BR659" t="str">
        <f t="shared" si="361"/>
        <v>event_team_player_2</v>
      </c>
      <c r="BS659">
        <f>COUNTIFS(S$3:S659,"="&amp;S659,AI$3:AI659,"="&amp;AI659)</f>
        <v>2</v>
      </c>
      <c r="BT659" t="str">
        <f>IFERROR(VLOOKUP(BB659&amp;BU659&amp;X659,game_rosters!U:W,3,FALSE),"")</f>
        <v>P100039</v>
      </c>
      <c r="BU659" t="str">
        <f t="shared" si="362"/>
        <v>Velodrome</v>
      </c>
    </row>
    <row r="660" spans="1:73" x14ac:dyDescent="0.2">
      <c r="A660">
        <f t="shared" si="349"/>
        <v>1</v>
      </c>
      <c r="E660" s="4"/>
      <c r="F660" s="43"/>
      <c r="G660" s="4"/>
      <c r="H660" s="46"/>
      <c r="J660" s="44" t="str">
        <f t="shared" si="363"/>
        <v>o</v>
      </c>
      <c r="K660" t="s">
        <v>238</v>
      </c>
      <c r="L660" t="s">
        <v>174</v>
      </c>
      <c r="M660" t="s">
        <v>85</v>
      </c>
      <c r="N660" t="str">
        <f t="shared" si="334"/>
        <v>s</v>
      </c>
      <c r="Q660" t="str">
        <f t="shared" si="364"/>
        <v/>
      </c>
      <c r="S660">
        <v>350</v>
      </c>
      <c r="U660" t="str">
        <f>IF(B660=1,MAX($U$2:$U659)+1,IF(AND($T660&lt;&gt;"",$T660=$T659),$U659,IF(B660="x",U659,"")))</f>
        <v/>
      </c>
      <c r="V660" t="str">
        <f>IF(C660=1,MAX($V$2:$V659)+1,IF(AND($T660&lt;&gt;"",$T660=$T659),$U659,IF(C660="x",V659,"")))</f>
        <v/>
      </c>
      <c r="W660" t="str">
        <f t="shared" si="338"/>
        <v>a</v>
      </c>
      <c r="X660">
        <v>8</v>
      </c>
      <c r="Y660" t="b">
        <f>IF(X660&lt;&gt;"",VLOOKUP(X660,game_rosters!$C$43:$E$64,3,FALSE))</f>
        <v>0</v>
      </c>
      <c r="Z660" t="str" cm="1">
        <f t="array" ref="Z660">IFERROR(IF(_xlfn._xlws.FILTER(game_rosters!$J:$J,(game_rosters!$G:$G=events!$AN660)*(game_rosters!$J:$J=events!$X660))&gt;0,1,""),"")</f>
        <v/>
      </c>
      <c r="AA660">
        <f t="shared" si="339"/>
        <v>1350</v>
      </c>
      <c r="AB660" t="str">
        <f t="shared" si="340"/>
        <v/>
      </c>
      <c r="AC660">
        <f t="shared" si="337"/>
        <v>1350</v>
      </c>
      <c r="AD660" s="6">
        <v>1</v>
      </c>
      <c r="AE660" t="s">
        <v>941</v>
      </c>
      <c r="AF660" t="s">
        <v>748</v>
      </c>
      <c r="AG660" t="s">
        <v>940</v>
      </c>
      <c r="AH660" t="s">
        <v>896</v>
      </c>
      <c r="AI660" t="s">
        <v>368</v>
      </c>
      <c r="AJ660" t="str">
        <f t="shared" ref="AJ660:AK675" si="365">IF($J660&lt;&gt;"",$J660,IF($AC660=$AC659,AJ659,""))</f>
        <v>o</v>
      </c>
      <c r="AK660" t="str">
        <f t="shared" si="365"/>
        <v>o</v>
      </c>
      <c r="AL660" t="str">
        <f t="shared" si="342"/>
        <v>d</v>
      </c>
      <c r="AN660" t="s">
        <v>862</v>
      </c>
      <c r="AO660" t="str">
        <f t="shared" si="343"/>
        <v>a</v>
      </c>
      <c r="AP660" t="str">
        <f t="shared" si="350"/>
        <v>d</v>
      </c>
      <c r="AQ660" t="str">
        <f t="shared" si="351"/>
        <v/>
      </c>
      <c r="AR660" t="str">
        <f t="shared" si="352"/>
        <v>Away</v>
      </c>
      <c r="AS660" t="str">
        <f t="shared" si="353"/>
        <v>a</v>
      </c>
      <c r="AT660" t="str">
        <f t="shared" si="354"/>
        <v>Defensive</v>
      </c>
      <c r="BA660" s="6">
        <f t="shared" si="344"/>
        <v>182</v>
      </c>
      <c r="BB660">
        <f t="shared" si="345"/>
        <v>18981</v>
      </c>
      <c r="BC660" t="str">
        <f t="shared" si="346"/>
        <v>Nelson</v>
      </c>
      <c r="BD660" t="str">
        <f t="shared" si="347"/>
        <v>Velodrome</v>
      </c>
      <c r="BE660" t="s">
        <v>238</v>
      </c>
      <c r="BF660" t="s">
        <v>174</v>
      </c>
      <c r="BG660" t="s">
        <v>85</v>
      </c>
      <c r="BI660" cm="1">
        <f t="array" ref="BI660">IFERROR(_xlfn._xlws.FILTER(shifts!A:A,(shifts!B:B=events!AD660)*(shifts!AG:AG&gt;=events!BK660)*(shifts!AH:AH&lt;=events!BL660)),BI659)</f>
        <v>31</v>
      </c>
      <c r="BJ660" s="15">
        <f t="shared" si="348"/>
        <v>2</v>
      </c>
      <c r="BK660">
        <f t="shared" si="355"/>
        <v>241</v>
      </c>
      <c r="BL660">
        <f t="shared" si="356"/>
        <v>239</v>
      </c>
      <c r="BM660" s="15">
        <f>SUMIFS(BJ$2:BJ660,K$2:K660,"=Intermission")+SUMIFS(BJ$2:BJ660,K$2:K660,"=Timeout")</f>
        <v>0</v>
      </c>
      <c r="BN660">
        <f t="shared" si="357"/>
        <v>0</v>
      </c>
      <c r="BO660" s="19">
        <f t="shared" si="358"/>
        <v>839</v>
      </c>
      <c r="BP660">
        <f t="shared" si="359"/>
        <v>834</v>
      </c>
      <c r="BQ660" s="17">
        <f t="shared" si="360"/>
        <v>841</v>
      </c>
      <c r="BR660" t="str">
        <f t="shared" si="361"/>
        <v>opp_team_player_1</v>
      </c>
      <c r="BS660">
        <f>COUNTIFS(S$3:S660,"="&amp;S660,AI$3:AI660,"="&amp;AI660)</f>
        <v>1</v>
      </c>
      <c r="BT660" t="str">
        <f>IFERROR(VLOOKUP(BB660&amp;BU660&amp;X660,game_rosters!U:W,3,FALSE),"")</f>
        <v>P100074</v>
      </c>
      <c r="BU660" t="str">
        <f t="shared" si="362"/>
        <v>Nelson</v>
      </c>
    </row>
    <row r="661" spans="1:73" x14ac:dyDescent="0.2">
      <c r="A661">
        <f t="shared" si="349"/>
        <v>1</v>
      </c>
      <c r="E661" s="4"/>
      <c r="F661" s="43"/>
      <c r="G661" s="4"/>
      <c r="H661" s="46"/>
      <c r="J661" s="44" t="str">
        <f t="shared" si="363"/>
        <v>o</v>
      </c>
      <c r="K661" t="s">
        <v>238</v>
      </c>
      <c r="L661" t="s">
        <v>174</v>
      </c>
      <c r="M661" t="s">
        <v>85</v>
      </c>
      <c r="N661" t="str">
        <f t="shared" ref="N661:N724" si="366">IF(K661="","",IF(K661="Goal","s",IF(AND(K661="Zone_Entry_Exit",OR(ISNUMBER(SEARCH("fail",L661)),ISNUMBER(SEARCH("FromExitClear",M661)),ISNUMBER(SEARCH("miss",M661)))),"u",IF(AND(K661="Zone_Entry_Exit",OR(NOT(ISNUMBER(SEARCH("fail",L661))),NOT(ISNUMBER(SEARCH("FromExitClear",M661))),NOT(ISNUMBER(SEARCH("miss",M661))))),"s",IF(AND(OR(K661="Shot",K661="Pass"),OR(ISNUMBER(SEARCH("complete",L661)),ISNUMBER(SEARCH("goal",L661)),ISNUMBER(SEARCH("OnNet",L661)))),"s",IF(L661="Turnover_Giveaway","u",IF(AND(OR(K661="Shot",K661="Pass"),OR(ISNUMBER(SEARCH("fail",L661)),NOT(ISNUMBER(SEARCH("complete",L661))),NOT(ISNUMBER(SEARCH("OnNet",L661))))),"u","")))))))</f>
        <v>s</v>
      </c>
      <c r="Q661" t="str">
        <f t="shared" si="364"/>
        <v/>
      </c>
      <c r="S661">
        <v>350</v>
      </c>
      <c r="U661" t="str">
        <f>IF(B661=1,MAX($U$2:$U660)+1,IF(AND($T661&lt;&gt;"",$T661=$T660),$U660,IF(B661="x",U660,"")))</f>
        <v/>
      </c>
      <c r="V661" t="str">
        <f>IF(C661=1,MAX($V$2:$V660)+1,IF(AND($T661&lt;&gt;"",$T661=$T660),$U660,IF(C661="x",V660,"")))</f>
        <v/>
      </c>
      <c r="W661" t="str">
        <f t="shared" si="338"/>
        <v>a</v>
      </c>
      <c r="X661">
        <v>79</v>
      </c>
      <c r="Y661" t="b">
        <f>IF(X661&lt;&gt;"",VLOOKUP(X661,game_rosters!$C$43:$E$64,3,FALSE))</f>
        <v>0</v>
      </c>
      <c r="Z661" t="str" cm="1">
        <f t="array" ref="Z661">IFERROR(IF(_xlfn._xlws.FILTER(game_rosters!$J:$J,(game_rosters!$G:$G=events!$AN661)*(game_rosters!$J:$J=events!$X661))&gt;0,1,""),"")</f>
        <v/>
      </c>
      <c r="AA661">
        <f t="shared" si="339"/>
        <v>1350</v>
      </c>
      <c r="AB661" t="str">
        <f t="shared" si="340"/>
        <v/>
      </c>
      <c r="AC661">
        <f t="shared" si="337"/>
        <v>1350</v>
      </c>
      <c r="AD661" s="6">
        <v>1</v>
      </c>
      <c r="AE661" t="s">
        <v>941</v>
      </c>
      <c r="AF661" t="s">
        <v>748</v>
      </c>
      <c r="AG661" t="s">
        <v>940</v>
      </c>
      <c r="AH661" t="s">
        <v>896</v>
      </c>
      <c r="AI661" t="s">
        <v>368</v>
      </c>
      <c r="AJ661" t="str">
        <f t="shared" si="365"/>
        <v>o</v>
      </c>
      <c r="AK661" t="str">
        <f t="shared" si="365"/>
        <v>o</v>
      </c>
      <c r="AL661" t="str">
        <f t="shared" si="342"/>
        <v>d</v>
      </c>
      <c r="AN661" t="s">
        <v>862</v>
      </c>
      <c r="AO661" t="str">
        <f t="shared" si="343"/>
        <v>a</v>
      </c>
      <c r="AP661" t="str">
        <f t="shared" si="350"/>
        <v>d</v>
      </c>
      <c r="AQ661" t="str">
        <f t="shared" si="351"/>
        <v/>
      </c>
      <c r="AR661" t="str">
        <f t="shared" si="352"/>
        <v>Away</v>
      </c>
      <c r="AS661" t="str">
        <f t="shared" si="353"/>
        <v>a</v>
      </c>
      <c r="AT661" t="str">
        <f t="shared" si="354"/>
        <v>Defensive</v>
      </c>
      <c r="BA661" s="6">
        <f t="shared" si="344"/>
        <v>183</v>
      </c>
      <c r="BB661">
        <f t="shared" si="345"/>
        <v>18981</v>
      </c>
      <c r="BC661" t="str">
        <f t="shared" si="346"/>
        <v>Nelson</v>
      </c>
      <c r="BD661" t="str">
        <f t="shared" si="347"/>
        <v>Velodrome</v>
      </c>
      <c r="BE661" t="s">
        <v>238</v>
      </c>
      <c r="BF661" t="s">
        <v>174</v>
      </c>
      <c r="BG661" t="s">
        <v>85</v>
      </c>
      <c r="BI661" cm="1">
        <f t="array" ref="BI661">IFERROR(_xlfn._xlws.FILTER(shifts!A:A,(shifts!B:B=events!AD661)*(shifts!AG:AG&gt;=events!BK661)*(shifts!AH:AH&lt;=events!BL661)),BI660)</f>
        <v>31</v>
      </c>
      <c r="BJ661" s="15">
        <f t="shared" si="348"/>
        <v>2</v>
      </c>
      <c r="BK661">
        <f t="shared" si="355"/>
        <v>241</v>
      </c>
      <c r="BL661">
        <f t="shared" si="356"/>
        <v>239</v>
      </c>
      <c r="BM661" s="15">
        <f>SUMIFS(BJ$2:BJ661,K$2:K661,"=Intermission")+SUMIFS(BJ$2:BJ661,K$2:K661,"=Timeout")</f>
        <v>0</v>
      </c>
      <c r="BN661">
        <f t="shared" si="357"/>
        <v>0</v>
      </c>
      <c r="BO661" s="19">
        <f t="shared" si="358"/>
        <v>839</v>
      </c>
      <c r="BP661">
        <f t="shared" si="359"/>
        <v>834</v>
      </c>
      <c r="BQ661" s="17">
        <f t="shared" si="360"/>
        <v>841</v>
      </c>
      <c r="BR661" t="str">
        <f t="shared" si="361"/>
        <v>opp_team_player_2</v>
      </c>
      <c r="BS661">
        <f>COUNTIFS(S$3:S661,"="&amp;S661,AI$3:AI661,"="&amp;AI661)</f>
        <v>2</v>
      </c>
      <c r="BT661" t="str">
        <f>IFERROR(VLOOKUP(BB661&amp;BU661&amp;X661,game_rosters!U:W,3,FALSE),"")</f>
        <v>P100066</v>
      </c>
      <c r="BU661" t="str">
        <f t="shared" si="362"/>
        <v>Nelson</v>
      </c>
    </row>
    <row r="662" spans="1:73" x14ac:dyDescent="0.2">
      <c r="A662">
        <f t="shared" si="349"/>
        <v>1</v>
      </c>
      <c r="E662" s="4"/>
      <c r="F662" s="43"/>
      <c r="G662" s="4"/>
      <c r="H662" s="46"/>
      <c r="J662" s="44" t="str">
        <f t="shared" si="363"/>
        <v>o</v>
      </c>
      <c r="K662" t="s">
        <v>6</v>
      </c>
      <c r="L662" t="s">
        <v>181</v>
      </c>
      <c r="M662" t="s">
        <v>51</v>
      </c>
      <c r="N662" t="str">
        <f t="shared" si="366"/>
        <v>u</v>
      </c>
      <c r="Q662" t="str">
        <f t="shared" si="364"/>
        <v/>
      </c>
      <c r="S662">
        <v>351</v>
      </c>
      <c r="U662" t="str">
        <f>IF(B662=1,MAX($U$2:$U661)+1,IF(AND($T662&lt;&gt;"",$T662=$T661),$U661,IF(B662="x",U661,"")))</f>
        <v/>
      </c>
      <c r="V662" t="str">
        <f>IF(C662=1,MAX($V$2:$V661)+1,IF(AND($T662&lt;&gt;"",$T662=$T661),$U661,IF(C662="x",V661,"")))</f>
        <v/>
      </c>
      <c r="W662" t="str">
        <f t="shared" si="338"/>
        <v>a</v>
      </c>
      <c r="X662">
        <v>70</v>
      </c>
      <c r="Y662" t="e">
        <f>IF(X662&lt;&gt;"",VLOOKUP(X662,game_rosters!$C$43:$E$64,3,FALSE))</f>
        <v>#N/A</v>
      </c>
      <c r="Z662" cm="1">
        <f t="array" ref="Z662">IFERROR(IF(_xlfn._xlws.FILTER(game_rosters!$J:$J,(game_rosters!$G:$G=events!$AN662)*(game_rosters!$J:$J=events!$X662))&gt;0,1,""),"")</f>
        <v>1</v>
      </c>
      <c r="AA662">
        <f t="shared" si="339"/>
        <v>1351</v>
      </c>
      <c r="AB662" t="str">
        <f t="shared" si="340"/>
        <v/>
      </c>
      <c r="AC662">
        <f t="shared" si="337"/>
        <v>1351</v>
      </c>
      <c r="AD662" s="6">
        <v>1</v>
      </c>
      <c r="AE662" t="s">
        <v>940</v>
      </c>
      <c r="AF662" t="s">
        <v>896</v>
      </c>
      <c r="AG662" t="s">
        <v>756</v>
      </c>
      <c r="AH662" t="s">
        <v>756</v>
      </c>
      <c r="AI662" t="s">
        <v>367</v>
      </c>
      <c r="AJ662" t="str">
        <f t="shared" si="365"/>
        <v>o</v>
      </c>
      <c r="AK662" t="str">
        <f t="shared" si="365"/>
        <v>o</v>
      </c>
      <c r="AL662" t="str">
        <f t="shared" si="342"/>
        <v>d</v>
      </c>
      <c r="AN662" t="s">
        <v>862</v>
      </c>
      <c r="AO662" t="str">
        <f t="shared" si="343"/>
        <v>a</v>
      </c>
      <c r="AP662" t="str">
        <f t="shared" si="350"/>
        <v>d</v>
      </c>
      <c r="AQ662" t="str">
        <f t="shared" si="351"/>
        <v/>
      </c>
      <c r="AR662" t="str">
        <f t="shared" si="352"/>
        <v>Away</v>
      </c>
      <c r="AS662" t="str">
        <f t="shared" si="353"/>
        <v>a</v>
      </c>
      <c r="AT662" t="str">
        <f t="shared" si="354"/>
        <v>Offensive</v>
      </c>
      <c r="BA662" s="6">
        <f t="shared" si="344"/>
        <v>183</v>
      </c>
      <c r="BB662">
        <f t="shared" si="345"/>
        <v>18981</v>
      </c>
      <c r="BC662" t="str">
        <f t="shared" si="346"/>
        <v>Nelson</v>
      </c>
      <c r="BD662" t="str">
        <f t="shared" si="347"/>
        <v>Velodrome</v>
      </c>
      <c r="BE662" t="s">
        <v>6</v>
      </c>
      <c r="BF662" t="s">
        <v>181</v>
      </c>
      <c r="BG662" t="s">
        <v>51</v>
      </c>
      <c r="BI662" cm="1">
        <f t="array" ref="BI662">IFERROR(_xlfn._xlws.FILTER(shifts!A:A,(shifts!B:B=events!AD662)*(shifts!AG:AG&gt;=events!BK662)*(shifts!AH:AH&lt;=events!BL662)),BI661)</f>
        <v>31</v>
      </c>
      <c r="BJ662" s="15">
        <f t="shared" si="348"/>
        <v>0</v>
      </c>
      <c r="BK662">
        <f t="shared" si="355"/>
        <v>239</v>
      </c>
      <c r="BL662">
        <f t="shared" si="356"/>
        <v>239</v>
      </c>
      <c r="BM662" s="15">
        <f>SUMIFS(BJ$2:BJ662,K$2:K662,"=Intermission")+SUMIFS(BJ$2:BJ662,K$2:K662,"=Timeout")</f>
        <v>0</v>
      </c>
      <c r="BN662">
        <f t="shared" si="357"/>
        <v>0</v>
      </c>
      <c r="BO662" s="19">
        <f t="shared" si="358"/>
        <v>841</v>
      </c>
      <c r="BP662">
        <f t="shared" si="359"/>
        <v>836</v>
      </c>
      <c r="BQ662" s="17">
        <f t="shared" si="360"/>
        <v>841</v>
      </c>
      <c r="BR662" t="str">
        <f t="shared" si="361"/>
        <v>event_team_player_1</v>
      </c>
      <c r="BS662">
        <f>COUNTIFS(S$3:S662,"="&amp;S662,AI$3:AI662,"="&amp;AI662)</f>
        <v>1</v>
      </c>
      <c r="BT662" t="str">
        <f>IFERROR(VLOOKUP(BB662&amp;BU662&amp;X662,game_rosters!U:W,3,FALSE),"")</f>
        <v>P100001</v>
      </c>
      <c r="BU662" t="str">
        <f t="shared" si="362"/>
        <v>Velodrome</v>
      </c>
    </row>
    <row r="663" spans="1:73" x14ac:dyDescent="0.2">
      <c r="A663">
        <f t="shared" si="349"/>
        <v>1</v>
      </c>
      <c r="E663" s="4"/>
      <c r="F663" s="43"/>
      <c r="G663" s="4"/>
      <c r="H663" s="46"/>
      <c r="J663" s="44" t="str">
        <f t="shared" si="363"/>
        <v>o</v>
      </c>
      <c r="K663" t="s">
        <v>6</v>
      </c>
      <c r="L663" t="s">
        <v>181</v>
      </c>
      <c r="M663" t="s">
        <v>51</v>
      </c>
      <c r="N663" t="str">
        <f t="shared" si="366"/>
        <v>u</v>
      </c>
      <c r="Q663" t="str">
        <f t="shared" si="364"/>
        <v/>
      </c>
      <c r="S663">
        <v>351</v>
      </c>
      <c r="U663" t="str">
        <f>IF(B663=1,MAX($U$2:$U662)+1,IF(AND($T663&lt;&gt;"",$T663=$T662),$U662,IF(B663="x",U662,"")))</f>
        <v/>
      </c>
      <c r="V663" t="str">
        <f>IF(C663=1,MAX($V$2:$V662)+1,IF(AND($T663&lt;&gt;"",$T663=$T662),$U662,IF(C663="x",V662,"")))</f>
        <v/>
      </c>
      <c r="W663" t="str">
        <f t="shared" si="338"/>
        <v>a</v>
      </c>
      <c r="X663">
        <v>79</v>
      </c>
      <c r="Y663" t="b">
        <f>IF(X663&lt;&gt;"",VLOOKUP(X663,game_rosters!$C$43:$E$64,3,FALSE))</f>
        <v>0</v>
      </c>
      <c r="Z663" t="str" cm="1">
        <f t="array" ref="Z663">IFERROR(IF(_xlfn._xlws.FILTER(game_rosters!$J:$J,(game_rosters!$G:$G=events!$AN663)*(game_rosters!$J:$J=events!$X663))&gt;0,1,""),"")</f>
        <v/>
      </c>
      <c r="AA663">
        <f t="shared" si="339"/>
        <v>1351</v>
      </c>
      <c r="AB663" t="str">
        <f t="shared" si="340"/>
        <v/>
      </c>
      <c r="AC663">
        <f t="shared" si="337"/>
        <v>1351</v>
      </c>
      <c r="AD663" s="6">
        <v>1</v>
      </c>
      <c r="AE663" t="s">
        <v>940</v>
      </c>
      <c r="AF663" t="s">
        <v>896</v>
      </c>
      <c r="AG663" t="s">
        <v>756</v>
      </c>
      <c r="AH663" t="s">
        <v>756</v>
      </c>
      <c r="AI663" t="s">
        <v>368</v>
      </c>
      <c r="AJ663" t="str">
        <f t="shared" si="365"/>
        <v>o</v>
      </c>
      <c r="AK663" t="str">
        <f t="shared" si="365"/>
        <v>o</v>
      </c>
      <c r="AL663" t="str">
        <f t="shared" si="342"/>
        <v>d</v>
      </c>
      <c r="AN663" t="s">
        <v>862</v>
      </c>
      <c r="AO663" t="str">
        <f t="shared" si="343"/>
        <v>a</v>
      </c>
      <c r="AP663" t="str">
        <f t="shared" si="350"/>
        <v>d</v>
      </c>
      <c r="AQ663" t="str">
        <f t="shared" si="351"/>
        <v/>
      </c>
      <c r="AR663" t="str">
        <f t="shared" si="352"/>
        <v>Away</v>
      </c>
      <c r="AS663" t="str">
        <f t="shared" si="353"/>
        <v>a</v>
      </c>
      <c r="AT663" t="str">
        <f t="shared" si="354"/>
        <v>Defensive</v>
      </c>
      <c r="BA663" s="6">
        <f t="shared" si="344"/>
        <v>183</v>
      </c>
      <c r="BB663">
        <f t="shared" si="345"/>
        <v>18981</v>
      </c>
      <c r="BC663" t="str">
        <f t="shared" si="346"/>
        <v>Nelson</v>
      </c>
      <c r="BD663" t="str">
        <f t="shared" si="347"/>
        <v>Velodrome</v>
      </c>
      <c r="BE663" t="s">
        <v>6</v>
      </c>
      <c r="BF663" t="s">
        <v>181</v>
      </c>
      <c r="BG663" t="s">
        <v>51</v>
      </c>
      <c r="BI663" cm="1">
        <f t="array" ref="BI663">IFERROR(_xlfn._xlws.FILTER(shifts!A:A,(shifts!B:B=events!AD663)*(shifts!AG:AG&gt;=events!BK663)*(shifts!AH:AH&lt;=events!BL663)),BI662)</f>
        <v>31</v>
      </c>
      <c r="BJ663" s="15">
        <f t="shared" si="348"/>
        <v>0</v>
      </c>
      <c r="BK663">
        <f t="shared" si="355"/>
        <v>239</v>
      </c>
      <c r="BL663">
        <f t="shared" si="356"/>
        <v>239</v>
      </c>
      <c r="BM663" s="15">
        <f>SUMIFS(BJ$2:BJ663,K$2:K663,"=Intermission")+SUMIFS(BJ$2:BJ663,K$2:K663,"=Timeout")</f>
        <v>0</v>
      </c>
      <c r="BN663">
        <f t="shared" si="357"/>
        <v>0</v>
      </c>
      <c r="BO663" s="19">
        <f t="shared" si="358"/>
        <v>841</v>
      </c>
      <c r="BP663">
        <f t="shared" si="359"/>
        <v>836</v>
      </c>
      <c r="BQ663" s="17">
        <f t="shared" si="360"/>
        <v>841</v>
      </c>
      <c r="BR663" t="str">
        <f t="shared" si="361"/>
        <v>opp_team_player_1</v>
      </c>
      <c r="BS663">
        <f>COUNTIFS(S$3:S663,"="&amp;S663,AI$3:AI663,"="&amp;AI663)</f>
        <v>1</v>
      </c>
      <c r="BT663" t="str">
        <f>IFERROR(VLOOKUP(BB663&amp;BU663&amp;X663,game_rosters!U:W,3,FALSE),"")</f>
        <v>P100066</v>
      </c>
      <c r="BU663" t="str">
        <f t="shared" si="362"/>
        <v>Nelson</v>
      </c>
    </row>
    <row r="664" spans="1:73" x14ac:dyDescent="0.2">
      <c r="A664">
        <f t="shared" si="349"/>
        <v>1</v>
      </c>
      <c r="E664" s="4"/>
      <c r="F664" s="43"/>
      <c r="G664" s="4"/>
      <c r="H664" s="46"/>
      <c r="J664" s="44" t="str">
        <f t="shared" si="363"/>
        <v/>
      </c>
      <c r="K664" t="s">
        <v>9</v>
      </c>
      <c r="L664" t="s">
        <v>173</v>
      </c>
      <c r="M664" t="s">
        <v>365</v>
      </c>
      <c r="N664" t="str">
        <f t="shared" si="366"/>
        <v>u</v>
      </c>
      <c r="Q664" t="str">
        <f t="shared" si="364"/>
        <v/>
      </c>
      <c r="S664">
        <v>352</v>
      </c>
      <c r="U664" t="str">
        <f>IF(B664=1,MAX($U$2:$U663)+1,IF(AND($T664&lt;&gt;"",$T664=$T663),$U663,IF(B664="x",U663,"")))</f>
        <v/>
      </c>
      <c r="V664" t="str">
        <f>IF(C664=1,MAX($V$2:$V663)+1,IF(AND($T664&lt;&gt;"",$T664=$T663),$U663,IF(C664="x",V663,"")))</f>
        <v/>
      </c>
      <c r="W664" t="str">
        <f t="shared" si="338"/>
        <v>h</v>
      </c>
      <c r="X664">
        <v>8</v>
      </c>
      <c r="Y664" t="b">
        <f>IF(X664&lt;&gt;"",VLOOKUP(X664,game_rosters!$C$43:$E$64,3,FALSE))</f>
        <v>0</v>
      </c>
      <c r="Z664" cm="1">
        <f t="array" ref="Z664">IFERROR(IF(_xlfn._xlws.FILTER(game_rosters!$J:$J,(game_rosters!$G:$G=events!$AN664)*(game_rosters!$J:$J=events!$X664))&gt;0,1,""),"")</f>
        <v>1</v>
      </c>
      <c r="AA664">
        <f t="shared" si="339"/>
        <v>1352</v>
      </c>
      <c r="AB664" t="str">
        <f t="shared" si="340"/>
        <v/>
      </c>
      <c r="AC664">
        <f t="shared" si="337"/>
        <v>1352</v>
      </c>
      <c r="AD664" s="6">
        <v>1</v>
      </c>
      <c r="AE664" t="s">
        <v>940</v>
      </c>
      <c r="AF664" t="s">
        <v>753</v>
      </c>
      <c r="AG664" t="s">
        <v>756</v>
      </c>
      <c r="AH664" t="s">
        <v>756</v>
      </c>
      <c r="AI664" t="s">
        <v>367</v>
      </c>
      <c r="AJ664" t="str">
        <f t="shared" si="365"/>
        <v/>
      </c>
      <c r="AK664" t="str">
        <f t="shared" si="365"/>
        <v/>
      </c>
      <c r="AL664" t="str">
        <f t="shared" si="342"/>
        <v/>
      </c>
      <c r="AN664" t="s">
        <v>861</v>
      </c>
      <c r="AO664" t="str">
        <f t="shared" si="343"/>
        <v>h</v>
      </c>
      <c r="AP664" t="str">
        <f t="shared" si="350"/>
        <v/>
      </c>
      <c r="AQ664" t="str">
        <f t="shared" si="351"/>
        <v/>
      </c>
      <c r="AR664" t="str">
        <f t="shared" si="352"/>
        <v>Home</v>
      </c>
      <c r="AS664" t="str">
        <f t="shared" si="353"/>
        <v>h</v>
      </c>
      <c r="AT664" t="str">
        <f t="shared" si="354"/>
        <v>Offensive</v>
      </c>
      <c r="BA664" s="6">
        <f t="shared" si="344"/>
        <v>183</v>
      </c>
      <c r="BB664">
        <f t="shared" si="345"/>
        <v>18981</v>
      </c>
      <c r="BC664" t="str">
        <f t="shared" si="346"/>
        <v>Nelson</v>
      </c>
      <c r="BD664" t="str">
        <f t="shared" si="347"/>
        <v>Velodrome</v>
      </c>
      <c r="BE664" t="s">
        <v>9</v>
      </c>
      <c r="BF664" t="s">
        <v>173</v>
      </c>
      <c r="BG664" t="s">
        <v>365</v>
      </c>
      <c r="BI664" cm="1">
        <f t="array" ref="BI664">IFERROR(_xlfn._xlws.FILTER(shifts!A:A,(shifts!B:B=events!AD664)*(shifts!AG:AG&gt;=events!BK664)*(shifts!AH:AH&lt;=events!BL664)),BI663)</f>
        <v>31</v>
      </c>
      <c r="BJ664" s="15">
        <f t="shared" si="348"/>
        <v>0</v>
      </c>
      <c r="BK664">
        <f t="shared" si="355"/>
        <v>235</v>
      </c>
      <c r="BL664">
        <f t="shared" si="356"/>
        <v>235</v>
      </c>
      <c r="BM664" s="15">
        <f>SUMIFS(BJ$2:BJ664,K$2:K664,"=Intermission")+SUMIFS(BJ$2:BJ664,K$2:K664,"=Timeout")</f>
        <v>0</v>
      </c>
      <c r="BN664">
        <f t="shared" si="357"/>
        <v>0</v>
      </c>
      <c r="BO664" s="19">
        <f t="shared" si="358"/>
        <v>845</v>
      </c>
      <c r="BP664">
        <f t="shared" si="359"/>
        <v>840</v>
      </c>
      <c r="BQ664" s="17">
        <f t="shared" si="360"/>
        <v>845</v>
      </c>
      <c r="BR664" t="str">
        <f t="shared" si="361"/>
        <v>event_team_player_1</v>
      </c>
      <c r="BS664">
        <f>COUNTIFS(S$3:S664,"="&amp;S664,AI$3:AI664,"="&amp;AI664)</f>
        <v>1</v>
      </c>
      <c r="BT664" t="str">
        <f>IFERROR(VLOOKUP(BB664&amp;BU664&amp;X664,game_rosters!U:W,3,FALSE),"")</f>
        <v>P100074</v>
      </c>
      <c r="BU664" t="str">
        <f t="shared" si="362"/>
        <v>Nelson</v>
      </c>
    </row>
    <row r="665" spans="1:73" x14ac:dyDescent="0.2">
      <c r="A665">
        <f t="shared" si="349"/>
        <v>1</v>
      </c>
      <c r="E665" s="4"/>
      <c r="F665" s="43"/>
      <c r="G665" s="4"/>
      <c r="H665" s="46"/>
      <c r="J665" s="44" t="str">
        <f t="shared" si="363"/>
        <v/>
      </c>
      <c r="K665" t="s">
        <v>238</v>
      </c>
      <c r="L665" t="s">
        <v>193</v>
      </c>
      <c r="M665" t="s">
        <v>91</v>
      </c>
      <c r="N665" t="str">
        <f t="shared" si="366"/>
        <v>s</v>
      </c>
      <c r="Q665" t="str">
        <f t="shared" si="364"/>
        <v/>
      </c>
      <c r="S665">
        <v>353</v>
      </c>
      <c r="U665" t="str">
        <f>IF(B665=1,MAX($U$2:$U664)+1,IF(AND($T665&lt;&gt;"",$T665=$T664),$U664,IF(B665="x",U664,"")))</f>
        <v/>
      </c>
      <c r="V665" t="str">
        <f>IF(C665=1,MAX($V$2:$V664)+1,IF(AND($T665&lt;&gt;"",$T665=$T664),$U664,IF(C665="x",V664,"")))</f>
        <v/>
      </c>
      <c r="W665" t="str">
        <f t="shared" si="338"/>
        <v>a</v>
      </c>
      <c r="X665">
        <v>70</v>
      </c>
      <c r="Y665" t="e">
        <f>IF(X665&lt;&gt;"",VLOOKUP(X665,game_rosters!$C$43:$E$64,3,FALSE))</f>
        <v>#N/A</v>
      </c>
      <c r="Z665" cm="1">
        <f t="array" ref="Z665">IFERROR(IF(_xlfn._xlws.FILTER(game_rosters!$J:$J,(game_rosters!$G:$G=events!$AN665)*(game_rosters!$J:$J=events!$X665))&gt;0,1,""),"")</f>
        <v>1</v>
      </c>
      <c r="AA665">
        <f t="shared" si="339"/>
        <v>1353</v>
      </c>
      <c r="AB665" t="str">
        <f t="shared" si="340"/>
        <v/>
      </c>
      <c r="AC665">
        <f t="shared" si="337"/>
        <v>1353</v>
      </c>
      <c r="AD665" s="6">
        <v>1</v>
      </c>
      <c r="AE665" t="s">
        <v>940</v>
      </c>
      <c r="AF665" t="s">
        <v>897</v>
      </c>
      <c r="AG665" t="s">
        <v>756</v>
      </c>
      <c r="AH665" t="s">
        <v>756</v>
      </c>
      <c r="AI665" t="s">
        <v>367</v>
      </c>
      <c r="AJ665" t="str">
        <f t="shared" si="365"/>
        <v/>
      </c>
      <c r="AK665" t="str">
        <f t="shared" si="365"/>
        <v/>
      </c>
      <c r="AL665" t="str">
        <f t="shared" si="342"/>
        <v/>
      </c>
      <c r="AN665" t="s">
        <v>862</v>
      </c>
      <c r="AO665" t="str">
        <f t="shared" si="343"/>
        <v>a</v>
      </c>
      <c r="AP665" t="str">
        <f t="shared" si="350"/>
        <v/>
      </c>
      <c r="AQ665" t="str">
        <f t="shared" si="351"/>
        <v/>
      </c>
      <c r="AR665" t="str">
        <f t="shared" si="352"/>
        <v>Away</v>
      </c>
      <c r="AS665" t="str">
        <f t="shared" si="353"/>
        <v>a</v>
      </c>
      <c r="AT665" t="str">
        <f t="shared" si="354"/>
        <v>Offensive</v>
      </c>
      <c r="BA665" s="6">
        <f t="shared" si="344"/>
        <v>183</v>
      </c>
      <c r="BB665">
        <f t="shared" si="345"/>
        <v>18981</v>
      </c>
      <c r="BC665" t="str">
        <f t="shared" si="346"/>
        <v>Nelson</v>
      </c>
      <c r="BD665" t="str">
        <f t="shared" si="347"/>
        <v>Velodrome</v>
      </c>
      <c r="BE665" t="s">
        <v>238</v>
      </c>
      <c r="BF665" t="s">
        <v>193</v>
      </c>
      <c r="BG665" t="s">
        <v>91</v>
      </c>
      <c r="BI665" cm="1">
        <f t="array" ref="BI665">IFERROR(_xlfn._xlws.FILTER(shifts!A:A,(shifts!B:B=events!AD665)*(shifts!AG:AG&gt;=events!BK665)*(shifts!AH:AH&lt;=events!BL665)),BI664)</f>
        <v>31</v>
      </c>
      <c r="BJ665" s="15">
        <f t="shared" si="348"/>
        <v>0</v>
      </c>
      <c r="BK665">
        <f t="shared" si="355"/>
        <v>232</v>
      </c>
      <c r="BL665">
        <f t="shared" si="356"/>
        <v>232</v>
      </c>
      <c r="BM665" s="15">
        <f>SUMIFS(BJ$2:BJ665,K$2:K665,"=Intermission")+SUMIFS(BJ$2:BJ665,K$2:K665,"=Timeout")</f>
        <v>0</v>
      </c>
      <c r="BN665">
        <f t="shared" si="357"/>
        <v>0</v>
      </c>
      <c r="BO665" s="19">
        <f t="shared" si="358"/>
        <v>848</v>
      </c>
      <c r="BP665">
        <f t="shared" si="359"/>
        <v>843</v>
      </c>
      <c r="BQ665" s="17">
        <f t="shared" si="360"/>
        <v>848</v>
      </c>
      <c r="BR665" t="str">
        <f t="shared" si="361"/>
        <v>event_team_player_1</v>
      </c>
      <c r="BS665">
        <f>COUNTIFS(S$3:S665,"="&amp;S665,AI$3:AI665,"="&amp;AI665)</f>
        <v>1</v>
      </c>
      <c r="BT665" t="str">
        <f>IFERROR(VLOOKUP(BB665&amp;BU665&amp;X665,game_rosters!U:W,3,FALSE),"")</f>
        <v>P100001</v>
      </c>
      <c r="BU665" t="str">
        <f t="shared" si="362"/>
        <v>Velodrome</v>
      </c>
    </row>
    <row r="666" spans="1:73" x14ac:dyDescent="0.2">
      <c r="A666">
        <f t="shared" si="349"/>
        <v>1</v>
      </c>
      <c r="E666" s="4"/>
      <c r="F666" s="43"/>
      <c r="G666" s="4"/>
      <c r="H666" s="46"/>
      <c r="J666" s="44" t="str">
        <f t="shared" si="363"/>
        <v>o</v>
      </c>
      <c r="K666" t="s">
        <v>6</v>
      </c>
      <c r="L666" t="s">
        <v>205</v>
      </c>
      <c r="M666" t="s">
        <v>51</v>
      </c>
      <c r="N666" t="str">
        <f t="shared" si="366"/>
        <v>s</v>
      </c>
      <c r="Q666" t="str">
        <f t="shared" si="364"/>
        <v/>
      </c>
      <c r="S666">
        <v>354</v>
      </c>
      <c r="U666" t="str">
        <f>IF(B666=1,MAX($U$2:$U665)+1,IF(AND($T666&lt;&gt;"",$T666=$T665),$U665,IF(B666="x",U665,"")))</f>
        <v/>
      </c>
      <c r="V666" t="str">
        <f>IF(C666=1,MAX($V$2:$V665)+1,IF(AND($T666&lt;&gt;"",$T666=$T665),$U665,IF(C666="x",V665,"")))</f>
        <v/>
      </c>
      <c r="W666" t="str">
        <f t="shared" si="338"/>
        <v>a</v>
      </c>
      <c r="X666">
        <v>70</v>
      </c>
      <c r="Y666" t="e">
        <f>IF(X666&lt;&gt;"",VLOOKUP(X666,game_rosters!$C$43:$E$64,3,FALSE))</f>
        <v>#N/A</v>
      </c>
      <c r="Z666" cm="1">
        <f t="array" ref="Z666">IFERROR(IF(_xlfn._xlws.FILTER(game_rosters!$J:$J,(game_rosters!$G:$G=events!$AN666)*(game_rosters!$J:$J=events!$X666))&gt;0,1,""),"")</f>
        <v>1</v>
      </c>
      <c r="AA666">
        <f t="shared" si="339"/>
        <v>1354</v>
      </c>
      <c r="AB666" t="str">
        <f t="shared" si="340"/>
        <v/>
      </c>
      <c r="AC666">
        <f t="shared" si="337"/>
        <v>1354</v>
      </c>
      <c r="AD666" s="6">
        <v>1</v>
      </c>
      <c r="AE666" t="s">
        <v>940</v>
      </c>
      <c r="AF666" t="s">
        <v>922</v>
      </c>
      <c r="AG666" t="s">
        <v>756</v>
      </c>
      <c r="AH666" t="s">
        <v>756</v>
      </c>
      <c r="AI666" t="s">
        <v>367</v>
      </c>
      <c r="AJ666" t="str">
        <f t="shared" si="365"/>
        <v>o</v>
      </c>
      <c r="AK666" t="str">
        <f t="shared" si="365"/>
        <v>o</v>
      </c>
      <c r="AL666" t="str">
        <f t="shared" si="342"/>
        <v>d</v>
      </c>
      <c r="AN666" t="s">
        <v>862</v>
      </c>
      <c r="AO666" t="str">
        <f t="shared" si="343"/>
        <v>a</v>
      </c>
      <c r="AP666" t="str">
        <f t="shared" si="350"/>
        <v>d</v>
      </c>
      <c r="AQ666" t="str">
        <f t="shared" si="351"/>
        <v/>
      </c>
      <c r="AR666" t="str">
        <f t="shared" si="352"/>
        <v>Away</v>
      </c>
      <c r="AS666" t="str">
        <f t="shared" si="353"/>
        <v>a</v>
      </c>
      <c r="AT666" t="str">
        <f t="shared" si="354"/>
        <v>Offensive</v>
      </c>
      <c r="BA666" s="6">
        <f t="shared" si="344"/>
        <v>183</v>
      </c>
      <c r="BB666">
        <f t="shared" si="345"/>
        <v>18981</v>
      </c>
      <c r="BC666" t="str">
        <f t="shared" si="346"/>
        <v>Nelson</v>
      </c>
      <c r="BD666" t="str">
        <f t="shared" si="347"/>
        <v>Velodrome</v>
      </c>
      <c r="BE666" t="s">
        <v>6</v>
      </c>
      <c r="BF666" t="s">
        <v>205</v>
      </c>
      <c r="BG666" t="s">
        <v>51</v>
      </c>
      <c r="BI666" cm="1">
        <f t="array" ref="BI666">IFERROR(_xlfn._xlws.FILTER(shifts!A:A,(shifts!B:B=events!AD666)*(shifts!AG:AG&gt;=events!BK666)*(shifts!AH:AH&lt;=events!BL666)),BI665)</f>
        <v>31</v>
      </c>
      <c r="BJ666" s="15">
        <f t="shared" si="348"/>
        <v>0</v>
      </c>
      <c r="BK666">
        <f t="shared" si="355"/>
        <v>230</v>
      </c>
      <c r="BL666">
        <f t="shared" si="356"/>
        <v>230</v>
      </c>
      <c r="BM666" s="15">
        <f>SUMIFS(BJ$2:BJ666,K$2:K666,"=Intermission")+SUMIFS(BJ$2:BJ666,K$2:K666,"=Timeout")</f>
        <v>0</v>
      </c>
      <c r="BN666">
        <f t="shared" si="357"/>
        <v>0</v>
      </c>
      <c r="BO666" s="19">
        <f t="shared" si="358"/>
        <v>850</v>
      </c>
      <c r="BP666">
        <f t="shared" si="359"/>
        <v>845</v>
      </c>
      <c r="BQ666" s="17">
        <f t="shared" si="360"/>
        <v>850</v>
      </c>
      <c r="BR666" t="str">
        <f t="shared" si="361"/>
        <v>event_team_player_1</v>
      </c>
      <c r="BS666">
        <f>COUNTIFS(S$3:S666,"="&amp;S666,AI$3:AI666,"="&amp;AI666)</f>
        <v>1</v>
      </c>
      <c r="BT666" t="str">
        <f>IFERROR(VLOOKUP(BB666&amp;BU666&amp;X666,game_rosters!U:W,3,FALSE),"")</f>
        <v>P100001</v>
      </c>
      <c r="BU666" t="str">
        <f t="shared" si="362"/>
        <v>Velodrome</v>
      </c>
    </row>
    <row r="667" spans="1:73" x14ac:dyDescent="0.2">
      <c r="A667">
        <f t="shared" si="349"/>
        <v>1</v>
      </c>
      <c r="E667" s="4"/>
      <c r="F667" s="43"/>
      <c r="G667" s="4"/>
      <c r="H667" s="46"/>
      <c r="J667" s="44" t="str">
        <f t="shared" si="363"/>
        <v>o</v>
      </c>
      <c r="K667" t="s">
        <v>6</v>
      </c>
      <c r="L667" t="s">
        <v>205</v>
      </c>
      <c r="M667" t="s">
        <v>51</v>
      </c>
      <c r="N667" t="str">
        <f t="shared" si="366"/>
        <v>s</v>
      </c>
      <c r="Q667" t="str">
        <f t="shared" si="364"/>
        <v/>
      </c>
      <c r="S667">
        <v>354</v>
      </c>
      <c r="U667" t="str">
        <f>IF(B667=1,MAX($U$2:$U666)+1,IF(AND($T667&lt;&gt;"",$T667=$T666),$U666,IF(B667="x",U666,"")))</f>
        <v/>
      </c>
      <c r="V667" t="str">
        <f>IF(C667=1,MAX($V$2:$V666)+1,IF(AND($T667&lt;&gt;"",$T667=$T666),$U666,IF(C667="x",V666,"")))</f>
        <v/>
      </c>
      <c r="W667" t="str">
        <f t="shared" si="338"/>
        <v>a</v>
      </c>
      <c r="X667">
        <v>31</v>
      </c>
      <c r="Y667" t="b">
        <f>IF(X667&lt;&gt;"",VLOOKUP(X667,game_rosters!$C$43:$E$64,3,FALSE))</f>
        <v>0</v>
      </c>
      <c r="Z667" t="str" cm="1">
        <f t="array" ref="Z667">IFERROR(IF(_xlfn._xlws.FILTER(game_rosters!$J:$J,(game_rosters!$G:$G=events!$AN667)*(game_rosters!$J:$J=events!$X667))&gt;0,1,""),"")</f>
        <v/>
      </c>
      <c r="AA667">
        <f t="shared" si="339"/>
        <v>1354</v>
      </c>
      <c r="AB667" t="str">
        <f t="shared" si="340"/>
        <v/>
      </c>
      <c r="AC667">
        <f t="shared" si="337"/>
        <v>1354</v>
      </c>
      <c r="AD667" s="6">
        <v>1</v>
      </c>
      <c r="AE667" t="s">
        <v>940</v>
      </c>
      <c r="AF667" t="s">
        <v>922</v>
      </c>
      <c r="AG667" t="s">
        <v>756</v>
      </c>
      <c r="AH667" t="s">
        <v>756</v>
      </c>
      <c r="AI667" t="s">
        <v>368</v>
      </c>
      <c r="AJ667" t="str">
        <f t="shared" si="365"/>
        <v>o</v>
      </c>
      <c r="AK667" t="str">
        <f t="shared" si="365"/>
        <v>o</v>
      </c>
      <c r="AL667" t="str">
        <f t="shared" si="342"/>
        <v>d</v>
      </c>
      <c r="AN667" t="s">
        <v>862</v>
      </c>
      <c r="AO667" t="str">
        <f t="shared" si="343"/>
        <v>a</v>
      </c>
      <c r="AP667" t="str">
        <f t="shared" si="350"/>
        <v>d</v>
      </c>
      <c r="AQ667" t="str">
        <f t="shared" si="351"/>
        <v/>
      </c>
      <c r="AR667" t="str">
        <f t="shared" si="352"/>
        <v>Away</v>
      </c>
      <c r="AS667" t="str">
        <f t="shared" si="353"/>
        <v>a</v>
      </c>
      <c r="AT667" t="str">
        <f t="shared" si="354"/>
        <v>Defensive</v>
      </c>
      <c r="BA667" s="6">
        <f t="shared" si="344"/>
        <v>183</v>
      </c>
      <c r="BB667">
        <f t="shared" si="345"/>
        <v>18981</v>
      </c>
      <c r="BC667" t="str">
        <f t="shared" si="346"/>
        <v>Nelson</v>
      </c>
      <c r="BD667" t="str">
        <f t="shared" si="347"/>
        <v>Velodrome</v>
      </c>
      <c r="BE667" t="s">
        <v>6</v>
      </c>
      <c r="BF667" t="s">
        <v>205</v>
      </c>
      <c r="BG667" t="s">
        <v>51</v>
      </c>
      <c r="BI667" cm="1">
        <f t="array" ref="BI667">IFERROR(_xlfn._xlws.FILTER(shifts!A:A,(shifts!B:B=events!AD667)*(shifts!AG:AG&gt;=events!BK667)*(shifts!AH:AH&lt;=events!BL667)),BI666)</f>
        <v>31</v>
      </c>
      <c r="BJ667" s="15">
        <f t="shared" si="348"/>
        <v>0</v>
      </c>
      <c r="BK667">
        <f t="shared" si="355"/>
        <v>230</v>
      </c>
      <c r="BL667">
        <f t="shared" si="356"/>
        <v>230</v>
      </c>
      <c r="BM667" s="15">
        <f>SUMIFS(BJ$2:BJ667,K$2:K667,"=Intermission")+SUMIFS(BJ$2:BJ667,K$2:K667,"=Timeout")</f>
        <v>0</v>
      </c>
      <c r="BN667">
        <f t="shared" si="357"/>
        <v>0</v>
      </c>
      <c r="BO667" s="19">
        <f t="shared" si="358"/>
        <v>850</v>
      </c>
      <c r="BP667">
        <f t="shared" si="359"/>
        <v>845</v>
      </c>
      <c r="BQ667" s="17">
        <f t="shared" si="360"/>
        <v>850</v>
      </c>
      <c r="BR667" t="str">
        <f t="shared" si="361"/>
        <v>opp_team_player_1</v>
      </c>
      <c r="BS667">
        <f>COUNTIFS(S$3:S667,"="&amp;S667,AI$3:AI667,"="&amp;AI667)</f>
        <v>1</v>
      </c>
      <c r="BT667" t="str">
        <f>IFERROR(VLOOKUP(BB667&amp;BU667&amp;X667,game_rosters!U:W,3,FALSE),"")</f>
        <v>P100138</v>
      </c>
      <c r="BU667" t="str">
        <f t="shared" si="362"/>
        <v>Nelson</v>
      </c>
    </row>
    <row r="668" spans="1:73" x14ac:dyDescent="0.2">
      <c r="A668">
        <f t="shared" si="349"/>
        <v>1</v>
      </c>
      <c r="E668" s="4"/>
      <c r="F668" s="43"/>
      <c r="G668" s="4"/>
      <c r="H668" s="46"/>
      <c r="J668" s="44" t="str">
        <f t="shared" si="363"/>
        <v>d</v>
      </c>
      <c r="K668" t="s">
        <v>15</v>
      </c>
      <c r="L668" t="s">
        <v>179</v>
      </c>
      <c r="M668" t="s">
        <v>96</v>
      </c>
      <c r="N668" t="str">
        <f t="shared" si="366"/>
        <v/>
      </c>
      <c r="Q668" t="str">
        <f t="shared" si="364"/>
        <v/>
      </c>
      <c r="S668">
        <v>355</v>
      </c>
      <c r="U668" t="str">
        <f>IF(B668=1,MAX($U$2:$U667)+1,IF(AND($T668&lt;&gt;"",$T668=$T667),$U667,IF(B668="x",U667,"")))</f>
        <v/>
      </c>
      <c r="V668" t="str">
        <f>IF(C668=1,MAX($V$2:$V667)+1,IF(AND($T668&lt;&gt;"",$T668=$T667),$U667,IF(C668="x",V667,"")))</f>
        <v/>
      </c>
      <c r="W668" t="str">
        <f t="shared" si="338"/>
        <v>h</v>
      </c>
      <c r="X668">
        <v>31</v>
      </c>
      <c r="Y668" t="b">
        <f>IF(X668&lt;&gt;"",VLOOKUP(X668,game_rosters!$C$43:$E$64,3,FALSE))</f>
        <v>0</v>
      </c>
      <c r="Z668" cm="1">
        <f t="array" ref="Z668">IFERROR(IF(_xlfn._xlws.FILTER(game_rosters!$J:$J,(game_rosters!$G:$G=events!$AN668)*(game_rosters!$J:$J=events!$X668))&gt;0,1,""),"")</f>
        <v>1</v>
      </c>
      <c r="AA668">
        <f t="shared" si="339"/>
        <v>1355</v>
      </c>
      <c r="AB668" t="str">
        <f t="shared" si="340"/>
        <v/>
      </c>
      <c r="AC668">
        <f t="shared" si="337"/>
        <v>1355</v>
      </c>
      <c r="AD668" s="6">
        <v>1</v>
      </c>
      <c r="AE668" t="s">
        <v>940</v>
      </c>
      <c r="AF668" t="s">
        <v>922</v>
      </c>
      <c r="AG668" t="s">
        <v>756</v>
      </c>
      <c r="AH668" t="s">
        <v>756</v>
      </c>
      <c r="AI668" t="s">
        <v>367</v>
      </c>
      <c r="AJ668" t="str">
        <f t="shared" si="365"/>
        <v>d</v>
      </c>
      <c r="AK668" t="str">
        <f t="shared" si="365"/>
        <v>d</v>
      </c>
      <c r="AL668" t="str">
        <f t="shared" si="342"/>
        <v>d</v>
      </c>
      <c r="AN668" t="s">
        <v>861</v>
      </c>
      <c r="AO668" t="str">
        <f t="shared" si="343"/>
        <v>h</v>
      </c>
      <c r="AP668" t="str">
        <f t="shared" si="350"/>
        <v>d</v>
      </c>
      <c r="AQ668" t="str">
        <f t="shared" si="351"/>
        <v/>
      </c>
      <c r="AR668" t="str">
        <f t="shared" si="352"/>
        <v>Home</v>
      </c>
      <c r="AS668" t="str">
        <f t="shared" si="353"/>
        <v>h</v>
      </c>
      <c r="AT668" t="str">
        <f t="shared" si="354"/>
        <v>Defensive</v>
      </c>
      <c r="BA668" s="6">
        <f t="shared" si="344"/>
        <v>183</v>
      </c>
      <c r="BB668">
        <f t="shared" si="345"/>
        <v>18981</v>
      </c>
      <c r="BC668" t="str">
        <f t="shared" si="346"/>
        <v>Nelson</v>
      </c>
      <c r="BD668" t="str">
        <f t="shared" si="347"/>
        <v>Velodrome</v>
      </c>
      <c r="BE668" t="s">
        <v>15</v>
      </c>
      <c r="BF668" t="s">
        <v>179</v>
      </c>
      <c r="BG668" t="s">
        <v>96</v>
      </c>
      <c r="BI668" cm="1">
        <f t="array" ref="BI668">IFERROR(_xlfn._xlws.FILTER(shifts!A:A,(shifts!B:B=events!AD668)*(shifts!AG:AG&gt;=events!BK668)*(shifts!AH:AH&lt;=events!BL668)),BI667)</f>
        <v>31</v>
      </c>
      <c r="BJ668" s="15">
        <f t="shared" si="348"/>
        <v>0</v>
      </c>
      <c r="BK668">
        <f t="shared" si="355"/>
        <v>230</v>
      </c>
      <c r="BL668">
        <f t="shared" si="356"/>
        <v>230</v>
      </c>
      <c r="BM668" s="15">
        <f>SUMIFS(BJ$2:BJ668,K$2:K668,"=Intermission")+SUMIFS(BJ$2:BJ668,K$2:K668,"=Timeout")</f>
        <v>0</v>
      </c>
      <c r="BN668">
        <f t="shared" si="357"/>
        <v>0</v>
      </c>
      <c r="BO668" s="19">
        <f t="shared" si="358"/>
        <v>850</v>
      </c>
      <c r="BP668">
        <f t="shared" si="359"/>
        <v>845</v>
      </c>
      <c r="BQ668" s="17">
        <f t="shared" si="360"/>
        <v>850</v>
      </c>
      <c r="BR668" t="str">
        <f t="shared" si="361"/>
        <v>event_team_player_1</v>
      </c>
      <c r="BS668">
        <f>COUNTIFS(S$3:S668,"="&amp;S668,AI$3:AI668,"="&amp;AI668)</f>
        <v>1</v>
      </c>
      <c r="BT668" t="str">
        <f>IFERROR(VLOOKUP(BB668&amp;BU668&amp;X668,game_rosters!U:W,3,FALSE),"")</f>
        <v>P100138</v>
      </c>
      <c r="BU668" t="str">
        <f t="shared" si="362"/>
        <v>Nelson</v>
      </c>
    </row>
    <row r="669" spans="1:73" x14ac:dyDescent="0.2">
      <c r="A669">
        <f t="shared" si="349"/>
        <v>1</v>
      </c>
      <c r="E669" s="4"/>
      <c r="F669" s="43"/>
      <c r="G669" s="4"/>
      <c r="H669" s="46"/>
      <c r="J669" s="44" t="str">
        <f t="shared" si="363"/>
        <v>d</v>
      </c>
      <c r="K669" t="s">
        <v>15</v>
      </c>
      <c r="L669" t="s">
        <v>179</v>
      </c>
      <c r="M669" t="s">
        <v>96</v>
      </c>
      <c r="N669" t="str">
        <f t="shared" si="366"/>
        <v/>
      </c>
      <c r="Q669" t="str">
        <f t="shared" si="364"/>
        <v/>
      </c>
      <c r="S669">
        <v>355</v>
      </c>
      <c r="U669" t="str">
        <f>IF(B669=1,MAX($U$2:$U668)+1,IF(AND($T669&lt;&gt;"",$T669=$T668),$U668,IF(B669="x",U668,"")))</f>
        <v/>
      </c>
      <c r="V669" t="str">
        <f>IF(C669=1,MAX($V$2:$V668)+1,IF(AND($T669&lt;&gt;"",$T669=$T668),$U668,IF(C669="x",V668,"")))</f>
        <v/>
      </c>
      <c r="W669" t="str">
        <f t="shared" si="338"/>
        <v>h</v>
      </c>
      <c r="X669">
        <v>70</v>
      </c>
      <c r="Y669" t="e">
        <f>IF(X669&lt;&gt;"",VLOOKUP(X669,game_rosters!$C$43:$E$64,3,FALSE))</f>
        <v>#N/A</v>
      </c>
      <c r="Z669" t="str" cm="1">
        <f t="array" ref="Z669">IFERROR(IF(_xlfn._xlws.FILTER(game_rosters!$J:$J,(game_rosters!$G:$G=events!$AN669)*(game_rosters!$J:$J=events!$X669))&gt;0,1,""),"")</f>
        <v/>
      </c>
      <c r="AA669">
        <f t="shared" si="339"/>
        <v>1355</v>
      </c>
      <c r="AB669" t="str">
        <f t="shared" si="340"/>
        <v/>
      </c>
      <c r="AC669">
        <f t="shared" si="337"/>
        <v>1355</v>
      </c>
      <c r="AD669" s="6">
        <v>1</v>
      </c>
      <c r="AE669" t="s">
        <v>940</v>
      </c>
      <c r="AF669" t="s">
        <v>922</v>
      </c>
      <c r="AG669" t="s">
        <v>756</v>
      </c>
      <c r="AH669" t="s">
        <v>756</v>
      </c>
      <c r="AI669" t="s">
        <v>368</v>
      </c>
      <c r="AJ669" t="str">
        <f t="shared" si="365"/>
        <v>d</v>
      </c>
      <c r="AK669" t="str">
        <f t="shared" si="365"/>
        <v>d</v>
      </c>
      <c r="AL669" t="str">
        <f t="shared" si="342"/>
        <v>d</v>
      </c>
      <c r="AN669" t="s">
        <v>861</v>
      </c>
      <c r="AO669" t="str">
        <f t="shared" si="343"/>
        <v>h</v>
      </c>
      <c r="AP669" t="str">
        <f t="shared" si="350"/>
        <v>d</v>
      </c>
      <c r="AQ669" t="str">
        <f t="shared" si="351"/>
        <v/>
      </c>
      <c r="AR669" t="str">
        <f t="shared" si="352"/>
        <v>Home</v>
      </c>
      <c r="AS669" t="str">
        <f t="shared" si="353"/>
        <v>h</v>
      </c>
      <c r="AT669" t="str">
        <f t="shared" si="354"/>
        <v>Offensive</v>
      </c>
      <c r="BA669" s="6">
        <f t="shared" si="344"/>
        <v>183</v>
      </c>
      <c r="BB669">
        <f t="shared" si="345"/>
        <v>18981</v>
      </c>
      <c r="BC669" t="str">
        <f t="shared" si="346"/>
        <v>Nelson</v>
      </c>
      <c r="BD669" t="str">
        <f t="shared" si="347"/>
        <v>Velodrome</v>
      </c>
      <c r="BE669" t="s">
        <v>15</v>
      </c>
      <c r="BF669" t="s">
        <v>179</v>
      </c>
      <c r="BG669" t="s">
        <v>96</v>
      </c>
      <c r="BI669" cm="1">
        <f t="array" ref="BI669">IFERROR(_xlfn._xlws.FILTER(shifts!A:A,(shifts!B:B=events!AD669)*(shifts!AG:AG&gt;=events!BK669)*(shifts!AH:AH&lt;=events!BL669)),BI668)</f>
        <v>31</v>
      </c>
      <c r="BJ669" s="15">
        <f t="shared" si="348"/>
        <v>0</v>
      </c>
      <c r="BK669">
        <f t="shared" si="355"/>
        <v>230</v>
      </c>
      <c r="BL669">
        <f t="shared" si="356"/>
        <v>230</v>
      </c>
      <c r="BM669" s="15">
        <f>SUMIFS(BJ$2:BJ669,K$2:K669,"=Intermission")+SUMIFS(BJ$2:BJ669,K$2:K669,"=Timeout")</f>
        <v>0</v>
      </c>
      <c r="BN669">
        <f t="shared" si="357"/>
        <v>0</v>
      </c>
      <c r="BO669" s="19">
        <f t="shared" si="358"/>
        <v>850</v>
      </c>
      <c r="BP669">
        <f t="shared" si="359"/>
        <v>845</v>
      </c>
      <c r="BQ669" s="17">
        <f t="shared" si="360"/>
        <v>850</v>
      </c>
      <c r="BR669" t="str">
        <f t="shared" si="361"/>
        <v>opp_team_player_1</v>
      </c>
      <c r="BS669">
        <f>COUNTIFS(S$3:S669,"="&amp;S669,AI$3:AI669,"="&amp;AI669)</f>
        <v>1</v>
      </c>
      <c r="BT669" t="str">
        <f>IFERROR(VLOOKUP(BB669&amp;BU669&amp;X669,game_rosters!U:W,3,FALSE),"")</f>
        <v>P100001</v>
      </c>
      <c r="BU669" t="str">
        <f t="shared" si="362"/>
        <v>Velodrome</v>
      </c>
    </row>
    <row r="670" spans="1:73" x14ac:dyDescent="0.2">
      <c r="A670">
        <f t="shared" si="349"/>
        <v>1</v>
      </c>
      <c r="E670" s="4"/>
      <c r="F670" s="43"/>
      <c r="G670" s="4"/>
      <c r="H670" s="46"/>
      <c r="J670" s="44" t="str">
        <f t="shared" si="363"/>
        <v>d</v>
      </c>
      <c r="K670" t="s">
        <v>231</v>
      </c>
      <c r="L670" t="s">
        <v>232</v>
      </c>
      <c r="M670" t="s">
        <v>756</v>
      </c>
      <c r="N670" t="str">
        <f t="shared" si="366"/>
        <v/>
      </c>
      <c r="Q670" t="str">
        <f t="shared" si="364"/>
        <v/>
      </c>
      <c r="S670">
        <v>356</v>
      </c>
      <c r="U670" t="str">
        <f>IF(B670=1,MAX($U$2:$U669)+1,IF(AND($T670&lt;&gt;"",$T670=$T669),$U669,IF(B670="x",U669,"")))</f>
        <v/>
      </c>
      <c r="V670" t="str">
        <f>IF(C670=1,MAX($V$2:$V669)+1,IF(AND($T670&lt;&gt;"",$T670=$T669),$U669,IF(C670="x",V669,"")))</f>
        <v/>
      </c>
      <c r="W670" t="str">
        <f t="shared" si="338"/>
        <v>h</v>
      </c>
      <c r="X670">
        <v>31</v>
      </c>
      <c r="Y670" t="b">
        <f>IF(X670&lt;&gt;"",VLOOKUP(X670,game_rosters!$C$43:$E$64,3,FALSE))</f>
        <v>0</v>
      </c>
      <c r="Z670" cm="1">
        <f t="array" ref="Z670">IFERROR(IF(_xlfn._xlws.FILTER(game_rosters!$J:$J,(game_rosters!$G:$G=events!$AN670)*(game_rosters!$J:$J=events!$X670))&gt;0,1,""),"")</f>
        <v>1</v>
      </c>
      <c r="AA670">
        <f t="shared" si="339"/>
        <v>1356</v>
      </c>
      <c r="AB670" t="str">
        <f t="shared" si="340"/>
        <v/>
      </c>
      <c r="AC670">
        <f t="shared" si="337"/>
        <v>1356</v>
      </c>
      <c r="AD670" s="6">
        <v>1</v>
      </c>
      <c r="AE670" t="s">
        <v>940</v>
      </c>
      <c r="AF670" t="s">
        <v>922</v>
      </c>
      <c r="AG670" t="s">
        <v>756</v>
      </c>
      <c r="AH670" t="s">
        <v>756</v>
      </c>
      <c r="AI670" t="s">
        <v>367</v>
      </c>
      <c r="AJ670" t="str">
        <f t="shared" si="365"/>
        <v>d</v>
      </c>
      <c r="AK670" t="str">
        <f t="shared" si="365"/>
        <v>d</v>
      </c>
      <c r="AL670" t="str">
        <f t="shared" si="342"/>
        <v>d</v>
      </c>
      <c r="AN670" t="s">
        <v>861</v>
      </c>
      <c r="AO670" t="str">
        <f t="shared" si="343"/>
        <v>h</v>
      </c>
      <c r="AP670" t="str">
        <f t="shared" si="350"/>
        <v>d</v>
      </c>
      <c r="AQ670" t="str">
        <f t="shared" si="351"/>
        <v/>
      </c>
      <c r="AR670" t="str">
        <f t="shared" si="352"/>
        <v>Home</v>
      </c>
      <c r="AS670" t="str">
        <f t="shared" si="353"/>
        <v>h</v>
      </c>
      <c r="AT670" t="str">
        <f t="shared" si="354"/>
        <v>Offensive</v>
      </c>
      <c r="BA670" s="6">
        <f t="shared" si="344"/>
        <v>183</v>
      </c>
      <c r="BB670">
        <f t="shared" si="345"/>
        <v>18981</v>
      </c>
      <c r="BC670" t="str">
        <f t="shared" si="346"/>
        <v>Nelson</v>
      </c>
      <c r="BD670" t="str">
        <f t="shared" si="347"/>
        <v>Velodrome</v>
      </c>
      <c r="BE670" t="s">
        <v>231</v>
      </c>
      <c r="BF670" t="s">
        <v>232</v>
      </c>
      <c r="BG670" t="s">
        <v>756</v>
      </c>
      <c r="BI670" cm="1">
        <f t="array" ref="BI670">IFERROR(_xlfn._xlws.FILTER(shifts!A:A,(shifts!B:B=events!AD670)*(shifts!AG:AG&gt;=events!BK670)*(shifts!AH:AH&lt;=events!BL670)),BI669)</f>
        <v>31</v>
      </c>
      <c r="BJ670" s="15">
        <f t="shared" si="348"/>
        <v>0</v>
      </c>
      <c r="BK670">
        <f t="shared" si="355"/>
        <v>230</v>
      </c>
      <c r="BL670">
        <f t="shared" si="356"/>
        <v>230</v>
      </c>
      <c r="BM670" s="15">
        <f>SUMIFS(BJ$2:BJ670,K$2:K670,"=Intermission")+SUMIFS(BJ$2:BJ670,K$2:K670,"=Timeout")</f>
        <v>0</v>
      </c>
      <c r="BN670">
        <f t="shared" si="357"/>
        <v>0</v>
      </c>
      <c r="BO670" s="19">
        <f t="shared" si="358"/>
        <v>850</v>
      </c>
      <c r="BP670">
        <f t="shared" si="359"/>
        <v>845</v>
      </c>
      <c r="BQ670" s="17">
        <f t="shared" si="360"/>
        <v>850</v>
      </c>
      <c r="BR670" t="str">
        <f t="shared" si="361"/>
        <v>event_team_player_1</v>
      </c>
      <c r="BS670">
        <f>COUNTIFS(S$3:S670,"="&amp;S670,AI$3:AI670,"="&amp;AI670)</f>
        <v>1</v>
      </c>
      <c r="BT670" t="str">
        <f>IFERROR(VLOOKUP(BB670&amp;BU670&amp;X670,game_rosters!U:W,3,FALSE),"")</f>
        <v>P100138</v>
      </c>
      <c r="BU670" t="str">
        <f t="shared" si="362"/>
        <v>Nelson</v>
      </c>
    </row>
    <row r="671" spans="1:73" x14ac:dyDescent="0.2">
      <c r="A671">
        <f t="shared" si="349"/>
        <v>1</v>
      </c>
      <c r="E671" s="4"/>
      <c r="F671" s="43"/>
      <c r="G671" s="4"/>
      <c r="H671" s="46"/>
      <c r="J671" s="44" t="str">
        <f t="shared" si="363"/>
        <v/>
      </c>
      <c r="K671" t="s">
        <v>9</v>
      </c>
      <c r="L671" t="s">
        <v>173</v>
      </c>
      <c r="M671" t="s">
        <v>365</v>
      </c>
      <c r="N671" t="str">
        <f t="shared" si="366"/>
        <v>u</v>
      </c>
      <c r="Q671" t="str">
        <f t="shared" si="364"/>
        <v/>
      </c>
      <c r="S671">
        <v>357</v>
      </c>
      <c r="U671" t="str">
        <f>IF(B671=1,MAX($U$2:$U670)+1,IF(AND($T671&lt;&gt;"",$T671=$T670),$U670,IF(B671="x",U670,"")))</f>
        <v/>
      </c>
      <c r="V671" t="str">
        <f>IF(C671=1,MAX($V$2:$V670)+1,IF(AND($T671&lt;&gt;"",$T671=$T670),$U670,IF(C671="x",V670,"")))</f>
        <v/>
      </c>
      <c r="W671" t="str">
        <f t="shared" si="338"/>
        <v>h</v>
      </c>
      <c r="X671">
        <v>8</v>
      </c>
      <c r="Y671" t="b">
        <f>IF(X671&lt;&gt;"",VLOOKUP(X671,game_rosters!$C$43:$E$64,3,FALSE))</f>
        <v>0</v>
      </c>
      <c r="Z671" cm="1">
        <f t="array" ref="Z671">IFERROR(IF(_xlfn._xlws.FILTER(game_rosters!$J:$J,(game_rosters!$G:$G=events!$AN671)*(game_rosters!$J:$J=events!$X671))&gt;0,1,""),"")</f>
        <v>1</v>
      </c>
      <c r="AA671">
        <f t="shared" si="339"/>
        <v>1357</v>
      </c>
      <c r="AB671" t="str">
        <f t="shared" si="340"/>
        <v/>
      </c>
      <c r="AC671">
        <f t="shared" si="337"/>
        <v>1357</v>
      </c>
      <c r="AD671" s="6">
        <v>1</v>
      </c>
      <c r="AE671" t="s">
        <v>940</v>
      </c>
      <c r="AF671" t="s">
        <v>899</v>
      </c>
      <c r="AG671" t="s">
        <v>756</v>
      </c>
      <c r="AH671" t="s">
        <v>756</v>
      </c>
      <c r="AI671" t="s">
        <v>367</v>
      </c>
      <c r="AJ671" t="str">
        <f t="shared" si="365"/>
        <v/>
      </c>
      <c r="AK671" t="str">
        <f t="shared" si="365"/>
        <v/>
      </c>
      <c r="AL671" t="str">
        <f t="shared" si="342"/>
        <v/>
      </c>
      <c r="AN671" t="s">
        <v>861</v>
      </c>
      <c r="AO671" t="str">
        <f t="shared" si="343"/>
        <v>h</v>
      </c>
      <c r="AP671" t="str">
        <f t="shared" si="350"/>
        <v/>
      </c>
      <c r="AQ671" t="str">
        <f t="shared" si="351"/>
        <v/>
      </c>
      <c r="AR671" t="str">
        <f t="shared" si="352"/>
        <v>Home</v>
      </c>
      <c r="AS671" t="str">
        <f t="shared" si="353"/>
        <v>h</v>
      </c>
      <c r="AT671" t="str">
        <f t="shared" si="354"/>
        <v>Offensive</v>
      </c>
      <c r="BA671" s="6">
        <f t="shared" si="344"/>
        <v>183</v>
      </c>
      <c r="BB671">
        <f t="shared" si="345"/>
        <v>18981</v>
      </c>
      <c r="BC671" t="str">
        <f t="shared" si="346"/>
        <v>Nelson</v>
      </c>
      <c r="BD671" t="str">
        <f t="shared" si="347"/>
        <v>Velodrome</v>
      </c>
      <c r="BE671" t="s">
        <v>9</v>
      </c>
      <c r="BF671" t="s">
        <v>173</v>
      </c>
      <c r="BG671" t="s">
        <v>365</v>
      </c>
      <c r="BI671" cm="1">
        <f t="array" ref="BI671">IFERROR(_xlfn._xlws.FILTER(shifts!A:A,(shifts!B:B=events!AD671)*(shifts!AG:AG&gt;=events!BK671)*(shifts!AH:AH&lt;=events!BL671)),BI670)</f>
        <v>31</v>
      </c>
      <c r="BJ671" s="15">
        <f t="shared" si="348"/>
        <v>0</v>
      </c>
      <c r="BK671">
        <f t="shared" si="355"/>
        <v>228</v>
      </c>
      <c r="BL671">
        <f t="shared" si="356"/>
        <v>228</v>
      </c>
      <c r="BM671" s="15">
        <f>SUMIFS(BJ$2:BJ671,K$2:K671,"=Intermission")+SUMIFS(BJ$2:BJ671,K$2:K671,"=Timeout")</f>
        <v>0</v>
      </c>
      <c r="BN671">
        <f t="shared" si="357"/>
        <v>0</v>
      </c>
      <c r="BO671" s="19">
        <f t="shared" si="358"/>
        <v>852</v>
      </c>
      <c r="BP671">
        <f t="shared" si="359"/>
        <v>847</v>
      </c>
      <c r="BQ671" s="17">
        <f t="shared" si="360"/>
        <v>852</v>
      </c>
      <c r="BR671" t="str">
        <f t="shared" si="361"/>
        <v>event_team_player_1</v>
      </c>
      <c r="BS671">
        <f>COUNTIFS(S$3:S671,"="&amp;S671,AI$3:AI671,"="&amp;AI671)</f>
        <v>1</v>
      </c>
      <c r="BT671" t="str">
        <f>IFERROR(VLOOKUP(BB671&amp;BU671&amp;X671,game_rosters!U:W,3,FALSE),"")</f>
        <v>P100074</v>
      </c>
      <c r="BU671" t="str">
        <f t="shared" si="362"/>
        <v>Nelson</v>
      </c>
    </row>
    <row r="672" spans="1:73" x14ac:dyDescent="0.2">
      <c r="A672">
        <f t="shared" si="349"/>
        <v>1</v>
      </c>
      <c r="E672" s="4"/>
      <c r="F672" s="43"/>
      <c r="G672" s="4"/>
      <c r="H672" s="46"/>
      <c r="J672" s="44" t="str">
        <f t="shared" si="363"/>
        <v/>
      </c>
      <c r="K672" t="s">
        <v>238</v>
      </c>
      <c r="L672" t="s">
        <v>193</v>
      </c>
      <c r="M672" t="s">
        <v>91</v>
      </c>
      <c r="N672" t="str">
        <f t="shared" si="366"/>
        <v>s</v>
      </c>
      <c r="Q672" t="str">
        <f t="shared" si="364"/>
        <v/>
      </c>
      <c r="S672">
        <v>358</v>
      </c>
      <c r="U672" t="str">
        <f>IF(B672=1,MAX($U$2:$U671)+1,IF(AND($T672&lt;&gt;"",$T672=$T671),$U671,IF(B672="x",U671,"")))</f>
        <v/>
      </c>
      <c r="V672" t="str">
        <f>IF(C672=1,MAX($V$2:$V671)+1,IF(AND($T672&lt;&gt;"",$T672=$T671),$U671,IF(C672="x",V671,"")))</f>
        <v/>
      </c>
      <c r="W672" t="str">
        <f t="shared" si="338"/>
        <v>a</v>
      </c>
      <c r="X672">
        <v>70</v>
      </c>
      <c r="Y672" t="e">
        <f>IF(X672&lt;&gt;"",VLOOKUP(X672,game_rosters!$C$43:$E$64,3,FALSE))</f>
        <v>#N/A</v>
      </c>
      <c r="Z672" cm="1">
        <f t="array" ref="Z672">IFERROR(IF(_xlfn._xlws.FILTER(game_rosters!$J:$J,(game_rosters!$G:$G=events!$AN672)*(game_rosters!$J:$J=events!$X672))&gt;0,1,""),"")</f>
        <v>1</v>
      </c>
      <c r="AA672">
        <f t="shared" si="339"/>
        <v>1358</v>
      </c>
      <c r="AB672" t="str">
        <f t="shared" si="340"/>
        <v/>
      </c>
      <c r="AC672">
        <f t="shared" si="337"/>
        <v>1358</v>
      </c>
      <c r="AD672" s="6">
        <v>1</v>
      </c>
      <c r="AE672" t="s">
        <v>940</v>
      </c>
      <c r="AF672" t="s">
        <v>900</v>
      </c>
      <c r="AG672" t="s">
        <v>756</v>
      </c>
      <c r="AH672" t="s">
        <v>756</v>
      </c>
      <c r="AI672" t="s">
        <v>367</v>
      </c>
      <c r="AJ672" t="str">
        <f t="shared" si="365"/>
        <v/>
      </c>
      <c r="AK672" t="str">
        <f t="shared" si="365"/>
        <v/>
      </c>
      <c r="AL672" t="str">
        <f t="shared" si="342"/>
        <v/>
      </c>
      <c r="AN672" t="s">
        <v>862</v>
      </c>
      <c r="AO672" t="str">
        <f t="shared" si="343"/>
        <v>a</v>
      </c>
      <c r="AP672" t="str">
        <f t="shared" si="350"/>
        <v/>
      </c>
      <c r="AQ672" t="str">
        <f t="shared" si="351"/>
        <v/>
      </c>
      <c r="AR672" t="str">
        <f t="shared" si="352"/>
        <v>Away</v>
      </c>
      <c r="AS672" t="str">
        <f t="shared" si="353"/>
        <v>a</v>
      </c>
      <c r="AT672" t="str">
        <f t="shared" si="354"/>
        <v>Offensive</v>
      </c>
      <c r="BA672" s="6">
        <f t="shared" si="344"/>
        <v>183</v>
      </c>
      <c r="BB672">
        <f t="shared" si="345"/>
        <v>18981</v>
      </c>
      <c r="BC672" t="str">
        <f t="shared" si="346"/>
        <v>Nelson</v>
      </c>
      <c r="BD672" t="str">
        <f t="shared" si="347"/>
        <v>Velodrome</v>
      </c>
      <c r="BE672" t="s">
        <v>238</v>
      </c>
      <c r="BF672" t="s">
        <v>193</v>
      </c>
      <c r="BG672" t="s">
        <v>91</v>
      </c>
      <c r="BI672" cm="1">
        <f t="array" ref="BI672">IFERROR(_xlfn._xlws.FILTER(shifts!A:A,(shifts!B:B=events!AD672)*(shifts!AG:AG&gt;=events!BK672)*(shifts!AH:AH&lt;=events!BL672)),BI671)</f>
        <v>31</v>
      </c>
      <c r="BJ672" s="15">
        <f t="shared" si="348"/>
        <v>0</v>
      </c>
      <c r="BK672">
        <f t="shared" si="355"/>
        <v>227</v>
      </c>
      <c r="BL672">
        <f t="shared" si="356"/>
        <v>227</v>
      </c>
      <c r="BM672" s="15">
        <f>SUMIFS(BJ$2:BJ672,K$2:K672,"=Intermission")+SUMIFS(BJ$2:BJ672,K$2:K672,"=Timeout")</f>
        <v>0</v>
      </c>
      <c r="BN672">
        <f t="shared" si="357"/>
        <v>0</v>
      </c>
      <c r="BO672" s="19">
        <f t="shared" si="358"/>
        <v>853</v>
      </c>
      <c r="BP672">
        <f t="shared" si="359"/>
        <v>848</v>
      </c>
      <c r="BQ672" s="17">
        <f t="shared" si="360"/>
        <v>853</v>
      </c>
      <c r="BR672" t="str">
        <f t="shared" si="361"/>
        <v>event_team_player_1</v>
      </c>
      <c r="BS672">
        <f>COUNTIFS(S$3:S672,"="&amp;S672,AI$3:AI672,"="&amp;AI672)</f>
        <v>1</v>
      </c>
      <c r="BT672" t="str">
        <f>IFERROR(VLOOKUP(BB672&amp;BU672&amp;X672,game_rosters!U:W,3,FALSE),"")</f>
        <v>P100001</v>
      </c>
      <c r="BU672" t="str">
        <f t="shared" si="362"/>
        <v>Velodrome</v>
      </c>
    </row>
    <row r="673" spans="1:73" x14ac:dyDescent="0.2">
      <c r="A673">
        <f t="shared" si="349"/>
        <v>1</v>
      </c>
      <c r="E673" s="4"/>
      <c r="F673" s="43"/>
      <c r="G673" s="4"/>
      <c r="H673" s="46"/>
      <c r="J673" s="44" t="str">
        <f t="shared" si="363"/>
        <v>o</v>
      </c>
      <c r="K673" t="s">
        <v>6</v>
      </c>
      <c r="L673" t="s">
        <v>191</v>
      </c>
      <c r="M673" t="s">
        <v>51</v>
      </c>
      <c r="N673" t="str">
        <f t="shared" si="366"/>
        <v>u</v>
      </c>
      <c r="Q673" t="str">
        <f t="shared" si="364"/>
        <v/>
      </c>
      <c r="S673">
        <v>359</v>
      </c>
      <c r="U673" t="str">
        <f>IF(B673=1,MAX($U$2:$U672)+1,IF(AND($T673&lt;&gt;"",$T673=$T672),$U672,IF(B673="x",U672,"")))</f>
        <v/>
      </c>
      <c r="V673" t="str">
        <f>IF(C673=1,MAX($V$2:$V672)+1,IF(AND($T673&lt;&gt;"",$T673=$T672),$U672,IF(C673="x",V672,"")))</f>
        <v/>
      </c>
      <c r="W673" t="str">
        <f t="shared" si="338"/>
        <v>a</v>
      </c>
      <c r="X673">
        <v>70</v>
      </c>
      <c r="Y673" t="e">
        <f>IF(X673&lt;&gt;"",VLOOKUP(X673,game_rosters!$C$43:$E$64,3,FALSE))</f>
        <v>#N/A</v>
      </c>
      <c r="Z673" cm="1">
        <f t="array" ref="Z673">IFERROR(IF(_xlfn._xlws.FILTER(game_rosters!$J:$J,(game_rosters!$G:$G=events!$AN673)*(game_rosters!$J:$J=events!$X673))&gt;0,1,""),"")</f>
        <v>1</v>
      </c>
      <c r="AA673">
        <f t="shared" si="339"/>
        <v>1359</v>
      </c>
      <c r="AB673" t="str">
        <f t="shared" si="340"/>
        <v/>
      </c>
      <c r="AC673">
        <f t="shared" si="337"/>
        <v>1359</v>
      </c>
      <c r="AD673" s="6">
        <v>1</v>
      </c>
      <c r="AE673" t="s">
        <v>940</v>
      </c>
      <c r="AF673" t="s">
        <v>923</v>
      </c>
      <c r="AG673" t="s">
        <v>756</v>
      </c>
      <c r="AH673" t="s">
        <v>756</v>
      </c>
      <c r="AI673" t="s">
        <v>367</v>
      </c>
      <c r="AJ673" t="str">
        <f t="shared" si="365"/>
        <v>o</v>
      </c>
      <c r="AK673" t="str">
        <f t="shared" si="365"/>
        <v>o</v>
      </c>
      <c r="AL673" t="str">
        <f t="shared" si="342"/>
        <v>d</v>
      </c>
      <c r="AN673" t="s">
        <v>862</v>
      </c>
      <c r="AO673" t="str">
        <f t="shared" si="343"/>
        <v>a</v>
      </c>
      <c r="AP673" t="str">
        <f t="shared" si="350"/>
        <v>d</v>
      </c>
      <c r="AQ673" t="str">
        <f t="shared" si="351"/>
        <v/>
      </c>
      <c r="AR673" t="str">
        <f t="shared" si="352"/>
        <v>Away</v>
      </c>
      <c r="AS673" t="str">
        <f t="shared" si="353"/>
        <v>a</v>
      </c>
      <c r="AT673" t="str">
        <f t="shared" si="354"/>
        <v>Offensive</v>
      </c>
      <c r="BA673" s="6">
        <f t="shared" si="344"/>
        <v>183</v>
      </c>
      <c r="BB673">
        <f t="shared" si="345"/>
        <v>18981</v>
      </c>
      <c r="BC673" t="str">
        <f t="shared" si="346"/>
        <v>Nelson</v>
      </c>
      <c r="BD673" t="str">
        <f t="shared" si="347"/>
        <v>Velodrome</v>
      </c>
      <c r="BE673" t="s">
        <v>6</v>
      </c>
      <c r="BF673" t="s">
        <v>191</v>
      </c>
      <c r="BG673" t="s">
        <v>51</v>
      </c>
      <c r="BI673" cm="1">
        <f t="array" ref="BI673">IFERROR(_xlfn._xlws.FILTER(shifts!A:A,(shifts!B:B=events!AD673)*(shifts!AG:AG&gt;=events!BK673)*(shifts!AH:AH&lt;=events!BL673)),BI672)</f>
        <v>31</v>
      </c>
      <c r="BJ673" s="15">
        <f t="shared" si="348"/>
        <v>0</v>
      </c>
      <c r="BK673">
        <f t="shared" si="355"/>
        <v>224</v>
      </c>
      <c r="BL673">
        <f t="shared" si="356"/>
        <v>224</v>
      </c>
      <c r="BM673" s="15">
        <f>SUMIFS(BJ$2:BJ673,K$2:K673,"=Intermission")+SUMIFS(BJ$2:BJ673,K$2:K673,"=Timeout")</f>
        <v>0</v>
      </c>
      <c r="BN673">
        <f t="shared" si="357"/>
        <v>0</v>
      </c>
      <c r="BO673" s="19">
        <f t="shared" si="358"/>
        <v>856</v>
      </c>
      <c r="BP673">
        <f t="shared" si="359"/>
        <v>851</v>
      </c>
      <c r="BQ673" s="17">
        <f t="shared" si="360"/>
        <v>856</v>
      </c>
      <c r="BR673" t="str">
        <f t="shared" si="361"/>
        <v>event_team_player_1</v>
      </c>
      <c r="BS673">
        <f>COUNTIFS(S$3:S673,"="&amp;S673,AI$3:AI673,"="&amp;AI673)</f>
        <v>1</v>
      </c>
      <c r="BT673" t="str">
        <f>IFERROR(VLOOKUP(BB673&amp;BU673&amp;X673,game_rosters!U:W,3,FALSE),"")</f>
        <v>P100001</v>
      </c>
      <c r="BU673" t="str">
        <f t="shared" si="362"/>
        <v>Velodrome</v>
      </c>
    </row>
    <row r="674" spans="1:73" x14ac:dyDescent="0.2">
      <c r="A674">
        <f t="shared" si="349"/>
        <v>1</v>
      </c>
      <c r="E674" s="4"/>
      <c r="F674" s="43"/>
      <c r="G674" s="4"/>
      <c r="H674" s="46"/>
      <c r="J674" s="44" t="str">
        <f t="shared" si="363"/>
        <v>o</v>
      </c>
      <c r="K674" t="s">
        <v>6</v>
      </c>
      <c r="L674" t="s">
        <v>191</v>
      </c>
      <c r="M674" t="s">
        <v>51</v>
      </c>
      <c r="N674" t="str">
        <f t="shared" si="366"/>
        <v>u</v>
      </c>
      <c r="Q674" t="str">
        <f t="shared" si="364"/>
        <v/>
      </c>
      <c r="S674">
        <v>359</v>
      </c>
      <c r="U674" t="str">
        <f>IF(B674=1,MAX($U$2:$U673)+1,IF(AND($T674&lt;&gt;"",$T674=$T673),$U673,IF(B674="x",U673,"")))</f>
        <v/>
      </c>
      <c r="V674" t="str">
        <f>IF(C674=1,MAX($V$2:$V673)+1,IF(AND($T674&lt;&gt;"",$T674=$T673),$U673,IF(C674="x",V673,"")))</f>
        <v/>
      </c>
      <c r="W674" t="str">
        <f t="shared" si="338"/>
        <v>a</v>
      </c>
      <c r="X674">
        <v>44</v>
      </c>
      <c r="Y674" t="b">
        <f>IF(X674&lt;&gt;"",VLOOKUP(X674,game_rosters!$C$43:$E$64,3,FALSE))</f>
        <v>0</v>
      </c>
      <c r="Z674" t="str" cm="1">
        <f t="array" ref="Z674">IFERROR(IF(_xlfn._xlws.FILTER(game_rosters!$J:$J,(game_rosters!$G:$G=events!$AN674)*(game_rosters!$J:$J=events!$X674))&gt;0,1,""),"")</f>
        <v/>
      </c>
      <c r="AA674">
        <f t="shared" si="339"/>
        <v>1359</v>
      </c>
      <c r="AB674" t="str">
        <f t="shared" si="340"/>
        <v/>
      </c>
      <c r="AC674">
        <f t="shared" si="337"/>
        <v>1359</v>
      </c>
      <c r="AD674" s="6">
        <v>1</v>
      </c>
      <c r="AE674" t="s">
        <v>940</v>
      </c>
      <c r="AF674" t="s">
        <v>923</v>
      </c>
      <c r="AG674" t="s">
        <v>756</v>
      </c>
      <c r="AH674" t="s">
        <v>756</v>
      </c>
      <c r="AI674" t="s">
        <v>368</v>
      </c>
      <c r="AJ674" t="str">
        <f t="shared" si="365"/>
        <v>o</v>
      </c>
      <c r="AK674" t="str">
        <f t="shared" si="365"/>
        <v>o</v>
      </c>
      <c r="AL674" t="str">
        <f t="shared" si="342"/>
        <v>d</v>
      </c>
      <c r="AN674" t="s">
        <v>862</v>
      </c>
      <c r="AO674" t="str">
        <f t="shared" si="343"/>
        <v>a</v>
      </c>
      <c r="AP674" t="str">
        <f t="shared" si="350"/>
        <v>d</v>
      </c>
      <c r="AQ674" t="str">
        <f t="shared" si="351"/>
        <v/>
      </c>
      <c r="AR674" t="str">
        <f t="shared" si="352"/>
        <v>Away</v>
      </c>
      <c r="AS674" t="str">
        <f t="shared" si="353"/>
        <v>a</v>
      </c>
      <c r="AT674" t="str">
        <f t="shared" si="354"/>
        <v>Defensive</v>
      </c>
      <c r="BA674" s="6">
        <f t="shared" si="344"/>
        <v>183</v>
      </c>
      <c r="BB674">
        <f t="shared" si="345"/>
        <v>18981</v>
      </c>
      <c r="BC674" t="str">
        <f t="shared" si="346"/>
        <v>Nelson</v>
      </c>
      <c r="BD674" t="str">
        <f t="shared" si="347"/>
        <v>Velodrome</v>
      </c>
      <c r="BE674" t="s">
        <v>6</v>
      </c>
      <c r="BF674" t="s">
        <v>191</v>
      </c>
      <c r="BG674" t="s">
        <v>51</v>
      </c>
      <c r="BI674" cm="1">
        <f t="array" ref="BI674">IFERROR(_xlfn._xlws.FILTER(shifts!A:A,(shifts!B:B=events!AD674)*(shifts!AG:AG&gt;=events!BK674)*(shifts!AH:AH&lt;=events!BL674)),BI673)</f>
        <v>31</v>
      </c>
      <c r="BJ674" s="15">
        <f t="shared" si="348"/>
        <v>0</v>
      </c>
      <c r="BK674">
        <f t="shared" si="355"/>
        <v>224</v>
      </c>
      <c r="BL674">
        <f t="shared" si="356"/>
        <v>224</v>
      </c>
      <c r="BM674" s="15">
        <f>SUMIFS(BJ$2:BJ674,K$2:K674,"=Intermission")+SUMIFS(BJ$2:BJ674,K$2:K674,"=Timeout")</f>
        <v>0</v>
      </c>
      <c r="BN674">
        <f t="shared" si="357"/>
        <v>0</v>
      </c>
      <c r="BO674" s="19">
        <f t="shared" si="358"/>
        <v>856</v>
      </c>
      <c r="BP674">
        <f t="shared" si="359"/>
        <v>851</v>
      </c>
      <c r="BQ674" s="17">
        <f t="shared" si="360"/>
        <v>856</v>
      </c>
      <c r="BR674" t="str">
        <f t="shared" si="361"/>
        <v>opp_team_player_1</v>
      </c>
      <c r="BS674">
        <f>COUNTIFS(S$3:S674,"="&amp;S674,AI$3:AI674,"="&amp;AI674)</f>
        <v>1</v>
      </c>
      <c r="BT674" t="str">
        <f>IFERROR(VLOOKUP(BB674&amp;BU674&amp;X674,game_rosters!U:W,3,FALSE),"")</f>
        <v>P100079</v>
      </c>
      <c r="BU674" t="str">
        <f t="shared" si="362"/>
        <v>Nelson</v>
      </c>
    </row>
    <row r="675" spans="1:73" x14ac:dyDescent="0.2">
      <c r="A675">
        <f t="shared" si="349"/>
        <v>1</v>
      </c>
      <c r="E675" s="4"/>
      <c r="F675" s="43"/>
      <c r="G675" s="4"/>
      <c r="H675" s="46"/>
      <c r="J675" s="44" t="str">
        <f t="shared" si="363"/>
        <v/>
      </c>
      <c r="K675" t="s">
        <v>9</v>
      </c>
      <c r="L675" t="s">
        <v>173</v>
      </c>
      <c r="M675" t="s">
        <v>76</v>
      </c>
      <c r="N675" t="str">
        <f t="shared" si="366"/>
        <v>u</v>
      </c>
      <c r="Q675" t="str">
        <f t="shared" si="364"/>
        <v/>
      </c>
      <c r="S675">
        <v>360</v>
      </c>
      <c r="U675" t="str">
        <f>IF(B675=1,MAX($U$2:$U674)+1,IF(AND($T675&lt;&gt;"",$T675=$T674),$U674,IF(B675="x",U674,"")))</f>
        <v/>
      </c>
      <c r="V675" t="str">
        <f>IF(C675=1,MAX($V$2:$V674)+1,IF(AND($T675&lt;&gt;"",$T675=$T674),$U674,IF(C675="x",V674,"")))</f>
        <v/>
      </c>
      <c r="W675" t="str">
        <f t="shared" si="338"/>
        <v>a</v>
      </c>
      <c r="X675">
        <v>70</v>
      </c>
      <c r="Y675" t="e">
        <f>IF(X675&lt;&gt;"",VLOOKUP(X675,game_rosters!$C$43:$E$64,3,FALSE))</f>
        <v>#N/A</v>
      </c>
      <c r="Z675" cm="1">
        <f t="array" ref="Z675">IFERROR(IF(_xlfn._xlws.FILTER(game_rosters!$J:$J,(game_rosters!$G:$G=events!$AN675)*(game_rosters!$J:$J=events!$X675))&gt;0,1,""),"")</f>
        <v>1</v>
      </c>
      <c r="AA675">
        <f t="shared" si="339"/>
        <v>1360</v>
      </c>
      <c r="AB675" t="str">
        <f t="shared" si="340"/>
        <v/>
      </c>
      <c r="AC675">
        <f t="shared" si="337"/>
        <v>1360</v>
      </c>
      <c r="AD675" s="6">
        <v>1</v>
      </c>
      <c r="AE675" t="s">
        <v>940</v>
      </c>
      <c r="AF675" t="s">
        <v>923</v>
      </c>
      <c r="AG675" t="s">
        <v>756</v>
      </c>
      <c r="AH675" t="s">
        <v>756</v>
      </c>
      <c r="AI675" t="s">
        <v>367</v>
      </c>
      <c r="AJ675" t="str">
        <f t="shared" si="365"/>
        <v/>
      </c>
      <c r="AK675" t="str">
        <f t="shared" si="365"/>
        <v/>
      </c>
      <c r="AL675" t="str">
        <f t="shared" si="342"/>
        <v/>
      </c>
      <c r="AN675" t="s">
        <v>862</v>
      </c>
      <c r="AO675" t="str">
        <f t="shared" si="343"/>
        <v>a</v>
      </c>
      <c r="AP675" t="str">
        <f t="shared" si="350"/>
        <v/>
      </c>
      <c r="AQ675" t="str">
        <f t="shared" si="351"/>
        <v/>
      </c>
      <c r="AR675" t="str">
        <f t="shared" si="352"/>
        <v>Away</v>
      </c>
      <c r="AS675" t="str">
        <f t="shared" si="353"/>
        <v>a</v>
      </c>
      <c r="AT675" t="str">
        <f t="shared" si="354"/>
        <v>Offensive</v>
      </c>
      <c r="BA675" s="6">
        <f t="shared" si="344"/>
        <v>183</v>
      </c>
      <c r="BB675">
        <f t="shared" si="345"/>
        <v>18981</v>
      </c>
      <c r="BC675" t="str">
        <f t="shared" si="346"/>
        <v>Nelson</v>
      </c>
      <c r="BD675" t="str">
        <f t="shared" si="347"/>
        <v>Velodrome</v>
      </c>
      <c r="BE675" t="s">
        <v>9</v>
      </c>
      <c r="BF675" t="s">
        <v>173</v>
      </c>
      <c r="BG675" t="s">
        <v>76</v>
      </c>
      <c r="BI675" cm="1">
        <f t="array" ref="BI675">IFERROR(_xlfn._xlws.FILTER(shifts!A:A,(shifts!B:B=events!AD675)*(shifts!AG:AG&gt;=events!BK675)*(shifts!AH:AH&lt;=events!BL675)),BI674)</f>
        <v>31</v>
      </c>
      <c r="BJ675" s="15">
        <f t="shared" si="348"/>
        <v>0</v>
      </c>
      <c r="BK675">
        <f t="shared" si="355"/>
        <v>224</v>
      </c>
      <c r="BL675">
        <f t="shared" si="356"/>
        <v>224</v>
      </c>
      <c r="BM675" s="15">
        <f>SUMIFS(BJ$2:BJ675,K$2:K675,"=Intermission")+SUMIFS(BJ$2:BJ675,K$2:K675,"=Timeout")</f>
        <v>0</v>
      </c>
      <c r="BN675">
        <f t="shared" si="357"/>
        <v>0</v>
      </c>
      <c r="BO675" s="19">
        <f t="shared" si="358"/>
        <v>856</v>
      </c>
      <c r="BP675">
        <f t="shared" si="359"/>
        <v>851</v>
      </c>
      <c r="BQ675" s="17">
        <f t="shared" si="360"/>
        <v>856</v>
      </c>
      <c r="BR675" t="str">
        <f t="shared" si="361"/>
        <v>event_team_player_1</v>
      </c>
      <c r="BS675">
        <f>COUNTIFS(S$3:S675,"="&amp;S675,AI$3:AI675,"="&amp;AI675)</f>
        <v>1</v>
      </c>
      <c r="BT675" t="str">
        <f>IFERROR(VLOOKUP(BB675&amp;BU675&amp;X675,game_rosters!U:W,3,FALSE),"")</f>
        <v>P100001</v>
      </c>
      <c r="BU675" t="str">
        <f t="shared" si="362"/>
        <v>Velodrome</v>
      </c>
    </row>
    <row r="676" spans="1:73" x14ac:dyDescent="0.2">
      <c r="A676">
        <f t="shared" si="349"/>
        <v>1</v>
      </c>
      <c r="E676" s="4"/>
      <c r="F676" s="43"/>
      <c r="G676" s="4"/>
      <c r="H676" s="46"/>
      <c r="J676" s="44" t="str">
        <f t="shared" si="363"/>
        <v/>
      </c>
      <c r="K676" t="s">
        <v>9</v>
      </c>
      <c r="L676" t="s">
        <v>173</v>
      </c>
      <c r="M676" t="s">
        <v>76</v>
      </c>
      <c r="N676" t="str">
        <f t="shared" si="366"/>
        <v>u</v>
      </c>
      <c r="Q676" t="str">
        <f t="shared" si="364"/>
        <v/>
      </c>
      <c r="S676">
        <v>360</v>
      </c>
      <c r="U676" t="str">
        <f>IF(B676=1,MAX($U$2:$U675)+1,IF(AND($T676&lt;&gt;"",$T676=$T675),$U675,IF(B676="x",U675,"")))</f>
        <v/>
      </c>
      <c r="V676" t="str">
        <f>IF(C676=1,MAX($V$2:$V675)+1,IF(AND($T676&lt;&gt;"",$T676=$T675),$U675,IF(C676="x",V675,"")))</f>
        <v/>
      </c>
      <c r="W676" t="str">
        <f t="shared" si="338"/>
        <v>a</v>
      </c>
      <c r="X676">
        <v>44</v>
      </c>
      <c r="Y676" t="b">
        <f>IF(X676&lt;&gt;"",VLOOKUP(X676,game_rosters!$C$43:$E$64,3,FALSE))</f>
        <v>0</v>
      </c>
      <c r="Z676" t="str" cm="1">
        <f t="array" ref="Z676">IFERROR(IF(_xlfn._xlws.FILTER(game_rosters!$J:$J,(game_rosters!$G:$G=events!$AN676)*(game_rosters!$J:$J=events!$X676))&gt;0,1,""),"")</f>
        <v/>
      </c>
      <c r="AA676">
        <f t="shared" si="339"/>
        <v>1360</v>
      </c>
      <c r="AB676" t="str">
        <f t="shared" si="340"/>
        <v/>
      </c>
      <c r="AC676">
        <f t="shared" si="337"/>
        <v>1360</v>
      </c>
      <c r="AD676" s="6">
        <v>1</v>
      </c>
      <c r="AE676" t="s">
        <v>940</v>
      </c>
      <c r="AF676" t="s">
        <v>923</v>
      </c>
      <c r="AG676" t="s">
        <v>756</v>
      </c>
      <c r="AH676" t="s">
        <v>756</v>
      </c>
      <c r="AI676" t="s">
        <v>368</v>
      </c>
      <c r="AJ676" t="str">
        <f t="shared" ref="AJ676:AK691" si="367">IF($J676&lt;&gt;"",$J676,IF($AC676=$AC675,AJ675,""))</f>
        <v/>
      </c>
      <c r="AK676" t="str">
        <f t="shared" si="367"/>
        <v/>
      </c>
      <c r="AL676" t="str">
        <f t="shared" si="342"/>
        <v/>
      </c>
      <c r="AN676" t="s">
        <v>862</v>
      </c>
      <c r="AO676" t="str">
        <f t="shared" si="343"/>
        <v>a</v>
      </c>
      <c r="AP676" t="str">
        <f t="shared" si="350"/>
        <v/>
      </c>
      <c r="AQ676" t="str">
        <f t="shared" si="351"/>
        <v/>
      </c>
      <c r="AR676" t="str">
        <f t="shared" si="352"/>
        <v>Away</v>
      </c>
      <c r="AS676" t="str">
        <f t="shared" si="353"/>
        <v>a</v>
      </c>
      <c r="AT676" t="str">
        <f t="shared" si="354"/>
        <v>Defensive</v>
      </c>
      <c r="BA676" s="6">
        <f t="shared" si="344"/>
        <v>183</v>
      </c>
      <c r="BB676">
        <f t="shared" si="345"/>
        <v>18981</v>
      </c>
      <c r="BC676" t="str">
        <f t="shared" si="346"/>
        <v>Nelson</v>
      </c>
      <c r="BD676" t="str">
        <f t="shared" si="347"/>
        <v>Velodrome</v>
      </c>
      <c r="BE676" t="s">
        <v>9</v>
      </c>
      <c r="BF676" t="s">
        <v>173</v>
      </c>
      <c r="BG676" t="s">
        <v>76</v>
      </c>
      <c r="BI676" cm="1">
        <f t="array" ref="BI676">IFERROR(_xlfn._xlws.FILTER(shifts!A:A,(shifts!B:B=events!AD676)*(shifts!AG:AG&gt;=events!BK676)*(shifts!AH:AH&lt;=events!BL676)),BI675)</f>
        <v>31</v>
      </c>
      <c r="BJ676" s="15">
        <f t="shared" si="348"/>
        <v>0</v>
      </c>
      <c r="BK676">
        <f t="shared" si="355"/>
        <v>224</v>
      </c>
      <c r="BL676">
        <f t="shared" si="356"/>
        <v>224</v>
      </c>
      <c r="BM676" s="15">
        <f>SUMIFS(BJ$2:BJ676,K$2:K676,"=Intermission")+SUMIFS(BJ$2:BJ676,K$2:K676,"=Timeout")</f>
        <v>0</v>
      </c>
      <c r="BN676">
        <f t="shared" si="357"/>
        <v>0</v>
      </c>
      <c r="BO676" s="19">
        <f t="shared" si="358"/>
        <v>856</v>
      </c>
      <c r="BP676">
        <f t="shared" si="359"/>
        <v>851</v>
      </c>
      <c r="BQ676" s="17">
        <f t="shared" si="360"/>
        <v>856</v>
      </c>
      <c r="BR676" t="str">
        <f t="shared" si="361"/>
        <v>opp_team_player_1</v>
      </c>
      <c r="BS676">
        <f>COUNTIFS(S$3:S676,"="&amp;S676,AI$3:AI676,"="&amp;AI676)</f>
        <v>1</v>
      </c>
      <c r="BT676" t="str">
        <f>IFERROR(VLOOKUP(BB676&amp;BU676&amp;X676,game_rosters!U:W,3,FALSE),"")</f>
        <v>P100079</v>
      </c>
      <c r="BU676" t="str">
        <f t="shared" si="362"/>
        <v>Nelson</v>
      </c>
    </row>
    <row r="677" spans="1:73" x14ac:dyDescent="0.2">
      <c r="A677">
        <f t="shared" si="349"/>
        <v>1</v>
      </c>
      <c r="E677" s="4"/>
      <c r="F677" s="43"/>
      <c r="G677" s="4"/>
      <c r="H677" s="46"/>
      <c r="J677" s="44" t="str">
        <f t="shared" si="363"/>
        <v/>
      </c>
      <c r="K677" t="s">
        <v>13</v>
      </c>
      <c r="L677" t="s">
        <v>756</v>
      </c>
      <c r="M677" t="s">
        <v>756</v>
      </c>
      <c r="N677" t="str">
        <f t="shared" si="366"/>
        <v/>
      </c>
      <c r="Q677" t="str">
        <f t="shared" si="364"/>
        <v/>
      </c>
      <c r="S677">
        <v>361</v>
      </c>
      <c r="U677" t="str">
        <f>IF(B677=1,MAX($U$2:$U676)+1,IF(AND($T677&lt;&gt;"",$T677=$T676),$U676,IF(B677="x",U676,"")))</f>
        <v/>
      </c>
      <c r="V677" t="str">
        <f>IF(C677=1,MAX($V$2:$V676)+1,IF(AND($T677&lt;&gt;"",$T677=$T676),$U676,IF(C677="x",V676,"")))</f>
        <v/>
      </c>
      <c r="W677" t="str">
        <f t="shared" si="338"/>
        <v>h</v>
      </c>
      <c r="X677">
        <v>80</v>
      </c>
      <c r="Y677" t="b">
        <f>IF(X677&lt;&gt;"",VLOOKUP(X677,game_rosters!$C$43:$E$64,3,FALSE))</f>
        <v>0</v>
      </c>
      <c r="Z677" cm="1">
        <f t="array" ref="Z677">IFERROR(IF(_xlfn._xlws.FILTER(game_rosters!$J:$J,(game_rosters!$G:$G=events!$AN677)*(game_rosters!$J:$J=events!$X677))&gt;0,1,""),"")</f>
        <v>1</v>
      </c>
      <c r="AA677">
        <f t="shared" si="339"/>
        <v>1361</v>
      </c>
      <c r="AB677" t="str">
        <f t="shared" si="340"/>
        <v/>
      </c>
      <c r="AC677">
        <f t="shared" si="337"/>
        <v>1361</v>
      </c>
      <c r="AD677" s="6">
        <v>1</v>
      </c>
      <c r="AE677" t="s">
        <v>940</v>
      </c>
      <c r="AF677" t="s">
        <v>923</v>
      </c>
      <c r="AG677" t="s">
        <v>940</v>
      </c>
      <c r="AH677" t="s">
        <v>924</v>
      </c>
      <c r="AI677" t="s">
        <v>367</v>
      </c>
      <c r="AJ677" t="str">
        <f t="shared" si="367"/>
        <v/>
      </c>
      <c r="AK677" t="str">
        <f t="shared" si="367"/>
        <v/>
      </c>
      <c r="AL677" t="str">
        <f t="shared" si="342"/>
        <v/>
      </c>
      <c r="AN677" t="s">
        <v>861</v>
      </c>
      <c r="AO677" t="str">
        <f t="shared" si="343"/>
        <v>h</v>
      </c>
      <c r="AP677" t="str">
        <f t="shared" si="350"/>
        <v/>
      </c>
      <c r="AQ677" t="str">
        <f t="shared" si="351"/>
        <v/>
      </c>
      <c r="AR677" t="str">
        <f t="shared" si="352"/>
        <v>Home</v>
      </c>
      <c r="AS677" t="str">
        <f t="shared" si="353"/>
        <v>h</v>
      </c>
      <c r="AT677" t="str">
        <f t="shared" si="354"/>
        <v>Offensive</v>
      </c>
      <c r="BA677" s="6">
        <f t="shared" si="344"/>
        <v>183</v>
      </c>
      <c r="BB677">
        <f t="shared" si="345"/>
        <v>18981</v>
      </c>
      <c r="BC677" t="str">
        <f t="shared" si="346"/>
        <v>Nelson</v>
      </c>
      <c r="BD677" t="str">
        <f t="shared" si="347"/>
        <v>Velodrome</v>
      </c>
      <c r="BE677" t="s">
        <v>13</v>
      </c>
      <c r="BF677" t="s">
        <v>756</v>
      </c>
      <c r="BG677" t="s">
        <v>756</v>
      </c>
      <c r="BI677" cm="1">
        <f t="array" ref="BI677">IFERROR(_xlfn._xlws.FILTER(shifts!A:A,(shifts!B:B=events!AD677)*(shifts!AG:AG&gt;=events!BK677)*(shifts!AH:AH&lt;=events!BL677)),BI676)</f>
        <v>31</v>
      </c>
      <c r="BJ677" s="15">
        <f t="shared" si="348"/>
        <v>3</v>
      </c>
      <c r="BK677">
        <f t="shared" si="355"/>
        <v>224</v>
      </c>
      <c r="BL677">
        <f t="shared" si="356"/>
        <v>221</v>
      </c>
      <c r="BM677" s="15">
        <f>SUMIFS(BJ$2:BJ677,K$2:K677,"=Intermission")+SUMIFS(BJ$2:BJ677,K$2:K677,"=Timeout")</f>
        <v>0</v>
      </c>
      <c r="BN677">
        <f t="shared" si="357"/>
        <v>0</v>
      </c>
      <c r="BO677" s="19">
        <f t="shared" si="358"/>
        <v>856</v>
      </c>
      <c r="BP677">
        <f t="shared" si="359"/>
        <v>851</v>
      </c>
      <c r="BQ677" s="17">
        <f t="shared" si="360"/>
        <v>859</v>
      </c>
      <c r="BR677" t="str">
        <f t="shared" si="361"/>
        <v>event_team_player_1</v>
      </c>
      <c r="BS677">
        <f>COUNTIFS(S$3:S677,"="&amp;S677,AI$3:AI677,"="&amp;AI677)</f>
        <v>1</v>
      </c>
      <c r="BT677" t="str">
        <f>IFERROR(VLOOKUP(BB677&amp;BU677&amp;X677,game_rosters!U:W,3,FALSE),"")</f>
        <v>P100197</v>
      </c>
      <c r="BU677" t="str">
        <f t="shared" si="362"/>
        <v>Nelson</v>
      </c>
    </row>
    <row r="678" spans="1:73" x14ac:dyDescent="0.2">
      <c r="A678">
        <f t="shared" si="349"/>
        <v>1</v>
      </c>
      <c r="E678" s="4"/>
      <c r="F678" s="43"/>
      <c r="G678" s="4"/>
      <c r="H678" s="46"/>
      <c r="J678" s="44" t="str">
        <f t="shared" si="363"/>
        <v/>
      </c>
      <c r="K678" t="s">
        <v>7</v>
      </c>
      <c r="L678" t="s">
        <v>182</v>
      </c>
      <c r="M678" t="s">
        <v>381</v>
      </c>
      <c r="N678" t="str">
        <f t="shared" si="366"/>
        <v>u</v>
      </c>
      <c r="Q678" t="str">
        <f t="shared" si="364"/>
        <v/>
      </c>
      <c r="S678">
        <v>362</v>
      </c>
      <c r="U678" t="str">
        <f>IF(B678=1,MAX($U$2:$U677)+1,IF(AND($T678&lt;&gt;"",$T678=$T677),$U677,IF(B678="x",U677,"")))</f>
        <v/>
      </c>
      <c r="V678" t="str">
        <f>IF(C678=1,MAX($V$2:$V677)+1,IF(AND($T678&lt;&gt;"",$T678=$T677),$U677,IF(C678="x",V677,"")))</f>
        <v/>
      </c>
      <c r="W678" t="str">
        <f t="shared" si="338"/>
        <v>h</v>
      </c>
      <c r="X678">
        <v>80</v>
      </c>
      <c r="Y678" t="b">
        <f>IF(X678&lt;&gt;"",VLOOKUP(X678,game_rosters!$C$43:$E$64,3,FALSE))</f>
        <v>0</v>
      </c>
      <c r="Z678" cm="1">
        <f t="array" ref="Z678">IFERROR(IF(_xlfn._xlws.FILTER(game_rosters!$J:$J,(game_rosters!$G:$G=events!$AN678)*(game_rosters!$J:$J=events!$X678))&gt;0,1,""),"")</f>
        <v>1</v>
      </c>
      <c r="AA678">
        <f t="shared" si="339"/>
        <v>1362</v>
      </c>
      <c r="AB678" t="str">
        <f t="shared" si="340"/>
        <v/>
      </c>
      <c r="AC678">
        <f t="shared" si="337"/>
        <v>1362</v>
      </c>
      <c r="AD678" s="6">
        <v>1</v>
      </c>
      <c r="AE678" t="s">
        <v>940</v>
      </c>
      <c r="AF678" t="s">
        <v>924</v>
      </c>
      <c r="AG678" t="s">
        <v>756</v>
      </c>
      <c r="AH678" t="s">
        <v>756</v>
      </c>
      <c r="AI678" t="s">
        <v>367</v>
      </c>
      <c r="AJ678" t="str">
        <f t="shared" si="367"/>
        <v/>
      </c>
      <c r="AK678" t="str">
        <f t="shared" si="367"/>
        <v/>
      </c>
      <c r="AL678" t="str">
        <f t="shared" si="342"/>
        <v/>
      </c>
      <c r="AN678" t="s">
        <v>861</v>
      </c>
      <c r="AO678" t="str">
        <f t="shared" si="343"/>
        <v>h</v>
      </c>
      <c r="AP678" t="str">
        <f t="shared" si="350"/>
        <v/>
      </c>
      <c r="AQ678" t="str">
        <f t="shared" si="351"/>
        <v/>
      </c>
      <c r="AR678" t="str">
        <f t="shared" si="352"/>
        <v>Home</v>
      </c>
      <c r="AS678" t="str">
        <f t="shared" si="353"/>
        <v>h</v>
      </c>
      <c r="AT678" t="str">
        <f t="shared" si="354"/>
        <v>Offensive</v>
      </c>
      <c r="BA678" s="6">
        <f t="shared" si="344"/>
        <v>183</v>
      </c>
      <c r="BB678">
        <f t="shared" si="345"/>
        <v>18981</v>
      </c>
      <c r="BC678" t="str">
        <f t="shared" si="346"/>
        <v>Nelson</v>
      </c>
      <c r="BD678" t="str">
        <f t="shared" si="347"/>
        <v>Velodrome</v>
      </c>
      <c r="BE678" t="s">
        <v>7</v>
      </c>
      <c r="BF678" t="s">
        <v>182</v>
      </c>
      <c r="BG678" t="s">
        <v>381</v>
      </c>
      <c r="BI678" cm="1">
        <f t="array" ref="BI678">IFERROR(_xlfn._xlws.FILTER(shifts!A:A,(shifts!B:B=events!AD678)*(shifts!AG:AG&gt;=events!BK678)*(shifts!AH:AH&lt;=events!BL678)),BI677)</f>
        <v>31</v>
      </c>
      <c r="BJ678" s="15">
        <f t="shared" si="348"/>
        <v>0</v>
      </c>
      <c r="BK678">
        <f t="shared" si="355"/>
        <v>221</v>
      </c>
      <c r="BL678">
        <f t="shared" si="356"/>
        <v>221</v>
      </c>
      <c r="BM678" s="15">
        <f>SUMIFS(BJ$2:BJ678,K$2:K678,"=Intermission")+SUMIFS(BJ$2:BJ678,K$2:K678,"=Timeout")</f>
        <v>0</v>
      </c>
      <c r="BN678">
        <f t="shared" si="357"/>
        <v>0</v>
      </c>
      <c r="BO678" s="19">
        <f t="shared" si="358"/>
        <v>859</v>
      </c>
      <c r="BP678">
        <f t="shared" si="359"/>
        <v>854</v>
      </c>
      <c r="BQ678" s="17">
        <f t="shared" si="360"/>
        <v>859</v>
      </c>
      <c r="BR678" t="str">
        <f t="shared" si="361"/>
        <v>event_team_player_1</v>
      </c>
      <c r="BS678">
        <f>COUNTIFS(S$3:S678,"="&amp;S678,AI$3:AI678,"="&amp;AI678)</f>
        <v>1</v>
      </c>
      <c r="BT678" t="str">
        <f>IFERROR(VLOOKUP(BB678&amp;BU678&amp;X678,game_rosters!U:W,3,FALSE),"")</f>
        <v>P100197</v>
      </c>
      <c r="BU678" t="str">
        <f t="shared" si="362"/>
        <v>Nelson</v>
      </c>
    </row>
    <row r="679" spans="1:73" x14ac:dyDescent="0.2">
      <c r="A679">
        <f t="shared" si="349"/>
        <v>1</v>
      </c>
      <c r="E679" s="4"/>
      <c r="F679" s="43"/>
      <c r="G679" s="4"/>
      <c r="H679" s="46"/>
      <c r="J679" s="44" t="str">
        <f t="shared" si="363"/>
        <v/>
      </c>
      <c r="K679" t="s">
        <v>7</v>
      </c>
      <c r="L679" t="s">
        <v>182</v>
      </c>
      <c r="M679" t="s">
        <v>381</v>
      </c>
      <c r="N679" t="str">
        <f t="shared" si="366"/>
        <v>u</v>
      </c>
      <c r="Q679" t="str">
        <f t="shared" si="364"/>
        <v/>
      </c>
      <c r="S679">
        <v>362</v>
      </c>
      <c r="U679" t="str">
        <f>IF(B679=1,MAX($U$2:$U678)+1,IF(AND($T679&lt;&gt;"",$T679=$T678),$U678,IF(B679="x",U678,"")))</f>
        <v/>
      </c>
      <c r="V679" t="str">
        <f>IF(C679=1,MAX($V$2:$V678)+1,IF(AND($T679&lt;&gt;"",$T679=$T678),$U678,IF(C679="x",V678,"")))</f>
        <v/>
      </c>
      <c r="W679" t="str">
        <f t="shared" si="338"/>
        <v>h</v>
      </c>
      <c r="X679">
        <v>7</v>
      </c>
      <c r="Y679" t="b">
        <f>IF(X679&lt;&gt;"",VLOOKUP(X679,game_rosters!$C$43:$E$64,3,FALSE))</f>
        <v>0</v>
      </c>
      <c r="Z679" cm="1">
        <f t="array" ref="Z679">IFERROR(IF(_xlfn._xlws.FILTER(game_rosters!$J:$J,(game_rosters!$G:$G=events!$AN679)*(game_rosters!$J:$J=events!$X679))&gt;0,1,""),"")</f>
        <v>1</v>
      </c>
      <c r="AA679">
        <f t="shared" si="339"/>
        <v>1362</v>
      </c>
      <c r="AB679" t="str">
        <f t="shared" si="340"/>
        <v/>
      </c>
      <c r="AC679">
        <f t="shared" si="337"/>
        <v>1362</v>
      </c>
      <c r="AD679" s="6">
        <v>1</v>
      </c>
      <c r="AE679" t="s">
        <v>940</v>
      </c>
      <c r="AF679" t="s">
        <v>924</v>
      </c>
      <c r="AG679" t="s">
        <v>756</v>
      </c>
      <c r="AH679" t="s">
        <v>756</v>
      </c>
      <c r="AI679" t="s">
        <v>367</v>
      </c>
      <c r="AJ679" t="str">
        <f t="shared" si="367"/>
        <v/>
      </c>
      <c r="AK679" t="str">
        <f t="shared" si="367"/>
        <v/>
      </c>
      <c r="AL679" t="str">
        <f t="shared" si="342"/>
        <v/>
      </c>
      <c r="AN679" t="s">
        <v>861</v>
      </c>
      <c r="AO679" t="str">
        <f t="shared" si="343"/>
        <v>h</v>
      </c>
      <c r="AP679" t="str">
        <f t="shared" si="350"/>
        <v/>
      </c>
      <c r="AQ679" t="str">
        <f t="shared" si="351"/>
        <v/>
      </c>
      <c r="AR679" t="str">
        <f t="shared" si="352"/>
        <v>Home</v>
      </c>
      <c r="AS679" t="str">
        <f t="shared" si="353"/>
        <v>h</v>
      </c>
      <c r="AT679" t="str">
        <f t="shared" si="354"/>
        <v>Offensive</v>
      </c>
      <c r="BA679" s="6">
        <f t="shared" si="344"/>
        <v>183</v>
      </c>
      <c r="BB679">
        <f t="shared" si="345"/>
        <v>18981</v>
      </c>
      <c r="BC679" t="str">
        <f t="shared" si="346"/>
        <v>Nelson</v>
      </c>
      <c r="BD679" t="str">
        <f t="shared" si="347"/>
        <v>Velodrome</v>
      </c>
      <c r="BE679" t="s">
        <v>7</v>
      </c>
      <c r="BF679" t="s">
        <v>182</v>
      </c>
      <c r="BG679" t="s">
        <v>381</v>
      </c>
      <c r="BI679" cm="1">
        <f t="array" ref="BI679">IFERROR(_xlfn._xlws.FILTER(shifts!A:A,(shifts!B:B=events!AD679)*(shifts!AG:AG&gt;=events!BK679)*(shifts!AH:AH&lt;=events!BL679)),BI678)</f>
        <v>31</v>
      </c>
      <c r="BJ679" s="15">
        <f t="shared" si="348"/>
        <v>0</v>
      </c>
      <c r="BK679">
        <f t="shared" si="355"/>
        <v>221</v>
      </c>
      <c r="BL679">
        <f t="shared" si="356"/>
        <v>221</v>
      </c>
      <c r="BM679" s="15">
        <f>SUMIFS(BJ$2:BJ679,K$2:K679,"=Intermission")+SUMIFS(BJ$2:BJ679,K$2:K679,"=Timeout")</f>
        <v>0</v>
      </c>
      <c r="BN679">
        <f t="shared" si="357"/>
        <v>0</v>
      </c>
      <c r="BO679" s="19">
        <f t="shared" si="358"/>
        <v>859</v>
      </c>
      <c r="BP679">
        <f t="shared" si="359"/>
        <v>854</v>
      </c>
      <c r="BQ679" s="17">
        <f t="shared" si="360"/>
        <v>859</v>
      </c>
      <c r="BR679" t="str">
        <f t="shared" si="361"/>
        <v>event_team_player_2</v>
      </c>
      <c r="BS679">
        <f>COUNTIFS(S$3:S679,"="&amp;S679,AI$3:AI679,"="&amp;AI679)</f>
        <v>2</v>
      </c>
      <c r="BT679" t="str">
        <f>IFERROR(VLOOKUP(BB679&amp;BU679&amp;X679,game_rosters!U:W,3,FALSE),"")</f>
        <v>P100072</v>
      </c>
      <c r="BU679" t="str">
        <f t="shared" si="362"/>
        <v>Nelson</v>
      </c>
    </row>
    <row r="680" spans="1:73" x14ac:dyDescent="0.2">
      <c r="A680">
        <f t="shared" si="349"/>
        <v>1</v>
      </c>
      <c r="E680" s="4"/>
      <c r="F680" s="43"/>
      <c r="G680" s="4"/>
      <c r="H680" s="46"/>
      <c r="J680" s="44" t="str">
        <f t="shared" si="363"/>
        <v>d</v>
      </c>
      <c r="K680" t="s">
        <v>238</v>
      </c>
      <c r="L680" t="s">
        <v>184</v>
      </c>
      <c r="M680" t="s">
        <v>380</v>
      </c>
      <c r="N680" t="str">
        <f t="shared" si="366"/>
        <v>s</v>
      </c>
      <c r="Q680" t="str">
        <f t="shared" si="364"/>
        <v/>
      </c>
      <c r="S680">
        <v>363</v>
      </c>
      <c r="U680" t="str">
        <f>IF(B680=1,MAX($U$2:$U679)+1,IF(AND($T680&lt;&gt;"",$T680=$T679),$U679,IF(B680="x",U679,"")))</f>
        <v/>
      </c>
      <c r="V680" t="str">
        <f>IF(C680=1,MAX($V$2:$V679)+1,IF(AND($T680&lt;&gt;"",$T680=$T679),$U679,IF(C680="x",V679,"")))</f>
        <v/>
      </c>
      <c r="W680" t="str">
        <f t="shared" si="338"/>
        <v>h</v>
      </c>
      <c r="X680">
        <v>80</v>
      </c>
      <c r="Y680" t="b">
        <f>IF(X680&lt;&gt;"",VLOOKUP(X680,game_rosters!$C$43:$E$64,3,FALSE))</f>
        <v>0</v>
      </c>
      <c r="Z680" cm="1">
        <f t="array" ref="Z680">IFERROR(IF(_xlfn._xlws.FILTER(game_rosters!$J:$J,(game_rosters!$G:$G=events!$AN680)*(game_rosters!$J:$J=events!$X680))&gt;0,1,""),"")</f>
        <v>1</v>
      </c>
      <c r="AA680">
        <f t="shared" si="339"/>
        <v>1363</v>
      </c>
      <c r="AB680" t="str">
        <f t="shared" si="340"/>
        <v/>
      </c>
      <c r="AC680">
        <f t="shared" si="337"/>
        <v>1363</v>
      </c>
      <c r="AD680" s="6">
        <v>1</v>
      </c>
      <c r="AE680" t="s">
        <v>940</v>
      </c>
      <c r="AF680" t="s">
        <v>924</v>
      </c>
      <c r="AG680" t="s">
        <v>756</v>
      </c>
      <c r="AH680" t="s">
        <v>756</v>
      </c>
      <c r="AI680" t="s">
        <v>367</v>
      </c>
      <c r="AJ680" t="str">
        <f t="shared" si="367"/>
        <v>d</v>
      </c>
      <c r="AK680" t="str">
        <f t="shared" si="367"/>
        <v>d</v>
      </c>
      <c r="AL680" t="str">
        <f t="shared" si="342"/>
        <v>d</v>
      </c>
      <c r="AN680" t="s">
        <v>861</v>
      </c>
      <c r="AO680" t="str">
        <f t="shared" si="343"/>
        <v>h</v>
      </c>
      <c r="AP680" t="str">
        <f t="shared" si="350"/>
        <v>d</v>
      </c>
      <c r="AQ680" t="str">
        <f t="shared" si="351"/>
        <v/>
      </c>
      <c r="AR680" t="str">
        <f t="shared" si="352"/>
        <v>Home</v>
      </c>
      <c r="AS680" t="str">
        <f t="shared" si="353"/>
        <v>h</v>
      </c>
      <c r="AT680" t="str">
        <f t="shared" si="354"/>
        <v>Offensive</v>
      </c>
      <c r="BA680" s="6">
        <f t="shared" si="344"/>
        <v>184</v>
      </c>
      <c r="BB680">
        <f t="shared" si="345"/>
        <v>18981</v>
      </c>
      <c r="BC680" t="str">
        <f t="shared" si="346"/>
        <v>Nelson</v>
      </c>
      <c r="BD680" t="str">
        <f t="shared" si="347"/>
        <v>Velodrome</v>
      </c>
      <c r="BE680" t="s">
        <v>238</v>
      </c>
      <c r="BF680" t="s">
        <v>184</v>
      </c>
      <c r="BG680" t="s">
        <v>380</v>
      </c>
      <c r="BI680" cm="1">
        <f t="array" ref="BI680">IFERROR(_xlfn._xlws.FILTER(shifts!A:A,(shifts!B:B=events!AD680)*(shifts!AG:AG&gt;=events!BK680)*(shifts!AH:AH&lt;=events!BL680)),BI679)</f>
        <v>31</v>
      </c>
      <c r="BJ680" s="15">
        <f t="shared" si="348"/>
        <v>0</v>
      </c>
      <c r="BK680">
        <f t="shared" si="355"/>
        <v>221</v>
      </c>
      <c r="BL680">
        <f t="shared" si="356"/>
        <v>221</v>
      </c>
      <c r="BM680" s="15">
        <f>SUMIFS(BJ$2:BJ680,K$2:K680,"=Intermission")+SUMIFS(BJ$2:BJ680,K$2:K680,"=Timeout")</f>
        <v>0</v>
      </c>
      <c r="BN680">
        <f t="shared" si="357"/>
        <v>0</v>
      </c>
      <c r="BO680" s="19">
        <f t="shared" si="358"/>
        <v>859</v>
      </c>
      <c r="BP680">
        <f t="shared" si="359"/>
        <v>854</v>
      </c>
      <c r="BQ680" s="17">
        <f t="shared" si="360"/>
        <v>859</v>
      </c>
      <c r="BR680" t="str">
        <f t="shared" si="361"/>
        <v>event_team_player_1</v>
      </c>
      <c r="BS680">
        <f>COUNTIFS(S$3:S680,"="&amp;S680,AI$3:AI680,"="&amp;AI680)</f>
        <v>1</v>
      </c>
      <c r="BT680" t="str">
        <f>IFERROR(VLOOKUP(BB680&amp;BU680&amp;X680,game_rosters!U:W,3,FALSE),"")</f>
        <v>P100197</v>
      </c>
      <c r="BU680" t="str">
        <f t="shared" si="362"/>
        <v>Nelson</v>
      </c>
    </row>
    <row r="681" spans="1:73" x14ac:dyDescent="0.2">
      <c r="A681">
        <f t="shared" si="349"/>
        <v>1</v>
      </c>
      <c r="E681" s="4"/>
      <c r="F681" s="43"/>
      <c r="G681" s="4"/>
      <c r="H681" s="46"/>
      <c r="J681" s="44" t="str">
        <f t="shared" si="363"/>
        <v>d</v>
      </c>
      <c r="K681" t="s">
        <v>238</v>
      </c>
      <c r="L681" t="s">
        <v>184</v>
      </c>
      <c r="M681" t="s">
        <v>380</v>
      </c>
      <c r="N681" t="str">
        <f t="shared" si="366"/>
        <v>s</v>
      </c>
      <c r="Q681" t="str">
        <f t="shared" si="364"/>
        <v/>
      </c>
      <c r="S681">
        <v>363</v>
      </c>
      <c r="U681" t="str">
        <f>IF(B681=1,MAX($U$2:$U680)+1,IF(AND($T681&lt;&gt;"",$T681=$T680),$U680,IF(B681="x",U680,"")))</f>
        <v/>
      </c>
      <c r="V681" t="str">
        <f>IF(C681=1,MAX($V$2:$V680)+1,IF(AND($T681&lt;&gt;"",$T681=$T680),$U680,IF(C681="x",V680,"")))</f>
        <v/>
      </c>
      <c r="W681" t="str">
        <f t="shared" si="338"/>
        <v>h</v>
      </c>
      <c r="X681">
        <v>7</v>
      </c>
      <c r="Y681" t="b">
        <f>IF(X681&lt;&gt;"",VLOOKUP(X681,game_rosters!$C$43:$E$64,3,FALSE))</f>
        <v>0</v>
      </c>
      <c r="Z681" cm="1">
        <f t="array" ref="Z681">IFERROR(IF(_xlfn._xlws.FILTER(game_rosters!$J:$J,(game_rosters!$G:$G=events!$AN681)*(game_rosters!$J:$J=events!$X681))&gt;0,1,""),"")</f>
        <v>1</v>
      </c>
      <c r="AA681">
        <f t="shared" si="339"/>
        <v>1363</v>
      </c>
      <c r="AB681" t="str">
        <f t="shared" si="340"/>
        <v/>
      </c>
      <c r="AC681">
        <f t="shared" si="337"/>
        <v>1363</v>
      </c>
      <c r="AD681" s="6">
        <v>1</v>
      </c>
      <c r="AE681" t="s">
        <v>940</v>
      </c>
      <c r="AF681" t="s">
        <v>924</v>
      </c>
      <c r="AG681" t="s">
        <v>756</v>
      </c>
      <c r="AH681" t="s">
        <v>756</v>
      </c>
      <c r="AI681" t="s">
        <v>367</v>
      </c>
      <c r="AJ681" t="str">
        <f t="shared" si="367"/>
        <v>d</v>
      </c>
      <c r="AK681" t="str">
        <f t="shared" si="367"/>
        <v>d</v>
      </c>
      <c r="AL681" t="str">
        <f t="shared" si="342"/>
        <v>d</v>
      </c>
      <c r="AN681" t="s">
        <v>861</v>
      </c>
      <c r="AO681" t="str">
        <f t="shared" si="343"/>
        <v>h</v>
      </c>
      <c r="AP681" t="str">
        <f t="shared" si="350"/>
        <v>d</v>
      </c>
      <c r="AQ681" t="str">
        <f t="shared" si="351"/>
        <v/>
      </c>
      <c r="AR681" t="str">
        <f t="shared" si="352"/>
        <v>Home</v>
      </c>
      <c r="AS681" t="str">
        <f t="shared" si="353"/>
        <v>h</v>
      </c>
      <c r="AT681" t="str">
        <f t="shared" si="354"/>
        <v>Offensive</v>
      </c>
      <c r="BA681" s="6">
        <f t="shared" si="344"/>
        <v>185</v>
      </c>
      <c r="BB681">
        <f t="shared" si="345"/>
        <v>18981</v>
      </c>
      <c r="BC681" t="str">
        <f t="shared" si="346"/>
        <v>Nelson</v>
      </c>
      <c r="BD681" t="str">
        <f t="shared" si="347"/>
        <v>Velodrome</v>
      </c>
      <c r="BE681" t="s">
        <v>238</v>
      </c>
      <c r="BF681" t="s">
        <v>184</v>
      </c>
      <c r="BG681" t="s">
        <v>380</v>
      </c>
      <c r="BI681" cm="1">
        <f t="array" ref="BI681">IFERROR(_xlfn._xlws.FILTER(shifts!A:A,(shifts!B:B=events!AD681)*(shifts!AG:AG&gt;=events!BK681)*(shifts!AH:AH&lt;=events!BL681)),BI680)</f>
        <v>31</v>
      </c>
      <c r="BJ681" s="15">
        <f t="shared" si="348"/>
        <v>0</v>
      </c>
      <c r="BK681">
        <f t="shared" si="355"/>
        <v>221</v>
      </c>
      <c r="BL681">
        <f t="shared" si="356"/>
        <v>221</v>
      </c>
      <c r="BM681" s="15">
        <f>SUMIFS(BJ$2:BJ681,K$2:K681,"=Intermission")+SUMIFS(BJ$2:BJ681,K$2:K681,"=Timeout")</f>
        <v>0</v>
      </c>
      <c r="BN681">
        <f t="shared" si="357"/>
        <v>0</v>
      </c>
      <c r="BO681" s="19">
        <f t="shared" si="358"/>
        <v>859</v>
      </c>
      <c r="BP681">
        <f t="shared" si="359"/>
        <v>854</v>
      </c>
      <c r="BQ681" s="17">
        <f t="shared" si="360"/>
        <v>859</v>
      </c>
      <c r="BR681" t="str">
        <f t="shared" si="361"/>
        <v>event_team_player_2</v>
      </c>
      <c r="BS681">
        <f>COUNTIFS(S$3:S681,"="&amp;S681,AI$3:AI681,"="&amp;AI681)</f>
        <v>2</v>
      </c>
      <c r="BT681" t="str">
        <f>IFERROR(VLOOKUP(BB681&amp;BU681&amp;X681,game_rosters!U:W,3,FALSE),"")</f>
        <v>P100072</v>
      </c>
      <c r="BU681" t="str">
        <f t="shared" si="362"/>
        <v>Nelson</v>
      </c>
    </row>
    <row r="682" spans="1:73" x14ac:dyDescent="0.2">
      <c r="A682">
        <f t="shared" si="349"/>
        <v>1</v>
      </c>
      <c r="E682" s="4"/>
      <c r="F682" s="43"/>
      <c r="G682" s="4"/>
      <c r="H682" s="46"/>
      <c r="J682" s="44" t="str">
        <f t="shared" si="363"/>
        <v/>
      </c>
      <c r="K682" t="s">
        <v>9</v>
      </c>
      <c r="L682" t="s">
        <v>173</v>
      </c>
      <c r="M682" t="s">
        <v>354</v>
      </c>
      <c r="N682" t="str">
        <f t="shared" si="366"/>
        <v>u</v>
      </c>
      <c r="Q682" t="str">
        <f t="shared" si="364"/>
        <v/>
      </c>
      <c r="S682">
        <v>364</v>
      </c>
      <c r="U682" t="str">
        <f>IF(B682=1,MAX($U$2:$U681)+1,IF(AND($T682&lt;&gt;"",$T682=$T681),$U681,IF(B682="x",U681,"")))</f>
        <v/>
      </c>
      <c r="V682" t="str">
        <f>IF(C682=1,MAX($V$2:$V681)+1,IF(AND($T682&lt;&gt;"",$T682=$T681),$U681,IF(C682="x",V681,"")))</f>
        <v/>
      </c>
      <c r="W682" t="str">
        <f t="shared" si="338"/>
        <v>h</v>
      </c>
      <c r="X682">
        <v>80</v>
      </c>
      <c r="Y682" t="b">
        <f>IF(X682&lt;&gt;"",VLOOKUP(X682,game_rosters!$C$43:$E$64,3,FALSE))</f>
        <v>0</v>
      </c>
      <c r="Z682" cm="1">
        <f t="array" ref="Z682">IFERROR(IF(_xlfn._xlws.FILTER(game_rosters!$J:$J,(game_rosters!$G:$G=events!$AN682)*(game_rosters!$J:$J=events!$X682))&gt;0,1,""),"")</f>
        <v>1</v>
      </c>
      <c r="AA682">
        <f t="shared" si="339"/>
        <v>1364</v>
      </c>
      <c r="AB682" t="str">
        <f t="shared" si="340"/>
        <v/>
      </c>
      <c r="AC682">
        <f t="shared" si="337"/>
        <v>1364</v>
      </c>
      <c r="AD682" s="6">
        <v>1</v>
      </c>
      <c r="AE682" t="s">
        <v>940</v>
      </c>
      <c r="AF682" t="s">
        <v>924</v>
      </c>
      <c r="AG682" t="s">
        <v>756</v>
      </c>
      <c r="AH682" t="s">
        <v>756</v>
      </c>
      <c r="AI682" t="s">
        <v>367</v>
      </c>
      <c r="AJ682" t="str">
        <f t="shared" si="367"/>
        <v/>
      </c>
      <c r="AK682" t="str">
        <f t="shared" si="367"/>
        <v/>
      </c>
      <c r="AL682" t="str">
        <f t="shared" si="342"/>
        <v/>
      </c>
      <c r="AN682" t="s">
        <v>861</v>
      </c>
      <c r="AO682" t="str">
        <f t="shared" si="343"/>
        <v>h</v>
      </c>
      <c r="AP682" t="str">
        <f t="shared" si="350"/>
        <v/>
      </c>
      <c r="AQ682" t="str">
        <f t="shared" si="351"/>
        <v/>
      </c>
      <c r="AR682" t="str">
        <f t="shared" si="352"/>
        <v>Home</v>
      </c>
      <c r="AS682" t="str">
        <f t="shared" si="353"/>
        <v>h</v>
      </c>
      <c r="AT682" t="str">
        <f t="shared" si="354"/>
        <v>Offensive</v>
      </c>
      <c r="BA682" s="6">
        <f t="shared" si="344"/>
        <v>185</v>
      </c>
      <c r="BB682">
        <f t="shared" si="345"/>
        <v>18981</v>
      </c>
      <c r="BC682" t="str">
        <f t="shared" si="346"/>
        <v>Nelson</v>
      </c>
      <c r="BD682" t="str">
        <f t="shared" si="347"/>
        <v>Velodrome</v>
      </c>
      <c r="BE682" t="s">
        <v>9</v>
      </c>
      <c r="BF682" t="s">
        <v>173</v>
      </c>
      <c r="BG682" t="s">
        <v>354</v>
      </c>
      <c r="BI682" cm="1">
        <f t="array" ref="BI682">IFERROR(_xlfn._xlws.FILTER(shifts!A:A,(shifts!B:B=events!AD682)*(shifts!AG:AG&gt;=events!BK682)*(shifts!AH:AH&lt;=events!BL682)),BI681)</f>
        <v>31</v>
      </c>
      <c r="BJ682" s="15">
        <f t="shared" si="348"/>
        <v>0</v>
      </c>
      <c r="BK682">
        <f t="shared" si="355"/>
        <v>221</v>
      </c>
      <c r="BL682">
        <f t="shared" si="356"/>
        <v>221</v>
      </c>
      <c r="BM682" s="15">
        <f>SUMIFS(BJ$2:BJ682,K$2:K682,"=Intermission")+SUMIFS(BJ$2:BJ682,K$2:K682,"=Timeout")</f>
        <v>0</v>
      </c>
      <c r="BN682">
        <f t="shared" si="357"/>
        <v>0</v>
      </c>
      <c r="BO682" s="19">
        <f t="shared" si="358"/>
        <v>859</v>
      </c>
      <c r="BP682">
        <f t="shared" si="359"/>
        <v>854</v>
      </c>
      <c r="BQ682" s="17">
        <f t="shared" si="360"/>
        <v>859</v>
      </c>
      <c r="BR682" t="str">
        <f t="shared" si="361"/>
        <v>event_team_player_1</v>
      </c>
      <c r="BS682">
        <f>COUNTIFS(S$3:S682,"="&amp;S682,AI$3:AI682,"="&amp;AI682)</f>
        <v>1</v>
      </c>
      <c r="BT682" t="str">
        <f>IFERROR(VLOOKUP(BB682&amp;BU682&amp;X682,game_rosters!U:W,3,FALSE),"")</f>
        <v>P100197</v>
      </c>
      <c r="BU682" t="str">
        <f t="shared" si="362"/>
        <v>Nelson</v>
      </c>
    </row>
    <row r="683" spans="1:73" x14ac:dyDescent="0.2">
      <c r="A683">
        <f t="shared" si="349"/>
        <v>1</v>
      </c>
      <c r="E683" s="4"/>
      <c r="F683" s="43"/>
      <c r="G683" s="4"/>
      <c r="H683" s="46"/>
      <c r="J683" s="44" t="str">
        <f t="shared" si="363"/>
        <v/>
      </c>
      <c r="K683" t="s">
        <v>7</v>
      </c>
      <c r="L683" t="s">
        <v>172</v>
      </c>
      <c r="M683" t="s">
        <v>66</v>
      </c>
      <c r="N683" t="str">
        <f t="shared" si="366"/>
        <v>s</v>
      </c>
      <c r="Q683" t="str">
        <f t="shared" si="364"/>
        <v/>
      </c>
      <c r="S683">
        <v>365</v>
      </c>
      <c r="U683" t="str">
        <f>IF(B683=1,MAX($U$2:$U682)+1,IF(AND($T683&lt;&gt;"",$T683=$T682),$U682,IF(B683="x",U682,"")))</f>
        <v/>
      </c>
      <c r="V683" t="str">
        <f>IF(C683=1,MAX($V$2:$V682)+1,IF(AND($T683&lt;&gt;"",$T683=$T682),$U682,IF(C683="x",V682,"")))</f>
        <v/>
      </c>
      <c r="W683" t="str">
        <f t="shared" si="338"/>
        <v>a</v>
      </c>
      <c r="X683">
        <v>93</v>
      </c>
      <c r="Y683" t="e">
        <f>IF(X683&lt;&gt;"",VLOOKUP(X683,game_rosters!$C$43:$E$64,3,FALSE))</f>
        <v>#N/A</v>
      </c>
      <c r="Z683" cm="1">
        <f t="array" ref="Z683">IFERROR(IF(_xlfn._xlws.FILTER(game_rosters!$J:$J,(game_rosters!$G:$G=events!$AN683)*(game_rosters!$J:$J=events!$X683))&gt;0,1,""),"")</f>
        <v>1</v>
      </c>
      <c r="AA683">
        <f t="shared" si="339"/>
        <v>1365</v>
      </c>
      <c r="AB683" t="str">
        <f t="shared" si="340"/>
        <v/>
      </c>
      <c r="AC683">
        <f t="shared" si="337"/>
        <v>1365</v>
      </c>
      <c r="AD683" s="6">
        <v>1</v>
      </c>
      <c r="AE683" t="s">
        <v>940</v>
      </c>
      <c r="AF683" t="s">
        <v>865</v>
      </c>
      <c r="AG683" t="s">
        <v>756</v>
      </c>
      <c r="AH683" t="s">
        <v>756</v>
      </c>
      <c r="AI683" t="s">
        <v>367</v>
      </c>
      <c r="AJ683" t="str">
        <f t="shared" si="367"/>
        <v/>
      </c>
      <c r="AK683" t="str">
        <f t="shared" si="367"/>
        <v/>
      </c>
      <c r="AL683" t="str">
        <f t="shared" si="342"/>
        <v/>
      </c>
      <c r="AN683" t="s">
        <v>862</v>
      </c>
      <c r="AO683" t="str">
        <f t="shared" si="343"/>
        <v>a</v>
      </c>
      <c r="AP683" t="str">
        <f t="shared" si="350"/>
        <v/>
      </c>
      <c r="AQ683" t="str">
        <f t="shared" si="351"/>
        <v/>
      </c>
      <c r="AR683" t="str">
        <f t="shared" si="352"/>
        <v>Away</v>
      </c>
      <c r="AS683" t="str">
        <f t="shared" si="353"/>
        <v>a</v>
      </c>
      <c r="AT683" t="str">
        <f t="shared" si="354"/>
        <v>Offensive</v>
      </c>
      <c r="BA683" s="6">
        <f t="shared" si="344"/>
        <v>185</v>
      </c>
      <c r="BB683">
        <f t="shared" si="345"/>
        <v>18981</v>
      </c>
      <c r="BC683" t="str">
        <f t="shared" si="346"/>
        <v>Nelson</v>
      </c>
      <c r="BD683" t="str">
        <f t="shared" si="347"/>
        <v>Velodrome</v>
      </c>
      <c r="BE683" t="s">
        <v>7</v>
      </c>
      <c r="BF683" t="s">
        <v>172</v>
      </c>
      <c r="BG683" t="s">
        <v>66</v>
      </c>
      <c r="BI683" cm="1">
        <f t="array" ref="BI683">IFERROR(_xlfn._xlws.FILTER(shifts!A:A,(shifts!B:B=events!AD683)*(shifts!AG:AG&gt;=events!BK683)*(shifts!AH:AH&lt;=events!BL683)),BI682)</f>
        <v>31</v>
      </c>
      <c r="BJ683" s="15">
        <f t="shared" si="348"/>
        <v>0</v>
      </c>
      <c r="BK683">
        <f t="shared" si="355"/>
        <v>218</v>
      </c>
      <c r="BL683">
        <f t="shared" si="356"/>
        <v>218</v>
      </c>
      <c r="BM683" s="15">
        <f>SUMIFS(BJ$2:BJ683,K$2:K683,"=Intermission")+SUMIFS(BJ$2:BJ683,K$2:K683,"=Timeout")</f>
        <v>0</v>
      </c>
      <c r="BN683">
        <f t="shared" si="357"/>
        <v>0</v>
      </c>
      <c r="BO683" s="19">
        <f t="shared" si="358"/>
        <v>862</v>
      </c>
      <c r="BP683">
        <f t="shared" si="359"/>
        <v>857</v>
      </c>
      <c r="BQ683" s="17">
        <f t="shared" si="360"/>
        <v>862</v>
      </c>
      <c r="BR683" t="str">
        <f t="shared" si="361"/>
        <v>event_team_player_1</v>
      </c>
      <c r="BS683">
        <f>COUNTIFS(S$3:S683,"="&amp;S683,AI$3:AI683,"="&amp;AI683)</f>
        <v>1</v>
      </c>
      <c r="BT683" t="str">
        <f>IFERROR(VLOOKUP(BB683&amp;BU683&amp;X683,game_rosters!U:W,3,FALSE),"")</f>
        <v>P100093</v>
      </c>
      <c r="BU683" t="str">
        <f t="shared" si="362"/>
        <v>Velodrome</v>
      </c>
    </row>
    <row r="684" spans="1:73" x14ac:dyDescent="0.2">
      <c r="A684">
        <f t="shared" si="349"/>
        <v>1</v>
      </c>
      <c r="E684" s="4"/>
      <c r="F684" s="43"/>
      <c r="G684" s="4"/>
      <c r="H684" s="46"/>
      <c r="J684" s="44" t="str">
        <f t="shared" si="363"/>
        <v/>
      </c>
      <c r="K684" t="s">
        <v>7</v>
      </c>
      <c r="L684" t="s">
        <v>172</v>
      </c>
      <c r="M684" t="s">
        <v>66</v>
      </c>
      <c r="N684" t="str">
        <f t="shared" si="366"/>
        <v>s</v>
      </c>
      <c r="Q684" t="str">
        <f t="shared" si="364"/>
        <v/>
      </c>
      <c r="S684">
        <v>365</v>
      </c>
      <c r="U684" t="str">
        <f>IF(B684=1,MAX($U$2:$U683)+1,IF(AND($T684&lt;&gt;"",$T684=$T683),$U683,IF(B684="x",U683,"")))</f>
        <v/>
      </c>
      <c r="V684" t="str">
        <f>IF(C684=1,MAX($V$2:$V683)+1,IF(AND($T684&lt;&gt;"",$T684=$T683),$U683,IF(C684="x",V683,"")))</f>
        <v/>
      </c>
      <c r="W684" t="str">
        <f t="shared" si="338"/>
        <v>a</v>
      </c>
      <c r="X684">
        <v>87</v>
      </c>
      <c r="Y684" t="e">
        <f>IF(X684&lt;&gt;"",VLOOKUP(X684,game_rosters!$C$43:$E$64,3,FALSE))</f>
        <v>#N/A</v>
      </c>
      <c r="Z684" cm="1">
        <f t="array" ref="Z684">IFERROR(IF(_xlfn._xlws.FILTER(game_rosters!$J:$J,(game_rosters!$G:$G=events!$AN684)*(game_rosters!$J:$J=events!$X684))&gt;0,1,""),"")</f>
        <v>1</v>
      </c>
      <c r="AA684">
        <f t="shared" si="339"/>
        <v>1365</v>
      </c>
      <c r="AB684" t="str">
        <f t="shared" si="340"/>
        <v/>
      </c>
      <c r="AC684">
        <f t="shared" si="337"/>
        <v>1365</v>
      </c>
      <c r="AD684" s="6">
        <v>1</v>
      </c>
      <c r="AE684" t="s">
        <v>940</v>
      </c>
      <c r="AF684" t="s">
        <v>865</v>
      </c>
      <c r="AG684" t="s">
        <v>756</v>
      </c>
      <c r="AH684" t="s">
        <v>756</v>
      </c>
      <c r="AI684" t="s">
        <v>367</v>
      </c>
      <c r="AJ684" t="str">
        <f t="shared" si="367"/>
        <v/>
      </c>
      <c r="AK684" t="str">
        <f t="shared" si="367"/>
        <v/>
      </c>
      <c r="AL684" t="str">
        <f t="shared" si="342"/>
        <v/>
      </c>
      <c r="AN684" t="s">
        <v>862</v>
      </c>
      <c r="AO684" t="str">
        <f t="shared" si="343"/>
        <v>a</v>
      </c>
      <c r="AP684" t="str">
        <f t="shared" si="350"/>
        <v/>
      </c>
      <c r="AQ684" t="str">
        <f t="shared" si="351"/>
        <v/>
      </c>
      <c r="AR684" t="str">
        <f t="shared" si="352"/>
        <v>Away</v>
      </c>
      <c r="AS684" t="str">
        <f t="shared" si="353"/>
        <v>a</v>
      </c>
      <c r="AT684" t="str">
        <f t="shared" si="354"/>
        <v>Offensive</v>
      </c>
      <c r="BA684" s="6">
        <f t="shared" si="344"/>
        <v>185</v>
      </c>
      <c r="BB684">
        <f t="shared" si="345"/>
        <v>18981</v>
      </c>
      <c r="BC684" t="str">
        <f t="shared" si="346"/>
        <v>Nelson</v>
      </c>
      <c r="BD684" t="str">
        <f t="shared" si="347"/>
        <v>Velodrome</v>
      </c>
      <c r="BE684" t="s">
        <v>7</v>
      </c>
      <c r="BF684" t="s">
        <v>172</v>
      </c>
      <c r="BG684" t="s">
        <v>66</v>
      </c>
      <c r="BI684" cm="1">
        <f t="array" ref="BI684">IFERROR(_xlfn._xlws.FILTER(shifts!A:A,(shifts!B:B=events!AD684)*(shifts!AG:AG&gt;=events!BK684)*(shifts!AH:AH&lt;=events!BL684)),BI683)</f>
        <v>31</v>
      </c>
      <c r="BJ684" s="15">
        <f t="shared" si="348"/>
        <v>0</v>
      </c>
      <c r="BK684">
        <f t="shared" si="355"/>
        <v>218</v>
      </c>
      <c r="BL684">
        <f t="shared" si="356"/>
        <v>218</v>
      </c>
      <c r="BM684" s="15">
        <f>SUMIFS(BJ$2:BJ684,K$2:K684,"=Intermission")+SUMIFS(BJ$2:BJ684,K$2:K684,"=Timeout")</f>
        <v>0</v>
      </c>
      <c r="BN684">
        <f t="shared" si="357"/>
        <v>0</v>
      </c>
      <c r="BO684" s="19">
        <f t="shared" si="358"/>
        <v>862</v>
      </c>
      <c r="BP684">
        <f t="shared" si="359"/>
        <v>857</v>
      </c>
      <c r="BQ684" s="17">
        <f t="shared" si="360"/>
        <v>862</v>
      </c>
      <c r="BR684" t="str">
        <f t="shared" si="361"/>
        <v>event_team_player_2</v>
      </c>
      <c r="BS684">
        <f>COUNTIFS(S$3:S684,"="&amp;S684,AI$3:AI684,"="&amp;AI684)</f>
        <v>2</v>
      </c>
      <c r="BT684" t="str">
        <f>IFERROR(VLOOKUP(BB684&amp;BU684&amp;X684,game_rosters!U:W,3,FALSE),"")</f>
        <v>P100159</v>
      </c>
      <c r="BU684" t="str">
        <f t="shared" si="362"/>
        <v>Velodrome</v>
      </c>
    </row>
    <row r="685" spans="1:73" x14ac:dyDescent="0.2">
      <c r="A685">
        <f t="shared" si="349"/>
        <v>1</v>
      </c>
      <c r="E685" s="4"/>
      <c r="F685" s="43"/>
      <c r="G685" s="4"/>
      <c r="H685" s="46"/>
      <c r="J685" s="44" t="str">
        <f t="shared" si="363"/>
        <v/>
      </c>
      <c r="K685" t="s">
        <v>7</v>
      </c>
      <c r="L685" t="s">
        <v>172</v>
      </c>
      <c r="M685" t="s">
        <v>68</v>
      </c>
      <c r="N685" t="str">
        <f t="shared" si="366"/>
        <v>s</v>
      </c>
      <c r="Q685" t="str">
        <f t="shared" si="364"/>
        <v/>
      </c>
      <c r="S685">
        <v>366</v>
      </c>
      <c r="U685" t="str">
        <f>IF(B685=1,MAX($U$2:$U684)+1,IF(AND($T685&lt;&gt;"",$T685=$T684),$U684,IF(B685="x",U684,"")))</f>
        <v/>
      </c>
      <c r="V685" t="str">
        <f>IF(C685=1,MAX($V$2:$V684)+1,IF(AND($T685&lt;&gt;"",$T685=$T684),$U684,IF(C685="x",V684,"")))</f>
        <v/>
      </c>
      <c r="W685" t="str">
        <f t="shared" si="338"/>
        <v>a</v>
      </c>
      <c r="X685">
        <v>87</v>
      </c>
      <c r="Y685" t="e">
        <f>IF(X685&lt;&gt;"",VLOOKUP(X685,game_rosters!$C$43:$E$64,3,FALSE))</f>
        <v>#N/A</v>
      </c>
      <c r="Z685" cm="1">
        <f t="array" ref="Z685">IFERROR(IF(_xlfn._xlws.FILTER(game_rosters!$J:$J,(game_rosters!$G:$G=events!$AN685)*(game_rosters!$J:$J=events!$X685))&gt;0,1,""),"")</f>
        <v>1</v>
      </c>
      <c r="AA685">
        <f t="shared" si="339"/>
        <v>1366</v>
      </c>
      <c r="AB685" t="str">
        <f t="shared" si="340"/>
        <v/>
      </c>
      <c r="AC685">
        <f t="shared" si="337"/>
        <v>1366</v>
      </c>
      <c r="AD685" s="6">
        <v>1</v>
      </c>
      <c r="AE685" t="s">
        <v>940</v>
      </c>
      <c r="AF685" t="s">
        <v>904</v>
      </c>
      <c r="AG685" t="s">
        <v>756</v>
      </c>
      <c r="AH685" t="s">
        <v>756</v>
      </c>
      <c r="AI685" t="s">
        <v>367</v>
      </c>
      <c r="AJ685" t="str">
        <f t="shared" si="367"/>
        <v/>
      </c>
      <c r="AK685" t="str">
        <f t="shared" si="367"/>
        <v/>
      </c>
      <c r="AL685" t="str">
        <f t="shared" si="342"/>
        <v/>
      </c>
      <c r="AN685" t="s">
        <v>862</v>
      </c>
      <c r="AO685" t="str">
        <f t="shared" si="343"/>
        <v>a</v>
      </c>
      <c r="AP685" t="str">
        <f t="shared" si="350"/>
        <v/>
      </c>
      <c r="AQ685" t="str">
        <f t="shared" si="351"/>
        <v/>
      </c>
      <c r="AR685" t="str">
        <f t="shared" si="352"/>
        <v>Away</v>
      </c>
      <c r="AS685" t="str">
        <f t="shared" si="353"/>
        <v>a</v>
      </c>
      <c r="AT685" t="str">
        <f t="shared" si="354"/>
        <v>Offensive</v>
      </c>
      <c r="BA685" s="6">
        <f t="shared" si="344"/>
        <v>185</v>
      </c>
      <c r="BB685">
        <f t="shared" si="345"/>
        <v>18981</v>
      </c>
      <c r="BC685" t="str">
        <f t="shared" si="346"/>
        <v>Nelson</v>
      </c>
      <c r="BD685" t="str">
        <f t="shared" si="347"/>
        <v>Velodrome</v>
      </c>
      <c r="BE685" t="s">
        <v>7</v>
      </c>
      <c r="BF685" t="s">
        <v>172</v>
      </c>
      <c r="BG685" t="s">
        <v>68</v>
      </c>
      <c r="BI685" cm="1">
        <f t="array" ref="BI685">IFERROR(_xlfn._xlws.FILTER(shifts!A:A,(shifts!B:B=events!AD685)*(shifts!AG:AG&gt;=events!BK685)*(shifts!AH:AH&lt;=events!BL685)),BI684)</f>
        <v>31</v>
      </c>
      <c r="BJ685" s="15">
        <f t="shared" si="348"/>
        <v>0</v>
      </c>
      <c r="BK685">
        <f t="shared" si="355"/>
        <v>216</v>
      </c>
      <c r="BL685">
        <f t="shared" si="356"/>
        <v>216</v>
      </c>
      <c r="BM685" s="15">
        <f>SUMIFS(BJ$2:BJ685,K$2:K685,"=Intermission")+SUMIFS(BJ$2:BJ685,K$2:K685,"=Timeout")</f>
        <v>0</v>
      </c>
      <c r="BN685">
        <f t="shared" si="357"/>
        <v>0</v>
      </c>
      <c r="BO685" s="19">
        <f t="shared" si="358"/>
        <v>864</v>
      </c>
      <c r="BP685">
        <f t="shared" si="359"/>
        <v>859</v>
      </c>
      <c r="BQ685" s="17">
        <f t="shared" si="360"/>
        <v>864</v>
      </c>
      <c r="BR685" t="str">
        <f t="shared" si="361"/>
        <v>event_team_player_1</v>
      </c>
      <c r="BS685">
        <f>COUNTIFS(S$3:S685,"="&amp;S685,AI$3:AI685,"="&amp;AI685)</f>
        <v>1</v>
      </c>
      <c r="BT685" t="str">
        <f>IFERROR(VLOOKUP(BB685&amp;BU685&amp;X685,game_rosters!U:W,3,FALSE),"")</f>
        <v>P100159</v>
      </c>
      <c r="BU685" t="str">
        <f t="shared" si="362"/>
        <v>Velodrome</v>
      </c>
    </row>
    <row r="686" spans="1:73" x14ac:dyDescent="0.2">
      <c r="A686">
        <f t="shared" si="349"/>
        <v>1</v>
      </c>
      <c r="E686" s="4"/>
      <c r="F686" s="43"/>
      <c r="G686" s="4"/>
      <c r="H686" s="46"/>
      <c r="J686" s="44" t="str">
        <f t="shared" si="363"/>
        <v/>
      </c>
      <c r="K686" t="s">
        <v>7</v>
      </c>
      <c r="L686" t="s">
        <v>172</v>
      </c>
      <c r="M686" t="s">
        <v>68</v>
      </c>
      <c r="N686" t="str">
        <f t="shared" si="366"/>
        <v>s</v>
      </c>
      <c r="Q686" t="str">
        <f t="shared" si="364"/>
        <v/>
      </c>
      <c r="S686">
        <v>366</v>
      </c>
      <c r="U686" t="str">
        <f>IF(B686=1,MAX($U$2:$U685)+1,IF(AND($T686&lt;&gt;"",$T686=$T685),$U685,IF(B686="x",U685,"")))</f>
        <v/>
      </c>
      <c r="V686" t="str">
        <f>IF(C686=1,MAX($V$2:$V685)+1,IF(AND($T686&lt;&gt;"",$T686=$T685),$U685,IF(C686="x",V685,"")))</f>
        <v/>
      </c>
      <c r="W686" t="str">
        <f t="shared" si="338"/>
        <v>a</v>
      </c>
      <c r="X686">
        <v>70</v>
      </c>
      <c r="Y686" t="e">
        <f>IF(X686&lt;&gt;"",VLOOKUP(X686,game_rosters!$C$43:$E$64,3,FALSE))</f>
        <v>#N/A</v>
      </c>
      <c r="Z686" cm="1">
        <f t="array" ref="Z686">IFERROR(IF(_xlfn._xlws.FILTER(game_rosters!$J:$J,(game_rosters!$G:$G=events!$AN686)*(game_rosters!$J:$J=events!$X686))&gt;0,1,""),"")</f>
        <v>1</v>
      </c>
      <c r="AA686">
        <f t="shared" si="339"/>
        <v>1366</v>
      </c>
      <c r="AB686" t="str">
        <f t="shared" si="340"/>
        <v/>
      </c>
      <c r="AC686">
        <f t="shared" si="337"/>
        <v>1366</v>
      </c>
      <c r="AD686" s="6">
        <v>1</v>
      </c>
      <c r="AE686" t="s">
        <v>940</v>
      </c>
      <c r="AF686" t="s">
        <v>904</v>
      </c>
      <c r="AG686" t="s">
        <v>756</v>
      </c>
      <c r="AH686" t="s">
        <v>756</v>
      </c>
      <c r="AI686" t="s">
        <v>367</v>
      </c>
      <c r="AJ686" t="str">
        <f t="shared" si="367"/>
        <v/>
      </c>
      <c r="AK686" t="str">
        <f t="shared" si="367"/>
        <v/>
      </c>
      <c r="AL686" t="str">
        <f t="shared" si="342"/>
        <v/>
      </c>
      <c r="AN686" t="s">
        <v>862</v>
      </c>
      <c r="AO686" t="str">
        <f t="shared" si="343"/>
        <v>a</v>
      </c>
      <c r="AP686" t="str">
        <f t="shared" si="350"/>
        <v/>
      </c>
      <c r="AQ686" t="str">
        <f t="shared" si="351"/>
        <v/>
      </c>
      <c r="AR686" t="str">
        <f t="shared" si="352"/>
        <v>Away</v>
      </c>
      <c r="AS686" t="str">
        <f t="shared" si="353"/>
        <v>a</v>
      </c>
      <c r="AT686" t="str">
        <f t="shared" si="354"/>
        <v>Offensive</v>
      </c>
      <c r="BA686" s="6">
        <f t="shared" si="344"/>
        <v>185</v>
      </c>
      <c r="BB686">
        <f t="shared" si="345"/>
        <v>18981</v>
      </c>
      <c r="BC686" t="str">
        <f t="shared" si="346"/>
        <v>Nelson</v>
      </c>
      <c r="BD686" t="str">
        <f t="shared" si="347"/>
        <v>Velodrome</v>
      </c>
      <c r="BE686" t="s">
        <v>7</v>
      </c>
      <c r="BF686" t="s">
        <v>172</v>
      </c>
      <c r="BG686" t="s">
        <v>68</v>
      </c>
      <c r="BI686" cm="1">
        <f t="array" ref="BI686">IFERROR(_xlfn._xlws.FILTER(shifts!A:A,(shifts!B:B=events!AD686)*(shifts!AG:AG&gt;=events!BK686)*(shifts!AH:AH&lt;=events!BL686)),BI685)</f>
        <v>31</v>
      </c>
      <c r="BJ686" s="15">
        <f t="shared" si="348"/>
        <v>0</v>
      </c>
      <c r="BK686">
        <f t="shared" si="355"/>
        <v>216</v>
      </c>
      <c r="BL686">
        <f t="shared" si="356"/>
        <v>216</v>
      </c>
      <c r="BM686" s="15">
        <f>SUMIFS(BJ$2:BJ686,K$2:K686,"=Intermission")+SUMIFS(BJ$2:BJ686,K$2:K686,"=Timeout")</f>
        <v>0</v>
      </c>
      <c r="BN686">
        <f t="shared" si="357"/>
        <v>0</v>
      </c>
      <c r="BO686" s="19">
        <f t="shared" si="358"/>
        <v>864</v>
      </c>
      <c r="BP686">
        <f t="shared" si="359"/>
        <v>859</v>
      </c>
      <c r="BQ686" s="17">
        <f t="shared" si="360"/>
        <v>864</v>
      </c>
      <c r="BR686" t="str">
        <f t="shared" si="361"/>
        <v>event_team_player_2</v>
      </c>
      <c r="BS686">
        <f>COUNTIFS(S$3:S686,"="&amp;S686,AI$3:AI686,"="&amp;AI686)</f>
        <v>2</v>
      </c>
      <c r="BT686" t="str">
        <f>IFERROR(VLOOKUP(BB686&amp;BU686&amp;X686,game_rosters!U:W,3,FALSE),"")</f>
        <v>P100001</v>
      </c>
      <c r="BU686" t="str">
        <f t="shared" si="362"/>
        <v>Velodrome</v>
      </c>
    </row>
    <row r="687" spans="1:73" x14ac:dyDescent="0.2">
      <c r="A687">
        <f t="shared" si="349"/>
        <v>1</v>
      </c>
      <c r="E687" s="4"/>
      <c r="F687" s="43"/>
      <c r="G687" s="4"/>
      <c r="H687" s="46"/>
      <c r="J687" s="44" t="str">
        <f t="shared" si="363"/>
        <v>o</v>
      </c>
      <c r="K687" t="s">
        <v>238</v>
      </c>
      <c r="L687" t="s">
        <v>174</v>
      </c>
      <c r="M687" t="s">
        <v>85</v>
      </c>
      <c r="N687" t="str">
        <f t="shared" si="366"/>
        <v>s</v>
      </c>
      <c r="Q687" t="str">
        <f t="shared" si="364"/>
        <v/>
      </c>
      <c r="S687">
        <v>367</v>
      </c>
      <c r="U687" t="str">
        <f>IF(B687=1,MAX($U$2:$U686)+1,IF(AND($T687&lt;&gt;"",$T687=$T686),$U686,IF(B687="x",U686,"")))</f>
        <v/>
      </c>
      <c r="V687" t="str">
        <f>IF(C687=1,MAX($V$2:$V686)+1,IF(AND($T687&lt;&gt;"",$T687=$T686),$U686,IF(C687="x",V686,"")))</f>
        <v/>
      </c>
      <c r="W687" t="str">
        <f t="shared" si="338"/>
        <v>a</v>
      </c>
      <c r="X687">
        <v>70</v>
      </c>
      <c r="Y687" t="e">
        <f>IF(X687&lt;&gt;"",VLOOKUP(X687,game_rosters!$C$43:$E$64,3,FALSE))</f>
        <v>#N/A</v>
      </c>
      <c r="Z687" cm="1">
        <f t="array" ref="Z687">IFERROR(IF(_xlfn._xlws.FILTER(game_rosters!$J:$J,(game_rosters!$G:$G=events!$AN687)*(game_rosters!$J:$J=events!$X687))&gt;0,1,""),"")</f>
        <v>1</v>
      </c>
      <c r="AA687">
        <f t="shared" si="339"/>
        <v>1367</v>
      </c>
      <c r="AB687" t="str">
        <f t="shared" si="340"/>
        <v/>
      </c>
      <c r="AC687">
        <f t="shared" si="337"/>
        <v>1367</v>
      </c>
      <c r="AD687" s="6">
        <v>1</v>
      </c>
      <c r="AE687" t="s">
        <v>940</v>
      </c>
      <c r="AF687" t="s">
        <v>904</v>
      </c>
      <c r="AG687" t="s">
        <v>940</v>
      </c>
      <c r="AH687" t="s">
        <v>905</v>
      </c>
      <c r="AI687" t="s">
        <v>367</v>
      </c>
      <c r="AJ687" t="str">
        <f t="shared" si="367"/>
        <v>o</v>
      </c>
      <c r="AK687" t="str">
        <f t="shared" si="367"/>
        <v>o</v>
      </c>
      <c r="AL687" t="str">
        <f t="shared" si="342"/>
        <v>d</v>
      </c>
      <c r="AN687" t="s">
        <v>862</v>
      </c>
      <c r="AO687" t="str">
        <f t="shared" si="343"/>
        <v>a</v>
      </c>
      <c r="AP687" t="str">
        <f t="shared" si="350"/>
        <v>d</v>
      </c>
      <c r="AQ687" t="str">
        <f t="shared" si="351"/>
        <v/>
      </c>
      <c r="AR687" t="str">
        <f t="shared" si="352"/>
        <v>Away</v>
      </c>
      <c r="AS687" t="str">
        <f t="shared" si="353"/>
        <v>a</v>
      </c>
      <c r="AT687" t="str">
        <f t="shared" si="354"/>
        <v>Offensive</v>
      </c>
      <c r="BA687" s="6">
        <f t="shared" si="344"/>
        <v>186</v>
      </c>
      <c r="BB687">
        <f t="shared" si="345"/>
        <v>18981</v>
      </c>
      <c r="BC687" t="str">
        <f t="shared" si="346"/>
        <v>Nelson</v>
      </c>
      <c r="BD687" t="str">
        <f t="shared" si="347"/>
        <v>Velodrome</v>
      </c>
      <c r="BE687" t="s">
        <v>238</v>
      </c>
      <c r="BF687" t="s">
        <v>174</v>
      </c>
      <c r="BG687" t="s">
        <v>85</v>
      </c>
      <c r="BI687" cm="1">
        <f t="array" ref="BI687">IFERROR(_xlfn._xlws.FILTER(shifts!A:A,(shifts!B:B=events!AD687)*(shifts!AG:AG&gt;=events!BK687)*(shifts!AH:AH&lt;=events!BL687)),BI686)</f>
        <v>31</v>
      </c>
      <c r="BJ687" s="15">
        <f t="shared" si="348"/>
        <v>4</v>
      </c>
      <c r="BK687">
        <f t="shared" si="355"/>
        <v>216</v>
      </c>
      <c r="BL687">
        <f t="shared" si="356"/>
        <v>212</v>
      </c>
      <c r="BM687" s="15">
        <f>SUMIFS(BJ$2:BJ687,K$2:K687,"=Intermission")+SUMIFS(BJ$2:BJ687,K$2:K687,"=Timeout")</f>
        <v>0</v>
      </c>
      <c r="BN687">
        <f t="shared" si="357"/>
        <v>0</v>
      </c>
      <c r="BO687" s="19">
        <f t="shared" si="358"/>
        <v>864</v>
      </c>
      <c r="BP687">
        <f t="shared" si="359"/>
        <v>859</v>
      </c>
      <c r="BQ687" s="17">
        <f t="shared" si="360"/>
        <v>868</v>
      </c>
      <c r="BR687" t="str">
        <f t="shared" si="361"/>
        <v>event_team_player_1</v>
      </c>
      <c r="BS687">
        <f>COUNTIFS(S$3:S687,"="&amp;S687,AI$3:AI687,"="&amp;AI687)</f>
        <v>1</v>
      </c>
      <c r="BT687" t="str">
        <f>IFERROR(VLOOKUP(BB687&amp;BU687&amp;X687,game_rosters!U:W,3,FALSE),"")</f>
        <v>P100001</v>
      </c>
      <c r="BU687" t="str">
        <f t="shared" si="362"/>
        <v>Velodrome</v>
      </c>
    </row>
    <row r="688" spans="1:73" x14ac:dyDescent="0.2">
      <c r="A688">
        <f t="shared" si="349"/>
        <v>1</v>
      </c>
      <c r="E688" s="4"/>
      <c r="F688" s="43"/>
      <c r="G688" s="4"/>
      <c r="H688" s="46"/>
      <c r="J688" s="44" t="str">
        <f t="shared" si="363"/>
        <v>o</v>
      </c>
      <c r="K688" t="s">
        <v>238</v>
      </c>
      <c r="L688" t="s">
        <v>174</v>
      </c>
      <c r="M688" t="s">
        <v>85</v>
      </c>
      <c r="N688" t="str">
        <f t="shared" si="366"/>
        <v>s</v>
      </c>
      <c r="Q688" t="str">
        <f t="shared" si="364"/>
        <v/>
      </c>
      <c r="S688">
        <v>367</v>
      </c>
      <c r="U688" t="str">
        <f>IF(B688=1,MAX($U$2:$U687)+1,IF(AND($T688&lt;&gt;"",$T688=$T687),$U687,IF(B688="x",U687,"")))</f>
        <v/>
      </c>
      <c r="V688" t="str">
        <f>IF(C688=1,MAX($V$2:$V687)+1,IF(AND($T688&lt;&gt;"",$T688=$T687),$U687,IF(C688="x",V687,"")))</f>
        <v/>
      </c>
      <c r="W688" t="str">
        <f t="shared" si="338"/>
        <v>a</v>
      </c>
      <c r="X688">
        <v>8</v>
      </c>
      <c r="Y688" t="b">
        <f>IF(X688&lt;&gt;"",VLOOKUP(X688,game_rosters!$C$43:$E$64,3,FALSE))</f>
        <v>0</v>
      </c>
      <c r="Z688" t="str" cm="1">
        <f t="array" ref="Z688">IFERROR(IF(_xlfn._xlws.FILTER(game_rosters!$J:$J,(game_rosters!$G:$G=events!$AN688)*(game_rosters!$J:$J=events!$X688))&gt;0,1,""),"")</f>
        <v/>
      </c>
      <c r="AA688">
        <f t="shared" si="339"/>
        <v>1367</v>
      </c>
      <c r="AB688" t="str">
        <f t="shared" si="340"/>
        <v/>
      </c>
      <c r="AC688">
        <f t="shared" si="337"/>
        <v>1367</v>
      </c>
      <c r="AD688" s="6">
        <v>1</v>
      </c>
      <c r="AE688" t="s">
        <v>940</v>
      </c>
      <c r="AF688" t="s">
        <v>904</v>
      </c>
      <c r="AG688" t="s">
        <v>940</v>
      </c>
      <c r="AH688" t="s">
        <v>905</v>
      </c>
      <c r="AI688" t="s">
        <v>368</v>
      </c>
      <c r="AJ688" t="str">
        <f t="shared" si="367"/>
        <v>o</v>
      </c>
      <c r="AK688" t="str">
        <f t="shared" si="367"/>
        <v>o</v>
      </c>
      <c r="AL688" t="str">
        <f t="shared" si="342"/>
        <v>d</v>
      </c>
      <c r="AN688" t="s">
        <v>862</v>
      </c>
      <c r="AO688" t="str">
        <f t="shared" si="343"/>
        <v>a</v>
      </c>
      <c r="AP688" t="str">
        <f t="shared" si="350"/>
        <v>d</v>
      </c>
      <c r="AQ688" t="str">
        <f t="shared" si="351"/>
        <v/>
      </c>
      <c r="AR688" t="str">
        <f t="shared" si="352"/>
        <v>Away</v>
      </c>
      <c r="AS688" t="str">
        <f t="shared" si="353"/>
        <v>a</v>
      </c>
      <c r="AT688" t="str">
        <f t="shared" si="354"/>
        <v>Defensive</v>
      </c>
      <c r="BA688" s="6">
        <f t="shared" si="344"/>
        <v>187</v>
      </c>
      <c r="BB688">
        <f t="shared" si="345"/>
        <v>18981</v>
      </c>
      <c r="BC688" t="str">
        <f t="shared" si="346"/>
        <v>Nelson</v>
      </c>
      <c r="BD688" t="str">
        <f t="shared" si="347"/>
        <v>Velodrome</v>
      </c>
      <c r="BE688" t="s">
        <v>238</v>
      </c>
      <c r="BF688" t="s">
        <v>174</v>
      </c>
      <c r="BG688" t="s">
        <v>85</v>
      </c>
      <c r="BI688" cm="1">
        <f t="array" ref="BI688">IFERROR(_xlfn._xlws.FILTER(shifts!A:A,(shifts!B:B=events!AD688)*(shifts!AG:AG&gt;=events!BK688)*(shifts!AH:AH&lt;=events!BL688)),BI687)</f>
        <v>31</v>
      </c>
      <c r="BJ688" s="15">
        <f t="shared" si="348"/>
        <v>4</v>
      </c>
      <c r="BK688">
        <f t="shared" si="355"/>
        <v>216</v>
      </c>
      <c r="BL688">
        <f t="shared" si="356"/>
        <v>212</v>
      </c>
      <c r="BM688" s="15">
        <f>SUMIFS(BJ$2:BJ688,K$2:K688,"=Intermission")+SUMIFS(BJ$2:BJ688,K$2:K688,"=Timeout")</f>
        <v>0</v>
      </c>
      <c r="BN688">
        <f t="shared" si="357"/>
        <v>0</v>
      </c>
      <c r="BO688" s="19">
        <f t="shared" si="358"/>
        <v>864</v>
      </c>
      <c r="BP688">
        <f t="shared" si="359"/>
        <v>859</v>
      </c>
      <c r="BQ688" s="17">
        <f t="shared" si="360"/>
        <v>868</v>
      </c>
      <c r="BR688" t="str">
        <f t="shared" si="361"/>
        <v>opp_team_player_1</v>
      </c>
      <c r="BS688">
        <f>COUNTIFS(S$3:S688,"="&amp;S688,AI$3:AI688,"="&amp;AI688)</f>
        <v>1</v>
      </c>
      <c r="BT688" t="str">
        <f>IFERROR(VLOOKUP(BB688&amp;BU688&amp;X688,game_rosters!U:W,3,FALSE),"")</f>
        <v>P100074</v>
      </c>
      <c r="BU688" t="str">
        <f t="shared" si="362"/>
        <v>Nelson</v>
      </c>
    </row>
    <row r="689" spans="1:73" x14ac:dyDescent="0.2">
      <c r="A689">
        <f t="shared" si="349"/>
        <v>1</v>
      </c>
      <c r="E689" s="4"/>
      <c r="F689" s="43"/>
      <c r="G689" s="4"/>
      <c r="H689" s="46"/>
      <c r="J689" s="44" t="str">
        <f t="shared" si="363"/>
        <v>o</v>
      </c>
      <c r="K689" t="s">
        <v>238</v>
      </c>
      <c r="L689" t="s">
        <v>174</v>
      </c>
      <c r="M689" t="s">
        <v>85</v>
      </c>
      <c r="N689" t="str">
        <f t="shared" si="366"/>
        <v>s</v>
      </c>
      <c r="Q689" t="str">
        <f t="shared" si="364"/>
        <v/>
      </c>
      <c r="S689">
        <v>367</v>
      </c>
      <c r="U689" t="str">
        <f>IF(B689=1,MAX($U$2:$U688)+1,IF(AND($T689&lt;&gt;"",$T689=$T688),$U688,IF(B689="x",U688,"")))</f>
        <v/>
      </c>
      <c r="V689" t="str">
        <f>IF(C689=1,MAX($V$2:$V688)+1,IF(AND($T689&lt;&gt;"",$T689=$T688),$U688,IF(C689="x",V688,"")))</f>
        <v/>
      </c>
      <c r="W689" t="str">
        <f t="shared" si="338"/>
        <v>a</v>
      </c>
      <c r="X689">
        <v>80</v>
      </c>
      <c r="Y689" t="b">
        <f>IF(X689&lt;&gt;"",VLOOKUP(X689,game_rosters!$C$43:$E$64,3,FALSE))</f>
        <v>0</v>
      </c>
      <c r="Z689" t="str" cm="1">
        <f t="array" ref="Z689">IFERROR(IF(_xlfn._xlws.FILTER(game_rosters!$J:$J,(game_rosters!$G:$G=events!$AN689)*(game_rosters!$J:$J=events!$X689))&gt;0,1,""),"")</f>
        <v/>
      </c>
      <c r="AA689">
        <f t="shared" si="339"/>
        <v>1367</v>
      </c>
      <c r="AB689" t="str">
        <f t="shared" si="340"/>
        <v/>
      </c>
      <c r="AC689">
        <f t="shared" si="337"/>
        <v>1367</v>
      </c>
      <c r="AD689" s="6">
        <v>1</v>
      </c>
      <c r="AE689" t="s">
        <v>940</v>
      </c>
      <c r="AF689" t="s">
        <v>904</v>
      </c>
      <c r="AG689" t="s">
        <v>940</v>
      </c>
      <c r="AH689" t="s">
        <v>905</v>
      </c>
      <c r="AI689" t="s">
        <v>368</v>
      </c>
      <c r="AJ689" t="str">
        <f t="shared" si="367"/>
        <v>o</v>
      </c>
      <c r="AK689" t="str">
        <f t="shared" si="367"/>
        <v>o</v>
      </c>
      <c r="AL689" t="str">
        <f t="shared" si="342"/>
        <v>d</v>
      </c>
      <c r="AN689" t="s">
        <v>862</v>
      </c>
      <c r="AO689" t="str">
        <f t="shared" si="343"/>
        <v>a</v>
      </c>
      <c r="AP689" t="str">
        <f t="shared" si="350"/>
        <v>d</v>
      </c>
      <c r="AQ689" t="str">
        <f t="shared" si="351"/>
        <v/>
      </c>
      <c r="AR689" t="str">
        <f t="shared" si="352"/>
        <v>Away</v>
      </c>
      <c r="AS689" t="str">
        <f t="shared" si="353"/>
        <v>a</v>
      </c>
      <c r="AT689" t="str">
        <f t="shared" si="354"/>
        <v>Defensive</v>
      </c>
      <c r="BA689" s="6">
        <f t="shared" si="344"/>
        <v>188</v>
      </c>
      <c r="BB689">
        <f t="shared" si="345"/>
        <v>18981</v>
      </c>
      <c r="BC689" t="str">
        <f t="shared" si="346"/>
        <v>Nelson</v>
      </c>
      <c r="BD689" t="str">
        <f t="shared" si="347"/>
        <v>Velodrome</v>
      </c>
      <c r="BE689" t="s">
        <v>238</v>
      </c>
      <c r="BF689" t="s">
        <v>174</v>
      </c>
      <c r="BG689" t="s">
        <v>85</v>
      </c>
      <c r="BI689" cm="1">
        <f t="array" ref="BI689">IFERROR(_xlfn._xlws.FILTER(shifts!A:A,(shifts!B:B=events!AD689)*(shifts!AG:AG&gt;=events!BK689)*(shifts!AH:AH&lt;=events!BL689)),BI688)</f>
        <v>31</v>
      </c>
      <c r="BJ689" s="15">
        <f t="shared" si="348"/>
        <v>4</v>
      </c>
      <c r="BK689">
        <f t="shared" si="355"/>
        <v>216</v>
      </c>
      <c r="BL689">
        <f t="shared" si="356"/>
        <v>212</v>
      </c>
      <c r="BM689" s="15">
        <f>SUMIFS(BJ$2:BJ689,K$2:K689,"=Intermission")+SUMIFS(BJ$2:BJ689,K$2:K689,"=Timeout")</f>
        <v>0</v>
      </c>
      <c r="BN689">
        <f t="shared" si="357"/>
        <v>0</v>
      </c>
      <c r="BO689" s="19">
        <f t="shared" si="358"/>
        <v>864</v>
      </c>
      <c r="BP689">
        <f t="shared" si="359"/>
        <v>859</v>
      </c>
      <c r="BQ689" s="17">
        <f t="shared" si="360"/>
        <v>868</v>
      </c>
      <c r="BR689" t="str">
        <f t="shared" si="361"/>
        <v>opp_team_player_2</v>
      </c>
      <c r="BS689">
        <f>COUNTIFS(S$3:S689,"="&amp;S689,AI$3:AI689,"="&amp;AI689)</f>
        <v>2</v>
      </c>
      <c r="BT689" t="str">
        <f>IFERROR(VLOOKUP(BB689&amp;BU689&amp;X689,game_rosters!U:W,3,FALSE),"")</f>
        <v>P100197</v>
      </c>
      <c r="BU689" t="str">
        <f t="shared" si="362"/>
        <v>Nelson</v>
      </c>
    </row>
    <row r="690" spans="1:73" x14ac:dyDescent="0.2">
      <c r="A690">
        <f t="shared" si="349"/>
        <v>1</v>
      </c>
      <c r="E690" s="4"/>
      <c r="F690" s="43"/>
      <c r="G690" s="4"/>
      <c r="H690" s="46"/>
      <c r="J690" s="44" t="str">
        <f t="shared" si="363"/>
        <v/>
      </c>
      <c r="K690" t="s">
        <v>9</v>
      </c>
      <c r="L690" t="s">
        <v>183</v>
      </c>
      <c r="M690" t="s">
        <v>80</v>
      </c>
      <c r="N690" t="str">
        <f t="shared" si="366"/>
        <v/>
      </c>
      <c r="Q690" t="str">
        <f t="shared" si="364"/>
        <v/>
      </c>
      <c r="S690">
        <v>368</v>
      </c>
      <c r="U690" t="str">
        <f>IF(B690=1,MAX($U$2:$U689)+1,IF(AND($T690&lt;&gt;"",$T690=$T689),$U689,IF(B690="x",U689,"")))</f>
        <v/>
      </c>
      <c r="V690" t="str">
        <f>IF(C690=1,MAX($V$2:$V689)+1,IF(AND($T690&lt;&gt;"",$T690=$T689),$U689,IF(C690="x",V689,"")))</f>
        <v/>
      </c>
      <c r="W690" t="str">
        <f t="shared" si="338"/>
        <v>h</v>
      </c>
      <c r="X690">
        <v>80</v>
      </c>
      <c r="Y690" t="b">
        <f>IF(X690&lt;&gt;"",VLOOKUP(X690,game_rosters!$C$43:$E$64,3,FALSE))</f>
        <v>0</v>
      </c>
      <c r="Z690" cm="1">
        <f t="array" ref="Z690">IFERROR(IF(_xlfn._xlws.FILTER(game_rosters!$J:$J,(game_rosters!$G:$G=events!$AN690)*(game_rosters!$J:$J=events!$X690))&gt;0,1,""),"")</f>
        <v>1</v>
      </c>
      <c r="AA690">
        <f t="shared" si="339"/>
        <v>1368</v>
      </c>
      <c r="AB690" t="str">
        <f t="shared" si="340"/>
        <v/>
      </c>
      <c r="AC690">
        <f t="shared" si="337"/>
        <v>1368</v>
      </c>
      <c r="AD690" s="6">
        <v>1</v>
      </c>
      <c r="AE690" t="s">
        <v>940</v>
      </c>
      <c r="AF690" t="s">
        <v>905</v>
      </c>
      <c r="AG690" t="s">
        <v>756</v>
      </c>
      <c r="AH690" t="s">
        <v>756</v>
      </c>
      <c r="AI690" t="s">
        <v>367</v>
      </c>
      <c r="AJ690" t="str">
        <f t="shared" si="367"/>
        <v/>
      </c>
      <c r="AK690" t="str">
        <f t="shared" si="367"/>
        <v/>
      </c>
      <c r="AL690" t="str">
        <f t="shared" si="342"/>
        <v/>
      </c>
      <c r="AN690" t="s">
        <v>861</v>
      </c>
      <c r="AO690" t="str">
        <f t="shared" si="343"/>
        <v>h</v>
      </c>
      <c r="AP690" t="str">
        <f t="shared" si="350"/>
        <v/>
      </c>
      <c r="AQ690" t="str">
        <f t="shared" si="351"/>
        <v/>
      </c>
      <c r="AR690" t="str">
        <f t="shared" si="352"/>
        <v>Home</v>
      </c>
      <c r="AS690" t="str">
        <f t="shared" si="353"/>
        <v>h</v>
      </c>
      <c r="AT690" t="str">
        <f t="shared" si="354"/>
        <v>Defensive</v>
      </c>
      <c r="BA690" s="6">
        <f t="shared" si="344"/>
        <v>188</v>
      </c>
      <c r="BB690">
        <f t="shared" si="345"/>
        <v>18981</v>
      </c>
      <c r="BC690" t="str">
        <f t="shared" si="346"/>
        <v>Nelson</v>
      </c>
      <c r="BD690" t="str">
        <f t="shared" si="347"/>
        <v>Velodrome</v>
      </c>
      <c r="BE690" t="s">
        <v>9</v>
      </c>
      <c r="BF690" t="s">
        <v>183</v>
      </c>
      <c r="BG690" t="s">
        <v>80</v>
      </c>
      <c r="BI690" cm="1">
        <f t="array" ref="BI690">IFERROR(_xlfn._xlws.FILTER(shifts!A:A,(shifts!B:B=events!AD690)*(shifts!AG:AG&gt;=events!BK690)*(shifts!AH:AH&lt;=events!BL690)),BI689)</f>
        <v>32</v>
      </c>
      <c r="BJ690" s="15">
        <f t="shared" si="348"/>
        <v>0</v>
      </c>
      <c r="BK690">
        <f t="shared" si="355"/>
        <v>212</v>
      </c>
      <c r="BL690">
        <f t="shared" si="356"/>
        <v>212</v>
      </c>
      <c r="BM690" s="15">
        <f>SUMIFS(BJ$2:BJ690,K$2:K690,"=Intermission")+SUMIFS(BJ$2:BJ690,K$2:K690,"=Timeout")</f>
        <v>0</v>
      </c>
      <c r="BN690">
        <f t="shared" si="357"/>
        <v>0</v>
      </c>
      <c r="BO690" s="19">
        <f t="shared" si="358"/>
        <v>868</v>
      </c>
      <c r="BP690">
        <f t="shared" si="359"/>
        <v>863</v>
      </c>
      <c r="BQ690" s="17">
        <f t="shared" si="360"/>
        <v>868</v>
      </c>
      <c r="BR690" t="str">
        <f t="shared" si="361"/>
        <v>event_team_player_1</v>
      </c>
      <c r="BS690">
        <f>COUNTIFS(S$3:S690,"="&amp;S690,AI$3:AI690,"="&amp;AI690)</f>
        <v>1</v>
      </c>
      <c r="BT690" t="str">
        <f>IFERROR(VLOOKUP(BB690&amp;BU690&amp;X690,game_rosters!U:W,3,FALSE),"")</f>
        <v>P100197</v>
      </c>
      <c r="BU690" t="str">
        <f t="shared" si="362"/>
        <v>Nelson</v>
      </c>
    </row>
    <row r="691" spans="1:73" x14ac:dyDescent="0.2">
      <c r="A691">
        <f t="shared" si="349"/>
        <v>1</v>
      </c>
      <c r="E691" s="4"/>
      <c r="F691" s="43"/>
      <c r="G691" s="4"/>
      <c r="H691" s="46"/>
      <c r="J691" s="44" t="str">
        <f t="shared" si="363"/>
        <v/>
      </c>
      <c r="K691" t="s">
        <v>9</v>
      </c>
      <c r="L691" t="s">
        <v>183</v>
      </c>
      <c r="M691" t="s">
        <v>80</v>
      </c>
      <c r="N691" t="str">
        <f t="shared" si="366"/>
        <v/>
      </c>
      <c r="Q691" t="str">
        <f t="shared" si="364"/>
        <v/>
      </c>
      <c r="S691">
        <v>368</v>
      </c>
      <c r="U691" t="str">
        <f>IF(B691=1,MAX($U$2:$U690)+1,IF(AND($T691&lt;&gt;"",$T691=$T690),$U690,IF(B691="x",U690,"")))</f>
        <v/>
      </c>
      <c r="V691" t="str">
        <f>IF(C691=1,MAX($V$2:$V690)+1,IF(AND($T691&lt;&gt;"",$T691=$T690),$U690,IF(C691="x",V690,"")))</f>
        <v/>
      </c>
      <c r="W691" t="str">
        <f t="shared" si="338"/>
        <v>h</v>
      </c>
      <c r="X691">
        <v>70</v>
      </c>
      <c r="Y691" t="e">
        <f>IF(X691&lt;&gt;"",VLOOKUP(X691,game_rosters!$C$43:$E$64,3,FALSE))</f>
        <v>#N/A</v>
      </c>
      <c r="Z691" t="str" cm="1">
        <f t="array" ref="Z691">IFERROR(IF(_xlfn._xlws.FILTER(game_rosters!$J:$J,(game_rosters!$G:$G=events!$AN691)*(game_rosters!$J:$J=events!$X691))&gt;0,1,""),"")</f>
        <v/>
      </c>
      <c r="AA691">
        <f t="shared" si="339"/>
        <v>1368</v>
      </c>
      <c r="AB691" t="str">
        <f t="shared" si="340"/>
        <v/>
      </c>
      <c r="AC691">
        <f t="shared" si="337"/>
        <v>1368</v>
      </c>
      <c r="AD691" s="6">
        <v>1</v>
      </c>
      <c r="AE691" t="s">
        <v>940</v>
      </c>
      <c r="AF691" t="s">
        <v>905</v>
      </c>
      <c r="AG691" t="s">
        <v>756</v>
      </c>
      <c r="AH691" t="s">
        <v>756</v>
      </c>
      <c r="AI691" t="s">
        <v>368</v>
      </c>
      <c r="AJ691" t="str">
        <f t="shared" si="367"/>
        <v/>
      </c>
      <c r="AK691" t="str">
        <f t="shared" si="367"/>
        <v/>
      </c>
      <c r="AL691" t="str">
        <f t="shared" si="342"/>
        <v/>
      </c>
      <c r="AN691" t="s">
        <v>861</v>
      </c>
      <c r="AO691" t="str">
        <f t="shared" si="343"/>
        <v>h</v>
      </c>
      <c r="AP691" t="str">
        <f t="shared" si="350"/>
        <v/>
      </c>
      <c r="AQ691" t="str">
        <f t="shared" si="351"/>
        <v/>
      </c>
      <c r="AR691" t="str">
        <f t="shared" si="352"/>
        <v>Home</v>
      </c>
      <c r="AS691" t="str">
        <f t="shared" si="353"/>
        <v>h</v>
      </c>
      <c r="AT691" t="str">
        <f t="shared" si="354"/>
        <v>Offensive</v>
      </c>
      <c r="BA691" s="6">
        <f t="shared" si="344"/>
        <v>188</v>
      </c>
      <c r="BB691">
        <f t="shared" si="345"/>
        <v>18981</v>
      </c>
      <c r="BC691" t="str">
        <f t="shared" si="346"/>
        <v>Nelson</v>
      </c>
      <c r="BD691" t="str">
        <f t="shared" si="347"/>
        <v>Velodrome</v>
      </c>
      <c r="BE691" t="s">
        <v>9</v>
      </c>
      <c r="BF691" t="s">
        <v>183</v>
      </c>
      <c r="BG691" t="s">
        <v>80</v>
      </c>
      <c r="BI691" cm="1">
        <f t="array" ref="BI691">IFERROR(_xlfn._xlws.FILTER(shifts!A:A,(shifts!B:B=events!AD691)*(shifts!AG:AG&gt;=events!BK691)*(shifts!AH:AH&lt;=events!BL691)),BI690)</f>
        <v>32</v>
      </c>
      <c r="BJ691" s="15">
        <f t="shared" si="348"/>
        <v>0</v>
      </c>
      <c r="BK691">
        <f t="shared" si="355"/>
        <v>212</v>
      </c>
      <c r="BL691">
        <f t="shared" si="356"/>
        <v>212</v>
      </c>
      <c r="BM691" s="15">
        <f>SUMIFS(BJ$2:BJ691,K$2:K691,"=Intermission")+SUMIFS(BJ$2:BJ691,K$2:K691,"=Timeout")</f>
        <v>0</v>
      </c>
      <c r="BN691">
        <f t="shared" si="357"/>
        <v>0</v>
      </c>
      <c r="BO691" s="19">
        <f t="shared" si="358"/>
        <v>868</v>
      </c>
      <c r="BP691">
        <f t="shared" si="359"/>
        <v>863</v>
      </c>
      <c r="BQ691" s="17">
        <f t="shared" si="360"/>
        <v>868</v>
      </c>
      <c r="BR691" t="str">
        <f t="shared" si="361"/>
        <v>opp_team_player_1</v>
      </c>
      <c r="BS691">
        <f>COUNTIFS(S$3:S691,"="&amp;S691,AI$3:AI691,"="&amp;AI691)</f>
        <v>1</v>
      </c>
      <c r="BT691" t="str">
        <f>IFERROR(VLOOKUP(BB691&amp;BU691&amp;X691,game_rosters!U:W,3,FALSE),"")</f>
        <v>P100001</v>
      </c>
      <c r="BU691" t="str">
        <f t="shared" si="362"/>
        <v>Velodrome</v>
      </c>
    </row>
    <row r="692" spans="1:73" x14ac:dyDescent="0.2">
      <c r="A692">
        <f t="shared" si="349"/>
        <v>1</v>
      </c>
      <c r="E692" s="4"/>
      <c r="F692" s="43"/>
      <c r="G692" s="4"/>
      <c r="H692" s="46"/>
      <c r="J692" s="44" t="str">
        <f t="shared" si="363"/>
        <v>d</v>
      </c>
      <c r="K692" t="s">
        <v>238</v>
      </c>
      <c r="L692" t="s">
        <v>184</v>
      </c>
      <c r="M692" t="s">
        <v>170</v>
      </c>
      <c r="N692" t="str">
        <f t="shared" si="366"/>
        <v>s</v>
      </c>
      <c r="Q692" t="str">
        <f t="shared" si="364"/>
        <v/>
      </c>
      <c r="S692">
        <v>369</v>
      </c>
      <c r="U692" t="str">
        <f>IF(B692=1,MAX($U$2:$U691)+1,IF(AND($T692&lt;&gt;"",$T692=$T691),$U691,IF(B692="x",U691,"")))</f>
        <v/>
      </c>
      <c r="V692" t="str">
        <f>IF(C692=1,MAX($V$2:$V691)+1,IF(AND($T692&lt;&gt;"",$T692=$T691),$U691,IF(C692="x",V691,"")))</f>
        <v/>
      </c>
      <c r="W692" t="str">
        <f t="shared" si="338"/>
        <v>h</v>
      </c>
      <c r="X692">
        <v>44</v>
      </c>
      <c r="Y692" t="b">
        <f>IF(X692&lt;&gt;"",VLOOKUP(X692,game_rosters!$C$43:$E$64,3,FALSE))</f>
        <v>0</v>
      </c>
      <c r="Z692" cm="1">
        <f t="array" ref="Z692">IFERROR(IF(_xlfn._xlws.FILTER(game_rosters!$J:$J,(game_rosters!$G:$G=events!$AN692)*(game_rosters!$J:$J=events!$X692))&gt;0,1,""),"")</f>
        <v>1</v>
      </c>
      <c r="AA692">
        <f t="shared" si="339"/>
        <v>1369</v>
      </c>
      <c r="AB692" t="str">
        <f t="shared" si="340"/>
        <v/>
      </c>
      <c r="AC692">
        <f t="shared" si="337"/>
        <v>1369</v>
      </c>
      <c r="AD692" s="6">
        <v>1</v>
      </c>
      <c r="AE692" t="s">
        <v>940</v>
      </c>
      <c r="AF692" t="s">
        <v>906</v>
      </c>
      <c r="AG692" t="s">
        <v>756</v>
      </c>
      <c r="AH692" t="s">
        <v>756</v>
      </c>
      <c r="AI692" t="s">
        <v>367</v>
      </c>
      <c r="AJ692" t="str">
        <f t="shared" ref="AJ692:AK707" si="368">IF($J692&lt;&gt;"",$J692,IF($AC692=$AC691,AJ691,""))</f>
        <v>d</v>
      </c>
      <c r="AK692" t="str">
        <f t="shared" si="368"/>
        <v>d</v>
      </c>
      <c r="AL692" t="str">
        <f t="shared" si="342"/>
        <v>d</v>
      </c>
      <c r="AN692" t="s">
        <v>861</v>
      </c>
      <c r="AO692" t="str">
        <f t="shared" si="343"/>
        <v>h</v>
      </c>
      <c r="AP692" t="str">
        <f t="shared" si="350"/>
        <v>d</v>
      </c>
      <c r="AQ692" t="str">
        <f t="shared" si="351"/>
        <v/>
      </c>
      <c r="AR692" t="str">
        <f t="shared" si="352"/>
        <v>Home</v>
      </c>
      <c r="AS692" t="str">
        <f t="shared" si="353"/>
        <v>h</v>
      </c>
      <c r="AT692" t="str">
        <f t="shared" si="354"/>
        <v>Offensive</v>
      </c>
      <c r="BA692" s="6">
        <f t="shared" si="344"/>
        <v>189</v>
      </c>
      <c r="BB692">
        <f t="shared" si="345"/>
        <v>18981</v>
      </c>
      <c r="BC692" t="str">
        <f t="shared" si="346"/>
        <v>Nelson</v>
      </c>
      <c r="BD692" t="str">
        <f t="shared" si="347"/>
        <v>Velodrome</v>
      </c>
      <c r="BE692" t="s">
        <v>238</v>
      </c>
      <c r="BF692" t="s">
        <v>184</v>
      </c>
      <c r="BG692" t="s">
        <v>170</v>
      </c>
      <c r="BI692" cm="1">
        <f t="array" ref="BI692">IFERROR(_xlfn._xlws.FILTER(shifts!A:A,(shifts!B:B=events!AD692)*(shifts!AG:AG&gt;=events!BK692)*(shifts!AH:AH&lt;=events!BL692)),BI691)</f>
        <v>32</v>
      </c>
      <c r="BJ692" s="15">
        <f t="shared" si="348"/>
        <v>0</v>
      </c>
      <c r="BK692">
        <f t="shared" si="355"/>
        <v>209</v>
      </c>
      <c r="BL692">
        <f t="shared" si="356"/>
        <v>209</v>
      </c>
      <c r="BM692" s="15">
        <f>SUMIFS(BJ$2:BJ692,K$2:K692,"=Intermission")+SUMIFS(BJ$2:BJ692,K$2:K692,"=Timeout")</f>
        <v>0</v>
      </c>
      <c r="BN692">
        <f t="shared" si="357"/>
        <v>0</v>
      </c>
      <c r="BO692" s="19">
        <f t="shared" si="358"/>
        <v>871</v>
      </c>
      <c r="BP692">
        <f t="shared" si="359"/>
        <v>866</v>
      </c>
      <c r="BQ692" s="17">
        <f t="shared" si="360"/>
        <v>871</v>
      </c>
      <c r="BR692" t="str">
        <f t="shared" si="361"/>
        <v>event_team_player_1</v>
      </c>
      <c r="BS692">
        <f>COUNTIFS(S$3:S692,"="&amp;S692,AI$3:AI692,"="&amp;AI692)</f>
        <v>1</v>
      </c>
      <c r="BT692" t="str">
        <f>IFERROR(VLOOKUP(BB692&amp;BU692&amp;X692,game_rosters!U:W,3,FALSE),"")</f>
        <v>P100079</v>
      </c>
      <c r="BU692" t="str">
        <f t="shared" si="362"/>
        <v>Nelson</v>
      </c>
    </row>
    <row r="693" spans="1:73" x14ac:dyDescent="0.2">
      <c r="A693">
        <f t="shared" si="349"/>
        <v>1</v>
      </c>
      <c r="E693" s="4"/>
      <c r="F693" s="43"/>
      <c r="G693" s="4"/>
      <c r="H693" s="46"/>
      <c r="J693" s="44" t="str">
        <f t="shared" si="363"/>
        <v/>
      </c>
      <c r="K693" t="s">
        <v>13</v>
      </c>
      <c r="L693" t="s">
        <v>756</v>
      </c>
      <c r="M693" t="s">
        <v>756</v>
      </c>
      <c r="N693" t="str">
        <f t="shared" si="366"/>
        <v/>
      </c>
      <c r="Q693" t="str">
        <f t="shared" si="364"/>
        <v/>
      </c>
      <c r="S693">
        <v>370</v>
      </c>
      <c r="U693" t="str">
        <f>IF(B693=1,MAX($U$2:$U692)+1,IF(AND($T693&lt;&gt;"",$T693=$T692),$U692,IF(B693="x",U692,"")))</f>
        <v/>
      </c>
      <c r="V693" t="str">
        <f>IF(C693=1,MAX($V$2:$V692)+1,IF(AND($T693&lt;&gt;"",$T693=$T692),$U692,IF(C693="x",V692,"")))</f>
        <v/>
      </c>
      <c r="W693" t="str">
        <f t="shared" si="338"/>
        <v>h</v>
      </c>
      <c r="X693">
        <v>80</v>
      </c>
      <c r="Y693" t="b">
        <f>IF(X693&lt;&gt;"",VLOOKUP(X693,game_rosters!$C$43:$E$64,3,FALSE))</f>
        <v>0</v>
      </c>
      <c r="Z693" cm="1">
        <f t="array" ref="Z693">IFERROR(IF(_xlfn._xlws.FILTER(game_rosters!$J:$J,(game_rosters!$G:$G=events!$AN693)*(game_rosters!$J:$J=events!$X693))&gt;0,1,""),"")</f>
        <v>1</v>
      </c>
      <c r="AA693">
        <f t="shared" si="339"/>
        <v>1370</v>
      </c>
      <c r="AB693" t="str">
        <f t="shared" si="340"/>
        <v/>
      </c>
      <c r="AC693">
        <f t="shared" si="337"/>
        <v>1370</v>
      </c>
      <c r="AD693" s="6">
        <v>1</v>
      </c>
      <c r="AE693" t="s">
        <v>940</v>
      </c>
      <c r="AF693" t="s">
        <v>930</v>
      </c>
      <c r="AG693" t="s">
        <v>940</v>
      </c>
      <c r="AH693" t="s">
        <v>740</v>
      </c>
      <c r="AI693" t="s">
        <v>367</v>
      </c>
      <c r="AJ693" t="str">
        <f t="shared" si="368"/>
        <v/>
      </c>
      <c r="AK693" t="str">
        <f t="shared" si="368"/>
        <v/>
      </c>
      <c r="AL693" t="str">
        <f t="shared" si="342"/>
        <v/>
      </c>
      <c r="AN693" t="s">
        <v>861</v>
      </c>
      <c r="AO693" t="str">
        <f t="shared" si="343"/>
        <v>h</v>
      </c>
      <c r="AP693" t="str">
        <f t="shared" si="350"/>
        <v/>
      </c>
      <c r="AQ693" t="str">
        <f t="shared" si="351"/>
        <v/>
      </c>
      <c r="AR693" t="str">
        <f t="shared" si="352"/>
        <v>Home</v>
      </c>
      <c r="AS693" t="str">
        <f t="shared" si="353"/>
        <v>h</v>
      </c>
      <c r="AT693" t="str">
        <f t="shared" si="354"/>
        <v>Offensive</v>
      </c>
      <c r="BA693" s="6">
        <f t="shared" si="344"/>
        <v>189</v>
      </c>
      <c r="BB693">
        <f t="shared" si="345"/>
        <v>18981</v>
      </c>
      <c r="BC693" t="str">
        <f t="shared" si="346"/>
        <v>Nelson</v>
      </c>
      <c r="BD693" t="str">
        <f t="shared" si="347"/>
        <v>Velodrome</v>
      </c>
      <c r="BE693" t="s">
        <v>13</v>
      </c>
      <c r="BF693" t="s">
        <v>756</v>
      </c>
      <c r="BG693" t="s">
        <v>756</v>
      </c>
      <c r="BI693" cm="1">
        <f t="array" ref="BI693">IFERROR(_xlfn._xlws.FILTER(shifts!A:A,(shifts!B:B=events!AD693)*(shifts!AG:AG&gt;=events!BK693)*(shifts!AH:AH&lt;=events!BL693)),BI692)</f>
        <v>32</v>
      </c>
      <c r="BJ693" s="15">
        <f t="shared" si="348"/>
        <v>3</v>
      </c>
      <c r="BK693">
        <f t="shared" si="355"/>
        <v>208</v>
      </c>
      <c r="BL693">
        <f t="shared" si="356"/>
        <v>205</v>
      </c>
      <c r="BM693" s="15">
        <f>SUMIFS(BJ$2:BJ693,K$2:K693,"=Intermission")+SUMIFS(BJ$2:BJ693,K$2:K693,"=Timeout")</f>
        <v>0</v>
      </c>
      <c r="BN693">
        <f t="shared" si="357"/>
        <v>0</v>
      </c>
      <c r="BO693" s="19">
        <f t="shared" si="358"/>
        <v>872</v>
      </c>
      <c r="BP693">
        <f t="shared" si="359"/>
        <v>867</v>
      </c>
      <c r="BQ693" s="17">
        <f t="shared" si="360"/>
        <v>875</v>
      </c>
      <c r="BR693" t="str">
        <f t="shared" si="361"/>
        <v>event_team_player_1</v>
      </c>
      <c r="BS693">
        <f>COUNTIFS(S$3:S693,"="&amp;S693,AI$3:AI693,"="&amp;AI693)</f>
        <v>1</v>
      </c>
      <c r="BT693" t="str">
        <f>IFERROR(VLOOKUP(BB693&amp;BU693&amp;X693,game_rosters!U:W,3,FALSE),"")</f>
        <v>P100197</v>
      </c>
      <c r="BU693" t="str">
        <f t="shared" si="362"/>
        <v>Nelson</v>
      </c>
    </row>
    <row r="694" spans="1:73" x14ac:dyDescent="0.2">
      <c r="A694">
        <f t="shared" si="349"/>
        <v>1</v>
      </c>
      <c r="E694" s="4"/>
      <c r="F694" s="43"/>
      <c r="G694" s="4"/>
      <c r="H694" s="46"/>
      <c r="J694" s="44" t="str">
        <f t="shared" si="363"/>
        <v>o</v>
      </c>
      <c r="K694" t="s">
        <v>238</v>
      </c>
      <c r="L694" t="s">
        <v>174</v>
      </c>
      <c r="M694" t="s">
        <v>85</v>
      </c>
      <c r="N694" t="str">
        <f t="shared" si="366"/>
        <v>s</v>
      </c>
      <c r="Q694" t="str">
        <f t="shared" si="364"/>
        <v/>
      </c>
      <c r="S694">
        <v>371</v>
      </c>
      <c r="U694" t="str">
        <f>IF(B694=1,MAX($U$2:$U693)+1,IF(AND($T694&lt;&gt;"",$T694=$T693),$U693,IF(B694="x",U693,"")))</f>
        <v/>
      </c>
      <c r="V694" t="str">
        <f>IF(C694=1,MAX($V$2:$V693)+1,IF(AND($T694&lt;&gt;"",$T694=$T693),$U693,IF(C694="x",V693,"")))</f>
        <v/>
      </c>
      <c r="W694" t="str">
        <f t="shared" si="338"/>
        <v>h</v>
      </c>
      <c r="X694">
        <v>80</v>
      </c>
      <c r="Y694" t="b">
        <f>IF(X694&lt;&gt;"",VLOOKUP(X694,game_rosters!$C$43:$E$64,3,FALSE))</f>
        <v>0</v>
      </c>
      <c r="Z694" cm="1">
        <f t="array" ref="Z694">IFERROR(IF(_xlfn._xlws.FILTER(game_rosters!$J:$J,(game_rosters!$G:$G=events!$AN694)*(game_rosters!$J:$J=events!$X694))&gt;0,1,""),"")</f>
        <v>1</v>
      </c>
      <c r="AA694">
        <f t="shared" si="339"/>
        <v>1371</v>
      </c>
      <c r="AB694" t="str">
        <f t="shared" si="340"/>
        <v/>
      </c>
      <c r="AC694">
        <f t="shared" si="337"/>
        <v>1371</v>
      </c>
      <c r="AD694" s="6">
        <v>1</v>
      </c>
      <c r="AE694" t="s">
        <v>940</v>
      </c>
      <c r="AF694" t="s">
        <v>740</v>
      </c>
      <c r="AG694" t="s">
        <v>940</v>
      </c>
      <c r="AH694" t="s">
        <v>917</v>
      </c>
      <c r="AI694" t="s">
        <v>367</v>
      </c>
      <c r="AJ694" t="str">
        <f t="shared" si="368"/>
        <v>o</v>
      </c>
      <c r="AK694" t="str">
        <f t="shared" si="368"/>
        <v>o</v>
      </c>
      <c r="AL694" t="str">
        <f t="shared" si="342"/>
        <v>o</v>
      </c>
      <c r="AN694" t="s">
        <v>861</v>
      </c>
      <c r="AO694" t="str">
        <f t="shared" si="343"/>
        <v>h</v>
      </c>
      <c r="AP694" t="str">
        <f t="shared" si="350"/>
        <v>o</v>
      </c>
      <c r="AQ694" t="str">
        <f t="shared" si="351"/>
        <v/>
      </c>
      <c r="AR694" t="str">
        <f t="shared" si="352"/>
        <v>Home</v>
      </c>
      <c r="AS694" t="str">
        <f t="shared" si="353"/>
        <v>h</v>
      </c>
      <c r="AT694" t="str">
        <f t="shared" si="354"/>
        <v>Offensive</v>
      </c>
      <c r="BA694" s="6">
        <f t="shared" si="344"/>
        <v>190</v>
      </c>
      <c r="BB694">
        <f t="shared" si="345"/>
        <v>18981</v>
      </c>
      <c r="BC694" t="str">
        <f t="shared" si="346"/>
        <v>Nelson</v>
      </c>
      <c r="BD694" t="str">
        <f t="shared" si="347"/>
        <v>Velodrome</v>
      </c>
      <c r="BE694" t="s">
        <v>238</v>
      </c>
      <c r="BF694" t="s">
        <v>174</v>
      </c>
      <c r="BG694" t="s">
        <v>85</v>
      </c>
      <c r="BI694" cm="1">
        <f t="array" ref="BI694">IFERROR(_xlfn._xlws.FILTER(shifts!A:A,(shifts!B:B=events!AD694)*(shifts!AG:AG&gt;=events!BK694)*(shifts!AH:AH&lt;=events!BL694)),BI693)</f>
        <v>33</v>
      </c>
      <c r="BJ694" s="15">
        <f t="shared" si="348"/>
        <v>2</v>
      </c>
      <c r="BK694">
        <f t="shared" si="355"/>
        <v>205</v>
      </c>
      <c r="BL694">
        <f t="shared" si="356"/>
        <v>203</v>
      </c>
      <c r="BM694" s="15">
        <f>SUMIFS(BJ$2:BJ694,K$2:K694,"=Intermission")+SUMIFS(BJ$2:BJ694,K$2:K694,"=Timeout")</f>
        <v>0</v>
      </c>
      <c r="BN694">
        <f t="shared" si="357"/>
        <v>0</v>
      </c>
      <c r="BO694" s="19">
        <f t="shared" si="358"/>
        <v>875</v>
      </c>
      <c r="BP694">
        <f t="shared" si="359"/>
        <v>870</v>
      </c>
      <c r="BQ694" s="17">
        <f t="shared" si="360"/>
        <v>877</v>
      </c>
      <c r="BR694" t="str">
        <f t="shared" si="361"/>
        <v>event_team_player_1</v>
      </c>
      <c r="BS694">
        <f>COUNTIFS(S$3:S694,"="&amp;S694,AI$3:AI694,"="&amp;AI694)</f>
        <v>1</v>
      </c>
      <c r="BT694" t="str">
        <f>IFERROR(VLOOKUP(BB694&amp;BU694&amp;X694,game_rosters!U:W,3,FALSE),"")</f>
        <v>P100197</v>
      </c>
      <c r="BU694" t="str">
        <f t="shared" si="362"/>
        <v>Nelson</v>
      </c>
    </row>
    <row r="695" spans="1:73" x14ac:dyDescent="0.2">
      <c r="A695">
        <f t="shared" si="349"/>
        <v>1</v>
      </c>
      <c r="E695" s="4"/>
      <c r="F695" s="43"/>
      <c r="G695" s="4"/>
      <c r="H695" s="46"/>
      <c r="J695" s="44" t="str">
        <f t="shared" si="363"/>
        <v>o</v>
      </c>
      <c r="K695" t="s">
        <v>238</v>
      </c>
      <c r="L695" t="s">
        <v>174</v>
      </c>
      <c r="M695" t="s">
        <v>85</v>
      </c>
      <c r="N695" t="str">
        <f t="shared" si="366"/>
        <v>s</v>
      </c>
      <c r="Q695" t="str">
        <f t="shared" si="364"/>
        <v/>
      </c>
      <c r="S695">
        <v>371</v>
      </c>
      <c r="U695" t="str">
        <f>IF(B695=1,MAX($U$2:$U694)+1,IF(AND($T695&lt;&gt;"",$T695=$T694),$U694,IF(B695="x",U694,"")))</f>
        <v/>
      </c>
      <c r="V695" t="str">
        <f>IF(C695=1,MAX($V$2:$V694)+1,IF(AND($T695&lt;&gt;"",$T695=$T694),$U694,IF(C695="x",V694,"")))</f>
        <v/>
      </c>
      <c r="W695" t="str">
        <f t="shared" si="338"/>
        <v>h</v>
      </c>
      <c r="X695">
        <v>79</v>
      </c>
      <c r="Y695" t="b">
        <f>IF(X695&lt;&gt;"",VLOOKUP(X695,game_rosters!$C$43:$E$64,3,FALSE))</f>
        <v>0</v>
      </c>
      <c r="Z695" cm="1">
        <f t="array" ref="Z695">IFERROR(IF(_xlfn._xlws.FILTER(game_rosters!$J:$J,(game_rosters!$G:$G=events!$AN695)*(game_rosters!$J:$J=events!$X695))&gt;0,1,""),"")</f>
        <v>1</v>
      </c>
      <c r="AA695">
        <f t="shared" si="339"/>
        <v>1371</v>
      </c>
      <c r="AB695" t="str">
        <f t="shared" si="340"/>
        <v/>
      </c>
      <c r="AC695">
        <f t="shared" si="337"/>
        <v>1371</v>
      </c>
      <c r="AD695" s="6">
        <v>1</v>
      </c>
      <c r="AE695" t="s">
        <v>940</v>
      </c>
      <c r="AF695" t="s">
        <v>740</v>
      </c>
      <c r="AG695" t="s">
        <v>940</v>
      </c>
      <c r="AH695" t="s">
        <v>917</v>
      </c>
      <c r="AI695" t="s">
        <v>368</v>
      </c>
      <c r="AJ695" t="str">
        <f t="shared" si="368"/>
        <v>o</v>
      </c>
      <c r="AK695" t="str">
        <f t="shared" si="368"/>
        <v>o</v>
      </c>
      <c r="AL695" t="str">
        <f t="shared" si="342"/>
        <v>o</v>
      </c>
      <c r="AN695" t="s">
        <v>861</v>
      </c>
      <c r="AO695" t="str">
        <f t="shared" si="343"/>
        <v>h</v>
      </c>
      <c r="AP695" t="str">
        <f t="shared" si="350"/>
        <v>o</v>
      </c>
      <c r="AQ695" t="str">
        <f t="shared" si="351"/>
        <v/>
      </c>
      <c r="AR695" t="str">
        <f t="shared" si="352"/>
        <v>Home</v>
      </c>
      <c r="AS695" t="str">
        <f t="shared" si="353"/>
        <v>h</v>
      </c>
      <c r="AT695" t="str">
        <f t="shared" si="354"/>
        <v>Defensive</v>
      </c>
      <c r="BA695" s="6">
        <f t="shared" si="344"/>
        <v>191</v>
      </c>
      <c r="BB695">
        <f t="shared" si="345"/>
        <v>18981</v>
      </c>
      <c r="BC695" t="str">
        <f t="shared" si="346"/>
        <v>Nelson</v>
      </c>
      <c r="BD695" t="str">
        <f t="shared" si="347"/>
        <v>Velodrome</v>
      </c>
      <c r="BE695" t="s">
        <v>238</v>
      </c>
      <c r="BF695" t="s">
        <v>174</v>
      </c>
      <c r="BG695" t="s">
        <v>85</v>
      </c>
      <c r="BI695" cm="1">
        <f t="array" ref="BI695">IFERROR(_xlfn._xlws.FILTER(shifts!A:A,(shifts!B:B=events!AD695)*(shifts!AG:AG&gt;=events!BK695)*(shifts!AH:AH&lt;=events!BL695)),BI694)</f>
        <v>33</v>
      </c>
      <c r="BJ695" s="15">
        <f t="shared" si="348"/>
        <v>2</v>
      </c>
      <c r="BK695">
        <f t="shared" si="355"/>
        <v>205</v>
      </c>
      <c r="BL695">
        <f t="shared" si="356"/>
        <v>203</v>
      </c>
      <c r="BM695" s="15">
        <f>SUMIFS(BJ$2:BJ695,K$2:K695,"=Intermission")+SUMIFS(BJ$2:BJ695,K$2:K695,"=Timeout")</f>
        <v>0</v>
      </c>
      <c r="BN695">
        <f t="shared" si="357"/>
        <v>0</v>
      </c>
      <c r="BO695" s="19">
        <f t="shared" si="358"/>
        <v>875</v>
      </c>
      <c r="BP695">
        <f t="shared" si="359"/>
        <v>870</v>
      </c>
      <c r="BQ695" s="17">
        <f t="shared" si="360"/>
        <v>877</v>
      </c>
      <c r="BR695" t="str">
        <f t="shared" si="361"/>
        <v>opp_team_player_1</v>
      </c>
      <c r="BS695">
        <f>COUNTIFS(S$3:S695,"="&amp;S695,AI$3:AI695,"="&amp;AI695)</f>
        <v>1</v>
      </c>
      <c r="BT695" t="str">
        <f>IFERROR(VLOOKUP(BB695&amp;BU695&amp;X695,game_rosters!U:W,3,FALSE),"")</f>
        <v>P100066</v>
      </c>
      <c r="BU695" t="s">
        <v>944</v>
      </c>
    </row>
    <row r="696" spans="1:73" x14ac:dyDescent="0.2">
      <c r="A696">
        <f t="shared" si="349"/>
        <v>1</v>
      </c>
      <c r="E696" s="4"/>
      <c r="F696" s="43"/>
      <c r="G696" s="4"/>
      <c r="H696" s="46"/>
      <c r="J696" s="44" t="str">
        <f t="shared" si="363"/>
        <v>o</v>
      </c>
      <c r="K696" t="s">
        <v>238</v>
      </c>
      <c r="L696" t="s">
        <v>174</v>
      </c>
      <c r="M696" t="s">
        <v>85</v>
      </c>
      <c r="N696" t="str">
        <f t="shared" si="366"/>
        <v>s</v>
      </c>
      <c r="Q696" t="str">
        <f t="shared" si="364"/>
        <v/>
      </c>
      <c r="S696">
        <v>371</v>
      </c>
      <c r="U696" t="str">
        <f>IF(B696=1,MAX($U$2:$U695)+1,IF(AND($T696&lt;&gt;"",$T696=$T695),$U695,IF(B696="x",U695,"")))</f>
        <v/>
      </c>
      <c r="V696" t="str">
        <f>IF(C696=1,MAX($V$2:$V695)+1,IF(AND($T696&lt;&gt;"",$T696=$T695),$U695,IF(C696="x",V695,"")))</f>
        <v/>
      </c>
      <c r="W696" t="str">
        <f t="shared" si="338"/>
        <v>h</v>
      </c>
      <c r="X696">
        <v>91</v>
      </c>
      <c r="Y696" t="e">
        <f>IF(X696&lt;&gt;"",VLOOKUP(X696,game_rosters!$C$43:$E$64,3,FALSE))</f>
        <v>#N/A</v>
      </c>
      <c r="Z696" t="str" cm="1">
        <f t="array" ref="Z696">IFERROR(IF(_xlfn._xlws.FILTER(game_rosters!$J:$J,(game_rosters!$G:$G=events!$AN696)*(game_rosters!$J:$J=events!$X696))&gt;0,1,""),"")</f>
        <v/>
      </c>
      <c r="AA696">
        <f t="shared" si="339"/>
        <v>1371</v>
      </c>
      <c r="AB696" t="str">
        <f t="shared" si="340"/>
        <v/>
      </c>
      <c r="AC696">
        <f t="shared" si="337"/>
        <v>1371</v>
      </c>
      <c r="AD696" s="6">
        <v>1</v>
      </c>
      <c r="AE696" t="s">
        <v>940</v>
      </c>
      <c r="AF696" t="s">
        <v>740</v>
      </c>
      <c r="AG696" t="s">
        <v>940</v>
      </c>
      <c r="AH696" t="s">
        <v>917</v>
      </c>
      <c r="AI696" t="s">
        <v>368</v>
      </c>
      <c r="AJ696" t="str">
        <f t="shared" si="368"/>
        <v>o</v>
      </c>
      <c r="AK696" t="str">
        <f t="shared" si="368"/>
        <v>o</v>
      </c>
      <c r="AL696" t="str">
        <f t="shared" si="342"/>
        <v>o</v>
      </c>
      <c r="AN696" t="s">
        <v>861</v>
      </c>
      <c r="AO696" t="str">
        <f t="shared" si="343"/>
        <v>h</v>
      </c>
      <c r="AP696" t="str">
        <f t="shared" si="350"/>
        <v>o</v>
      </c>
      <c r="AQ696" t="str">
        <f t="shared" si="351"/>
        <v/>
      </c>
      <c r="AR696" t="str">
        <f t="shared" si="352"/>
        <v>Home</v>
      </c>
      <c r="AS696" t="str">
        <f t="shared" si="353"/>
        <v>h</v>
      </c>
      <c r="AT696" t="str">
        <f t="shared" si="354"/>
        <v>Defensive</v>
      </c>
      <c r="BA696" s="6">
        <f t="shared" si="344"/>
        <v>192</v>
      </c>
      <c r="BB696">
        <f t="shared" si="345"/>
        <v>18981</v>
      </c>
      <c r="BC696" t="str">
        <f t="shared" si="346"/>
        <v>Nelson</v>
      </c>
      <c r="BD696" t="str">
        <f t="shared" si="347"/>
        <v>Velodrome</v>
      </c>
      <c r="BE696" t="s">
        <v>238</v>
      </c>
      <c r="BF696" t="s">
        <v>174</v>
      </c>
      <c r="BG696" t="s">
        <v>85</v>
      </c>
      <c r="BI696" cm="1">
        <f t="array" ref="BI696">IFERROR(_xlfn._xlws.FILTER(shifts!A:A,(shifts!B:B=events!AD696)*(shifts!AG:AG&gt;=events!BK696)*(shifts!AH:AH&lt;=events!BL696)),BI695)</f>
        <v>33</v>
      </c>
      <c r="BJ696" s="15">
        <f t="shared" si="348"/>
        <v>2</v>
      </c>
      <c r="BK696">
        <f t="shared" si="355"/>
        <v>205</v>
      </c>
      <c r="BL696">
        <f t="shared" si="356"/>
        <v>203</v>
      </c>
      <c r="BM696" s="15">
        <f>SUMIFS(BJ$2:BJ696,K$2:K696,"=Intermission")+SUMIFS(BJ$2:BJ696,K$2:K696,"=Timeout")</f>
        <v>0</v>
      </c>
      <c r="BN696">
        <f t="shared" si="357"/>
        <v>0</v>
      </c>
      <c r="BO696" s="19">
        <f t="shared" si="358"/>
        <v>875</v>
      </c>
      <c r="BP696">
        <f t="shared" si="359"/>
        <v>870</v>
      </c>
      <c r="BQ696" s="17">
        <f t="shared" si="360"/>
        <v>877</v>
      </c>
      <c r="BR696" t="str">
        <f t="shared" si="361"/>
        <v>opp_team_player_2</v>
      </c>
      <c r="BS696">
        <f>COUNTIFS(S$3:S696,"="&amp;S696,AI$3:AI696,"="&amp;AI696)</f>
        <v>2</v>
      </c>
      <c r="BT696" t="str">
        <f>IFERROR(VLOOKUP(BB696&amp;BU696&amp;X696,game_rosters!U:W,3,FALSE),"")</f>
        <v>P100002</v>
      </c>
      <c r="BU696" t="str">
        <f t="shared" si="362"/>
        <v>Velodrome</v>
      </c>
    </row>
    <row r="697" spans="1:73" x14ac:dyDescent="0.2">
      <c r="A697">
        <f t="shared" si="349"/>
        <v>1</v>
      </c>
      <c r="E697" s="4"/>
      <c r="F697" s="43"/>
      <c r="G697" s="4"/>
      <c r="H697" s="46"/>
      <c r="J697" s="44" t="str">
        <f t="shared" si="363"/>
        <v>o</v>
      </c>
      <c r="K697" t="s">
        <v>238</v>
      </c>
      <c r="L697" t="s">
        <v>174</v>
      </c>
      <c r="M697" t="s">
        <v>85</v>
      </c>
      <c r="N697" t="str">
        <f t="shared" si="366"/>
        <v>s</v>
      </c>
      <c r="Q697" t="str">
        <f t="shared" si="364"/>
        <v/>
      </c>
      <c r="S697">
        <v>371</v>
      </c>
      <c r="U697" t="str">
        <f>IF(B697=1,MAX($U$2:$U696)+1,IF(AND($T697&lt;&gt;"",$T697=$T696),$U696,IF(B697="x",U696,"")))</f>
        <v/>
      </c>
      <c r="V697" t="str">
        <f>IF(C697=1,MAX($V$2:$V696)+1,IF(AND($T697&lt;&gt;"",$T697=$T696),$U696,IF(C697="x",V696,"")))</f>
        <v/>
      </c>
      <c r="W697" t="str">
        <f t="shared" si="338"/>
        <v>h</v>
      </c>
      <c r="X697">
        <v>93</v>
      </c>
      <c r="Y697" t="e">
        <f>IF(X697&lt;&gt;"",VLOOKUP(X697,game_rosters!$C$43:$E$64,3,FALSE))</f>
        <v>#N/A</v>
      </c>
      <c r="Z697" t="str" cm="1">
        <f t="array" ref="Z697">IFERROR(IF(_xlfn._xlws.FILTER(game_rosters!$J:$J,(game_rosters!$G:$G=events!$AN697)*(game_rosters!$J:$J=events!$X697))&gt;0,1,""),"")</f>
        <v/>
      </c>
      <c r="AA697">
        <f t="shared" si="339"/>
        <v>1371</v>
      </c>
      <c r="AB697" t="str">
        <f t="shared" si="340"/>
        <v/>
      </c>
      <c r="AC697">
        <f t="shared" si="337"/>
        <v>1371</v>
      </c>
      <c r="AD697" s="6">
        <v>1</v>
      </c>
      <c r="AE697" t="s">
        <v>940</v>
      </c>
      <c r="AF697" t="s">
        <v>740</v>
      </c>
      <c r="AG697" t="s">
        <v>940</v>
      </c>
      <c r="AH697" t="s">
        <v>917</v>
      </c>
      <c r="AI697" t="s">
        <v>368</v>
      </c>
      <c r="AJ697" t="str">
        <f t="shared" si="368"/>
        <v>o</v>
      </c>
      <c r="AK697" t="str">
        <f t="shared" si="368"/>
        <v>o</v>
      </c>
      <c r="AL697" t="str">
        <f t="shared" si="342"/>
        <v>o</v>
      </c>
      <c r="AN697" t="s">
        <v>861</v>
      </c>
      <c r="AO697" t="str">
        <f t="shared" si="343"/>
        <v>h</v>
      </c>
      <c r="AP697" t="str">
        <f t="shared" si="350"/>
        <v>o</v>
      </c>
      <c r="AQ697" t="str">
        <f t="shared" si="351"/>
        <v/>
      </c>
      <c r="AR697" t="str">
        <f t="shared" si="352"/>
        <v>Home</v>
      </c>
      <c r="AS697" t="str">
        <f t="shared" si="353"/>
        <v>h</v>
      </c>
      <c r="AT697" t="str">
        <f t="shared" si="354"/>
        <v>Defensive</v>
      </c>
      <c r="BA697" s="6">
        <f t="shared" si="344"/>
        <v>193</v>
      </c>
      <c r="BB697">
        <f t="shared" si="345"/>
        <v>18981</v>
      </c>
      <c r="BC697" t="str">
        <f t="shared" si="346"/>
        <v>Nelson</v>
      </c>
      <c r="BD697" t="str">
        <f t="shared" si="347"/>
        <v>Velodrome</v>
      </c>
      <c r="BE697" t="s">
        <v>238</v>
      </c>
      <c r="BF697" t="s">
        <v>174</v>
      </c>
      <c r="BG697" t="s">
        <v>85</v>
      </c>
      <c r="BI697" cm="1">
        <f t="array" ref="BI697">IFERROR(_xlfn._xlws.FILTER(shifts!A:A,(shifts!B:B=events!AD697)*(shifts!AG:AG&gt;=events!BK697)*(shifts!AH:AH&lt;=events!BL697)),BI696)</f>
        <v>33</v>
      </c>
      <c r="BJ697" s="15">
        <f t="shared" si="348"/>
        <v>2</v>
      </c>
      <c r="BK697">
        <f t="shared" si="355"/>
        <v>205</v>
      </c>
      <c r="BL697">
        <f t="shared" si="356"/>
        <v>203</v>
      </c>
      <c r="BM697" s="15">
        <f>SUMIFS(BJ$2:BJ697,K$2:K697,"=Intermission")+SUMIFS(BJ$2:BJ697,K$2:K697,"=Timeout")</f>
        <v>0</v>
      </c>
      <c r="BN697">
        <f t="shared" si="357"/>
        <v>0</v>
      </c>
      <c r="BO697" s="19">
        <f t="shared" si="358"/>
        <v>875</v>
      </c>
      <c r="BP697">
        <f t="shared" si="359"/>
        <v>870</v>
      </c>
      <c r="BQ697" s="17">
        <f t="shared" si="360"/>
        <v>877</v>
      </c>
      <c r="BR697" t="str">
        <f t="shared" si="361"/>
        <v>opp_team_player_3</v>
      </c>
      <c r="BS697">
        <f>COUNTIFS(S$3:S697,"="&amp;S697,AI$3:AI697,"="&amp;AI697)</f>
        <v>3</v>
      </c>
      <c r="BT697" t="str">
        <f>IFERROR(VLOOKUP(BB697&amp;BU697&amp;X697,game_rosters!U:W,3,FALSE),"")</f>
        <v>P100093</v>
      </c>
      <c r="BU697" t="str">
        <f t="shared" si="362"/>
        <v>Velodrome</v>
      </c>
    </row>
    <row r="698" spans="1:73" x14ac:dyDescent="0.2">
      <c r="A698">
        <f t="shared" si="349"/>
        <v>1</v>
      </c>
      <c r="E698" s="4"/>
      <c r="F698" s="43"/>
      <c r="G698" s="4"/>
      <c r="H698" s="46"/>
      <c r="J698" s="44" t="str">
        <f t="shared" si="363"/>
        <v>o</v>
      </c>
      <c r="K698" t="s">
        <v>238</v>
      </c>
      <c r="L698" t="s">
        <v>174</v>
      </c>
      <c r="M698" t="s">
        <v>85</v>
      </c>
      <c r="N698" t="str">
        <f t="shared" si="366"/>
        <v>s</v>
      </c>
      <c r="Q698" t="str">
        <f t="shared" si="364"/>
        <v/>
      </c>
      <c r="S698">
        <v>371</v>
      </c>
      <c r="U698" t="str">
        <f>IF(B698=1,MAX($U$2:$U697)+1,IF(AND($T698&lt;&gt;"",$T698=$T697),$U697,IF(B698="x",U697,"")))</f>
        <v/>
      </c>
      <c r="V698" t="str">
        <f>IF(C698=1,MAX($V$2:$V697)+1,IF(AND($T698&lt;&gt;"",$T698=$T697),$U697,IF(C698="x",V697,"")))</f>
        <v/>
      </c>
      <c r="W698" t="str">
        <f t="shared" si="338"/>
        <v>h</v>
      </c>
      <c r="X698">
        <v>84</v>
      </c>
      <c r="Y698" t="e">
        <f>IF(X698&lt;&gt;"",VLOOKUP(X698,game_rosters!$C$43:$E$64,3,FALSE))</f>
        <v>#N/A</v>
      </c>
      <c r="Z698" t="str" cm="1">
        <f t="array" ref="Z698">IFERROR(IF(_xlfn._xlws.FILTER(game_rosters!$J:$J,(game_rosters!$G:$G=events!$AN698)*(game_rosters!$J:$J=events!$X698))&gt;0,1,""),"")</f>
        <v/>
      </c>
      <c r="AA698">
        <f t="shared" si="339"/>
        <v>1371</v>
      </c>
      <c r="AB698" t="str">
        <f t="shared" si="340"/>
        <v/>
      </c>
      <c r="AC698">
        <f t="shared" si="337"/>
        <v>1371</v>
      </c>
      <c r="AD698" s="6">
        <v>1</v>
      </c>
      <c r="AE698" t="s">
        <v>940</v>
      </c>
      <c r="AF698" t="s">
        <v>740</v>
      </c>
      <c r="AG698" t="s">
        <v>940</v>
      </c>
      <c r="AH698" t="s">
        <v>917</v>
      </c>
      <c r="AI698" t="s">
        <v>368</v>
      </c>
      <c r="AJ698" t="str">
        <f t="shared" si="368"/>
        <v>o</v>
      </c>
      <c r="AK698" t="str">
        <f t="shared" si="368"/>
        <v>o</v>
      </c>
      <c r="AL698" t="str">
        <f t="shared" si="342"/>
        <v>o</v>
      </c>
      <c r="AN698" t="s">
        <v>861</v>
      </c>
      <c r="AO698" t="str">
        <f t="shared" si="343"/>
        <v>h</v>
      </c>
      <c r="AP698" t="str">
        <f t="shared" si="350"/>
        <v>o</v>
      </c>
      <c r="AQ698" t="str">
        <f t="shared" si="351"/>
        <v/>
      </c>
      <c r="AR698" t="str">
        <f t="shared" si="352"/>
        <v>Home</v>
      </c>
      <c r="AS698" t="str">
        <f t="shared" si="353"/>
        <v>h</v>
      </c>
      <c r="AT698" t="str">
        <f t="shared" si="354"/>
        <v>Defensive</v>
      </c>
      <c r="BA698" s="6">
        <f t="shared" si="344"/>
        <v>194</v>
      </c>
      <c r="BB698">
        <f t="shared" si="345"/>
        <v>18981</v>
      </c>
      <c r="BC698" t="str">
        <f t="shared" si="346"/>
        <v>Nelson</v>
      </c>
      <c r="BD698" t="str">
        <f t="shared" si="347"/>
        <v>Velodrome</v>
      </c>
      <c r="BE698" t="s">
        <v>238</v>
      </c>
      <c r="BF698" t="s">
        <v>174</v>
      </c>
      <c r="BG698" t="s">
        <v>85</v>
      </c>
      <c r="BI698" cm="1">
        <f t="array" ref="BI698">IFERROR(_xlfn._xlws.FILTER(shifts!A:A,(shifts!B:B=events!AD698)*(shifts!AG:AG&gt;=events!BK698)*(shifts!AH:AH&lt;=events!BL698)),BI697)</f>
        <v>33</v>
      </c>
      <c r="BJ698" s="15">
        <f t="shared" si="348"/>
        <v>2</v>
      </c>
      <c r="BK698">
        <f t="shared" si="355"/>
        <v>205</v>
      </c>
      <c r="BL698">
        <f t="shared" si="356"/>
        <v>203</v>
      </c>
      <c r="BM698" s="15">
        <f>SUMIFS(BJ$2:BJ698,K$2:K698,"=Intermission")+SUMIFS(BJ$2:BJ698,K$2:K698,"=Timeout")</f>
        <v>0</v>
      </c>
      <c r="BN698">
        <f t="shared" si="357"/>
        <v>0</v>
      </c>
      <c r="BO698" s="19">
        <f t="shared" si="358"/>
        <v>875</v>
      </c>
      <c r="BP698">
        <f t="shared" si="359"/>
        <v>870</v>
      </c>
      <c r="BQ698" s="17">
        <f t="shared" si="360"/>
        <v>877</v>
      </c>
      <c r="BR698" t="str">
        <f t="shared" si="361"/>
        <v>opp_team_player_4</v>
      </c>
      <c r="BS698">
        <f>COUNTIFS(S$3:S698,"="&amp;S698,AI$3:AI698,"="&amp;AI698)</f>
        <v>4</v>
      </c>
      <c r="BT698" t="str">
        <f>IFERROR(VLOOKUP(BB698&amp;BU698&amp;X698,game_rosters!U:W,3,FALSE),"")</f>
        <v>P100198</v>
      </c>
      <c r="BU698" t="str">
        <f t="shared" si="362"/>
        <v>Velodrome</v>
      </c>
    </row>
    <row r="699" spans="1:73" x14ac:dyDescent="0.2">
      <c r="A699">
        <f t="shared" si="349"/>
        <v>1</v>
      </c>
      <c r="E699" s="4"/>
      <c r="F699" s="43"/>
      <c r="G699" s="4"/>
      <c r="H699" s="46"/>
      <c r="J699" s="44" t="str">
        <f t="shared" si="363"/>
        <v>o</v>
      </c>
      <c r="K699" t="s">
        <v>6</v>
      </c>
      <c r="L699" t="s">
        <v>205</v>
      </c>
      <c r="M699" t="s">
        <v>51</v>
      </c>
      <c r="N699" t="str">
        <f t="shared" si="366"/>
        <v>s</v>
      </c>
      <c r="Q699" t="str">
        <f t="shared" si="364"/>
        <v/>
      </c>
      <c r="S699">
        <v>372</v>
      </c>
      <c r="U699" t="str">
        <f>IF(B699=1,MAX($U$2:$U698)+1,IF(AND($T699&lt;&gt;"",$T699=$T698),$U698,IF(B699="x",U698,"")))</f>
        <v/>
      </c>
      <c r="V699" t="str">
        <f>IF(C699=1,MAX($V$2:$V698)+1,IF(AND($T699&lt;&gt;"",$T699=$T698),$U698,IF(C699="x",V698,"")))</f>
        <v/>
      </c>
      <c r="W699" t="str">
        <f t="shared" si="338"/>
        <v>h</v>
      </c>
      <c r="X699">
        <v>80</v>
      </c>
      <c r="Y699" t="b">
        <f>IF(X699&lt;&gt;"",VLOOKUP(X699,game_rosters!$C$43:$E$64,3,FALSE))</f>
        <v>0</v>
      </c>
      <c r="Z699" cm="1">
        <f t="array" ref="Z699">IFERROR(IF(_xlfn._xlws.FILTER(game_rosters!$J:$J,(game_rosters!$G:$G=events!$AN699)*(game_rosters!$J:$J=events!$X699))&gt;0,1,""),"")</f>
        <v>1</v>
      </c>
      <c r="AA699">
        <f t="shared" si="339"/>
        <v>1372</v>
      </c>
      <c r="AB699" t="str">
        <f t="shared" si="340"/>
        <v/>
      </c>
      <c r="AC699">
        <f t="shared" si="337"/>
        <v>1372</v>
      </c>
      <c r="AD699" s="6">
        <v>1</v>
      </c>
      <c r="AE699" t="s">
        <v>940</v>
      </c>
      <c r="AF699" t="s">
        <v>917</v>
      </c>
      <c r="AG699" t="s">
        <v>756</v>
      </c>
      <c r="AH699" t="s">
        <v>756</v>
      </c>
      <c r="AI699" t="s">
        <v>367</v>
      </c>
      <c r="AJ699" t="str">
        <f t="shared" si="368"/>
        <v>o</v>
      </c>
      <c r="AK699" t="str">
        <f t="shared" si="368"/>
        <v>o</v>
      </c>
      <c r="AL699" t="str">
        <f t="shared" si="342"/>
        <v>o</v>
      </c>
      <c r="AN699" t="s">
        <v>861</v>
      </c>
      <c r="AO699" t="str">
        <f t="shared" si="343"/>
        <v>h</v>
      </c>
      <c r="AP699" t="str">
        <f t="shared" si="350"/>
        <v>o</v>
      </c>
      <c r="AQ699" t="str">
        <f t="shared" si="351"/>
        <v/>
      </c>
      <c r="AR699" t="str">
        <f t="shared" si="352"/>
        <v>Home</v>
      </c>
      <c r="AS699" t="str">
        <f t="shared" si="353"/>
        <v>h</v>
      </c>
      <c r="AT699" t="str">
        <f t="shared" si="354"/>
        <v>Offensive</v>
      </c>
      <c r="BA699" s="6">
        <f t="shared" si="344"/>
        <v>194</v>
      </c>
      <c r="BB699">
        <f t="shared" si="345"/>
        <v>18981</v>
      </c>
      <c r="BC699" t="str">
        <f t="shared" si="346"/>
        <v>Nelson</v>
      </c>
      <c r="BD699" t="str">
        <f t="shared" si="347"/>
        <v>Velodrome</v>
      </c>
      <c r="BE699" t="s">
        <v>6</v>
      </c>
      <c r="BF699" t="s">
        <v>205</v>
      </c>
      <c r="BG699" t="s">
        <v>51</v>
      </c>
      <c r="BI699" cm="1">
        <f t="array" ref="BI699">IFERROR(_xlfn._xlws.FILTER(shifts!A:A,(shifts!B:B=events!AD699)*(shifts!AG:AG&gt;=events!BK699)*(shifts!AH:AH&lt;=events!BL699)),BI698)</f>
        <v>33</v>
      </c>
      <c r="BJ699" s="15">
        <f t="shared" si="348"/>
        <v>0</v>
      </c>
      <c r="BK699">
        <f t="shared" si="355"/>
        <v>203</v>
      </c>
      <c r="BL699">
        <f t="shared" si="356"/>
        <v>203</v>
      </c>
      <c r="BM699" s="15">
        <f>SUMIFS(BJ$2:BJ699,K$2:K699,"=Intermission")+SUMIFS(BJ$2:BJ699,K$2:K699,"=Timeout")</f>
        <v>0</v>
      </c>
      <c r="BN699">
        <f t="shared" si="357"/>
        <v>0</v>
      </c>
      <c r="BO699" s="19">
        <f t="shared" si="358"/>
        <v>877</v>
      </c>
      <c r="BP699">
        <f t="shared" si="359"/>
        <v>872</v>
      </c>
      <c r="BQ699" s="17">
        <f t="shared" si="360"/>
        <v>877</v>
      </c>
      <c r="BR699" t="str">
        <f t="shared" si="361"/>
        <v>event_team_player_1</v>
      </c>
      <c r="BS699">
        <f>COUNTIFS(S$3:S699,"="&amp;S699,AI$3:AI699,"="&amp;AI699)</f>
        <v>1</v>
      </c>
      <c r="BT699" t="str">
        <f>IFERROR(VLOOKUP(BB699&amp;BU699&amp;X699,game_rosters!U:W,3,FALSE),"")</f>
        <v>P100197</v>
      </c>
      <c r="BU699" t="str">
        <f t="shared" si="362"/>
        <v>Nelson</v>
      </c>
    </row>
    <row r="700" spans="1:73" x14ac:dyDescent="0.2">
      <c r="A700">
        <f t="shared" si="349"/>
        <v>1</v>
      </c>
      <c r="E700" s="4"/>
      <c r="F700" s="43"/>
      <c r="G700" s="4"/>
      <c r="H700" s="46"/>
      <c r="J700" s="44" t="str">
        <f t="shared" si="363"/>
        <v>o</v>
      </c>
      <c r="K700" t="s">
        <v>6</v>
      </c>
      <c r="L700" t="s">
        <v>205</v>
      </c>
      <c r="M700" t="s">
        <v>51</v>
      </c>
      <c r="N700" t="str">
        <f t="shared" si="366"/>
        <v>s</v>
      </c>
      <c r="Q700" t="str">
        <f t="shared" si="364"/>
        <v/>
      </c>
      <c r="S700">
        <v>372</v>
      </c>
      <c r="U700" t="str">
        <f>IF(B700=1,MAX($U$2:$U699)+1,IF(AND($T700&lt;&gt;"",$T700=$T699),$U699,IF(B700="x",U699,"")))</f>
        <v/>
      </c>
      <c r="V700" t="str">
        <f>IF(C700=1,MAX($V$2:$V699)+1,IF(AND($T700&lt;&gt;"",$T700=$T699),$U699,IF(C700="x",V699,"")))</f>
        <v/>
      </c>
      <c r="W700" t="str">
        <f t="shared" si="338"/>
        <v>h</v>
      </c>
      <c r="X700">
        <v>39</v>
      </c>
      <c r="Y700" t="e">
        <f>IF(X700&lt;&gt;"",VLOOKUP(X700,game_rosters!$C$43:$E$64,3,FALSE))</f>
        <v>#N/A</v>
      </c>
      <c r="Z700" t="str" cm="1">
        <f t="array" ref="Z700">IFERROR(IF(_xlfn._xlws.FILTER(game_rosters!$J:$J,(game_rosters!$G:$G=events!$AN700)*(game_rosters!$J:$J=events!$X700))&gt;0,1,""),"")</f>
        <v/>
      </c>
      <c r="AA700">
        <f t="shared" si="339"/>
        <v>1372</v>
      </c>
      <c r="AB700" t="str">
        <f t="shared" si="340"/>
        <v/>
      </c>
      <c r="AC700">
        <f t="shared" si="337"/>
        <v>1372</v>
      </c>
      <c r="AD700" s="6">
        <v>1</v>
      </c>
      <c r="AE700" t="s">
        <v>940</v>
      </c>
      <c r="AF700" t="s">
        <v>917</v>
      </c>
      <c r="AG700" t="s">
        <v>756</v>
      </c>
      <c r="AH700" t="s">
        <v>756</v>
      </c>
      <c r="AI700" t="s">
        <v>368</v>
      </c>
      <c r="AJ700" t="str">
        <f t="shared" si="368"/>
        <v>o</v>
      </c>
      <c r="AK700" t="str">
        <f t="shared" si="368"/>
        <v>o</v>
      </c>
      <c r="AL700" t="str">
        <f t="shared" si="342"/>
        <v>o</v>
      </c>
      <c r="AN700" t="s">
        <v>861</v>
      </c>
      <c r="AO700" t="str">
        <f t="shared" si="343"/>
        <v>h</v>
      </c>
      <c r="AP700" t="str">
        <f t="shared" si="350"/>
        <v>o</v>
      </c>
      <c r="AQ700" t="str">
        <f t="shared" si="351"/>
        <v/>
      </c>
      <c r="AR700" t="str">
        <f t="shared" si="352"/>
        <v>Home</v>
      </c>
      <c r="AS700" t="str">
        <f t="shared" si="353"/>
        <v>h</v>
      </c>
      <c r="AT700" t="str">
        <f t="shared" si="354"/>
        <v>Defensive</v>
      </c>
      <c r="BA700" s="6">
        <f t="shared" si="344"/>
        <v>194</v>
      </c>
      <c r="BB700">
        <f t="shared" si="345"/>
        <v>18981</v>
      </c>
      <c r="BC700" t="str">
        <f t="shared" si="346"/>
        <v>Nelson</v>
      </c>
      <c r="BD700" t="str">
        <f t="shared" si="347"/>
        <v>Velodrome</v>
      </c>
      <c r="BE700" t="s">
        <v>6</v>
      </c>
      <c r="BF700" t="s">
        <v>205</v>
      </c>
      <c r="BG700" t="s">
        <v>51</v>
      </c>
      <c r="BI700" cm="1">
        <f t="array" ref="BI700">IFERROR(_xlfn._xlws.FILTER(shifts!A:A,(shifts!B:B=events!AD700)*(shifts!AG:AG&gt;=events!BK700)*(shifts!AH:AH&lt;=events!BL700)),BI699)</f>
        <v>33</v>
      </c>
      <c r="BJ700" s="15">
        <f t="shared" si="348"/>
        <v>0</v>
      </c>
      <c r="BK700">
        <f t="shared" si="355"/>
        <v>203</v>
      </c>
      <c r="BL700">
        <f t="shared" si="356"/>
        <v>203</v>
      </c>
      <c r="BM700" s="15">
        <f>SUMIFS(BJ$2:BJ700,K$2:K700,"=Intermission")+SUMIFS(BJ$2:BJ700,K$2:K700,"=Timeout")</f>
        <v>0</v>
      </c>
      <c r="BN700">
        <f t="shared" si="357"/>
        <v>0</v>
      </c>
      <c r="BO700" s="19">
        <f t="shared" si="358"/>
        <v>877</v>
      </c>
      <c r="BP700">
        <f t="shared" si="359"/>
        <v>872</v>
      </c>
      <c r="BQ700" s="17">
        <f t="shared" si="360"/>
        <v>877</v>
      </c>
      <c r="BR700" t="str">
        <f t="shared" si="361"/>
        <v>opp_team_player_1</v>
      </c>
      <c r="BS700">
        <f>COUNTIFS(S$3:S700,"="&amp;S700,AI$3:AI700,"="&amp;AI700)</f>
        <v>1</v>
      </c>
      <c r="BT700" t="str">
        <f>IFERROR(VLOOKUP(BB700&amp;BU700&amp;X700,game_rosters!U:W,3,FALSE),"")</f>
        <v>P100016</v>
      </c>
      <c r="BU700" t="str">
        <f t="shared" si="362"/>
        <v>Velodrome</v>
      </c>
    </row>
    <row r="701" spans="1:73" x14ac:dyDescent="0.2">
      <c r="A701">
        <f t="shared" si="349"/>
        <v>1</v>
      </c>
      <c r="E701" s="4"/>
      <c r="F701" s="43"/>
      <c r="G701" s="4"/>
      <c r="H701" s="46"/>
      <c r="J701" s="44" t="str">
        <f t="shared" si="363"/>
        <v>d</v>
      </c>
      <c r="K701" t="s">
        <v>15</v>
      </c>
      <c r="L701" t="s">
        <v>179</v>
      </c>
      <c r="M701" t="s">
        <v>416</v>
      </c>
      <c r="N701" t="str">
        <f t="shared" si="366"/>
        <v/>
      </c>
      <c r="Q701" t="str">
        <f t="shared" si="364"/>
        <v/>
      </c>
      <c r="S701">
        <v>373</v>
      </c>
      <c r="U701" t="str">
        <f>IF(B701=1,MAX($U$2:$U700)+1,IF(AND($T701&lt;&gt;"",$T701=$T700),$U700,IF(B701="x",U700,"")))</f>
        <v/>
      </c>
      <c r="V701" t="str">
        <f>IF(C701=1,MAX($V$2:$V700)+1,IF(AND($T701&lt;&gt;"",$T701=$T700),$U700,IF(C701="x",V700,"")))</f>
        <v/>
      </c>
      <c r="W701" t="str">
        <f t="shared" si="338"/>
        <v>a</v>
      </c>
      <c r="X701">
        <v>39</v>
      </c>
      <c r="Y701" t="e">
        <f>IF(X701&lt;&gt;"",VLOOKUP(X701,game_rosters!$C$43:$E$64,3,FALSE))</f>
        <v>#N/A</v>
      </c>
      <c r="Z701" cm="1">
        <f t="array" ref="Z701">IFERROR(IF(_xlfn._xlws.FILTER(game_rosters!$J:$J,(game_rosters!$G:$G=events!$AN701)*(game_rosters!$J:$J=events!$X701))&gt;0,1,""),"")</f>
        <v>1</v>
      </c>
      <c r="AA701">
        <f t="shared" si="339"/>
        <v>1373</v>
      </c>
      <c r="AB701" t="str">
        <f t="shared" si="340"/>
        <v/>
      </c>
      <c r="AC701">
        <f t="shared" si="337"/>
        <v>1373</v>
      </c>
      <c r="AD701" s="6">
        <v>1</v>
      </c>
      <c r="AE701" t="s">
        <v>940</v>
      </c>
      <c r="AF701" t="s">
        <v>917</v>
      </c>
      <c r="AG701" t="s">
        <v>756</v>
      </c>
      <c r="AH701" t="s">
        <v>756</v>
      </c>
      <c r="AI701" t="s">
        <v>367</v>
      </c>
      <c r="AJ701" t="str">
        <f t="shared" si="368"/>
        <v>d</v>
      </c>
      <c r="AK701" t="str">
        <f t="shared" si="368"/>
        <v>d</v>
      </c>
      <c r="AL701" t="str">
        <f t="shared" si="342"/>
        <v>o</v>
      </c>
      <c r="AN701" t="s">
        <v>862</v>
      </c>
      <c r="AO701" t="str">
        <f t="shared" si="343"/>
        <v>a</v>
      </c>
      <c r="AP701" t="str">
        <f t="shared" si="350"/>
        <v>o</v>
      </c>
      <c r="AQ701" t="str">
        <f t="shared" si="351"/>
        <v/>
      </c>
      <c r="AR701" t="str">
        <f t="shared" si="352"/>
        <v>Away</v>
      </c>
      <c r="AS701" t="str">
        <f t="shared" si="353"/>
        <v>a</v>
      </c>
      <c r="AT701" t="str">
        <f t="shared" si="354"/>
        <v>Defensive</v>
      </c>
      <c r="BA701" s="6">
        <f t="shared" si="344"/>
        <v>194</v>
      </c>
      <c r="BB701">
        <f t="shared" si="345"/>
        <v>18981</v>
      </c>
      <c r="BC701" t="str">
        <f t="shared" si="346"/>
        <v>Nelson</v>
      </c>
      <c r="BD701" t="str">
        <f t="shared" si="347"/>
        <v>Velodrome</v>
      </c>
      <c r="BE701" t="s">
        <v>15</v>
      </c>
      <c r="BF701" t="s">
        <v>179</v>
      </c>
      <c r="BG701" t="s">
        <v>416</v>
      </c>
      <c r="BI701" cm="1">
        <f t="array" ref="BI701">IFERROR(_xlfn._xlws.FILTER(shifts!A:A,(shifts!B:B=events!AD701)*(shifts!AG:AG&gt;=events!BK701)*(shifts!AH:AH&lt;=events!BL701)),BI700)</f>
        <v>33</v>
      </c>
      <c r="BJ701" s="15">
        <f t="shared" si="348"/>
        <v>0</v>
      </c>
      <c r="BK701">
        <f t="shared" si="355"/>
        <v>203</v>
      </c>
      <c r="BL701">
        <f t="shared" si="356"/>
        <v>203</v>
      </c>
      <c r="BM701" s="15">
        <f>SUMIFS(BJ$2:BJ701,K$2:K701,"=Intermission")+SUMIFS(BJ$2:BJ701,K$2:K701,"=Timeout")</f>
        <v>0</v>
      </c>
      <c r="BN701">
        <f t="shared" si="357"/>
        <v>0</v>
      </c>
      <c r="BO701" s="19">
        <f t="shared" si="358"/>
        <v>877</v>
      </c>
      <c r="BP701">
        <f t="shared" si="359"/>
        <v>872</v>
      </c>
      <c r="BQ701" s="17">
        <f t="shared" si="360"/>
        <v>877</v>
      </c>
      <c r="BR701" t="str">
        <f t="shared" si="361"/>
        <v>event_team_player_1</v>
      </c>
      <c r="BS701">
        <f>COUNTIFS(S$3:S701,"="&amp;S701,AI$3:AI701,"="&amp;AI701)</f>
        <v>1</v>
      </c>
      <c r="BT701" t="str">
        <f>IFERROR(VLOOKUP(BB701&amp;BU701&amp;X701,game_rosters!U:W,3,FALSE),"")</f>
        <v>P100016</v>
      </c>
      <c r="BU701" t="str">
        <f t="shared" si="362"/>
        <v>Velodrome</v>
      </c>
    </row>
    <row r="702" spans="1:73" x14ac:dyDescent="0.2">
      <c r="A702">
        <f t="shared" si="349"/>
        <v>1</v>
      </c>
      <c r="E702" s="4"/>
      <c r="F702" s="43"/>
      <c r="G702" s="4"/>
      <c r="H702" s="46"/>
      <c r="J702" s="44" t="str">
        <f t="shared" si="363"/>
        <v>d</v>
      </c>
      <c r="K702" t="s">
        <v>15</v>
      </c>
      <c r="L702" t="s">
        <v>179</v>
      </c>
      <c r="M702" t="s">
        <v>416</v>
      </c>
      <c r="N702" t="str">
        <f t="shared" si="366"/>
        <v/>
      </c>
      <c r="Q702" t="str">
        <f t="shared" si="364"/>
        <v/>
      </c>
      <c r="S702">
        <v>373</v>
      </c>
      <c r="U702" t="str">
        <f>IF(B702=1,MAX($U$2:$U701)+1,IF(AND($T702&lt;&gt;"",$T702=$T701),$U701,IF(B702="x",U701,"")))</f>
        <v/>
      </c>
      <c r="V702" t="str">
        <f>IF(C702=1,MAX($V$2:$V701)+1,IF(AND($T702&lt;&gt;"",$T702=$T701),$U701,IF(C702="x",V701,"")))</f>
        <v/>
      </c>
      <c r="W702" t="str">
        <f t="shared" si="338"/>
        <v>a</v>
      </c>
      <c r="X702">
        <v>80</v>
      </c>
      <c r="Y702" t="b">
        <f>IF(X702&lt;&gt;"",VLOOKUP(X702,game_rosters!$C$43:$E$64,3,FALSE))</f>
        <v>0</v>
      </c>
      <c r="Z702" t="str" cm="1">
        <f t="array" ref="Z702">IFERROR(IF(_xlfn._xlws.FILTER(game_rosters!$J:$J,(game_rosters!$G:$G=events!$AN702)*(game_rosters!$J:$J=events!$X702))&gt;0,1,""),"")</f>
        <v/>
      </c>
      <c r="AA702">
        <f t="shared" si="339"/>
        <v>1373</v>
      </c>
      <c r="AB702" t="str">
        <f t="shared" si="340"/>
        <v/>
      </c>
      <c r="AC702">
        <f t="shared" si="337"/>
        <v>1373</v>
      </c>
      <c r="AD702" s="6">
        <v>1</v>
      </c>
      <c r="AE702" t="s">
        <v>940</v>
      </c>
      <c r="AF702" t="s">
        <v>917</v>
      </c>
      <c r="AG702" t="s">
        <v>756</v>
      </c>
      <c r="AH702" t="s">
        <v>756</v>
      </c>
      <c r="AI702" t="s">
        <v>368</v>
      </c>
      <c r="AJ702" t="str">
        <f t="shared" si="368"/>
        <v>d</v>
      </c>
      <c r="AK702" t="str">
        <f t="shared" si="368"/>
        <v>d</v>
      </c>
      <c r="AL702" t="str">
        <f t="shared" si="342"/>
        <v>o</v>
      </c>
      <c r="AN702" t="s">
        <v>862</v>
      </c>
      <c r="AO702" t="str">
        <f t="shared" si="343"/>
        <v>a</v>
      </c>
      <c r="AP702" t="str">
        <f t="shared" si="350"/>
        <v>o</v>
      </c>
      <c r="AQ702" t="str">
        <f t="shared" si="351"/>
        <v/>
      </c>
      <c r="AR702" t="str">
        <f t="shared" si="352"/>
        <v>Away</v>
      </c>
      <c r="AS702" t="str">
        <f t="shared" si="353"/>
        <v>a</v>
      </c>
      <c r="AT702" t="str">
        <f t="shared" si="354"/>
        <v>Offensive</v>
      </c>
      <c r="BA702" s="6">
        <f t="shared" si="344"/>
        <v>194</v>
      </c>
      <c r="BB702">
        <f t="shared" si="345"/>
        <v>18981</v>
      </c>
      <c r="BC702" t="str">
        <f t="shared" si="346"/>
        <v>Nelson</v>
      </c>
      <c r="BD702" t="str">
        <f t="shared" si="347"/>
        <v>Velodrome</v>
      </c>
      <c r="BE702" t="s">
        <v>15</v>
      </c>
      <c r="BF702" t="s">
        <v>179</v>
      </c>
      <c r="BG702" t="s">
        <v>416</v>
      </c>
      <c r="BI702" cm="1">
        <f t="array" ref="BI702">IFERROR(_xlfn._xlws.FILTER(shifts!A:A,(shifts!B:B=events!AD702)*(shifts!AG:AG&gt;=events!BK702)*(shifts!AH:AH&lt;=events!BL702)),BI701)</f>
        <v>33</v>
      </c>
      <c r="BJ702" s="15">
        <f t="shared" si="348"/>
        <v>0</v>
      </c>
      <c r="BK702">
        <f t="shared" si="355"/>
        <v>203</v>
      </c>
      <c r="BL702">
        <f t="shared" si="356"/>
        <v>203</v>
      </c>
      <c r="BM702" s="15">
        <f>SUMIFS(BJ$2:BJ702,K$2:K702,"=Intermission")+SUMIFS(BJ$2:BJ702,K$2:K702,"=Timeout")</f>
        <v>0</v>
      </c>
      <c r="BN702">
        <f t="shared" si="357"/>
        <v>0</v>
      </c>
      <c r="BO702" s="19">
        <f t="shared" si="358"/>
        <v>877</v>
      </c>
      <c r="BP702">
        <f t="shared" si="359"/>
        <v>872</v>
      </c>
      <c r="BQ702" s="17">
        <f t="shared" si="360"/>
        <v>877</v>
      </c>
      <c r="BR702" t="str">
        <f t="shared" si="361"/>
        <v>opp_team_player_1</v>
      </c>
      <c r="BS702">
        <f>COUNTIFS(S$3:S702,"="&amp;S702,AI$3:AI702,"="&amp;AI702)</f>
        <v>1</v>
      </c>
      <c r="BT702" t="str">
        <f>IFERROR(VLOOKUP(BB702&amp;BU702&amp;X702,game_rosters!U:W,3,FALSE),"")</f>
        <v>P100197</v>
      </c>
      <c r="BU702" t="str">
        <f t="shared" si="362"/>
        <v>Nelson</v>
      </c>
    </row>
    <row r="703" spans="1:73" x14ac:dyDescent="0.2">
      <c r="A703">
        <f t="shared" si="349"/>
        <v>1</v>
      </c>
      <c r="E703" s="4"/>
      <c r="F703" s="43"/>
      <c r="G703" s="4"/>
      <c r="H703" s="46"/>
      <c r="J703" s="44" t="str">
        <f t="shared" si="363"/>
        <v>d</v>
      </c>
      <c r="K703" t="s">
        <v>231</v>
      </c>
      <c r="L703" t="s">
        <v>233</v>
      </c>
      <c r="M703" t="s">
        <v>756</v>
      </c>
      <c r="N703" t="str">
        <f t="shared" si="366"/>
        <v/>
      </c>
      <c r="Q703" t="str">
        <f t="shared" si="364"/>
        <v/>
      </c>
      <c r="S703">
        <v>374</v>
      </c>
      <c r="U703" t="str">
        <f>IF(B703=1,MAX($U$2:$U702)+1,IF(AND($T703&lt;&gt;"",$T703=$T702),$U702,IF(B703="x",U702,"")))</f>
        <v/>
      </c>
      <c r="V703" t="str">
        <f>IF(C703=1,MAX($V$2:$V702)+1,IF(AND($T703&lt;&gt;"",$T703=$T702),$U702,IF(C703="x",V702,"")))</f>
        <v/>
      </c>
      <c r="W703" t="str">
        <f t="shared" si="338"/>
        <v>a</v>
      </c>
      <c r="X703">
        <v>39</v>
      </c>
      <c r="Y703" t="e">
        <f>IF(X703&lt;&gt;"",VLOOKUP(X703,game_rosters!$C$43:$E$64,3,FALSE))</f>
        <v>#N/A</v>
      </c>
      <c r="Z703" cm="1">
        <f t="array" ref="Z703">IFERROR(IF(_xlfn._xlws.FILTER(game_rosters!$J:$J,(game_rosters!$G:$G=events!$AN703)*(game_rosters!$J:$J=events!$X703))&gt;0,1,""),"")</f>
        <v>1</v>
      </c>
      <c r="AA703">
        <f t="shared" si="339"/>
        <v>1374</v>
      </c>
      <c r="AB703" t="str">
        <f t="shared" si="340"/>
        <v/>
      </c>
      <c r="AC703">
        <f t="shared" si="337"/>
        <v>1374</v>
      </c>
      <c r="AD703" s="6">
        <v>1</v>
      </c>
      <c r="AE703" t="s">
        <v>940</v>
      </c>
      <c r="AF703" t="s">
        <v>917</v>
      </c>
      <c r="AG703" t="s">
        <v>756</v>
      </c>
      <c r="AH703" t="s">
        <v>756</v>
      </c>
      <c r="AI703" t="s">
        <v>367</v>
      </c>
      <c r="AJ703" t="str">
        <f t="shared" si="368"/>
        <v>d</v>
      </c>
      <c r="AK703" t="str">
        <f t="shared" si="368"/>
        <v>d</v>
      </c>
      <c r="AL703" t="str">
        <f t="shared" si="342"/>
        <v>o</v>
      </c>
      <c r="AN703" t="s">
        <v>862</v>
      </c>
      <c r="AO703" t="str">
        <f t="shared" si="343"/>
        <v>a</v>
      </c>
      <c r="AP703" t="str">
        <f t="shared" si="350"/>
        <v>o</v>
      </c>
      <c r="AQ703" t="str">
        <f t="shared" si="351"/>
        <v/>
      </c>
      <c r="AR703" t="str">
        <f t="shared" si="352"/>
        <v>Away</v>
      </c>
      <c r="AS703" t="str">
        <f t="shared" si="353"/>
        <v>a</v>
      </c>
      <c r="AT703" t="str">
        <f t="shared" si="354"/>
        <v>Offensive</v>
      </c>
      <c r="BA703" s="6">
        <f t="shared" si="344"/>
        <v>194</v>
      </c>
      <c r="BB703">
        <f t="shared" si="345"/>
        <v>18981</v>
      </c>
      <c r="BC703" t="str">
        <f t="shared" si="346"/>
        <v>Nelson</v>
      </c>
      <c r="BD703" t="str">
        <f t="shared" si="347"/>
        <v>Velodrome</v>
      </c>
      <c r="BE703" t="s">
        <v>231</v>
      </c>
      <c r="BF703" t="s">
        <v>233</v>
      </c>
      <c r="BG703" t="s">
        <v>756</v>
      </c>
      <c r="BI703" cm="1">
        <f t="array" ref="BI703">IFERROR(_xlfn._xlws.FILTER(shifts!A:A,(shifts!B:B=events!AD703)*(shifts!AG:AG&gt;=events!BK703)*(shifts!AH:AH&lt;=events!BL703)),BI702)</f>
        <v>33</v>
      </c>
      <c r="BJ703" s="15">
        <f t="shared" si="348"/>
        <v>0</v>
      </c>
      <c r="BK703">
        <f t="shared" si="355"/>
        <v>203</v>
      </c>
      <c r="BL703">
        <f t="shared" si="356"/>
        <v>203</v>
      </c>
      <c r="BM703" s="15">
        <f>SUMIFS(BJ$2:BJ703,K$2:K703,"=Intermission")+SUMIFS(BJ$2:BJ703,K$2:K703,"=Timeout")</f>
        <v>0</v>
      </c>
      <c r="BN703">
        <f t="shared" si="357"/>
        <v>0</v>
      </c>
      <c r="BO703" s="19">
        <f t="shared" si="358"/>
        <v>877</v>
      </c>
      <c r="BP703">
        <f t="shared" si="359"/>
        <v>872</v>
      </c>
      <c r="BQ703" s="17">
        <f t="shared" si="360"/>
        <v>877</v>
      </c>
      <c r="BR703" t="str">
        <f t="shared" si="361"/>
        <v>event_team_player_1</v>
      </c>
      <c r="BS703">
        <f>COUNTIFS(S$3:S703,"="&amp;S703,AI$3:AI703,"="&amp;AI703)</f>
        <v>1</v>
      </c>
      <c r="BT703" t="str">
        <f>IFERROR(VLOOKUP(BB703&amp;BU703&amp;X703,game_rosters!U:W,3,FALSE),"")</f>
        <v>P100016</v>
      </c>
      <c r="BU703" t="str">
        <f t="shared" si="362"/>
        <v>Velodrome</v>
      </c>
    </row>
    <row r="704" spans="1:73" x14ac:dyDescent="0.2">
      <c r="A704">
        <f t="shared" si="349"/>
        <v>1</v>
      </c>
      <c r="E704" s="4"/>
      <c r="F704" s="43"/>
      <c r="G704" s="4"/>
      <c r="H704" s="46"/>
      <c r="J704" s="44" t="str">
        <f t="shared" si="363"/>
        <v/>
      </c>
      <c r="K704" t="s">
        <v>9</v>
      </c>
      <c r="L704" t="s">
        <v>173</v>
      </c>
      <c r="M704" t="s">
        <v>77</v>
      </c>
      <c r="N704" t="str">
        <f t="shared" si="366"/>
        <v>u</v>
      </c>
      <c r="Q704" t="str">
        <f t="shared" si="364"/>
        <v/>
      </c>
      <c r="S704">
        <v>375</v>
      </c>
      <c r="U704" t="str">
        <f>IF(B704=1,MAX($U$2:$U703)+1,IF(AND($T704&lt;&gt;"",$T704=$T703),$U703,IF(B704="x",U703,"")))</f>
        <v/>
      </c>
      <c r="V704" t="str">
        <f>IF(C704=1,MAX($V$2:$V703)+1,IF(AND($T704&lt;&gt;"",$T704=$T703),$U703,IF(C704="x",V703,"")))</f>
        <v/>
      </c>
      <c r="W704" t="str">
        <f t="shared" si="338"/>
        <v>h</v>
      </c>
      <c r="X704">
        <v>80</v>
      </c>
      <c r="Y704" t="b">
        <f>IF(X704&lt;&gt;"",VLOOKUP(X704,game_rosters!$C$43:$E$64,3,FALSE))</f>
        <v>0</v>
      </c>
      <c r="Z704" cm="1">
        <f t="array" ref="Z704">IFERROR(IF(_xlfn._xlws.FILTER(game_rosters!$J:$J,(game_rosters!$G:$G=events!$AN704)*(game_rosters!$J:$J=events!$X704))&gt;0,1,""),"")</f>
        <v>1</v>
      </c>
      <c r="AA704">
        <f t="shared" si="339"/>
        <v>1375</v>
      </c>
      <c r="AB704" t="str">
        <f t="shared" si="340"/>
        <v/>
      </c>
      <c r="AC704">
        <f t="shared" si="337"/>
        <v>1375</v>
      </c>
      <c r="AD704" s="6">
        <v>1</v>
      </c>
      <c r="AE704" t="s">
        <v>940</v>
      </c>
      <c r="AF704" t="s">
        <v>917</v>
      </c>
      <c r="AG704" t="s">
        <v>756</v>
      </c>
      <c r="AH704" t="s">
        <v>756</v>
      </c>
      <c r="AI704" t="s">
        <v>367</v>
      </c>
      <c r="AJ704" t="str">
        <f t="shared" si="368"/>
        <v/>
      </c>
      <c r="AK704" t="str">
        <f t="shared" si="368"/>
        <v/>
      </c>
      <c r="AL704" t="str">
        <f t="shared" si="342"/>
        <v/>
      </c>
      <c r="AN704" t="s">
        <v>861</v>
      </c>
      <c r="AO704" t="str">
        <f t="shared" si="343"/>
        <v>h</v>
      </c>
      <c r="AP704" t="str">
        <f t="shared" si="350"/>
        <v/>
      </c>
      <c r="AQ704" t="str">
        <f t="shared" si="351"/>
        <v/>
      </c>
      <c r="AR704" t="str">
        <f t="shared" si="352"/>
        <v>Home</v>
      </c>
      <c r="AS704" t="str">
        <f t="shared" si="353"/>
        <v>h</v>
      </c>
      <c r="AT704" t="str">
        <f t="shared" si="354"/>
        <v>Offensive</v>
      </c>
      <c r="BA704" s="6">
        <f t="shared" si="344"/>
        <v>194</v>
      </c>
      <c r="BB704">
        <f t="shared" si="345"/>
        <v>18981</v>
      </c>
      <c r="BC704" t="str">
        <f t="shared" si="346"/>
        <v>Nelson</v>
      </c>
      <c r="BD704" t="str">
        <f t="shared" si="347"/>
        <v>Velodrome</v>
      </c>
      <c r="BE704" t="s">
        <v>9</v>
      </c>
      <c r="BF704" t="s">
        <v>173</v>
      </c>
      <c r="BG704" t="s">
        <v>77</v>
      </c>
      <c r="BI704" cm="1">
        <f t="array" ref="BI704">IFERROR(_xlfn._xlws.FILTER(shifts!A:A,(shifts!B:B=events!AD704)*(shifts!AG:AG&gt;=events!BK704)*(shifts!AH:AH&lt;=events!BL704)),BI703)</f>
        <v>33</v>
      </c>
      <c r="BJ704" s="15">
        <f t="shared" si="348"/>
        <v>0</v>
      </c>
      <c r="BK704">
        <f t="shared" si="355"/>
        <v>203</v>
      </c>
      <c r="BL704">
        <f t="shared" si="356"/>
        <v>203</v>
      </c>
      <c r="BM704" s="15">
        <f>SUMIFS(BJ$2:BJ704,K$2:K704,"=Intermission")+SUMIFS(BJ$2:BJ704,K$2:K704,"=Timeout")</f>
        <v>0</v>
      </c>
      <c r="BN704">
        <f t="shared" si="357"/>
        <v>0</v>
      </c>
      <c r="BO704" s="19">
        <f t="shared" si="358"/>
        <v>877</v>
      </c>
      <c r="BP704">
        <f t="shared" si="359"/>
        <v>872</v>
      </c>
      <c r="BQ704" s="17">
        <f t="shared" si="360"/>
        <v>877</v>
      </c>
      <c r="BR704" t="str">
        <f t="shared" si="361"/>
        <v>event_team_player_1</v>
      </c>
      <c r="BS704">
        <f>COUNTIFS(S$3:S704,"="&amp;S704,AI$3:AI704,"="&amp;AI704)</f>
        <v>1</v>
      </c>
      <c r="BT704" t="str">
        <f>IFERROR(VLOOKUP(BB704&amp;BU704&amp;X704,game_rosters!U:W,3,FALSE),"")</f>
        <v>P100197</v>
      </c>
      <c r="BU704" t="str">
        <f t="shared" si="362"/>
        <v>Nelson</v>
      </c>
    </row>
    <row r="705" spans="1:73" x14ac:dyDescent="0.2">
      <c r="A705">
        <f t="shared" si="349"/>
        <v>1</v>
      </c>
      <c r="E705" s="4"/>
      <c r="F705" s="43"/>
      <c r="G705" s="4"/>
      <c r="H705" s="46"/>
      <c r="J705" s="44" t="str">
        <f t="shared" si="363"/>
        <v>d</v>
      </c>
      <c r="K705" t="s">
        <v>238</v>
      </c>
      <c r="L705" t="s">
        <v>184</v>
      </c>
      <c r="M705" t="s">
        <v>374</v>
      </c>
      <c r="N705" t="str">
        <f t="shared" si="366"/>
        <v>s</v>
      </c>
      <c r="Q705" t="str">
        <f t="shared" si="364"/>
        <v/>
      </c>
      <c r="S705">
        <v>376</v>
      </c>
      <c r="U705" t="str">
        <f>IF(B705=1,MAX($U$2:$U704)+1,IF(AND($T705&lt;&gt;"",$T705=$T704),$U704,IF(B705="x",U704,"")))</f>
        <v/>
      </c>
      <c r="V705" t="str">
        <f>IF(C705=1,MAX($V$2:$V704)+1,IF(AND($T705&lt;&gt;"",$T705=$T704),$U704,IF(C705="x",V704,"")))</f>
        <v/>
      </c>
      <c r="W705" t="str">
        <f t="shared" si="338"/>
        <v>a</v>
      </c>
      <c r="X705">
        <v>91</v>
      </c>
      <c r="Y705" t="e">
        <f>IF(X705&lt;&gt;"",VLOOKUP(X705,game_rosters!$C$43:$E$64,3,FALSE))</f>
        <v>#N/A</v>
      </c>
      <c r="Z705" cm="1">
        <f t="array" ref="Z705">IFERROR(IF(_xlfn._xlws.FILTER(game_rosters!$J:$J,(game_rosters!$G:$G=events!$AN705)*(game_rosters!$J:$J=events!$X705))&gt;0,1,""),"")</f>
        <v>1</v>
      </c>
      <c r="AA705">
        <f t="shared" si="339"/>
        <v>1376</v>
      </c>
      <c r="AB705" t="str">
        <f t="shared" si="340"/>
        <v/>
      </c>
      <c r="AC705">
        <f t="shared" si="337"/>
        <v>1376</v>
      </c>
      <c r="AD705" s="6">
        <v>1</v>
      </c>
      <c r="AE705" t="s">
        <v>940</v>
      </c>
      <c r="AF705" t="s">
        <v>743</v>
      </c>
      <c r="AG705" t="s">
        <v>756</v>
      </c>
      <c r="AH705" t="s">
        <v>756</v>
      </c>
      <c r="AI705" t="s">
        <v>367</v>
      </c>
      <c r="AJ705" t="str">
        <f t="shared" si="368"/>
        <v>d</v>
      </c>
      <c r="AK705" t="str">
        <f t="shared" si="368"/>
        <v>d</v>
      </c>
      <c r="AL705" t="str">
        <f t="shared" si="342"/>
        <v>o</v>
      </c>
      <c r="AN705" t="s">
        <v>862</v>
      </c>
      <c r="AO705" t="str">
        <f t="shared" si="343"/>
        <v>a</v>
      </c>
      <c r="AP705" t="str">
        <f t="shared" si="350"/>
        <v>o</v>
      </c>
      <c r="AQ705" t="str">
        <f t="shared" si="351"/>
        <v/>
      </c>
      <c r="AR705" t="str">
        <f t="shared" si="352"/>
        <v>Away</v>
      </c>
      <c r="AS705" t="str">
        <f t="shared" si="353"/>
        <v>a</v>
      </c>
      <c r="AT705" t="str">
        <f t="shared" si="354"/>
        <v>Offensive</v>
      </c>
      <c r="BA705" s="6">
        <f t="shared" si="344"/>
        <v>195</v>
      </c>
      <c r="BB705">
        <f t="shared" si="345"/>
        <v>18981</v>
      </c>
      <c r="BC705" t="str">
        <f t="shared" si="346"/>
        <v>Nelson</v>
      </c>
      <c r="BD705" t="str">
        <f t="shared" si="347"/>
        <v>Velodrome</v>
      </c>
      <c r="BE705" t="s">
        <v>238</v>
      </c>
      <c r="BF705" t="s">
        <v>184</v>
      </c>
      <c r="BG705" t="s">
        <v>374</v>
      </c>
      <c r="BI705" cm="1">
        <f t="array" ref="BI705">IFERROR(_xlfn._xlws.FILTER(shifts!A:A,(shifts!B:B=events!AD705)*(shifts!AG:AG&gt;=events!BK705)*(shifts!AH:AH&lt;=events!BL705)),BI704)</f>
        <v>33</v>
      </c>
      <c r="BJ705" s="15">
        <f t="shared" si="348"/>
        <v>0</v>
      </c>
      <c r="BK705">
        <f t="shared" si="355"/>
        <v>198</v>
      </c>
      <c r="BL705">
        <f t="shared" si="356"/>
        <v>198</v>
      </c>
      <c r="BM705" s="15">
        <f>SUMIFS(BJ$2:BJ705,K$2:K705,"=Intermission")+SUMIFS(BJ$2:BJ705,K$2:K705,"=Timeout")</f>
        <v>0</v>
      </c>
      <c r="BN705">
        <f t="shared" si="357"/>
        <v>0</v>
      </c>
      <c r="BO705" s="19">
        <f t="shared" si="358"/>
        <v>882</v>
      </c>
      <c r="BP705">
        <f t="shared" si="359"/>
        <v>877</v>
      </c>
      <c r="BQ705" s="17">
        <f t="shared" si="360"/>
        <v>882</v>
      </c>
      <c r="BR705" t="str">
        <f t="shared" si="361"/>
        <v>event_team_player_1</v>
      </c>
      <c r="BS705">
        <f>COUNTIFS(S$3:S705,"="&amp;S705,AI$3:AI705,"="&amp;AI705)</f>
        <v>1</v>
      </c>
      <c r="BT705" t="str">
        <f>IFERROR(VLOOKUP(BB705&amp;BU705&amp;X705,game_rosters!U:W,3,FALSE),"")</f>
        <v>P100002</v>
      </c>
      <c r="BU705" t="str">
        <f t="shared" si="362"/>
        <v>Velodrome</v>
      </c>
    </row>
    <row r="706" spans="1:73" x14ac:dyDescent="0.2">
      <c r="A706">
        <f t="shared" si="349"/>
        <v>1</v>
      </c>
      <c r="E706" s="4"/>
      <c r="F706" s="43"/>
      <c r="G706" s="4"/>
      <c r="H706" s="46"/>
      <c r="J706" s="44" t="str">
        <f t="shared" si="363"/>
        <v/>
      </c>
      <c r="K706" t="s">
        <v>9</v>
      </c>
      <c r="L706" t="s">
        <v>173</v>
      </c>
      <c r="M706" t="s">
        <v>354</v>
      </c>
      <c r="N706" t="str">
        <f t="shared" si="366"/>
        <v>u</v>
      </c>
      <c r="Q706" t="str">
        <f t="shared" si="364"/>
        <v/>
      </c>
      <c r="S706">
        <v>377</v>
      </c>
      <c r="U706" t="str">
        <f>IF(B706=1,MAX($U$2:$U705)+1,IF(AND($T706&lt;&gt;"",$T706=$T705),$U705,IF(B706="x",U705,"")))</f>
        <v/>
      </c>
      <c r="V706" t="str">
        <f>IF(C706=1,MAX($V$2:$V705)+1,IF(AND($T706&lt;&gt;"",$T706=$T705),$U705,IF(C706="x",V705,"")))</f>
        <v/>
      </c>
      <c r="W706" t="str">
        <f t="shared" si="338"/>
        <v>a</v>
      </c>
      <c r="X706">
        <v>91</v>
      </c>
      <c r="Y706" t="e">
        <f>IF(X706&lt;&gt;"",VLOOKUP(X706,game_rosters!$C$43:$E$64,3,FALSE))</f>
        <v>#N/A</v>
      </c>
      <c r="Z706" cm="1">
        <f t="array" ref="Z706">IFERROR(IF(_xlfn._xlws.FILTER(game_rosters!$J:$J,(game_rosters!$G:$G=events!$AN706)*(game_rosters!$J:$J=events!$X706))&gt;0,1,""),"")</f>
        <v>1</v>
      </c>
      <c r="AA706">
        <f t="shared" si="339"/>
        <v>1377</v>
      </c>
      <c r="AB706" t="str">
        <f t="shared" si="340"/>
        <v/>
      </c>
      <c r="AC706">
        <f t="shared" ref="AC706:AC769" si="369">IF(AB706&lt;&gt;"",AB706,S706+1000)</f>
        <v>1377</v>
      </c>
      <c r="AD706" s="6">
        <v>1</v>
      </c>
      <c r="AE706" t="s">
        <v>940</v>
      </c>
      <c r="AF706" t="s">
        <v>743</v>
      </c>
      <c r="AG706" t="s">
        <v>756</v>
      </c>
      <c r="AH706" t="s">
        <v>756</v>
      </c>
      <c r="AI706" t="s">
        <v>367</v>
      </c>
      <c r="AJ706" t="str">
        <f t="shared" si="368"/>
        <v/>
      </c>
      <c r="AK706" t="str">
        <f t="shared" si="368"/>
        <v/>
      </c>
      <c r="AL706" t="str">
        <f t="shared" si="342"/>
        <v/>
      </c>
      <c r="AN706" t="s">
        <v>862</v>
      </c>
      <c r="AO706" t="str">
        <f t="shared" si="343"/>
        <v>a</v>
      </c>
      <c r="AP706" t="str">
        <f t="shared" si="350"/>
        <v/>
      </c>
      <c r="AQ706" t="str">
        <f t="shared" si="351"/>
        <v/>
      </c>
      <c r="AR706" t="str">
        <f t="shared" si="352"/>
        <v>Away</v>
      </c>
      <c r="AS706" t="str">
        <f t="shared" si="353"/>
        <v>a</v>
      </c>
      <c r="AT706" t="str">
        <f t="shared" si="354"/>
        <v>Offensive</v>
      </c>
      <c r="BA706" s="6">
        <f t="shared" si="344"/>
        <v>195</v>
      </c>
      <c r="BB706">
        <f t="shared" si="345"/>
        <v>18981</v>
      </c>
      <c r="BC706" t="str">
        <f t="shared" si="346"/>
        <v>Nelson</v>
      </c>
      <c r="BD706" t="str">
        <f t="shared" si="347"/>
        <v>Velodrome</v>
      </c>
      <c r="BE706" t="s">
        <v>9</v>
      </c>
      <c r="BF706" t="s">
        <v>173</v>
      </c>
      <c r="BG706" t="s">
        <v>354</v>
      </c>
      <c r="BI706" cm="1">
        <f t="array" ref="BI706">IFERROR(_xlfn._xlws.FILTER(shifts!A:A,(shifts!B:B=events!AD706)*(shifts!AG:AG&gt;=events!BK706)*(shifts!AH:AH&lt;=events!BL706)),BI705)</f>
        <v>33</v>
      </c>
      <c r="BJ706" s="15">
        <f t="shared" si="348"/>
        <v>0</v>
      </c>
      <c r="BK706">
        <f t="shared" si="355"/>
        <v>198</v>
      </c>
      <c r="BL706">
        <f t="shared" si="356"/>
        <v>198</v>
      </c>
      <c r="BM706" s="15">
        <f>SUMIFS(BJ$2:BJ706,K$2:K706,"=Intermission")+SUMIFS(BJ$2:BJ706,K$2:K706,"=Timeout")</f>
        <v>0</v>
      </c>
      <c r="BN706">
        <f t="shared" si="357"/>
        <v>0</v>
      </c>
      <c r="BO706" s="19">
        <f t="shared" si="358"/>
        <v>882</v>
      </c>
      <c r="BP706">
        <f t="shared" si="359"/>
        <v>877</v>
      </c>
      <c r="BQ706" s="17">
        <f t="shared" si="360"/>
        <v>882</v>
      </c>
      <c r="BR706" t="str">
        <f t="shared" si="361"/>
        <v>event_team_player_1</v>
      </c>
      <c r="BS706">
        <f>COUNTIFS(S$3:S706,"="&amp;S706,AI$3:AI706,"="&amp;AI706)</f>
        <v>1</v>
      </c>
      <c r="BT706" t="str">
        <f>IFERROR(VLOOKUP(BB706&amp;BU706&amp;X706,game_rosters!U:W,3,FALSE),"")</f>
        <v>P100002</v>
      </c>
      <c r="BU706" t="str">
        <f t="shared" si="362"/>
        <v>Velodrome</v>
      </c>
    </row>
    <row r="707" spans="1:73" x14ac:dyDescent="0.2">
      <c r="A707">
        <f t="shared" si="349"/>
        <v>1</v>
      </c>
      <c r="E707" s="4"/>
      <c r="F707" s="43"/>
      <c r="G707" s="4"/>
      <c r="H707" s="46"/>
      <c r="J707" s="44" t="str">
        <f t="shared" si="363"/>
        <v/>
      </c>
      <c r="K707" t="s">
        <v>7</v>
      </c>
      <c r="L707" t="s">
        <v>172</v>
      </c>
      <c r="M707" t="s">
        <v>68</v>
      </c>
      <c r="N707" t="str">
        <f t="shared" si="366"/>
        <v>s</v>
      </c>
      <c r="Q707" t="str">
        <f t="shared" si="364"/>
        <v/>
      </c>
      <c r="S707">
        <v>378</v>
      </c>
      <c r="U707" t="str">
        <f>IF(B707=1,MAX($U$2:$U706)+1,IF(AND($T707&lt;&gt;"",$T707=$T706),$U706,IF(B707="x",U706,"")))</f>
        <v/>
      </c>
      <c r="V707" t="str">
        <f>IF(C707=1,MAX($V$2:$V706)+1,IF(AND($T707&lt;&gt;"",$T707=$T706),$U706,IF(C707="x",V706,"")))</f>
        <v/>
      </c>
      <c r="W707" t="str">
        <f t="shared" si="338"/>
        <v>h</v>
      </c>
      <c r="X707">
        <v>15</v>
      </c>
      <c r="Y707" t="b">
        <f>IF(X707&lt;&gt;"",VLOOKUP(X707,game_rosters!$C$43:$E$64,3,FALSE))</f>
        <v>0</v>
      </c>
      <c r="Z707" cm="1">
        <f t="array" ref="Z707">IFERROR(IF(_xlfn._xlws.FILTER(game_rosters!$J:$J,(game_rosters!$G:$G=events!$AN707)*(game_rosters!$J:$J=events!$X707))&gt;0,1,""),"")</f>
        <v>1</v>
      </c>
      <c r="AA707">
        <f t="shared" si="339"/>
        <v>1378</v>
      </c>
      <c r="AB707" t="str">
        <f t="shared" si="340"/>
        <v/>
      </c>
      <c r="AC707">
        <f t="shared" si="369"/>
        <v>1378</v>
      </c>
      <c r="AD707" s="6">
        <v>1</v>
      </c>
      <c r="AE707" t="s">
        <v>940</v>
      </c>
      <c r="AF707" t="s">
        <v>732</v>
      </c>
      <c r="AG707" t="s">
        <v>756</v>
      </c>
      <c r="AH707" t="s">
        <v>756</v>
      </c>
      <c r="AI707" t="s">
        <v>367</v>
      </c>
      <c r="AJ707" t="str">
        <f t="shared" si="368"/>
        <v/>
      </c>
      <c r="AK707" t="str">
        <f t="shared" si="368"/>
        <v/>
      </c>
      <c r="AL707" t="str">
        <f t="shared" si="342"/>
        <v/>
      </c>
      <c r="AN707" t="s">
        <v>861</v>
      </c>
      <c r="AO707" t="str">
        <f t="shared" si="343"/>
        <v>h</v>
      </c>
      <c r="AP707" t="str">
        <f t="shared" si="350"/>
        <v/>
      </c>
      <c r="AQ707" t="str">
        <f t="shared" si="351"/>
        <v/>
      </c>
      <c r="AR707" t="str">
        <f t="shared" si="352"/>
        <v>Home</v>
      </c>
      <c r="AS707" t="str">
        <f t="shared" si="353"/>
        <v>h</v>
      </c>
      <c r="AT707" t="str">
        <f t="shared" si="354"/>
        <v>Offensive</v>
      </c>
      <c r="BA707" s="6">
        <f t="shared" si="344"/>
        <v>195</v>
      </c>
      <c r="BB707">
        <f t="shared" si="345"/>
        <v>18981</v>
      </c>
      <c r="BC707" t="str">
        <f t="shared" si="346"/>
        <v>Nelson</v>
      </c>
      <c r="BD707" t="str">
        <f t="shared" si="347"/>
        <v>Velodrome</v>
      </c>
      <c r="BE707" t="s">
        <v>7</v>
      </c>
      <c r="BF707" t="s">
        <v>172</v>
      </c>
      <c r="BG707" t="s">
        <v>68</v>
      </c>
      <c r="BI707" cm="1">
        <f t="array" ref="BI707">IFERROR(_xlfn._xlws.FILTER(shifts!A:A,(shifts!B:B=events!AD707)*(shifts!AG:AG&gt;=events!BK707)*(shifts!AH:AH&lt;=events!BL707)),BI706)</f>
        <v>33</v>
      </c>
      <c r="BJ707" s="15">
        <f t="shared" si="348"/>
        <v>0</v>
      </c>
      <c r="BK707">
        <f t="shared" si="355"/>
        <v>197</v>
      </c>
      <c r="BL707">
        <f t="shared" si="356"/>
        <v>197</v>
      </c>
      <c r="BM707" s="15">
        <f>SUMIFS(BJ$2:BJ707,K$2:K707,"=Intermission")+SUMIFS(BJ$2:BJ707,K$2:K707,"=Timeout")</f>
        <v>0</v>
      </c>
      <c r="BN707">
        <f t="shared" si="357"/>
        <v>0</v>
      </c>
      <c r="BO707" s="19">
        <f t="shared" si="358"/>
        <v>883</v>
      </c>
      <c r="BP707">
        <f t="shared" si="359"/>
        <v>878</v>
      </c>
      <c r="BQ707" s="17">
        <f t="shared" si="360"/>
        <v>883</v>
      </c>
      <c r="BR707" t="str">
        <f t="shared" si="361"/>
        <v>event_team_player_1</v>
      </c>
      <c r="BS707">
        <f>COUNTIFS(S$3:S707,"="&amp;S707,AI$3:AI707,"="&amp;AI707)</f>
        <v>1</v>
      </c>
      <c r="BT707" t="str">
        <f>IFERROR(VLOOKUP(BB707&amp;BU707&amp;X707,game_rosters!U:W,3,FALSE),"")</f>
        <v>P100071</v>
      </c>
      <c r="BU707" t="str">
        <f t="shared" si="362"/>
        <v>Nelson</v>
      </c>
    </row>
    <row r="708" spans="1:73" x14ac:dyDescent="0.2">
      <c r="A708">
        <f t="shared" si="349"/>
        <v>1</v>
      </c>
      <c r="E708" s="4"/>
      <c r="F708" s="43"/>
      <c r="G708" s="4"/>
      <c r="H708" s="46"/>
      <c r="J708" s="44" t="str">
        <f t="shared" si="363"/>
        <v/>
      </c>
      <c r="K708" t="s">
        <v>7</v>
      </c>
      <c r="L708" t="s">
        <v>172</v>
      </c>
      <c r="M708" t="s">
        <v>68</v>
      </c>
      <c r="N708" t="str">
        <f t="shared" si="366"/>
        <v>s</v>
      </c>
      <c r="Q708" t="str">
        <f t="shared" si="364"/>
        <v/>
      </c>
      <c r="S708">
        <v>378</v>
      </c>
      <c r="U708" t="str">
        <f>IF(B708=1,MAX($U$2:$U707)+1,IF(AND($T708&lt;&gt;"",$T708=$T707),$U707,IF(B708="x",U707,"")))</f>
        <v/>
      </c>
      <c r="V708" t="str">
        <f>IF(C708=1,MAX($V$2:$V707)+1,IF(AND($T708&lt;&gt;"",$T708=$T707),$U707,IF(C708="x",V707,"")))</f>
        <v/>
      </c>
      <c r="W708" t="str">
        <f t="shared" ref="W708:W771" si="370">IF(AN708="Away","a",IF(AN708="Home","h",""))</f>
        <v>h</v>
      </c>
      <c r="X708">
        <v>23</v>
      </c>
      <c r="Y708" t="b">
        <f>IF(X708&lt;&gt;"",VLOOKUP(X708,game_rosters!$C$43:$E$64,3,FALSE))</f>
        <v>0</v>
      </c>
      <c r="Z708" cm="1">
        <f t="array" ref="Z708">IFERROR(IF(_xlfn._xlws.FILTER(game_rosters!$J:$J,(game_rosters!$G:$G=events!$AN708)*(game_rosters!$J:$J=events!$X708))&gt;0,1,""),"")</f>
        <v>1</v>
      </c>
      <c r="AA708">
        <f t="shared" ref="AA708:AA771" si="371">S708+1000</f>
        <v>1378</v>
      </c>
      <c r="AB708" t="str">
        <f t="shared" ref="AB708:AB771" si="372">IF(T708&lt;&gt;"",9000+T708,"")</f>
        <v/>
      </c>
      <c r="AC708">
        <f t="shared" si="369"/>
        <v>1378</v>
      </c>
      <c r="AD708" s="6">
        <v>1</v>
      </c>
      <c r="AE708" t="s">
        <v>940</v>
      </c>
      <c r="AF708" t="s">
        <v>732</v>
      </c>
      <c r="AG708" t="s">
        <v>756</v>
      </c>
      <c r="AH708" t="s">
        <v>756</v>
      </c>
      <c r="AI708" t="s">
        <v>367</v>
      </c>
      <c r="AJ708" t="str">
        <f t="shared" ref="AJ708:AK723" si="373">IF($J708&lt;&gt;"",$J708,IF($AC708=$AC707,AJ707,""))</f>
        <v/>
      </c>
      <c r="AK708" t="str">
        <f t="shared" si="373"/>
        <v/>
      </c>
      <c r="AL708" t="str">
        <f t="shared" ref="AL708:AL771" si="374">IF($W708="","",IF($AJ708="","",IF($W708="h",$AJ708,IF($AJ708="n","n",IF(AND($W708="a",$AJ708="d"),"o",IF(AND($W708="a",$AJ708="o"),"d"))))))</f>
        <v/>
      </c>
      <c r="AN708" t="s">
        <v>861</v>
      </c>
      <c r="AO708" t="str">
        <f t="shared" ref="AO708:AO771" si="375">IF($W708&lt;&gt;"",$W708,IF($AC708=$AC707,AO707,""))</f>
        <v>h</v>
      </c>
      <c r="AP708" t="str">
        <f t="shared" si="350"/>
        <v/>
      </c>
      <c r="AQ708" t="str">
        <f t="shared" si="351"/>
        <v/>
      </c>
      <c r="AR708" t="str">
        <f t="shared" si="352"/>
        <v>Home</v>
      </c>
      <c r="AS708" t="str">
        <f t="shared" si="353"/>
        <v>h</v>
      </c>
      <c r="AT708" t="str">
        <f t="shared" si="354"/>
        <v>Offensive</v>
      </c>
      <c r="BA708" s="6">
        <f t="shared" ref="BA708:BA771" si="376">IF(OR(L708="Zone_Entry",L708="Zone_Exit"),BA707+1,BA707)</f>
        <v>195</v>
      </c>
      <c r="BB708">
        <f t="shared" ref="BB708:BB771" si="377">BB707</f>
        <v>18981</v>
      </c>
      <c r="BC708" t="str">
        <f t="shared" ref="BC708:BC771" si="378">BC707</f>
        <v>Nelson</v>
      </c>
      <c r="BD708" t="str">
        <f t="shared" ref="BD708:BD771" si="379">BD707</f>
        <v>Velodrome</v>
      </c>
      <c r="BE708" t="s">
        <v>7</v>
      </c>
      <c r="BF708" t="s">
        <v>172</v>
      </c>
      <c r="BG708" t="s">
        <v>68</v>
      </c>
      <c r="BI708" cm="1">
        <f t="array" ref="BI708">IFERROR(_xlfn._xlws.FILTER(shifts!A:A,(shifts!B:B=events!AD708)*(shifts!AG:AG&gt;=events!BK708)*(shifts!AH:AH&lt;=events!BL708)),BI707)</f>
        <v>33</v>
      </c>
      <c r="BJ708" s="15">
        <f t="shared" ref="BJ708:BJ771" si="380">IF(AND(AG708="",AH708=""),0,((AE708*60)+AF708)-((AG708*60)+AH708))</f>
        <v>0</v>
      </c>
      <c r="BK708">
        <f t="shared" si="355"/>
        <v>197</v>
      </c>
      <c r="BL708">
        <f t="shared" si="356"/>
        <v>197</v>
      </c>
      <c r="BM708" s="15">
        <f>SUMIFS(BJ$2:BJ708,K$2:K708,"=Intermission")+SUMIFS(BJ$2:BJ708,K$2:K708,"=Timeout")</f>
        <v>0</v>
      </c>
      <c r="BN708">
        <f t="shared" si="357"/>
        <v>0</v>
      </c>
      <c r="BO708" s="19">
        <f t="shared" si="358"/>
        <v>883</v>
      </c>
      <c r="BP708">
        <f t="shared" si="359"/>
        <v>878</v>
      </c>
      <c r="BQ708" s="17">
        <f t="shared" si="360"/>
        <v>883</v>
      </c>
      <c r="BR708" t="str">
        <f t="shared" si="361"/>
        <v>event_team_player_2</v>
      </c>
      <c r="BS708">
        <f>COUNTIFS(S$3:S708,"="&amp;S708,AI$3:AI708,"="&amp;AI708)</f>
        <v>2</v>
      </c>
      <c r="BT708" t="str">
        <f>IFERROR(VLOOKUP(BB708&amp;BU708&amp;X708,game_rosters!U:W,3,FALSE),"")</f>
        <v>P100061</v>
      </c>
      <c r="BU708" t="str">
        <f t="shared" si="362"/>
        <v>Nelson</v>
      </c>
    </row>
    <row r="709" spans="1:73" x14ac:dyDescent="0.2">
      <c r="A709">
        <f t="shared" ref="A709:A772" si="381">IF(K709&lt;&gt;"",1,IF(D709="x","x",""))</f>
        <v>1</v>
      </c>
      <c r="E709" s="4"/>
      <c r="F709" s="43"/>
      <c r="G709" s="4"/>
      <c r="H709" s="46"/>
      <c r="J709" s="44" t="str">
        <f t="shared" si="363"/>
        <v/>
      </c>
      <c r="K709" t="s">
        <v>13</v>
      </c>
      <c r="L709" t="s">
        <v>756</v>
      </c>
      <c r="M709" t="s">
        <v>756</v>
      </c>
      <c r="N709" t="str">
        <f t="shared" si="366"/>
        <v/>
      </c>
      <c r="Q709" t="str">
        <f t="shared" si="364"/>
        <v/>
      </c>
      <c r="S709">
        <v>379</v>
      </c>
      <c r="U709" t="str">
        <f>IF(B709=1,MAX($U$2:$U708)+1,IF(AND($T709&lt;&gt;"",$T709=$T708),$U708,IF(B709="x",U708,"")))</f>
        <v/>
      </c>
      <c r="V709" t="str">
        <f>IF(C709=1,MAX($V$2:$V708)+1,IF(AND($T709&lt;&gt;"",$T709=$T708),$U708,IF(C709="x",V708,"")))</f>
        <v/>
      </c>
      <c r="W709" t="str">
        <f t="shared" si="370"/>
        <v>h</v>
      </c>
      <c r="X709">
        <v>23</v>
      </c>
      <c r="Y709" t="b">
        <f>IF(X709&lt;&gt;"",VLOOKUP(X709,game_rosters!$C$43:$E$64,3,FALSE))</f>
        <v>0</v>
      </c>
      <c r="Z709" cm="1">
        <f t="array" ref="Z709">IFERROR(IF(_xlfn._xlws.FILTER(game_rosters!$J:$J,(game_rosters!$G:$G=events!$AN709)*(game_rosters!$J:$J=events!$X709))&gt;0,1,""),"")</f>
        <v>1</v>
      </c>
      <c r="AA709">
        <f t="shared" si="371"/>
        <v>1379</v>
      </c>
      <c r="AB709" t="str">
        <f t="shared" si="372"/>
        <v/>
      </c>
      <c r="AC709">
        <f t="shared" si="369"/>
        <v>1379</v>
      </c>
      <c r="AD709" s="6">
        <v>1</v>
      </c>
      <c r="AE709" t="s">
        <v>940</v>
      </c>
      <c r="AF709" t="s">
        <v>744</v>
      </c>
      <c r="AG709" t="s">
        <v>940</v>
      </c>
      <c r="AH709" t="s">
        <v>746</v>
      </c>
      <c r="AI709" t="s">
        <v>367</v>
      </c>
      <c r="AJ709" t="str">
        <f t="shared" si="373"/>
        <v/>
      </c>
      <c r="AK709" t="str">
        <f t="shared" si="373"/>
        <v/>
      </c>
      <c r="AL709" t="str">
        <f t="shared" si="374"/>
        <v/>
      </c>
      <c r="AN709" t="s">
        <v>861</v>
      </c>
      <c r="AO709" t="str">
        <f t="shared" si="375"/>
        <v>h</v>
      </c>
      <c r="AP709" t="str">
        <f t="shared" ref="AP709:AP772" si="382">IF(AL709&lt;&gt;"",AL709,IF($AC709=$AC708,AP708,""))</f>
        <v/>
      </c>
      <c r="AQ709" t="str">
        <f t="shared" ref="AQ709:AQ772" si="383">IF(AM709&lt;&gt;"",AM709,IF($AC709=$AC708,AQ708,""))</f>
        <v/>
      </c>
      <c r="AR709" t="str">
        <f t="shared" ref="AR709:AR772" si="384">IF(AN709&lt;&gt;"",AN709,IF($AC709=$AC708,AR708,""))</f>
        <v>Home</v>
      </c>
      <c r="AS709" t="str">
        <f t="shared" ref="AS709:AS772" si="385">IF(AO709&lt;&gt;"",AO709,IF($AC709=$AC708,AS708,""))</f>
        <v>h</v>
      </c>
      <c r="AT709" t="str">
        <f t="shared" ref="AT709:AT772" si="386">IF(AND(AI709="e",OR(BE709="Save",BF709="Turnover_Takeaway",BF709="Play_Defensive")),"Defensive",IF(AND(AI709="o",OR(BE709="Save",BF709="Turnover_Takeaway",BF709="Play_Defensive")),"Offensive",IF(OR(BE709="Deadice",BE709="Stoppage",BE709="Intermission"),"",IF(AI709="e","Offensive",IF(AI709="o","Defensive","")))))</f>
        <v>Offensive</v>
      </c>
      <c r="BA709" s="6">
        <f t="shared" si="376"/>
        <v>195</v>
      </c>
      <c r="BB709">
        <f t="shared" si="377"/>
        <v>18981</v>
      </c>
      <c r="BC709" t="str">
        <f t="shared" si="378"/>
        <v>Nelson</v>
      </c>
      <c r="BD709" t="str">
        <f t="shared" si="379"/>
        <v>Velodrome</v>
      </c>
      <c r="BE709" t="s">
        <v>13</v>
      </c>
      <c r="BF709" t="s">
        <v>756</v>
      </c>
      <c r="BG709" t="s">
        <v>756</v>
      </c>
      <c r="BI709" cm="1">
        <f t="array" ref="BI709">IFERROR(_xlfn._xlws.FILTER(shifts!A:A,(shifts!B:B=events!AD709)*(shifts!AG:AG&gt;=events!BK709)*(shifts!AH:AH&lt;=events!BL709)),BI708)</f>
        <v>33</v>
      </c>
      <c r="BJ709" s="15">
        <f t="shared" si="380"/>
        <v>3</v>
      </c>
      <c r="BK709">
        <f t="shared" ref="BK709:BK772" si="387">(AE709*60)+AF709</f>
        <v>195</v>
      </c>
      <c r="BL709">
        <f t="shared" ref="BL709:BL772" si="388">IF(AND(AG709="",AH709=""),BK709,((AG709*60)+AH709))</f>
        <v>192</v>
      </c>
      <c r="BM709" s="15">
        <f>SUMIFS(BJ$2:BJ709,K$2:K709,"=Intermission")+SUMIFS(BJ$2:BJ709,K$2:K709,"=Timeout")</f>
        <v>0</v>
      </c>
      <c r="BN709">
        <f t="shared" ref="BN709:BN772" si="389">IF(AD709=1,0,IF(AD709=2,1080+BM709,IF(AD709=3,(1080*2)+BM709,0)))</f>
        <v>0</v>
      </c>
      <c r="BO709" s="19">
        <f t="shared" ref="BO709:BO772" si="390">IF(K709="Intermission",BO708,((1080)-((AE709*60)+AF709))+BN709)</f>
        <v>885</v>
      </c>
      <c r="BP709">
        <f t="shared" ref="BP709:BP772" si="391">IF(BO709&lt;5,0,BO709-5)</f>
        <v>880</v>
      </c>
      <c r="BQ709" s="17">
        <f t="shared" ref="BQ709:BQ772" si="392">BP709+BJ709+5</f>
        <v>888</v>
      </c>
      <c r="BR709" t="str">
        <f t="shared" ref="BR709:BR772" si="393">IF(AI709="e","event_team_player_"&amp;BS709,IF(AI709="o","opp_team_player_"&amp;BS709,""))</f>
        <v>event_team_player_1</v>
      </c>
      <c r="BS709">
        <f>COUNTIFS(S$3:S709,"="&amp;S709,AI$3:AI709,"="&amp;AI709)</f>
        <v>1</v>
      </c>
      <c r="BT709" t="str">
        <f>IFERROR(VLOOKUP(BB709&amp;BU709&amp;X709,game_rosters!U:W,3,FALSE),"")</f>
        <v>P100061</v>
      </c>
      <c r="BU709" t="str">
        <f t="shared" ref="BU709:BU772" si="394">IF(AR709="","",IF(AND(AR709="Away",AI709="e"),BD709,IF(AND(AR709="Home",AI709="e"),BC709,IF(AND(AR709="Away",AI709="o"),BC709,IF(AND(AR709="Home",AI709="o"),BD709)))))</f>
        <v>Nelson</v>
      </c>
    </row>
    <row r="710" spans="1:73" x14ac:dyDescent="0.2">
      <c r="A710">
        <f t="shared" si="381"/>
        <v>1</v>
      </c>
      <c r="E710" s="4"/>
      <c r="F710" s="43"/>
      <c r="G710" s="4"/>
      <c r="H710" s="46"/>
      <c r="J710" s="44" t="str">
        <f t="shared" ref="J710:J773" si="395">IF(OR(K710="Goal",K710="Shot",L710="Zone_Entry",M710="Stoppage-Goal",M709="Stoppage-Goal"),"o",IF(OR(K710="Save",K710="Rebound",L710="Zone_Exit",M710="Stoppage-GoalieStoppage",M709="Stoppage-GoalieStoppage"),"d",IF(OR(L710="Faceoff_AfterGoal",L710="Faceoff_PeriodStart",698="Faceoff_GameStart",M709="Stoppage-Goal"),"n","")))</f>
        <v/>
      </c>
      <c r="K710" t="s">
        <v>13</v>
      </c>
      <c r="L710" t="s">
        <v>756</v>
      </c>
      <c r="M710" t="s">
        <v>756</v>
      </c>
      <c r="N710" t="str">
        <f t="shared" si="366"/>
        <v/>
      </c>
      <c r="Q710" t="str">
        <f t="shared" si="364"/>
        <v/>
      </c>
      <c r="S710">
        <v>379</v>
      </c>
      <c r="U710" t="str">
        <f>IF(B710=1,MAX($U$2:$U709)+1,IF(AND($T710&lt;&gt;"",$T710=$T709),$U709,IF(B710="x",U709,"")))</f>
        <v/>
      </c>
      <c r="V710" t="str">
        <f>IF(C710=1,MAX($V$2:$V709)+1,IF(AND($T710&lt;&gt;"",$T710=$T709),$U709,IF(C710="x",V709,"")))</f>
        <v/>
      </c>
      <c r="W710" t="str">
        <f t="shared" si="370"/>
        <v>h</v>
      </c>
      <c r="X710">
        <v>42</v>
      </c>
      <c r="Y710" t="e">
        <f>IF(X710&lt;&gt;"",VLOOKUP(X710,game_rosters!$C$43:$E$64,3,FALSE))</f>
        <v>#N/A</v>
      </c>
      <c r="Z710" t="str" cm="1">
        <f t="array" ref="Z710">IFERROR(IF(_xlfn._xlws.FILTER(game_rosters!$J:$J,(game_rosters!$G:$G=events!$AN710)*(game_rosters!$J:$J=events!$X710))&gt;0,1,""),"")</f>
        <v/>
      </c>
      <c r="AA710">
        <f t="shared" si="371"/>
        <v>1379</v>
      </c>
      <c r="AB710" t="str">
        <f t="shared" si="372"/>
        <v/>
      </c>
      <c r="AC710">
        <f t="shared" si="369"/>
        <v>1379</v>
      </c>
      <c r="AD710" s="6">
        <v>1</v>
      </c>
      <c r="AE710" t="s">
        <v>940</v>
      </c>
      <c r="AF710" t="s">
        <v>744</v>
      </c>
      <c r="AG710" t="s">
        <v>940</v>
      </c>
      <c r="AH710" t="s">
        <v>746</v>
      </c>
      <c r="AI710" t="s">
        <v>368</v>
      </c>
      <c r="AJ710" t="str">
        <f t="shared" si="373"/>
        <v/>
      </c>
      <c r="AK710" t="str">
        <f t="shared" si="373"/>
        <v/>
      </c>
      <c r="AL710" t="str">
        <f t="shared" si="374"/>
        <v/>
      </c>
      <c r="AN710" t="s">
        <v>861</v>
      </c>
      <c r="AO710" t="str">
        <f t="shared" si="375"/>
        <v>h</v>
      </c>
      <c r="AP710" t="str">
        <f t="shared" si="382"/>
        <v/>
      </c>
      <c r="AQ710" t="str">
        <f t="shared" si="383"/>
        <v/>
      </c>
      <c r="AR710" t="str">
        <f t="shared" si="384"/>
        <v>Home</v>
      </c>
      <c r="AS710" t="str">
        <f t="shared" si="385"/>
        <v>h</v>
      </c>
      <c r="AT710" t="str">
        <f t="shared" si="386"/>
        <v>Defensive</v>
      </c>
      <c r="BA710" s="6">
        <f t="shared" si="376"/>
        <v>195</v>
      </c>
      <c r="BB710">
        <f t="shared" si="377"/>
        <v>18981</v>
      </c>
      <c r="BC710" t="str">
        <f t="shared" si="378"/>
        <v>Nelson</v>
      </c>
      <c r="BD710" t="str">
        <f t="shared" si="379"/>
        <v>Velodrome</v>
      </c>
      <c r="BE710" t="s">
        <v>13</v>
      </c>
      <c r="BF710" t="s">
        <v>756</v>
      </c>
      <c r="BG710" t="s">
        <v>756</v>
      </c>
      <c r="BI710" cm="1">
        <f t="array" ref="BI710">IFERROR(_xlfn._xlws.FILTER(shifts!A:A,(shifts!B:B=events!AD710)*(shifts!AG:AG&gt;=events!BK710)*(shifts!AH:AH&lt;=events!BL710)),BI709)</f>
        <v>33</v>
      </c>
      <c r="BJ710" s="15">
        <f t="shared" si="380"/>
        <v>3</v>
      </c>
      <c r="BK710">
        <f t="shared" si="387"/>
        <v>195</v>
      </c>
      <c r="BL710">
        <f t="shared" si="388"/>
        <v>192</v>
      </c>
      <c r="BM710" s="15">
        <f>SUMIFS(BJ$2:BJ710,K$2:K710,"=Intermission")+SUMIFS(BJ$2:BJ710,K$2:K710,"=Timeout")</f>
        <v>0</v>
      </c>
      <c r="BN710">
        <f t="shared" si="389"/>
        <v>0</v>
      </c>
      <c r="BO710" s="19">
        <f t="shared" si="390"/>
        <v>885</v>
      </c>
      <c r="BP710">
        <f t="shared" si="391"/>
        <v>880</v>
      </c>
      <c r="BQ710" s="17">
        <f t="shared" si="392"/>
        <v>888</v>
      </c>
      <c r="BR710" t="str">
        <f t="shared" si="393"/>
        <v>opp_team_player_1</v>
      </c>
      <c r="BS710">
        <f>COUNTIFS(S$3:S710,"="&amp;S710,AI$3:AI710,"="&amp;AI710)</f>
        <v>1</v>
      </c>
      <c r="BT710" t="str">
        <f>IFERROR(VLOOKUP(BB710&amp;BU710&amp;X710,game_rosters!U:W,3,FALSE),"")</f>
        <v>P100201</v>
      </c>
      <c r="BU710" t="str">
        <f t="shared" si="394"/>
        <v>Velodrome</v>
      </c>
    </row>
    <row r="711" spans="1:73" x14ac:dyDescent="0.2">
      <c r="A711">
        <f t="shared" si="381"/>
        <v>1</v>
      </c>
      <c r="E711" s="4"/>
      <c r="F711" s="43"/>
      <c r="G711" s="4"/>
      <c r="H711" s="46"/>
      <c r="J711" s="44" t="str">
        <f t="shared" si="395"/>
        <v/>
      </c>
      <c r="K711" t="s">
        <v>7</v>
      </c>
      <c r="L711" t="s">
        <v>182</v>
      </c>
      <c r="M711" t="s">
        <v>68</v>
      </c>
      <c r="N711" t="str">
        <f t="shared" si="366"/>
        <v>u</v>
      </c>
      <c r="Q711" t="str">
        <f t="shared" si="364"/>
        <v/>
      </c>
      <c r="S711">
        <v>380</v>
      </c>
      <c r="U711" t="str">
        <f>IF(B711=1,MAX($U$2:$U710)+1,IF(AND($T711&lt;&gt;"",$T711=$T710),$U710,IF(B711="x",U710,"")))</f>
        <v/>
      </c>
      <c r="V711" t="str">
        <f>IF(C711=1,MAX($V$2:$V710)+1,IF(AND($T711&lt;&gt;"",$T711=$T710),$U710,IF(C711="x",V710,"")))</f>
        <v/>
      </c>
      <c r="W711" t="str">
        <f t="shared" si="370"/>
        <v>h</v>
      </c>
      <c r="X711">
        <v>23</v>
      </c>
      <c r="Y711" t="b">
        <f>IF(X711&lt;&gt;"",VLOOKUP(X711,game_rosters!$C$43:$E$64,3,FALSE))</f>
        <v>0</v>
      </c>
      <c r="Z711" cm="1">
        <f t="array" ref="Z711">IFERROR(IF(_xlfn._xlws.FILTER(game_rosters!$J:$J,(game_rosters!$G:$G=events!$AN711)*(game_rosters!$J:$J=events!$X711))&gt;0,1,""),"")</f>
        <v>1</v>
      </c>
      <c r="AA711">
        <f t="shared" si="371"/>
        <v>1380</v>
      </c>
      <c r="AB711" t="str">
        <f t="shared" si="372"/>
        <v/>
      </c>
      <c r="AC711">
        <f t="shared" si="369"/>
        <v>1380</v>
      </c>
      <c r="AD711" s="6">
        <v>1</v>
      </c>
      <c r="AE711" t="s">
        <v>940</v>
      </c>
      <c r="AF711" t="s">
        <v>754</v>
      </c>
      <c r="AG711" t="s">
        <v>756</v>
      </c>
      <c r="AH711" t="s">
        <v>756</v>
      </c>
      <c r="AI711" t="s">
        <v>367</v>
      </c>
      <c r="AJ711" t="str">
        <f t="shared" si="373"/>
        <v/>
      </c>
      <c r="AK711" t="str">
        <f t="shared" si="373"/>
        <v/>
      </c>
      <c r="AL711" t="str">
        <f t="shared" si="374"/>
        <v/>
      </c>
      <c r="AN711" t="s">
        <v>861</v>
      </c>
      <c r="AO711" t="str">
        <f t="shared" si="375"/>
        <v>h</v>
      </c>
      <c r="AP711" t="str">
        <f t="shared" si="382"/>
        <v/>
      </c>
      <c r="AQ711" t="str">
        <f t="shared" si="383"/>
        <v/>
      </c>
      <c r="AR711" t="str">
        <f t="shared" si="384"/>
        <v>Home</v>
      </c>
      <c r="AS711" t="str">
        <f t="shared" si="385"/>
        <v>h</v>
      </c>
      <c r="AT711" t="str">
        <f t="shared" si="386"/>
        <v>Offensive</v>
      </c>
      <c r="BA711" s="6">
        <f t="shared" si="376"/>
        <v>195</v>
      </c>
      <c r="BB711">
        <f t="shared" si="377"/>
        <v>18981</v>
      </c>
      <c r="BC711" t="str">
        <f t="shared" si="378"/>
        <v>Nelson</v>
      </c>
      <c r="BD711" t="str">
        <f t="shared" si="379"/>
        <v>Velodrome</v>
      </c>
      <c r="BE711" t="s">
        <v>7</v>
      </c>
      <c r="BF711" t="s">
        <v>182</v>
      </c>
      <c r="BG711" t="s">
        <v>68</v>
      </c>
      <c r="BI711" cm="1">
        <f t="array" ref="BI711">IFERROR(_xlfn._xlws.FILTER(shifts!A:A,(shifts!B:B=events!AD711)*(shifts!AG:AG&gt;=events!BK711)*(shifts!AH:AH&lt;=events!BL711)),BI710)</f>
        <v>34</v>
      </c>
      <c r="BJ711" s="15">
        <f t="shared" si="380"/>
        <v>0</v>
      </c>
      <c r="BK711">
        <f t="shared" si="387"/>
        <v>191</v>
      </c>
      <c r="BL711">
        <f t="shared" si="388"/>
        <v>191</v>
      </c>
      <c r="BM711" s="15">
        <f>SUMIFS(BJ$2:BJ711,K$2:K711,"=Intermission")+SUMIFS(BJ$2:BJ711,K$2:K711,"=Timeout")</f>
        <v>0</v>
      </c>
      <c r="BN711">
        <f t="shared" si="389"/>
        <v>0</v>
      </c>
      <c r="BO711" s="19">
        <f t="shared" si="390"/>
        <v>889</v>
      </c>
      <c r="BP711">
        <f t="shared" si="391"/>
        <v>884</v>
      </c>
      <c r="BQ711" s="17">
        <f t="shared" si="392"/>
        <v>889</v>
      </c>
      <c r="BR711" t="str">
        <f t="shared" si="393"/>
        <v>event_team_player_1</v>
      </c>
      <c r="BS711">
        <f>COUNTIFS(S$3:S711,"="&amp;S711,AI$3:AI711,"="&amp;AI711)</f>
        <v>1</v>
      </c>
      <c r="BT711" t="str">
        <f>IFERROR(VLOOKUP(BB711&amp;BU711&amp;X711,game_rosters!U:W,3,FALSE),"")</f>
        <v>P100061</v>
      </c>
      <c r="BU711" t="str">
        <f t="shared" si="394"/>
        <v>Nelson</v>
      </c>
    </row>
    <row r="712" spans="1:73" x14ac:dyDescent="0.2">
      <c r="A712">
        <f t="shared" si="381"/>
        <v>1</v>
      </c>
      <c r="E712" s="4"/>
      <c r="F712" s="43"/>
      <c r="G712" s="4"/>
      <c r="H712" s="46"/>
      <c r="J712" s="44" t="str">
        <f t="shared" si="395"/>
        <v/>
      </c>
      <c r="K712" t="s">
        <v>7</v>
      </c>
      <c r="L712" t="s">
        <v>182</v>
      </c>
      <c r="M712" t="s">
        <v>68</v>
      </c>
      <c r="N712" t="str">
        <f t="shared" si="366"/>
        <v>u</v>
      </c>
      <c r="Q712" t="str">
        <f t="shared" si="364"/>
        <v/>
      </c>
      <c r="S712">
        <v>380</v>
      </c>
      <c r="U712" t="str">
        <f>IF(B712=1,MAX($U$2:$U711)+1,IF(AND($T712&lt;&gt;"",$T712=$T711),$U711,IF(B712="x",U711,"")))</f>
        <v/>
      </c>
      <c r="V712" t="str">
        <f>IF(C712=1,MAX($V$2:$V711)+1,IF(AND($T712&lt;&gt;"",$T712=$T711),$U711,IF(C712="x",V711,"")))</f>
        <v/>
      </c>
      <c r="W712" t="str">
        <f t="shared" si="370"/>
        <v>h</v>
      </c>
      <c r="X712">
        <v>80</v>
      </c>
      <c r="Y712" t="b">
        <f>IF(X712&lt;&gt;"",VLOOKUP(X712,game_rosters!$C$43:$E$64,3,FALSE))</f>
        <v>0</v>
      </c>
      <c r="Z712" cm="1">
        <f t="array" ref="Z712">IFERROR(IF(_xlfn._xlws.FILTER(game_rosters!$J:$J,(game_rosters!$G:$G=events!$AN712)*(game_rosters!$J:$J=events!$X712))&gt;0,1,""),"")</f>
        <v>1</v>
      </c>
      <c r="AA712">
        <f t="shared" si="371"/>
        <v>1380</v>
      </c>
      <c r="AB712" t="str">
        <f t="shared" si="372"/>
        <v/>
      </c>
      <c r="AC712">
        <f t="shared" si="369"/>
        <v>1380</v>
      </c>
      <c r="AD712" s="6">
        <v>1</v>
      </c>
      <c r="AE712" t="s">
        <v>940</v>
      </c>
      <c r="AF712" t="s">
        <v>754</v>
      </c>
      <c r="AG712" t="s">
        <v>756</v>
      </c>
      <c r="AH712" t="s">
        <v>756</v>
      </c>
      <c r="AI712" t="s">
        <v>367</v>
      </c>
      <c r="AJ712" t="str">
        <f t="shared" si="373"/>
        <v/>
      </c>
      <c r="AK712" t="str">
        <f t="shared" si="373"/>
        <v/>
      </c>
      <c r="AL712" t="str">
        <f t="shared" si="374"/>
        <v/>
      </c>
      <c r="AN712" t="s">
        <v>861</v>
      </c>
      <c r="AO712" t="str">
        <f t="shared" si="375"/>
        <v>h</v>
      </c>
      <c r="AP712" t="str">
        <f t="shared" si="382"/>
        <v/>
      </c>
      <c r="AQ712" t="str">
        <f t="shared" si="383"/>
        <v/>
      </c>
      <c r="AR712" t="str">
        <f t="shared" si="384"/>
        <v>Home</v>
      </c>
      <c r="AS712" t="str">
        <f t="shared" si="385"/>
        <v>h</v>
      </c>
      <c r="AT712" t="str">
        <f t="shared" si="386"/>
        <v>Offensive</v>
      </c>
      <c r="BA712" s="6">
        <f t="shared" si="376"/>
        <v>195</v>
      </c>
      <c r="BB712">
        <f t="shared" si="377"/>
        <v>18981</v>
      </c>
      <c r="BC712" t="str">
        <f t="shared" si="378"/>
        <v>Nelson</v>
      </c>
      <c r="BD712" t="str">
        <f t="shared" si="379"/>
        <v>Velodrome</v>
      </c>
      <c r="BE712" t="s">
        <v>7</v>
      </c>
      <c r="BF712" t="s">
        <v>182</v>
      </c>
      <c r="BG712" t="s">
        <v>68</v>
      </c>
      <c r="BI712" cm="1">
        <f t="array" ref="BI712">IFERROR(_xlfn._xlws.FILTER(shifts!A:A,(shifts!B:B=events!AD712)*(shifts!AG:AG&gt;=events!BK712)*(shifts!AH:AH&lt;=events!BL712)),BI711)</f>
        <v>34</v>
      </c>
      <c r="BJ712" s="15">
        <f t="shared" si="380"/>
        <v>0</v>
      </c>
      <c r="BK712">
        <f t="shared" si="387"/>
        <v>191</v>
      </c>
      <c r="BL712">
        <f t="shared" si="388"/>
        <v>191</v>
      </c>
      <c r="BM712" s="15">
        <f>SUMIFS(BJ$2:BJ712,K$2:K712,"=Intermission")+SUMIFS(BJ$2:BJ712,K$2:K712,"=Timeout")</f>
        <v>0</v>
      </c>
      <c r="BN712">
        <f t="shared" si="389"/>
        <v>0</v>
      </c>
      <c r="BO712" s="19">
        <f t="shared" si="390"/>
        <v>889</v>
      </c>
      <c r="BP712">
        <f t="shared" si="391"/>
        <v>884</v>
      </c>
      <c r="BQ712" s="17">
        <f t="shared" si="392"/>
        <v>889</v>
      </c>
      <c r="BR712" t="str">
        <f t="shared" si="393"/>
        <v>event_team_player_2</v>
      </c>
      <c r="BS712">
        <f>COUNTIFS(S$3:S712,"="&amp;S712,AI$3:AI712,"="&amp;AI712)</f>
        <v>2</v>
      </c>
      <c r="BT712" t="str">
        <f>IFERROR(VLOOKUP(BB712&amp;BU712&amp;X712,game_rosters!U:W,3,FALSE),"")</f>
        <v>P100197</v>
      </c>
      <c r="BU712" t="str">
        <f t="shared" si="394"/>
        <v>Nelson</v>
      </c>
    </row>
    <row r="713" spans="1:73" x14ac:dyDescent="0.2">
      <c r="A713">
        <f t="shared" si="381"/>
        <v>1</v>
      </c>
      <c r="E713" s="4"/>
      <c r="F713" s="43"/>
      <c r="G713" s="4"/>
      <c r="H713" s="46"/>
      <c r="J713" s="44" t="str">
        <f t="shared" si="395"/>
        <v/>
      </c>
      <c r="K713" t="s">
        <v>7</v>
      </c>
      <c r="L713" t="s">
        <v>182</v>
      </c>
      <c r="M713" t="s">
        <v>68</v>
      </c>
      <c r="N713" t="str">
        <f t="shared" si="366"/>
        <v>u</v>
      </c>
      <c r="Q713" t="str">
        <f t="shared" si="364"/>
        <v/>
      </c>
      <c r="S713">
        <v>380</v>
      </c>
      <c r="U713" t="str">
        <f>IF(B713=1,MAX($U$2:$U712)+1,IF(AND($T713&lt;&gt;"",$T713=$T712),$U712,IF(B713="x",U712,"")))</f>
        <v/>
      </c>
      <c r="V713" t="str">
        <f>IF(C713=1,MAX($V$2:$V712)+1,IF(AND($T713&lt;&gt;"",$T713=$T712),$U712,IF(C713="x",V712,"")))</f>
        <v/>
      </c>
      <c r="W713" t="str">
        <f t="shared" si="370"/>
        <v>h</v>
      </c>
      <c r="X713">
        <v>42</v>
      </c>
      <c r="Y713" t="e">
        <f>IF(X713&lt;&gt;"",VLOOKUP(X713,game_rosters!$C$43:$E$64,3,FALSE))</f>
        <v>#N/A</v>
      </c>
      <c r="Z713" t="str" cm="1">
        <f t="array" ref="Z713">IFERROR(IF(_xlfn._xlws.FILTER(game_rosters!$J:$J,(game_rosters!$G:$G=events!$AN713)*(game_rosters!$J:$J=events!$X713))&gt;0,1,""),"")</f>
        <v/>
      </c>
      <c r="AA713">
        <f t="shared" si="371"/>
        <v>1380</v>
      </c>
      <c r="AB713" t="str">
        <f t="shared" si="372"/>
        <v/>
      </c>
      <c r="AC713">
        <f t="shared" si="369"/>
        <v>1380</v>
      </c>
      <c r="AD713" s="6">
        <v>1</v>
      </c>
      <c r="AE713" t="s">
        <v>940</v>
      </c>
      <c r="AF713" t="s">
        <v>754</v>
      </c>
      <c r="AG713" t="s">
        <v>756</v>
      </c>
      <c r="AH713" t="s">
        <v>756</v>
      </c>
      <c r="AI713" t="s">
        <v>368</v>
      </c>
      <c r="AJ713" t="str">
        <f t="shared" si="373"/>
        <v/>
      </c>
      <c r="AK713" t="str">
        <f t="shared" si="373"/>
        <v/>
      </c>
      <c r="AL713" t="str">
        <f t="shared" si="374"/>
        <v/>
      </c>
      <c r="AN713" t="s">
        <v>861</v>
      </c>
      <c r="AO713" t="str">
        <f t="shared" si="375"/>
        <v>h</v>
      </c>
      <c r="AP713" t="str">
        <f t="shared" si="382"/>
        <v/>
      </c>
      <c r="AQ713" t="str">
        <f t="shared" si="383"/>
        <v/>
      </c>
      <c r="AR713" t="str">
        <f t="shared" si="384"/>
        <v>Home</v>
      </c>
      <c r="AS713" t="str">
        <f t="shared" si="385"/>
        <v>h</v>
      </c>
      <c r="AT713" t="str">
        <f t="shared" si="386"/>
        <v>Defensive</v>
      </c>
      <c r="BA713" s="6">
        <f t="shared" si="376"/>
        <v>195</v>
      </c>
      <c r="BB713">
        <f t="shared" si="377"/>
        <v>18981</v>
      </c>
      <c r="BC713" t="str">
        <f t="shared" si="378"/>
        <v>Nelson</v>
      </c>
      <c r="BD713" t="str">
        <f t="shared" si="379"/>
        <v>Velodrome</v>
      </c>
      <c r="BE713" t="s">
        <v>7</v>
      </c>
      <c r="BF713" t="s">
        <v>182</v>
      </c>
      <c r="BG713" t="s">
        <v>68</v>
      </c>
      <c r="BI713" cm="1">
        <f t="array" ref="BI713">IFERROR(_xlfn._xlws.FILTER(shifts!A:A,(shifts!B:B=events!AD713)*(shifts!AG:AG&gt;=events!BK713)*(shifts!AH:AH&lt;=events!BL713)),BI712)</f>
        <v>34</v>
      </c>
      <c r="BJ713" s="15">
        <f t="shared" si="380"/>
        <v>0</v>
      </c>
      <c r="BK713">
        <f t="shared" si="387"/>
        <v>191</v>
      </c>
      <c r="BL713">
        <f t="shared" si="388"/>
        <v>191</v>
      </c>
      <c r="BM713" s="15">
        <f>SUMIFS(BJ$2:BJ713,K$2:K713,"=Intermission")+SUMIFS(BJ$2:BJ713,K$2:K713,"=Timeout")</f>
        <v>0</v>
      </c>
      <c r="BN713">
        <f t="shared" si="389"/>
        <v>0</v>
      </c>
      <c r="BO713" s="19">
        <f t="shared" si="390"/>
        <v>889</v>
      </c>
      <c r="BP713">
        <f t="shared" si="391"/>
        <v>884</v>
      </c>
      <c r="BQ713" s="17">
        <f t="shared" si="392"/>
        <v>889</v>
      </c>
      <c r="BR713" t="str">
        <f t="shared" si="393"/>
        <v>opp_team_player_1</v>
      </c>
      <c r="BS713">
        <f>COUNTIFS(S$3:S713,"="&amp;S713,AI$3:AI713,"="&amp;AI713)</f>
        <v>1</v>
      </c>
      <c r="BT713" t="str">
        <f>IFERROR(VLOOKUP(BB713&amp;BU713&amp;X713,game_rosters!U:W,3,FALSE),"")</f>
        <v>P100201</v>
      </c>
      <c r="BU713" t="str">
        <f t="shared" si="394"/>
        <v>Velodrome</v>
      </c>
    </row>
    <row r="714" spans="1:73" x14ac:dyDescent="0.2">
      <c r="A714">
        <f t="shared" si="381"/>
        <v>1</v>
      </c>
      <c r="E714" s="4"/>
      <c r="F714" s="43"/>
      <c r="G714" s="4"/>
      <c r="H714" s="46"/>
      <c r="J714" s="44" t="str">
        <f t="shared" si="395"/>
        <v>d</v>
      </c>
      <c r="K714" t="s">
        <v>238</v>
      </c>
      <c r="L714" t="s">
        <v>184</v>
      </c>
      <c r="M714" t="s">
        <v>90</v>
      </c>
      <c r="N714" t="str">
        <f t="shared" si="366"/>
        <v>s</v>
      </c>
      <c r="Q714" t="str">
        <f t="shared" si="364"/>
        <v/>
      </c>
      <c r="S714">
        <v>381</v>
      </c>
      <c r="U714" t="str">
        <f>IF(B714=1,MAX($U$2:$U713)+1,IF(AND($T714&lt;&gt;"",$T714=$T713),$U713,IF(B714="x",U713,"")))</f>
        <v/>
      </c>
      <c r="V714" t="str">
        <f>IF(C714=1,MAX($V$2:$V713)+1,IF(AND($T714&lt;&gt;"",$T714=$T713),$U713,IF(C714="x",V713,"")))</f>
        <v/>
      </c>
      <c r="W714" t="str">
        <f t="shared" si="370"/>
        <v>h</v>
      </c>
      <c r="X714">
        <v>80</v>
      </c>
      <c r="Y714" t="b">
        <f>IF(X714&lt;&gt;"",VLOOKUP(X714,game_rosters!$C$43:$E$64,3,FALSE))</f>
        <v>0</v>
      </c>
      <c r="Z714" cm="1">
        <f t="array" ref="Z714">IFERROR(IF(_xlfn._xlws.FILTER(game_rosters!$J:$J,(game_rosters!$G:$G=events!$AN714)*(game_rosters!$J:$J=events!$X714))&gt;0,1,""),"")</f>
        <v>1</v>
      </c>
      <c r="AA714">
        <f t="shared" si="371"/>
        <v>1381</v>
      </c>
      <c r="AB714" t="str">
        <f t="shared" si="372"/>
        <v/>
      </c>
      <c r="AC714">
        <f t="shared" si="369"/>
        <v>1381</v>
      </c>
      <c r="AD714" s="6">
        <v>1</v>
      </c>
      <c r="AE714" t="s">
        <v>940</v>
      </c>
      <c r="AF714" t="s">
        <v>910</v>
      </c>
      <c r="AG714" t="s">
        <v>756</v>
      </c>
      <c r="AH714" t="s">
        <v>756</v>
      </c>
      <c r="AI714" t="s">
        <v>367</v>
      </c>
      <c r="AJ714" t="str">
        <f t="shared" si="373"/>
        <v>d</v>
      </c>
      <c r="AK714" t="str">
        <f t="shared" si="373"/>
        <v>d</v>
      </c>
      <c r="AL714" t="str">
        <f t="shared" si="374"/>
        <v>d</v>
      </c>
      <c r="AN714" t="s">
        <v>861</v>
      </c>
      <c r="AO714" t="str">
        <f t="shared" si="375"/>
        <v>h</v>
      </c>
      <c r="AP714" t="str">
        <f t="shared" si="382"/>
        <v>d</v>
      </c>
      <c r="AQ714" t="str">
        <f t="shared" si="383"/>
        <v/>
      </c>
      <c r="AR714" t="str">
        <f t="shared" si="384"/>
        <v>Home</v>
      </c>
      <c r="AS714" t="str">
        <f t="shared" si="385"/>
        <v>h</v>
      </c>
      <c r="AT714" t="str">
        <f t="shared" si="386"/>
        <v>Offensive</v>
      </c>
      <c r="BA714" s="6">
        <f t="shared" si="376"/>
        <v>196</v>
      </c>
      <c r="BB714">
        <f t="shared" si="377"/>
        <v>18981</v>
      </c>
      <c r="BC714" t="str">
        <f t="shared" si="378"/>
        <v>Nelson</v>
      </c>
      <c r="BD714" t="str">
        <f t="shared" si="379"/>
        <v>Velodrome</v>
      </c>
      <c r="BE714" t="s">
        <v>238</v>
      </c>
      <c r="BF714" t="s">
        <v>184</v>
      </c>
      <c r="BG714" t="s">
        <v>90</v>
      </c>
      <c r="BI714" cm="1">
        <f t="array" ref="BI714">IFERROR(_xlfn._xlws.FILTER(shifts!A:A,(shifts!B:B=events!AD714)*(shifts!AG:AG&gt;=events!BK714)*(shifts!AH:AH&lt;=events!BL714)),BI713)</f>
        <v>34</v>
      </c>
      <c r="BJ714" s="15">
        <f t="shared" si="380"/>
        <v>0</v>
      </c>
      <c r="BK714">
        <f t="shared" si="387"/>
        <v>190</v>
      </c>
      <c r="BL714">
        <f t="shared" si="388"/>
        <v>190</v>
      </c>
      <c r="BM714" s="15">
        <f>SUMIFS(BJ$2:BJ714,K$2:K714,"=Intermission")+SUMIFS(BJ$2:BJ714,K$2:K714,"=Timeout")</f>
        <v>0</v>
      </c>
      <c r="BN714">
        <f t="shared" si="389"/>
        <v>0</v>
      </c>
      <c r="BO714" s="19">
        <f t="shared" si="390"/>
        <v>890</v>
      </c>
      <c r="BP714">
        <f t="shared" si="391"/>
        <v>885</v>
      </c>
      <c r="BQ714" s="17">
        <f t="shared" si="392"/>
        <v>890</v>
      </c>
      <c r="BR714" t="str">
        <f t="shared" si="393"/>
        <v>event_team_player_1</v>
      </c>
      <c r="BS714">
        <f>COUNTIFS(S$3:S714,"="&amp;S714,AI$3:AI714,"="&amp;AI714)</f>
        <v>1</v>
      </c>
      <c r="BT714" t="str">
        <f>IFERROR(VLOOKUP(BB714&amp;BU714&amp;X714,game_rosters!U:W,3,FALSE),"")</f>
        <v>P100197</v>
      </c>
      <c r="BU714" t="str">
        <f t="shared" si="394"/>
        <v>Nelson</v>
      </c>
    </row>
    <row r="715" spans="1:73" x14ac:dyDescent="0.2">
      <c r="A715">
        <f t="shared" si="381"/>
        <v>1</v>
      </c>
      <c r="E715" s="4"/>
      <c r="F715" s="43"/>
      <c r="G715" s="4"/>
      <c r="H715" s="46"/>
      <c r="J715" s="44" t="str">
        <f t="shared" si="395"/>
        <v>d</v>
      </c>
      <c r="K715" t="s">
        <v>238</v>
      </c>
      <c r="L715" t="s">
        <v>184</v>
      </c>
      <c r="M715" t="s">
        <v>90</v>
      </c>
      <c r="N715" t="str">
        <f t="shared" si="366"/>
        <v>s</v>
      </c>
      <c r="Q715" t="str">
        <f t="shared" si="364"/>
        <v/>
      </c>
      <c r="S715">
        <v>381</v>
      </c>
      <c r="U715" t="str">
        <f>IF(B715=1,MAX($U$2:$U714)+1,IF(AND($T715&lt;&gt;"",$T715=$T714),$U714,IF(B715="x",U714,"")))</f>
        <v/>
      </c>
      <c r="V715" t="str">
        <f>IF(C715=1,MAX($V$2:$V714)+1,IF(AND($T715&lt;&gt;"",$T715=$T714),$U714,IF(C715="x",V714,"")))</f>
        <v/>
      </c>
      <c r="W715" t="str">
        <f t="shared" si="370"/>
        <v>h</v>
      </c>
      <c r="X715">
        <v>91</v>
      </c>
      <c r="Y715" t="e">
        <f>IF(X715&lt;&gt;"",VLOOKUP(X715,game_rosters!$C$43:$E$64,3,FALSE))</f>
        <v>#N/A</v>
      </c>
      <c r="Z715" t="str" cm="1">
        <f t="array" ref="Z715">IFERROR(IF(_xlfn._xlws.FILTER(game_rosters!$J:$J,(game_rosters!$G:$G=events!$AN715)*(game_rosters!$J:$J=events!$X715))&gt;0,1,""),"")</f>
        <v/>
      </c>
      <c r="AA715">
        <f t="shared" si="371"/>
        <v>1381</v>
      </c>
      <c r="AB715" t="str">
        <f t="shared" si="372"/>
        <v/>
      </c>
      <c r="AC715">
        <f t="shared" si="369"/>
        <v>1381</v>
      </c>
      <c r="AD715" s="6">
        <v>1</v>
      </c>
      <c r="AE715" t="s">
        <v>940</v>
      </c>
      <c r="AF715" t="s">
        <v>910</v>
      </c>
      <c r="AG715" t="s">
        <v>756</v>
      </c>
      <c r="AH715" t="s">
        <v>756</v>
      </c>
      <c r="AI715" t="s">
        <v>368</v>
      </c>
      <c r="AJ715" t="str">
        <f t="shared" si="373"/>
        <v>d</v>
      </c>
      <c r="AK715" t="str">
        <f t="shared" si="373"/>
        <v>d</v>
      </c>
      <c r="AL715" t="str">
        <f t="shared" si="374"/>
        <v>d</v>
      </c>
      <c r="AN715" t="s">
        <v>861</v>
      </c>
      <c r="AO715" t="str">
        <f t="shared" si="375"/>
        <v>h</v>
      </c>
      <c r="AP715" t="str">
        <f t="shared" si="382"/>
        <v>d</v>
      </c>
      <c r="AQ715" t="str">
        <f t="shared" si="383"/>
        <v/>
      </c>
      <c r="AR715" t="str">
        <f t="shared" si="384"/>
        <v>Home</v>
      </c>
      <c r="AS715" t="str">
        <f t="shared" si="385"/>
        <v>h</v>
      </c>
      <c r="AT715" t="str">
        <f t="shared" si="386"/>
        <v>Defensive</v>
      </c>
      <c r="BA715" s="6">
        <f t="shared" si="376"/>
        <v>197</v>
      </c>
      <c r="BB715">
        <f t="shared" si="377"/>
        <v>18981</v>
      </c>
      <c r="BC715" t="str">
        <f t="shared" si="378"/>
        <v>Nelson</v>
      </c>
      <c r="BD715" t="str">
        <f t="shared" si="379"/>
        <v>Velodrome</v>
      </c>
      <c r="BE715" t="s">
        <v>238</v>
      </c>
      <c r="BF715" t="s">
        <v>184</v>
      </c>
      <c r="BG715" t="s">
        <v>90</v>
      </c>
      <c r="BI715" cm="1">
        <f t="array" ref="BI715">IFERROR(_xlfn._xlws.FILTER(shifts!A:A,(shifts!B:B=events!AD715)*(shifts!AG:AG&gt;=events!BK715)*(shifts!AH:AH&lt;=events!BL715)),BI714)</f>
        <v>34</v>
      </c>
      <c r="BJ715" s="15">
        <f t="shared" si="380"/>
        <v>0</v>
      </c>
      <c r="BK715">
        <f t="shared" si="387"/>
        <v>190</v>
      </c>
      <c r="BL715">
        <f t="shared" si="388"/>
        <v>190</v>
      </c>
      <c r="BM715" s="15">
        <f>SUMIFS(BJ$2:BJ715,K$2:K715,"=Intermission")+SUMIFS(BJ$2:BJ715,K$2:K715,"=Timeout")</f>
        <v>0</v>
      </c>
      <c r="BN715">
        <f t="shared" si="389"/>
        <v>0</v>
      </c>
      <c r="BO715" s="19">
        <f t="shared" si="390"/>
        <v>890</v>
      </c>
      <c r="BP715">
        <f t="shared" si="391"/>
        <v>885</v>
      </c>
      <c r="BQ715" s="17">
        <f t="shared" si="392"/>
        <v>890</v>
      </c>
      <c r="BR715" t="str">
        <f t="shared" si="393"/>
        <v>opp_team_player_1</v>
      </c>
      <c r="BS715">
        <f>COUNTIFS(S$3:S715,"="&amp;S715,AI$3:AI715,"="&amp;AI715)</f>
        <v>1</v>
      </c>
      <c r="BT715" t="str">
        <f>IFERROR(VLOOKUP(BB715&amp;BU715&amp;X715,game_rosters!U:W,3,FALSE),"")</f>
        <v>P100002</v>
      </c>
      <c r="BU715" t="str">
        <f t="shared" si="394"/>
        <v>Velodrome</v>
      </c>
    </row>
    <row r="716" spans="1:73" x14ac:dyDescent="0.2">
      <c r="A716">
        <f t="shared" si="381"/>
        <v>1</v>
      </c>
      <c r="E716" s="4"/>
      <c r="F716" s="43"/>
      <c r="G716" s="4"/>
      <c r="H716" s="46"/>
      <c r="J716" s="44" t="str">
        <f t="shared" si="395"/>
        <v/>
      </c>
      <c r="K716" t="s">
        <v>9</v>
      </c>
      <c r="L716" t="s">
        <v>173</v>
      </c>
      <c r="M716" t="s">
        <v>354</v>
      </c>
      <c r="N716" t="str">
        <f t="shared" si="366"/>
        <v>u</v>
      </c>
      <c r="Q716" t="str">
        <f t="shared" si="364"/>
        <v/>
      </c>
      <c r="S716">
        <v>382</v>
      </c>
      <c r="U716" t="str">
        <f>IF(B716=1,MAX($U$2:$U715)+1,IF(AND($T716&lt;&gt;"",$T716=$T715),$U715,IF(B716="x",U715,"")))</f>
        <v/>
      </c>
      <c r="V716" t="str">
        <f>IF(C716=1,MAX($V$2:$V715)+1,IF(AND($T716&lt;&gt;"",$T716=$T715),$U715,IF(C716="x",V715,"")))</f>
        <v/>
      </c>
      <c r="W716" t="str">
        <f t="shared" si="370"/>
        <v>h</v>
      </c>
      <c r="X716">
        <v>80</v>
      </c>
      <c r="Y716" t="b">
        <f>IF(X716&lt;&gt;"",VLOOKUP(X716,game_rosters!$C$43:$E$64,3,FALSE))</f>
        <v>0</v>
      </c>
      <c r="Z716" cm="1">
        <f t="array" ref="Z716">IFERROR(IF(_xlfn._xlws.FILTER(game_rosters!$J:$J,(game_rosters!$G:$G=events!$AN716)*(game_rosters!$J:$J=events!$X716))&gt;0,1,""),"")</f>
        <v>1</v>
      </c>
      <c r="AA716">
        <f t="shared" si="371"/>
        <v>1382</v>
      </c>
      <c r="AB716" t="str">
        <f t="shared" si="372"/>
        <v/>
      </c>
      <c r="AC716">
        <f t="shared" si="369"/>
        <v>1382</v>
      </c>
      <c r="AD716" s="6">
        <v>1</v>
      </c>
      <c r="AE716" t="s">
        <v>940</v>
      </c>
      <c r="AF716" t="s">
        <v>910</v>
      </c>
      <c r="AG716" t="s">
        <v>756</v>
      </c>
      <c r="AH716" t="s">
        <v>756</v>
      </c>
      <c r="AI716" t="s">
        <v>367</v>
      </c>
      <c r="AJ716" t="str">
        <f t="shared" si="373"/>
        <v/>
      </c>
      <c r="AK716" t="str">
        <f t="shared" si="373"/>
        <v/>
      </c>
      <c r="AL716" t="str">
        <f t="shared" si="374"/>
        <v/>
      </c>
      <c r="AN716" t="s">
        <v>861</v>
      </c>
      <c r="AO716" t="str">
        <f t="shared" si="375"/>
        <v>h</v>
      </c>
      <c r="AP716" t="str">
        <f t="shared" si="382"/>
        <v/>
      </c>
      <c r="AQ716" t="str">
        <f t="shared" si="383"/>
        <v/>
      </c>
      <c r="AR716" t="str">
        <f t="shared" si="384"/>
        <v>Home</v>
      </c>
      <c r="AS716" t="str">
        <f t="shared" si="385"/>
        <v>h</v>
      </c>
      <c r="AT716" t="str">
        <f t="shared" si="386"/>
        <v>Offensive</v>
      </c>
      <c r="BA716" s="6">
        <f t="shared" si="376"/>
        <v>197</v>
      </c>
      <c r="BB716">
        <f t="shared" si="377"/>
        <v>18981</v>
      </c>
      <c r="BC716" t="str">
        <f t="shared" si="378"/>
        <v>Nelson</v>
      </c>
      <c r="BD716" t="str">
        <f t="shared" si="379"/>
        <v>Velodrome</v>
      </c>
      <c r="BE716" t="s">
        <v>9</v>
      </c>
      <c r="BF716" t="s">
        <v>173</v>
      </c>
      <c r="BG716" t="s">
        <v>354</v>
      </c>
      <c r="BI716" cm="1">
        <f t="array" ref="BI716">IFERROR(_xlfn._xlws.FILTER(shifts!A:A,(shifts!B:B=events!AD716)*(shifts!AG:AG&gt;=events!BK716)*(shifts!AH:AH&lt;=events!BL716)),BI715)</f>
        <v>34</v>
      </c>
      <c r="BJ716" s="15">
        <f t="shared" si="380"/>
        <v>0</v>
      </c>
      <c r="BK716">
        <f t="shared" si="387"/>
        <v>190</v>
      </c>
      <c r="BL716">
        <f t="shared" si="388"/>
        <v>190</v>
      </c>
      <c r="BM716" s="15">
        <f>SUMIFS(BJ$2:BJ716,K$2:K716,"=Intermission")+SUMIFS(BJ$2:BJ716,K$2:K716,"=Timeout")</f>
        <v>0</v>
      </c>
      <c r="BN716">
        <f t="shared" si="389"/>
        <v>0</v>
      </c>
      <c r="BO716" s="19">
        <f t="shared" si="390"/>
        <v>890</v>
      </c>
      <c r="BP716">
        <f t="shared" si="391"/>
        <v>885</v>
      </c>
      <c r="BQ716" s="17">
        <f t="shared" si="392"/>
        <v>890</v>
      </c>
      <c r="BR716" t="str">
        <f t="shared" si="393"/>
        <v>event_team_player_1</v>
      </c>
      <c r="BS716">
        <f>COUNTIFS(S$3:S716,"="&amp;S716,AI$3:AI716,"="&amp;AI716)</f>
        <v>1</v>
      </c>
      <c r="BT716" t="str">
        <f>IFERROR(VLOOKUP(BB716&amp;BU716&amp;X716,game_rosters!U:W,3,FALSE),"")</f>
        <v>P100197</v>
      </c>
      <c r="BU716" t="str">
        <f t="shared" si="394"/>
        <v>Nelson</v>
      </c>
    </row>
    <row r="717" spans="1:73" x14ac:dyDescent="0.2">
      <c r="A717">
        <f t="shared" si="381"/>
        <v>1</v>
      </c>
      <c r="E717" s="4"/>
      <c r="F717" s="43"/>
      <c r="G717" s="4"/>
      <c r="H717" s="46"/>
      <c r="J717" s="44" t="str">
        <f t="shared" si="395"/>
        <v/>
      </c>
      <c r="K717" t="s">
        <v>9</v>
      </c>
      <c r="L717" t="s">
        <v>173</v>
      </c>
      <c r="M717" t="s">
        <v>354</v>
      </c>
      <c r="N717" t="str">
        <f t="shared" si="366"/>
        <v>u</v>
      </c>
      <c r="Q717" t="str">
        <f t="shared" si="364"/>
        <v/>
      </c>
      <c r="S717">
        <v>382</v>
      </c>
      <c r="U717" t="str">
        <f>IF(B717=1,MAX($U$2:$U716)+1,IF(AND($T717&lt;&gt;"",$T717=$T716),$U716,IF(B717="x",U716,"")))</f>
        <v/>
      </c>
      <c r="V717" t="str">
        <f>IF(C717=1,MAX($V$2:$V716)+1,IF(AND($T717&lt;&gt;"",$T717=$T716),$U716,IF(C717="x",V716,"")))</f>
        <v/>
      </c>
      <c r="W717" t="str">
        <f t="shared" si="370"/>
        <v>h</v>
      </c>
      <c r="X717">
        <v>91</v>
      </c>
      <c r="Y717" t="e">
        <f>IF(X717&lt;&gt;"",VLOOKUP(X717,game_rosters!$C$43:$E$64,3,FALSE))</f>
        <v>#N/A</v>
      </c>
      <c r="Z717" t="str" cm="1">
        <f t="array" ref="Z717">IFERROR(IF(_xlfn._xlws.FILTER(game_rosters!$J:$J,(game_rosters!$G:$G=events!$AN717)*(game_rosters!$J:$J=events!$X717))&gt;0,1,""),"")</f>
        <v/>
      </c>
      <c r="AA717">
        <f t="shared" si="371"/>
        <v>1382</v>
      </c>
      <c r="AB717" t="str">
        <f t="shared" si="372"/>
        <v/>
      </c>
      <c r="AC717">
        <f t="shared" si="369"/>
        <v>1382</v>
      </c>
      <c r="AD717" s="6">
        <v>1</v>
      </c>
      <c r="AE717" t="s">
        <v>940</v>
      </c>
      <c r="AF717" t="s">
        <v>910</v>
      </c>
      <c r="AG717" t="s">
        <v>756</v>
      </c>
      <c r="AH717" t="s">
        <v>756</v>
      </c>
      <c r="AI717" t="s">
        <v>368</v>
      </c>
      <c r="AJ717" t="str">
        <f t="shared" si="373"/>
        <v/>
      </c>
      <c r="AK717" t="str">
        <f t="shared" si="373"/>
        <v/>
      </c>
      <c r="AL717" t="str">
        <f t="shared" si="374"/>
        <v/>
      </c>
      <c r="AN717" t="s">
        <v>861</v>
      </c>
      <c r="AO717" t="str">
        <f t="shared" si="375"/>
        <v>h</v>
      </c>
      <c r="AP717" t="str">
        <f t="shared" si="382"/>
        <v/>
      </c>
      <c r="AQ717" t="str">
        <f t="shared" si="383"/>
        <v/>
      </c>
      <c r="AR717" t="str">
        <f t="shared" si="384"/>
        <v>Home</v>
      </c>
      <c r="AS717" t="str">
        <f t="shared" si="385"/>
        <v>h</v>
      </c>
      <c r="AT717" t="str">
        <f t="shared" si="386"/>
        <v>Defensive</v>
      </c>
      <c r="BA717" s="6">
        <f t="shared" si="376"/>
        <v>197</v>
      </c>
      <c r="BB717">
        <f t="shared" si="377"/>
        <v>18981</v>
      </c>
      <c r="BC717" t="str">
        <f t="shared" si="378"/>
        <v>Nelson</v>
      </c>
      <c r="BD717" t="str">
        <f t="shared" si="379"/>
        <v>Velodrome</v>
      </c>
      <c r="BE717" t="s">
        <v>9</v>
      </c>
      <c r="BF717" t="s">
        <v>173</v>
      </c>
      <c r="BG717" t="s">
        <v>354</v>
      </c>
      <c r="BI717" cm="1">
        <f t="array" ref="BI717">IFERROR(_xlfn._xlws.FILTER(shifts!A:A,(shifts!B:B=events!AD717)*(shifts!AG:AG&gt;=events!BK717)*(shifts!AH:AH&lt;=events!BL717)),BI716)</f>
        <v>34</v>
      </c>
      <c r="BJ717" s="15">
        <f t="shared" si="380"/>
        <v>0</v>
      </c>
      <c r="BK717">
        <f t="shared" si="387"/>
        <v>190</v>
      </c>
      <c r="BL717">
        <f t="shared" si="388"/>
        <v>190</v>
      </c>
      <c r="BM717" s="15">
        <f>SUMIFS(BJ$2:BJ717,K$2:K717,"=Intermission")+SUMIFS(BJ$2:BJ717,K$2:K717,"=Timeout")</f>
        <v>0</v>
      </c>
      <c r="BN717">
        <f t="shared" si="389"/>
        <v>0</v>
      </c>
      <c r="BO717" s="19">
        <f t="shared" si="390"/>
        <v>890</v>
      </c>
      <c r="BP717">
        <f t="shared" si="391"/>
        <v>885</v>
      </c>
      <c r="BQ717" s="17">
        <f t="shared" si="392"/>
        <v>890</v>
      </c>
      <c r="BR717" t="str">
        <f t="shared" si="393"/>
        <v>opp_team_player_1</v>
      </c>
      <c r="BS717">
        <f>COUNTIFS(S$3:S717,"="&amp;S717,AI$3:AI717,"="&amp;AI717)</f>
        <v>1</v>
      </c>
      <c r="BT717" t="str">
        <f>IFERROR(VLOOKUP(BB717&amp;BU717&amp;X717,game_rosters!U:W,3,FALSE),"")</f>
        <v>P100002</v>
      </c>
      <c r="BU717" t="str">
        <f t="shared" si="394"/>
        <v>Velodrome</v>
      </c>
    </row>
    <row r="718" spans="1:73" x14ac:dyDescent="0.2">
      <c r="A718">
        <f t="shared" si="381"/>
        <v>1</v>
      </c>
      <c r="E718" s="4"/>
      <c r="F718" s="43"/>
      <c r="G718" s="4"/>
      <c r="H718" s="46"/>
      <c r="J718" s="44" t="str">
        <f t="shared" si="395"/>
        <v/>
      </c>
      <c r="K718" t="s">
        <v>13</v>
      </c>
      <c r="L718" t="s">
        <v>756</v>
      </c>
      <c r="M718" t="s">
        <v>756</v>
      </c>
      <c r="N718" t="str">
        <f t="shared" si="366"/>
        <v/>
      </c>
      <c r="Q718" t="str">
        <f t="shared" si="364"/>
        <v/>
      </c>
      <c r="S718">
        <v>383</v>
      </c>
      <c r="U718" t="str">
        <f>IF(B718=1,MAX($U$2:$U717)+1,IF(AND($T718&lt;&gt;"",$T718=$T717),$U717,IF(B718="x",U717,"")))</f>
        <v/>
      </c>
      <c r="V718" t="str">
        <f>IF(C718=1,MAX($V$2:$V717)+1,IF(AND($T718&lt;&gt;"",$T718=$T717),$U717,IF(C718="x",V717,"")))</f>
        <v/>
      </c>
      <c r="W718" t="str">
        <f t="shared" si="370"/>
        <v>a</v>
      </c>
      <c r="X718">
        <v>42</v>
      </c>
      <c r="Y718" t="e">
        <f>IF(X718&lt;&gt;"",VLOOKUP(X718,game_rosters!$C$43:$E$64,3,FALSE))</f>
        <v>#N/A</v>
      </c>
      <c r="Z718" cm="1">
        <f t="array" ref="Z718">IFERROR(IF(_xlfn._xlws.FILTER(game_rosters!$J:$J,(game_rosters!$G:$G=events!$AN718)*(game_rosters!$J:$J=events!$X718))&gt;0,1,""),"")</f>
        <v>1</v>
      </c>
      <c r="AA718">
        <f t="shared" si="371"/>
        <v>1383</v>
      </c>
      <c r="AB718" t="str">
        <f t="shared" si="372"/>
        <v/>
      </c>
      <c r="AC718">
        <f t="shared" si="369"/>
        <v>1383</v>
      </c>
      <c r="AD718" s="6">
        <v>1</v>
      </c>
      <c r="AE718" t="s">
        <v>940</v>
      </c>
      <c r="AF718" t="s">
        <v>911</v>
      </c>
      <c r="AG718" t="s">
        <v>940</v>
      </c>
      <c r="AH718" t="s">
        <v>913</v>
      </c>
      <c r="AI718" t="s">
        <v>367</v>
      </c>
      <c r="AJ718" t="str">
        <f t="shared" si="373"/>
        <v/>
      </c>
      <c r="AK718" t="str">
        <f t="shared" si="373"/>
        <v/>
      </c>
      <c r="AL718" t="str">
        <f t="shared" si="374"/>
        <v/>
      </c>
      <c r="AN718" t="s">
        <v>862</v>
      </c>
      <c r="AO718" t="str">
        <f t="shared" si="375"/>
        <v>a</v>
      </c>
      <c r="AP718" t="str">
        <f t="shared" si="382"/>
        <v/>
      </c>
      <c r="AQ718" t="str">
        <f t="shared" si="383"/>
        <v/>
      </c>
      <c r="AR718" t="str">
        <f t="shared" si="384"/>
        <v>Away</v>
      </c>
      <c r="AS718" t="str">
        <f t="shared" si="385"/>
        <v>a</v>
      </c>
      <c r="AT718" t="str">
        <f t="shared" si="386"/>
        <v>Offensive</v>
      </c>
      <c r="BA718" s="6">
        <f t="shared" si="376"/>
        <v>197</v>
      </c>
      <c r="BB718">
        <f t="shared" si="377"/>
        <v>18981</v>
      </c>
      <c r="BC718" t="str">
        <f t="shared" si="378"/>
        <v>Nelson</v>
      </c>
      <c r="BD718" t="str">
        <f t="shared" si="379"/>
        <v>Velodrome</v>
      </c>
      <c r="BE718" t="s">
        <v>13</v>
      </c>
      <c r="BF718" t="s">
        <v>756</v>
      </c>
      <c r="BG718" t="s">
        <v>756</v>
      </c>
      <c r="BI718" cm="1">
        <f t="array" ref="BI718">IFERROR(_xlfn._xlws.FILTER(shifts!A:A,(shifts!B:B=events!AD718)*(shifts!AG:AG&gt;=events!BK718)*(shifts!AH:AH&lt;=events!BL718)),BI717)</f>
        <v>34</v>
      </c>
      <c r="BJ718" s="15">
        <f t="shared" si="380"/>
        <v>4</v>
      </c>
      <c r="BK718">
        <f t="shared" si="387"/>
        <v>186</v>
      </c>
      <c r="BL718">
        <f t="shared" si="388"/>
        <v>182</v>
      </c>
      <c r="BM718" s="15">
        <f>SUMIFS(BJ$2:BJ718,K$2:K718,"=Intermission")+SUMIFS(BJ$2:BJ718,K$2:K718,"=Timeout")</f>
        <v>0</v>
      </c>
      <c r="BN718">
        <f t="shared" si="389"/>
        <v>0</v>
      </c>
      <c r="BO718" s="19">
        <f t="shared" si="390"/>
        <v>894</v>
      </c>
      <c r="BP718">
        <f t="shared" si="391"/>
        <v>889</v>
      </c>
      <c r="BQ718" s="17">
        <f t="shared" si="392"/>
        <v>898</v>
      </c>
      <c r="BR718" t="str">
        <f t="shared" si="393"/>
        <v>event_team_player_1</v>
      </c>
      <c r="BS718">
        <f>COUNTIFS(S$3:S718,"="&amp;S718,AI$3:AI718,"="&amp;AI718)</f>
        <v>1</v>
      </c>
      <c r="BT718" t="str">
        <f>IFERROR(VLOOKUP(BB718&amp;BU718&amp;X718,game_rosters!U:W,3,FALSE),"")</f>
        <v>P100201</v>
      </c>
      <c r="BU718" t="str">
        <f t="shared" si="394"/>
        <v>Velodrome</v>
      </c>
    </row>
    <row r="719" spans="1:73" x14ac:dyDescent="0.2">
      <c r="A719">
        <f t="shared" si="381"/>
        <v>1</v>
      </c>
      <c r="E719" s="4"/>
      <c r="F719" s="43"/>
      <c r="G719" s="4"/>
      <c r="H719" s="46"/>
      <c r="J719" s="44" t="str">
        <f t="shared" si="395"/>
        <v/>
      </c>
      <c r="K719" t="s">
        <v>13</v>
      </c>
      <c r="L719" t="s">
        <v>756</v>
      </c>
      <c r="M719" t="s">
        <v>756</v>
      </c>
      <c r="N719" t="str">
        <f t="shared" si="366"/>
        <v/>
      </c>
      <c r="Q719" t="str">
        <f t="shared" si="364"/>
        <v/>
      </c>
      <c r="S719">
        <v>383</v>
      </c>
      <c r="U719" t="str">
        <f>IF(B719=1,MAX($U$2:$U718)+1,IF(AND($T719&lt;&gt;"",$T719=$T718),$U718,IF(B719="x",U718,"")))</f>
        <v/>
      </c>
      <c r="V719" t="str">
        <f>IF(C719=1,MAX($V$2:$V718)+1,IF(AND($T719&lt;&gt;"",$T719=$T718),$U718,IF(C719="x",V718,"")))</f>
        <v/>
      </c>
      <c r="W719" t="str">
        <f t="shared" si="370"/>
        <v>a</v>
      </c>
      <c r="X719">
        <v>10</v>
      </c>
      <c r="Y719" t="b">
        <f>IF(X719&lt;&gt;"",VLOOKUP(X719,game_rosters!$C$43:$E$64,3,FALSE))</f>
        <v>0</v>
      </c>
      <c r="Z719" t="str" cm="1">
        <f t="array" ref="Z719">IFERROR(IF(_xlfn._xlws.FILTER(game_rosters!$J:$J,(game_rosters!$G:$G=events!$AN719)*(game_rosters!$J:$J=events!$X719))&gt;0,1,""),"")</f>
        <v/>
      </c>
      <c r="AA719">
        <f t="shared" si="371"/>
        <v>1383</v>
      </c>
      <c r="AB719" t="str">
        <f t="shared" si="372"/>
        <v/>
      </c>
      <c r="AC719">
        <f t="shared" si="369"/>
        <v>1383</v>
      </c>
      <c r="AD719" s="6">
        <v>1</v>
      </c>
      <c r="AE719" t="s">
        <v>940</v>
      </c>
      <c r="AF719" t="s">
        <v>911</v>
      </c>
      <c r="AG719" t="s">
        <v>940</v>
      </c>
      <c r="AH719" t="s">
        <v>913</v>
      </c>
      <c r="AI719" t="s">
        <v>368</v>
      </c>
      <c r="AJ719" t="str">
        <f t="shared" si="373"/>
        <v/>
      </c>
      <c r="AK719" t="str">
        <f t="shared" si="373"/>
        <v/>
      </c>
      <c r="AL719" t="str">
        <f t="shared" si="374"/>
        <v/>
      </c>
      <c r="AN719" t="s">
        <v>862</v>
      </c>
      <c r="AO719" t="str">
        <f t="shared" si="375"/>
        <v>a</v>
      </c>
      <c r="AP719" t="str">
        <f t="shared" si="382"/>
        <v/>
      </c>
      <c r="AQ719" t="str">
        <f t="shared" si="383"/>
        <v/>
      </c>
      <c r="AR719" t="str">
        <f t="shared" si="384"/>
        <v>Away</v>
      </c>
      <c r="AS719" t="str">
        <f t="shared" si="385"/>
        <v>a</v>
      </c>
      <c r="AT719" t="str">
        <f t="shared" si="386"/>
        <v>Defensive</v>
      </c>
      <c r="BA719" s="6">
        <f t="shared" si="376"/>
        <v>197</v>
      </c>
      <c r="BB719">
        <f t="shared" si="377"/>
        <v>18981</v>
      </c>
      <c r="BC719" t="str">
        <f t="shared" si="378"/>
        <v>Nelson</v>
      </c>
      <c r="BD719" t="str">
        <f t="shared" si="379"/>
        <v>Velodrome</v>
      </c>
      <c r="BE719" t="s">
        <v>13</v>
      </c>
      <c r="BF719" t="s">
        <v>756</v>
      </c>
      <c r="BG719" t="s">
        <v>756</v>
      </c>
      <c r="BI719" cm="1">
        <f t="array" ref="BI719">IFERROR(_xlfn._xlws.FILTER(shifts!A:A,(shifts!B:B=events!AD719)*(shifts!AG:AG&gt;=events!BK719)*(shifts!AH:AH&lt;=events!BL719)),BI718)</f>
        <v>34</v>
      </c>
      <c r="BJ719" s="15">
        <f t="shared" si="380"/>
        <v>4</v>
      </c>
      <c r="BK719">
        <f t="shared" si="387"/>
        <v>186</v>
      </c>
      <c r="BL719">
        <f t="shared" si="388"/>
        <v>182</v>
      </c>
      <c r="BM719" s="15">
        <f>SUMIFS(BJ$2:BJ719,K$2:K719,"=Intermission")+SUMIFS(BJ$2:BJ719,K$2:K719,"=Timeout")</f>
        <v>0</v>
      </c>
      <c r="BN719">
        <f t="shared" si="389"/>
        <v>0</v>
      </c>
      <c r="BO719" s="19">
        <f t="shared" si="390"/>
        <v>894</v>
      </c>
      <c r="BP719">
        <f t="shared" si="391"/>
        <v>889</v>
      </c>
      <c r="BQ719" s="17">
        <f t="shared" si="392"/>
        <v>898</v>
      </c>
      <c r="BR719" t="str">
        <f t="shared" si="393"/>
        <v>opp_team_player_1</v>
      </c>
      <c r="BS719">
        <f>COUNTIFS(S$3:S719,"="&amp;S719,AI$3:AI719,"="&amp;AI719)</f>
        <v>1</v>
      </c>
      <c r="BT719" t="str">
        <f>IFERROR(VLOOKUP(BB719&amp;BU719&amp;X719,game_rosters!U:W,3,FALSE),"")</f>
        <v>P100078</v>
      </c>
      <c r="BU719" t="str">
        <f t="shared" si="394"/>
        <v>Nelson</v>
      </c>
    </row>
    <row r="720" spans="1:73" x14ac:dyDescent="0.2">
      <c r="A720">
        <f t="shared" si="381"/>
        <v>1</v>
      </c>
      <c r="E720" s="4"/>
      <c r="F720" s="43"/>
      <c r="G720" s="4"/>
      <c r="H720" s="46"/>
      <c r="J720" s="44" t="str">
        <f t="shared" si="395"/>
        <v/>
      </c>
      <c r="K720" t="s">
        <v>13</v>
      </c>
      <c r="L720" t="s">
        <v>756</v>
      </c>
      <c r="M720" t="s">
        <v>756</v>
      </c>
      <c r="N720" t="str">
        <f t="shared" si="366"/>
        <v/>
      </c>
      <c r="Q720" t="str">
        <f t="shared" ref="Q720:Q783" si="396">IF(O720="","",IF(AND(N720&lt;&gt;"",OR(O720&lt;&gt;"",P720&lt;&gt;"")),N720,IF(OR(ISNUMBER(SEARCH("attemp",O720)),ISNUMBER(SEARCH("beat",O720)),ISNUMBER(SEARCH("mis",O720)),ISNUMBER(SEARCH("fail",O720)),ISNUMBER(SEARCH("loss",O720)),ISNUMBER(SEARCH("lost",O720)),ISNUMBER(SEARCH("attemp",P720)),ISNUMBER(SEARCH("mis",P720)),ISNUMBER(SEARCH("fail",P720)),ISNUMBER(SEARCH("loss",P720)),ISNUMBER(SEARCH("beat",P720)),ISNUMBER(SEARCH("lost",P720))),"u","")))</f>
        <v/>
      </c>
      <c r="S720">
        <v>383</v>
      </c>
      <c r="U720" t="str">
        <f>IF(B720=1,MAX($U$2:$U719)+1,IF(AND($T720&lt;&gt;"",$T720=$T719),$U719,IF(B720="x",U719,"")))</f>
        <v/>
      </c>
      <c r="V720" t="str">
        <f>IF(C720=1,MAX($V$2:$V719)+1,IF(AND($T720&lt;&gt;"",$T720=$T719),$U719,IF(C720="x",V719,"")))</f>
        <v/>
      </c>
      <c r="W720" t="str">
        <f t="shared" si="370"/>
        <v>a</v>
      </c>
      <c r="X720">
        <v>15</v>
      </c>
      <c r="Y720" t="b">
        <f>IF(X720&lt;&gt;"",VLOOKUP(X720,game_rosters!$C$43:$E$64,3,FALSE))</f>
        <v>0</v>
      </c>
      <c r="Z720" t="str" cm="1">
        <f t="array" ref="Z720">IFERROR(IF(_xlfn._xlws.FILTER(game_rosters!$J:$J,(game_rosters!$G:$G=events!$AN720)*(game_rosters!$J:$J=events!$X720))&gt;0,1,""),"")</f>
        <v/>
      </c>
      <c r="AA720">
        <f t="shared" si="371"/>
        <v>1383</v>
      </c>
      <c r="AB720" t="str">
        <f t="shared" si="372"/>
        <v/>
      </c>
      <c r="AC720">
        <f t="shared" si="369"/>
        <v>1383</v>
      </c>
      <c r="AD720" s="6">
        <v>1</v>
      </c>
      <c r="AE720" t="s">
        <v>940</v>
      </c>
      <c r="AF720" t="s">
        <v>911</v>
      </c>
      <c r="AG720" t="s">
        <v>940</v>
      </c>
      <c r="AH720" t="s">
        <v>913</v>
      </c>
      <c r="AI720" t="s">
        <v>368</v>
      </c>
      <c r="AJ720" t="str">
        <f t="shared" si="373"/>
        <v/>
      </c>
      <c r="AK720" t="str">
        <f t="shared" si="373"/>
        <v/>
      </c>
      <c r="AL720" t="str">
        <f t="shared" si="374"/>
        <v/>
      </c>
      <c r="AN720" t="s">
        <v>862</v>
      </c>
      <c r="AO720" t="str">
        <f t="shared" si="375"/>
        <v>a</v>
      </c>
      <c r="AP720" t="str">
        <f t="shared" si="382"/>
        <v/>
      </c>
      <c r="AQ720" t="str">
        <f t="shared" si="383"/>
        <v/>
      </c>
      <c r="AR720" t="str">
        <f t="shared" si="384"/>
        <v>Away</v>
      </c>
      <c r="AS720" t="str">
        <f t="shared" si="385"/>
        <v>a</v>
      </c>
      <c r="AT720" t="str">
        <f t="shared" si="386"/>
        <v>Defensive</v>
      </c>
      <c r="BA720" s="6">
        <f t="shared" si="376"/>
        <v>197</v>
      </c>
      <c r="BB720">
        <f t="shared" si="377"/>
        <v>18981</v>
      </c>
      <c r="BC720" t="str">
        <f t="shared" si="378"/>
        <v>Nelson</v>
      </c>
      <c r="BD720" t="str">
        <f t="shared" si="379"/>
        <v>Velodrome</v>
      </c>
      <c r="BE720" t="s">
        <v>13</v>
      </c>
      <c r="BF720" t="s">
        <v>756</v>
      </c>
      <c r="BG720" t="s">
        <v>756</v>
      </c>
      <c r="BI720" cm="1">
        <f t="array" ref="BI720">IFERROR(_xlfn._xlws.FILTER(shifts!A:A,(shifts!B:B=events!AD720)*(shifts!AG:AG&gt;=events!BK720)*(shifts!AH:AH&lt;=events!BL720)),BI719)</f>
        <v>34</v>
      </c>
      <c r="BJ720" s="15">
        <f t="shared" si="380"/>
        <v>4</v>
      </c>
      <c r="BK720">
        <f t="shared" si="387"/>
        <v>186</v>
      </c>
      <c r="BL720">
        <f t="shared" si="388"/>
        <v>182</v>
      </c>
      <c r="BM720" s="15">
        <f>SUMIFS(BJ$2:BJ720,K$2:K720,"=Intermission")+SUMIFS(BJ$2:BJ720,K$2:K720,"=Timeout")</f>
        <v>0</v>
      </c>
      <c r="BN720">
        <f t="shared" si="389"/>
        <v>0</v>
      </c>
      <c r="BO720" s="19">
        <f t="shared" si="390"/>
        <v>894</v>
      </c>
      <c r="BP720">
        <f t="shared" si="391"/>
        <v>889</v>
      </c>
      <c r="BQ720" s="17">
        <f t="shared" si="392"/>
        <v>898</v>
      </c>
      <c r="BR720" t="str">
        <f t="shared" si="393"/>
        <v>opp_team_player_2</v>
      </c>
      <c r="BS720">
        <f>COUNTIFS(S$3:S720,"="&amp;S720,AI$3:AI720,"="&amp;AI720)</f>
        <v>2</v>
      </c>
      <c r="BT720" t="str">
        <f>IFERROR(VLOOKUP(BB720&amp;BU720&amp;X720,game_rosters!U:W,3,FALSE),"")</f>
        <v>P100071</v>
      </c>
      <c r="BU720" t="str">
        <f t="shared" si="394"/>
        <v>Nelson</v>
      </c>
    </row>
    <row r="721" spans="1:73" x14ac:dyDescent="0.2">
      <c r="A721">
        <f t="shared" si="381"/>
        <v>1</v>
      </c>
      <c r="E721" s="4"/>
      <c r="F721" s="43"/>
      <c r="G721" s="4"/>
      <c r="H721" s="46"/>
      <c r="J721" s="44" t="str">
        <f t="shared" si="395"/>
        <v/>
      </c>
      <c r="K721" t="s">
        <v>13</v>
      </c>
      <c r="L721" t="s">
        <v>756</v>
      </c>
      <c r="M721" t="s">
        <v>756</v>
      </c>
      <c r="N721" t="str">
        <f t="shared" si="366"/>
        <v/>
      </c>
      <c r="Q721" t="str">
        <f t="shared" si="396"/>
        <v/>
      </c>
      <c r="S721">
        <v>384</v>
      </c>
      <c r="U721" t="str">
        <f>IF(B721=1,MAX($U$2:$U720)+1,IF(AND($T721&lt;&gt;"",$T721=$T720),$U720,IF(B721="x",U720,"")))</f>
        <v/>
      </c>
      <c r="V721" t="str">
        <f>IF(C721=1,MAX($V$2:$V720)+1,IF(AND($T721&lt;&gt;"",$T721=$T720),$U720,IF(C721="x",V720,"")))</f>
        <v/>
      </c>
      <c r="W721" t="str">
        <f t="shared" si="370"/>
        <v>a</v>
      </c>
      <c r="X721">
        <v>42</v>
      </c>
      <c r="Y721" t="e">
        <f>IF(X721&lt;&gt;"",VLOOKUP(X721,game_rosters!$C$43:$E$64,3,FALSE))</f>
        <v>#N/A</v>
      </c>
      <c r="Z721" cm="1">
        <f t="array" ref="Z721">IFERROR(IF(_xlfn._xlws.FILTER(game_rosters!$J:$J,(game_rosters!$G:$G=events!$AN721)*(game_rosters!$J:$J=events!$X721))&gt;0,1,""),"")</f>
        <v>1</v>
      </c>
      <c r="AA721">
        <f t="shared" si="371"/>
        <v>1384</v>
      </c>
      <c r="AB721" t="str">
        <f t="shared" si="372"/>
        <v/>
      </c>
      <c r="AC721">
        <f t="shared" si="369"/>
        <v>1384</v>
      </c>
      <c r="AD721" s="6">
        <v>1</v>
      </c>
      <c r="AE721" t="s">
        <v>940</v>
      </c>
      <c r="AF721" t="s">
        <v>913</v>
      </c>
      <c r="AG721" t="s">
        <v>942</v>
      </c>
      <c r="AH721" t="s">
        <v>932</v>
      </c>
      <c r="AI721" t="s">
        <v>367</v>
      </c>
      <c r="AJ721" t="str">
        <f t="shared" si="373"/>
        <v/>
      </c>
      <c r="AK721" t="str">
        <f t="shared" si="373"/>
        <v/>
      </c>
      <c r="AL721" t="str">
        <f t="shared" si="374"/>
        <v/>
      </c>
      <c r="AN721" t="s">
        <v>862</v>
      </c>
      <c r="AO721" t="str">
        <f t="shared" si="375"/>
        <v>a</v>
      </c>
      <c r="AP721" t="str">
        <f t="shared" si="382"/>
        <v/>
      </c>
      <c r="AQ721" t="str">
        <f t="shared" si="383"/>
        <v/>
      </c>
      <c r="AR721" t="str">
        <f t="shared" si="384"/>
        <v>Away</v>
      </c>
      <c r="AS721" t="str">
        <f t="shared" si="385"/>
        <v>a</v>
      </c>
      <c r="AT721" t="str">
        <f t="shared" si="386"/>
        <v>Offensive</v>
      </c>
      <c r="BA721" s="6">
        <f t="shared" si="376"/>
        <v>197</v>
      </c>
      <c r="BB721">
        <f t="shared" si="377"/>
        <v>18981</v>
      </c>
      <c r="BC721" t="str">
        <f t="shared" si="378"/>
        <v>Nelson</v>
      </c>
      <c r="BD721" t="str">
        <f t="shared" si="379"/>
        <v>Velodrome</v>
      </c>
      <c r="BE721" t="s">
        <v>13</v>
      </c>
      <c r="BF721" t="s">
        <v>756</v>
      </c>
      <c r="BG721" t="s">
        <v>756</v>
      </c>
      <c r="BI721" cm="1">
        <f t="array" ref="BI721">IFERROR(_xlfn._xlws.FILTER(shifts!A:A,(shifts!B:B=events!AD721)*(shifts!AG:AG&gt;=events!BK721)*(shifts!AH:AH&lt;=events!BL721)),BI720)</f>
        <v>34</v>
      </c>
      <c r="BJ721" s="15">
        <f t="shared" si="380"/>
        <v>4</v>
      </c>
      <c r="BK721">
        <f t="shared" si="387"/>
        <v>182</v>
      </c>
      <c r="BL721">
        <f t="shared" si="388"/>
        <v>178</v>
      </c>
      <c r="BM721" s="15">
        <f>SUMIFS(BJ$2:BJ721,K$2:K721,"=Intermission")+SUMIFS(BJ$2:BJ721,K$2:K721,"=Timeout")</f>
        <v>0</v>
      </c>
      <c r="BN721">
        <f t="shared" si="389"/>
        <v>0</v>
      </c>
      <c r="BO721" s="19">
        <f t="shared" si="390"/>
        <v>898</v>
      </c>
      <c r="BP721">
        <f t="shared" si="391"/>
        <v>893</v>
      </c>
      <c r="BQ721" s="17">
        <f t="shared" si="392"/>
        <v>902</v>
      </c>
      <c r="BR721" t="str">
        <f t="shared" si="393"/>
        <v>event_team_player_1</v>
      </c>
      <c r="BS721">
        <f>COUNTIFS(S$3:S721,"="&amp;S721,AI$3:AI721,"="&amp;AI721)</f>
        <v>1</v>
      </c>
      <c r="BT721" t="str">
        <f>IFERROR(VLOOKUP(BB721&amp;BU721&amp;X721,game_rosters!U:W,3,FALSE),"")</f>
        <v>P100201</v>
      </c>
      <c r="BU721" t="str">
        <f t="shared" si="394"/>
        <v>Velodrome</v>
      </c>
    </row>
    <row r="722" spans="1:73" x14ac:dyDescent="0.2">
      <c r="A722">
        <f t="shared" si="381"/>
        <v>1</v>
      </c>
      <c r="E722" s="4"/>
      <c r="F722" s="43"/>
      <c r="G722" s="4"/>
      <c r="H722" s="46"/>
      <c r="J722" s="44" t="str">
        <f t="shared" si="395"/>
        <v/>
      </c>
      <c r="K722" t="s">
        <v>13</v>
      </c>
      <c r="L722" t="s">
        <v>756</v>
      </c>
      <c r="M722" t="s">
        <v>756</v>
      </c>
      <c r="N722" t="str">
        <f t="shared" si="366"/>
        <v/>
      </c>
      <c r="Q722" t="str">
        <f t="shared" si="396"/>
        <v/>
      </c>
      <c r="S722">
        <v>384</v>
      </c>
      <c r="U722" t="str">
        <f>IF(B722=1,MAX($U$2:$U721)+1,IF(AND($T722&lt;&gt;"",$T722=$T721),$U721,IF(B722="x",U721,"")))</f>
        <v/>
      </c>
      <c r="V722" t="str">
        <f>IF(C722=1,MAX($V$2:$V721)+1,IF(AND($T722&lt;&gt;"",$T722=$T721),$U721,IF(C722="x",V721,"")))</f>
        <v/>
      </c>
      <c r="W722" t="str">
        <f t="shared" si="370"/>
        <v>a</v>
      </c>
      <c r="X722">
        <v>44</v>
      </c>
      <c r="Y722" t="b">
        <f>IF(X722&lt;&gt;"",VLOOKUP(X722,game_rosters!$C$43:$E$64,3,FALSE))</f>
        <v>0</v>
      </c>
      <c r="Z722" t="str" cm="1">
        <f t="array" ref="Z722">IFERROR(IF(_xlfn._xlws.FILTER(game_rosters!$J:$J,(game_rosters!$G:$G=events!$AN722)*(game_rosters!$J:$J=events!$X722))&gt;0,1,""),"")</f>
        <v/>
      </c>
      <c r="AA722">
        <f t="shared" si="371"/>
        <v>1384</v>
      </c>
      <c r="AB722" t="str">
        <f t="shared" si="372"/>
        <v/>
      </c>
      <c r="AC722">
        <f t="shared" si="369"/>
        <v>1384</v>
      </c>
      <c r="AD722" s="6">
        <v>1</v>
      </c>
      <c r="AE722" t="s">
        <v>940</v>
      </c>
      <c r="AF722" t="s">
        <v>913</v>
      </c>
      <c r="AG722" t="s">
        <v>942</v>
      </c>
      <c r="AH722" t="s">
        <v>932</v>
      </c>
      <c r="AI722" t="s">
        <v>368</v>
      </c>
      <c r="AJ722" t="str">
        <f t="shared" si="373"/>
        <v/>
      </c>
      <c r="AK722" t="str">
        <f t="shared" si="373"/>
        <v/>
      </c>
      <c r="AL722" t="str">
        <f t="shared" si="374"/>
        <v/>
      </c>
      <c r="AN722" t="s">
        <v>862</v>
      </c>
      <c r="AO722" t="str">
        <f t="shared" si="375"/>
        <v>a</v>
      </c>
      <c r="AP722" t="str">
        <f t="shared" si="382"/>
        <v/>
      </c>
      <c r="AQ722" t="str">
        <f t="shared" si="383"/>
        <v/>
      </c>
      <c r="AR722" t="str">
        <f t="shared" si="384"/>
        <v>Away</v>
      </c>
      <c r="AS722" t="str">
        <f t="shared" si="385"/>
        <v>a</v>
      </c>
      <c r="AT722" t="str">
        <f t="shared" si="386"/>
        <v>Defensive</v>
      </c>
      <c r="BA722" s="6">
        <f t="shared" si="376"/>
        <v>197</v>
      </c>
      <c r="BB722">
        <f t="shared" si="377"/>
        <v>18981</v>
      </c>
      <c r="BC722" t="str">
        <f t="shared" si="378"/>
        <v>Nelson</v>
      </c>
      <c r="BD722" t="str">
        <f t="shared" si="379"/>
        <v>Velodrome</v>
      </c>
      <c r="BE722" t="s">
        <v>13</v>
      </c>
      <c r="BF722" t="s">
        <v>756</v>
      </c>
      <c r="BG722" t="s">
        <v>756</v>
      </c>
      <c r="BI722" cm="1">
        <f t="array" ref="BI722">IFERROR(_xlfn._xlws.FILTER(shifts!A:A,(shifts!B:B=events!AD722)*(shifts!AG:AG&gt;=events!BK722)*(shifts!AH:AH&lt;=events!BL722)),BI721)</f>
        <v>34</v>
      </c>
      <c r="BJ722" s="15">
        <f t="shared" si="380"/>
        <v>4</v>
      </c>
      <c r="BK722">
        <f t="shared" si="387"/>
        <v>182</v>
      </c>
      <c r="BL722">
        <f t="shared" si="388"/>
        <v>178</v>
      </c>
      <c r="BM722" s="15">
        <f>SUMIFS(BJ$2:BJ722,K$2:K722,"=Intermission")+SUMIFS(BJ$2:BJ722,K$2:K722,"=Timeout")</f>
        <v>0</v>
      </c>
      <c r="BN722">
        <f t="shared" si="389"/>
        <v>0</v>
      </c>
      <c r="BO722" s="19">
        <f t="shared" si="390"/>
        <v>898</v>
      </c>
      <c r="BP722">
        <f t="shared" si="391"/>
        <v>893</v>
      </c>
      <c r="BQ722" s="17">
        <f t="shared" si="392"/>
        <v>902</v>
      </c>
      <c r="BR722" t="str">
        <f t="shared" si="393"/>
        <v>opp_team_player_1</v>
      </c>
      <c r="BS722">
        <f>COUNTIFS(S$3:S722,"="&amp;S722,AI$3:AI722,"="&amp;AI722)</f>
        <v>1</v>
      </c>
      <c r="BT722" t="str">
        <f>IFERROR(VLOOKUP(BB722&amp;BU722&amp;X722,game_rosters!U:W,3,FALSE),"")</f>
        <v>P100079</v>
      </c>
      <c r="BU722" t="str">
        <f t="shared" si="394"/>
        <v>Nelson</v>
      </c>
    </row>
    <row r="723" spans="1:73" x14ac:dyDescent="0.2">
      <c r="A723">
        <f t="shared" si="381"/>
        <v>1</v>
      </c>
      <c r="E723" s="4"/>
      <c r="F723" s="43"/>
      <c r="G723" s="4"/>
      <c r="H723" s="46"/>
      <c r="J723" s="44" t="str">
        <f t="shared" si="395"/>
        <v/>
      </c>
      <c r="K723" t="s">
        <v>13</v>
      </c>
      <c r="L723" t="s">
        <v>756</v>
      </c>
      <c r="M723" t="s">
        <v>756</v>
      </c>
      <c r="N723" t="str">
        <f t="shared" si="366"/>
        <v/>
      </c>
      <c r="Q723" t="str">
        <f t="shared" si="396"/>
        <v/>
      </c>
      <c r="S723">
        <v>384</v>
      </c>
      <c r="U723" t="str">
        <f>IF(B723=1,MAX($U$2:$U722)+1,IF(AND($T723&lt;&gt;"",$T723=$T722),$U722,IF(B723="x",U722,"")))</f>
        <v/>
      </c>
      <c r="V723" t="str">
        <f>IF(C723=1,MAX($V$2:$V722)+1,IF(AND($T723&lt;&gt;"",$T723=$T722),$U722,IF(C723="x",V722,"")))</f>
        <v/>
      </c>
      <c r="W723" t="str">
        <f t="shared" si="370"/>
        <v>a</v>
      </c>
      <c r="X723">
        <v>80</v>
      </c>
      <c r="Y723" t="b">
        <f>IF(X723&lt;&gt;"",VLOOKUP(X723,game_rosters!$C$43:$E$64,3,FALSE))</f>
        <v>0</v>
      </c>
      <c r="Z723" t="str" cm="1">
        <f t="array" ref="Z723">IFERROR(IF(_xlfn._xlws.FILTER(game_rosters!$J:$J,(game_rosters!$G:$G=events!$AN723)*(game_rosters!$J:$J=events!$X723))&gt;0,1,""),"")</f>
        <v/>
      </c>
      <c r="AA723">
        <f t="shared" si="371"/>
        <v>1384</v>
      </c>
      <c r="AB723" t="str">
        <f t="shared" si="372"/>
        <v/>
      </c>
      <c r="AC723">
        <f t="shared" si="369"/>
        <v>1384</v>
      </c>
      <c r="AD723" s="6">
        <v>1</v>
      </c>
      <c r="AE723" t="s">
        <v>940</v>
      </c>
      <c r="AF723" t="s">
        <v>913</v>
      </c>
      <c r="AG723" t="s">
        <v>942</v>
      </c>
      <c r="AH723" t="s">
        <v>932</v>
      </c>
      <c r="AI723" t="s">
        <v>368</v>
      </c>
      <c r="AJ723" t="str">
        <f t="shared" si="373"/>
        <v/>
      </c>
      <c r="AK723" t="str">
        <f t="shared" si="373"/>
        <v/>
      </c>
      <c r="AL723" t="str">
        <f t="shared" si="374"/>
        <v/>
      </c>
      <c r="AN723" t="s">
        <v>862</v>
      </c>
      <c r="AO723" t="str">
        <f t="shared" si="375"/>
        <v>a</v>
      </c>
      <c r="AP723" t="str">
        <f t="shared" si="382"/>
        <v/>
      </c>
      <c r="AQ723" t="str">
        <f t="shared" si="383"/>
        <v/>
      </c>
      <c r="AR723" t="str">
        <f t="shared" si="384"/>
        <v>Away</v>
      </c>
      <c r="AS723" t="str">
        <f t="shared" si="385"/>
        <v>a</v>
      </c>
      <c r="AT723" t="str">
        <f t="shared" si="386"/>
        <v>Defensive</v>
      </c>
      <c r="BA723" s="6">
        <f t="shared" si="376"/>
        <v>197</v>
      </c>
      <c r="BB723">
        <f t="shared" si="377"/>
        <v>18981</v>
      </c>
      <c r="BC723" t="str">
        <f t="shared" si="378"/>
        <v>Nelson</v>
      </c>
      <c r="BD723" t="str">
        <f t="shared" si="379"/>
        <v>Velodrome</v>
      </c>
      <c r="BE723" t="s">
        <v>13</v>
      </c>
      <c r="BF723" t="s">
        <v>756</v>
      </c>
      <c r="BG723" t="s">
        <v>756</v>
      </c>
      <c r="BI723" cm="1">
        <f t="array" ref="BI723">IFERROR(_xlfn._xlws.FILTER(shifts!A:A,(shifts!B:B=events!AD723)*(shifts!AG:AG&gt;=events!BK723)*(shifts!AH:AH&lt;=events!BL723)),BI722)</f>
        <v>34</v>
      </c>
      <c r="BJ723" s="15">
        <f t="shared" si="380"/>
        <v>4</v>
      </c>
      <c r="BK723">
        <f t="shared" si="387"/>
        <v>182</v>
      </c>
      <c r="BL723">
        <f t="shared" si="388"/>
        <v>178</v>
      </c>
      <c r="BM723" s="15">
        <f>SUMIFS(BJ$2:BJ723,K$2:K723,"=Intermission")+SUMIFS(BJ$2:BJ723,K$2:K723,"=Timeout")</f>
        <v>0</v>
      </c>
      <c r="BN723">
        <f t="shared" si="389"/>
        <v>0</v>
      </c>
      <c r="BO723" s="19">
        <f t="shared" si="390"/>
        <v>898</v>
      </c>
      <c r="BP723">
        <f t="shared" si="391"/>
        <v>893</v>
      </c>
      <c r="BQ723" s="17">
        <f t="shared" si="392"/>
        <v>902</v>
      </c>
      <c r="BR723" t="str">
        <f t="shared" si="393"/>
        <v>opp_team_player_2</v>
      </c>
      <c r="BS723">
        <f>COUNTIFS(S$3:S723,"="&amp;S723,AI$3:AI723,"="&amp;AI723)</f>
        <v>2</v>
      </c>
      <c r="BT723" t="str">
        <f>IFERROR(VLOOKUP(BB723&amp;BU723&amp;X723,game_rosters!U:W,3,FALSE),"")</f>
        <v>P100197</v>
      </c>
      <c r="BU723" t="str">
        <f t="shared" si="394"/>
        <v>Nelson</v>
      </c>
    </row>
    <row r="724" spans="1:73" x14ac:dyDescent="0.2">
      <c r="A724">
        <f t="shared" si="381"/>
        <v>1</v>
      </c>
      <c r="E724" s="4"/>
      <c r="F724" s="43"/>
      <c r="G724" s="4"/>
      <c r="H724" s="46"/>
      <c r="J724" s="44" t="str">
        <f t="shared" si="395"/>
        <v/>
      </c>
      <c r="K724" t="s">
        <v>230</v>
      </c>
      <c r="L724" t="s">
        <v>388</v>
      </c>
      <c r="M724" t="s">
        <v>150</v>
      </c>
      <c r="N724" t="str">
        <f t="shared" si="366"/>
        <v/>
      </c>
      <c r="Q724" t="str">
        <f t="shared" si="396"/>
        <v/>
      </c>
      <c r="S724">
        <v>385</v>
      </c>
      <c r="U724" t="str">
        <f>IF(B724=1,MAX($U$2:$U723)+1,IF(AND($T724&lt;&gt;"",$T724=$T723),$U723,IF(B724="x",U723,"")))</f>
        <v/>
      </c>
      <c r="V724" t="str">
        <f>IF(C724=1,MAX($V$2:$V723)+1,IF(AND($T724&lt;&gt;"",$T724=$T723),$U723,IF(C724="x",V723,"")))</f>
        <v/>
      </c>
      <c r="W724" t="str">
        <f t="shared" si="370"/>
        <v>a</v>
      </c>
      <c r="X724">
        <v>42</v>
      </c>
      <c r="Y724" t="e">
        <f>IF(X724&lt;&gt;"",VLOOKUP(X724,game_rosters!$C$43:$E$64,3,FALSE))</f>
        <v>#N/A</v>
      </c>
      <c r="Z724" cm="1">
        <f t="array" ref="Z724">IFERROR(IF(_xlfn._xlws.FILTER(game_rosters!$J:$J,(game_rosters!$G:$G=events!$AN724)*(game_rosters!$J:$J=events!$X724))&gt;0,1,""),"")</f>
        <v>1</v>
      </c>
      <c r="AA724">
        <f t="shared" si="371"/>
        <v>1385</v>
      </c>
      <c r="AB724" t="str">
        <f t="shared" si="372"/>
        <v/>
      </c>
      <c r="AC724">
        <f t="shared" si="369"/>
        <v>1385</v>
      </c>
      <c r="AD724" s="6">
        <v>1</v>
      </c>
      <c r="AE724" t="s">
        <v>942</v>
      </c>
      <c r="AF724" t="s">
        <v>932</v>
      </c>
      <c r="AG724" t="s">
        <v>756</v>
      </c>
      <c r="AH724" t="s">
        <v>756</v>
      </c>
      <c r="AI724" t="s">
        <v>367</v>
      </c>
      <c r="AJ724" t="str">
        <f t="shared" ref="AJ724:AK739" si="397">IF($J724&lt;&gt;"",$J724,IF($AC724=$AC723,AJ723,""))</f>
        <v/>
      </c>
      <c r="AK724" t="str">
        <f t="shared" si="397"/>
        <v/>
      </c>
      <c r="AL724" t="str">
        <f t="shared" si="374"/>
        <v/>
      </c>
      <c r="AN724" t="s">
        <v>862</v>
      </c>
      <c r="AO724" t="str">
        <f t="shared" si="375"/>
        <v>a</v>
      </c>
      <c r="AP724" t="str">
        <f t="shared" si="382"/>
        <v/>
      </c>
      <c r="AQ724" t="str">
        <f t="shared" si="383"/>
        <v/>
      </c>
      <c r="AR724" t="str">
        <f t="shared" si="384"/>
        <v>Away</v>
      </c>
      <c r="AS724" t="str">
        <f t="shared" si="385"/>
        <v>a</v>
      </c>
      <c r="AT724" t="str">
        <f t="shared" si="386"/>
        <v>Offensive</v>
      </c>
      <c r="BA724" s="6">
        <f t="shared" si="376"/>
        <v>197</v>
      </c>
      <c r="BB724">
        <f t="shared" si="377"/>
        <v>18981</v>
      </c>
      <c r="BC724" t="str">
        <f t="shared" si="378"/>
        <v>Nelson</v>
      </c>
      <c r="BD724" t="str">
        <f t="shared" si="379"/>
        <v>Velodrome</v>
      </c>
      <c r="BE724" t="s">
        <v>230</v>
      </c>
      <c r="BF724" t="s">
        <v>388</v>
      </c>
      <c r="BG724" t="s">
        <v>150</v>
      </c>
      <c r="BI724" cm="1">
        <f t="array" ref="BI724">IFERROR(_xlfn._xlws.FILTER(shifts!A:A,(shifts!B:B=events!AD724)*(shifts!AG:AG&gt;=events!BK724)*(shifts!AH:AH&lt;=events!BL724)),BI723)</f>
        <v>35</v>
      </c>
      <c r="BJ724" s="15">
        <f t="shared" si="380"/>
        <v>0</v>
      </c>
      <c r="BK724">
        <f t="shared" si="387"/>
        <v>178</v>
      </c>
      <c r="BL724">
        <f t="shared" si="388"/>
        <v>178</v>
      </c>
      <c r="BM724" s="15">
        <f>SUMIFS(BJ$2:BJ724,K$2:K724,"=Intermission")+SUMIFS(BJ$2:BJ724,K$2:K724,"=Timeout")</f>
        <v>0</v>
      </c>
      <c r="BN724">
        <f t="shared" si="389"/>
        <v>0</v>
      </c>
      <c r="BO724" s="19">
        <f t="shared" si="390"/>
        <v>902</v>
      </c>
      <c r="BP724">
        <f t="shared" si="391"/>
        <v>897</v>
      </c>
      <c r="BQ724" s="17">
        <f t="shared" si="392"/>
        <v>902</v>
      </c>
      <c r="BR724" t="str">
        <f t="shared" si="393"/>
        <v>event_team_player_1</v>
      </c>
      <c r="BS724">
        <f>COUNTIFS(S$3:S724,"="&amp;S724,AI$3:AI724,"="&amp;AI724)</f>
        <v>1</v>
      </c>
      <c r="BT724" t="str">
        <f>IFERROR(VLOOKUP(BB724&amp;BU724&amp;X724,game_rosters!U:W,3,FALSE),"")</f>
        <v>P100201</v>
      </c>
      <c r="BU724" t="str">
        <f t="shared" si="394"/>
        <v>Velodrome</v>
      </c>
    </row>
    <row r="725" spans="1:73" x14ac:dyDescent="0.2">
      <c r="A725">
        <f t="shared" si="381"/>
        <v>1</v>
      </c>
      <c r="E725" s="4"/>
      <c r="F725" s="43"/>
      <c r="G725" s="4"/>
      <c r="H725" s="46"/>
      <c r="J725" s="44" t="str">
        <f t="shared" si="395"/>
        <v/>
      </c>
      <c r="K725" t="s">
        <v>230</v>
      </c>
      <c r="L725" t="s">
        <v>388</v>
      </c>
      <c r="M725" t="s">
        <v>150</v>
      </c>
      <c r="N725" t="str">
        <f t="shared" ref="N725:N788" si="398">IF(K725="","",IF(K725="Goal","s",IF(AND(K725="Zone_Entry_Exit",OR(ISNUMBER(SEARCH("fail",L725)),ISNUMBER(SEARCH("FromExitClear",M725)),ISNUMBER(SEARCH("miss",M725)))),"u",IF(AND(K725="Zone_Entry_Exit",OR(NOT(ISNUMBER(SEARCH("fail",L725))),NOT(ISNUMBER(SEARCH("FromExitClear",M725))),NOT(ISNUMBER(SEARCH("miss",M725))))),"s",IF(AND(OR(K725="Shot",K725="Pass"),OR(ISNUMBER(SEARCH("complete",L725)),ISNUMBER(SEARCH("goal",L725)),ISNUMBER(SEARCH("OnNet",L725)))),"s",IF(L725="Turnover_Giveaway","u",IF(AND(OR(K725="Shot",K725="Pass"),OR(ISNUMBER(SEARCH("fail",L725)),NOT(ISNUMBER(SEARCH("complete",L725))),NOT(ISNUMBER(SEARCH("OnNet",L725))))),"u","")))))))</f>
        <v/>
      </c>
      <c r="Q725" t="str">
        <f t="shared" si="396"/>
        <v/>
      </c>
      <c r="S725">
        <v>385</v>
      </c>
      <c r="U725" t="str">
        <f>IF(B725=1,MAX($U$2:$U724)+1,IF(AND($T725&lt;&gt;"",$T725=$T724),$U724,IF(B725="x",U724,"")))</f>
        <v/>
      </c>
      <c r="V725" t="str">
        <f>IF(C725=1,MAX($V$2:$V724)+1,IF(AND($T725&lt;&gt;"",$T725=$T724),$U724,IF(C725="x",V724,"")))</f>
        <v/>
      </c>
      <c r="W725" t="str">
        <f t="shared" si="370"/>
        <v>a</v>
      </c>
      <c r="X725">
        <v>80</v>
      </c>
      <c r="Y725" t="b">
        <f>IF(X725&lt;&gt;"",VLOOKUP(X725,game_rosters!$C$43:$E$64,3,FALSE))</f>
        <v>0</v>
      </c>
      <c r="Z725" t="str" cm="1">
        <f t="array" ref="Z725">IFERROR(IF(_xlfn._xlws.FILTER(game_rosters!$J:$J,(game_rosters!$G:$G=events!$AN725)*(game_rosters!$J:$J=events!$X725))&gt;0,1,""),"")</f>
        <v/>
      </c>
      <c r="AA725">
        <f t="shared" si="371"/>
        <v>1385</v>
      </c>
      <c r="AB725" t="str">
        <f t="shared" si="372"/>
        <v/>
      </c>
      <c r="AC725">
        <f t="shared" si="369"/>
        <v>1385</v>
      </c>
      <c r="AD725" s="6">
        <v>1</v>
      </c>
      <c r="AE725" t="s">
        <v>942</v>
      </c>
      <c r="AF725" t="s">
        <v>932</v>
      </c>
      <c r="AG725" t="s">
        <v>756</v>
      </c>
      <c r="AH725" t="s">
        <v>756</v>
      </c>
      <c r="AI725" t="s">
        <v>368</v>
      </c>
      <c r="AJ725" t="str">
        <f t="shared" si="397"/>
        <v/>
      </c>
      <c r="AK725" t="str">
        <f t="shared" si="397"/>
        <v/>
      </c>
      <c r="AL725" t="str">
        <f t="shared" si="374"/>
        <v/>
      </c>
      <c r="AN725" t="s">
        <v>862</v>
      </c>
      <c r="AO725" t="str">
        <f t="shared" si="375"/>
        <v>a</v>
      </c>
      <c r="AP725" t="str">
        <f t="shared" si="382"/>
        <v/>
      </c>
      <c r="AQ725" t="str">
        <f t="shared" si="383"/>
        <v/>
      </c>
      <c r="AR725" t="str">
        <f t="shared" si="384"/>
        <v>Away</v>
      </c>
      <c r="AS725" t="str">
        <f t="shared" si="385"/>
        <v>a</v>
      </c>
      <c r="AT725" t="str">
        <f t="shared" si="386"/>
        <v>Defensive</v>
      </c>
      <c r="BA725" s="6">
        <f t="shared" si="376"/>
        <v>197</v>
      </c>
      <c r="BB725">
        <f t="shared" si="377"/>
        <v>18981</v>
      </c>
      <c r="BC725" t="str">
        <f t="shared" si="378"/>
        <v>Nelson</v>
      </c>
      <c r="BD725" t="str">
        <f t="shared" si="379"/>
        <v>Velodrome</v>
      </c>
      <c r="BE725" t="s">
        <v>230</v>
      </c>
      <c r="BF725" t="s">
        <v>388</v>
      </c>
      <c r="BG725" t="s">
        <v>150</v>
      </c>
      <c r="BI725" cm="1">
        <f t="array" ref="BI725">IFERROR(_xlfn._xlws.FILTER(shifts!A:A,(shifts!B:B=events!AD725)*(shifts!AG:AG&gt;=events!BK725)*(shifts!AH:AH&lt;=events!BL725)),BI724)</f>
        <v>35</v>
      </c>
      <c r="BJ725" s="15">
        <f t="shared" si="380"/>
        <v>0</v>
      </c>
      <c r="BK725">
        <f t="shared" si="387"/>
        <v>178</v>
      </c>
      <c r="BL725">
        <f t="shared" si="388"/>
        <v>178</v>
      </c>
      <c r="BM725" s="15">
        <f>SUMIFS(BJ$2:BJ725,K$2:K725,"=Intermission")+SUMIFS(BJ$2:BJ725,K$2:K725,"=Timeout")</f>
        <v>0</v>
      </c>
      <c r="BN725">
        <f t="shared" si="389"/>
        <v>0</v>
      </c>
      <c r="BO725" s="19">
        <f t="shared" si="390"/>
        <v>902</v>
      </c>
      <c r="BP725">
        <f t="shared" si="391"/>
        <v>897</v>
      </c>
      <c r="BQ725" s="17">
        <f t="shared" si="392"/>
        <v>902</v>
      </c>
      <c r="BR725" t="str">
        <f t="shared" si="393"/>
        <v>opp_team_player_1</v>
      </c>
      <c r="BS725">
        <f>COUNTIFS(S$3:S725,"="&amp;S725,AI$3:AI725,"="&amp;AI725)</f>
        <v>1</v>
      </c>
      <c r="BT725" t="str">
        <f>IFERROR(VLOOKUP(BB725&amp;BU725&amp;X725,game_rosters!U:W,3,FALSE),"")</f>
        <v>P100197</v>
      </c>
      <c r="BU725" t="str">
        <f t="shared" si="394"/>
        <v>Nelson</v>
      </c>
    </row>
    <row r="726" spans="1:73" x14ac:dyDescent="0.2">
      <c r="A726">
        <f t="shared" si="381"/>
        <v>1</v>
      </c>
      <c r="E726" s="4"/>
      <c r="F726" s="43"/>
      <c r="G726" s="4"/>
      <c r="H726" s="46"/>
      <c r="J726" s="44" t="str">
        <f t="shared" si="395"/>
        <v>o</v>
      </c>
      <c r="K726" t="s">
        <v>238</v>
      </c>
      <c r="L726" t="s">
        <v>174</v>
      </c>
      <c r="M726" t="s">
        <v>85</v>
      </c>
      <c r="N726" t="str">
        <f t="shared" si="398"/>
        <v>s</v>
      </c>
      <c r="Q726" t="str">
        <f t="shared" si="396"/>
        <v/>
      </c>
      <c r="S726">
        <v>386</v>
      </c>
      <c r="U726" t="str">
        <f>IF(B726=1,MAX($U$2:$U725)+1,IF(AND($T726&lt;&gt;"",$T726=$T725),$U725,IF(B726="x",U725,"")))</f>
        <v/>
      </c>
      <c r="V726" t="str">
        <f>IF(C726=1,MAX($V$2:$V725)+1,IF(AND($T726&lt;&gt;"",$T726=$T725),$U725,IF(C726="x",V725,"")))</f>
        <v/>
      </c>
      <c r="W726" t="str">
        <f t="shared" si="370"/>
        <v>a</v>
      </c>
      <c r="X726">
        <v>42</v>
      </c>
      <c r="Y726" t="e">
        <f>IF(X726&lt;&gt;"",VLOOKUP(X726,game_rosters!$C$43:$E$64,3,FALSE))</f>
        <v>#N/A</v>
      </c>
      <c r="Z726" cm="1">
        <f t="array" ref="Z726">IFERROR(IF(_xlfn._xlws.FILTER(game_rosters!$J:$J,(game_rosters!$G:$G=events!$AN726)*(game_rosters!$J:$J=events!$X726))&gt;0,1,""),"")</f>
        <v>1</v>
      </c>
      <c r="AA726">
        <f t="shared" si="371"/>
        <v>1386</v>
      </c>
      <c r="AB726" t="str">
        <f t="shared" si="372"/>
        <v/>
      </c>
      <c r="AC726">
        <f t="shared" si="369"/>
        <v>1386</v>
      </c>
      <c r="AD726" s="6">
        <v>1</v>
      </c>
      <c r="AE726" t="s">
        <v>942</v>
      </c>
      <c r="AF726" t="s">
        <v>932</v>
      </c>
      <c r="AG726" t="s">
        <v>942</v>
      </c>
      <c r="AH726" t="s">
        <v>733</v>
      </c>
      <c r="AI726" t="s">
        <v>367</v>
      </c>
      <c r="AJ726" t="str">
        <f t="shared" si="397"/>
        <v>o</v>
      </c>
      <c r="AK726" t="str">
        <f t="shared" si="397"/>
        <v>o</v>
      </c>
      <c r="AL726" t="str">
        <f t="shared" si="374"/>
        <v>d</v>
      </c>
      <c r="AN726" t="s">
        <v>862</v>
      </c>
      <c r="AO726" t="str">
        <f t="shared" si="375"/>
        <v>a</v>
      </c>
      <c r="AP726" t="str">
        <f t="shared" si="382"/>
        <v>d</v>
      </c>
      <c r="AQ726" t="str">
        <f t="shared" si="383"/>
        <v/>
      </c>
      <c r="AR726" t="str">
        <f t="shared" si="384"/>
        <v>Away</v>
      </c>
      <c r="AS726" t="str">
        <f t="shared" si="385"/>
        <v>a</v>
      </c>
      <c r="AT726" t="str">
        <f t="shared" si="386"/>
        <v>Offensive</v>
      </c>
      <c r="BA726" s="6">
        <f t="shared" si="376"/>
        <v>198</v>
      </c>
      <c r="BB726">
        <f t="shared" si="377"/>
        <v>18981</v>
      </c>
      <c r="BC726" t="str">
        <f t="shared" si="378"/>
        <v>Nelson</v>
      </c>
      <c r="BD726" t="str">
        <f t="shared" si="379"/>
        <v>Velodrome</v>
      </c>
      <c r="BE726" t="s">
        <v>238</v>
      </c>
      <c r="BF726" t="s">
        <v>174</v>
      </c>
      <c r="BG726" t="s">
        <v>85</v>
      </c>
      <c r="BI726" cm="1">
        <f t="array" ref="BI726">IFERROR(_xlfn._xlws.FILTER(shifts!A:A,(shifts!B:B=events!AD726)*(shifts!AG:AG&gt;=events!BK726)*(shifts!AH:AH&lt;=events!BL726)),BI725)</f>
        <v>35</v>
      </c>
      <c r="BJ726" s="15">
        <f t="shared" si="380"/>
        <v>2</v>
      </c>
      <c r="BK726">
        <f t="shared" si="387"/>
        <v>178</v>
      </c>
      <c r="BL726">
        <f t="shared" si="388"/>
        <v>176</v>
      </c>
      <c r="BM726" s="15">
        <f>SUMIFS(BJ$2:BJ726,K$2:K726,"=Intermission")+SUMIFS(BJ$2:BJ726,K$2:K726,"=Timeout")</f>
        <v>0</v>
      </c>
      <c r="BN726">
        <f t="shared" si="389"/>
        <v>0</v>
      </c>
      <c r="BO726" s="19">
        <f t="shared" si="390"/>
        <v>902</v>
      </c>
      <c r="BP726">
        <f t="shared" si="391"/>
        <v>897</v>
      </c>
      <c r="BQ726" s="17">
        <f t="shared" si="392"/>
        <v>904</v>
      </c>
      <c r="BR726" t="str">
        <f t="shared" si="393"/>
        <v>event_team_player_1</v>
      </c>
      <c r="BS726">
        <f>COUNTIFS(S$3:S726,"="&amp;S726,AI$3:AI726,"="&amp;AI726)</f>
        <v>1</v>
      </c>
      <c r="BT726" t="str">
        <f>IFERROR(VLOOKUP(BB726&amp;BU726&amp;X726,game_rosters!U:W,3,FALSE),"")</f>
        <v>P100201</v>
      </c>
      <c r="BU726" t="str">
        <f t="shared" si="394"/>
        <v>Velodrome</v>
      </c>
    </row>
    <row r="727" spans="1:73" x14ac:dyDescent="0.2">
      <c r="A727">
        <f t="shared" si="381"/>
        <v>1</v>
      </c>
      <c r="E727" s="4"/>
      <c r="F727" s="43"/>
      <c r="G727" s="4"/>
      <c r="H727" s="46"/>
      <c r="J727" s="44" t="str">
        <f t="shared" si="395"/>
        <v>o</v>
      </c>
      <c r="K727" t="s">
        <v>238</v>
      </c>
      <c r="L727" t="s">
        <v>174</v>
      </c>
      <c r="M727" t="s">
        <v>85</v>
      </c>
      <c r="N727" t="str">
        <f t="shared" si="398"/>
        <v>s</v>
      </c>
      <c r="Q727" t="str">
        <f t="shared" si="396"/>
        <v/>
      </c>
      <c r="S727">
        <v>386</v>
      </c>
      <c r="U727" t="str">
        <f>IF(B727=1,MAX($U$2:$U726)+1,IF(AND($T727&lt;&gt;"",$T727=$T726),$U726,IF(B727="x",U726,"")))</f>
        <v/>
      </c>
      <c r="V727" t="str">
        <f>IF(C727=1,MAX($V$2:$V726)+1,IF(AND($T727&lt;&gt;"",$T727=$T726),$U726,IF(C727="x",V726,"")))</f>
        <v/>
      </c>
      <c r="W727" t="str">
        <f t="shared" si="370"/>
        <v>a</v>
      </c>
      <c r="X727">
        <v>15</v>
      </c>
      <c r="Y727" t="b">
        <f>IF(X727&lt;&gt;"",VLOOKUP(X727,game_rosters!$C$43:$E$64,3,FALSE))</f>
        <v>0</v>
      </c>
      <c r="Z727" t="str" cm="1">
        <f t="array" ref="Z727">IFERROR(IF(_xlfn._xlws.FILTER(game_rosters!$J:$J,(game_rosters!$G:$G=events!$AN727)*(game_rosters!$J:$J=events!$X727))&gt;0,1,""),"")</f>
        <v/>
      </c>
      <c r="AA727">
        <f t="shared" si="371"/>
        <v>1386</v>
      </c>
      <c r="AB727" t="str">
        <f t="shared" si="372"/>
        <v/>
      </c>
      <c r="AC727">
        <f t="shared" si="369"/>
        <v>1386</v>
      </c>
      <c r="AD727" s="6">
        <v>1</v>
      </c>
      <c r="AE727" t="s">
        <v>942</v>
      </c>
      <c r="AF727" t="s">
        <v>932</v>
      </c>
      <c r="AG727" t="s">
        <v>942</v>
      </c>
      <c r="AH727" t="s">
        <v>733</v>
      </c>
      <c r="AI727" t="s">
        <v>368</v>
      </c>
      <c r="AJ727" t="str">
        <f t="shared" si="397"/>
        <v>o</v>
      </c>
      <c r="AK727" t="str">
        <f t="shared" si="397"/>
        <v>o</v>
      </c>
      <c r="AL727" t="str">
        <f t="shared" si="374"/>
        <v>d</v>
      </c>
      <c r="AN727" t="s">
        <v>862</v>
      </c>
      <c r="AO727" t="str">
        <f t="shared" si="375"/>
        <v>a</v>
      </c>
      <c r="AP727" t="str">
        <f t="shared" si="382"/>
        <v>d</v>
      </c>
      <c r="AQ727" t="str">
        <f t="shared" si="383"/>
        <v/>
      </c>
      <c r="AR727" t="str">
        <f t="shared" si="384"/>
        <v>Away</v>
      </c>
      <c r="AS727" t="str">
        <f t="shared" si="385"/>
        <v>a</v>
      </c>
      <c r="AT727" t="str">
        <f t="shared" si="386"/>
        <v>Defensive</v>
      </c>
      <c r="BA727" s="6">
        <f t="shared" si="376"/>
        <v>199</v>
      </c>
      <c r="BB727">
        <f t="shared" si="377"/>
        <v>18981</v>
      </c>
      <c r="BC727" t="str">
        <f t="shared" si="378"/>
        <v>Nelson</v>
      </c>
      <c r="BD727" t="str">
        <f t="shared" si="379"/>
        <v>Velodrome</v>
      </c>
      <c r="BE727" t="s">
        <v>238</v>
      </c>
      <c r="BF727" t="s">
        <v>174</v>
      </c>
      <c r="BG727" t="s">
        <v>85</v>
      </c>
      <c r="BI727" cm="1">
        <f t="array" ref="BI727">IFERROR(_xlfn._xlws.FILTER(shifts!A:A,(shifts!B:B=events!AD727)*(shifts!AG:AG&gt;=events!BK727)*(shifts!AH:AH&lt;=events!BL727)),BI726)</f>
        <v>35</v>
      </c>
      <c r="BJ727" s="15">
        <f t="shared" si="380"/>
        <v>2</v>
      </c>
      <c r="BK727">
        <f t="shared" si="387"/>
        <v>178</v>
      </c>
      <c r="BL727">
        <f t="shared" si="388"/>
        <v>176</v>
      </c>
      <c r="BM727" s="15">
        <f>SUMIFS(BJ$2:BJ727,K$2:K727,"=Intermission")+SUMIFS(BJ$2:BJ727,K$2:K727,"=Timeout")</f>
        <v>0</v>
      </c>
      <c r="BN727">
        <f t="shared" si="389"/>
        <v>0</v>
      </c>
      <c r="BO727" s="19">
        <f t="shared" si="390"/>
        <v>902</v>
      </c>
      <c r="BP727">
        <f t="shared" si="391"/>
        <v>897</v>
      </c>
      <c r="BQ727" s="17">
        <f t="shared" si="392"/>
        <v>904</v>
      </c>
      <c r="BR727" t="str">
        <f t="shared" si="393"/>
        <v>opp_team_player_1</v>
      </c>
      <c r="BS727">
        <f>COUNTIFS(S$3:S727,"="&amp;S727,AI$3:AI727,"="&amp;AI727)</f>
        <v>1</v>
      </c>
      <c r="BT727" t="str">
        <f>IFERROR(VLOOKUP(BB727&amp;BU727&amp;X727,game_rosters!U:W,3,FALSE),"")</f>
        <v>P100071</v>
      </c>
      <c r="BU727" t="str">
        <f t="shared" si="394"/>
        <v>Nelson</v>
      </c>
    </row>
    <row r="728" spans="1:73" x14ac:dyDescent="0.2">
      <c r="A728">
        <f t="shared" si="381"/>
        <v>1</v>
      </c>
      <c r="E728" s="4"/>
      <c r="F728" s="43"/>
      <c r="G728" s="4"/>
      <c r="H728" s="46"/>
      <c r="J728" s="44" t="str">
        <f t="shared" si="395"/>
        <v>o</v>
      </c>
      <c r="K728" t="s">
        <v>238</v>
      </c>
      <c r="L728" t="s">
        <v>174</v>
      </c>
      <c r="M728" t="s">
        <v>85</v>
      </c>
      <c r="N728" t="str">
        <f t="shared" si="398"/>
        <v>s</v>
      </c>
      <c r="Q728" t="str">
        <f t="shared" si="396"/>
        <v/>
      </c>
      <c r="S728">
        <v>386</v>
      </c>
      <c r="U728" t="str">
        <f>IF(B728=1,MAX($U$2:$U727)+1,IF(AND($T728&lt;&gt;"",$T728=$T727),$U727,IF(B728="x",U727,"")))</f>
        <v/>
      </c>
      <c r="V728" t="str">
        <f>IF(C728=1,MAX($V$2:$V727)+1,IF(AND($T728&lt;&gt;"",$T728=$T727),$U727,IF(C728="x",V727,"")))</f>
        <v/>
      </c>
      <c r="W728" t="str">
        <f t="shared" si="370"/>
        <v>a</v>
      </c>
      <c r="X728">
        <v>44</v>
      </c>
      <c r="Y728" t="b">
        <f>IF(X728&lt;&gt;"",VLOOKUP(X728,game_rosters!$C$43:$E$64,3,FALSE))</f>
        <v>0</v>
      </c>
      <c r="Z728" t="str" cm="1">
        <f t="array" ref="Z728">IFERROR(IF(_xlfn._xlws.FILTER(game_rosters!$J:$J,(game_rosters!$G:$G=events!$AN728)*(game_rosters!$J:$J=events!$X728))&gt;0,1,""),"")</f>
        <v/>
      </c>
      <c r="AA728">
        <f t="shared" si="371"/>
        <v>1386</v>
      </c>
      <c r="AB728" t="str">
        <f t="shared" si="372"/>
        <v/>
      </c>
      <c r="AC728">
        <f t="shared" si="369"/>
        <v>1386</v>
      </c>
      <c r="AD728" s="6">
        <v>1</v>
      </c>
      <c r="AE728" t="s">
        <v>942</v>
      </c>
      <c r="AF728" t="s">
        <v>932</v>
      </c>
      <c r="AG728" t="s">
        <v>942</v>
      </c>
      <c r="AH728" t="s">
        <v>733</v>
      </c>
      <c r="AI728" t="s">
        <v>368</v>
      </c>
      <c r="AJ728" t="str">
        <f t="shared" si="397"/>
        <v>o</v>
      </c>
      <c r="AK728" t="str">
        <f t="shared" si="397"/>
        <v>o</v>
      </c>
      <c r="AL728" t="str">
        <f t="shared" si="374"/>
        <v>d</v>
      </c>
      <c r="AN728" t="s">
        <v>862</v>
      </c>
      <c r="AO728" t="str">
        <f t="shared" si="375"/>
        <v>a</v>
      </c>
      <c r="AP728" t="str">
        <f t="shared" si="382"/>
        <v>d</v>
      </c>
      <c r="AQ728" t="str">
        <f t="shared" si="383"/>
        <v/>
      </c>
      <c r="AR728" t="str">
        <f t="shared" si="384"/>
        <v>Away</v>
      </c>
      <c r="AS728" t="str">
        <f t="shared" si="385"/>
        <v>a</v>
      </c>
      <c r="AT728" t="str">
        <f t="shared" si="386"/>
        <v>Defensive</v>
      </c>
      <c r="BA728" s="6">
        <f t="shared" si="376"/>
        <v>200</v>
      </c>
      <c r="BB728">
        <f t="shared" si="377"/>
        <v>18981</v>
      </c>
      <c r="BC728" t="str">
        <f t="shared" si="378"/>
        <v>Nelson</v>
      </c>
      <c r="BD728" t="str">
        <f t="shared" si="379"/>
        <v>Velodrome</v>
      </c>
      <c r="BE728" t="s">
        <v>238</v>
      </c>
      <c r="BF728" t="s">
        <v>174</v>
      </c>
      <c r="BG728" t="s">
        <v>85</v>
      </c>
      <c r="BI728" cm="1">
        <f t="array" ref="BI728">IFERROR(_xlfn._xlws.FILTER(shifts!A:A,(shifts!B:B=events!AD728)*(shifts!AG:AG&gt;=events!BK728)*(shifts!AH:AH&lt;=events!BL728)),BI727)</f>
        <v>35</v>
      </c>
      <c r="BJ728" s="15">
        <f t="shared" si="380"/>
        <v>2</v>
      </c>
      <c r="BK728">
        <f t="shared" si="387"/>
        <v>178</v>
      </c>
      <c r="BL728">
        <f t="shared" si="388"/>
        <v>176</v>
      </c>
      <c r="BM728" s="15">
        <f>SUMIFS(BJ$2:BJ728,K$2:K728,"=Intermission")+SUMIFS(BJ$2:BJ728,K$2:K728,"=Timeout")</f>
        <v>0</v>
      </c>
      <c r="BN728">
        <f t="shared" si="389"/>
        <v>0</v>
      </c>
      <c r="BO728" s="19">
        <f t="shared" si="390"/>
        <v>902</v>
      </c>
      <c r="BP728">
        <f t="shared" si="391"/>
        <v>897</v>
      </c>
      <c r="BQ728" s="17">
        <f t="shared" si="392"/>
        <v>904</v>
      </c>
      <c r="BR728" t="str">
        <f t="shared" si="393"/>
        <v>opp_team_player_2</v>
      </c>
      <c r="BS728">
        <f>COUNTIFS(S$3:S728,"="&amp;S728,AI$3:AI728,"="&amp;AI728)</f>
        <v>2</v>
      </c>
      <c r="BT728" t="str">
        <f>IFERROR(VLOOKUP(BB728&amp;BU728&amp;X728,game_rosters!U:W,3,FALSE),"")</f>
        <v>P100079</v>
      </c>
      <c r="BU728" t="str">
        <f t="shared" si="394"/>
        <v>Nelson</v>
      </c>
    </row>
    <row r="729" spans="1:73" x14ac:dyDescent="0.2">
      <c r="A729">
        <f t="shared" si="381"/>
        <v>1</v>
      </c>
      <c r="E729" s="4"/>
      <c r="F729" s="43"/>
      <c r="G729" s="4"/>
      <c r="H729" s="46"/>
      <c r="J729" s="44" t="str">
        <f t="shared" si="395"/>
        <v/>
      </c>
      <c r="K729" t="s">
        <v>9</v>
      </c>
      <c r="L729" t="s">
        <v>183</v>
      </c>
      <c r="M729" t="s">
        <v>80</v>
      </c>
      <c r="N729" t="str">
        <f t="shared" si="398"/>
        <v/>
      </c>
      <c r="Q729" t="str">
        <f t="shared" si="396"/>
        <v/>
      </c>
      <c r="S729">
        <v>387</v>
      </c>
      <c r="U729" t="str">
        <f>IF(B729=1,MAX($U$2:$U728)+1,IF(AND($T729&lt;&gt;"",$T729=$T728),$U728,IF(B729="x",U728,"")))</f>
        <v/>
      </c>
      <c r="V729" t="str">
        <f>IF(C729=1,MAX($V$2:$V728)+1,IF(AND($T729&lt;&gt;"",$T729=$T728),$U728,IF(C729="x",V728,"")))</f>
        <v/>
      </c>
      <c r="W729" t="str">
        <f t="shared" si="370"/>
        <v>h</v>
      </c>
      <c r="X729">
        <v>15</v>
      </c>
      <c r="Y729" t="b">
        <f>IF(X729&lt;&gt;"",VLOOKUP(X729,game_rosters!$C$43:$E$64,3,FALSE))</f>
        <v>0</v>
      </c>
      <c r="Z729" cm="1">
        <f t="array" ref="Z729">IFERROR(IF(_xlfn._xlws.FILTER(game_rosters!$J:$J,(game_rosters!$G:$G=events!$AN729)*(game_rosters!$J:$J=events!$X729))&gt;0,1,""),"")</f>
        <v>1</v>
      </c>
      <c r="AA729">
        <f t="shared" si="371"/>
        <v>1387</v>
      </c>
      <c r="AB729" t="str">
        <f t="shared" si="372"/>
        <v/>
      </c>
      <c r="AC729">
        <f t="shared" si="369"/>
        <v>1387</v>
      </c>
      <c r="AD729" s="6">
        <v>1</v>
      </c>
      <c r="AE729" t="s">
        <v>942</v>
      </c>
      <c r="AF729" t="s">
        <v>733</v>
      </c>
      <c r="AG729" t="s">
        <v>756</v>
      </c>
      <c r="AH729" t="s">
        <v>756</v>
      </c>
      <c r="AI729" t="s">
        <v>367</v>
      </c>
      <c r="AJ729" t="str">
        <f t="shared" si="397"/>
        <v/>
      </c>
      <c r="AK729" t="str">
        <f t="shared" si="397"/>
        <v/>
      </c>
      <c r="AL729" t="str">
        <f t="shared" si="374"/>
        <v/>
      </c>
      <c r="AN729" t="s">
        <v>861</v>
      </c>
      <c r="AO729" t="str">
        <f t="shared" si="375"/>
        <v>h</v>
      </c>
      <c r="AP729" t="str">
        <f t="shared" si="382"/>
        <v/>
      </c>
      <c r="AQ729" t="str">
        <f t="shared" si="383"/>
        <v/>
      </c>
      <c r="AR729" t="str">
        <f t="shared" si="384"/>
        <v>Home</v>
      </c>
      <c r="AS729" t="str">
        <f t="shared" si="385"/>
        <v>h</v>
      </c>
      <c r="AT729" t="str">
        <f t="shared" si="386"/>
        <v>Defensive</v>
      </c>
      <c r="BA729" s="6">
        <f t="shared" si="376"/>
        <v>200</v>
      </c>
      <c r="BB729">
        <f t="shared" si="377"/>
        <v>18981</v>
      </c>
      <c r="BC729" t="str">
        <f t="shared" si="378"/>
        <v>Nelson</v>
      </c>
      <c r="BD729" t="str">
        <f t="shared" si="379"/>
        <v>Velodrome</v>
      </c>
      <c r="BE729" t="s">
        <v>9</v>
      </c>
      <c r="BF729" t="s">
        <v>183</v>
      </c>
      <c r="BG729" t="s">
        <v>80</v>
      </c>
      <c r="BI729" cm="1">
        <f t="array" ref="BI729">IFERROR(_xlfn._xlws.FILTER(shifts!A:A,(shifts!B:B=events!AD729)*(shifts!AG:AG&gt;=events!BK729)*(shifts!AH:AH&lt;=events!BL729)),BI728)</f>
        <v>35</v>
      </c>
      <c r="BJ729" s="15">
        <f t="shared" si="380"/>
        <v>0</v>
      </c>
      <c r="BK729">
        <f t="shared" si="387"/>
        <v>176</v>
      </c>
      <c r="BL729">
        <f t="shared" si="388"/>
        <v>176</v>
      </c>
      <c r="BM729" s="15">
        <f>SUMIFS(BJ$2:BJ729,K$2:K729,"=Intermission")+SUMIFS(BJ$2:BJ729,K$2:K729,"=Timeout")</f>
        <v>0</v>
      </c>
      <c r="BN729">
        <f t="shared" si="389"/>
        <v>0</v>
      </c>
      <c r="BO729" s="19">
        <f t="shared" si="390"/>
        <v>904</v>
      </c>
      <c r="BP729">
        <f t="shared" si="391"/>
        <v>899</v>
      </c>
      <c r="BQ729" s="17">
        <f t="shared" si="392"/>
        <v>904</v>
      </c>
      <c r="BR729" t="str">
        <f t="shared" si="393"/>
        <v>event_team_player_1</v>
      </c>
      <c r="BS729">
        <f>COUNTIFS(S$3:S729,"="&amp;S729,AI$3:AI729,"="&amp;AI729)</f>
        <v>1</v>
      </c>
      <c r="BT729" t="str">
        <f>IFERROR(VLOOKUP(BB729&amp;BU729&amp;X729,game_rosters!U:W,3,FALSE),"")</f>
        <v>P100071</v>
      </c>
      <c r="BU729" t="str">
        <f t="shared" si="394"/>
        <v>Nelson</v>
      </c>
    </row>
    <row r="730" spans="1:73" x14ac:dyDescent="0.2">
      <c r="A730">
        <f t="shared" si="381"/>
        <v>1</v>
      </c>
      <c r="E730" s="4"/>
      <c r="F730" s="43"/>
      <c r="G730" s="4"/>
      <c r="H730" s="46"/>
      <c r="J730" s="44" t="str">
        <f t="shared" si="395"/>
        <v/>
      </c>
      <c r="K730" t="s">
        <v>9</v>
      </c>
      <c r="L730" t="s">
        <v>183</v>
      </c>
      <c r="M730" t="s">
        <v>80</v>
      </c>
      <c r="N730" t="str">
        <f t="shared" si="398"/>
        <v/>
      </c>
      <c r="Q730" t="str">
        <f t="shared" si="396"/>
        <v/>
      </c>
      <c r="S730">
        <v>387</v>
      </c>
      <c r="U730" t="str">
        <f>IF(B730=1,MAX($U$2:$U729)+1,IF(AND($T730&lt;&gt;"",$T730=$T729),$U729,IF(B730="x",U729,"")))</f>
        <v/>
      </c>
      <c r="V730" t="str">
        <f>IF(C730=1,MAX($V$2:$V729)+1,IF(AND($T730&lt;&gt;"",$T730=$T729),$U729,IF(C730="x",V729,"")))</f>
        <v/>
      </c>
      <c r="W730" t="str">
        <f t="shared" si="370"/>
        <v>h</v>
      </c>
      <c r="X730">
        <v>42</v>
      </c>
      <c r="Y730" t="e">
        <f>IF(X730&lt;&gt;"",VLOOKUP(X730,game_rosters!$C$43:$E$64,3,FALSE))</f>
        <v>#N/A</v>
      </c>
      <c r="Z730" t="str" cm="1">
        <f t="array" ref="Z730">IFERROR(IF(_xlfn._xlws.FILTER(game_rosters!$J:$J,(game_rosters!$G:$G=events!$AN730)*(game_rosters!$J:$J=events!$X730))&gt;0,1,""),"")</f>
        <v/>
      </c>
      <c r="AA730">
        <f t="shared" si="371"/>
        <v>1387</v>
      </c>
      <c r="AB730" t="str">
        <f t="shared" si="372"/>
        <v/>
      </c>
      <c r="AC730">
        <f t="shared" si="369"/>
        <v>1387</v>
      </c>
      <c r="AD730" s="6">
        <v>1</v>
      </c>
      <c r="AE730" t="s">
        <v>942</v>
      </c>
      <c r="AF730" t="s">
        <v>733</v>
      </c>
      <c r="AG730" t="s">
        <v>756</v>
      </c>
      <c r="AH730" t="s">
        <v>756</v>
      </c>
      <c r="AI730" t="s">
        <v>368</v>
      </c>
      <c r="AJ730" t="str">
        <f t="shared" si="397"/>
        <v/>
      </c>
      <c r="AK730" t="str">
        <f t="shared" si="397"/>
        <v/>
      </c>
      <c r="AL730" t="str">
        <f t="shared" si="374"/>
        <v/>
      </c>
      <c r="AN730" t="s">
        <v>861</v>
      </c>
      <c r="AO730" t="str">
        <f t="shared" si="375"/>
        <v>h</v>
      </c>
      <c r="AP730" t="str">
        <f t="shared" si="382"/>
        <v/>
      </c>
      <c r="AQ730" t="str">
        <f t="shared" si="383"/>
        <v/>
      </c>
      <c r="AR730" t="str">
        <f t="shared" si="384"/>
        <v>Home</v>
      </c>
      <c r="AS730" t="str">
        <f t="shared" si="385"/>
        <v>h</v>
      </c>
      <c r="AT730" t="str">
        <f t="shared" si="386"/>
        <v>Offensive</v>
      </c>
      <c r="BA730" s="6">
        <f t="shared" si="376"/>
        <v>200</v>
      </c>
      <c r="BB730">
        <f t="shared" si="377"/>
        <v>18981</v>
      </c>
      <c r="BC730" t="str">
        <f t="shared" si="378"/>
        <v>Nelson</v>
      </c>
      <c r="BD730" t="str">
        <f t="shared" si="379"/>
        <v>Velodrome</v>
      </c>
      <c r="BE730" t="s">
        <v>9</v>
      </c>
      <c r="BF730" t="s">
        <v>183</v>
      </c>
      <c r="BG730" t="s">
        <v>80</v>
      </c>
      <c r="BI730" cm="1">
        <f t="array" ref="BI730">IFERROR(_xlfn._xlws.FILTER(shifts!A:A,(shifts!B:B=events!AD730)*(shifts!AG:AG&gt;=events!BK730)*(shifts!AH:AH&lt;=events!BL730)),BI729)</f>
        <v>35</v>
      </c>
      <c r="BJ730" s="15">
        <f t="shared" si="380"/>
        <v>0</v>
      </c>
      <c r="BK730">
        <f t="shared" si="387"/>
        <v>176</v>
      </c>
      <c r="BL730">
        <f t="shared" si="388"/>
        <v>176</v>
      </c>
      <c r="BM730" s="15">
        <f>SUMIFS(BJ$2:BJ730,K$2:K730,"=Intermission")+SUMIFS(BJ$2:BJ730,K$2:K730,"=Timeout")</f>
        <v>0</v>
      </c>
      <c r="BN730">
        <f t="shared" si="389"/>
        <v>0</v>
      </c>
      <c r="BO730" s="19">
        <f t="shared" si="390"/>
        <v>904</v>
      </c>
      <c r="BP730">
        <f t="shared" si="391"/>
        <v>899</v>
      </c>
      <c r="BQ730" s="17">
        <f t="shared" si="392"/>
        <v>904</v>
      </c>
      <c r="BR730" t="str">
        <f t="shared" si="393"/>
        <v>opp_team_player_1</v>
      </c>
      <c r="BS730">
        <f>COUNTIFS(S$3:S730,"="&amp;S730,AI$3:AI730,"="&amp;AI730)</f>
        <v>1</v>
      </c>
      <c r="BT730" t="str">
        <f>IFERROR(VLOOKUP(BB730&amp;BU730&amp;X730,game_rosters!U:W,3,FALSE),"")</f>
        <v>P100201</v>
      </c>
      <c r="BU730" t="str">
        <f t="shared" si="394"/>
        <v>Velodrome</v>
      </c>
    </row>
    <row r="731" spans="1:73" x14ac:dyDescent="0.2">
      <c r="A731">
        <f t="shared" si="381"/>
        <v>1</v>
      </c>
      <c r="E731" s="4"/>
      <c r="F731" s="43"/>
      <c r="G731" s="4"/>
      <c r="H731" s="46"/>
      <c r="J731" s="44" t="str">
        <f t="shared" si="395"/>
        <v/>
      </c>
      <c r="K731" t="s">
        <v>13</v>
      </c>
      <c r="L731" t="s">
        <v>756</v>
      </c>
      <c r="M731" t="s">
        <v>756</v>
      </c>
      <c r="N731" t="str">
        <f t="shared" si="398"/>
        <v/>
      </c>
      <c r="Q731" t="str">
        <f t="shared" si="396"/>
        <v/>
      </c>
      <c r="S731">
        <v>388</v>
      </c>
      <c r="U731" t="str">
        <f>IF(B731=1,MAX($U$2:$U730)+1,IF(AND($T731&lt;&gt;"",$T731=$T730),$U730,IF(B731="x",U730,"")))</f>
        <v/>
      </c>
      <c r="V731" t="str">
        <f>IF(C731=1,MAX($V$2:$V730)+1,IF(AND($T731&lt;&gt;"",$T731=$T730),$U730,IF(C731="x",V730,"")))</f>
        <v/>
      </c>
      <c r="W731" t="str">
        <f t="shared" si="370"/>
        <v>h</v>
      </c>
      <c r="X731">
        <v>80</v>
      </c>
      <c r="Y731" t="b">
        <f>IF(X731&lt;&gt;"",VLOOKUP(X731,game_rosters!$C$43:$E$64,3,FALSE))</f>
        <v>0</v>
      </c>
      <c r="Z731" cm="1">
        <f t="array" ref="Z731">IFERROR(IF(_xlfn._xlws.FILTER(game_rosters!$J:$J,(game_rosters!$G:$G=events!$AN731)*(game_rosters!$J:$J=events!$X731))&gt;0,1,""),"")</f>
        <v>1</v>
      </c>
      <c r="AA731">
        <f t="shared" si="371"/>
        <v>1388</v>
      </c>
      <c r="AB731" t="str">
        <f t="shared" si="372"/>
        <v/>
      </c>
      <c r="AC731">
        <f t="shared" si="369"/>
        <v>1388</v>
      </c>
      <c r="AD731" s="6">
        <v>1</v>
      </c>
      <c r="AE731" t="s">
        <v>942</v>
      </c>
      <c r="AF731" t="s">
        <v>753</v>
      </c>
      <c r="AG731" t="s">
        <v>942</v>
      </c>
      <c r="AH731" t="s">
        <v>922</v>
      </c>
      <c r="AI731" t="s">
        <v>367</v>
      </c>
      <c r="AJ731" t="str">
        <f t="shared" si="397"/>
        <v/>
      </c>
      <c r="AK731" t="str">
        <f t="shared" si="397"/>
        <v/>
      </c>
      <c r="AL731" t="str">
        <f t="shared" si="374"/>
        <v/>
      </c>
      <c r="AN731" t="s">
        <v>861</v>
      </c>
      <c r="AO731" t="str">
        <f t="shared" si="375"/>
        <v>h</v>
      </c>
      <c r="AP731" t="str">
        <f t="shared" si="382"/>
        <v/>
      </c>
      <c r="AQ731" t="str">
        <f t="shared" si="383"/>
        <v/>
      </c>
      <c r="AR731" t="str">
        <f t="shared" si="384"/>
        <v>Home</v>
      </c>
      <c r="AS731" t="str">
        <f t="shared" si="385"/>
        <v>h</v>
      </c>
      <c r="AT731" t="str">
        <f t="shared" si="386"/>
        <v>Offensive</v>
      </c>
      <c r="BA731" s="6">
        <f t="shared" si="376"/>
        <v>200</v>
      </c>
      <c r="BB731">
        <f t="shared" si="377"/>
        <v>18981</v>
      </c>
      <c r="BC731" t="str">
        <f t="shared" si="378"/>
        <v>Nelson</v>
      </c>
      <c r="BD731" t="str">
        <f t="shared" si="379"/>
        <v>Velodrome</v>
      </c>
      <c r="BE731" t="s">
        <v>13</v>
      </c>
      <c r="BF731" t="s">
        <v>756</v>
      </c>
      <c r="BG731" t="s">
        <v>756</v>
      </c>
      <c r="BI731" cm="1">
        <f t="array" ref="BI731">IFERROR(_xlfn._xlws.FILTER(shifts!A:A,(shifts!B:B=events!AD731)*(shifts!AG:AG&gt;=events!BK731)*(shifts!AH:AH&lt;=events!BL731)),BI730)</f>
        <v>35</v>
      </c>
      <c r="BJ731" s="15">
        <f t="shared" si="380"/>
        <v>5</v>
      </c>
      <c r="BK731">
        <f t="shared" si="387"/>
        <v>175</v>
      </c>
      <c r="BL731">
        <f t="shared" si="388"/>
        <v>170</v>
      </c>
      <c r="BM731" s="15">
        <f>SUMIFS(BJ$2:BJ731,K$2:K731,"=Intermission")+SUMIFS(BJ$2:BJ731,K$2:K731,"=Timeout")</f>
        <v>0</v>
      </c>
      <c r="BN731">
        <f t="shared" si="389"/>
        <v>0</v>
      </c>
      <c r="BO731" s="19">
        <f t="shared" si="390"/>
        <v>905</v>
      </c>
      <c r="BP731">
        <f t="shared" si="391"/>
        <v>900</v>
      </c>
      <c r="BQ731" s="17">
        <f t="shared" si="392"/>
        <v>910</v>
      </c>
      <c r="BR731" t="str">
        <f t="shared" si="393"/>
        <v>event_team_player_1</v>
      </c>
      <c r="BS731">
        <f>COUNTIFS(S$3:S731,"="&amp;S731,AI$3:AI731,"="&amp;AI731)</f>
        <v>1</v>
      </c>
      <c r="BT731" t="str">
        <f>IFERROR(VLOOKUP(BB731&amp;BU731&amp;X731,game_rosters!U:W,3,FALSE),"")</f>
        <v>P100197</v>
      </c>
      <c r="BU731" t="str">
        <f t="shared" si="394"/>
        <v>Nelson</v>
      </c>
    </row>
    <row r="732" spans="1:73" x14ac:dyDescent="0.2">
      <c r="A732">
        <f t="shared" si="381"/>
        <v>1</v>
      </c>
      <c r="E732" s="4"/>
      <c r="F732" s="43"/>
      <c r="G732" s="4"/>
      <c r="H732" s="46"/>
      <c r="J732" s="44" t="str">
        <f t="shared" si="395"/>
        <v/>
      </c>
      <c r="K732" t="s">
        <v>7</v>
      </c>
      <c r="L732" t="s">
        <v>172</v>
      </c>
      <c r="M732" t="s">
        <v>385</v>
      </c>
      <c r="N732" t="str">
        <f t="shared" si="398"/>
        <v>s</v>
      </c>
      <c r="Q732" t="str">
        <f t="shared" si="396"/>
        <v/>
      </c>
      <c r="S732">
        <v>389</v>
      </c>
      <c r="U732" t="str">
        <f>IF(B732=1,MAX($U$2:$U731)+1,IF(AND($T732&lt;&gt;"",$T732=$T731),$U731,IF(B732="x",U731,"")))</f>
        <v/>
      </c>
      <c r="V732" t="str">
        <f>IF(C732=1,MAX($V$2:$V731)+1,IF(AND($T732&lt;&gt;"",$T732=$T731),$U731,IF(C732="x",V731,"")))</f>
        <v/>
      </c>
      <c r="W732" t="str">
        <f t="shared" si="370"/>
        <v>h</v>
      </c>
      <c r="X732">
        <v>80</v>
      </c>
      <c r="Y732" t="b">
        <f>IF(X732&lt;&gt;"",VLOOKUP(X732,game_rosters!$C$43:$E$64,3,FALSE))</f>
        <v>0</v>
      </c>
      <c r="Z732" cm="1">
        <f t="array" ref="Z732">IFERROR(IF(_xlfn._xlws.FILTER(game_rosters!$J:$J,(game_rosters!$G:$G=events!$AN732)*(game_rosters!$J:$J=events!$X732))&gt;0,1,""),"")</f>
        <v>1</v>
      </c>
      <c r="AA732">
        <f t="shared" si="371"/>
        <v>1389</v>
      </c>
      <c r="AB732" t="str">
        <f t="shared" si="372"/>
        <v/>
      </c>
      <c r="AC732">
        <f t="shared" si="369"/>
        <v>1389</v>
      </c>
      <c r="AD732" s="6">
        <v>1</v>
      </c>
      <c r="AE732" t="s">
        <v>942</v>
      </c>
      <c r="AF732" t="s">
        <v>922</v>
      </c>
      <c r="AG732" t="s">
        <v>756</v>
      </c>
      <c r="AH732" t="s">
        <v>756</v>
      </c>
      <c r="AI732" t="s">
        <v>367</v>
      </c>
      <c r="AJ732" t="str">
        <f t="shared" si="397"/>
        <v/>
      </c>
      <c r="AK732" t="str">
        <f t="shared" si="397"/>
        <v/>
      </c>
      <c r="AL732" t="str">
        <f t="shared" si="374"/>
        <v/>
      </c>
      <c r="AN732" t="s">
        <v>861</v>
      </c>
      <c r="AO732" t="str">
        <f t="shared" si="375"/>
        <v>h</v>
      </c>
      <c r="AP732" t="str">
        <f t="shared" si="382"/>
        <v/>
      </c>
      <c r="AQ732" t="str">
        <f t="shared" si="383"/>
        <v/>
      </c>
      <c r="AR732" t="str">
        <f t="shared" si="384"/>
        <v>Home</v>
      </c>
      <c r="AS732" t="str">
        <f t="shared" si="385"/>
        <v>h</v>
      </c>
      <c r="AT732" t="str">
        <f t="shared" si="386"/>
        <v>Offensive</v>
      </c>
      <c r="BA732" s="6">
        <f t="shared" si="376"/>
        <v>200</v>
      </c>
      <c r="BB732">
        <f t="shared" si="377"/>
        <v>18981</v>
      </c>
      <c r="BC732" t="str">
        <f t="shared" si="378"/>
        <v>Nelson</v>
      </c>
      <c r="BD732" t="str">
        <f t="shared" si="379"/>
        <v>Velodrome</v>
      </c>
      <c r="BE732" t="s">
        <v>7</v>
      </c>
      <c r="BF732" t="s">
        <v>172</v>
      </c>
      <c r="BG732" t="s">
        <v>385</v>
      </c>
      <c r="BI732" cm="1">
        <f t="array" ref="BI732">IFERROR(_xlfn._xlws.FILTER(shifts!A:A,(shifts!B:B=events!AD732)*(shifts!AG:AG&gt;=events!BK732)*(shifts!AH:AH&lt;=events!BL732)),BI731)</f>
        <v>35</v>
      </c>
      <c r="BJ732" s="15">
        <f t="shared" si="380"/>
        <v>0</v>
      </c>
      <c r="BK732">
        <f t="shared" si="387"/>
        <v>170</v>
      </c>
      <c r="BL732">
        <f t="shared" si="388"/>
        <v>170</v>
      </c>
      <c r="BM732" s="15">
        <f>SUMIFS(BJ$2:BJ732,K$2:K732,"=Intermission")+SUMIFS(BJ$2:BJ732,K$2:K732,"=Timeout")</f>
        <v>0</v>
      </c>
      <c r="BN732">
        <f t="shared" si="389"/>
        <v>0</v>
      </c>
      <c r="BO732" s="19">
        <f t="shared" si="390"/>
        <v>910</v>
      </c>
      <c r="BP732">
        <f t="shared" si="391"/>
        <v>905</v>
      </c>
      <c r="BQ732" s="17">
        <f t="shared" si="392"/>
        <v>910</v>
      </c>
      <c r="BR732" t="str">
        <f t="shared" si="393"/>
        <v>event_team_player_1</v>
      </c>
      <c r="BS732">
        <f>COUNTIFS(S$3:S732,"="&amp;S732,AI$3:AI732,"="&amp;AI732)</f>
        <v>1</v>
      </c>
      <c r="BT732" t="str">
        <f>IFERROR(VLOOKUP(BB732&amp;BU732&amp;X732,game_rosters!U:W,3,FALSE),"")</f>
        <v>P100197</v>
      </c>
      <c r="BU732" t="str">
        <f t="shared" si="394"/>
        <v>Nelson</v>
      </c>
    </row>
    <row r="733" spans="1:73" x14ac:dyDescent="0.2">
      <c r="A733">
        <f t="shared" si="381"/>
        <v>1</v>
      </c>
      <c r="E733" s="4"/>
      <c r="F733" s="43"/>
      <c r="G733" s="4"/>
      <c r="H733" s="46"/>
      <c r="J733" s="44" t="str">
        <f t="shared" si="395"/>
        <v/>
      </c>
      <c r="K733" t="s">
        <v>7</v>
      </c>
      <c r="L733" t="s">
        <v>172</v>
      </c>
      <c r="M733" t="s">
        <v>385</v>
      </c>
      <c r="N733" t="str">
        <f t="shared" si="398"/>
        <v>s</v>
      </c>
      <c r="Q733" t="str">
        <f t="shared" si="396"/>
        <v/>
      </c>
      <c r="S733">
        <v>389</v>
      </c>
      <c r="U733" t="str">
        <f>IF(B733=1,MAX($U$2:$U732)+1,IF(AND($T733&lt;&gt;"",$T733=$T732),$U732,IF(B733="x",U732,"")))</f>
        <v/>
      </c>
      <c r="V733" t="str">
        <f>IF(C733=1,MAX($V$2:$V732)+1,IF(AND($T733&lt;&gt;"",$T733=$T732),$U732,IF(C733="x",V732,"")))</f>
        <v/>
      </c>
      <c r="W733" t="str">
        <f t="shared" si="370"/>
        <v>h</v>
      </c>
      <c r="X733">
        <v>23</v>
      </c>
      <c r="Y733" t="b">
        <f>IF(X733&lt;&gt;"",VLOOKUP(X733,game_rosters!$C$43:$E$64,3,FALSE))</f>
        <v>0</v>
      </c>
      <c r="Z733" cm="1">
        <f t="array" ref="Z733">IFERROR(IF(_xlfn._xlws.FILTER(game_rosters!$J:$J,(game_rosters!$G:$G=events!$AN733)*(game_rosters!$J:$J=events!$X733))&gt;0,1,""),"")</f>
        <v>1</v>
      </c>
      <c r="AA733">
        <f t="shared" si="371"/>
        <v>1389</v>
      </c>
      <c r="AB733" t="str">
        <f t="shared" si="372"/>
        <v/>
      </c>
      <c r="AC733">
        <f t="shared" si="369"/>
        <v>1389</v>
      </c>
      <c r="AD733" s="6">
        <v>1</v>
      </c>
      <c r="AE733" t="s">
        <v>942</v>
      </c>
      <c r="AF733" t="s">
        <v>922</v>
      </c>
      <c r="AG733" t="s">
        <v>756</v>
      </c>
      <c r="AH733" t="s">
        <v>756</v>
      </c>
      <c r="AI733" t="s">
        <v>367</v>
      </c>
      <c r="AJ733" t="str">
        <f t="shared" si="397"/>
        <v/>
      </c>
      <c r="AK733" t="str">
        <f t="shared" si="397"/>
        <v/>
      </c>
      <c r="AL733" t="str">
        <f t="shared" si="374"/>
        <v/>
      </c>
      <c r="AN733" t="s">
        <v>861</v>
      </c>
      <c r="AO733" t="str">
        <f t="shared" si="375"/>
        <v>h</v>
      </c>
      <c r="AP733" t="str">
        <f t="shared" si="382"/>
        <v/>
      </c>
      <c r="AQ733" t="str">
        <f t="shared" si="383"/>
        <v/>
      </c>
      <c r="AR733" t="str">
        <f t="shared" si="384"/>
        <v>Home</v>
      </c>
      <c r="AS733" t="str">
        <f t="shared" si="385"/>
        <v>h</v>
      </c>
      <c r="AT733" t="str">
        <f t="shared" si="386"/>
        <v>Offensive</v>
      </c>
      <c r="BA733" s="6">
        <f t="shared" si="376"/>
        <v>200</v>
      </c>
      <c r="BB733">
        <f t="shared" si="377"/>
        <v>18981</v>
      </c>
      <c r="BC733" t="str">
        <f t="shared" si="378"/>
        <v>Nelson</v>
      </c>
      <c r="BD733" t="str">
        <f t="shared" si="379"/>
        <v>Velodrome</v>
      </c>
      <c r="BE733" t="s">
        <v>7</v>
      </c>
      <c r="BF733" t="s">
        <v>172</v>
      </c>
      <c r="BG733" t="s">
        <v>385</v>
      </c>
      <c r="BI733" cm="1">
        <f t="array" ref="BI733">IFERROR(_xlfn._xlws.FILTER(shifts!A:A,(shifts!B:B=events!AD733)*(shifts!AG:AG&gt;=events!BK733)*(shifts!AH:AH&lt;=events!BL733)),BI732)</f>
        <v>35</v>
      </c>
      <c r="BJ733" s="15">
        <f t="shared" si="380"/>
        <v>0</v>
      </c>
      <c r="BK733">
        <f t="shared" si="387"/>
        <v>170</v>
      </c>
      <c r="BL733">
        <f t="shared" si="388"/>
        <v>170</v>
      </c>
      <c r="BM733" s="15">
        <f>SUMIFS(BJ$2:BJ733,K$2:K733,"=Intermission")+SUMIFS(BJ$2:BJ733,K$2:K733,"=Timeout")</f>
        <v>0</v>
      </c>
      <c r="BN733">
        <f t="shared" si="389"/>
        <v>0</v>
      </c>
      <c r="BO733" s="19">
        <f t="shared" si="390"/>
        <v>910</v>
      </c>
      <c r="BP733">
        <f t="shared" si="391"/>
        <v>905</v>
      </c>
      <c r="BQ733" s="17">
        <f t="shared" si="392"/>
        <v>910</v>
      </c>
      <c r="BR733" t="str">
        <f t="shared" si="393"/>
        <v>event_team_player_2</v>
      </c>
      <c r="BS733">
        <f>COUNTIFS(S$3:S733,"="&amp;S733,AI$3:AI733,"="&amp;AI733)</f>
        <v>2</v>
      </c>
      <c r="BT733" t="str">
        <f>IFERROR(VLOOKUP(BB733&amp;BU733&amp;X733,game_rosters!U:W,3,FALSE),"")</f>
        <v>P100061</v>
      </c>
      <c r="BU733" t="str">
        <f t="shared" si="394"/>
        <v>Nelson</v>
      </c>
    </row>
    <row r="734" spans="1:73" x14ac:dyDescent="0.2">
      <c r="A734">
        <f t="shared" si="381"/>
        <v>1</v>
      </c>
      <c r="E734" s="4"/>
      <c r="F734" s="43"/>
      <c r="G734" s="4"/>
      <c r="H734" s="46"/>
      <c r="J734" s="44" t="str">
        <f t="shared" si="395"/>
        <v>d</v>
      </c>
      <c r="K734" t="s">
        <v>238</v>
      </c>
      <c r="L734" t="s">
        <v>184</v>
      </c>
      <c r="M734" t="s">
        <v>88</v>
      </c>
      <c r="N734" t="str">
        <f t="shared" si="398"/>
        <v>s</v>
      </c>
      <c r="Q734" t="str">
        <f t="shared" si="396"/>
        <v/>
      </c>
      <c r="S734">
        <v>390</v>
      </c>
      <c r="U734" t="str">
        <f>IF(B734=1,MAX($U$2:$U733)+1,IF(AND($T734&lt;&gt;"",$T734=$T733),$U733,IF(B734="x",U733,"")))</f>
        <v/>
      </c>
      <c r="V734" t="str">
        <f>IF(C734=1,MAX($V$2:$V733)+1,IF(AND($T734&lt;&gt;"",$T734=$T733),$U733,IF(C734="x",V733,"")))</f>
        <v/>
      </c>
      <c r="W734" t="str">
        <f t="shared" si="370"/>
        <v>h</v>
      </c>
      <c r="X734">
        <v>23</v>
      </c>
      <c r="Y734" t="b">
        <f>IF(X734&lt;&gt;"",VLOOKUP(X734,game_rosters!$C$43:$E$64,3,FALSE))</f>
        <v>0</v>
      </c>
      <c r="Z734" cm="1">
        <f t="array" ref="Z734">IFERROR(IF(_xlfn._xlws.FILTER(game_rosters!$J:$J,(game_rosters!$G:$G=events!$AN734)*(game_rosters!$J:$J=events!$X734))&gt;0,1,""),"")</f>
        <v>1</v>
      </c>
      <c r="AA734">
        <f t="shared" si="371"/>
        <v>1390</v>
      </c>
      <c r="AB734" t="str">
        <f t="shared" si="372"/>
        <v/>
      </c>
      <c r="AC734">
        <f t="shared" si="369"/>
        <v>1390</v>
      </c>
      <c r="AD734" s="6">
        <v>1</v>
      </c>
      <c r="AE734" t="s">
        <v>942</v>
      </c>
      <c r="AF734" t="s">
        <v>922</v>
      </c>
      <c r="AG734" t="s">
        <v>942</v>
      </c>
      <c r="AH734" t="s">
        <v>900</v>
      </c>
      <c r="AI734" t="s">
        <v>367</v>
      </c>
      <c r="AJ734" t="str">
        <f t="shared" si="397"/>
        <v>d</v>
      </c>
      <c r="AK734" t="str">
        <f t="shared" si="397"/>
        <v>d</v>
      </c>
      <c r="AL734" t="str">
        <f t="shared" si="374"/>
        <v>d</v>
      </c>
      <c r="AN734" t="s">
        <v>861</v>
      </c>
      <c r="AO734" t="str">
        <f t="shared" si="375"/>
        <v>h</v>
      </c>
      <c r="AP734" t="str">
        <f t="shared" si="382"/>
        <v>d</v>
      </c>
      <c r="AQ734" t="str">
        <f t="shared" si="383"/>
        <v/>
      </c>
      <c r="AR734" t="str">
        <f t="shared" si="384"/>
        <v>Home</v>
      </c>
      <c r="AS734" t="str">
        <f t="shared" si="385"/>
        <v>h</v>
      </c>
      <c r="AT734" t="str">
        <f t="shared" si="386"/>
        <v>Offensive</v>
      </c>
      <c r="BA734" s="6">
        <f t="shared" si="376"/>
        <v>201</v>
      </c>
      <c r="BB734">
        <f t="shared" si="377"/>
        <v>18981</v>
      </c>
      <c r="BC734" t="str">
        <f t="shared" si="378"/>
        <v>Nelson</v>
      </c>
      <c r="BD734" t="str">
        <f t="shared" si="379"/>
        <v>Velodrome</v>
      </c>
      <c r="BE734" t="s">
        <v>238</v>
      </c>
      <c r="BF734" t="s">
        <v>184</v>
      </c>
      <c r="BG734" t="s">
        <v>88</v>
      </c>
      <c r="BI734" cm="1">
        <f t="array" ref="BI734">IFERROR(_xlfn._xlws.FILTER(shifts!A:A,(shifts!B:B=events!AD734)*(shifts!AG:AG&gt;=events!BK734)*(shifts!AH:AH&lt;=events!BL734)),BI733)</f>
        <v>35</v>
      </c>
      <c r="BJ734" s="15">
        <f t="shared" si="380"/>
        <v>3</v>
      </c>
      <c r="BK734">
        <f t="shared" si="387"/>
        <v>170</v>
      </c>
      <c r="BL734">
        <f t="shared" si="388"/>
        <v>167</v>
      </c>
      <c r="BM734" s="15">
        <f>SUMIFS(BJ$2:BJ734,K$2:K734,"=Intermission")+SUMIFS(BJ$2:BJ734,K$2:K734,"=Timeout")</f>
        <v>0</v>
      </c>
      <c r="BN734">
        <f t="shared" si="389"/>
        <v>0</v>
      </c>
      <c r="BO734" s="19">
        <f t="shared" si="390"/>
        <v>910</v>
      </c>
      <c r="BP734">
        <f t="shared" si="391"/>
        <v>905</v>
      </c>
      <c r="BQ734" s="17">
        <f t="shared" si="392"/>
        <v>913</v>
      </c>
      <c r="BR734" t="str">
        <f t="shared" si="393"/>
        <v>event_team_player_1</v>
      </c>
      <c r="BS734">
        <f>COUNTIFS(S$3:S734,"="&amp;S734,AI$3:AI734,"="&amp;AI734)</f>
        <v>1</v>
      </c>
      <c r="BT734" t="str">
        <f>IFERROR(VLOOKUP(BB734&amp;BU734&amp;X734,game_rosters!U:W,3,FALSE),"")</f>
        <v>P100061</v>
      </c>
      <c r="BU734" t="str">
        <f t="shared" si="394"/>
        <v>Nelson</v>
      </c>
    </row>
    <row r="735" spans="1:73" x14ac:dyDescent="0.2">
      <c r="A735">
        <f t="shared" si="381"/>
        <v>1</v>
      </c>
      <c r="E735" s="4"/>
      <c r="F735" s="43"/>
      <c r="G735" s="4"/>
      <c r="H735" s="46"/>
      <c r="J735" s="44" t="str">
        <f t="shared" si="395"/>
        <v/>
      </c>
      <c r="K735" t="s">
        <v>7</v>
      </c>
      <c r="L735" t="s">
        <v>192</v>
      </c>
      <c r="M735" t="s">
        <v>68</v>
      </c>
      <c r="N735" t="str">
        <f t="shared" si="398"/>
        <v>u</v>
      </c>
      <c r="Q735" t="str">
        <f t="shared" si="396"/>
        <v/>
      </c>
      <c r="S735">
        <v>391</v>
      </c>
      <c r="U735" t="str">
        <f>IF(B735=1,MAX($U$2:$U734)+1,IF(AND($T735&lt;&gt;"",$T735=$T734),$U734,IF(B735="x",U734,"")))</f>
        <v/>
      </c>
      <c r="V735" t="str">
        <f>IF(C735=1,MAX($V$2:$V734)+1,IF(AND($T735&lt;&gt;"",$T735=$T734),$U734,IF(C735="x",V734,"")))</f>
        <v/>
      </c>
      <c r="W735" t="str">
        <f t="shared" si="370"/>
        <v>h</v>
      </c>
      <c r="X735">
        <v>23</v>
      </c>
      <c r="Y735" t="b">
        <f>IF(X735&lt;&gt;"",VLOOKUP(X735,game_rosters!$C$43:$E$64,3,FALSE))</f>
        <v>0</v>
      </c>
      <c r="Z735" cm="1">
        <f t="array" ref="Z735">IFERROR(IF(_xlfn._xlws.FILTER(game_rosters!$J:$J,(game_rosters!$G:$G=events!$AN735)*(game_rosters!$J:$J=events!$X735))&gt;0,1,""),"")</f>
        <v>1</v>
      </c>
      <c r="AA735">
        <f t="shared" si="371"/>
        <v>1391</v>
      </c>
      <c r="AB735" t="str">
        <f t="shared" si="372"/>
        <v/>
      </c>
      <c r="AC735">
        <f t="shared" si="369"/>
        <v>1391</v>
      </c>
      <c r="AD735" s="6">
        <v>1</v>
      </c>
      <c r="AE735" t="s">
        <v>942</v>
      </c>
      <c r="AF735" t="s">
        <v>900</v>
      </c>
      <c r="AG735" t="s">
        <v>756</v>
      </c>
      <c r="AH735" t="s">
        <v>756</v>
      </c>
      <c r="AI735" t="s">
        <v>367</v>
      </c>
      <c r="AJ735" t="str">
        <f t="shared" si="397"/>
        <v/>
      </c>
      <c r="AK735" t="str">
        <f t="shared" si="397"/>
        <v/>
      </c>
      <c r="AL735" t="str">
        <f t="shared" si="374"/>
        <v/>
      </c>
      <c r="AN735" t="s">
        <v>861</v>
      </c>
      <c r="AO735" t="str">
        <f t="shared" si="375"/>
        <v>h</v>
      </c>
      <c r="AP735" t="str">
        <f t="shared" si="382"/>
        <v/>
      </c>
      <c r="AQ735" t="str">
        <f t="shared" si="383"/>
        <v/>
      </c>
      <c r="AR735" t="str">
        <f t="shared" si="384"/>
        <v>Home</v>
      </c>
      <c r="AS735" t="str">
        <f t="shared" si="385"/>
        <v>h</v>
      </c>
      <c r="AT735" t="str">
        <f t="shared" si="386"/>
        <v>Offensive</v>
      </c>
      <c r="BA735" s="6">
        <f t="shared" si="376"/>
        <v>201</v>
      </c>
      <c r="BB735">
        <f t="shared" si="377"/>
        <v>18981</v>
      </c>
      <c r="BC735" t="str">
        <f t="shared" si="378"/>
        <v>Nelson</v>
      </c>
      <c r="BD735" t="str">
        <f t="shared" si="379"/>
        <v>Velodrome</v>
      </c>
      <c r="BE735" t="s">
        <v>7</v>
      </c>
      <c r="BF735" t="s">
        <v>192</v>
      </c>
      <c r="BG735" t="s">
        <v>68</v>
      </c>
      <c r="BI735" cm="1">
        <f t="array" ref="BI735">IFERROR(_xlfn._xlws.FILTER(shifts!A:A,(shifts!B:B=events!AD735)*(shifts!AG:AG&gt;=events!BK735)*(shifts!AH:AH&lt;=events!BL735)),BI734)</f>
        <v>36</v>
      </c>
      <c r="BJ735" s="15">
        <f t="shared" si="380"/>
        <v>0</v>
      </c>
      <c r="BK735">
        <f t="shared" si="387"/>
        <v>167</v>
      </c>
      <c r="BL735">
        <f t="shared" si="388"/>
        <v>167</v>
      </c>
      <c r="BM735" s="15">
        <f>SUMIFS(BJ$2:BJ735,K$2:K735,"=Intermission")+SUMIFS(BJ$2:BJ735,K$2:K735,"=Timeout")</f>
        <v>0</v>
      </c>
      <c r="BN735">
        <f t="shared" si="389"/>
        <v>0</v>
      </c>
      <c r="BO735" s="19">
        <f t="shared" si="390"/>
        <v>913</v>
      </c>
      <c r="BP735">
        <f t="shared" si="391"/>
        <v>908</v>
      </c>
      <c r="BQ735" s="17">
        <f t="shared" si="392"/>
        <v>913</v>
      </c>
      <c r="BR735" t="str">
        <f t="shared" si="393"/>
        <v>event_team_player_1</v>
      </c>
      <c r="BS735">
        <f>COUNTIFS(S$3:S735,"="&amp;S735,AI$3:AI735,"="&amp;AI735)</f>
        <v>1</v>
      </c>
      <c r="BT735" t="str">
        <f>IFERROR(VLOOKUP(BB735&amp;BU735&amp;X735,game_rosters!U:W,3,FALSE),"")</f>
        <v>P100061</v>
      </c>
      <c r="BU735" t="str">
        <f t="shared" si="394"/>
        <v>Nelson</v>
      </c>
    </row>
    <row r="736" spans="1:73" x14ac:dyDescent="0.2">
      <c r="A736">
        <f t="shared" si="381"/>
        <v>1</v>
      </c>
      <c r="E736" s="4"/>
      <c r="F736" s="43"/>
      <c r="G736" s="4"/>
      <c r="H736" s="46"/>
      <c r="J736" s="44" t="str">
        <f t="shared" si="395"/>
        <v/>
      </c>
      <c r="K736" t="s">
        <v>7</v>
      </c>
      <c r="L736" t="s">
        <v>192</v>
      </c>
      <c r="M736" t="s">
        <v>68</v>
      </c>
      <c r="N736" t="str">
        <f t="shared" si="398"/>
        <v>u</v>
      </c>
      <c r="Q736" t="str">
        <f t="shared" si="396"/>
        <v/>
      </c>
      <c r="S736">
        <v>391</v>
      </c>
      <c r="U736" t="str">
        <f>IF(B736=1,MAX($U$2:$U735)+1,IF(AND($T736&lt;&gt;"",$T736=$T735),$U735,IF(B736="x",U735,"")))</f>
        <v/>
      </c>
      <c r="V736" t="str">
        <f>IF(C736=1,MAX($V$2:$V735)+1,IF(AND($T736&lt;&gt;"",$T736=$T735),$U735,IF(C736="x",V735,"")))</f>
        <v/>
      </c>
      <c r="W736" t="str">
        <f t="shared" si="370"/>
        <v>h</v>
      </c>
      <c r="X736">
        <v>91</v>
      </c>
      <c r="Y736" t="e">
        <f>IF(X736&lt;&gt;"",VLOOKUP(X736,game_rosters!$C$43:$E$64,3,FALSE))</f>
        <v>#N/A</v>
      </c>
      <c r="Z736" t="str" cm="1">
        <f t="array" ref="Z736">IFERROR(IF(_xlfn._xlws.FILTER(game_rosters!$J:$J,(game_rosters!$G:$G=events!$AN736)*(game_rosters!$J:$J=events!$X736))&gt;0,1,""),"")</f>
        <v/>
      </c>
      <c r="AA736">
        <f t="shared" si="371"/>
        <v>1391</v>
      </c>
      <c r="AB736" t="str">
        <f t="shared" si="372"/>
        <v/>
      </c>
      <c r="AC736">
        <f t="shared" si="369"/>
        <v>1391</v>
      </c>
      <c r="AD736" s="6">
        <v>1</v>
      </c>
      <c r="AE736" t="s">
        <v>942</v>
      </c>
      <c r="AF736" t="s">
        <v>900</v>
      </c>
      <c r="AG736" t="s">
        <v>756</v>
      </c>
      <c r="AH736" t="s">
        <v>756</v>
      </c>
      <c r="AI736" t="s">
        <v>368</v>
      </c>
      <c r="AJ736" t="str">
        <f t="shared" si="397"/>
        <v/>
      </c>
      <c r="AK736" t="str">
        <f t="shared" si="397"/>
        <v/>
      </c>
      <c r="AL736" t="str">
        <f t="shared" si="374"/>
        <v/>
      </c>
      <c r="AN736" t="s">
        <v>861</v>
      </c>
      <c r="AO736" t="str">
        <f t="shared" si="375"/>
        <v>h</v>
      </c>
      <c r="AP736" t="str">
        <f t="shared" si="382"/>
        <v/>
      </c>
      <c r="AQ736" t="str">
        <f t="shared" si="383"/>
        <v/>
      </c>
      <c r="AR736" t="str">
        <f t="shared" si="384"/>
        <v>Home</v>
      </c>
      <c r="AS736" t="str">
        <f t="shared" si="385"/>
        <v>h</v>
      </c>
      <c r="AT736" t="str">
        <f t="shared" si="386"/>
        <v>Defensive</v>
      </c>
      <c r="BA736" s="6">
        <f t="shared" si="376"/>
        <v>201</v>
      </c>
      <c r="BB736">
        <f t="shared" si="377"/>
        <v>18981</v>
      </c>
      <c r="BC736" t="str">
        <f t="shared" si="378"/>
        <v>Nelson</v>
      </c>
      <c r="BD736" t="str">
        <f t="shared" si="379"/>
        <v>Velodrome</v>
      </c>
      <c r="BE736" t="s">
        <v>7</v>
      </c>
      <c r="BF736" t="s">
        <v>192</v>
      </c>
      <c r="BG736" t="s">
        <v>68</v>
      </c>
      <c r="BI736" cm="1">
        <f t="array" ref="BI736">IFERROR(_xlfn._xlws.FILTER(shifts!A:A,(shifts!B:B=events!AD736)*(shifts!AG:AG&gt;=events!BK736)*(shifts!AH:AH&lt;=events!BL736)),BI735)</f>
        <v>36</v>
      </c>
      <c r="BJ736" s="15">
        <f t="shared" si="380"/>
        <v>0</v>
      </c>
      <c r="BK736">
        <f t="shared" si="387"/>
        <v>167</v>
      </c>
      <c r="BL736">
        <f t="shared" si="388"/>
        <v>167</v>
      </c>
      <c r="BM736" s="15">
        <f>SUMIFS(BJ$2:BJ736,K$2:K736,"=Intermission")+SUMIFS(BJ$2:BJ736,K$2:K736,"=Timeout")</f>
        <v>0</v>
      </c>
      <c r="BN736">
        <f t="shared" si="389"/>
        <v>0</v>
      </c>
      <c r="BO736" s="19">
        <f t="shared" si="390"/>
        <v>913</v>
      </c>
      <c r="BP736">
        <f t="shared" si="391"/>
        <v>908</v>
      </c>
      <c r="BQ736" s="17">
        <f t="shared" si="392"/>
        <v>913</v>
      </c>
      <c r="BR736" t="str">
        <f t="shared" si="393"/>
        <v>opp_team_player_1</v>
      </c>
      <c r="BS736">
        <f>COUNTIFS(S$3:S736,"="&amp;S736,AI$3:AI736,"="&amp;AI736)</f>
        <v>1</v>
      </c>
      <c r="BT736" t="str">
        <f>IFERROR(VLOOKUP(BB736&amp;BU736&amp;X736,game_rosters!U:W,3,FALSE),"")</f>
        <v>P100002</v>
      </c>
      <c r="BU736" t="str">
        <f t="shared" si="394"/>
        <v>Velodrome</v>
      </c>
    </row>
    <row r="737" spans="1:73" x14ac:dyDescent="0.2">
      <c r="A737">
        <f t="shared" si="381"/>
        <v>1</v>
      </c>
      <c r="E737" s="4"/>
      <c r="F737" s="43"/>
      <c r="G737" s="4"/>
      <c r="H737" s="46"/>
      <c r="J737" s="44" t="str">
        <f t="shared" si="395"/>
        <v/>
      </c>
      <c r="K737" t="s">
        <v>13</v>
      </c>
      <c r="L737" t="s">
        <v>756</v>
      </c>
      <c r="M737" t="s">
        <v>756</v>
      </c>
      <c r="N737" t="str">
        <f t="shared" si="398"/>
        <v/>
      </c>
      <c r="Q737" t="str">
        <f t="shared" si="396"/>
        <v/>
      </c>
      <c r="S737">
        <v>392</v>
      </c>
      <c r="U737" t="str">
        <f>IF(B737=1,MAX($U$2:$U736)+1,IF(AND($T737&lt;&gt;"",$T737=$T736),$U736,IF(B737="x",U736,"")))</f>
        <v/>
      </c>
      <c r="V737" t="str">
        <f>IF(C737=1,MAX($V$2:$V736)+1,IF(AND($T737&lt;&gt;"",$T737=$T736),$U736,IF(C737="x",V736,"")))</f>
        <v/>
      </c>
      <c r="W737" t="str">
        <f t="shared" si="370"/>
        <v>h</v>
      </c>
      <c r="X737">
        <v>37</v>
      </c>
      <c r="Y737" t="b">
        <f>IF(X737&lt;&gt;"",VLOOKUP(X737,game_rosters!$C$43:$E$64,3,FALSE))</f>
        <v>0</v>
      </c>
      <c r="Z737" cm="1">
        <f t="array" ref="Z737">IFERROR(IF(_xlfn._xlws.FILTER(game_rosters!$J:$J,(game_rosters!$G:$G=events!$AN737)*(game_rosters!$J:$J=events!$X737))&gt;0,1,""),"")</f>
        <v>1</v>
      </c>
      <c r="AA737">
        <f t="shared" si="371"/>
        <v>1392</v>
      </c>
      <c r="AB737" t="str">
        <f t="shared" si="372"/>
        <v/>
      </c>
      <c r="AC737">
        <f t="shared" si="369"/>
        <v>1392</v>
      </c>
      <c r="AD737" s="6">
        <v>1</v>
      </c>
      <c r="AE737" t="s">
        <v>942</v>
      </c>
      <c r="AF737" t="s">
        <v>904</v>
      </c>
      <c r="AG737" t="s">
        <v>942</v>
      </c>
      <c r="AH737" t="s">
        <v>914</v>
      </c>
      <c r="AI737" t="s">
        <v>367</v>
      </c>
      <c r="AJ737" t="str">
        <f t="shared" si="397"/>
        <v/>
      </c>
      <c r="AK737" t="str">
        <f t="shared" si="397"/>
        <v/>
      </c>
      <c r="AL737" t="str">
        <f t="shared" si="374"/>
        <v/>
      </c>
      <c r="AN737" t="s">
        <v>861</v>
      </c>
      <c r="AO737" t="str">
        <f t="shared" si="375"/>
        <v>h</v>
      </c>
      <c r="AP737" t="str">
        <f t="shared" si="382"/>
        <v/>
      </c>
      <c r="AQ737" t="str">
        <f t="shared" si="383"/>
        <v/>
      </c>
      <c r="AR737" t="str">
        <f t="shared" si="384"/>
        <v>Home</v>
      </c>
      <c r="AS737" t="str">
        <f t="shared" si="385"/>
        <v>h</v>
      </c>
      <c r="AT737" t="str">
        <f t="shared" si="386"/>
        <v>Offensive</v>
      </c>
      <c r="BA737" s="6">
        <f t="shared" si="376"/>
        <v>201</v>
      </c>
      <c r="BB737">
        <f t="shared" si="377"/>
        <v>18981</v>
      </c>
      <c r="BC737" t="str">
        <f t="shared" si="378"/>
        <v>Nelson</v>
      </c>
      <c r="BD737" t="str">
        <f t="shared" si="379"/>
        <v>Velodrome</v>
      </c>
      <c r="BE737" t="s">
        <v>13</v>
      </c>
      <c r="BF737" t="s">
        <v>756</v>
      </c>
      <c r="BG737" t="s">
        <v>756</v>
      </c>
      <c r="BI737" cm="1">
        <f t="array" ref="BI737">IFERROR(_xlfn._xlws.FILTER(shifts!A:A,(shifts!B:B=events!AD737)*(shifts!AG:AG&gt;=events!BK737)*(shifts!AH:AH&lt;=events!BL737)),BI736)</f>
        <v>36</v>
      </c>
      <c r="BJ737" s="15">
        <f t="shared" si="380"/>
        <v>3</v>
      </c>
      <c r="BK737">
        <f t="shared" si="387"/>
        <v>156</v>
      </c>
      <c r="BL737">
        <f t="shared" si="388"/>
        <v>153</v>
      </c>
      <c r="BM737" s="15">
        <f>SUMIFS(BJ$2:BJ737,K$2:K737,"=Intermission")+SUMIFS(BJ$2:BJ737,K$2:K737,"=Timeout")</f>
        <v>0</v>
      </c>
      <c r="BN737">
        <f t="shared" si="389"/>
        <v>0</v>
      </c>
      <c r="BO737" s="19">
        <f t="shared" si="390"/>
        <v>924</v>
      </c>
      <c r="BP737">
        <f t="shared" si="391"/>
        <v>919</v>
      </c>
      <c r="BQ737" s="17">
        <f t="shared" si="392"/>
        <v>927</v>
      </c>
      <c r="BR737" t="str">
        <f t="shared" si="393"/>
        <v>event_team_player_1</v>
      </c>
      <c r="BS737">
        <f>COUNTIFS(S$3:S737,"="&amp;S737,AI$3:AI737,"="&amp;AI737)</f>
        <v>1</v>
      </c>
      <c r="BT737" t="str">
        <f>IFERROR(VLOOKUP(BB737&amp;BU737&amp;X737,game_rosters!U:W,3,FALSE),"")</f>
        <v>P100119</v>
      </c>
      <c r="BU737" t="str">
        <f t="shared" si="394"/>
        <v>Nelson</v>
      </c>
    </row>
    <row r="738" spans="1:73" x14ac:dyDescent="0.2">
      <c r="A738">
        <f t="shared" si="381"/>
        <v>1</v>
      </c>
      <c r="E738" s="4"/>
      <c r="F738" s="43"/>
      <c r="G738" s="4"/>
      <c r="H738" s="46"/>
      <c r="J738" s="44" t="str">
        <f t="shared" si="395"/>
        <v/>
      </c>
      <c r="K738" t="s">
        <v>7</v>
      </c>
      <c r="L738" t="s">
        <v>172</v>
      </c>
      <c r="M738" t="s">
        <v>68</v>
      </c>
      <c r="N738" t="str">
        <f t="shared" si="398"/>
        <v>s</v>
      </c>
      <c r="Q738" t="str">
        <f t="shared" si="396"/>
        <v/>
      </c>
      <c r="S738">
        <v>393</v>
      </c>
      <c r="U738" t="str">
        <f>IF(B738=1,MAX($U$2:$U737)+1,IF(AND($T738&lt;&gt;"",$T738=$T737),$U737,IF(B738="x",U737,"")))</f>
        <v/>
      </c>
      <c r="V738" t="str">
        <f>IF(C738=1,MAX($V$2:$V737)+1,IF(AND($T738&lt;&gt;"",$T738=$T737),$U737,IF(C738="x",V737,"")))</f>
        <v/>
      </c>
      <c r="W738" t="str">
        <f t="shared" si="370"/>
        <v>h</v>
      </c>
      <c r="X738">
        <v>37</v>
      </c>
      <c r="Y738" t="b">
        <f>IF(X738&lt;&gt;"",VLOOKUP(X738,game_rosters!$C$43:$E$64,3,FALSE))</f>
        <v>0</v>
      </c>
      <c r="Z738" cm="1">
        <f t="array" ref="Z738">IFERROR(IF(_xlfn._xlws.FILTER(game_rosters!$J:$J,(game_rosters!$G:$G=events!$AN738)*(game_rosters!$J:$J=events!$X738))&gt;0,1,""),"")</f>
        <v>1</v>
      </c>
      <c r="AA738">
        <f t="shared" si="371"/>
        <v>1393</v>
      </c>
      <c r="AB738" t="str">
        <f t="shared" si="372"/>
        <v/>
      </c>
      <c r="AC738">
        <f t="shared" si="369"/>
        <v>1393</v>
      </c>
      <c r="AD738" s="6">
        <v>1</v>
      </c>
      <c r="AE738" t="s">
        <v>942</v>
      </c>
      <c r="AF738" t="s">
        <v>914</v>
      </c>
      <c r="AG738" t="s">
        <v>756</v>
      </c>
      <c r="AH738" t="s">
        <v>756</v>
      </c>
      <c r="AI738" t="s">
        <v>367</v>
      </c>
      <c r="AJ738" t="str">
        <f t="shared" si="397"/>
        <v/>
      </c>
      <c r="AK738" t="str">
        <f t="shared" si="397"/>
        <v/>
      </c>
      <c r="AL738" t="str">
        <f t="shared" si="374"/>
        <v/>
      </c>
      <c r="AN738" t="s">
        <v>861</v>
      </c>
      <c r="AO738" t="str">
        <f t="shared" si="375"/>
        <v>h</v>
      </c>
      <c r="AP738" t="str">
        <f t="shared" si="382"/>
        <v/>
      </c>
      <c r="AQ738" t="str">
        <f t="shared" si="383"/>
        <v/>
      </c>
      <c r="AR738" t="str">
        <f t="shared" si="384"/>
        <v>Home</v>
      </c>
      <c r="AS738" t="str">
        <f t="shared" si="385"/>
        <v>h</v>
      </c>
      <c r="AT738" t="str">
        <f t="shared" si="386"/>
        <v>Offensive</v>
      </c>
      <c r="BA738" s="6">
        <f t="shared" si="376"/>
        <v>201</v>
      </c>
      <c r="BB738">
        <f t="shared" si="377"/>
        <v>18981</v>
      </c>
      <c r="BC738" t="str">
        <f t="shared" si="378"/>
        <v>Nelson</v>
      </c>
      <c r="BD738" t="str">
        <f t="shared" si="379"/>
        <v>Velodrome</v>
      </c>
      <c r="BE738" t="s">
        <v>7</v>
      </c>
      <c r="BF738" t="s">
        <v>172</v>
      </c>
      <c r="BG738" t="s">
        <v>68</v>
      </c>
      <c r="BI738" cm="1">
        <f t="array" ref="BI738">IFERROR(_xlfn._xlws.FILTER(shifts!A:A,(shifts!B:B=events!AD738)*(shifts!AG:AG&gt;=events!BK738)*(shifts!AH:AH&lt;=events!BL738)),BI737)</f>
        <v>36</v>
      </c>
      <c r="BJ738" s="15">
        <f t="shared" si="380"/>
        <v>0</v>
      </c>
      <c r="BK738">
        <f t="shared" si="387"/>
        <v>153</v>
      </c>
      <c r="BL738">
        <f t="shared" si="388"/>
        <v>153</v>
      </c>
      <c r="BM738" s="15">
        <f>SUMIFS(BJ$2:BJ738,K$2:K738,"=Intermission")+SUMIFS(BJ$2:BJ738,K$2:K738,"=Timeout")</f>
        <v>0</v>
      </c>
      <c r="BN738">
        <f t="shared" si="389"/>
        <v>0</v>
      </c>
      <c r="BO738" s="19">
        <f t="shared" si="390"/>
        <v>927</v>
      </c>
      <c r="BP738">
        <f t="shared" si="391"/>
        <v>922</v>
      </c>
      <c r="BQ738" s="17">
        <f t="shared" si="392"/>
        <v>927</v>
      </c>
      <c r="BR738" t="str">
        <f t="shared" si="393"/>
        <v>event_team_player_1</v>
      </c>
      <c r="BS738">
        <f>COUNTIFS(S$3:S738,"="&amp;S738,AI$3:AI738,"="&amp;AI738)</f>
        <v>1</v>
      </c>
      <c r="BT738" t="str">
        <f>IFERROR(VLOOKUP(BB738&amp;BU738&amp;X738,game_rosters!U:W,3,FALSE),"")</f>
        <v>P100119</v>
      </c>
      <c r="BU738" t="str">
        <f t="shared" si="394"/>
        <v>Nelson</v>
      </c>
    </row>
    <row r="739" spans="1:73" x14ac:dyDescent="0.2">
      <c r="A739">
        <f t="shared" si="381"/>
        <v>1</v>
      </c>
      <c r="E739" s="4"/>
      <c r="F739" s="43"/>
      <c r="G739" s="4"/>
      <c r="H739" s="46"/>
      <c r="J739" s="44" t="str">
        <f t="shared" si="395"/>
        <v/>
      </c>
      <c r="K739" t="s">
        <v>7</v>
      </c>
      <c r="L739" t="s">
        <v>172</v>
      </c>
      <c r="M739" t="s">
        <v>68</v>
      </c>
      <c r="N739" t="str">
        <f t="shared" si="398"/>
        <v>s</v>
      </c>
      <c r="Q739" t="str">
        <f t="shared" si="396"/>
        <v/>
      </c>
      <c r="S739">
        <v>393</v>
      </c>
      <c r="U739" t="str">
        <f>IF(B739=1,MAX($U$2:$U738)+1,IF(AND($T739&lt;&gt;"",$T739=$T738),$U738,IF(B739="x",U738,"")))</f>
        <v/>
      </c>
      <c r="V739" t="str">
        <f>IF(C739=1,MAX($V$2:$V738)+1,IF(AND($T739&lt;&gt;"",$T739=$T738),$U738,IF(C739="x",V738,"")))</f>
        <v/>
      </c>
      <c r="W739" t="str">
        <f t="shared" si="370"/>
        <v>h</v>
      </c>
      <c r="X739">
        <v>23</v>
      </c>
      <c r="Y739" t="b">
        <f>IF(X739&lt;&gt;"",VLOOKUP(X739,game_rosters!$C$43:$E$64,3,FALSE))</f>
        <v>0</v>
      </c>
      <c r="Z739" cm="1">
        <f t="array" ref="Z739">IFERROR(IF(_xlfn._xlws.FILTER(game_rosters!$J:$J,(game_rosters!$G:$G=events!$AN739)*(game_rosters!$J:$J=events!$X739))&gt;0,1,""),"")</f>
        <v>1</v>
      </c>
      <c r="AA739">
        <f t="shared" si="371"/>
        <v>1393</v>
      </c>
      <c r="AB739" t="str">
        <f t="shared" si="372"/>
        <v/>
      </c>
      <c r="AC739">
        <f t="shared" si="369"/>
        <v>1393</v>
      </c>
      <c r="AD739" s="6">
        <v>1</v>
      </c>
      <c r="AE739" t="s">
        <v>942</v>
      </c>
      <c r="AF739" t="s">
        <v>914</v>
      </c>
      <c r="AG739" t="s">
        <v>756</v>
      </c>
      <c r="AH739" t="s">
        <v>756</v>
      </c>
      <c r="AI739" t="s">
        <v>367</v>
      </c>
      <c r="AJ739" t="str">
        <f t="shared" si="397"/>
        <v/>
      </c>
      <c r="AK739" t="str">
        <f t="shared" si="397"/>
        <v/>
      </c>
      <c r="AL739" t="str">
        <f t="shared" si="374"/>
        <v/>
      </c>
      <c r="AN739" t="s">
        <v>861</v>
      </c>
      <c r="AO739" t="str">
        <f t="shared" si="375"/>
        <v>h</v>
      </c>
      <c r="AP739" t="str">
        <f t="shared" si="382"/>
        <v/>
      </c>
      <c r="AQ739" t="str">
        <f t="shared" si="383"/>
        <v/>
      </c>
      <c r="AR739" t="str">
        <f t="shared" si="384"/>
        <v>Home</v>
      </c>
      <c r="AS739" t="str">
        <f t="shared" si="385"/>
        <v>h</v>
      </c>
      <c r="AT739" t="str">
        <f t="shared" si="386"/>
        <v>Offensive</v>
      </c>
      <c r="BA739" s="6">
        <f t="shared" si="376"/>
        <v>201</v>
      </c>
      <c r="BB739">
        <f t="shared" si="377"/>
        <v>18981</v>
      </c>
      <c r="BC739" t="str">
        <f t="shared" si="378"/>
        <v>Nelson</v>
      </c>
      <c r="BD739" t="str">
        <f t="shared" si="379"/>
        <v>Velodrome</v>
      </c>
      <c r="BE739" t="s">
        <v>7</v>
      </c>
      <c r="BF739" t="s">
        <v>172</v>
      </c>
      <c r="BG739" t="s">
        <v>68</v>
      </c>
      <c r="BI739" cm="1">
        <f t="array" ref="BI739">IFERROR(_xlfn._xlws.FILTER(shifts!A:A,(shifts!B:B=events!AD739)*(shifts!AG:AG&gt;=events!BK739)*(shifts!AH:AH&lt;=events!BL739)),BI738)</f>
        <v>36</v>
      </c>
      <c r="BJ739" s="15">
        <f t="shared" si="380"/>
        <v>0</v>
      </c>
      <c r="BK739">
        <f t="shared" si="387"/>
        <v>153</v>
      </c>
      <c r="BL739">
        <f t="shared" si="388"/>
        <v>153</v>
      </c>
      <c r="BM739" s="15">
        <f>SUMIFS(BJ$2:BJ739,K$2:K739,"=Intermission")+SUMIFS(BJ$2:BJ739,K$2:K739,"=Timeout")</f>
        <v>0</v>
      </c>
      <c r="BN739">
        <f t="shared" si="389"/>
        <v>0</v>
      </c>
      <c r="BO739" s="19">
        <f t="shared" si="390"/>
        <v>927</v>
      </c>
      <c r="BP739">
        <f t="shared" si="391"/>
        <v>922</v>
      </c>
      <c r="BQ739" s="17">
        <f t="shared" si="392"/>
        <v>927</v>
      </c>
      <c r="BR739" t="str">
        <f t="shared" si="393"/>
        <v>event_team_player_2</v>
      </c>
      <c r="BS739">
        <f>COUNTIFS(S$3:S739,"="&amp;S739,AI$3:AI739,"="&amp;AI739)</f>
        <v>2</v>
      </c>
      <c r="BT739" t="str">
        <f>IFERROR(VLOOKUP(BB739&amp;BU739&amp;X739,game_rosters!U:W,3,FALSE),"")</f>
        <v>P100061</v>
      </c>
      <c r="BU739" t="str">
        <f t="shared" si="394"/>
        <v>Nelson</v>
      </c>
    </row>
    <row r="740" spans="1:73" x14ac:dyDescent="0.2">
      <c r="A740">
        <f t="shared" si="381"/>
        <v>1</v>
      </c>
      <c r="E740" s="4"/>
      <c r="F740" s="43"/>
      <c r="G740" s="4"/>
      <c r="H740" s="46"/>
      <c r="J740" s="44" t="str">
        <f t="shared" si="395"/>
        <v/>
      </c>
      <c r="K740" t="s">
        <v>7</v>
      </c>
      <c r="L740" t="s">
        <v>199</v>
      </c>
      <c r="M740" t="s">
        <v>68</v>
      </c>
      <c r="N740" t="str">
        <f t="shared" si="398"/>
        <v>u</v>
      </c>
      <c r="Q740" t="str">
        <f t="shared" si="396"/>
        <v/>
      </c>
      <c r="S740">
        <v>394</v>
      </c>
      <c r="U740" t="str">
        <f>IF(B740=1,MAX($U$2:$U739)+1,IF(AND($T740&lt;&gt;"",$T740=$T739),$U739,IF(B740="x",U739,"")))</f>
        <v/>
      </c>
      <c r="V740" t="str">
        <f>IF(C740=1,MAX($V$2:$V739)+1,IF(AND($T740&lt;&gt;"",$T740=$T739),$U739,IF(C740="x",V739,"")))</f>
        <v/>
      </c>
      <c r="W740" t="str">
        <f t="shared" si="370"/>
        <v>h</v>
      </c>
      <c r="X740">
        <v>23</v>
      </c>
      <c r="Y740" t="b">
        <f>IF(X740&lt;&gt;"",VLOOKUP(X740,game_rosters!$C$43:$E$64,3,FALSE))</f>
        <v>0</v>
      </c>
      <c r="Z740" cm="1">
        <f t="array" ref="Z740">IFERROR(IF(_xlfn._xlws.FILTER(game_rosters!$J:$J,(game_rosters!$G:$G=events!$AN740)*(game_rosters!$J:$J=events!$X740))&gt;0,1,""),"")</f>
        <v>1</v>
      </c>
      <c r="AA740">
        <f t="shared" si="371"/>
        <v>1394</v>
      </c>
      <c r="AB740" t="str">
        <f t="shared" si="372"/>
        <v/>
      </c>
      <c r="AC740">
        <f t="shared" si="369"/>
        <v>1394</v>
      </c>
      <c r="AD740" s="6">
        <v>1</v>
      </c>
      <c r="AE740" t="s">
        <v>942</v>
      </c>
      <c r="AF740" t="s">
        <v>905</v>
      </c>
      <c r="AG740" t="s">
        <v>756</v>
      </c>
      <c r="AH740" t="s">
        <v>756</v>
      </c>
      <c r="AI740" t="s">
        <v>367</v>
      </c>
      <c r="AJ740" t="str">
        <f t="shared" ref="AJ740:AK755" si="399">IF($J740&lt;&gt;"",$J740,IF($AC740=$AC739,AJ739,""))</f>
        <v/>
      </c>
      <c r="AK740" t="str">
        <f t="shared" si="399"/>
        <v/>
      </c>
      <c r="AL740" t="str">
        <f t="shared" si="374"/>
        <v/>
      </c>
      <c r="AN740" t="s">
        <v>861</v>
      </c>
      <c r="AO740" t="str">
        <f t="shared" si="375"/>
        <v>h</v>
      </c>
      <c r="AP740" t="str">
        <f t="shared" si="382"/>
        <v/>
      </c>
      <c r="AQ740" t="str">
        <f t="shared" si="383"/>
        <v/>
      </c>
      <c r="AR740" t="str">
        <f t="shared" si="384"/>
        <v>Home</v>
      </c>
      <c r="AS740" t="str">
        <f t="shared" si="385"/>
        <v>h</v>
      </c>
      <c r="AT740" t="str">
        <f t="shared" si="386"/>
        <v>Offensive</v>
      </c>
      <c r="BA740" s="6">
        <f t="shared" si="376"/>
        <v>201</v>
      </c>
      <c r="BB740">
        <f t="shared" si="377"/>
        <v>18981</v>
      </c>
      <c r="BC740" t="str">
        <f t="shared" si="378"/>
        <v>Nelson</v>
      </c>
      <c r="BD740" t="str">
        <f t="shared" si="379"/>
        <v>Velodrome</v>
      </c>
      <c r="BE740" t="s">
        <v>7</v>
      </c>
      <c r="BF740" t="s">
        <v>199</v>
      </c>
      <c r="BG740" t="s">
        <v>68</v>
      </c>
      <c r="BI740" cm="1">
        <f t="array" ref="BI740">IFERROR(_xlfn._xlws.FILTER(shifts!A:A,(shifts!B:B=events!AD740)*(shifts!AG:AG&gt;=events!BK740)*(shifts!AH:AH&lt;=events!BL740)),BI739)</f>
        <v>36</v>
      </c>
      <c r="BJ740" s="15">
        <f t="shared" si="380"/>
        <v>0</v>
      </c>
      <c r="BK740">
        <f t="shared" si="387"/>
        <v>152</v>
      </c>
      <c r="BL740">
        <f t="shared" si="388"/>
        <v>152</v>
      </c>
      <c r="BM740" s="15">
        <f>SUMIFS(BJ$2:BJ740,K$2:K740,"=Intermission")+SUMIFS(BJ$2:BJ740,K$2:K740,"=Timeout")</f>
        <v>0</v>
      </c>
      <c r="BN740">
        <f t="shared" si="389"/>
        <v>0</v>
      </c>
      <c r="BO740" s="19">
        <f t="shared" si="390"/>
        <v>928</v>
      </c>
      <c r="BP740">
        <f t="shared" si="391"/>
        <v>923</v>
      </c>
      <c r="BQ740" s="17">
        <f t="shared" si="392"/>
        <v>928</v>
      </c>
      <c r="BR740" t="str">
        <f t="shared" si="393"/>
        <v>event_team_player_1</v>
      </c>
      <c r="BS740">
        <f>COUNTIFS(S$3:S740,"="&amp;S740,AI$3:AI740,"="&amp;AI740)</f>
        <v>1</v>
      </c>
      <c r="BT740" t="str">
        <f>IFERROR(VLOOKUP(BB740&amp;BU740&amp;X740,game_rosters!U:W,3,FALSE),"")</f>
        <v>P100061</v>
      </c>
      <c r="BU740" t="str">
        <f t="shared" si="394"/>
        <v>Nelson</v>
      </c>
    </row>
    <row r="741" spans="1:73" x14ac:dyDescent="0.2">
      <c r="A741">
        <f t="shared" si="381"/>
        <v>1</v>
      </c>
      <c r="E741" s="4"/>
      <c r="F741" s="43"/>
      <c r="G741" s="4"/>
      <c r="H741" s="46"/>
      <c r="J741" s="44" t="str">
        <f t="shared" si="395"/>
        <v/>
      </c>
      <c r="K741" t="s">
        <v>7</v>
      </c>
      <c r="L741" t="s">
        <v>199</v>
      </c>
      <c r="M741" t="s">
        <v>68</v>
      </c>
      <c r="N741" t="str">
        <f t="shared" si="398"/>
        <v>u</v>
      </c>
      <c r="Q741" t="str">
        <f t="shared" si="396"/>
        <v/>
      </c>
      <c r="S741">
        <v>394</v>
      </c>
      <c r="U741" t="str">
        <f>IF(B741=1,MAX($U$2:$U740)+1,IF(AND($T741&lt;&gt;"",$T741=$T740),$U740,IF(B741="x",U740,"")))</f>
        <v/>
      </c>
      <c r="V741" t="str">
        <f>IF(C741=1,MAX($V$2:$V740)+1,IF(AND($T741&lt;&gt;"",$T741=$T740),$U740,IF(C741="x",V740,"")))</f>
        <v/>
      </c>
      <c r="W741" t="str">
        <f t="shared" si="370"/>
        <v>h</v>
      </c>
      <c r="X741">
        <v>44</v>
      </c>
      <c r="Y741" t="b">
        <f>IF(X741&lt;&gt;"",VLOOKUP(X741,game_rosters!$C$43:$E$64,3,FALSE))</f>
        <v>0</v>
      </c>
      <c r="Z741" cm="1">
        <f t="array" ref="Z741">IFERROR(IF(_xlfn._xlws.FILTER(game_rosters!$J:$J,(game_rosters!$G:$G=events!$AN741)*(game_rosters!$J:$J=events!$X741))&gt;0,1,""),"")</f>
        <v>1</v>
      </c>
      <c r="AA741">
        <f t="shared" si="371"/>
        <v>1394</v>
      </c>
      <c r="AB741" t="str">
        <f t="shared" si="372"/>
        <v/>
      </c>
      <c r="AC741">
        <f t="shared" si="369"/>
        <v>1394</v>
      </c>
      <c r="AD741" s="6">
        <v>1</v>
      </c>
      <c r="AE741" t="s">
        <v>942</v>
      </c>
      <c r="AF741" t="s">
        <v>905</v>
      </c>
      <c r="AG741" t="s">
        <v>756</v>
      </c>
      <c r="AH741" t="s">
        <v>756</v>
      </c>
      <c r="AI741" t="s">
        <v>367</v>
      </c>
      <c r="AJ741" t="str">
        <f t="shared" si="399"/>
        <v/>
      </c>
      <c r="AK741" t="str">
        <f t="shared" si="399"/>
        <v/>
      </c>
      <c r="AL741" t="str">
        <f t="shared" si="374"/>
        <v/>
      </c>
      <c r="AN741" t="s">
        <v>861</v>
      </c>
      <c r="AO741" t="str">
        <f t="shared" si="375"/>
        <v>h</v>
      </c>
      <c r="AP741" t="str">
        <f t="shared" si="382"/>
        <v/>
      </c>
      <c r="AQ741" t="str">
        <f t="shared" si="383"/>
        <v/>
      </c>
      <c r="AR741" t="str">
        <f t="shared" si="384"/>
        <v>Home</v>
      </c>
      <c r="AS741" t="str">
        <f t="shared" si="385"/>
        <v>h</v>
      </c>
      <c r="AT741" t="str">
        <f t="shared" si="386"/>
        <v>Offensive</v>
      </c>
      <c r="BA741" s="6">
        <f t="shared" si="376"/>
        <v>201</v>
      </c>
      <c r="BB741">
        <f t="shared" si="377"/>
        <v>18981</v>
      </c>
      <c r="BC741" t="str">
        <f t="shared" si="378"/>
        <v>Nelson</v>
      </c>
      <c r="BD741" t="str">
        <f t="shared" si="379"/>
        <v>Velodrome</v>
      </c>
      <c r="BE741" t="s">
        <v>7</v>
      </c>
      <c r="BF741" t="s">
        <v>199</v>
      </c>
      <c r="BG741" t="s">
        <v>68</v>
      </c>
      <c r="BI741" cm="1">
        <f t="array" ref="BI741">IFERROR(_xlfn._xlws.FILTER(shifts!A:A,(shifts!B:B=events!AD741)*(shifts!AG:AG&gt;=events!BK741)*(shifts!AH:AH&lt;=events!BL741)),BI740)</f>
        <v>36</v>
      </c>
      <c r="BJ741" s="15">
        <f t="shared" si="380"/>
        <v>0</v>
      </c>
      <c r="BK741">
        <f t="shared" si="387"/>
        <v>152</v>
      </c>
      <c r="BL741">
        <f t="shared" si="388"/>
        <v>152</v>
      </c>
      <c r="BM741" s="15">
        <f>SUMIFS(BJ$2:BJ741,K$2:K741,"=Intermission")+SUMIFS(BJ$2:BJ741,K$2:K741,"=Timeout")</f>
        <v>0</v>
      </c>
      <c r="BN741">
        <f t="shared" si="389"/>
        <v>0</v>
      </c>
      <c r="BO741" s="19">
        <f t="shared" si="390"/>
        <v>928</v>
      </c>
      <c r="BP741">
        <f t="shared" si="391"/>
        <v>923</v>
      </c>
      <c r="BQ741" s="17">
        <f t="shared" si="392"/>
        <v>928</v>
      </c>
      <c r="BR741" t="str">
        <f t="shared" si="393"/>
        <v>event_team_player_2</v>
      </c>
      <c r="BS741">
        <f>COUNTIFS(S$3:S741,"="&amp;S741,AI$3:AI741,"="&amp;AI741)</f>
        <v>2</v>
      </c>
      <c r="BT741" t="str">
        <f>IFERROR(VLOOKUP(BB741&amp;BU741&amp;X741,game_rosters!U:W,3,FALSE),"")</f>
        <v>P100079</v>
      </c>
      <c r="BU741" t="str">
        <f t="shared" si="394"/>
        <v>Nelson</v>
      </c>
    </row>
    <row r="742" spans="1:73" x14ac:dyDescent="0.2">
      <c r="A742">
        <f t="shared" si="381"/>
        <v>1</v>
      </c>
      <c r="E742" s="4"/>
      <c r="F742" s="43"/>
      <c r="G742" s="4"/>
      <c r="H742" s="46"/>
      <c r="J742" s="44" t="str">
        <f t="shared" si="395"/>
        <v/>
      </c>
      <c r="K742" t="s">
        <v>7</v>
      </c>
      <c r="L742" t="s">
        <v>199</v>
      </c>
      <c r="M742" t="s">
        <v>68</v>
      </c>
      <c r="N742" t="str">
        <f t="shared" si="398"/>
        <v>u</v>
      </c>
      <c r="Q742" t="str">
        <f t="shared" si="396"/>
        <v/>
      </c>
      <c r="S742">
        <v>394</v>
      </c>
      <c r="U742" t="str">
        <f>IF(B742=1,MAX($U$2:$U741)+1,IF(AND($T742&lt;&gt;"",$T742=$T741),$U741,IF(B742="x",U741,"")))</f>
        <v/>
      </c>
      <c r="V742" t="str">
        <f>IF(C742=1,MAX($V$2:$V741)+1,IF(AND($T742&lt;&gt;"",$T742=$T741),$U741,IF(C742="x",V741,"")))</f>
        <v/>
      </c>
      <c r="W742" t="str">
        <f t="shared" si="370"/>
        <v>h</v>
      </c>
      <c r="X742">
        <v>93</v>
      </c>
      <c r="Y742" t="e">
        <f>IF(X742&lt;&gt;"",VLOOKUP(X742,game_rosters!$C$43:$E$64,3,FALSE))</f>
        <v>#N/A</v>
      </c>
      <c r="Z742" t="str" cm="1">
        <f t="array" ref="Z742">IFERROR(IF(_xlfn._xlws.FILTER(game_rosters!$J:$J,(game_rosters!$G:$G=events!$AN742)*(game_rosters!$J:$J=events!$X742))&gt;0,1,""),"")</f>
        <v/>
      </c>
      <c r="AA742">
        <f t="shared" si="371"/>
        <v>1394</v>
      </c>
      <c r="AB742" t="str">
        <f t="shared" si="372"/>
        <v/>
      </c>
      <c r="AC742">
        <f t="shared" si="369"/>
        <v>1394</v>
      </c>
      <c r="AD742" s="6">
        <v>1</v>
      </c>
      <c r="AE742" t="s">
        <v>942</v>
      </c>
      <c r="AF742" t="s">
        <v>905</v>
      </c>
      <c r="AG742" t="s">
        <v>756</v>
      </c>
      <c r="AH742" t="s">
        <v>756</v>
      </c>
      <c r="AI742" t="s">
        <v>368</v>
      </c>
      <c r="AJ742" t="str">
        <f t="shared" si="399"/>
        <v/>
      </c>
      <c r="AK742" t="str">
        <f t="shared" si="399"/>
        <v/>
      </c>
      <c r="AL742" t="str">
        <f t="shared" si="374"/>
        <v/>
      </c>
      <c r="AN742" t="s">
        <v>861</v>
      </c>
      <c r="AO742" t="str">
        <f t="shared" si="375"/>
        <v>h</v>
      </c>
      <c r="AP742" t="str">
        <f t="shared" si="382"/>
        <v/>
      </c>
      <c r="AQ742" t="str">
        <f t="shared" si="383"/>
        <v/>
      </c>
      <c r="AR742" t="str">
        <f t="shared" si="384"/>
        <v>Home</v>
      </c>
      <c r="AS742" t="str">
        <f t="shared" si="385"/>
        <v>h</v>
      </c>
      <c r="AT742" t="str">
        <f t="shared" si="386"/>
        <v>Defensive</v>
      </c>
      <c r="BA742" s="6">
        <f t="shared" si="376"/>
        <v>201</v>
      </c>
      <c r="BB742">
        <f t="shared" si="377"/>
        <v>18981</v>
      </c>
      <c r="BC742" t="str">
        <f t="shared" si="378"/>
        <v>Nelson</v>
      </c>
      <c r="BD742" t="str">
        <f t="shared" si="379"/>
        <v>Velodrome</v>
      </c>
      <c r="BE742" t="s">
        <v>7</v>
      </c>
      <c r="BF742" t="s">
        <v>199</v>
      </c>
      <c r="BG742" t="s">
        <v>68</v>
      </c>
      <c r="BI742" cm="1">
        <f t="array" ref="BI742">IFERROR(_xlfn._xlws.FILTER(shifts!A:A,(shifts!B:B=events!AD742)*(shifts!AG:AG&gt;=events!BK742)*(shifts!AH:AH&lt;=events!BL742)),BI741)</f>
        <v>36</v>
      </c>
      <c r="BJ742" s="15">
        <f t="shared" si="380"/>
        <v>0</v>
      </c>
      <c r="BK742">
        <f t="shared" si="387"/>
        <v>152</v>
      </c>
      <c r="BL742">
        <f t="shared" si="388"/>
        <v>152</v>
      </c>
      <c r="BM742" s="15">
        <f>SUMIFS(BJ$2:BJ742,K$2:K742,"=Intermission")+SUMIFS(BJ$2:BJ742,K$2:K742,"=Timeout")</f>
        <v>0</v>
      </c>
      <c r="BN742">
        <f t="shared" si="389"/>
        <v>0</v>
      </c>
      <c r="BO742" s="19">
        <f t="shared" si="390"/>
        <v>928</v>
      </c>
      <c r="BP742">
        <f t="shared" si="391"/>
        <v>923</v>
      </c>
      <c r="BQ742" s="17">
        <f t="shared" si="392"/>
        <v>928</v>
      </c>
      <c r="BR742" t="str">
        <f t="shared" si="393"/>
        <v>opp_team_player_1</v>
      </c>
      <c r="BS742">
        <f>COUNTIFS(S$3:S742,"="&amp;S742,AI$3:AI742,"="&amp;AI742)</f>
        <v>1</v>
      </c>
      <c r="BT742" t="str">
        <f>IFERROR(VLOOKUP(BB742&amp;BU742&amp;X742,game_rosters!U:W,3,FALSE),"")</f>
        <v>P100093</v>
      </c>
      <c r="BU742" t="str">
        <f t="shared" si="394"/>
        <v>Velodrome</v>
      </c>
    </row>
    <row r="743" spans="1:73" x14ac:dyDescent="0.2">
      <c r="A743">
        <f t="shared" si="381"/>
        <v>1</v>
      </c>
      <c r="E743" s="4"/>
      <c r="F743" s="43"/>
      <c r="G743" s="4"/>
      <c r="H743" s="46"/>
      <c r="J743" s="44" t="str">
        <f t="shared" si="395"/>
        <v/>
      </c>
      <c r="K743" t="s">
        <v>9</v>
      </c>
      <c r="L743" t="s">
        <v>173</v>
      </c>
      <c r="M743" t="s">
        <v>73</v>
      </c>
      <c r="N743" t="str">
        <f t="shared" si="398"/>
        <v>u</v>
      </c>
      <c r="Q743" t="str">
        <f t="shared" si="396"/>
        <v/>
      </c>
      <c r="S743">
        <v>395</v>
      </c>
      <c r="U743" t="str">
        <f>IF(B743=1,MAX($U$2:$U742)+1,IF(AND($T743&lt;&gt;"",$T743=$T742),$U742,IF(B743="x",U742,"")))</f>
        <v/>
      </c>
      <c r="V743" t="str">
        <f>IF(C743=1,MAX($V$2:$V742)+1,IF(AND($T743&lt;&gt;"",$T743=$T742),$U742,IF(C743="x",V742,"")))</f>
        <v/>
      </c>
      <c r="W743" t="str">
        <f t="shared" si="370"/>
        <v>h</v>
      </c>
      <c r="X743">
        <v>23</v>
      </c>
      <c r="Y743" t="b">
        <f>IF(X743&lt;&gt;"",VLOOKUP(X743,game_rosters!$C$43:$E$64,3,FALSE))</f>
        <v>0</v>
      </c>
      <c r="Z743" cm="1">
        <f t="array" ref="Z743">IFERROR(IF(_xlfn._xlws.FILTER(game_rosters!$J:$J,(game_rosters!$G:$G=events!$AN743)*(game_rosters!$J:$J=events!$X743))&gt;0,1,""),"")</f>
        <v>1</v>
      </c>
      <c r="AA743">
        <f t="shared" si="371"/>
        <v>1395</v>
      </c>
      <c r="AB743" t="str">
        <f t="shared" si="372"/>
        <v/>
      </c>
      <c r="AC743">
        <f t="shared" si="369"/>
        <v>1395</v>
      </c>
      <c r="AD743" s="6">
        <v>1</v>
      </c>
      <c r="AE743" t="s">
        <v>942</v>
      </c>
      <c r="AF743" t="s">
        <v>905</v>
      </c>
      <c r="AG743" t="s">
        <v>756</v>
      </c>
      <c r="AH743" t="s">
        <v>756</v>
      </c>
      <c r="AI743" t="s">
        <v>367</v>
      </c>
      <c r="AJ743" t="str">
        <f t="shared" si="399"/>
        <v/>
      </c>
      <c r="AK743" t="str">
        <f t="shared" si="399"/>
        <v/>
      </c>
      <c r="AL743" t="str">
        <f t="shared" si="374"/>
        <v/>
      </c>
      <c r="AN743" t="s">
        <v>861</v>
      </c>
      <c r="AO743" t="str">
        <f t="shared" si="375"/>
        <v>h</v>
      </c>
      <c r="AP743" t="str">
        <f t="shared" si="382"/>
        <v/>
      </c>
      <c r="AQ743" t="str">
        <f t="shared" si="383"/>
        <v/>
      </c>
      <c r="AR743" t="str">
        <f t="shared" si="384"/>
        <v>Home</v>
      </c>
      <c r="AS743" t="str">
        <f t="shared" si="385"/>
        <v>h</v>
      </c>
      <c r="AT743" t="str">
        <f t="shared" si="386"/>
        <v>Offensive</v>
      </c>
      <c r="BA743" s="6">
        <f t="shared" si="376"/>
        <v>201</v>
      </c>
      <c r="BB743">
        <f t="shared" si="377"/>
        <v>18981</v>
      </c>
      <c r="BC743" t="str">
        <f t="shared" si="378"/>
        <v>Nelson</v>
      </c>
      <c r="BD743" t="str">
        <f t="shared" si="379"/>
        <v>Velodrome</v>
      </c>
      <c r="BE743" t="s">
        <v>9</v>
      </c>
      <c r="BF743" t="s">
        <v>173</v>
      </c>
      <c r="BG743" t="s">
        <v>73</v>
      </c>
      <c r="BI743" cm="1">
        <f t="array" ref="BI743">IFERROR(_xlfn._xlws.FILTER(shifts!A:A,(shifts!B:B=events!AD743)*(shifts!AG:AG&gt;=events!BK743)*(shifts!AH:AH&lt;=events!BL743)),BI742)</f>
        <v>36</v>
      </c>
      <c r="BJ743" s="15">
        <f t="shared" si="380"/>
        <v>0</v>
      </c>
      <c r="BK743">
        <f t="shared" si="387"/>
        <v>152</v>
      </c>
      <c r="BL743">
        <f t="shared" si="388"/>
        <v>152</v>
      </c>
      <c r="BM743" s="15">
        <f>SUMIFS(BJ$2:BJ743,K$2:K743,"=Intermission")+SUMIFS(BJ$2:BJ743,K$2:K743,"=Timeout")</f>
        <v>0</v>
      </c>
      <c r="BN743">
        <f t="shared" si="389"/>
        <v>0</v>
      </c>
      <c r="BO743" s="19">
        <f t="shared" si="390"/>
        <v>928</v>
      </c>
      <c r="BP743">
        <f t="shared" si="391"/>
        <v>923</v>
      </c>
      <c r="BQ743" s="17">
        <f t="shared" si="392"/>
        <v>928</v>
      </c>
      <c r="BR743" t="str">
        <f t="shared" si="393"/>
        <v>event_team_player_1</v>
      </c>
      <c r="BS743">
        <f>COUNTIFS(S$3:S743,"="&amp;S743,AI$3:AI743,"="&amp;AI743)</f>
        <v>1</v>
      </c>
      <c r="BT743" t="str">
        <f>IFERROR(VLOOKUP(BB743&amp;BU743&amp;X743,game_rosters!U:W,3,FALSE),"")</f>
        <v>P100061</v>
      </c>
      <c r="BU743" t="str">
        <f t="shared" si="394"/>
        <v>Nelson</v>
      </c>
    </row>
    <row r="744" spans="1:73" x14ac:dyDescent="0.2">
      <c r="A744">
        <f t="shared" si="381"/>
        <v>1</v>
      </c>
      <c r="E744" s="4"/>
      <c r="F744" s="43"/>
      <c r="G744" s="4"/>
      <c r="H744" s="46"/>
      <c r="J744" s="44" t="str">
        <f t="shared" si="395"/>
        <v/>
      </c>
      <c r="K744" t="s">
        <v>9</v>
      </c>
      <c r="L744" t="s">
        <v>173</v>
      </c>
      <c r="M744" t="s">
        <v>73</v>
      </c>
      <c r="N744" t="str">
        <f t="shared" si="398"/>
        <v>u</v>
      </c>
      <c r="Q744" t="str">
        <f t="shared" si="396"/>
        <v/>
      </c>
      <c r="S744">
        <v>395</v>
      </c>
      <c r="U744" t="str">
        <f>IF(B744=1,MAX($U$2:$U743)+1,IF(AND($T744&lt;&gt;"",$T744=$T743),$U743,IF(B744="x",U743,"")))</f>
        <v/>
      </c>
      <c r="V744" t="str">
        <f>IF(C744=1,MAX($V$2:$V743)+1,IF(AND($T744&lt;&gt;"",$T744=$T743),$U743,IF(C744="x",V743,"")))</f>
        <v/>
      </c>
      <c r="W744" t="str">
        <f t="shared" si="370"/>
        <v>h</v>
      </c>
      <c r="X744">
        <v>93</v>
      </c>
      <c r="Y744" t="e">
        <f>IF(X744&lt;&gt;"",VLOOKUP(X744,game_rosters!$C$43:$E$64,3,FALSE))</f>
        <v>#N/A</v>
      </c>
      <c r="Z744" t="str" cm="1">
        <f t="array" ref="Z744">IFERROR(IF(_xlfn._xlws.FILTER(game_rosters!$J:$J,(game_rosters!$G:$G=events!$AN744)*(game_rosters!$J:$J=events!$X744))&gt;0,1,""),"")</f>
        <v/>
      </c>
      <c r="AA744">
        <f t="shared" si="371"/>
        <v>1395</v>
      </c>
      <c r="AB744" t="str">
        <f t="shared" si="372"/>
        <v/>
      </c>
      <c r="AC744">
        <f t="shared" si="369"/>
        <v>1395</v>
      </c>
      <c r="AD744" s="6">
        <v>1</v>
      </c>
      <c r="AE744" t="s">
        <v>942</v>
      </c>
      <c r="AF744" t="s">
        <v>905</v>
      </c>
      <c r="AG744" t="s">
        <v>756</v>
      </c>
      <c r="AH744" t="s">
        <v>756</v>
      </c>
      <c r="AI744" t="s">
        <v>368</v>
      </c>
      <c r="AJ744" t="str">
        <f t="shared" si="399"/>
        <v/>
      </c>
      <c r="AK744" t="str">
        <f t="shared" si="399"/>
        <v/>
      </c>
      <c r="AL744" t="str">
        <f t="shared" si="374"/>
        <v/>
      </c>
      <c r="AN744" t="s">
        <v>861</v>
      </c>
      <c r="AO744" t="str">
        <f t="shared" si="375"/>
        <v>h</v>
      </c>
      <c r="AP744" t="str">
        <f t="shared" si="382"/>
        <v/>
      </c>
      <c r="AQ744" t="str">
        <f t="shared" si="383"/>
        <v/>
      </c>
      <c r="AR744" t="str">
        <f t="shared" si="384"/>
        <v>Home</v>
      </c>
      <c r="AS744" t="str">
        <f t="shared" si="385"/>
        <v>h</v>
      </c>
      <c r="AT744" t="str">
        <f t="shared" si="386"/>
        <v>Defensive</v>
      </c>
      <c r="BA744" s="6">
        <f t="shared" si="376"/>
        <v>201</v>
      </c>
      <c r="BB744">
        <f t="shared" si="377"/>
        <v>18981</v>
      </c>
      <c r="BC744" t="str">
        <f t="shared" si="378"/>
        <v>Nelson</v>
      </c>
      <c r="BD744" t="str">
        <f t="shared" si="379"/>
        <v>Velodrome</v>
      </c>
      <c r="BE744" t="s">
        <v>9</v>
      </c>
      <c r="BF744" t="s">
        <v>173</v>
      </c>
      <c r="BG744" t="s">
        <v>73</v>
      </c>
      <c r="BI744" cm="1">
        <f t="array" ref="BI744">IFERROR(_xlfn._xlws.FILTER(shifts!A:A,(shifts!B:B=events!AD744)*(shifts!AG:AG&gt;=events!BK744)*(shifts!AH:AH&lt;=events!BL744)),BI743)</f>
        <v>36</v>
      </c>
      <c r="BJ744" s="15">
        <f t="shared" si="380"/>
        <v>0</v>
      </c>
      <c r="BK744">
        <f t="shared" si="387"/>
        <v>152</v>
      </c>
      <c r="BL744">
        <f t="shared" si="388"/>
        <v>152</v>
      </c>
      <c r="BM744" s="15">
        <f>SUMIFS(BJ$2:BJ744,K$2:K744,"=Intermission")+SUMIFS(BJ$2:BJ744,K$2:K744,"=Timeout")</f>
        <v>0</v>
      </c>
      <c r="BN744">
        <f t="shared" si="389"/>
        <v>0</v>
      </c>
      <c r="BO744" s="19">
        <f t="shared" si="390"/>
        <v>928</v>
      </c>
      <c r="BP744">
        <f t="shared" si="391"/>
        <v>923</v>
      </c>
      <c r="BQ744" s="17">
        <f t="shared" si="392"/>
        <v>928</v>
      </c>
      <c r="BR744" t="str">
        <f t="shared" si="393"/>
        <v>opp_team_player_1</v>
      </c>
      <c r="BS744">
        <f>COUNTIFS(S$3:S744,"="&amp;S744,AI$3:AI744,"="&amp;AI744)</f>
        <v>1</v>
      </c>
      <c r="BT744" t="str">
        <f>IFERROR(VLOOKUP(BB744&amp;BU744&amp;X744,game_rosters!U:W,3,FALSE),"")</f>
        <v>P100093</v>
      </c>
      <c r="BU744" t="str">
        <f t="shared" si="394"/>
        <v>Velodrome</v>
      </c>
    </row>
    <row r="745" spans="1:73" x14ac:dyDescent="0.2">
      <c r="A745">
        <f t="shared" si="381"/>
        <v>1</v>
      </c>
      <c r="E745" s="4"/>
      <c r="F745" s="43"/>
      <c r="G745" s="4"/>
      <c r="H745" s="46"/>
      <c r="J745" s="44" t="str">
        <f t="shared" si="395"/>
        <v/>
      </c>
      <c r="K745" t="s">
        <v>13</v>
      </c>
      <c r="L745" t="s">
        <v>756</v>
      </c>
      <c r="M745" t="s">
        <v>756</v>
      </c>
      <c r="N745" t="str">
        <f t="shared" si="398"/>
        <v/>
      </c>
      <c r="Q745" t="str">
        <f t="shared" si="396"/>
        <v/>
      </c>
      <c r="S745">
        <v>396</v>
      </c>
      <c r="U745" t="str">
        <f>IF(B745=1,MAX($U$2:$U744)+1,IF(AND($T745&lt;&gt;"",$T745=$T744),$U744,IF(B745="x",U744,"")))</f>
        <v/>
      </c>
      <c r="V745" t="str">
        <f>IF(C745=1,MAX($V$2:$V744)+1,IF(AND($T745&lt;&gt;"",$T745=$T744),$U744,IF(C745="x",V744,"")))</f>
        <v/>
      </c>
      <c r="W745" t="str">
        <f t="shared" si="370"/>
        <v>a</v>
      </c>
      <c r="X745">
        <v>93</v>
      </c>
      <c r="Y745" t="e">
        <f>IF(X745&lt;&gt;"",VLOOKUP(X745,game_rosters!$C$43:$E$64,3,FALSE))</f>
        <v>#N/A</v>
      </c>
      <c r="Z745" cm="1">
        <f t="array" ref="Z745">IFERROR(IF(_xlfn._xlws.FILTER(game_rosters!$J:$J,(game_rosters!$G:$G=events!$AN745)*(game_rosters!$J:$J=events!$X745))&gt;0,1,""),"")</f>
        <v>1</v>
      </c>
      <c r="AA745">
        <f t="shared" si="371"/>
        <v>1396</v>
      </c>
      <c r="AB745" t="str">
        <f t="shared" si="372"/>
        <v/>
      </c>
      <c r="AC745">
        <f t="shared" si="369"/>
        <v>1396</v>
      </c>
      <c r="AD745" s="6">
        <v>1</v>
      </c>
      <c r="AE745" t="s">
        <v>942</v>
      </c>
      <c r="AF745" t="s">
        <v>915</v>
      </c>
      <c r="AG745" t="s">
        <v>942</v>
      </c>
      <c r="AH745" t="s">
        <v>930</v>
      </c>
      <c r="AI745" t="s">
        <v>367</v>
      </c>
      <c r="AJ745" t="str">
        <f t="shared" si="399"/>
        <v/>
      </c>
      <c r="AK745" t="str">
        <f t="shared" si="399"/>
        <v/>
      </c>
      <c r="AL745" t="str">
        <f t="shared" si="374"/>
        <v/>
      </c>
      <c r="AN745" t="s">
        <v>862</v>
      </c>
      <c r="AO745" t="str">
        <f t="shared" si="375"/>
        <v>a</v>
      </c>
      <c r="AP745" t="str">
        <f t="shared" si="382"/>
        <v/>
      </c>
      <c r="AQ745" t="str">
        <f t="shared" si="383"/>
        <v/>
      </c>
      <c r="AR745" t="str">
        <f t="shared" si="384"/>
        <v>Away</v>
      </c>
      <c r="AS745" t="str">
        <f t="shared" si="385"/>
        <v>a</v>
      </c>
      <c r="AT745" t="str">
        <f t="shared" si="386"/>
        <v>Offensive</v>
      </c>
      <c r="BA745" s="6">
        <f t="shared" si="376"/>
        <v>201</v>
      </c>
      <c r="BB745">
        <f t="shared" si="377"/>
        <v>18981</v>
      </c>
      <c r="BC745" t="str">
        <f t="shared" si="378"/>
        <v>Nelson</v>
      </c>
      <c r="BD745" t="str">
        <f t="shared" si="379"/>
        <v>Velodrome</v>
      </c>
      <c r="BE745" t="s">
        <v>13</v>
      </c>
      <c r="BF745" t="s">
        <v>756</v>
      </c>
      <c r="BG745" t="s">
        <v>756</v>
      </c>
      <c r="BI745" cm="1">
        <f t="array" ref="BI745">IFERROR(_xlfn._xlws.FILTER(shifts!A:A,(shifts!B:B=events!AD745)*(shifts!AG:AG&gt;=events!BK745)*(shifts!AH:AH&lt;=events!BL745)),BI744)</f>
        <v>36</v>
      </c>
      <c r="BJ745" s="15">
        <f t="shared" si="380"/>
        <v>2</v>
      </c>
      <c r="BK745">
        <f t="shared" si="387"/>
        <v>150</v>
      </c>
      <c r="BL745">
        <f t="shared" si="388"/>
        <v>148</v>
      </c>
      <c r="BM745" s="15">
        <f>SUMIFS(BJ$2:BJ745,K$2:K745,"=Intermission")+SUMIFS(BJ$2:BJ745,K$2:K745,"=Timeout")</f>
        <v>0</v>
      </c>
      <c r="BN745">
        <f t="shared" si="389"/>
        <v>0</v>
      </c>
      <c r="BO745" s="19">
        <f t="shared" si="390"/>
        <v>930</v>
      </c>
      <c r="BP745">
        <f t="shared" si="391"/>
        <v>925</v>
      </c>
      <c r="BQ745" s="17">
        <f t="shared" si="392"/>
        <v>932</v>
      </c>
      <c r="BR745" t="str">
        <f t="shared" si="393"/>
        <v>event_team_player_1</v>
      </c>
      <c r="BS745">
        <f>COUNTIFS(S$3:S745,"="&amp;S745,AI$3:AI745,"="&amp;AI745)</f>
        <v>1</v>
      </c>
      <c r="BT745" t="str">
        <f>IFERROR(VLOOKUP(BB745&amp;BU745&amp;X745,game_rosters!U:W,3,FALSE),"")</f>
        <v>P100093</v>
      </c>
      <c r="BU745" t="str">
        <f t="shared" si="394"/>
        <v>Velodrome</v>
      </c>
    </row>
    <row r="746" spans="1:73" x14ac:dyDescent="0.2">
      <c r="A746">
        <f t="shared" si="381"/>
        <v>1</v>
      </c>
      <c r="E746" s="4"/>
      <c r="F746" s="43"/>
      <c r="G746" s="4"/>
      <c r="H746" s="46"/>
      <c r="J746" s="44" t="str">
        <f t="shared" si="395"/>
        <v/>
      </c>
      <c r="K746" t="s">
        <v>7</v>
      </c>
      <c r="L746" t="s">
        <v>182</v>
      </c>
      <c r="M746" t="s">
        <v>68</v>
      </c>
      <c r="N746" t="str">
        <f t="shared" si="398"/>
        <v>u</v>
      </c>
      <c r="Q746" t="str">
        <f t="shared" si="396"/>
        <v/>
      </c>
      <c r="S746">
        <v>397</v>
      </c>
      <c r="U746" t="str">
        <f>IF(B746=1,MAX($U$2:$U745)+1,IF(AND($T746&lt;&gt;"",$T746=$T745),$U745,IF(B746="x",U745,"")))</f>
        <v/>
      </c>
      <c r="V746" t="str">
        <f>IF(C746=1,MAX($V$2:$V745)+1,IF(AND($T746&lt;&gt;"",$T746=$T745),$U745,IF(C746="x",V745,"")))</f>
        <v/>
      </c>
      <c r="W746" t="str">
        <f t="shared" si="370"/>
        <v>a</v>
      </c>
      <c r="X746">
        <v>93</v>
      </c>
      <c r="Y746" t="e">
        <f>IF(X746&lt;&gt;"",VLOOKUP(X746,game_rosters!$C$43:$E$64,3,FALSE))</f>
        <v>#N/A</v>
      </c>
      <c r="Z746" cm="1">
        <f t="array" ref="Z746">IFERROR(IF(_xlfn._xlws.FILTER(game_rosters!$J:$J,(game_rosters!$G:$G=events!$AN746)*(game_rosters!$J:$J=events!$X746))&gt;0,1,""),"")</f>
        <v>1</v>
      </c>
      <c r="AA746">
        <f t="shared" si="371"/>
        <v>1397</v>
      </c>
      <c r="AB746" t="str">
        <f t="shared" si="372"/>
        <v/>
      </c>
      <c r="AC746">
        <f t="shared" si="369"/>
        <v>1397</v>
      </c>
      <c r="AD746" s="6">
        <v>1</v>
      </c>
      <c r="AE746" t="s">
        <v>942</v>
      </c>
      <c r="AF746" t="s">
        <v>930</v>
      </c>
      <c r="AG746" t="s">
        <v>756</v>
      </c>
      <c r="AH746" t="s">
        <v>756</v>
      </c>
      <c r="AI746" t="s">
        <v>367</v>
      </c>
      <c r="AJ746" t="str">
        <f t="shared" si="399"/>
        <v/>
      </c>
      <c r="AK746" t="str">
        <f t="shared" si="399"/>
        <v/>
      </c>
      <c r="AL746" t="str">
        <f t="shared" si="374"/>
        <v/>
      </c>
      <c r="AN746" t="s">
        <v>862</v>
      </c>
      <c r="AO746" t="str">
        <f t="shared" si="375"/>
        <v>a</v>
      </c>
      <c r="AP746" t="str">
        <f t="shared" si="382"/>
        <v/>
      </c>
      <c r="AQ746" t="str">
        <f t="shared" si="383"/>
        <v/>
      </c>
      <c r="AR746" t="str">
        <f t="shared" si="384"/>
        <v>Away</v>
      </c>
      <c r="AS746" t="str">
        <f t="shared" si="385"/>
        <v>a</v>
      </c>
      <c r="AT746" t="str">
        <f t="shared" si="386"/>
        <v>Offensive</v>
      </c>
      <c r="BA746" s="6">
        <f t="shared" si="376"/>
        <v>201</v>
      </c>
      <c r="BB746">
        <f t="shared" si="377"/>
        <v>18981</v>
      </c>
      <c r="BC746" t="str">
        <f t="shared" si="378"/>
        <v>Nelson</v>
      </c>
      <c r="BD746" t="str">
        <f t="shared" si="379"/>
        <v>Velodrome</v>
      </c>
      <c r="BE746" t="s">
        <v>7</v>
      </c>
      <c r="BF746" t="s">
        <v>182</v>
      </c>
      <c r="BG746" t="s">
        <v>68</v>
      </c>
      <c r="BI746" cm="1">
        <f t="array" ref="BI746">IFERROR(_xlfn._xlws.FILTER(shifts!A:A,(shifts!B:B=events!AD746)*(shifts!AG:AG&gt;=events!BK746)*(shifts!AH:AH&lt;=events!BL746)),BI745)</f>
        <v>36</v>
      </c>
      <c r="BJ746" s="15">
        <f t="shared" si="380"/>
        <v>0</v>
      </c>
      <c r="BK746">
        <f t="shared" si="387"/>
        <v>148</v>
      </c>
      <c r="BL746">
        <f t="shared" si="388"/>
        <v>148</v>
      </c>
      <c r="BM746" s="15">
        <f>SUMIFS(BJ$2:BJ746,K$2:K746,"=Intermission")+SUMIFS(BJ$2:BJ746,K$2:K746,"=Timeout")</f>
        <v>0</v>
      </c>
      <c r="BN746">
        <f t="shared" si="389"/>
        <v>0</v>
      </c>
      <c r="BO746" s="19">
        <f t="shared" si="390"/>
        <v>932</v>
      </c>
      <c r="BP746">
        <f t="shared" si="391"/>
        <v>927</v>
      </c>
      <c r="BQ746" s="17">
        <f t="shared" si="392"/>
        <v>932</v>
      </c>
      <c r="BR746" t="str">
        <f t="shared" si="393"/>
        <v>event_team_player_1</v>
      </c>
      <c r="BS746">
        <f>COUNTIFS(S$3:S746,"="&amp;S746,AI$3:AI746,"="&amp;AI746)</f>
        <v>1</v>
      </c>
      <c r="BT746" t="str">
        <f>IFERROR(VLOOKUP(BB746&amp;BU746&amp;X746,game_rosters!U:W,3,FALSE),"")</f>
        <v>P100093</v>
      </c>
      <c r="BU746" t="str">
        <f t="shared" si="394"/>
        <v>Velodrome</v>
      </c>
    </row>
    <row r="747" spans="1:73" x14ac:dyDescent="0.2">
      <c r="A747">
        <f t="shared" si="381"/>
        <v>1</v>
      </c>
      <c r="E747" s="4"/>
      <c r="F747" s="43"/>
      <c r="G747" s="4"/>
      <c r="H747" s="46"/>
      <c r="J747" s="44" t="str">
        <f t="shared" si="395"/>
        <v/>
      </c>
      <c r="K747" t="s">
        <v>7</v>
      </c>
      <c r="L747" t="s">
        <v>182</v>
      </c>
      <c r="M747" t="s">
        <v>68</v>
      </c>
      <c r="N747" t="str">
        <f t="shared" si="398"/>
        <v>u</v>
      </c>
      <c r="Q747" t="str">
        <f t="shared" si="396"/>
        <v/>
      </c>
      <c r="S747">
        <v>397</v>
      </c>
      <c r="U747" t="str">
        <f>IF(B747=1,MAX($U$2:$U746)+1,IF(AND($T747&lt;&gt;"",$T747=$T746),$U746,IF(B747="x",U746,"")))</f>
        <v/>
      </c>
      <c r="V747" t="str">
        <f>IF(C747=1,MAX($V$2:$V746)+1,IF(AND($T747&lt;&gt;"",$T747=$T746),$U746,IF(C747="x",V746,"")))</f>
        <v/>
      </c>
      <c r="W747" t="str">
        <f t="shared" si="370"/>
        <v>a</v>
      </c>
      <c r="X747">
        <v>24</v>
      </c>
      <c r="Y747" t="e">
        <f>IF(X747&lt;&gt;"",VLOOKUP(X747,game_rosters!$C$43:$E$64,3,FALSE))</f>
        <v>#N/A</v>
      </c>
      <c r="Z747" cm="1">
        <f t="array" ref="Z747">IFERROR(IF(_xlfn._xlws.FILTER(game_rosters!$J:$J,(game_rosters!$G:$G=events!$AN747)*(game_rosters!$J:$J=events!$X747))&gt;0,1,""),"")</f>
        <v>1</v>
      </c>
      <c r="AA747">
        <f t="shared" si="371"/>
        <v>1397</v>
      </c>
      <c r="AB747" t="str">
        <f t="shared" si="372"/>
        <v/>
      </c>
      <c r="AC747">
        <f t="shared" si="369"/>
        <v>1397</v>
      </c>
      <c r="AD747" s="6">
        <v>1</v>
      </c>
      <c r="AE747" t="s">
        <v>942</v>
      </c>
      <c r="AF747" t="s">
        <v>930</v>
      </c>
      <c r="AG747" t="s">
        <v>756</v>
      </c>
      <c r="AH747" t="s">
        <v>756</v>
      </c>
      <c r="AI747" t="s">
        <v>367</v>
      </c>
      <c r="AJ747" t="str">
        <f t="shared" si="399"/>
        <v/>
      </c>
      <c r="AK747" t="str">
        <f t="shared" si="399"/>
        <v/>
      </c>
      <c r="AL747" t="str">
        <f t="shared" si="374"/>
        <v/>
      </c>
      <c r="AN747" t="s">
        <v>862</v>
      </c>
      <c r="AO747" t="str">
        <f t="shared" si="375"/>
        <v>a</v>
      </c>
      <c r="AP747" t="str">
        <f t="shared" si="382"/>
        <v/>
      </c>
      <c r="AQ747" t="str">
        <f t="shared" si="383"/>
        <v/>
      </c>
      <c r="AR747" t="str">
        <f t="shared" si="384"/>
        <v>Away</v>
      </c>
      <c r="AS747" t="str">
        <f t="shared" si="385"/>
        <v>a</v>
      </c>
      <c r="AT747" t="str">
        <f t="shared" si="386"/>
        <v>Offensive</v>
      </c>
      <c r="BA747" s="6">
        <f t="shared" si="376"/>
        <v>201</v>
      </c>
      <c r="BB747">
        <f t="shared" si="377"/>
        <v>18981</v>
      </c>
      <c r="BC747" t="str">
        <f t="shared" si="378"/>
        <v>Nelson</v>
      </c>
      <c r="BD747" t="str">
        <f t="shared" si="379"/>
        <v>Velodrome</v>
      </c>
      <c r="BE747" t="s">
        <v>7</v>
      </c>
      <c r="BF747" t="s">
        <v>182</v>
      </c>
      <c r="BG747" t="s">
        <v>68</v>
      </c>
      <c r="BI747" cm="1">
        <f t="array" ref="BI747">IFERROR(_xlfn._xlws.FILTER(shifts!A:A,(shifts!B:B=events!AD747)*(shifts!AG:AG&gt;=events!BK747)*(shifts!AH:AH&lt;=events!BL747)),BI746)</f>
        <v>36</v>
      </c>
      <c r="BJ747" s="15">
        <f t="shared" si="380"/>
        <v>0</v>
      </c>
      <c r="BK747">
        <f t="shared" si="387"/>
        <v>148</v>
      </c>
      <c r="BL747">
        <f t="shared" si="388"/>
        <v>148</v>
      </c>
      <c r="BM747" s="15">
        <f>SUMIFS(BJ$2:BJ747,K$2:K747,"=Intermission")+SUMIFS(BJ$2:BJ747,K$2:K747,"=Timeout")</f>
        <v>0</v>
      </c>
      <c r="BN747">
        <f t="shared" si="389"/>
        <v>0</v>
      </c>
      <c r="BO747" s="19">
        <f t="shared" si="390"/>
        <v>932</v>
      </c>
      <c r="BP747">
        <f t="shared" si="391"/>
        <v>927</v>
      </c>
      <c r="BQ747" s="17">
        <f t="shared" si="392"/>
        <v>932</v>
      </c>
      <c r="BR747" t="str">
        <f t="shared" si="393"/>
        <v>event_team_player_2</v>
      </c>
      <c r="BS747">
        <f>COUNTIFS(S$3:S747,"="&amp;S747,AI$3:AI747,"="&amp;AI747)</f>
        <v>2</v>
      </c>
      <c r="BT747" t="str">
        <f>IFERROR(VLOOKUP(BB747&amp;BU747&amp;X747,game_rosters!U:W,3,FALSE),"")</f>
        <v>P100230</v>
      </c>
      <c r="BU747" t="str">
        <f t="shared" si="394"/>
        <v>Velodrome</v>
      </c>
    </row>
    <row r="748" spans="1:73" x14ac:dyDescent="0.2">
      <c r="A748">
        <f t="shared" si="381"/>
        <v>1</v>
      </c>
      <c r="E748" s="4"/>
      <c r="F748" s="43"/>
      <c r="G748" s="4"/>
      <c r="H748" s="46"/>
      <c r="J748" s="44" t="str">
        <f t="shared" si="395"/>
        <v/>
      </c>
      <c r="K748" t="s">
        <v>11</v>
      </c>
      <c r="L748" t="s">
        <v>187</v>
      </c>
      <c r="M748" t="s">
        <v>106</v>
      </c>
      <c r="N748" t="str">
        <f t="shared" si="398"/>
        <v/>
      </c>
      <c r="Q748" t="str">
        <f t="shared" si="396"/>
        <v/>
      </c>
      <c r="S748">
        <v>398</v>
      </c>
      <c r="U748" t="str">
        <f>IF(B748=1,MAX($U$2:$U747)+1,IF(AND($T748&lt;&gt;"",$T748=$T747),$U747,IF(B748="x",U747,"")))</f>
        <v/>
      </c>
      <c r="V748" t="str">
        <f>IF(C748=1,MAX($V$2:$V747)+1,IF(AND($T748&lt;&gt;"",$T748=$T747),$U747,IF(C748="x",V747,"")))</f>
        <v/>
      </c>
      <c r="W748" t="str">
        <f t="shared" si="370"/>
        <v>a</v>
      </c>
      <c r="X748">
        <v>93</v>
      </c>
      <c r="Y748" t="e">
        <f>IF(X748&lt;&gt;"",VLOOKUP(X748,game_rosters!$C$43:$E$64,3,FALSE))</f>
        <v>#N/A</v>
      </c>
      <c r="Z748" cm="1">
        <f t="array" ref="Z748">IFERROR(IF(_xlfn._xlws.FILTER(game_rosters!$J:$J,(game_rosters!$G:$G=events!$AN748)*(game_rosters!$J:$J=events!$X748))&gt;0,1,""),"")</f>
        <v>1</v>
      </c>
      <c r="AA748">
        <f t="shared" si="371"/>
        <v>1398</v>
      </c>
      <c r="AB748" t="str">
        <f t="shared" si="372"/>
        <v/>
      </c>
      <c r="AC748">
        <f t="shared" si="369"/>
        <v>1398</v>
      </c>
      <c r="AD748" s="6">
        <v>1</v>
      </c>
      <c r="AE748" t="s">
        <v>942</v>
      </c>
      <c r="AF748" t="s">
        <v>907</v>
      </c>
      <c r="AG748" t="s">
        <v>756</v>
      </c>
      <c r="AH748" t="s">
        <v>756</v>
      </c>
      <c r="AI748" t="s">
        <v>367</v>
      </c>
      <c r="AJ748" t="str">
        <f t="shared" si="399"/>
        <v/>
      </c>
      <c r="AK748" t="str">
        <f t="shared" si="399"/>
        <v/>
      </c>
      <c r="AL748" t="str">
        <f t="shared" si="374"/>
        <v/>
      </c>
      <c r="AN748" t="s">
        <v>862</v>
      </c>
      <c r="AO748" t="str">
        <f t="shared" si="375"/>
        <v>a</v>
      </c>
      <c r="AP748" t="str">
        <f t="shared" si="382"/>
        <v/>
      </c>
      <c r="AQ748" t="str">
        <f t="shared" si="383"/>
        <v/>
      </c>
      <c r="AR748" t="str">
        <f t="shared" si="384"/>
        <v>Away</v>
      </c>
      <c r="AS748" t="str">
        <f t="shared" si="385"/>
        <v>a</v>
      </c>
      <c r="AT748" t="str">
        <f t="shared" si="386"/>
        <v/>
      </c>
      <c r="BA748" s="6">
        <f t="shared" si="376"/>
        <v>201</v>
      </c>
      <c r="BB748">
        <f t="shared" si="377"/>
        <v>18981</v>
      </c>
      <c r="BC748" t="str">
        <f t="shared" si="378"/>
        <v>Nelson</v>
      </c>
      <c r="BD748" t="str">
        <f t="shared" si="379"/>
        <v>Velodrome</v>
      </c>
      <c r="BE748" t="s">
        <v>11</v>
      </c>
      <c r="BF748" t="s">
        <v>187</v>
      </c>
      <c r="BG748" t="s">
        <v>106</v>
      </c>
      <c r="BI748">
        <v>36</v>
      </c>
      <c r="BJ748" s="15">
        <f t="shared" si="380"/>
        <v>0</v>
      </c>
      <c r="BK748">
        <f t="shared" si="387"/>
        <v>144</v>
      </c>
      <c r="BL748">
        <f t="shared" si="388"/>
        <v>144</v>
      </c>
      <c r="BM748" s="15">
        <f>SUMIFS(BJ$2:BJ748,K$2:K748,"=Intermission")+SUMIFS(BJ$2:BJ748,K$2:K748,"=Timeout")</f>
        <v>0</v>
      </c>
      <c r="BN748">
        <f t="shared" si="389"/>
        <v>0</v>
      </c>
      <c r="BO748" s="19">
        <f t="shared" si="390"/>
        <v>936</v>
      </c>
      <c r="BP748">
        <f t="shared" si="391"/>
        <v>931</v>
      </c>
      <c r="BQ748" s="17">
        <f t="shared" si="392"/>
        <v>936</v>
      </c>
      <c r="BR748" t="str">
        <f t="shared" si="393"/>
        <v>event_team_player_1</v>
      </c>
      <c r="BS748">
        <f>COUNTIFS(S$3:S748,"="&amp;S748,AI$3:AI748,"="&amp;AI748)</f>
        <v>1</v>
      </c>
      <c r="BT748" t="str">
        <f>IFERROR(VLOOKUP(BB748&amp;BU748&amp;X748,game_rosters!U:W,3,FALSE),"")</f>
        <v>P100093</v>
      </c>
      <c r="BU748" t="str">
        <f t="shared" si="394"/>
        <v>Velodrome</v>
      </c>
    </row>
    <row r="749" spans="1:73" x14ac:dyDescent="0.2">
      <c r="A749">
        <f t="shared" si="381"/>
        <v>1</v>
      </c>
      <c r="E749" s="4"/>
      <c r="F749" s="43"/>
      <c r="G749" s="4"/>
      <c r="H749" s="46"/>
      <c r="J749" s="44" t="str">
        <f t="shared" si="395"/>
        <v/>
      </c>
      <c r="K749" t="s">
        <v>241</v>
      </c>
      <c r="L749" t="s">
        <v>756</v>
      </c>
      <c r="M749" t="s">
        <v>756</v>
      </c>
      <c r="N749" t="str">
        <f t="shared" si="398"/>
        <v/>
      </c>
      <c r="Q749" t="str">
        <f t="shared" si="396"/>
        <v/>
      </c>
      <c r="S749">
        <v>399</v>
      </c>
      <c r="U749" t="str">
        <f>IF(B749=1,MAX($U$2:$U748)+1,IF(AND($T749&lt;&gt;"",$T749=$T748),$U748,IF(B749="x",U748,"")))</f>
        <v/>
      </c>
      <c r="V749" t="str">
        <f>IF(C749=1,MAX($V$2:$V748)+1,IF(AND($T749&lt;&gt;"",$T749=$T748),$U748,IF(C749="x",V748,"")))</f>
        <v/>
      </c>
      <c r="W749" t="str">
        <f t="shared" si="370"/>
        <v>a</v>
      </c>
      <c r="X749">
        <v>93</v>
      </c>
      <c r="Y749" t="e">
        <f>IF(X749&lt;&gt;"",VLOOKUP(X749,game_rosters!$C$43:$E$64,3,FALSE))</f>
        <v>#N/A</v>
      </c>
      <c r="Z749" cm="1">
        <f t="array" ref="Z749">IFERROR(IF(_xlfn._xlws.FILTER(game_rosters!$J:$J,(game_rosters!$G:$G=events!$AN749)*(game_rosters!$J:$J=events!$X749))&gt;0,1,""),"")</f>
        <v>1</v>
      </c>
      <c r="AA749">
        <f t="shared" si="371"/>
        <v>1399</v>
      </c>
      <c r="AB749" t="str">
        <f t="shared" si="372"/>
        <v/>
      </c>
      <c r="AC749">
        <f t="shared" si="369"/>
        <v>1399</v>
      </c>
      <c r="AD749" s="6">
        <v>1</v>
      </c>
      <c r="AE749" t="s">
        <v>942</v>
      </c>
      <c r="AF749" t="s">
        <v>907</v>
      </c>
      <c r="AG749" t="s">
        <v>942</v>
      </c>
      <c r="AH749" t="s">
        <v>413</v>
      </c>
      <c r="AI749" t="s">
        <v>367</v>
      </c>
      <c r="AJ749" t="str">
        <f t="shared" si="399"/>
        <v/>
      </c>
      <c r="AK749" t="str">
        <f t="shared" si="399"/>
        <v/>
      </c>
      <c r="AL749" t="str">
        <f t="shared" si="374"/>
        <v/>
      </c>
      <c r="AN749" t="s">
        <v>862</v>
      </c>
      <c r="AO749" t="str">
        <f t="shared" si="375"/>
        <v>a</v>
      </c>
      <c r="AP749" t="str">
        <f t="shared" si="382"/>
        <v/>
      </c>
      <c r="AQ749" t="str">
        <f t="shared" si="383"/>
        <v/>
      </c>
      <c r="AR749" t="str">
        <f t="shared" si="384"/>
        <v>Away</v>
      </c>
      <c r="AS749" t="str">
        <f t="shared" si="385"/>
        <v>a</v>
      </c>
      <c r="AT749" t="str">
        <f t="shared" si="386"/>
        <v/>
      </c>
      <c r="BA749" s="6">
        <f t="shared" si="376"/>
        <v>201</v>
      </c>
      <c r="BB749">
        <f t="shared" si="377"/>
        <v>18981</v>
      </c>
      <c r="BC749" t="str">
        <f t="shared" si="378"/>
        <v>Nelson</v>
      </c>
      <c r="BD749" t="str">
        <f t="shared" si="379"/>
        <v>Velodrome</v>
      </c>
      <c r="BE749" t="s">
        <v>241</v>
      </c>
      <c r="BF749" t="s">
        <v>756</v>
      </c>
      <c r="BG749" t="s">
        <v>756</v>
      </c>
      <c r="BI749" cm="1">
        <f t="array" ref="BI749">IFERROR(_xlfn._xlws.FILTER(shifts!A:A,(shifts!B:B=events!AD749)*(shifts!AG:AG&gt;=events!BK749)*(shifts!AH:AH&lt;=events!BL749)),BI748)</f>
        <v>37</v>
      </c>
      <c r="BJ749" s="15">
        <f t="shared" si="380"/>
        <v>24</v>
      </c>
      <c r="BK749">
        <f t="shared" si="387"/>
        <v>144</v>
      </c>
      <c r="BL749">
        <f t="shared" si="388"/>
        <v>120</v>
      </c>
      <c r="BM749" s="15">
        <f>SUMIFS(BJ$2:BJ749,K$2:K749,"=Intermission")+SUMIFS(BJ$2:BJ749,K$2:K749,"=Timeout")</f>
        <v>0</v>
      </c>
      <c r="BN749">
        <f t="shared" si="389"/>
        <v>0</v>
      </c>
      <c r="BO749" s="19">
        <f t="shared" si="390"/>
        <v>936</v>
      </c>
      <c r="BP749">
        <f t="shared" si="391"/>
        <v>931</v>
      </c>
      <c r="BQ749" s="17">
        <f t="shared" si="392"/>
        <v>960</v>
      </c>
      <c r="BR749" t="str">
        <f t="shared" si="393"/>
        <v>event_team_player_1</v>
      </c>
      <c r="BS749">
        <f>COUNTIFS(S$3:S749,"="&amp;S749,AI$3:AI749,"="&amp;AI749)</f>
        <v>1</v>
      </c>
      <c r="BT749" t="str">
        <f>IFERROR(VLOOKUP(BB749&amp;BU749&amp;X749,game_rosters!U:W,3,FALSE),"")</f>
        <v>P100093</v>
      </c>
      <c r="BU749" t="str">
        <f t="shared" si="394"/>
        <v>Velodrome</v>
      </c>
    </row>
    <row r="750" spans="1:73" x14ac:dyDescent="0.2">
      <c r="A750">
        <f t="shared" si="381"/>
        <v>1</v>
      </c>
      <c r="E750" s="4"/>
      <c r="F750" s="43"/>
      <c r="G750" s="4"/>
      <c r="H750" s="46"/>
      <c r="J750" s="44" t="str">
        <f t="shared" si="395"/>
        <v/>
      </c>
      <c r="K750" t="s">
        <v>5</v>
      </c>
      <c r="L750" t="s">
        <v>236</v>
      </c>
      <c r="M750" t="s">
        <v>756</v>
      </c>
      <c r="N750" t="str">
        <f t="shared" si="398"/>
        <v/>
      </c>
      <c r="Q750" t="str">
        <f t="shared" si="396"/>
        <v/>
      </c>
      <c r="S750">
        <v>400</v>
      </c>
      <c r="U750" t="str">
        <f>IF(B750=1,MAX($U$2:$U749)+1,IF(AND($T750&lt;&gt;"",$T750=$T749),$U749,IF(B750="x",U749,"")))</f>
        <v/>
      </c>
      <c r="V750" t="str">
        <f>IF(C750=1,MAX($V$2:$V749)+1,IF(AND($T750&lt;&gt;"",$T750=$T749),$U749,IF(C750="x",V749,"")))</f>
        <v/>
      </c>
      <c r="W750" t="str">
        <f t="shared" si="370"/>
        <v>a</v>
      </c>
      <c r="X750">
        <v>42</v>
      </c>
      <c r="Y750" t="e">
        <f>IF(X750&lt;&gt;"",VLOOKUP(X750,game_rosters!$C$43:$E$64,3,FALSE))</f>
        <v>#N/A</v>
      </c>
      <c r="Z750" cm="1">
        <f t="array" ref="Z750">IFERROR(IF(_xlfn._xlws.FILTER(game_rosters!$J:$J,(game_rosters!$G:$G=events!$AN750)*(game_rosters!$J:$J=events!$X750))&gt;0,1,""),"")</f>
        <v>1</v>
      </c>
      <c r="AA750">
        <f t="shared" si="371"/>
        <v>1400</v>
      </c>
      <c r="AB750" t="str">
        <f t="shared" si="372"/>
        <v/>
      </c>
      <c r="AC750">
        <f t="shared" si="369"/>
        <v>1400</v>
      </c>
      <c r="AD750" s="6">
        <v>1</v>
      </c>
      <c r="AE750" t="s">
        <v>942</v>
      </c>
      <c r="AF750" t="s">
        <v>413</v>
      </c>
      <c r="AG750" t="s">
        <v>756</v>
      </c>
      <c r="AH750" t="s">
        <v>756</v>
      </c>
      <c r="AI750" t="s">
        <v>367</v>
      </c>
      <c r="AJ750" t="str">
        <f t="shared" si="399"/>
        <v/>
      </c>
      <c r="AK750" t="str">
        <f t="shared" si="399"/>
        <v/>
      </c>
      <c r="AL750" t="str">
        <f t="shared" si="374"/>
        <v/>
      </c>
      <c r="AN750" t="s">
        <v>862</v>
      </c>
      <c r="AO750" t="str">
        <f t="shared" si="375"/>
        <v>a</v>
      </c>
      <c r="AP750" t="str">
        <f t="shared" si="382"/>
        <v/>
      </c>
      <c r="AQ750" t="str">
        <f t="shared" si="383"/>
        <v/>
      </c>
      <c r="AR750" t="str">
        <f t="shared" si="384"/>
        <v>Away</v>
      </c>
      <c r="AS750" t="str">
        <f t="shared" si="385"/>
        <v>a</v>
      </c>
      <c r="AT750" t="str">
        <f t="shared" si="386"/>
        <v>Offensive</v>
      </c>
      <c r="BA750" s="6">
        <f t="shared" si="376"/>
        <v>201</v>
      </c>
      <c r="BB750">
        <f t="shared" si="377"/>
        <v>18981</v>
      </c>
      <c r="BC750" t="str">
        <f t="shared" si="378"/>
        <v>Nelson</v>
      </c>
      <c r="BD750" t="str">
        <f t="shared" si="379"/>
        <v>Velodrome</v>
      </c>
      <c r="BE750" t="s">
        <v>5</v>
      </c>
      <c r="BF750" t="s">
        <v>236</v>
      </c>
      <c r="BG750" t="s">
        <v>756</v>
      </c>
      <c r="BI750" cm="1">
        <f t="array" ref="BI750">IFERROR(_xlfn._xlws.FILTER(shifts!A:A,(shifts!B:B=events!AD750)*(shifts!AG:AG&gt;=events!BK750)*(shifts!AH:AH&lt;=events!BL750)),BI749)</f>
        <v>37</v>
      </c>
      <c r="BJ750" s="15">
        <f t="shared" si="380"/>
        <v>0</v>
      </c>
      <c r="BK750">
        <f t="shared" si="387"/>
        <v>120</v>
      </c>
      <c r="BL750">
        <f t="shared" si="388"/>
        <v>120</v>
      </c>
      <c r="BM750" s="15">
        <f>SUMIFS(BJ$2:BJ750,K$2:K750,"=Intermission")+SUMIFS(BJ$2:BJ750,K$2:K750,"=Timeout")</f>
        <v>0</v>
      </c>
      <c r="BN750">
        <f t="shared" si="389"/>
        <v>0</v>
      </c>
      <c r="BO750" s="19">
        <f t="shared" si="390"/>
        <v>960</v>
      </c>
      <c r="BP750">
        <f t="shared" si="391"/>
        <v>955</v>
      </c>
      <c r="BQ750" s="17">
        <f t="shared" si="392"/>
        <v>960</v>
      </c>
      <c r="BR750" t="str">
        <f t="shared" si="393"/>
        <v>event_team_player_1</v>
      </c>
      <c r="BS750">
        <f>COUNTIFS(S$3:S750,"="&amp;S750,AI$3:AI750,"="&amp;AI750)</f>
        <v>1</v>
      </c>
      <c r="BT750" t="str">
        <f>IFERROR(VLOOKUP(BB750&amp;BU750&amp;X750,game_rosters!U:W,3,FALSE),"")</f>
        <v>P100201</v>
      </c>
      <c r="BU750" t="str">
        <f t="shared" si="394"/>
        <v>Velodrome</v>
      </c>
    </row>
    <row r="751" spans="1:73" x14ac:dyDescent="0.2">
      <c r="A751">
        <f t="shared" si="381"/>
        <v>1</v>
      </c>
      <c r="E751" s="4"/>
      <c r="F751" s="43"/>
      <c r="G751" s="4"/>
      <c r="H751" s="46"/>
      <c r="J751" s="44" t="str">
        <f t="shared" si="395"/>
        <v/>
      </c>
      <c r="K751" t="s">
        <v>5</v>
      </c>
      <c r="L751" t="s">
        <v>236</v>
      </c>
      <c r="M751" t="s">
        <v>756</v>
      </c>
      <c r="N751" t="str">
        <f t="shared" si="398"/>
        <v/>
      </c>
      <c r="Q751" t="str">
        <f t="shared" si="396"/>
        <v/>
      </c>
      <c r="S751">
        <v>400</v>
      </c>
      <c r="U751" t="str">
        <f>IF(B751=1,MAX($U$2:$U750)+1,IF(AND($T751&lt;&gt;"",$T751=$T750),$U750,IF(B751="x",U750,"")))</f>
        <v/>
      </c>
      <c r="V751" t="str">
        <f>IF(C751=1,MAX($V$2:$V750)+1,IF(AND($T751&lt;&gt;"",$T751=$T750),$U750,IF(C751="x",V750,"")))</f>
        <v/>
      </c>
      <c r="W751" t="str">
        <f t="shared" si="370"/>
        <v>a</v>
      </c>
      <c r="X751">
        <v>9</v>
      </c>
      <c r="Y751" t="e">
        <f>IF(X751&lt;&gt;"",VLOOKUP(X751,game_rosters!$C$43:$E$64,3,FALSE))</f>
        <v>#N/A</v>
      </c>
      <c r="Z751" cm="1">
        <f t="array" ref="Z751">IFERROR(IF(_xlfn._xlws.FILTER(game_rosters!$J:$J,(game_rosters!$G:$G=events!$AN751)*(game_rosters!$J:$J=events!$X751))&gt;0,1,""),"")</f>
        <v>1</v>
      </c>
      <c r="AA751">
        <f t="shared" si="371"/>
        <v>1400</v>
      </c>
      <c r="AB751" t="str">
        <f t="shared" si="372"/>
        <v/>
      </c>
      <c r="AC751">
        <f t="shared" si="369"/>
        <v>1400</v>
      </c>
      <c r="AD751" s="6">
        <v>1</v>
      </c>
      <c r="AE751" t="s">
        <v>942</v>
      </c>
      <c r="AF751" t="s">
        <v>413</v>
      </c>
      <c r="AG751" t="s">
        <v>756</v>
      </c>
      <c r="AH751" t="s">
        <v>756</v>
      </c>
      <c r="AI751" t="s">
        <v>367</v>
      </c>
      <c r="AJ751" t="str">
        <f t="shared" si="399"/>
        <v/>
      </c>
      <c r="AK751" t="str">
        <f t="shared" si="399"/>
        <v/>
      </c>
      <c r="AL751" t="str">
        <f t="shared" si="374"/>
        <v/>
      </c>
      <c r="AN751" t="s">
        <v>862</v>
      </c>
      <c r="AO751" t="str">
        <f t="shared" si="375"/>
        <v>a</v>
      </c>
      <c r="AP751" t="str">
        <f t="shared" si="382"/>
        <v/>
      </c>
      <c r="AQ751" t="str">
        <f t="shared" si="383"/>
        <v/>
      </c>
      <c r="AR751" t="str">
        <f t="shared" si="384"/>
        <v>Away</v>
      </c>
      <c r="AS751" t="str">
        <f t="shared" si="385"/>
        <v>a</v>
      </c>
      <c r="AT751" t="str">
        <f t="shared" si="386"/>
        <v>Offensive</v>
      </c>
      <c r="BA751" s="6">
        <f t="shared" si="376"/>
        <v>201</v>
      </c>
      <c r="BB751">
        <f t="shared" si="377"/>
        <v>18981</v>
      </c>
      <c r="BC751" t="str">
        <f t="shared" si="378"/>
        <v>Nelson</v>
      </c>
      <c r="BD751" t="str">
        <f t="shared" si="379"/>
        <v>Velodrome</v>
      </c>
      <c r="BE751" t="s">
        <v>5</v>
      </c>
      <c r="BF751" t="s">
        <v>236</v>
      </c>
      <c r="BG751" t="s">
        <v>756</v>
      </c>
      <c r="BI751" cm="1">
        <f t="array" ref="BI751">IFERROR(_xlfn._xlws.FILTER(shifts!A:A,(shifts!B:B=events!AD751)*(shifts!AG:AG&gt;=events!BK751)*(shifts!AH:AH&lt;=events!BL751)),BI750)</f>
        <v>37</v>
      </c>
      <c r="BJ751" s="15">
        <f t="shared" si="380"/>
        <v>0</v>
      </c>
      <c r="BK751">
        <f t="shared" si="387"/>
        <v>120</v>
      </c>
      <c r="BL751">
        <f t="shared" si="388"/>
        <v>120</v>
      </c>
      <c r="BM751" s="15">
        <f>SUMIFS(BJ$2:BJ751,K$2:K751,"=Intermission")+SUMIFS(BJ$2:BJ751,K$2:K751,"=Timeout")</f>
        <v>0</v>
      </c>
      <c r="BN751">
        <f t="shared" si="389"/>
        <v>0</v>
      </c>
      <c r="BO751" s="19">
        <f t="shared" si="390"/>
        <v>960</v>
      </c>
      <c r="BP751">
        <f t="shared" si="391"/>
        <v>955</v>
      </c>
      <c r="BQ751" s="17">
        <f t="shared" si="392"/>
        <v>960</v>
      </c>
      <c r="BR751" t="str">
        <f t="shared" si="393"/>
        <v>event_team_player_2</v>
      </c>
      <c r="BS751">
        <f>COUNTIFS(S$3:S751,"="&amp;S751,AI$3:AI751,"="&amp;AI751)</f>
        <v>2</v>
      </c>
      <c r="BT751" t="str">
        <f>IFERROR(VLOOKUP(BB751&amp;BU751&amp;X751,game_rosters!U:W,3,FALSE),"")</f>
        <v>P100105</v>
      </c>
      <c r="BU751" t="str">
        <f t="shared" si="394"/>
        <v>Velodrome</v>
      </c>
    </row>
    <row r="752" spans="1:73" x14ac:dyDescent="0.2">
      <c r="A752">
        <f t="shared" si="381"/>
        <v>1</v>
      </c>
      <c r="E752" s="4"/>
      <c r="F752" s="43"/>
      <c r="G752" s="4"/>
      <c r="H752" s="46"/>
      <c r="J752" s="44" t="str">
        <f t="shared" si="395"/>
        <v/>
      </c>
      <c r="K752" t="s">
        <v>5</v>
      </c>
      <c r="L752" t="s">
        <v>236</v>
      </c>
      <c r="M752" t="s">
        <v>756</v>
      </c>
      <c r="N752" t="str">
        <f t="shared" si="398"/>
        <v/>
      </c>
      <c r="Q752" t="str">
        <f t="shared" si="396"/>
        <v/>
      </c>
      <c r="S752">
        <v>400</v>
      </c>
      <c r="U752" t="str">
        <f>IF(B752=1,MAX($U$2:$U751)+1,IF(AND($T752&lt;&gt;"",$T752=$T751),$U751,IF(B752="x",U751,"")))</f>
        <v/>
      </c>
      <c r="V752" t="str">
        <f>IF(C752=1,MAX($V$2:$V751)+1,IF(AND($T752&lt;&gt;"",$T752=$T751),$U751,IF(C752="x",V751,"")))</f>
        <v/>
      </c>
      <c r="W752" t="str">
        <f t="shared" si="370"/>
        <v>a</v>
      </c>
      <c r="X752">
        <v>10</v>
      </c>
      <c r="Y752" t="b">
        <f>IF(X752&lt;&gt;"",VLOOKUP(X752,game_rosters!$C$43:$E$64,3,FALSE))</f>
        <v>0</v>
      </c>
      <c r="Z752" t="str" cm="1">
        <f t="array" ref="Z752">IFERROR(IF(_xlfn._xlws.FILTER(game_rosters!$J:$J,(game_rosters!$G:$G=events!$AN752)*(game_rosters!$J:$J=events!$X752))&gt;0,1,""),"")</f>
        <v/>
      </c>
      <c r="AA752">
        <f t="shared" si="371"/>
        <v>1400</v>
      </c>
      <c r="AB752" t="str">
        <f t="shared" si="372"/>
        <v/>
      </c>
      <c r="AC752">
        <f t="shared" si="369"/>
        <v>1400</v>
      </c>
      <c r="AD752" s="6">
        <v>1</v>
      </c>
      <c r="AE752" t="s">
        <v>942</v>
      </c>
      <c r="AF752" t="s">
        <v>413</v>
      </c>
      <c r="AG752" t="s">
        <v>756</v>
      </c>
      <c r="AH752" t="s">
        <v>756</v>
      </c>
      <c r="AI752" t="s">
        <v>368</v>
      </c>
      <c r="AJ752" t="str">
        <f t="shared" si="399"/>
        <v/>
      </c>
      <c r="AK752" t="str">
        <f t="shared" si="399"/>
        <v/>
      </c>
      <c r="AL752" t="str">
        <f t="shared" si="374"/>
        <v/>
      </c>
      <c r="AN752" t="s">
        <v>862</v>
      </c>
      <c r="AO752" t="str">
        <f t="shared" si="375"/>
        <v>a</v>
      </c>
      <c r="AP752" t="str">
        <f t="shared" si="382"/>
        <v/>
      </c>
      <c r="AQ752" t="str">
        <f t="shared" si="383"/>
        <v/>
      </c>
      <c r="AR752" t="str">
        <f t="shared" si="384"/>
        <v>Away</v>
      </c>
      <c r="AS752" t="str">
        <f t="shared" si="385"/>
        <v>a</v>
      </c>
      <c r="AT752" t="str">
        <f t="shared" si="386"/>
        <v>Defensive</v>
      </c>
      <c r="BA752" s="6">
        <f t="shared" si="376"/>
        <v>201</v>
      </c>
      <c r="BB752">
        <f t="shared" si="377"/>
        <v>18981</v>
      </c>
      <c r="BC752" t="str">
        <f t="shared" si="378"/>
        <v>Nelson</v>
      </c>
      <c r="BD752" t="str">
        <f t="shared" si="379"/>
        <v>Velodrome</v>
      </c>
      <c r="BE752" t="s">
        <v>5</v>
      </c>
      <c r="BF752" t="s">
        <v>236</v>
      </c>
      <c r="BG752" t="s">
        <v>756</v>
      </c>
      <c r="BI752" cm="1">
        <f t="array" ref="BI752">IFERROR(_xlfn._xlws.FILTER(shifts!A:A,(shifts!B:B=events!AD752)*(shifts!AG:AG&gt;=events!BK752)*(shifts!AH:AH&lt;=events!BL752)),BI751)</f>
        <v>37</v>
      </c>
      <c r="BJ752" s="15">
        <f t="shared" si="380"/>
        <v>0</v>
      </c>
      <c r="BK752">
        <f t="shared" si="387"/>
        <v>120</v>
      </c>
      <c r="BL752">
        <f t="shared" si="388"/>
        <v>120</v>
      </c>
      <c r="BM752" s="15">
        <f>SUMIFS(BJ$2:BJ752,K$2:K752,"=Intermission")+SUMIFS(BJ$2:BJ752,K$2:K752,"=Timeout")</f>
        <v>0</v>
      </c>
      <c r="BN752">
        <f t="shared" si="389"/>
        <v>0</v>
      </c>
      <c r="BO752" s="19">
        <f t="shared" si="390"/>
        <v>960</v>
      </c>
      <c r="BP752">
        <f t="shared" si="391"/>
        <v>955</v>
      </c>
      <c r="BQ752" s="17">
        <f t="shared" si="392"/>
        <v>960</v>
      </c>
      <c r="BR752" t="str">
        <f t="shared" si="393"/>
        <v>opp_team_player_1</v>
      </c>
      <c r="BS752">
        <f>COUNTIFS(S$3:S752,"="&amp;S752,AI$3:AI752,"="&amp;AI752)</f>
        <v>1</v>
      </c>
      <c r="BT752" t="str">
        <f>IFERROR(VLOOKUP(BB752&amp;BU752&amp;X752,game_rosters!U:W,3,FALSE),"")</f>
        <v>P100078</v>
      </c>
      <c r="BU752" t="str">
        <f t="shared" si="394"/>
        <v>Nelson</v>
      </c>
    </row>
    <row r="753" spans="1:73" x14ac:dyDescent="0.2">
      <c r="A753">
        <f t="shared" si="381"/>
        <v>1</v>
      </c>
      <c r="E753" s="4"/>
      <c r="F753" s="43"/>
      <c r="G753" s="4"/>
      <c r="H753" s="46"/>
      <c r="J753" s="44" t="str">
        <f t="shared" si="395"/>
        <v/>
      </c>
      <c r="K753" t="s">
        <v>7</v>
      </c>
      <c r="L753" t="s">
        <v>172</v>
      </c>
      <c r="M753" t="s">
        <v>66</v>
      </c>
      <c r="N753" t="str">
        <f t="shared" si="398"/>
        <v>s</v>
      </c>
      <c r="Q753" t="str">
        <f t="shared" si="396"/>
        <v/>
      </c>
      <c r="S753">
        <v>401</v>
      </c>
      <c r="U753" t="str">
        <f>IF(B753=1,MAX($U$2:$U752)+1,IF(AND($T753&lt;&gt;"",$T753=$T752),$U752,IF(B753="x",U752,"")))</f>
        <v/>
      </c>
      <c r="V753" t="str">
        <f>IF(C753=1,MAX($V$2:$V752)+1,IF(AND($T753&lt;&gt;"",$T753=$T752),$U752,IF(C753="x",V752,"")))</f>
        <v/>
      </c>
      <c r="W753" t="str">
        <f t="shared" si="370"/>
        <v>a</v>
      </c>
      <c r="X753">
        <v>9</v>
      </c>
      <c r="Y753" t="e">
        <f>IF(X753&lt;&gt;"",VLOOKUP(X753,game_rosters!$C$43:$E$64,3,FALSE))</f>
        <v>#N/A</v>
      </c>
      <c r="Z753" cm="1">
        <f t="array" ref="Z753">IFERROR(IF(_xlfn._xlws.FILTER(game_rosters!$J:$J,(game_rosters!$G:$G=events!$AN753)*(game_rosters!$J:$J=events!$X753))&gt;0,1,""),"")</f>
        <v>1</v>
      </c>
      <c r="AA753">
        <f t="shared" si="371"/>
        <v>1401</v>
      </c>
      <c r="AB753" t="str">
        <f t="shared" si="372"/>
        <v/>
      </c>
      <c r="AC753">
        <f t="shared" si="369"/>
        <v>1401</v>
      </c>
      <c r="AD753" s="6">
        <v>1</v>
      </c>
      <c r="AE753" t="s">
        <v>943</v>
      </c>
      <c r="AF753" t="s">
        <v>896</v>
      </c>
      <c r="AG753" t="s">
        <v>756</v>
      </c>
      <c r="AH753" t="s">
        <v>756</v>
      </c>
      <c r="AI753" t="s">
        <v>367</v>
      </c>
      <c r="AJ753" t="str">
        <f t="shared" si="399"/>
        <v/>
      </c>
      <c r="AK753" t="str">
        <f t="shared" si="399"/>
        <v/>
      </c>
      <c r="AL753" t="str">
        <f t="shared" si="374"/>
        <v/>
      </c>
      <c r="AN753" t="s">
        <v>862</v>
      </c>
      <c r="AO753" t="str">
        <f t="shared" si="375"/>
        <v>a</v>
      </c>
      <c r="AP753" t="str">
        <f t="shared" si="382"/>
        <v/>
      </c>
      <c r="AQ753" t="str">
        <f t="shared" si="383"/>
        <v/>
      </c>
      <c r="AR753" t="str">
        <f t="shared" si="384"/>
        <v>Away</v>
      </c>
      <c r="AS753" t="str">
        <f t="shared" si="385"/>
        <v>a</v>
      </c>
      <c r="AT753" t="str">
        <f t="shared" si="386"/>
        <v>Offensive</v>
      </c>
      <c r="BA753" s="6">
        <f t="shared" si="376"/>
        <v>201</v>
      </c>
      <c r="BB753">
        <f t="shared" si="377"/>
        <v>18981</v>
      </c>
      <c r="BC753" t="str">
        <f t="shared" si="378"/>
        <v>Nelson</v>
      </c>
      <c r="BD753" t="str">
        <f t="shared" si="379"/>
        <v>Velodrome</v>
      </c>
      <c r="BE753" t="s">
        <v>7</v>
      </c>
      <c r="BF753" t="s">
        <v>172</v>
      </c>
      <c r="BG753" t="s">
        <v>66</v>
      </c>
      <c r="BI753" cm="1">
        <f t="array" ref="BI753">IFERROR(_xlfn._xlws.FILTER(shifts!A:A,(shifts!B:B=events!AD753)*(shifts!AG:AG&gt;=events!BK753)*(shifts!AH:AH&lt;=events!BL753)),BI752)</f>
        <v>37</v>
      </c>
      <c r="BJ753" s="15">
        <f t="shared" si="380"/>
        <v>0</v>
      </c>
      <c r="BK753">
        <f t="shared" si="387"/>
        <v>119</v>
      </c>
      <c r="BL753">
        <f t="shared" si="388"/>
        <v>119</v>
      </c>
      <c r="BM753" s="15">
        <f>SUMIFS(BJ$2:BJ753,K$2:K753,"=Intermission")+SUMIFS(BJ$2:BJ753,K$2:K753,"=Timeout")</f>
        <v>0</v>
      </c>
      <c r="BN753">
        <f t="shared" si="389"/>
        <v>0</v>
      </c>
      <c r="BO753" s="19">
        <f t="shared" si="390"/>
        <v>961</v>
      </c>
      <c r="BP753">
        <f t="shared" si="391"/>
        <v>956</v>
      </c>
      <c r="BQ753" s="17">
        <f t="shared" si="392"/>
        <v>961</v>
      </c>
      <c r="BR753" t="str">
        <f t="shared" si="393"/>
        <v>event_team_player_1</v>
      </c>
      <c r="BS753">
        <f>COUNTIFS(S$3:S753,"="&amp;S753,AI$3:AI753,"="&amp;AI753)</f>
        <v>1</v>
      </c>
      <c r="BT753" t="str">
        <f>IFERROR(VLOOKUP(BB753&amp;BU753&amp;X753,game_rosters!U:W,3,FALSE),"")</f>
        <v>P100105</v>
      </c>
      <c r="BU753" t="str">
        <f t="shared" si="394"/>
        <v>Velodrome</v>
      </c>
    </row>
    <row r="754" spans="1:73" x14ac:dyDescent="0.2">
      <c r="A754">
        <f t="shared" si="381"/>
        <v>1</v>
      </c>
      <c r="E754" s="4"/>
      <c r="F754" s="43"/>
      <c r="G754" s="4"/>
      <c r="H754" s="46"/>
      <c r="J754" s="44" t="str">
        <f t="shared" si="395"/>
        <v/>
      </c>
      <c r="K754" t="s">
        <v>7</v>
      </c>
      <c r="L754" t="s">
        <v>172</v>
      </c>
      <c r="M754" t="s">
        <v>66</v>
      </c>
      <c r="N754" t="str">
        <f t="shared" si="398"/>
        <v>s</v>
      </c>
      <c r="Q754" t="str">
        <f t="shared" si="396"/>
        <v/>
      </c>
      <c r="S754">
        <v>401</v>
      </c>
      <c r="U754" t="str">
        <f>IF(B754=1,MAX($U$2:$U753)+1,IF(AND($T754&lt;&gt;"",$T754=$T753),$U753,IF(B754="x",U753,"")))</f>
        <v/>
      </c>
      <c r="V754" t="str">
        <f>IF(C754=1,MAX($V$2:$V753)+1,IF(AND($T754&lt;&gt;"",$T754=$T753),$U753,IF(C754="x",V753,"")))</f>
        <v/>
      </c>
      <c r="W754" t="str">
        <f t="shared" si="370"/>
        <v>a</v>
      </c>
      <c r="X754">
        <v>91</v>
      </c>
      <c r="Y754" t="e">
        <f>IF(X754&lt;&gt;"",VLOOKUP(X754,game_rosters!$C$43:$E$64,3,FALSE))</f>
        <v>#N/A</v>
      </c>
      <c r="Z754" cm="1">
        <f t="array" ref="Z754">IFERROR(IF(_xlfn._xlws.FILTER(game_rosters!$J:$J,(game_rosters!$G:$G=events!$AN754)*(game_rosters!$J:$J=events!$X754))&gt;0,1,""),"")</f>
        <v>1</v>
      </c>
      <c r="AA754">
        <f t="shared" si="371"/>
        <v>1401</v>
      </c>
      <c r="AB754" t="str">
        <f t="shared" si="372"/>
        <v/>
      </c>
      <c r="AC754">
        <f t="shared" si="369"/>
        <v>1401</v>
      </c>
      <c r="AD754" s="6">
        <v>1</v>
      </c>
      <c r="AE754" t="s">
        <v>943</v>
      </c>
      <c r="AF754" t="s">
        <v>896</v>
      </c>
      <c r="AG754" t="s">
        <v>756</v>
      </c>
      <c r="AH754" t="s">
        <v>756</v>
      </c>
      <c r="AI754" t="s">
        <v>367</v>
      </c>
      <c r="AJ754" t="str">
        <f t="shared" si="399"/>
        <v/>
      </c>
      <c r="AK754" t="str">
        <f t="shared" si="399"/>
        <v/>
      </c>
      <c r="AL754" t="str">
        <f t="shared" si="374"/>
        <v/>
      </c>
      <c r="AN754" t="s">
        <v>862</v>
      </c>
      <c r="AO754" t="str">
        <f t="shared" si="375"/>
        <v>a</v>
      </c>
      <c r="AP754" t="str">
        <f t="shared" si="382"/>
        <v/>
      </c>
      <c r="AQ754" t="str">
        <f t="shared" si="383"/>
        <v/>
      </c>
      <c r="AR754" t="str">
        <f t="shared" si="384"/>
        <v>Away</v>
      </c>
      <c r="AS754" t="str">
        <f t="shared" si="385"/>
        <v>a</v>
      </c>
      <c r="AT754" t="str">
        <f t="shared" si="386"/>
        <v>Offensive</v>
      </c>
      <c r="BA754" s="6">
        <f t="shared" si="376"/>
        <v>201</v>
      </c>
      <c r="BB754">
        <f t="shared" si="377"/>
        <v>18981</v>
      </c>
      <c r="BC754" t="str">
        <f t="shared" si="378"/>
        <v>Nelson</v>
      </c>
      <c r="BD754" t="str">
        <f t="shared" si="379"/>
        <v>Velodrome</v>
      </c>
      <c r="BE754" t="s">
        <v>7</v>
      </c>
      <c r="BF754" t="s">
        <v>172</v>
      </c>
      <c r="BG754" t="s">
        <v>66</v>
      </c>
      <c r="BI754" cm="1">
        <f t="array" ref="BI754">IFERROR(_xlfn._xlws.FILTER(shifts!A:A,(shifts!B:B=events!AD754)*(shifts!AG:AG&gt;=events!BK754)*(shifts!AH:AH&lt;=events!BL754)),BI753)</f>
        <v>37</v>
      </c>
      <c r="BJ754" s="15">
        <f t="shared" si="380"/>
        <v>0</v>
      </c>
      <c r="BK754">
        <f t="shared" si="387"/>
        <v>119</v>
      </c>
      <c r="BL754">
        <f t="shared" si="388"/>
        <v>119</v>
      </c>
      <c r="BM754" s="15">
        <f>SUMIFS(BJ$2:BJ754,K$2:K754,"=Intermission")+SUMIFS(BJ$2:BJ754,K$2:K754,"=Timeout")</f>
        <v>0</v>
      </c>
      <c r="BN754">
        <f t="shared" si="389"/>
        <v>0</v>
      </c>
      <c r="BO754" s="19">
        <f t="shared" si="390"/>
        <v>961</v>
      </c>
      <c r="BP754">
        <f t="shared" si="391"/>
        <v>956</v>
      </c>
      <c r="BQ754" s="17">
        <f t="shared" si="392"/>
        <v>961</v>
      </c>
      <c r="BR754" t="str">
        <f t="shared" si="393"/>
        <v>event_team_player_2</v>
      </c>
      <c r="BS754">
        <f>COUNTIFS(S$3:S754,"="&amp;S754,AI$3:AI754,"="&amp;AI754)</f>
        <v>2</v>
      </c>
      <c r="BT754" t="str">
        <f>IFERROR(VLOOKUP(BB754&amp;BU754&amp;X754,game_rosters!U:W,3,FALSE),"")</f>
        <v>P100002</v>
      </c>
      <c r="BU754" t="str">
        <f t="shared" si="394"/>
        <v>Velodrome</v>
      </c>
    </row>
    <row r="755" spans="1:73" x14ac:dyDescent="0.2">
      <c r="A755">
        <f t="shared" si="381"/>
        <v>1</v>
      </c>
      <c r="E755" s="4"/>
      <c r="F755" s="43"/>
      <c r="G755" s="4"/>
      <c r="H755" s="46"/>
      <c r="J755" s="44" t="str">
        <f t="shared" si="395"/>
        <v/>
      </c>
      <c r="K755" t="s">
        <v>7</v>
      </c>
      <c r="L755" t="s">
        <v>172</v>
      </c>
      <c r="M755" t="s">
        <v>67</v>
      </c>
      <c r="N755" t="str">
        <f t="shared" si="398"/>
        <v>s</v>
      </c>
      <c r="Q755" t="str">
        <f t="shared" si="396"/>
        <v/>
      </c>
      <c r="S755">
        <v>402</v>
      </c>
      <c r="U755" t="str">
        <f>IF(B755=1,MAX($U$2:$U754)+1,IF(AND($T755&lt;&gt;"",$T755=$T754),$U754,IF(B755="x",U754,"")))</f>
        <v/>
      </c>
      <c r="V755" t="str">
        <f>IF(C755=1,MAX($V$2:$V754)+1,IF(AND($T755&lt;&gt;"",$T755=$T754),$U754,IF(C755="x",V754,"")))</f>
        <v/>
      </c>
      <c r="W755" t="str">
        <f t="shared" si="370"/>
        <v>a</v>
      </c>
      <c r="X755">
        <v>91</v>
      </c>
      <c r="Y755" t="e">
        <f>IF(X755&lt;&gt;"",VLOOKUP(X755,game_rosters!$C$43:$E$64,3,FALSE))</f>
        <v>#N/A</v>
      </c>
      <c r="Z755" cm="1">
        <f t="array" ref="Z755">IFERROR(IF(_xlfn._xlws.FILTER(game_rosters!$J:$J,(game_rosters!$G:$G=events!$AN755)*(game_rosters!$J:$J=events!$X755))&gt;0,1,""),"")</f>
        <v>1</v>
      </c>
      <c r="AA755">
        <f t="shared" si="371"/>
        <v>1402</v>
      </c>
      <c r="AB755" t="str">
        <f t="shared" si="372"/>
        <v/>
      </c>
      <c r="AC755">
        <f t="shared" si="369"/>
        <v>1402</v>
      </c>
      <c r="AD755" s="6">
        <v>1</v>
      </c>
      <c r="AE755" t="s">
        <v>943</v>
      </c>
      <c r="AF755" t="s">
        <v>753</v>
      </c>
      <c r="AG755" t="s">
        <v>756</v>
      </c>
      <c r="AH755" t="s">
        <v>756</v>
      </c>
      <c r="AI755" t="s">
        <v>367</v>
      </c>
      <c r="AJ755" t="str">
        <f t="shared" si="399"/>
        <v/>
      </c>
      <c r="AK755" t="str">
        <f t="shared" si="399"/>
        <v/>
      </c>
      <c r="AL755" t="str">
        <f t="shared" si="374"/>
        <v/>
      </c>
      <c r="AN755" t="s">
        <v>862</v>
      </c>
      <c r="AO755" t="str">
        <f t="shared" si="375"/>
        <v>a</v>
      </c>
      <c r="AP755" t="str">
        <f t="shared" si="382"/>
        <v/>
      </c>
      <c r="AQ755" t="str">
        <f t="shared" si="383"/>
        <v/>
      </c>
      <c r="AR755" t="str">
        <f t="shared" si="384"/>
        <v>Away</v>
      </c>
      <c r="AS755" t="str">
        <f t="shared" si="385"/>
        <v>a</v>
      </c>
      <c r="AT755" t="str">
        <f t="shared" si="386"/>
        <v>Offensive</v>
      </c>
      <c r="BA755" s="6">
        <f t="shared" si="376"/>
        <v>201</v>
      </c>
      <c r="BB755">
        <f t="shared" si="377"/>
        <v>18981</v>
      </c>
      <c r="BC755" t="str">
        <f t="shared" si="378"/>
        <v>Nelson</v>
      </c>
      <c r="BD755" t="str">
        <f t="shared" si="379"/>
        <v>Velodrome</v>
      </c>
      <c r="BE755" t="s">
        <v>7</v>
      </c>
      <c r="BF755" t="s">
        <v>172</v>
      </c>
      <c r="BG755" t="s">
        <v>67</v>
      </c>
      <c r="BI755" cm="1">
        <f t="array" ref="BI755">IFERROR(_xlfn._xlws.FILTER(shifts!A:A,(shifts!B:B=events!AD755)*(shifts!AG:AG&gt;=events!BK755)*(shifts!AH:AH&lt;=events!BL755)),BI754)</f>
        <v>37</v>
      </c>
      <c r="BJ755" s="15">
        <f t="shared" si="380"/>
        <v>0</v>
      </c>
      <c r="BK755">
        <f t="shared" si="387"/>
        <v>115</v>
      </c>
      <c r="BL755">
        <f t="shared" si="388"/>
        <v>115</v>
      </c>
      <c r="BM755" s="15">
        <f>SUMIFS(BJ$2:BJ755,K$2:K755,"=Intermission")+SUMIFS(BJ$2:BJ755,K$2:K755,"=Timeout")</f>
        <v>0</v>
      </c>
      <c r="BN755">
        <f t="shared" si="389"/>
        <v>0</v>
      </c>
      <c r="BO755" s="19">
        <f t="shared" si="390"/>
        <v>965</v>
      </c>
      <c r="BP755">
        <f t="shared" si="391"/>
        <v>960</v>
      </c>
      <c r="BQ755" s="17">
        <f t="shared" si="392"/>
        <v>965</v>
      </c>
      <c r="BR755" t="str">
        <f t="shared" si="393"/>
        <v>event_team_player_1</v>
      </c>
      <c r="BS755">
        <f>COUNTIFS(S$3:S755,"="&amp;S755,AI$3:AI755,"="&amp;AI755)</f>
        <v>1</v>
      </c>
      <c r="BT755" t="str">
        <f>IFERROR(VLOOKUP(BB755&amp;BU755&amp;X755,game_rosters!U:W,3,FALSE),"")</f>
        <v>P100002</v>
      </c>
      <c r="BU755" t="str">
        <f t="shared" si="394"/>
        <v>Velodrome</v>
      </c>
    </row>
    <row r="756" spans="1:73" x14ac:dyDescent="0.2">
      <c r="A756">
        <f t="shared" si="381"/>
        <v>1</v>
      </c>
      <c r="E756" s="4"/>
      <c r="F756" s="43"/>
      <c r="G756" s="4"/>
      <c r="H756" s="46"/>
      <c r="J756" s="44" t="str">
        <f t="shared" si="395"/>
        <v/>
      </c>
      <c r="K756" t="s">
        <v>7</v>
      </c>
      <c r="L756" t="s">
        <v>172</v>
      </c>
      <c r="M756" t="s">
        <v>67</v>
      </c>
      <c r="N756" t="str">
        <f t="shared" si="398"/>
        <v>s</v>
      </c>
      <c r="Q756" t="str">
        <f t="shared" si="396"/>
        <v/>
      </c>
      <c r="S756">
        <v>402</v>
      </c>
      <c r="U756" t="str">
        <f>IF(B756=1,MAX($U$2:$U755)+1,IF(AND($T756&lt;&gt;"",$T756=$T755),$U755,IF(B756="x",U755,"")))</f>
        <v/>
      </c>
      <c r="V756" t="str">
        <f>IF(C756=1,MAX($V$2:$V755)+1,IF(AND($T756&lt;&gt;"",$T756=$T755),$U755,IF(C756="x",V755,"")))</f>
        <v/>
      </c>
      <c r="W756" t="str">
        <f t="shared" si="370"/>
        <v>a</v>
      </c>
      <c r="X756">
        <v>42</v>
      </c>
      <c r="Y756" t="e">
        <f>IF(X756&lt;&gt;"",VLOOKUP(X756,game_rosters!$C$43:$E$64,3,FALSE))</f>
        <v>#N/A</v>
      </c>
      <c r="Z756" cm="1">
        <f t="array" ref="Z756">IFERROR(IF(_xlfn._xlws.FILTER(game_rosters!$J:$J,(game_rosters!$G:$G=events!$AN756)*(game_rosters!$J:$J=events!$X756))&gt;0,1,""),"")</f>
        <v>1</v>
      </c>
      <c r="AA756">
        <f t="shared" si="371"/>
        <v>1402</v>
      </c>
      <c r="AB756" t="str">
        <f t="shared" si="372"/>
        <v/>
      </c>
      <c r="AC756">
        <f t="shared" si="369"/>
        <v>1402</v>
      </c>
      <c r="AD756" s="6">
        <v>1</v>
      </c>
      <c r="AE756" t="s">
        <v>943</v>
      </c>
      <c r="AF756" t="s">
        <v>753</v>
      </c>
      <c r="AG756" t="s">
        <v>756</v>
      </c>
      <c r="AH756" t="s">
        <v>756</v>
      </c>
      <c r="AI756" t="s">
        <v>367</v>
      </c>
      <c r="AJ756" t="str">
        <f t="shared" ref="AJ756:AK771" si="400">IF($J756&lt;&gt;"",$J756,IF($AC756=$AC755,AJ755,""))</f>
        <v/>
      </c>
      <c r="AK756" t="str">
        <f t="shared" si="400"/>
        <v/>
      </c>
      <c r="AL756" t="str">
        <f t="shared" si="374"/>
        <v/>
      </c>
      <c r="AN756" t="s">
        <v>862</v>
      </c>
      <c r="AO756" t="str">
        <f t="shared" si="375"/>
        <v>a</v>
      </c>
      <c r="AP756" t="str">
        <f t="shared" si="382"/>
        <v/>
      </c>
      <c r="AQ756" t="str">
        <f t="shared" si="383"/>
        <v/>
      </c>
      <c r="AR756" t="str">
        <f t="shared" si="384"/>
        <v>Away</v>
      </c>
      <c r="AS756" t="str">
        <f t="shared" si="385"/>
        <v>a</v>
      </c>
      <c r="AT756" t="str">
        <f t="shared" si="386"/>
        <v>Offensive</v>
      </c>
      <c r="BA756" s="6">
        <f t="shared" si="376"/>
        <v>201</v>
      </c>
      <c r="BB756">
        <f t="shared" si="377"/>
        <v>18981</v>
      </c>
      <c r="BC756" t="str">
        <f t="shared" si="378"/>
        <v>Nelson</v>
      </c>
      <c r="BD756" t="str">
        <f t="shared" si="379"/>
        <v>Velodrome</v>
      </c>
      <c r="BE756" t="s">
        <v>7</v>
      </c>
      <c r="BF756" t="s">
        <v>172</v>
      </c>
      <c r="BG756" t="s">
        <v>67</v>
      </c>
      <c r="BI756" cm="1">
        <f t="array" ref="BI756">IFERROR(_xlfn._xlws.FILTER(shifts!A:A,(shifts!B:B=events!AD756)*(shifts!AG:AG&gt;=events!BK756)*(shifts!AH:AH&lt;=events!BL756)),BI755)</f>
        <v>37</v>
      </c>
      <c r="BJ756" s="15">
        <f t="shared" si="380"/>
        <v>0</v>
      </c>
      <c r="BK756">
        <f t="shared" si="387"/>
        <v>115</v>
      </c>
      <c r="BL756">
        <f t="shared" si="388"/>
        <v>115</v>
      </c>
      <c r="BM756" s="15">
        <f>SUMIFS(BJ$2:BJ756,K$2:K756,"=Intermission")+SUMIFS(BJ$2:BJ756,K$2:K756,"=Timeout")</f>
        <v>0</v>
      </c>
      <c r="BN756">
        <f t="shared" si="389"/>
        <v>0</v>
      </c>
      <c r="BO756" s="19">
        <f t="shared" si="390"/>
        <v>965</v>
      </c>
      <c r="BP756">
        <f t="shared" si="391"/>
        <v>960</v>
      </c>
      <c r="BQ756" s="17">
        <f t="shared" si="392"/>
        <v>965</v>
      </c>
      <c r="BR756" t="str">
        <f t="shared" si="393"/>
        <v>event_team_player_2</v>
      </c>
      <c r="BS756">
        <f>COUNTIFS(S$3:S756,"="&amp;S756,AI$3:AI756,"="&amp;AI756)</f>
        <v>2</v>
      </c>
      <c r="BT756" t="str">
        <f>IFERROR(VLOOKUP(BB756&amp;BU756&amp;X756,game_rosters!U:W,3,FALSE),"")</f>
        <v>P100201</v>
      </c>
      <c r="BU756" t="str">
        <f t="shared" si="394"/>
        <v>Velodrome</v>
      </c>
    </row>
    <row r="757" spans="1:73" x14ac:dyDescent="0.2">
      <c r="A757">
        <f t="shared" si="381"/>
        <v>1</v>
      </c>
      <c r="E757" s="4"/>
      <c r="F757" s="43"/>
      <c r="G757" s="4"/>
      <c r="H757" s="46"/>
      <c r="J757" s="44" t="str">
        <f t="shared" si="395"/>
        <v>d</v>
      </c>
      <c r="K757" t="s">
        <v>238</v>
      </c>
      <c r="L757" t="s">
        <v>184</v>
      </c>
      <c r="M757" t="s">
        <v>89</v>
      </c>
      <c r="N757" t="str">
        <f t="shared" si="398"/>
        <v>s</v>
      </c>
      <c r="Q757" t="str">
        <f t="shared" si="396"/>
        <v/>
      </c>
      <c r="S757">
        <v>403</v>
      </c>
      <c r="U757" t="str">
        <f>IF(B757=1,MAX($U$2:$U756)+1,IF(AND($T757&lt;&gt;"",$T757=$T756),$U756,IF(B757="x",U756,"")))</f>
        <v/>
      </c>
      <c r="V757" t="str">
        <f>IF(C757=1,MAX($V$2:$V756)+1,IF(AND($T757&lt;&gt;"",$T757=$T756),$U756,IF(C757="x",V756,"")))</f>
        <v/>
      </c>
      <c r="W757" t="str">
        <f t="shared" si="370"/>
        <v>a</v>
      </c>
      <c r="X757">
        <v>91</v>
      </c>
      <c r="Y757" t="e">
        <f>IF(X757&lt;&gt;"",VLOOKUP(X757,game_rosters!$C$43:$E$64,3,FALSE))</f>
        <v>#N/A</v>
      </c>
      <c r="Z757" cm="1">
        <f t="array" ref="Z757">IFERROR(IF(_xlfn._xlws.FILTER(game_rosters!$J:$J,(game_rosters!$G:$G=events!$AN757)*(game_rosters!$J:$J=events!$X757))&gt;0,1,""),"")</f>
        <v>1</v>
      </c>
      <c r="AA757">
        <f t="shared" si="371"/>
        <v>1403</v>
      </c>
      <c r="AB757" t="str">
        <f t="shared" si="372"/>
        <v/>
      </c>
      <c r="AC757">
        <f t="shared" si="369"/>
        <v>1403</v>
      </c>
      <c r="AD757" s="6">
        <v>1</v>
      </c>
      <c r="AE757" t="s">
        <v>943</v>
      </c>
      <c r="AF757" t="s">
        <v>753</v>
      </c>
      <c r="AG757" t="s">
        <v>756</v>
      </c>
      <c r="AH757" t="s">
        <v>756</v>
      </c>
      <c r="AI757" t="s">
        <v>367</v>
      </c>
      <c r="AJ757" t="str">
        <f t="shared" si="400"/>
        <v>d</v>
      </c>
      <c r="AK757" t="str">
        <f t="shared" si="400"/>
        <v>d</v>
      </c>
      <c r="AL757" t="str">
        <f t="shared" si="374"/>
        <v>o</v>
      </c>
      <c r="AN757" t="s">
        <v>862</v>
      </c>
      <c r="AO757" t="str">
        <f t="shared" si="375"/>
        <v>a</v>
      </c>
      <c r="AP757" t="str">
        <f t="shared" si="382"/>
        <v>o</v>
      </c>
      <c r="AQ757" t="str">
        <f t="shared" si="383"/>
        <v/>
      </c>
      <c r="AR757" t="str">
        <f t="shared" si="384"/>
        <v>Away</v>
      </c>
      <c r="AS757" t="str">
        <f t="shared" si="385"/>
        <v>a</v>
      </c>
      <c r="AT757" t="str">
        <f t="shared" si="386"/>
        <v>Offensive</v>
      </c>
      <c r="BA757" s="6">
        <f t="shared" si="376"/>
        <v>202</v>
      </c>
      <c r="BB757">
        <f t="shared" si="377"/>
        <v>18981</v>
      </c>
      <c r="BC757" t="str">
        <f t="shared" si="378"/>
        <v>Nelson</v>
      </c>
      <c r="BD757" t="str">
        <f t="shared" si="379"/>
        <v>Velodrome</v>
      </c>
      <c r="BE757" t="s">
        <v>238</v>
      </c>
      <c r="BF757" t="s">
        <v>184</v>
      </c>
      <c r="BG757" t="s">
        <v>89</v>
      </c>
      <c r="BI757" cm="1">
        <f t="array" ref="BI757">IFERROR(_xlfn._xlws.FILTER(shifts!A:A,(shifts!B:B=events!AD757)*(shifts!AG:AG&gt;=events!BK757)*(shifts!AH:AH&lt;=events!BL757)),BI756)</f>
        <v>37</v>
      </c>
      <c r="BJ757" s="15">
        <f t="shared" si="380"/>
        <v>0</v>
      </c>
      <c r="BK757">
        <f t="shared" si="387"/>
        <v>115</v>
      </c>
      <c r="BL757">
        <f t="shared" si="388"/>
        <v>115</v>
      </c>
      <c r="BM757" s="15">
        <f>SUMIFS(BJ$2:BJ757,K$2:K757,"=Intermission")+SUMIFS(BJ$2:BJ757,K$2:K757,"=Timeout")</f>
        <v>0</v>
      </c>
      <c r="BN757">
        <f t="shared" si="389"/>
        <v>0</v>
      </c>
      <c r="BO757" s="19">
        <f t="shared" si="390"/>
        <v>965</v>
      </c>
      <c r="BP757">
        <f t="shared" si="391"/>
        <v>960</v>
      </c>
      <c r="BQ757" s="17">
        <f t="shared" si="392"/>
        <v>965</v>
      </c>
      <c r="BR757" t="str">
        <f t="shared" si="393"/>
        <v>event_team_player_1</v>
      </c>
      <c r="BS757">
        <f>COUNTIFS(S$3:S757,"="&amp;S757,AI$3:AI757,"="&amp;AI757)</f>
        <v>1</v>
      </c>
      <c r="BT757" t="str">
        <f>IFERROR(VLOOKUP(BB757&amp;BU757&amp;X757,game_rosters!U:W,3,FALSE),"")</f>
        <v>P100002</v>
      </c>
      <c r="BU757" t="str">
        <f t="shared" si="394"/>
        <v>Velodrome</v>
      </c>
    </row>
    <row r="758" spans="1:73" x14ac:dyDescent="0.2">
      <c r="A758">
        <f t="shared" si="381"/>
        <v>1</v>
      </c>
      <c r="E758" s="4"/>
      <c r="F758" s="43"/>
      <c r="G758" s="4"/>
      <c r="H758" s="46"/>
      <c r="J758" s="44" t="str">
        <f t="shared" si="395"/>
        <v>d</v>
      </c>
      <c r="K758" t="s">
        <v>238</v>
      </c>
      <c r="L758" t="s">
        <v>184</v>
      </c>
      <c r="M758" t="s">
        <v>89</v>
      </c>
      <c r="N758" t="str">
        <f t="shared" si="398"/>
        <v>s</v>
      </c>
      <c r="Q758" t="str">
        <f t="shared" si="396"/>
        <v/>
      </c>
      <c r="S758">
        <v>403</v>
      </c>
      <c r="U758" t="str">
        <f>IF(B758=1,MAX($U$2:$U757)+1,IF(AND($T758&lt;&gt;"",$T758=$T757),$U757,IF(B758="x",U757,"")))</f>
        <v/>
      </c>
      <c r="V758" t="str">
        <f>IF(C758=1,MAX($V$2:$V757)+1,IF(AND($T758&lt;&gt;"",$T758=$T757),$U757,IF(C758="x",V757,"")))</f>
        <v/>
      </c>
      <c r="W758" t="str">
        <f t="shared" si="370"/>
        <v>a</v>
      </c>
      <c r="X758">
        <v>42</v>
      </c>
      <c r="Y758" t="e">
        <f>IF(X758&lt;&gt;"",VLOOKUP(X758,game_rosters!$C$43:$E$64,3,FALSE))</f>
        <v>#N/A</v>
      </c>
      <c r="Z758" cm="1">
        <f t="array" ref="Z758">IFERROR(IF(_xlfn._xlws.FILTER(game_rosters!$J:$J,(game_rosters!$G:$G=events!$AN758)*(game_rosters!$J:$J=events!$X758))&gt;0,1,""),"")</f>
        <v>1</v>
      </c>
      <c r="AA758">
        <f t="shared" si="371"/>
        <v>1403</v>
      </c>
      <c r="AB758" t="str">
        <f t="shared" si="372"/>
        <v/>
      </c>
      <c r="AC758">
        <f t="shared" si="369"/>
        <v>1403</v>
      </c>
      <c r="AD758" s="6">
        <v>1</v>
      </c>
      <c r="AE758" t="s">
        <v>943</v>
      </c>
      <c r="AF758" t="s">
        <v>753</v>
      </c>
      <c r="AG758" t="s">
        <v>756</v>
      </c>
      <c r="AH758" t="s">
        <v>756</v>
      </c>
      <c r="AI758" t="s">
        <v>367</v>
      </c>
      <c r="AJ758" t="str">
        <f t="shared" si="400"/>
        <v>d</v>
      </c>
      <c r="AK758" t="str">
        <f t="shared" si="400"/>
        <v>d</v>
      </c>
      <c r="AL758" t="str">
        <f t="shared" si="374"/>
        <v>o</v>
      </c>
      <c r="AN758" t="s">
        <v>862</v>
      </c>
      <c r="AO758" t="str">
        <f t="shared" si="375"/>
        <v>a</v>
      </c>
      <c r="AP758" t="str">
        <f t="shared" si="382"/>
        <v>o</v>
      </c>
      <c r="AQ758" t="str">
        <f t="shared" si="383"/>
        <v/>
      </c>
      <c r="AR758" t="str">
        <f t="shared" si="384"/>
        <v>Away</v>
      </c>
      <c r="AS758" t="str">
        <f t="shared" si="385"/>
        <v>a</v>
      </c>
      <c r="AT758" t="str">
        <f t="shared" si="386"/>
        <v>Offensive</v>
      </c>
      <c r="BA758" s="6">
        <f t="shared" si="376"/>
        <v>203</v>
      </c>
      <c r="BB758">
        <f t="shared" si="377"/>
        <v>18981</v>
      </c>
      <c r="BC758" t="str">
        <f t="shared" si="378"/>
        <v>Nelson</v>
      </c>
      <c r="BD758" t="str">
        <f t="shared" si="379"/>
        <v>Velodrome</v>
      </c>
      <c r="BE758" t="s">
        <v>238</v>
      </c>
      <c r="BF758" t="s">
        <v>184</v>
      </c>
      <c r="BG758" t="s">
        <v>89</v>
      </c>
      <c r="BI758" cm="1">
        <f t="array" ref="BI758">IFERROR(_xlfn._xlws.FILTER(shifts!A:A,(shifts!B:B=events!AD758)*(shifts!AG:AG&gt;=events!BK758)*(shifts!AH:AH&lt;=events!BL758)),BI757)</f>
        <v>37</v>
      </c>
      <c r="BJ758" s="15">
        <f t="shared" si="380"/>
        <v>0</v>
      </c>
      <c r="BK758">
        <f t="shared" si="387"/>
        <v>115</v>
      </c>
      <c r="BL758">
        <f t="shared" si="388"/>
        <v>115</v>
      </c>
      <c r="BM758" s="15">
        <f>SUMIFS(BJ$2:BJ758,K$2:K758,"=Intermission")+SUMIFS(BJ$2:BJ758,K$2:K758,"=Timeout")</f>
        <v>0</v>
      </c>
      <c r="BN758">
        <f t="shared" si="389"/>
        <v>0</v>
      </c>
      <c r="BO758" s="19">
        <f t="shared" si="390"/>
        <v>965</v>
      </c>
      <c r="BP758">
        <f t="shared" si="391"/>
        <v>960</v>
      </c>
      <c r="BQ758" s="17">
        <f t="shared" si="392"/>
        <v>965</v>
      </c>
      <c r="BR758" t="str">
        <f t="shared" si="393"/>
        <v>event_team_player_2</v>
      </c>
      <c r="BS758">
        <f>COUNTIFS(S$3:S758,"="&amp;S758,AI$3:AI758,"="&amp;AI758)</f>
        <v>2</v>
      </c>
      <c r="BT758" t="str">
        <f>IFERROR(VLOOKUP(BB758&amp;BU758&amp;X758,game_rosters!U:W,3,FALSE),"")</f>
        <v>P100201</v>
      </c>
      <c r="BU758" t="str">
        <f t="shared" si="394"/>
        <v>Velodrome</v>
      </c>
    </row>
    <row r="759" spans="1:73" x14ac:dyDescent="0.2">
      <c r="A759">
        <f t="shared" si="381"/>
        <v>1</v>
      </c>
      <c r="E759" s="4"/>
      <c r="F759" s="43"/>
      <c r="G759" s="4"/>
      <c r="H759" s="46"/>
      <c r="J759" s="44" t="str">
        <f t="shared" si="395"/>
        <v/>
      </c>
      <c r="K759" t="s">
        <v>13</v>
      </c>
      <c r="L759" t="s">
        <v>756</v>
      </c>
      <c r="M759" t="s">
        <v>756</v>
      </c>
      <c r="N759" t="str">
        <f t="shared" si="398"/>
        <v/>
      </c>
      <c r="Q759" t="str">
        <f t="shared" si="396"/>
        <v/>
      </c>
      <c r="S759">
        <v>404</v>
      </c>
      <c r="U759" t="str">
        <f>IF(B759=1,MAX($U$2:$U758)+1,IF(AND($T759&lt;&gt;"",$T759=$T758),$U758,IF(B759="x",U758,"")))</f>
        <v/>
      </c>
      <c r="V759" t="str">
        <f>IF(C759=1,MAX($V$2:$V758)+1,IF(AND($T759&lt;&gt;"",$T759=$T758),$U758,IF(C759="x",V758,"")))</f>
        <v/>
      </c>
      <c r="W759" t="str">
        <f t="shared" si="370"/>
        <v>a</v>
      </c>
      <c r="X759">
        <v>42</v>
      </c>
      <c r="Y759" t="e">
        <f>IF(X759&lt;&gt;"",VLOOKUP(X759,game_rosters!$C$43:$E$64,3,FALSE))</f>
        <v>#N/A</v>
      </c>
      <c r="Z759" cm="1">
        <f t="array" ref="Z759">IFERROR(IF(_xlfn._xlws.FILTER(game_rosters!$J:$J,(game_rosters!$G:$G=events!$AN759)*(game_rosters!$J:$J=events!$X759))&gt;0,1,""),"")</f>
        <v>1</v>
      </c>
      <c r="AA759">
        <f t="shared" si="371"/>
        <v>1404</v>
      </c>
      <c r="AB759" t="str">
        <f t="shared" si="372"/>
        <v/>
      </c>
      <c r="AC759">
        <f t="shared" si="369"/>
        <v>1404</v>
      </c>
      <c r="AD759" s="6">
        <v>1</v>
      </c>
      <c r="AE759" t="s">
        <v>943</v>
      </c>
      <c r="AF759" t="s">
        <v>934</v>
      </c>
      <c r="AG759" t="s">
        <v>943</v>
      </c>
      <c r="AH759" t="s">
        <v>897</v>
      </c>
      <c r="AI759" t="s">
        <v>367</v>
      </c>
      <c r="AJ759" t="str">
        <f t="shared" si="400"/>
        <v/>
      </c>
      <c r="AK759" t="str">
        <f t="shared" si="400"/>
        <v/>
      </c>
      <c r="AL759" t="str">
        <f t="shared" si="374"/>
        <v/>
      </c>
      <c r="AN759" t="s">
        <v>862</v>
      </c>
      <c r="AO759" t="str">
        <f t="shared" si="375"/>
        <v>a</v>
      </c>
      <c r="AP759" t="str">
        <f t="shared" si="382"/>
        <v/>
      </c>
      <c r="AQ759" t="str">
        <f t="shared" si="383"/>
        <v/>
      </c>
      <c r="AR759" t="str">
        <f t="shared" si="384"/>
        <v>Away</v>
      </c>
      <c r="AS759" t="str">
        <f t="shared" si="385"/>
        <v>a</v>
      </c>
      <c r="AT759" t="str">
        <f t="shared" si="386"/>
        <v>Offensive</v>
      </c>
      <c r="BA759" s="6">
        <f t="shared" si="376"/>
        <v>203</v>
      </c>
      <c r="BB759">
        <f t="shared" si="377"/>
        <v>18981</v>
      </c>
      <c r="BC759" t="str">
        <f t="shared" si="378"/>
        <v>Nelson</v>
      </c>
      <c r="BD759" t="str">
        <f t="shared" si="379"/>
        <v>Velodrome</v>
      </c>
      <c r="BE759" t="s">
        <v>13</v>
      </c>
      <c r="BF759" t="s">
        <v>756</v>
      </c>
      <c r="BG759" t="s">
        <v>756</v>
      </c>
      <c r="BI759" cm="1">
        <f t="array" ref="BI759">IFERROR(_xlfn._xlws.FILTER(shifts!A:A,(shifts!B:B=events!AD759)*(shifts!AG:AG&gt;=events!BK759)*(shifts!AH:AH&lt;=events!BL759)),BI758)</f>
        <v>37</v>
      </c>
      <c r="BJ759" s="15">
        <f t="shared" si="380"/>
        <v>2</v>
      </c>
      <c r="BK759">
        <f t="shared" si="387"/>
        <v>114</v>
      </c>
      <c r="BL759">
        <f t="shared" si="388"/>
        <v>112</v>
      </c>
      <c r="BM759" s="15">
        <f>SUMIFS(BJ$2:BJ759,K$2:K759,"=Intermission")+SUMIFS(BJ$2:BJ759,K$2:K759,"=Timeout")</f>
        <v>0</v>
      </c>
      <c r="BN759">
        <f t="shared" si="389"/>
        <v>0</v>
      </c>
      <c r="BO759" s="19">
        <f t="shared" si="390"/>
        <v>966</v>
      </c>
      <c r="BP759">
        <f t="shared" si="391"/>
        <v>961</v>
      </c>
      <c r="BQ759" s="17">
        <f t="shared" si="392"/>
        <v>968</v>
      </c>
      <c r="BR759" t="str">
        <f t="shared" si="393"/>
        <v>event_team_player_1</v>
      </c>
      <c r="BS759">
        <f>COUNTIFS(S$3:S759,"="&amp;S759,AI$3:AI759,"="&amp;AI759)</f>
        <v>1</v>
      </c>
      <c r="BT759" t="str">
        <f>IFERROR(VLOOKUP(BB759&amp;BU759&amp;X759,game_rosters!U:W,3,FALSE),"")</f>
        <v>P100201</v>
      </c>
      <c r="BU759" t="str">
        <f t="shared" si="394"/>
        <v>Velodrome</v>
      </c>
    </row>
    <row r="760" spans="1:73" x14ac:dyDescent="0.2">
      <c r="A760">
        <f t="shared" si="381"/>
        <v>1</v>
      </c>
      <c r="E760" s="4"/>
      <c r="F760" s="43"/>
      <c r="G760" s="4"/>
      <c r="H760" s="46"/>
      <c r="J760" s="44" t="str">
        <f t="shared" si="395"/>
        <v>o</v>
      </c>
      <c r="K760" t="s">
        <v>238</v>
      </c>
      <c r="L760" t="s">
        <v>174</v>
      </c>
      <c r="M760" t="s">
        <v>85</v>
      </c>
      <c r="N760" t="str">
        <f t="shared" si="398"/>
        <v>s</v>
      </c>
      <c r="Q760" t="str">
        <f t="shared" si="396"/>
        <v/>
      </c>
      <c r="S760">
        <v>405</v>
      </c>
      <c r="U760" t="str">
        <f>IF(B760=1,MAX($U$2:$U759)+1,IF(AND($T760&lt;&gt;"",$T760=$T759),$U759,IF(B760="x",U759,"")))</f>
        <v/>
      </c>
      <c r="V760" t="str">
        <f>IF(C760=1,MAX($V$2:$V759)+1,IF(AND($T760&lt;&gt;"",$T760=$T759),$U759,IF(C760="x",V759,"")))</f>
        <v/>
      </c>
      <c r="W760" t="str">
        <f t="shared" si="370"/>
        <v>a</v>
      </c>
      <c r="X760">
        <v>42</v>
      </c>
      <c r="Y760" t="e">
        <f>IF(X760&lt;&gt;"",VLOOKUP(X760,game_rosters!$C$43:$E$64,3,FALSE))</f>
        <v>#N/A</v>
      </c>
      <c r="Z760" cm="1">
        <f t="array" ref="Z760">IFERROR(IF(_xlfn._xlws.FILTER(game_rosters!$J:$J,(game_rosters!$G:$G=events!$AN760)*(game_rosters!$J:$J=events!$X760))&gt;0,1,""),"")</f>
        <v>1</v>
      </c>
      <c r="AA760">
        <f t="shared" si="371"/>
        <v>1405</v>
      </c>
      <c r="AB760" t="str">
        <f t="shared" si="372"/>
        <v/>
      </c>
      <c r="AC760">
        <f t="shared" si="369"/>
        <v>1405</v>
      </c>
      <c r="AD760" s="6">
        <v>1</v>
      </c>
      <c r="AE760" t="s">
        <v>943</v>
      </c>
      <c r="AF760" t="s">
        <v>897</v>
      </c>
      <c r="AG760" t="s">
        <v>943</v>
      </c>
      <c r="AH760" t="s">
        <v>922</v>
      </c>
      <c r="AI760" t="s">
        <v>367</v>
      </c>
      <c r="AJ760" t="str">
        <f t="shared" si="400"/>
        <v>o</v>
      </c>
      <c r="AK760" t="str">
        <f t="shared" si="400"/>
        <v>o</v>
      </c>
      <c r="AL760" t="str">
        <f t="shared" si="374"/>
        <v>d</v>
      </c>
      <c r="AN760" t="s">
        <v>862</v>
      </c>
      <c r="AO760" t="str">
        <f t="shared" si="375"/>
        <v>a</v>
      </c>
      <c r="AP760" t="str">
        <f t="shared" si="382"/>
        <v>d</v>
      </c>
      <c r="AQ760" t="str">
        <f t="shared" si="383"/>
        <v/>
      </c>
      <c r="AR760" t="str">
        <f t="shared" si="384"/>
        <v>Away</v>
      </c>
      <c r="AS760" t="str">
        <f t="shared" si="385"/>
        <v>a</v>
      </c>
      <c r="AT760" t="str">
        <f t="shared" si="386"/>
        <v>Offensive</v>
      </c>
      <c r="BA760" s="6">
        <f t="shared" si="376"/>
        <v>204</v>
      </c>
      <c r="BB760">
        <f t="shared" si="377"/>
        <v>18981</v>
      </c>
      <c r="BC760" t="str">
        <f t="shared" si="378"/>
        <v>Nelson</v>
      </c>
      <c r="BD760" t="str">
        <f t="shared" si="379"/>
        <v>Velodrome</v>
      </c>
      <c r="BE760" t="s">
        <v>238</v>
      </c>
      <c r="BF760" t="s">
        <v>174</v>
      </c>
      <c r="BG760" t="s">
        <v>85</v>
      </c>
      <c r="BI760" cm="1">
        <f t="array" ref="BI760">IFERROR(_xlfn._xlws.FILTER(shifts!A:A,(shifts!B:B=events!AD760)*(shifts!AG:AG&gt;=events!BK760)*(shifts!AH:AH&lt;=events!BL760)),BI759)</f>
        <v>37</v>
      </c>
      <c r="BJ760" s="15">
        <f t="shared" si="380"/>
        <v>2</v>
      </c>
      <c r="BK760">
        <f t="shared" si="387"/>
        <v>112</v>
      </c>
      <c r="BL760">
        <f t="shared" si="388"/>
        <v>110</v>
      </c>
      <c r="BM760" s="15">
        <f>SUMIFS(BJ$2:BJ760,K$2:K760,"=Intermission")+SUMIFS(BJ$2:BJ760,K$2:K760,"=Timeout")</f>
        <v>0</v>
      </c>
      <c r="BN760">
        <f t="shared" si="389"/>
        <v>0</v>
      </c>
      <c r="BO760" s="19">
        <f t="shared" si="390"/>
        <v>968</v>
      </c>
      <c r="BP760">
        <f t="shared" si="391"/>
        <v>963</v>
      </c>
      <c r="BQ760" s="17">
        <f t="shared" si="392"/>
        <v>970</v>
      </c>
      <c r="BR760" t="str">
        <f t="shared" si="393"/>
        <v>event_team_player_1</v>
      </c>
      <c r="BS760">
        <f>COUNTIFS(S$3:S760,"="&amp;S760,AI$3:AI760,"="&amp;AI760)</f>
        <v>1</v>
      </c>
      <c r="BT760" t="str">
        <f>IFERROR(VLOOKUP(BB760&amp;BU760&amp;X760,game_rosters!U:W,3,FALSE),"")</f>
        <v>P100201</v>
      </c>
      <c r="BU760" t="str">
        <f t="shared" si="394"/>
        <v>Velodrome</v>
      </c>
    </row>
    <row r="761" spans="1:73" x14ac:dyDescent="0.2">
      <c r="A761">
        <f t="shared" si="381"/>
        <v>1</v>
      </c>
      <c r="E761" s="4"/>
      <c r="F761" s="43"/>
      <c r="G761" s="4"/>
      <c r="H761" s="46"/>
      <c r="J761" s="44" t="str">
        <f t="shared" si="395"/>
        <v>o</v>
      </c>
      <c r="K761" t="s">
        <v>238</v>
      </c>
      <c r="L761" t="s">
        <v>174</v>
      </c>
      <c r="M761" t="s">
        <v>85</v>
      </c>
      <c r="N761" t="str">
        <f t="shared" si="398"/>
        <v>s</v>
      </c>
      <c r="Q761" t="str">
        <f t="shared" si="396"/>
        <v/>
      </c>
      <c r="S761">
        <v>405</v>
      </c>
      <c r="U761" t="str">
        <f>IF(B761=1,MAX($U$2:$U760)+1,IF(AND($T761&lt;&gt;"",$T761=$T760),$U760,IF(B761="x",U760,"")))</f>
        <v/>
      </c>
      <c r="V761" t="str">
        <f>IF(C761=1,MAX($V$2:$V760)+1,IF(AND($T761&lt;&gt;"",$T761=$T760),$U760,IF(C761="x",V760,"")))</f>
        <v/>
      </c>
      <c r="W761" t="str">
        <f t="shared" si="370"/>
        <v>a</v>
      </c>
      <c r="X761">
        <v>23</v>
      </c>
      <c r="Y761" t="b">
        <f>IF(X761&lt;&gt;"",VLOOKUP(X761,game_rosters!$C$43:$E$64,3,FALSE))</f>
        <v>0</v>
      </c>
      <c r="Z761" t="str" cm="1">
        <f t="array" ref="Z761">IFERROR(IF(_xlfn._xlws.FILTER(game_rosters!$J:$J,(game_rosters!$G:$G=events!$AN761)*(game_rosters!$J:$J=events!$X761))&gt;0,1,""),"")</f>
        <v/>
      </c>
      <c r="AA761">
        <f t="shared" si="371"/>
        <v>1405</v>
      </c>
      <c r="AB761" t="str">
        <f t="shared" si="372"/>
        <v/>
      </c>
      <c r="AC761">
        <f t="shared" si="369"/>
        <v>1405</v>
      </c>
      <c r="AD761" s="6">
        <v>1</v>
      </c>
      <c r="AE761" t="s">
        <v>943</v>
      </c>
      <c r="AF761" t="s">
        <v>897</v>
      </c>
      <c r="AG761" t="s">
        <v>943</v>
      </c>
      <c r="AH761" t="s">
        <v>922</v>
      </c>
      <c r="AI761" t="s">
        <v>368</v>
      </c>
      <c r="AJ761" t="str">
        <f t="shared" si="400"/>
        <v>o</v>
      </c>
      <c r="AK761" t="str">
        <f t="shared" si="400"/>
        <v>o</v>
      </c>
      <c r="AL761" t="str">
        <f t="shared" si="374"/>
        <v>d</v>
      </c>
      <c r="AN761" t="s">
        <v>862</v>
      </c>
      <c r="AO761" t="str">
        <f t="shared" si="375"/>
        <v>a</v>
      </c>
      <c r="AP761" t="str">
        <f t="shared" si="382"/>
        <v>d</v>
      </c>
      <c r="AQ761" t="str">
        <f t="shared" si="383"/>
        <v/>
      </c>
      <c r="AR761" t="str">
        <f t="shared" si="384"/>
        <v>Away</v>
      </c>
      <c r="AS761" t="str">
        <f t="shared" si="385"/>
        <v>a</v>
      </c>
      <c r="AT761" t="str">
        <f t="shared" si="386"/>
        <v>Defensive</v>
      </c>
      <c r="BA761" s="6">
        <f t="shared" si="376"/>
        <v>205</v>
      </c>
      <c r="BB761">
        <f t="shared" si="377"/>
        <v>18981</v>
      </c>
      <c r="BC761" t="str">
        <f t="shared" si="378"/>
        <v>Nelson</v>
      </c>
      <c r="BD761" t="str">
        <f t="shared" si="379"/>
        <v>Velodrome</v>
      </c>
      <c r="BE761" t="s">
        <v>238</v>
      </c>
      <c r="BF761" t="s">
        <v>174</v>
      </c>
      <c r="BG761" t="s">
        <v>85</v>
      </c>
      <c r="BI761" cm="1">
        <f t="array" ref="BI761">IFERROR(_xlfn._xlws.FILTER(shifts!A:A,(shifts!B:B=events!AD761)*(shifts!AG:AG&gt;=events!BK761)*(shifts!AH:AH&lt;=events!BL761)),BI760)</f>
        <v>37</v>
      </c>
      <c r="BJ761" s="15">
        <f t="shared" si="380"/>
        <v>2</v>
      </c>
      <c r="BK761">
        <f t="shared" si="387"/>
        <v>112</v>
      </c>
      <c r="BL761">
        <f t="shared" si="388"/>
        <v>110</v>
      </c>
      <c r="BM761" s="15">
        <f>SUMIFS(BJ$2:BJ761,K$2:K761,"=Intermission")+SUMIFS(BJ$2:BJ761,K$2:K761,"=Timeout")</f>
        <v>0</v>
      </c>
      <c r="BN761">
        <f t="shared" si="389"/>
        <v>0</v>
      </c>
      <c r="BO761" s="19">
        <f t="shared" si="390"/>
        <v>968</v>
      </c>
      <c r="BP761">
        <f t="shared" si="391"/>
        <v>963</v>
      </c>
      <c r="BQ761" s="17">
        <f t="shared" si="392"/>
        <v>970</v>
      </c>
      <c r="BR761" t="str">
        <f t="shared" si="393"/>
        <v>opp_team_player_1</v>
      </c>
      <c r="BS761">
        <f>COUNTIFS(S$3:S761,"="&amp;S761,AI$3:AI761,"="&amp;AI761)</f>
        <v>1</v>
      </c>
      <c r="BT761" t="str">
        <f>IFERROR(VLOOKUP(BB761&amp;BU761&amp;X761,game_rosters!U:W,3,FALSE),"")</f>
        <v>P100061</v>
      </c>
      <c r="BU761" t="str">
        <f t="shared" si="394"/>
        <v>Nelson</v>
      </c>
    </row>
    <row r="762" spans="1:73" x14ac:dyDescent="0.2">
      <c r="A762">
        <f t="shared" si="381"/>
        <v>1</v>
      </c>
      <c r="E762" s="4"/>
      <c r="F762" s="43"/>
      <c r="G762" s="4"/>
      <c r="H762" s="46"/>
      <c r="J762" s="44" t="str">
        <f t="shared" si="395"/>
        <v>o</v>
      </c>
      <c r="K762" t="s">
        <v>238</v>
      </c>
      <c r="L762" t="s">
        <v>174</v>
      </c>
      <c r="M762" t="s">
        <v>85</v>
      </c>
      <c r="N762" t="str">
        <f t="shared" si="398"/>
        <v>s</v>
      </c>
      <c r="Q762" t="str">
        <f t="shared" si="396"/>
        <v/>
      </c>
      <c r="S762">
        <v>405</v>
      </c>
      <c r="U762" t="str">
        <f>IF(B762=1,MAX($U$2:$U761)+1,IF(AND($T762&lt;&gt;"",$T762=$T761),$U761,IF(B762="x",U761,"")))</f>
        <v/>
      </c>
      <c r="V762" t="str">
        <f>IF(C762=1,MAX($V$2:$V761)+1,IF(AND($T762&lt;&gt;"",$T762=$T761),$U761,IF(C762="x",V761,"")))</f>
        <v/>
      </c>
      <c r="W762" t="str">
        <f t="shared" si="370"/>
        <v>a</v>
      </c>
      <c r="X762">
        <v>37</v>
      </c>
      <c r="Y762" t="b">
        <f>IF(X762&lt;&gt;"",VLOOKUP(X762,game_rosters!$C$43:$E$64,3,FALSE))</f>
        <v>0</v>
      </c>
      <c r="Z762" t="str" cm="1">
        <f t="array" ref="Z762">IFERROR(IF(_xlfn._xlws.FILTER(game_rosters!$J:$J,(game_rosters!$G:$G=events!$AN762)*(game_rosters!$J:$J=events!$X762))&gt;0,1,""),"")</f>
        <v/>
      </c>
      <c r="AA762">
        <f t="shared" si="371"/>
        <v>1405</v>
      </c>
      <c r="AB762" t="str">
        <f t="shared" si="372"/>
        <v/>
      </c>
      <c r="AC762">
        <f t="shared" si="369"/>
        <v>1405</v>
      </c>
      <c r="AD762" s="6">
        <v>1</v>
      </c>
      <c r="AE762" t="s">
        <v>943</v>
      </c>
      <c r="AF762" t="s">
        <v>897</v>
      </c>
      <c r="AG762" t="s">
        <v>943</v>
      </c>
      <c r="AH762" t="s">
        <v>922</v>
      </c>
      <c r="AI762" t="s">
        <v>368</v>
      </c>
      <c r="AJ762" t="str">
        <f t="shared" si="400"/>
        <v>o</v>
      </c>
      <c r="AK762" t="str">
        <f t="shared" si="400"/>
        <v>o</v>
      </c>
      <c r="AL762" t="str">
        <f t="shared" si="374"/>
        <v>d</v>
      </c>
      <c r="AN762" t="s">
        <v>862</v>
      </c>
      <c r="AO762" t="str">
        <f t="shared" si="375"/>
        <v>a</v>
      </c>
      <c r="AP762" t="str">
        <f t="shared" si="382"/>
        <v>d</v>
      </c>
      <c r="AQ762" t="str">
        <f t="shared" si="383"/>
        <v/>
      </c>
      <c r="AR762" t="str">
        <f t="shared" si="384"/>
        <v>Away</v>
      </c>
      <c r="AS762" t="str">
        <f t="shared" si="385"/>
        <v>a</v>
      </c>
      <c r="AT762" t="str">
        <f t="shared" si="386"/>
        <v>Defensive</v>
      </c>
      <c r="BA762" s="6">
        <f t="shared" si="376"/>
        <v>206</v>
      </c>
      <c r="BB762">
        <f t="shared" si="377"/>
        <v>18981</v>
      </c>
      <c r="BC762" t="str">
        <f t="shared" si="378"/>
        <v>Nelson</v>
      </c>
      <c r="BD762" t="str">
        <f t="shared" si="379"/>
        <v>Velodrome</v>
      </c>
      <c r="BE762" t="s">
        <v>238</v>
      </c>
      <c r="BF762" t="s">
        <v>174</v>
      </c>
      <c r="BG762" t="s">
        <v>85</v>
      </c>
      <c r="BI762" cm="1">
        <f t="array" ref="BI762">IFERROR(_xlfn._xlws.FILTER(shifts!A:A,(shifts!B:B=events!AD762)*(shifts!AG:AG&gt;=events!BK762)*(shifts!AH:AH&lt;=events!BL762)),BI761)</f>
        <v>37</v>
      </c>
      <c r="BJ762" s="15">
        <f t="shared" si="380"/>
        <v>2</v>
      </c>
      <c r="BK762">
        <f t="shared" si="387"/>
        <v>112</v>
      </c>
      <c r="BL762">
        <f t="shared" si="388"/>
        <v>110</v>
      </c>
      <c r="BM762" s="15">
        <f>SUMIFS(BJ$2:BJ762,K$2:K762,"=Intermission")+SUMIFS(BJ$2:BJ762,K$2:K762,"=Timeout")</f>
        <v>0</v>
      </c>
      <c r="BN762">
        <f t="shared" si="389"/>
        <v>0</v>
      </c>
      <c r="BO762" s="19">
        <f t="shared" si="390"/>
        <v>968</v>
      </c>
      <c r="BP762">
        <f t="shared" si="391"/>
        <v>963</v>
      </c>
      <c r="BQ762" s="17">
        <f t="shared" si="392"/>
        <v>970</v>
      </c>
      <c r="BR762" t="str">
        <f t="shared" si="393"/>
        <v>opp_team_player_2</v>
      </c>
      <c r="BS762">
        <f>COUNTIFS(S$3:S762,"="&amp;S762,AI$3:AI762,"="&amp;AI762)</f>
        <v>2</v>
      </c>
      <c r="BT762" t="str">
        <f>IFERROR(VLOOKUP(BB762&amp;BU762&amp;X762,game_rosters!U:W,3,FALSE),"")</f>
        <v>P100119</v>
      </c>
      <c r="BU762" t="str">
        <f t="shared" si="394"/>
        <v>Nelson</v>
      </c>
    </row>
    <row r="763" spans="1:73" x14ac:dyDescent="0.2">
      <c r="A763">
        <f t="shared" si="381"/>
        <v>1</v>
      </c>
      <c r="E763" s="4"/>
      <c r="F763" s="43"/>
      <c r="G763" s="4"/>
      <c r="H763" s="46"/>
      <c r="J763" s="44" t="str">
        <f t="shared" si="395"/>
        <v>o</v>
      </c>
      <c r="K763" t="s">
        <v>6</v>
      </c>
      <c r="L763" t="s">
        <v>205</v>
      </c>
      <c r="M763" t="s">
        <v>51</v>
      </c>
      <c r="N763" t="str">
        <f t="shared" si="398"/>
        <v>s</v>
      </c>
      <c r="Q763" t="str">
        <f t="shared" si="396"/>
        <v/>
      </c>
      <c r="S763">
        <v>406</v>
      </c>
      <c r="U763" t="str">
        <f>IF(B763=1,MAX($U$2:$U762)+1,IF(AND($T763&lt;&gt;"",$T763=$T762),$U762,IF(B763="x",U762,"")))</f>
        <v/>
      </c>
      <c r="V763" t="str">
        <f>IF(C763=1,MAX($V$2:$V762)+1,IF(AND($T763&lt;&gt;"",$T763=$T762),$U762,IF(C763="x",V762,"")))</f>
        <v/>
      </c>
      <c r="W763" t="str">
        <f t="shared" si="370"/>
        <v>a</v>
      </c>
      <c r="X763">
        <v>42</v>
      </c>
      <c r="Y763" t="e">
        <f>IF(X763&lt;&gt;"",VLOOKUP(X763,game_rosters!$C$43:$E$64,3,FALSE))</f>
        <v>#N/A</v>
      </c>
      <c r="Z763" cm="1">
        <f t="array" ref="Z763">IFERROR(IF(_xlfn._xlws.FILTER(game_rosters!$J:$J,(game_rosters!$G:$G=events!$AN763)*(game_rosters!$J:$J=events!$X763))&gt;0,1,""),"")</f>
        <v>1</v>
      </c>
      <c r="AA763">
        <f t="shared" si="371"/>
        <v>1406</v>
      </c>
      <c r="AB763" t="str">
        <f t="shared" si="372"/>
        <v/>
      </c>
      <c r="AC763">
        <f t="shared" si="369"/>
        <v>1406</v>
      </c>
      <c r="AD763" s="6">
        <v>1</v>
      </c>
      <c r="AE763" t="s">
        <v>943</v>
      </c>
      <c r="AF763" t="s">
        <v>922</v>
      </c>
      <c r="AG763" t="s">
        <v>756</v>
      </c>
      <c r="AH763" t="s">
        <v>756</v>
      </c>
      <c r="AI763" t="s">
        <v>367</v>
      </c>
      <c r="AJ763" t="str">
        <f t="shared" si="400"/>
        <v>o</v>
      </c>
      <c r="AK763" t="str">
        <f t="shared" si="400"/>
        <v>o</v>
      </c>
      <c r="AL763" t="str">
        <f t="shared" si="374"/>
        <v>d</v>
      </c>
      <c r="AN763" t="s">
        <v>862</v>
      </c>
      <c r="AO763" t="str">
        <f t="shared" si="375"/>
        <v>a</v>
      </c>
      <c r="AP763" t="str">
        <f t="shared" si="382"/>
        <v>d</v>
      </c>
      <c r="AQ763" t="str">
        <f t="shared" si="383"/>
        <v/>
      </c>
      <c r="AR763" t="str">
        <f t="shared" si="384"/>
        <v>Away</v>
      </c>
      <c r="AS763" t="str">
        <f t="shared" si="385"/>
        <v>a</v>
      </c>
      <c r="AT763" t="str">
        <f t="shared" si="386"/>
        <v>Offensive</v>
      </c>
      <c r="BA763" s="6">
        <f t="shared" si="376"/>
        <v>206</v>
      </c>
      <c r="BB763">
        <f t="shared" si="377"/>
        <v>18981</v>
      </c>
      <c r="BC763" t="str">
        <f t="shared" si="378"/>
        <v>Nelson</v>
      </c>
      <c r="BD763" t="str">
        <f t="shared" si="379"/>
        <v>Velodrome</v>
      </c>
      <c r="BE763" t="s">
        <v>6</v>
      </c>
      <c r="BF763" t="s">
        <v>205</v>
      </c>
      <c r="BG763" t="s">
        <v>51</v>
      </c>
      <c r="BI763" cm="1">
        <f t="array" ref="BI763">IFERROR(_xlfn._xlws.FILTER(shifts!A:A,(shifts!B:B=events!AD763)*(shifts!AG:AG&gt;=events!BK763)*(shifts!AH:AH&lt;=events!BL763)),BI762)</f>
        <v>37</v>
      </c>
      <c r="BJ763" s="15">
        <f t="shared" si="380"/>
        <v>0</v>
      </c>
      <c r="BK763">
        <f t="shared" si="387"/>
        <v>110</v>
      </c>
      <c r="BL763">
        <f t="shared" si="388"/>
        <v>110</v>
      </c>
      <c r="BM763" s="15">
        <f>SUMIFS(BJ$2:BJ763,K$2:K763,"=Intermission")+SUMIFS(BJ$2:BJ763,K$2:K763,"=Timeout")</f>
        <v>0</v>
      </c>
      <c r="BN763">
        <f t="shared" si="389"/>
        <v>0</v>
      </c>
      <c r="BO763" s="19">
        <f t="shared" si="390"/>
        <v>970</v>
      </c>
      <c r="BP763">
        <f t="shared" si="391"/>
        <v>965</v>
      </c>
      <c r="BQ763" s="17">
        <f t="shared" si="392"/>
        <v>970</v>
      </c>
      <c r="BR763" t="str">
        <f t="shared" si="393"/>
        <v>event_team_player_1</v>
      </c>
      <c r="BS763">
        <f>COUNTIFS(S$3:S763,"="&amp;S763,AI$3:AI763,"="&amp;AI763)</f>
        <v>1</v>
      </c>
      <c r="BT763" t="str">
        <f>IFERROR(VLOOKUP(BB763&amp;BU763&amp;X763,game_rosters!U:W,3,FALSE),"")</f>
        <v>P100201</v>
      </c>
      <c r="BU763" t="str">
        <f t="shared" si="394"/>
        <v>Velodrome</v>
      </c>
    </row>
    <row r="764" spans="1:73" x14ac:dyDescent="0.2">
      <c r="A764">
        <f t="shared" si="381"/>
        <v>1</v>
      </c>
      <c r="E764" s="4"/>
      <c r="F764" s="43"/>
      <c r="G764" s="4"/>
      <c r="H764" s="46"/>
      <c r="J764" s="44" t="str">
        <f t="shared" si="395"/>
        <v>o</v>
      </c>
      <c r="K764" t="s">
        <v>6</v>
      </c>
      <c r="L764" t="s">
        <v>205</v>
      </c>
      <c r="M764" t="s">
        <v>51</v>
      </c>
      <c r="N764" t="str">
        <f t="shared" si="398"/>
        <v>s</v>
      </c>
      <c r="Q764" t="str">
        <f t="shared" si="396"/>
        <v/>
      </c>
      <c r="S764">
        <v>406</v>
      </c>
      <c r="U764" t="str">
        <f>IF(B764=1,MAX($U$2:$U763)+1,IF(AND($T764&lt;&gt;"",$T764=$T763),$U763,IF(B764="x",U763,"")))</f>
        <v/>
      </c>
      <c r="V764" t="str">
        <f>IF(C764=1,MAX($V$2:$V763)+1,IF(AND($T764&lt;&gt;"",$T764=$T763),$U763,IF(C764="x",V763,"")))</f>
        <v/>
      </c>
      <c r="W764" t="str">
        <f t="shared" si="370"/>
        <v>a</v>
      </c>
      <c r="X764">
        <v>31</v>
      </c>
      <c r="Y764" t="b">
        <f>IF(X764&lt;&gt;"",VLOOKUP(X764,game_rosters!$C$43:$E$64,3,FALSE))</f>
        <v>0</v>
      </c>
      <c r="Z764" t="str" cm="1">
        <f t="array" ref="Z764">IFERROR(IF(_xlfn._xlws.FILTER(game_rosters!$J:$J,(game_rosters!$G:$G=events!$AN764)*(game_rosters!$J:$J=events!$X764))&gt;0,1,""),"")</f>
        <v/>
      </c>
      <c r="AA764">
        <f t="shared" si="371"/>
        <v>1406</v>
      </c>
      <c r="AB764" t="str">
        <f t="shared" si="372"/>
        <v/>
      </c>
      <c r="AC764">
        <f t="shared" si="369"/>
        <v>1406</v>
      </c>
      <c r="AD764" s="6">
        <v>1</v>
      </c>
      <c r="AE764" t="s">
        <v>943</v>
      </c>
      <c r="AF764" t="s">
        <v>922</v>
      </c>
      <c r="AG764" t="s">
        <v>756</v>
      </c>
      <c r="AH764" t="s">
        <v>756</v>
      </c>
      <c r="AI764" t="s">
        <v>368</v>
      </c>
      <c r="AJ764" t="str">
        <f t="shared" si="400"/>
        <v>o</v>
      </c>
      <c r="AK764" t="str">
        <f t="shared" si="400"/>
        <v>o</v>
      </c>
      <c r="AL764" t="str">
        <f t="shared" si="374"/>
        <v>d</v>
      </c>
      <c r="AN764" t="s">
        <v>862</v>
      </c>
      <c r="AO764" t="str">
        <f t="shared" si="375"/>
        <v>a</v>
      </c>
      <c r="AP764" t="str">
        <f t="shared" si="382"/>
        <v>d</v>
      </c>
      <c r="AQ764" t="str">
        <f t="shared" si="383"/>
        <v/>
      </c>
      <c r="AR764" t="str">
        <f t="shared" si="384"/>
        <v>Away</v>
      </c>
      <c r="AS764" t="str">
        <f t="shared" si="385"/>
        <v>a</v>
      </c>
      <c r="AT764" t="str">
        <f t="shared" si="386"/>
        <v>Defensive</v>
      </c>
      <c r="BA764" s="6">
        <f t="shared" si="376"/>
        <v>206</v>
      </c>
      <c r="BB764">
        <f t="shared" si="377"/>
        <v>18981</v>
      </c>
      <c r="BC764" t="str">
        <f t="shared" si="378"/>
        <v>Nelson</v>
      </c>
      <c r="BD764" t="str">
        <f t="shared" si="379"/>
        <v>Velodrome</v>
      </c>
      <c r="BE764" t="s">
        <v>6</v>
      </c>
      <c r="BF764" t="s">
        <v>205</v>
      </c>
      <c r="BG764" t="s">
        <v>51</v>
      </c>
      <c r="BI764" cm="1">
        <f t="array" ref="BI764">IFERROR(_xlfn._xlws.FILTER(shifts!A:A,(shifts!B:B=events!AD764)*(shifts!AG:AG&gt;=events!BK764)*(shifts!AH:AH&lt;=events!BL764)),BI763)</f>
        <v>37</v>
      </c>
      <c r="BJ764" s="15">
        <f t="shared" si="380"/>
        <v>0</v>
      </c>
      <c r="BK764">
        <f t="shared" si="387"/>
        <v>110</v>
      </c>
      <c r="BL764">
        <f t="shared" si="388"/>
        <v>110</v>
      </c>
      <c r="BM764" s="15">
        <f>SUMIFS(BJ$2:BJ764,K$2:K764,"=Intermission")+SUMIFS(BJ$2:BJ764,K$2:K764,"=Timeout")</f>
        <v>0</v>
      </c>
      <c r="BN764">
        <f t="shared" si="389"/>
        <v>0</v>
      </c>
      <c r="BO764" s="19">
        <f t="shared" si="390"/>
        <v>970</v>
      </c>
      <c r="BP764">
        <f t="shared" si="391"/>
        <v>965</v>
      </c>
      <c r="BQ764" s="17">
        <f t="shared" si="392"/>
        <v>970</v>
      </c>
      <c r="BR764" t="str">
        <f t="shared" si="393"/>
        <v>opp_team_player_1</v>
      </c>
      <c r="BS764">
        <f>COUNTIFS(S$3:S764,"="&amp;S764,AI$3:AI764,"="&amp;AI764)</f>
        <v>1</v>
      </c>
      <c r="BT764" t="str">
        <f>IFERROR(VLOOKUP(BB764&amp;BU764&amp;X764,game_rosters!U:W,3,FALSE),"")</f>
        <v>P100138</v>
      </c>
      <c r="BU764" t="str">
        <f t="shared" si="394"/>
        <v>Nelson</v>
      </c>
    </row>
    <row r="765" spans="1:73" x14ac:dyDescent="0.2">
      <c r="A765">
        <f t="shared" si="381"/>
        <v>1</v>
      </c>
      <c r="E765" s="4"/>
      <c r="F765" s="43"/>
      <c r="G765" s="4"/>
      <c r="H765" s="46"/>
      <c r="J765" s="44" t="str">
        <f t="shared" si="395"/>
        <v>o</v>
      </c>
      <c r="K765" t="s">
        <v>6</v>
      </c>
      <c r="L765" t="s">
        <v>205</v>
      </c>
      <c r="M765" t="s">
        <v>51</v>
      </c>
      <c r="N765" t="str">
        <f t="shared" si="398"/>
        <v>s</v>
      </c>
      <c r="Q765" t="str">
        <f t="shared" si="396"/>
        <v/>
      </c>
      <c r="S765">
        <v>406</v>
      </c>
      <c r="U765" t="str">
        <f>IF(B765=1,MAX($U$2:$U764)+1,IF(AND($T765&lt;&gt;"",$T765=$T764),$U764,IF(B765="x",U764,"")))</f>
        <v/>
      </c>
      <c r="V765" t="str">
        <f>IF(C765=1,MAX($V$2:$V764)+1,IF(AND($T765&lt;&gt;"",$T765=$T764),$U764,IF(C765="x",V764,"")))</f>
        <v/>
      </c>
      <c r="W765" t="str">
        <f t="shared" si="370"/>
        <v>a</v>
      </c>
      <c r="X765">
        <v>37</v>
      </c>
      <c r="Y765" t="b">
        <f>IF(X765&lt;&gt;"",VLOOKUP(X765,game_rosters!$C$43:$E$64,3,FALSE))</f>
        <v>0</v>
      </c>
      <c r="Z765" t="str" cm="1">
        <f t="array" ref="Z765">IFERROR(IF(_xlfn._xlws.FILTER(game_rosters!$J:$J,(game_rosters!$G:$G=events!$AN765)*(game_rosters!$J:$J=events!$X765))&gt;0,1,""),"")</f>
        <v/>
      </c>
      <c r="AA765">
        <f t="shared" si="371"/>
        <v>1406</v>
      </c>
      <c r="AB765" t="str">
        <f t="shared" si="372"/>
        <v/>
      </c>
      <c r="AC765">
        <f t="shared" si="369"/>
        <v>1406</v>
      </c>
      <c r="AD765" s="6">
        <v>1</v>
      </c>
      <c r="AE765" t="s">
        <v>943</v>
      </c>
      <c r="AF765" t="s">
        <v>922</v>
      </c>
      <c r="AG765" t="s">
        <v>756</v>
      </c>
      <c r="AH765" t="s">
        <v>756</v>
      </c>
      <c r="AI765" t="s">
        <v>368</v>
      </c>
      <c r="AJ765" t="str">
        <f t="shared" si="400"/>
        <v>o</v>
      </c>
      <c r="AK765" t="str">
        <f t="shared" si="400"/>
        <v>o</v>
      </c>
      <c r="AL765" t="str">
        <f t="shared" si="374"/>
        <v>d</v>
      </c>
      <c r="AN765" t="s">
        <v>862</v>
      </c>
      <c r="AO765" t="str">
        <f t="shared" si="375"/>
        <v>a</v>
      </c>
      <c r="AP765" t="str">
        <f t="shared" si="382"/>
        <v>d</v>
      </c>
      <c r="AQ765" t="str">
        <f t="shared" si="383"/>
        <v/>
      </c>
      <c r="AR765" t="str">
        <f t="shared" si="384"/>
        <v>Away</v>
      </c>
      <c r="AS765" t="str">
        <f t="shared" si="385"/>
        <v>a</v>
      </c>
      <c r="AT765" t="str">
        <f t="shared" si="386"/>
        <v>Defensive</v>
      </c>
      <c r="BA765" s="6">
        <f t="shared" si="376"/>
        <v>206</v>
      </c>
      <c r="BB765">
        <f t="shared" si="377"/>
        <v>18981</v>
      </c>
      <c r="BC765" t="str">
        <f t="shared" si="378"/>
        <v>Nelson</v>
      </c>
      <c r="BD765" t="str">
        <f t="shared" si="379"/>
        <v>Velodrome</v>
      </c>
      <c r="BE765" t="s">
        <v>6</v>
      </c>
      <c r="BF765" t="s">
        <v>205</v>
      </c>
      <c r="BG765" t="s">
        <v>51</v>
      </c>
      <c r="BI765" cm="1">
        <f t="array" ref="BI765">IFERROR(_xlfn._xlws.FILTER(shifts!A:A,(shifts!B:B=events!AD765)*(shifts!AG:AG&gt;=events!BK765)*(shifts!AH:AH&lt;=events!BL765)),BI764)</f>
        <v>37</v>
      </c>
      <c r="BJ765" s="15">
        <f t="shared" si="380"/>
        <v>0</v>
      </c>
      <c r="BK765">
        <f t="shared" si="387"/>
        <v>110</v>
      </c>
      <c r="BL765">
        <f t="shared" si="388"/>
        <v>110</v>
      </c>
      <c r="BM765" s="15">
        <f>SUMIFS(BJ$2:BJ765,K$2:K765,"=Intermission")+SUMIFS(BJ$2:BJ765,K$2:K765,"=Timeout")</f>
        <v>0</v>
      </c>
      <c r="BN765">
        <f t="shared" si="389"/>
        <v>0</v>
      </c>
      <c r="BO765" s="19">
        <f t="shared" si="390"/>
        <v>970</v>
      </c>
      <c r="BP765">
        <f t="shared" si="391"/>
        <v>965</v>
      </c>
      <c r="BQ765" s="17">
        <f t="shared" si="392"/>
        <v>970</v>
      </c>
      <c r="BR765" t="str">
        <f t="shared" si="393"/>
        <v>opp_team_player_2</v>
      </c>
      <c r="BS765">
        <f>COUNTIFS(S$3:S765,"="&amp;S765,AI$3:AI765,"="&amp;AI765)</f>
        <v>2</v>
      </c>
      <c r="BT765" t="str">
        <f>IFERROR(VLOOKUP(BB765&amp;BU765&amp;X765,game_rosters!U:W,3,FALSE),"")</f>
        <v>P100119</v>
      </c>
      <c r="BU765" t="str">
        <f t="shared" si="394"/>
        <v>Nelson</v>
      </c>
    </row>
    <row r="766" spans="1:73" x14ac:dyDescent="0.2">
      <c r="A766">
        <f t="shared" si="381"/>
        <v>1</v>
      </c>
      <c r="E766" s="4"/>
      <c r="F766" s="43"/>
      <c r="G766" s="4"/>
      <c r="H766" s="46"/>
      <c r="J766" s="44" t="str">
        <f t="shared" si="395"/>
        <v>d</v>
      </c>
      <c r="K766" t="s">
        <v>15</v>
      </c>
      <c r="L766" t="s">
        <v>189</v>
      </c>
      <c r="M766" t="s">
        <v>94</v>
      </c>
      <c r="N766" t="str">
        <f t="shared" si="398"/>
        <v/>
      </c>
      <c r="Q766" t="str">
        <f t="shared" si="396"/>
        <v/>
      </c>
      <c r="S766">
        <v>407</v>
      </c>
      <c r="U766" t="str">
        <f>IF(B766=1,MAX($U$2:$U765)+1,IF(AND($T766&lt;&gt;"",$T766=$T765),$U765,IF(B766="x",U765,"")))</f>
        <v/>
      </c>
      <c r="V766" t="str">
        <f>IF(C766=1,MAX($V$2:$V765)+1,IF(AND($T766&lt;&gt;"",$T766=$T765),$U765,IF(C766="x",V765,"")))</f>
        <v/>
      </c>
      <c r="W766" t="str">
        <f t="shared" si="370"/>
        <v>h</v>
      </c>
      <c r="X766">
        <v>31</v>
      </c>
      <c r="Y766" t="b">
        <f>IF(X766&lt;&gt;"",VLOOKUP(X766,game_rosters!$C$43:$E$64,3,FALSE))</f>
        <v>0</v>
      </c>
      <c r="Z766" cm="1">
        <f t="array" ref="Z766">IFERROR(IF(_xlfn._xlws.FILTER(game_rosters!$J:$J,(game_rosters!$G:$G=events!$AN766)*(game_rosters!$J:$J=events!$X766))&gt;0,1,""),"")</f>
        <v>1</v>
      </c>
      <c r="AA766">
        <f t="shared" si="371"/>
        <v>1407</v>
      </c>
      <c r="AB766" t="str">
        <f t="shared" si="372"/>
        <v/>
      </c>
      <c r="AC766">
        <f t="shared" si="369"/>
        <v>1407</v>
      </c>
      <c r="AD766" s="6">
        <v>1</v>
      </c>
      <c r="AE766" t="s">
        <v>943</v>
      </c>
      <c r="AF766" t="s">
        <v>922</v>
      </c>
      <c r="AG766" t="s">
        <v>756</v>
      </c>
      <c r="AH766" t="s">
        <v>756</v>
      </c>
      <c r="AI766" t="s">
        <v>367</v>
      </c>
      <c r="AJ766" t="str">
        <f t="shared" si="400"/>
        <v>d</v>
      </c>
      <c r="AK766" t="str">
        <f t="shared" si="400"/>
        <v>d</v>
      </c>
      <c r="AL766" t="str">
        <f t="shared" si="374"/>
        <v>d</v>
      </c>
      <c r="AN766" t="s">
        <v>861</v>
      </c>
      <c r="AO766" t="str">
        <f t="shared" si="375"/>
        <v>h</v>
      </c>
      <c r="AP766" t="str">
        <f t="shared" si="382"/>
        <v>d</v>
      </c>
      <c r="AQ766" t="str">
        <f t="shared" si="383"/>
        <v/>
      </c>
      <c r="AR766" t="str">
        <f t="shared" si="384"/>
        <v>Home</v>
      </c>
      <c r="AS766" t="str">
        <f t="shared" si="385"/>
        <v>h</v>
      </c>
      <c r="AT766" t="str">
        <f t="shared" si="386"/>
        <v>Defensive</v>
      </c>
      <c r="BA766" s="6">
        <f t="shared" si="376"/>
        <v>206</v>
      </c>
      <c r="BB766">
        <f t="shared" si="377"/>
        <v>18981</v>
      </c>
      <c r="BC766" t="str">
        <f t="shared" si="378"/>
        <v>Nelson</v>
      </c>
      <c r="BD766" t="str">
        <f t="shared" si="379"/>
        <v>Velodrome</v>
      </c>
      <c r="BE766" t="s">
        <v>15</v>
      </c>
      <c r="BF766" t="s">
        <v>189</v>
      </c>
      <c r="BG766" t="s">
        <v>94</v>
      </c>
      <c r="BI766" cm="1">
        <f t="array" ref="BI766">IFERROR(_xlfn._xlws.FILTER(shifts!A:A,(shifts!B:B=events!AD766)*(shifts!AG:AG&gt;=events!BK766)*(shifts!AH:AH&lt;=events!BL766)),BI765)</f>
        <v>37</v>
      </c>
      <c r="BJ766" s="15">
        <f t="shared" si="380"/>
        <v>0</v>
      </c>
      <c r="BK766">
        <f t="shared" si="387"/>
        <v>110</v>
      </c>
      <c r="BL766">
        <f t="shared" si="388"/>
        <v>110</v>
      </c>
      <c r="BM766" s="15">
        <f>SUMIFS(BJ$2:BJ766,K$2:K766,"=Intermission")+SUMIFS(BJ$2:BJ766,K$2:K766,"=Timeout")</f>
        <v>0</v>
      </c>
      <c r="BN766">
        <f t="shared" si="389"/>
        <v>0</v>
      </c>
      <c r="BO766" s="19">
        <f t="shared" si="390"/>
        <v>970</v>
      </c>
      <c r="BP766">
        <f t="shared" si="391"/>
        <v>965</v>
      </c>
      <c r="BQ766" s="17">
        <f t="shared" si="392"/>
        <v>970</v>
      </c>
      <c r="BR766" t="str">
        <f t="shared" si="393"/>
        <v>event_team_player_1</v>
      </c>
      <c r="BS766">
        <f>COUNTIFS(S$3:S766,"="&amp;S766,AI$3:AI766,"="&amp;AI766)</f>
        <v>1</v>
      </c>
      <c r="BT766" t="str">
        <f>IFERROR(VLOOKUP(BB766&amp;BU766&amp;X766,game_rosters!U:W,3,FALSE),"")</f>
        <v>P100138</v>
      </c>
      <c r="BU766" t="str">
        <f t="shared" si="394"/>
        <v>Nelson</v>
      </c>
    </row>
    <row r="767" spans="1:73" x14ac:dyDescent="0.2">
      <c r="A767">
        <f t="shared" si="381"/>
        <v>1</v>
      </c>
      <c r="E767" s="4"/>
      <c r="F767" s="43"/>
      <c r="G767" s="4"/>
      <c r="H767" s="46"/>
      <c r="J767" s="44" t="str">
        <f t="shared" si="395"/>
        <v>d</v>
      </c>
      <c r="K767" t="s">
        <v>15</v>
      </c>
      <c r="L767" t="s">
        <v>189</v>
      </c>
      <c r="M767" t="s">
        <v>94</v>
      </c>
      <c r="N767" t="str">
        <f t="shared" si="398"/>
        <v/>
      </c>
      <c r="Q767" t="str">
        <f t="shared" si="396"/>
        <v/>
      </c>
      <c r="S767">
        <v>407</v>
      </c>
      <c r="U767" t="str">
        <f>IF(B767=1,MAX($U$2:$U766)+1,IF(AND($T767&lt;&gt;"",$T767=$T766),$U766,IF(B767="x",U766,"")))</f>
        <v/>
      </c>
      <c r="V767" t="str">
        <f>IF(C767=1,MAX($V$2:$V766)+1,IF(AND($T767&lt;&gt;"",$T767=$T766),$U766,IF(C767="x",V766,"")))</f>
        <v/>
      </c>
      <c r="W767" t="str">
        <f t="shared" si="370"/>
        <v>h</v>
      </c>
      <c r="X767">
        <v>37</v>
      </c>
      <c r="Y767" t="b">
        <f>IF(X767&lt;&gt;"",VLOOKUP(X767,game_rosters!$C$43:$E$64,3,FALSE))</f>
        <v>0</v>
      </c>
      <c r="Z767" cm="1">
        <f t="array" ref="Z767">IFERROR(IF(_xlfn._xlws.FILTER(game_rosters!$J:$J,(game_rosters!$G:$G=events!$AN767)*(game_rosters!$J:$J=events!$X767))&gt;0,1,""),"")</f>
        <v>1</v>
      </c>
      <c r="AA767">
        <f t="shared" si="371"/>
        <v>1407</v>
      </c>
      <c r="AB767" t="str">
        <f t="shared" si="372"/>
        <v/>
      </c>
      <c r="AC767">
        <f t="shared" si="369"/>
        <v>1407</v>
      </c>
      <c r="AD767" s="6">
        <v>1</v>
      </c>
      <c r="AE767" t="s">
        <v>943</v>
      </c>
      <c r="AF767" t="s">
        <v>922</v>
      </c>
      <c r="AG767" t="s">
        <v>756</v>
      </c>
      <c r="AH767" t="s">
        <v>756</v>
      </c>
      <c r="AI767" t="s">
        <v>367</v>
      </c>
      <c r="AJ767" t="str">
        <f t="shared" si="400"/>
        <v>d</v>
      </c>
      <c r="AK767" t="str">
        <f t="shared" si="400"/>
        <v>d</v>
      </c>
      <c r="AL767" t="str">
        <f t="shared" si="374"/>
        <v>d</v>
      </c>
      <c r="AN767" t="s">
        <v>861</v>
      </c>
      <c r="AO767" t="str">
        <f t="shared" si="375"/>
        <v>h</v>
      </c>
      <c r="AP767" t="str">
        <f t="shared" si="382"/>
        <v>d</v>
      </c>
      <c r="AQ767" t="str">
        <f t="shared" si="383"/>
        <v/>
      </c>
      <c r="AR767" t="str">
        <f t="shared" si="384"/>
        <v>Home</v>
      </c>
      <c r="AS767" t="str">
        <f t="shared" si="385"/>
        <v>h</v>
      </c>
      <c r="AT767" t="str">
        <f t="shared" si="386"/>
        <v>Defensive</v>
      </c>
      <c r="BA767" s="6">
        <f t="shared" si="376"/>
        <v>206</v>
      </c>
      <c r="BB767">
        <f t="shared" si="377"/>
        <v>18981</v>
      </c>
      <c r="BC767" t="str">
        <f t="shared" si="378"/>
        <v>Nelson</v>
      </c>
      <c r="BD767" t="str">
        <f t="shared" si="379"/>
        <v>Velodrome</v>
      </c>
      <c r="BE767" t="s">
        <v>15</v>
      </c>
      <c r="BF767" t="s">
        <v>189</v>
      </c>
      <c r="BG767" t="s">
        <v>94</v>
      </c>
      <c r="BI767" cm="1">
        <f t="array" ref="BI767">IFERROR(_xlfn._xlws.FILTER(shifts!A:A,(shifts!B:B=events!AD767)*(shifts!AG:AG&gt;=events!BK767)*(shifts!AH:AH&lt;=events!BL767)),BI766)</f>
        <v>37</v>
      </c>
      <c r="BJ767" s="15">
        <f t="shared" si="380"/>
        <v>0</v>
      </c>
      <c r="BK767">
        <f t="shared" si="387"/>
        <v>110</v>
      </c>
      <c r="BL767">
        <f t="shared" si="388"/>
        <v>110</v>
      </c>
      <c r="BM767" s="15">
        <f>SUMIFS(BJ$2:BJ767,K$2:K767,"=Intermission")+SUMIFS(BJ$2:BJ767,K$2:K767,"=Timeout")</f>
        <v>0</v>
      </c>
      <c r="BN767">
        <f t="shared" si="389"/>
        <v>0</v>
      </c>
      <c r="BO767" s="19">
        <f t="shared" si="390"/>
        <v>970</v>
      </c>
      <c r="BP767">
        <f t="shared" si="391"/>
        <v>965</v>
      </c>
      <c r="BQ767" s="17">
        <f t="shared" si="392"/>
        <v>970</v>
      </c>
      <c r="BR767" t="str">
        <f t="shared" si="393"/>
        <v>event_team_player_2</v>
      </c>
      <c r="BS767">
        <f>COUNTIFS(S$3:S767,"="&amp;S767,AI$3:AI767,"="&amp;AI767)</f>
        <v>2</v>
      </c>
      <c r="BT767" t="str">
        <f>IFERROR(VLOOKUP(BB767&amp;BU767&amp;X767,game_rosters!U:W,3,FALSE),"")</f>
        <v>P100119</v>
      </c>
      <c r="BU767" t="str">
        <f t="shared" si="394"/>
        <v>Nelson</v>
      </c>
    </row>
    <row r="768" spans="1:73" x14ac:dyDescent="0.2">
      <c r="A768">
        <f t="shared" si="381"/>
        <v>1</v>
      </c>
      <c r="E768" s="4"/>
      <c r="F768" s="43"/>
      <c r="G768" s="4"/>
      <c r="H768" s="46"/>
      <c r="J768" s="44" t="str">
        <f t="shared" si="395"/>
        <v>d</v>
      </c>
      <c r="K768" t="s">
        <v>15</v>
      </c>
      <c r="L768" t="s">
        <v>189</v>
      </c>
      <c r="M768" t="s">
        <v>94</v>
      </c>
      <c r="N768" t="str">
        <f t="shared" si="398"/>
        <v/>
      </c>
      <c r="Q768" t="str">
        <f t="shared" si="396"/>
        <v/>
      </c>
      <c r="S768">
        <v>407</v>
      </c>
      <c r="U768" t="str">
        <f>IF(B768=1,MAX($U$2:$U767)+1,IF(AND($T768&lt;&gt;"",$T768=$T767),$U767,IF(B768="x",U767,"")))</f>
        <v/>
      </c>
      <c r="V768" t="str">
        <f>IF(C768=1,MAX($V$2:$V767)+1,IF(AND($T768&lt;&gt;"",$T768=$T767),$U767,IF(C768="x",V767,"")))</f>
        <v/>
      </c>
      <c r="W768" t="str">
        <f t="shared" si="370"/>
        <v>h</v>
      </c>
      <c r="X768">
        <v>42</v>
      </c>
      <c r="Y768" t="e">
        <f>IF(X768&lt;&gt;"",VLOOKUP(X768,game_rosters!$C$43:$E$64,3,FALSE))</f>
        <v>#N/A</v>
      </c>
      <c r="Z768" t="str" cm="1">
        <f t="array" ref="Z768">IFERROR(IF(_xlfn._xlws.FILTER(game_rosters!$J:$J,(game_rosters!$G:$G=events!$AN768)*(game_rosters!$J:$J=events!$X768))&gt;0,1,""),"")</f>
        <v/>
      </c>
      <c r="AA768">
        <f t="shared" si="371"/>
        <v>1407</v>
      </c>
      <c r="AB768" t="str">
        <f t="shared" si="372"/>
        <v/>
      </c>
      <c r="AC768">
        <f t="shared" si="369"/>
        <v>1407</v>
      </c>
      <c r="AD768" s="6">
        <v>1</v>
      </c>
      <c r="AE768" t="s">
        <v>943</v>
      </c>
      <c r="AF768" t="s">
        <v>922</v>
      </c>
      <c r="AG768" t="s">
        <v>756</v>
      </c>
      <c r="AH768" t="s">
        <v>756</v>
      </c>
      <c r="AI768" t="s">
        <v>368</v>
      </c>
      <c r="AJ768" t="str">
        <f t="shared" si="400"/>
        <v>d</v>
      </c>
      <c r="AK768" t="str">
        <f t="shared" si="400"/>
        <v>d</v>
      </c>
      <c r="AL768" t="str">
        <f t="shared" si="374"/>
        <v>d</v>
      </c>
      <c r="AN768" t="s">
        <v>861</v>
      </c>
      <c r="AO768" t="str">
        <f t="shared" si="375"/>
        <v>h</v>
      </c>
      <c r="AP768" t="str">
        <f t="shared" si="382"/>
        <v>d</v>
      </c>
      <c r="AQ768" t="str">
        <f t="shared" si="383"/>
        <v/>
      </c>
      <c r="AR768" t="str">
        <f t="shared" si="384"/>
        <v>Home</v>
      </c>
      <c r="AS768" t="str">
        <f t="shared" si="385"/>
        <v>h</v>
      </c>
      <c r="AT768" t="str">
        <f t="shared" si="386"/>
        <v>Offensive</v>
      </c>
      <c r="BA768" s="6">
        <f t="shared" si="376"/>
        <v>206</v>
      </c>
      <c r="BB768">
        <f t="shared" si="377"/>
        <v>18981</v>
      </c>
      <c r="BC768" t="str">
        <f t="shared" si="378"/>
        <v>Nelson</v>
      </c>
      <c r="BD768" t="str">
        <f t="shared" si="379"/>
        <v>Velodrome</v>
      </c>
      <c r="BE768" t="s">
        <v>15</v>
      </c>
      <c r="BF768" t="s">
        <v>189</v>
      </c>
      <c r="BG768" t="s">
        <v>94</v>
      </c>
      <c r="BI768" cm="1">
        <f t="array" ref="BI768">IFERROR(_xlfn._xlws.FILTER(shifts!A:A,(shifts!B:B=events!AD768)*(shifts!AG:AG&gt;=events!BK768)*(shifts!AH:AH&lt;=events!BL768)),BI767)</f>
        <v>37</v>
      </c>
      <c r="BJ768" s="15">
        <f t="shared" si="380"/>
        <v>0</v>
      </c>
      <c r="BK768">
        <f t="shared" si="387"/>
        <v>110</v>
      </c>
      <c r="BL768">
        <f t="shared" si="388"/>
        <v>110</v>
      </c>
      <c r="BM768" s="15">
        <f>SUMIFS(BJ$2:BJ768,K$2:K768,"=Intermission")+SUMIFS(BJ$2:BJ768,K$2:K768,"=Timeout")</f>
        <v>0</v>
      </c>
      <c r="BN768">
        <f t="shared" si="389"/>
        <v>0</v>
      </c>
      <c r="BO768" s="19">
        <f t="shared" si="390"/>
        <v>970</v>
      </c>
      <c r="BP768">
        <f t="shared" si="391"/>
        <v>965</v>
      </c>
      <c r="BQ768" s="17">
        <f t="shared" si="392"/>
        <v>970</v>
      </c>
      <c r="BR768" t="str">
        <f t="shared" si="393"/>
        <v>opp_team_player_1</v>
      </c>
      <c r="BS768">
        <f>COUNTIFS(S$3:S768,"="&amp;S768,AI$3:AI768,"="&amp;AI768)</f>
        <v>1</v>
      </c>
      <c r="BT768" t="str">
        <f>IFERROR(VLOOKUP(BB768&amp;BU768&amp;X768,game_rosters!U:W,3,FALSE),"")</f>
        <v>P100201</v>
      </c>
      <c r="BU768" t="str">
        <f t="shared" si="394"/>
        <v>Velodrome</v>
      </c>
    </row>
    <row r="769" spans="1:73" x14ac:dyDescent="0.2">
      <c r="A769">
        <f t="shared" si="381"/>
        <v>1</v>
      </c>
      <c r="E769" s="4"/>
      <c r="F769" s="43"/>
      <c r="G769" s="4"/>
      <c r="H769" s="46"/>
      <c r="J769" s="44" t="str">
        <f t="shared" si="395"/>
        <v>d</v>
      </c>
      <c r="K769" t="s">
        <v>11</v>
      </c>
      <c r="L769" t="s">
        <v>187</v>
      </c>
      <c r="M769" t="s">
        <v>108</v>
      </c>
      <c r="N769" t="str">
        <f t="shared" si="398"/>
        <v/>
      </c>
      <c r="Q769" t="str">
        <f t="shared" si="396"/>
        <v/>
      </c>
      <c r="S769">
        <v>408</v>
      </c>
      <c r="U769" t="str">
        <f>IF(B769=1,MAX($U$2:$U768)+1,IF(AND($T769&lt;&gt;"",$T769=$T768),$U768,IF(B769="x",U768,"")))</f>
        <v/>
      </c>
      <c r="V769" t="str">
        <f>IF(C769=1,MAX($V$2:$V768)+1,IF(AND($T769&lt;&gt;"",$T769=$T768),$U768,IF(C769="x",V768,"")))</f>
        <v/>
      </c>
      <c r="W769" t="str">
        <f t="shared" si="370"/>
        <v>h</v>
      </c>
      <c r="X769">
        <v>31</v>
      </c>
      <c r="Y769" t="b">
        <f>IF(X769&lt;&gt;"",VLOOKUP(X769,game_rosters!$C$43:$E$64,3,FALSE))</f>
        <v>0</v>
      </c>
      <c r="Z769" cm="1">
        <f t="array" ref="Z769">IFERROR(IF(_xlfn._xlws.FILTER(game_rosters!$J:$J,(game_rosters!$G:$G=events!$AN769)*(game_rosters!$J:$J=events!$X769))&gt;0,1,""),"")</f>
        <v>1</v>
      </c>
      <c r="AA769">
        <f t="shared" si="371"/>
        <v>1408</v>
      </c>
      <c r="AB769" t="str">
        <f t="shared" si="372"/>
        <v/>
      </c>
      <c r="AC769">
        <f t="shared" si="369"/>
        <v>1408</v>
      </c>
      <c r="AD769" s="6">
        <v>1</v>
      </c>
      <c r="AE769" t="s">
        <v>943</v>
      </c>
      <c r="AF769" t="s">
        <v>922</v>
      </c>
      <c r="AG769" t="s">
        <v>756</v>
      </c>
      <c r="AH769" t="s">
        <v>756</v>
      </c>
      <c r="AI769" t="s">
        <v>367</v>
      </c>
      <c r="AJ769" t="str">
        <f t="shared" si="400"/>
        <v>d</v>
      </c>
      <c r="AK769" t="str">
        <f t="shared" si="400"/>
        <v>d</v>
      </c>
      <c r="AL769" t="str">
        <f t="shared" si="374"/>
        <v>d</v>
      </c>
      <c r="AN769" t="s">
        <v>861</v>
      </c>
      <c r="AO769" t="str">
        <f t="shared" si="375"/>
        <v>h</v>
      </c>
      <c r="AP769" t="str">
        <f t="shared" si="382"/>
        <v>d</v>
      </c>
      <c r="AQ769" t="str">
        <f t="shared" si="383"/>
        <v/>
      </c>
      <c r="AR769" t="str">
        <f t="shared" si="384"/>
        <v>Home</v>
      </c>
      <c r="AS769" t="str">
        <f t="shared" si="385"/>
        <v>h</v>
      </c>
      <c r="AT769" t="str">
        <f t="shared" si="386"/>
        <v/>
      </c>
      <c r="BA769" s="6">
        <f t="shared" si="376"/>
        <v>206</v>
      </c>
      <c r="BB769">
        <f t="shared" si="377"/>
        <v>18981</v>
      </c>
      <c r="BC769" t="str">
        <f t="shared" si="378"/>
        <v>Nelson</v>
      </c>
      <c r="BD769" t="str">
        <f t="shared" si="379"/>
        <v>Velodrome</v>
      </c>
      <c r="BE769" t="s">
        <v>11</v>
      </c>
      <c r="BF769" t="s">
        <v>187</v>
      </c>
      <c r="BG769" t="s">
        <v>108</v>
      </c>
      <c r="BI769" cm="1">
        <f t="array" ref="BI769">IFERROR(_xlfn._xlws.FILTER(shifts!A:A,(shifts!B:B=events!AD769)*(shifts!AG:AG&gt;=events!BK769)*(shifts!AH:AH&lt;=events!BL769)),BI768)</f>
        <v>37</v>
      </c>
      <c r="BJ769" s="15">
        <f t="shared" si="380"/>
        <v>0</v>
      </c>
      <c r="BK769">
        <f t="shared" si="387"/>
        <v>110</v>
      </c>
      <c r="BL769">
        <f t="shared" si="388"/>
        <v>110</v>
      </c>
      <c r="BM769" s="15">
        <f>SUMIFS(BJ$2:BJ769,K$2:K769,"=Intermission")+SUMIFS(BJ$2:BJ769,K$2:K769,"=Timeout")</f>
        <v>0</v>
      </c>
      <c r="BN769">
        <f t="shared" si="389"/>
        <v>0</v>
      </c>
      <c r="BO769" s="19">
        <f t="shared" si="390"/>
        <v>970</v>
      </c>
      <c r="BP769">
        <f t="shared" si="391"/>
        <v>965</v>
      </c>
      <c r="BQ769" s="17">
        <f t="shared" si="392"/>
        <v>970</v>
      </c>
      <c r="BR769" t="str">
        <f t="shared" si="393"/>
        <v>event_team_player_1</v>
      </c>
      <c r="BS769">
        <f>COUNTIFS(S$3:S769,"="&amp;S769,AI$3:AI769,"="&amp;AI769)</f>
        <v>1</v>
      </c>
      <c r="BT769" t="str">
        <f>IFERROR(VLOOKUP(BB769&amp;BU769&amp;X769,game_rosters!U:W,3,FALSE),"")</f>
        <v>P100138</v>
      </c>
      <c r="BU769" t="str">
        <f t="shared" si="394"/>
        <v>Nelson</v>
      </c>
    </row>
    <row r="770" spans="1:73" x14ac:dyDescent="0.2">
      <c r="A770">
        <f t="shared" si="381"/>
        <v>1</v>
      </c>
      <c r="E770" s="4"/>
      <c r="F770" s="43"/>
      <c r="G770" s="4"/>
      <c r="H770" s="46"/>
      <c r="J770" s="44" t="str">
        <f t="shared" si="395"/>
        <v>d</v>
      </c>
      <c r="K770" t="s">
        <v>241</v>
      </c>
      <c r="L770" t="s">
        <v>756</v>
      </c>
      <c r="M770" t="s">
        <v>756</v>
      </c>
      <c r="N770" t="str">
        <f t="shared" si="398"/>
        <v/>
      </c>
      <c r="Q770" t="str">
        <f t="shared" si="396"/>
        <v/>
      </c>
      <c r="S770">
        <v>409</v>
      </c>
      <c r="U770" t="str">
        <f>IF(B770=1,MAX($U$2:$U769)+1,IF(AND($T770&lt;&gt;"",$T770=$T769),$U769,IF(B770="x",U769,"")))</f>
        <v/>
      </c>
      <c r="V770" t="str">
        <f>IF(C770=1,MAX($V$2:$V769)+1,IF(AND($T770&lt;&gt;"",$T770=$T769),$U769,IF(C770="x",V769,"")))</f>
        <v/>
      </c>
      <c r="W770" t="str">
        <f t="shared" si="370"/>
        <v>h</v>
      </c>
      <c r="X770">
        <v>31</v>
      </c>
      <c r="Y770" t="b">
        <f>IF(X770&lt;&gt;"",VLOOKUP(X770,game_rosters!$C$43:$E$64,3,FALSE))</f>
        <v>0</v>
      </c>
      <c r="Z770" cm="1">
        <f t="array" ref="Z770">IFERROR(IF(_xlfn._xlws.FILTER(game_rosters!$J:$J,(game_rosters!$G:$G=events!$AN770)*(game_rosters!$J:$J=events!$X770))&gt;0,1,""),"")</f>
        <v>1</v>
      </c>
      <c r="AA770">
        <f t="shared" si="371"/>
        <v>1409</v>
      </c>
      <c r="AB770" t="str">
        <f t="shared" si="372"/>
        <v/>
      </c>
      <c r="AC770">
        <f t="shared" ref="AC770:AC833" si="401">IF(AB770&lt;&gt;"",AB770,S770+1000)</f>
        <v>1409</v>
      </c>
      <c r="AD770" s="6">
        <v>1</v>
      </c>
      <c r="AE770" t="s">
        <v>943</v>
      </c>
      <c r="AF770" t="s">
        <v>922</v>
      </c>
      <c r="AG770" t="s">
        <v>943</v>
      </c>
      <c r="AH770" t="s">
        <v>750</v>
      </c>
      <c r="AI770" t="s">
        <v>367</v>
      </c>
      <c r="AJ770" t="str">
        <f t="shared" si="400"/>
        <v>d</v>
      </c>
      <c r="AK770" t="str">
        <f t="shared" si="400"/>
        <v>d</v>
      </c>
      <c r="AL770" t="str">
        <f t="shared" si="374"/>
        <v>d</v>
      </c>
      <c r="AN770" t="s">
        <v>861</v>
      </c>
      <c r="AO770" t="str">
        <f t="shared" si="375"/>
        <v>h</v>
      </c>
      <c r="AP770" t="str">
        <f t="shared" si="382"/>
        <v>d</v>
      </c>
      <c r="AQ770" t="str">
        <f t="shared" si="383"/>
        <v/>
      </c>
      <c r="AR770" t="str">
        <f t="shared" si="384"/>
        <v>Home</v>
      </c>
      <c r="AS770" t="str">
        <f t="shared" si="385"/>
        <v>h</v>
      </c>
      <c r="AT770" t="str">
        <f t="shared" si="386"/>
        <v/>
      </c>
      <c r="BA770" s="6">
        <f t="shared" si="376"/>
        <v>206</v>
      </c>
      <c r="BB770">
        <f t="shared" si="377"/>
        <v>18981</v>
      </c>
      <c r="BC770" t="str">
        <f t="shared" si="378"/>
        <v>Nelson</v>
      </c>
      <c r="BD770" t="str">
        <f t="shared" si="379"/>
        <v>Velodrome</v>
      </c>
      <c r="BE770" t="s">
        <v>241</v>
      </c>
      <c r="BF770" t="s">
        <v>756</v>
      </c>
      <c r="BG770" t="s">
        <v>756</v>
      </c>
      <c r="BI770" cm="1">
        <f t="array" ref="BI770">IFERROR(_xlfn._xlws.FILTER(shifts!A:A,(shifts!B:B=events!AD770)*(shifts!AG:AG&gt;=events!BK770)*(shifts!AH:AH&lt;=events!BL770)),BI769)</f>
        <v>37</v>
      </c>
      <c r="BJ770" s="15">
        <f t="shared" si="380"/>
        <v>15</v>
      </c>
      <c r="BK770">
        <f t="shared" si="387"/>
        <v>110</v>
      </c>
      <c r="BL770">
        <f t="shared" si="388"/>
        <v>95</v>
      </c>
      <c r="BM770" s="15">
        <f>SUMIFS(BJ$2:BJ770,K$2:K770,"=Intermission")+SUMIFS(BJ$2:BJ770,K$2:K770,"=Timeout")</f>
        <v>0</v>
      </c>
      <c r="BN770">
        <f t="shared" si="389"/>
        <v>0</v>
      </c>
      <c r="BO770" s="19">
        <f t="shared" si="390"/>
        <v>970</v>
      </c>
      <c r="BP770">
        <f t="shared" si="391"/>
        <v>965</v>
      </c>
      <c r="BQ770" s="17">
        <f t="shared" si="392"/>
        <v>985</v>
      </c>
      <c r="BR770" t="str">
        <f t="shared" si="393"/>
        <v>event_team_player_1</v>
      </c>
      <c r="BS770">
        <f>COUNTIFS(S$3:S770,"="&amp;S770,AI$3:AI770,"="&amp;AI770)</f>
        <v>1</v>
      </c>
      <c r="BT770" t="str">
        <f>IFERROR(VLOOKUP(BB770&amp;BU770&amp;X770,game_rosters!U:W,3,FALSE),"")</f>
        <v>P100138</v>
      </c>
      <c r="BU770" t="str">
        <f t="shared" si="394"/>
        <v>Nelson</v>
      </c>
    </row>
    <row r="771" spans="1:73" x14ac:dyDescent="0.2">
      <c r="A771">
        <f t="shared" si="381"/>
        <v>1</v>
      </c>
      <c r="E771" s="4"/>
      <c r="F771" s="43"/>
      <c r="G771" s="4"/>
      <c r="H771" s="46"/>
      <c r="J771" s="44" t="str">
        <f t="shared" si="395"/>
        <v/>
      </c>
      <c r="K771" t="s">
        <v>5</v>
      </c>
      <c r="L771" t="s">
        <v>236</v>
      </c>
      <c r="M771" t="s">
        <v>756</v>
      </c>
      <c r="N771" t="str">
        <f t="shared" si="398"/>
        <v/>
      </c>
      <c r="Q771" t="str">
        <f t="shared" si="396"/>
        <v/>
      </c>
      <c r="S771">
        <v>410</v>
      </c>
      <c r="U771" t="str">
        <f>IF(B771=1,MAX($U$2:$U770)+1,IF(AND($T771&lt;&gt;"",$T771=$T770),$U770,IF(B771="x",U770,"")))</f>
        <v/>
      </c>
      <c r="V771" t="str">
        <f>IF(C771=1,MAX($V$2:$V770)+1,IF(AND($T771&lt;&gt;"",$T771=$T770),$U770,IF(C771="x",V770,"")))</f>
        <v/>
      </c>
      <c r="W771" t="str">
        <f t="shared" si="370"/>
        <v>h</v>
      </c>
      <c r="X771">
        <v>10</v>
      </c>
      <c r="Y771" t="b">
        <f>IF(X771&lt;&gt;"",VLOOKUP(X771,game_rosters!$C$43:$E$64,3,FALSE))</f>
        <v>0</v>
      </c>
      <c r="Z771" cm="1">
        <f t="array" ref="Z771">IFERROR(IF(_xlfn._xlws.FILTER(game_rosters!$J:$J,(game_rosters!$G:$G=events!$AN771)*(game_rosters!$J:$J=events!$X771))&gt;0,1,""),"")</f>
        <v>1</v>
      </c>
      <c r="AA771">
        <f t="shared" si="371"/>
        <v>1410</v>
      </c>
      <c r="AB771" t="str">
        <f t="shared" si="372"/>
        <v/>
      </c>
      <c r="AC771">
        <f t="shared" si="401"/>
        <v>1410</v>
      </c>
      <c r="AD771" s="6">
        <v>1</v>
      </c>
      <c r="AE771" t="s">
        <v>943</v>
      </c>
      <c r="AF771" t="s">
        <v>750</v>
      </c>
      <c r="AG771" t="s">
        <v>756</v>
      </c>
      <c r="AH771" t="s">
        <v>756</v>
      </c>
      <c r="AI771" t="s">
        <v>367</v>
      </c>
      <c r="AJ771" t="str">
        <f t="shared" si="400"/>
        <v/>
      </c>
      <c r="AK771" t="str">
        <f t="shared" si="400"/>
        <v/>
      </c>
      <c r="AL771" t="str">
        <f t="shared" si="374"/>
        <v/>
      </c>
      <c r="AN771" t="s">
        <v>861</v>
      </c>
      <c r="AO771" t="str">
        <f t="shared" si="375"/>
        <v>h</v>
      </c>
      <c r="AP771" t="str">
        <f t="shared" si="382"/>
        <v/>
      </c>
      <c r="AQ771" t="str">
        <f t="shared" si="383"/>
        <v/>
      </c>
      <c r="AR771" t="str">
        <f t="shared" si="384"/>
        <v>Home</v>
      </c>
      <c r="AS771" t="str">
        <f t="shared" si="385"/>
        <v>h</v>
      </c>
      <c r="AT771" t="str">
        <f t="shared" si="386"/>
        <v>Offensive</v>
      </c>
      <c r="BA771" s="6">
        <f t="shared" si="376"/>
        <v>206</v>
      </c>
      <c r="BB771">
        <f t="shared" si="377"/>
        <v>18981</v>
      </c>
      <c r="BC771" t="str">
        <f t="shared" si="378"/>
        <v>Nelson</v>
      </c>
      <c r="BD771" t="str">
        <f t="shared" si="379"/>
        <v>Velodrome</v>
      </c>
      <c r="BE771" t="s">
        <v>5</v>
      </c>
      <c r="BF771" t="s">
        <v>236</v>
      </c>
      <c r="BG771" t="s">
        <v>756</v>
      </c>
      <c r="BI771" cm="1">
        <f t="array" ref="BI771">IFERROR(_xlfn._xlws.FILTER(shifts!A:A,(shifts!B:B=events!AD771)*(shifts!AG:AG&gt;=events!BK771)*(shifts!AH:AH&lt;=events!BL771)),BI770)</f>
        <v>38</v>
      </c>
      <c r="BJ771" s="15">
        <f t="shared" si="380"/>
        <v>0</v>
      </c>
      <c r="BK771">
        <f t="shared" si="387"/>
        <v>95</v>
      </c>
      <c r="BL771">
        <f t="shared" si="388"/>
        <v>95</v>
      </c>
      <c r="BM771" s="15">
        <f>SUMIFS(BJ$2:BJ771,K$2:K771,"=Intermission")+SUMIFS(BJ$2:BJ771,K$2:K771,"=Timeout")</f>
        <v>0</v>
      </c>
      <c r="BN771">
        <f t="shared" si="389"/>
        <v>0</v>
      </c>
      <c r="BO771" s="19">
        <f t="shared" si="390"/>
        <v>985</v>
      </c>
      <c r="BP771">
        <f t="shared" si="391"/>
        <v>980</v>
      </c>
      <c r="BQ771" s="17">
        <f t="shared" si="392"/>
        <v>985</v>
      </c>
      <c r="BR771" t="str">
        <f t="shared" si="393"/>
        <v>event_team_player_1</v>
      </c>
      <c r="BS771">
        <f>COUNTIFS(S$3:S771,"="&amp;S771,AI$3:AI771,"="&amp;AI771)</f>
        <v>1</v>
      </c>
      <c r="BT771" t="str">
        <f>IFERROR(VLOOKUP(BB771&amp;BU771&amp;X771,game_rosters!U:W,3,FALSE),"")</f>
        <v>P100078</v>
      </c>
      <c r="BU771" t="str">
        <f t="shared" si="394"/>
        <v>Nelson</v>
      </c>
    </row>
    <row r="772" spans="1:73" x14ac:dyDescent="0.2">
      <c r="A772">
        <f t="shared" si="381"/>
        <v>1</v>
      </c>
      <c r="E772" s="4"/>
      <c r="F772" s="43"/>
      <c r="G772" s="4"/>
      <c r="H772" s="46"/>
      <c r="J772" s="44" t="str">
        <f t="shared" si="395"/>
        <v/>
      </c>
      <c r="K772" t="s">
        <v>5</v>
      </c>
      <c r="L772" t="s">
        <v>236</v>
      </c>
      <c r="M772" t="s">
        <v>756</v>
      </c>
      <c r="N772" t="str">
        <f t="shared" si="398"/>
        <v/>
      </c>
      <c r="Q772" t="str">
        <f t="shared" si="396"/>
        <v/>
      </c>
      <c r="S772">
        <v>410</v>
      </c>
      <c r="U772" t="str">
        <f>IF(B772=1,MAX($U$2:$U771)+1,IF(AND($T772&lt;&gt;"",$T772=$T771),$U771,IF(B772="x",U771,"")))</f>
        <v/>
      </c>
      <c r="V772" t="str">
        <f>IF(C772=1,MAX($V$2:$V771)+1,IF(AND($T772&lt;&gt;"",$T772=$T771),$U771,IF(C772="x",V771,"")))</f>
        <v/>
      </c>
      <c r="W772" t="str">
        <f t="shared" ref="W772:W835" si="402">IF(AN772="Away","a",IF(AN772="Home","h",""))</f>
        <v>h</v>
      </c>
      <c r="X772">
        <v>42</v>
      </c>
      <c r="Y772" t="e">
        <f>IF(X772&lt;&gt;"",VLOOKUP(X772,game_rosters!$C$43:$E$64,3,FALSE))</f>
        <v>#N/A</v>
      </c>
      <c r="Z772" t="str" cm="1">
        <f t="array" ref="Z772">IFERROR(IF(_xlfn._xlws.FILTER(game_rosters!$J:$J,(game_rosters!$G:$G=events!$AN772)*(game_rosters!$J:$J=events!$X772))&gt;0,1,""),"")</f>
        <v/>
      </c>
      <c r="AA772">
        <f t="shared" ref="AA772:AA835" si="403">S772+1000</f>
        <v>1410</v>
      </c>
      <c r="AB772" t="str">
        <f t="shared" ref="AB772:AB835" si="404">IF(T772&lt;&gt;"",9000+T772,"")</f>
        <v/>
      </c>
      <c r="AC772">
        <f t="shared" si="401"/>
        <v>1410</v>
      </c>
      <c r="AD772" s="6">
        <v>1</v>
      </c>
      <c r="AE772" t="s">
        <v>943</v>
      </c>
      <c r="AF772" t="s">
        <v>750</v>
      </c>
      <c r="AG772" t="s">
        <v>756</v>
      </c>
      <c r="AH772" t="s">
        <v>756</v>
      </c>
      <c r="AI772" t="s">
        <v>368</v>
      </c>
      <c r="AJ772" t="str">
        <f t="shared" ref="AJ772:AK787" si="405">IF($J772&lt;&gt;"",$J772,IF($AC772=$AC771,AJ771,""))</f>
        <v/>
      </c>
      <c r="AK772" t="str">
        <f t="shared" si="405"/>
        <v/>
      </c>
      <c r="AL772" t="str">
        <f t="shared" ref="AL772:AL835" si="406">IF($W772="","",IF($AJ772="","",IF($W772="h",$AJ772,IF($AJ772="n","n",IF(AND($W772="a",$AJ772="d"),"o",IF(AND($W772="a",$AJ772="o"),"d"))))))</f>
        <v/>
      </c>
      <c r="AN772" t="s">
        <v>861</v>
      </c>
      <c r="AO772" t="str">
        <f t="shared" ref="AO772:AO835" si="407">IF($W772&lt;&gt;"",$W772,IF($AC772=$AC771,AO771,""))</f>
        <v>h</v>
      </c>
      <c r="AP772" t="str">
        <f t="shared" si="382"/>
        <v/>
      </c>
      <c r="AQ772" t="str">
        <f t="shared" si="383"/>
        <v/>
      </c>
      <c r="AR772" t="str">
        <f t="shared" si="384"/>
        <v>Home</v>
      </c>
      <c r="AS772" t="str">
        <f t="shared" si="385"/>
        <v>h</v>
      </c>
      <c r="AT772" t="str">
        <f t="shared" si="386"/>
        <v>Defensive</v>
      </c>
      <c r="BA772" s="6">
        <f t="shared" ref="BA772:BA835" si="408">IF(OR(L772="Zone_Entry",L772="Zone_Exit"),BA771+1,BA771)</f>
        <v>206</v>
      </c>
      <c r="BB772">
        <f t="shared" ref="BB772:BB835" si="409">BB771</f>
        <v>18981</v>
      </c>
      <c r="BC772" t="str">
        <f t="shared" ref="BC772:BC835" si="410">BC771</f>
        <v>Nelson</v>
      </c>
      <c r="BD772" t="str">
        <f t="shared" ref="BD772:BD835" si="411">BD771</f>
        <v>Velodrome</v>
      </c>
      <c r="BE772" t="s">
        <v>5</v>
      </c>
      <c r="BF772" t="s">
        <v>236</v>
      </c>
      <c r="BG772" t="s">
        <v>756</v>
      </c>
      <c r="BI772" cm="1">
        <f t="array" ref="BI772">IFERROR(_xlfn._xlws.FILTER(shifts!A:A,(shifts!B:B=events!AD772)*(shifts!AG:AG&gt;=events!BK772)*(shifts!AH:AH&lt;=events!BL772)),BI771)</f>
        <v>38</v>
      </c>
      <c r="BJ772" s="15">
        <f t="shared" ref="BJ772:BJ835" si="412">IF(AND(AG772="",AH772=""),0,((AE772*60)+AF772)-((AG772*60)+AH772))</f>
        <v>0</v>
      </c>
      <c r="BK772">
        <f t="shared" si="387"/>
        <v>95</v>
      </c>
      <c r="BL772">
        <f t="shared" si="388"/>
        <v>95</v>
      </c>
      <c r="BM772" s="15">
        <f>SUMIFS(BJ$2:BJ772,K$2:K772,"=Intermission")+SUMIFS(BJ$2:BJ772,K$2:K772,"=Timeout")</f>
        <v>0</v>
      </c>
      <c r="BN772">
        <f t="shared" si="389"/>
        <v>0</v>
      </c>
      <c r="BO772" s="19">
        <f t="shared" si="390"/>
        <v>985</v>
      </c>
      <c r="BP772">
        <f t="shared" si="391"/>
        <v>980</v>
      </c>
      <c r="BQ772" s="17">
        <f t="shared" si="392"/>
        <v>985</v>
      </c>
      <c r="BR772" t="str">
        <f t="shared" si="393"/>
        <v>opp_team_player_1</v>
      </c>
      <c r="BS772">
        <f>COUNTIFS(S$3:S772,"="&amp;S772,AI$3:AI772,"="&amp;AI772)</f>
        <v>1</v>
      </c>
      <c r="BT772" t="str">
        <f>IFERROR(VLOOKUP(BB772&amp;BU772&amp;X772,game_rosters!U:W,3,FALSE),"")</f>
        <v>P100201</v>
      </c>
      <c r="BU772" t="str">
        <f t="shared" si="394"/>
        <v>Velodrome</v>
      </c>
    </row>
    <row r="773" spans="1:73" x14ac:dyDescent="0.2">
      <c r="A773">
        <f t="shared" ref="A773:A836" si="413">IF(K773&lt;&gt;"",1,IF(D773="x","x",""))</f>
        <v>1</v>
      </c>
      <c r="E773" s="4"/>
      <c r="F773" s="43"/>
      <c r="G773" s="4"/>
      <c r="H773" s="46"/>
      <c r="J773" s="44" t="str">
        <f t="shared" si="395"/>
        <v/>
      </c>
      <c r="K773" t="s">
        <v>13</v>
      </c>
      <c r="L773" t="s">
        <v>756</v>
      </c>
      <c r="M773" t="s">
        <v>756</v>
      </c>
      <c r="N773" t="str">
        <f t="shared" si="398"/>
        <v/>
      </c>
      <c r="Q773" t="str">
        <f t="shared" si="396"/>
        <v/>
      </c>
      <c r="S773">
        <v>411</v>
      </c>
      <c r="U773" t="str">
        <f>IF(B773=1,MAX($U$2:$U772)+1,IF(AND($T773&lt;&gt;"",$T773=$T772),$U772,IF(B773="x",U772,"")))</f>
        <v/>
      </c>
      <c r="V773" t="str">
        <f>IF(C773=1,MAX($V$2:$V772)+1,IF(AND($T773&lt;&gt;"",$T773=$T772),$U772,IF(C773="x",V772,"")))</f>
        <v/>
      </c>
      <c r="W773" t="str">
        <f t="shared" si="402"/>
        <v>h</v>
      </c>
      <c r="X773">
        <v>37</v>
      </c>
      <c r="Y773" t="b">
        <f>IF(X773&lt;&gt;"",VLOOKUP(X773,game_rosters!$C$43:$E$64,3,FALSE))</f>
        <v>0</v>
      </c>
      <c r="Z773" cm="1">
        <f t="array" ref="Z773">IFERROR(IF(_xlfn._xlws.FILTER(game_rosters!$J:$J,(game_rosters!$G:$G=events!$AN773)*(game_rosters!$J:$J=events!$X773))&gt;0,1,""),"")</f>
        <v>1</v>
      </c>
      <c r="AA773">
        <f t="shared" si="403"/>
        <v>1411</v>
      </c>
      <c r="AB773" t="str">
        <f t="shared" si="404"/>
        <v/>
      </c>
      <c r="AC773">
        <f t="shared" si="401"/>
        <v>1411</v>
      </c>
      <c r="AD773" s="6">
        <v>1</v>
      </c>
      <c r="AE773" t="s">
        <v>943</v>
      </c>
      <c r="AF773" t="s">
        <v>738</v>
      </c>
      <c r="AG773" t="s">
        <v>943</v>
      </c>
      <c r="AH773" t="s">
        <v>916</v>
      </c>
      <c r="AI773" t="s">
        <v>367</v>
      </c>
      <c r="AJ773" t="str">
        <f t="shared" si="405"/>
        <v/>
      </c>
      <c r="AK773" t="str">
        <f t="shared" si="405"/>
        <v/>
      </c>
      <c r="AL773" t="str">
        <f t="shared" si="406"/>
        <v/>
      </c>
      <c r="AN773" t="s">
        <v>861</v>
      </c>
      <c r="AO773" t="str">
        <f t="shared" si="407"/>
        <v>h</v>
      </c>
      <c r="AP773" t="str">
        <f t="shared" ref="AP773:AP836" si="414">IF(AL773&lt;&gt;"",AL773,IF($AC773=$AC772,AP772,""))</f>
        <v/>
      </c>
      <c r="AQ773" t="str">
        <f t="shared" ref="AQ773:AQ836" si="415">IF(AM773&lt;&gt;"",AM773,IF($AC773=$AC772,AQ772,""))</f>
        <v/>
      </c>
      <c r="AR773" t="str">
        <f t="shared" ref="AR773:AR836" si="416">IF(AN773&lt;&gt;"",AN773,IF($AC773=$AC772,AR772,""))</f>
        <v>Home</v>
      </c>
      <c r="AS773" t="str">
        <f t="shared" ref="AS773:AS836" si="417">IF(AO773&lt;&gt;"",AO773,IF($AC773=$AC772,AS772,""))</f>
        <v>h</v>
      </c>
      <c r="AT773" t="str">
        <f t="shared" ref="AT773:AT836" si="418">IF(AND(AI773="e",OR(BE773="Save",BF773="Turnover_Takeaway",BF773="Play_Defensive")),"Defensive",IF(AND(AI773="o",OR(BE773="Save",BF773="Turnover_Takeaway",BF773="Play_Defensive")),"Offensive",IF(OR(BE773="Deadice",BE773="Stoppage",BE773="Intermission"),"",IF(AI773="e","Offensive",IF(AI773="o","Defensive","")))))</f>
        <v>Offensive</v>
      </c>
      <c r="BA773" s="6">
        <f t="shared" si="408"/>
        <v>206</v>
      </c>
      <c r="BB773">
        <f t="shared" si="409"/>
        <v>18981</v>
      </c>
      <c r="BC773" t="str">
        <f t="shared" si="410"/>
        <v>Nelson</v>
      </c>
      <c r="BD773" t="str">
        <f t="shared" si="411"/>
        <v>Velodrome</v>
      </c>
      <c r="BE773" t="s">
        <v>13</v>
      </c>
      <c r="BF773" t="s">
        <v>756</v>
      </c>
      <c r="BG773" t="s">
        <v>756</v>
      </c>
      <c r="BI773" cm="1">
        <f t="array" ref="BI773">IFERROR(_xlfn._xlws.FILTER(shifts!A:A,(shifts!B:B=events!AD773)*(shifts!AG:AG&gt;=events!BK773)*(shifts!AH:AH&lt;=events!BL773)),BI772)</f>
        <v>38</v>
      </c>
      <c r="BJ773" s="15">
        <f t="shared" si="412"/>
        <v>4</v>
      </c>
      <c r="BK773">
        <f t="shared" ref="BK773:BK836" si="419">(AE773*60)+AF773</f>
        <v>91</v>
      </c>
      <c r="BL773">
        <f t="shared" ref="BL773:BL836" si="420">IF(AND(AG773="",AH773=""),BK773,((AG773*60)+AH773))</f>
        <v>87</v>
      </c>
      <c r="BM773" s="15">
        <f>SUMIFS(BJ$2:BJ773,K$2:K773,"=Intermission")+SUMIFS(BJ$2:BJ773,K$2:K773,"=Timeout")</f>
        <v>0</v>
      </c>
      <c r="BN773">
        <f t="shared" ref="BN773:BN836" si="421">IF(AD773=1,0,IF(AD773=2,1080+BM773,IF(AD773=3,(1080*2)+BM773,0)))</f>
        <v>0</v>
      </c>
      <c r="BO773" s="19">
        <f t="shared" ref="BO773:BO836" si="422">IF(K773="Intermission",BO772,((1080)-((AE773*60)+AF773))+BN773)</f>
        <v>989</v>
      </c>
      <c r="BP773">
        <f t="shared" ref="BP773:BP836" si="423">IF(BO773&lt;5,0,BO773-5)</f>
        <v>984</v>
      </c>
      <c r="BQ773" s="17">
        <f t="shared" ref="BQ773:BQ836" si="424">BP773+BJ773+5</f>
        <v>993</v>
      </c>
      <c r="BR773" t="str">
        <f t="shared" ref="BR773:BR836" si="425">IF(AI773="e","event_team_player_"&amp;BS773,IF(AI773="o","opp_team_player_"&amp;BS773,""))</f>
        <v>event_team_player_1</v>
      </c>
      <c r="BS773">
        <f>COUNTIFS(S$3:S773,"="&amp;S773,AI$3:AI773,"="&amp;AI773)</f>
        <v>1</v>
      </c>
      <c r="BT773" t="str">
        <f>IFERROR(VLOOKUP(BB773&amp;BU773&amp;X773,game_rosters!U:W,3,FALSE),"")</f>
        <v>P100119</v>
      </c>
      <c r="BU773" t="str">
        <f t="shared" ref="BU773:BU836" si="426">IF(AR773="","",IF(AND(AR773="Away",AI773="e"),BD773,IF(AND(AR773="Home",AI773="e"),BC773,IF(AND(AR773="Away",AI773="o"),BC773,IF(AND(AR773="Home",AI773="o"),BD773)))))</f>
        <v>Nelson</v>
      </c>
    </row>
    <row r="774" spans="1:73" x14ac:dyDescent="0.2">
      <c r="A774">
        <f t="shared" si="413"/>
        <v>1</v>
      </c>
      <c r="E774" s="4"/>
      <c r="F774" s="43"/>
      <c r="G774" s="4"/>
      <c r="H774" s="46"/>
      <c r="J774" s="44" t="str">
        <f t="shared" ref="J774:J837" si="427">IF(OR(K774="Goal",K774="Shot",L774="Zone_Entry",M774="Stoppage-Goal",M773="Stoppage-Goal"),"o",IF(OR(K774="Save",K774="Rebound",L774="Zone_Exit",M774="Stoppage-GoalieStoppage",M773="Stoppage-GoalieStoppage"),"d",IF(OR(L774="Faceoff_AfterGoal",L774="Faceoff_PeriodStart",698="Faceoff_GameStart",M773="Stoppage-Goal"),"n","")))</f>
        <v/>
      </c>
      <c r="K774" t="s">
        <v>13</v>
      </c>
      <c r="L774" t="s">
        <v>756</v>
      </c>
      <c r="M774" t="s">
        <v>756</v>
      </c>
      <c r="N774" t="str">
        <f t="shared" si="398"/>
        <v/>
      </c>
      <c r="Q774" t="str">
        <f t="shared" si="396"/>
        <v/>
      </c>
      <c r="S774">
        <v>411</v>
      </c>
      <c r="U774" t="str">
        <f>IF(B774=1,MAX($U$2:$U773)+1,IF(AND($T774&lt;&gt;"",$T774=$T773),$U773,IF(B774="x",U773,"")))</f>
        <v/>
      </c>
      <c r="V774" t="str">
        <f>IF(C774=1,MAX($V$2:$V773)+1,IF(AND($T774&lt;&gt;"",$T774=$T773),$U773,IF(C774="x",V773,"")))</f>
        <v/>
      </c>
      <c r="W774" t="str">
        <f t="shared" si="402"/>
        <v>h</v>
      </c>
      <c r="X774">
        <v>24</v>
      </c>
      <c r="Y774" t="e">
        <f>IF(X774&lt;&gt;"",VLOOKUP(X774,game_rosters!$C$43:$E$64,3,FALSE))</f>
        <v>#N/A</v>
      </c>
      <c r="Z774" t="str" cm="1">
        <f t="array" ref="Z774">IFERROR(IF(_xlfn._xlws.FILTER(game_rosters!$J:$J,(game_rosters!$G:$G=events!$AN774)*(game_rosters!$J:$J=events!$X774))&gt;0,1,""),"")</f>
        <v/>
      </c>
      <c r="AA774">
        <f t="shared" si="403"/>
        <v>1411</v>
      </c>
      <c r="AB774" t="str">
        <f t="shared" si="404"/>
        <v/>
      </c>
      <c r="AC774">
        <f t="shared" si="401"/>
        <v>1411</v>
      </c>
      <c r="AD774" s="6">
        <v>1</v>
      </c>
      <c r="AE774" t="s">
        <v>943</v>
      </c>
      <c r="AF774" t="s">
        <v>738</v>
      </c>
      <c r="AG774" t="s">
        <v>943</v>
      </c>
      <c r="AH774" t="s">
        <v>916</v>
      </c>
      <c r="AI774" t="s">
        <v>368</v>
      </c>
      <c r="AJ774" t="str">
        <f t="shared" si="405"/>
        <v/>
      </c>
      <c r="AK774" t="str">
        <f t="shared" si="405"/>
        <v/>
      </c>
      <c r="AL774" t="str">
        <f t="shared" si="406"/>
        <v/>
      </c>
      <c r="AN774" t="s">
        <v>861</v>
      </c>
      <c r="AO774" t="str">
        <f t="shared" si="407"/>
        <v>h</v>
      </c>
      <c r="AP774" t="str">
        <f t="shared" si="414"/>
        <v/>
      </c>
      <c r="AQ774" t="str">
        <f t="shared" si="415"/>
        <v/>
      </c>
      <c r="AR774" t="str">
        <f t="shared" si="416"/>
        <v>Home</v>
      </c>
      <c r="AS774" t="str">
        <f t="shared" si="417"/>
        <v>h</v>
      </c>
      <c r="AT774" t="str">
        <f t="shared" si="418"/>
        <v>Defensive</v>
      </c>
      <c r="BA774" s="6">
        <f t="shared" si="408"/>
        <v>206</v>
      </c>
      <c r="BB774">
        <f t="shared" si="409"/>
        <v>18981</v>
      </c>
      <c r="BC774" t="str">
        <f t="shared" si="410"/>
        <v>Nelson</v>
      </c>
      <c r="BD774" t="str">
        <f t="shared" si="411"/>
        <v>Velodrome</v>
      </c>
      <c r="BE774" t="s">
        <v>13</v>
      </c>
      <c r="BF774" t="s">
        <v>756</v>
      </c>
      <c r="BG774" t="s">
        <v>756</v>
      </c>
      <c r="BI774" cm="1">
        <f t="array" ref="BI774">IFERROR(_xlfn._xlws.FILTER(shifts!A:A,(shifts!B:B=events!AD774)*(shifts!AG:AG&gt;=events!BK774)*(shifts!AH:AH&lt;=events!BL774)),BI773)</f>
        <v>38</v>
      </c>
      <c r="BJ774" s="15">
        <f t="shared" si="412"/>
        <v>4</v>
      </c>
      <c r="BK774">
        <f t="shared" si="419"/>
        <v>91</v>
      </c>
      <c r="BL774">
        <f t="shared" si="420"/>
        <v>87</v>
      </c>
      <c r="BM774" s="15">
        <f>SUMIFS(BJ$2:BJ774,K$2:K774,"=Intermission")+SUMIFS(BJ$2:BJ774,K$2:K774,"=Timeout")</f>
        <v>0</v>
      </c>
      <c r="BN774">
        <f t="shared" si="421"/>
        <v>0</v>
      </c>
      <c r="BO774" s="19">
        <f t="shared" si="422"/>
        <v>989</v>
      </c>
      <c r="BP774">
        <f t="shared" si="423"/>
        <v>984</v>
      </c>
      <c r="BQ774" s="17">
        <f t="shared" si="424"/>
        <v>993</v>
      </c>
      <c r="BR774" t="str">
        <f t="shared" si="425"/>
        <v>opp_team_player_1</v>
      </c>
      <c r="BS774">
        <f>COUNTIFS(S$3:S774,"="&amp;S774,AI$3:AI774,"="&amp;AI774)</f>
        <v>1</v>
      </c>
      <c r="BT774" t="str">
        <f>IFERROR(VLOOKUP(BB774&amp;BU774&amp;X774,game_rosters!U:W,3,FALSE),"")</f>
        <v>P100230</v>
      </c>
      <c r="BU774" t="str">
        <f t="shared" si="426"/>
        <v>Velodrome</v>
      </c>
    </row>
    <row r="775" spans="1:73" x14ac:dyDescent="0.2">
      <c r="A775">
        <f t="shared" si="413"/>
        <v>1</v>
      </c>
      <c r="E775" s="4"/>
      <c r="F775" s="43"/>
      <c r="G775" s="4"/>
      <c r="H775" s="46"/>
      <c r="J775" s="44" t="str">
        <f t="shared" si="427"/>
        <v/>
      </c>
      <c r="K775" t="s">
        <v>7</v>
      </c>
      <c r="L775" t="s">
        <v>172</v>
      </c>
      <c r="M775" t="s">
        <v>66</v>
      </c>
      <c r="N775" t="str">
        <f t="shared" si="398"/>
        <v>s</v>
      </c>
      <c r="Q775" t="str">
        <f t="shared" si="396"/>
        <v/>
      </c>
      <c r="S775">
        <v>412</v>
      </c>
      <c r="U775" t="str">
        <f>IF(B775=1,MAX($U$2:$U774)+1,IF(AND($T775&lt;&gt;"",$T775=$T774),$U774,IF(B775="x",U774,"")))</f>
        <v/>
      </c>
      <c r="V775" t="str">
        <f>IF(C775=1,MAX($V$2:$V774)+1,IF(AND($T775&lt;&gt;"",$T775=$T774),$U774,IF(C775="x",V774,"")))</f>
        <v/>
      </c>
      <c r="W775" t="str">
        <f t="shared" si="402"/>
        <v>h</v>
      </c>
      <c r="X775">
        <v>37</v>
      </c>
      <c r="Y775" t="b">
        <f>IF(X775&lt;&gt;"",VLOOKUP(X775,game_rosters!$C$43:$E$64,3,FALSE))</f>
        <v>0</v>
      </c>
      <c r="Z775" cm="1">
        <f t="array" ref="Z775">IFERROR(IF(_xlfn._xlws.FILTER(game_rosters!$J:$J,(game_rosters!$G:$G=events!$AN775)*(game_rosters!$J:$J=events!$X775))&gt;0,1,""),"")</f>
        <v>1</v>
      </c>
      <c r="AA775">
        <f t="shared" si="403"/>
        <v>1412</v>
      </c>
      <c r="AB775" t="str">
        <f t="shared" si="404"/>
        <v/>
      </c>
      <c r="AC775">
        <f t="shared" si="401"/>
        <v>1412</v>
      </c>
      <c r="AD775" s="6">
        <v>1</v>
      </c>
      <c r="AE775" t="s">
        <v>943</v>
      </c>
      <c r="AF775" t="s">
        <v>916</v>
      </c>
      <c r="AG775" t="s">
        <v>756</v>
      </c>
      <c r="AH775" t="s">
        <v>756</v>
      </c>
      <c r="AI775" t="s">
        <v>367</v>
      </c>
      <c r="AJ775" t="str">
        <f t="shared" si="405"/>
        <v/>
      </c>
      <c r="AK775" t="str">
        <f t="shared" si="405"/>
        <v/>
      </c>
      <c r="AL775" t="str">
        <f t="shared" si="406"/>
        <v/>
      </c>
      <c r="AN775" t="s">
        <v>861</v>
      </c>
      <c r="AO775" t="str">
        <f t="shared" si="407"/>
        <v>h</v>
      </c>
      <c r="AP775" t="str">
        <f t="shared" si="414"/>
        <v/>
      </c>
      <c r="AQ775" t="str">
        <f t="shared" si="415"/>
        <v/>
      </c>
      <c r="AR775" t="str">
        <f t="shared" si="416"/>
        <v>Home</v>
      </c>
      <c r="AS775" t="str">
        <f t="shared" si="417"/>
        <v>h</v>
      </c>
      <c r="AT775" t="str">
        <f t="shared" si="418"/>
        <v>Offensive</v>
      </c>
      <c r="BA775" s="6">
        <f t="shared" si="408"/>
        <v>206</v>
      </c>
      <c r="BB775">
        <f t="shared" si="409"/>
        <v>18981</v>
      </c>
      <c r="BC775" t="str">
        <f t="shared" si="410"/>
        <v>Nelson</v>
      </c>
      <c r="BD775" t="str">
        <f t="shared" si="411"/>
        <v>Velodrome</v>
      </c>
      <c r="BE775" t="s">
        <v>7</v>
      </c>
      <c r="BF775" t="s">
        <v>172</v>
      </c>
      <c r="BG775" t="s">
        <v>66</v>
      </c>
      <c r="BI775" cm="1">
        <f t="array" ref="BI775">IFERROR(_xlfn._xlws.FILTER(shifts!A:A,(shifts!B:B=events!AD775)*(shifts!AG:AG&gt;=events!BK775)*(shifts!AH:AH&lt;=events!BL775)),BI774)</f>
        <v>38</v>
      </c>
      <c r="BJ775" s="15">
        <f t="shared" si="412"/>
        <v>0</v>
      </c>
      <c r="BK775">
        <f t="shared" si="419"/>
        <v>87</v>
      </c>
      <c r="BL775">
        <f t="shared" si="420"/>
        <v>87</v>
      </c>
      <c r="BM775" s="15">
        <f>SUMIFS(BJ$2:BJ775,K$2:K775,"=Intermission")+SUMIFS(BJ$2:BJ775,K$2:K775,"=Timeout")</f>
        <v>0</v>
      </c>
      <c r="BN775">
        <f t="shared" si="421"/>
        <v>0</v>
      </c>
      <c r="BO775" s="19">
        <f t="shared" si="422"/>
        <v>993</v>
      </c>
      <c r="BP775">
        <f t="shared" si="423"/>
        <v>988</v>
      </c>
      <c r="BQ775" s="17">
        <f t="shared" si="424"/>
        <v>993</v>
      </c>
      <c r="BR775" t="str">
        <f t="shared" si="425"/>
        <v>event_team_player_1</v>
      </c>
      <c r="BS775">
        <f>COUNTIFS(S$3:S775,"="&amp;S775,AI$3:AI775,"="&amp;AI775)</f>
        <v>1</v>
      </c>
      <c r="BT775" t="str">
        <f>IFERROR(VLOOKUP(BB775&amp;BU775&amp;X775,game_rosters!U:W,3,FALSE),"")</f>
        <v>P100119</v>
      </c>
      <c r="BU775" t="str">
        <f t="shared" si="426"/>
        <v>Nelson</v>
      </c>
    </row>
    <row r="776" spans="1:73" x14ac:dyDescent="0.2">
      <c r="A776">
        <f t="shared" si="413"/>
        <v>1</v>
      </c>
      <c r="E776" s="4"/>
      <c r="F776" s="43"/>
      <c r="G776" s="4"/>
      <c r="H776" s="46"/>
      <c r="J776" s="44" t="str">
        <f t="shared" si="427"/>
        <v/>
      </c>
      <c r="K776" t="s">
        <v>7</v>
      </c>
      <c r="L776" t="s">
        <v>172</v>
      </c>
      <c r="M776" t="s">
        <v>66</v>
      </c>
      <c r="N776" t="str">
        <f t="shared" si="398"/>
        <v>s</v>
      </c>
      <c r="Q776" t="str">
        <f t="shared" si="396"/>
        <v/>
      </c>
      <c r="S776">
        <v>412</v>
      </c>
      <c r="U776" t="str">
        <f>IF(B776=1,MAX($U$2:$U775)+1,IF(AND($T776&lt;&gt;"",$T776=$T775),$U775,IF(B776="x",U775,"")))</f>
        <v/>
      </c>
      <c r="V776" t="str">
        <f>IF(C776=1,MAX($V$2:$V775)+1,IF(AND($T776&lt;&gt;"",$T776=$T775),$U775,IF(C776="x",V775,"")))</f>
        <v/>
      </c>
      <c r="W776" t="str">
        <f t="shared" si="402"/>
        <v>h</v>
      </c>
      <c r="X776">
        <v>16</v>
      </c>
      <c r="Y776" t="b">
        <f>IF(X776&lt;&gt;"",VLOOKUP(X776,game_rosters!$C$43:$E$64,3,FALSE))</f>
        <v>0</v>
      </c>
      <c r="Z776" cm="1">
        <f t="array" ref="Z776">IFERROR(IF(_xlfn._xlws.FILTER(game_rosters!$J:$J,(game_rosters!$G:$G=events!$AN776)*(game_rosters!$J:$J=events!$X776))&gt;0,1,""),"")</f>
        <v>1</v>
      </c>
      <c r="AA776">
        <f t="shared" si="403"/>
        <v>1412</v>
      </c>
      <c r="AB776" t="str">
        <f t="shared" si="404"/>
        <v/>
      </c>
      <c r="AC776">
        <f t="shared" si="401"/>
        <v>1412</v>
      </c>
      <c r="AD776" s="6">
        <v>1</v>
      </c>
      <c r="AE776" t="s">
        <v>943</v>
      </c>
      <c r="AF776" t="s">
        <v>916</v>
      </c>
      <c r="AG776" t="s">
        <v>756</v>
      </c>
      <c r="AH776" t="s">
        <v>756</v>
      </c>
      <c r="AI776" t="s">
        <v>367</v>
      </c>
      <c r="AJ776" t="str">
        <f t="shared" si="405"/>
        <v/>
      </c>
      <c r="AK776" t="str">
        <f t="shared" si="405"/>
        <v/>
      </c>
      <c r="AL776" t="str">
        <f t="shared" si="406"/>
        <v/>
      </c>
      <c r="AN776" t="s">
        <v>861</v>
      </c>
      <c r="AO776" t="str">
        <f t="shared" si="407"/>
        <v>h</v>
      </c>
      <c r="AP776" t="str">
        <f t="shared" si="414"/>
        <v/>
      </c>
      <c r="AQ776" t="str">
        <f t="shared" si="415"/>
        <v/>
      </c>
      <c r="AR776" t="str">
        <f t="shared" si="416"/>
        <v>Home</v>
      </c>
      <c r="AS776" t="str">
        <f t="shared" si="417"/>
        <v>h</v>
      </c>
      <c r="AT776" t="str">
        <f t="shared" si="418"/>
        <v>Offensive</v>
      </c>
      <c r="BA776" s="6">
        <f t="shared" si="408"/>
        <v>206</v>
      </c>
      <c r="BB776">
        <f t="shared" si="409"/>
        <v>18981</v>
      </c>
      <c r="BC776" t="str">
        <f t="shared" si="410"/>
        <v>Nelson</v>
      </c>
      <c r="BD776" t="str">
        <f t="shared" si="411"/>
        <v>Velodrome</v>
      </c>
      <c r="BE776" t="s">
        <v>7</v>
      </c>
      <c r="BF776" t="s">
        <v>172</v>
      </c>
      <c r="BG776" t="s">
        <v>66</v>
      </c>
      <c r="BI776" cm="1">
        <f t="array" ref="BI776">IFERROR(_xlfn._xlws.FILTER(shifts!A:A,(shifts!B:B=events!AD776)*(shifts!AG:AG&gt;=events!BK776)*(shifts!AH:AH&lt;=events!BL776)),BI775)</f>
        <v>38</v>
      </c>
      <c r="BJ776" s="15">
        <f t="shared" si="412"/>
        <v>0</v>
      </c>
      <c r="BK776">
        <f t="shared" si="419"/>
        <v>87</v>
      </c>
      <c r="BL776">
        <f t="shared" si="420"/>
        <v>87</v>
      </c>
      <c r="BM776" s="15">
        <f>SUMIFS(BJ$2:BJ776,K$2:K776,"=Intermission")+SUMIFS(BJ$2:BJ776,K$2:K776,"=Timeout")</f>
        <v>0</v>
      </c>
      <c r="BN776">
        <f t="shared" si="421"/>
        <v>0</v>
      </c>
      <c r="BO776" s="19">
        <f t="shared" si="422"/>
        <v>993</v>
      </c>
      <c r="BP776">
        <f t="shared" si="423"/>
        <v>988</v>
      </c>
      <c r="BQ776" s="17">
        <f t="shared" si="424"/>
        <v>993</v>
      </c>
      <c r="BR776" t="str">
        <f t="shared" si="425"/>
        <v>event_team_player_2</v>
      </c>
      <c r="BS776">
        <f>COUNTIFS(S$3:S776,"="&amp;S776,AI$3:AI776,"="&amp;AI776)</f>
        <v>2</v>
      </c>
      <c r="BT776" t="str">
        <f>IFERROR(VLOOKUP(BB776&amp;BU776&amp;X776,game_rosters!U:W,3,FALSE),"")</f>
        <v>P100164</v>
      </c>
      <c r="BU776" t="str">
        <f t="shared" si="426"/>
        <v>Nelson</v>
      </c>
    </row>
    <row r="777" spans="1:73" x14ac:dyDescent="0.2">
      <c r="A777">
        <f t="shared" si="413"/>
        <v>1</v>
      </c>
      <c r="E777" s="4"/>
      <c r="F777" s="43"/>
      <c r="G777" s="4"/>
      <c r="H777" s="46"/>
      <c r="J777" s="44" t="str">
        <f t="shared" si="427"/>
        <v/>
      </c>
      <c r="K777" t="s">
        <v>9</v>
      </c>
      <c r="L777" t="s">
        <v>173</v>
      </c>
      <c r="M777" t="s">
        <v>71</v>
      </c>
      <c r="N777" t="str">
        <f t="shared" si="398"/>
        <v>u</v>
      </c>
      <c r="Q777" t="str">
        <f t="shared" si="396"/>
        <v/>
      </c>
      <c r="S777">
        <v>413</v>
      </c>
      <c r="U777" t="str">
        <f>IF(B777=1,MAX($U$2:$U776)+1,IF(AND($T777&lt;&gt;"",$T777=$T776),$U776,IF(B777="x",U776,"")))</f>
        <v/>
      </c>
      <c r="V777" t="str">
        <f>IF(C777=1,MAX($V$2:$V776)+1,IF(AND($T777&lt;&gt;"",$T777=$T776),$U776,IF(C777="x",V776,"")))</f>
        <v/>
      </c>
      <c r="W777" t="str">
        <f t="shared" si="402"/>
        <v>h</v>
      </c>
      <c r="X777">
        <v>16</v>
      </c>
      <c r="Y777" t="b">
        <f>IF(X777&lt;&gt;"",VLOOKUP(X777,game_rosters!$C$43:$E$64,3,FALSE))</f>
        <v>0</v>
      </c>
      <c r="Z777" cm="1">
        <f t="array" ref="Z777">IFERROR(IF(_xlfn._xlws.FILTER(game_rosters!$J:$J,(game_rosters!$G:$G=events!$AN777)*(game_rosters!$J:$J=events!$X777))&gt;0,1,""),"")</f>
        <v>1</v>
      </c>
      <c r="AA777">
        <f t="shared" si="403"/>
        <v>1413</v>
      </c>
      <c r="AB777" t="str">
        <f t="shared" si="404"/>
        <v/>
      </c>
      <c r="AC777">
        <f t="shared" si="401"/>
        <v>1413</v>
      </c>
      <c r="AD777" s="6">
        <v>1</v>
      </c>
      <c r="AE777" t="s">
        <v>943</v>
      </c>
      <c r="AF777" t="s">
        <v>916</v>
      </c>
      <c r="AG777" t="s">
        <v>756</v>
      </c>
      <c r="AH777" t="s">
        <v>756</v>
      </c>
      <c r="AI777" t="s">
        <v>367</v>
      </c>
      <c r="AJ777" t="str">
        <f t="shared" si="405"/>
        <v/>
      </c>
      <c r="AK777" t="str">
        <f t="shared" si="405"/>
        <v/>
      </c>
      <c r="AL777" t="str">
        <f t="shared" si="406"/>
        <v/>
      </c>
      <c r="AN777" t="s">
        <v>861</v>
      </c>
      <c r="AO777" t="str">
        <f t="shared" si="407"/>
        <v>h</v>
      </c>
      <c r="AP777" t="str">
        <f t="shared" si="414"/>
        <v/>
      </c>
      <c r="AQ777" t="str">
        <f t="shared" si="415"/>
        <v/>
      </c>
      <c r="AR777" t="str">
        <f t="shared" si="416"/>
        <v>Home</v>
      </c>
      <c r="AS777" t="str">
        <f t="shared" si="417"/>
        <v>h</v>
      </c>
      <c r="AT777" t="str">
        <f t="shared" si="418"/>
        <v>Offensive</v>
      </c>
      <c r="BA777" s="6">
        <f t="shared" si="408"/>
        <v>206</v>
      </c>
      <c r="BB777">
        <f t="shared" si="409"/>
        <v>18981</v>
      </c>
      <c r="BC777" t="str">
        <f t="shared" si="410"/>
        <v>Nelson</v>
      </c>
      <c r="BD777" t="str">
        <f t="shared" si="411"/>
        <v>Velodrome</v>
      </c>
      <c r="BE777" t="s">
        <v>9</v>
      </c>
      <c r="BF777" t="s">
        <v>173</v>
      </c>
      <c r="BG777" t="s">
        <v>71</v>
      </c>
      <c r="BI777" cm="1">
        <f t="array" ref="BI777">IFERROR(_xlfn._xlws.FILTER(shifts!A:A,(shifts!B:B=events!AD777)*(shifts!AG:AG&gt;=events!BK777)*(shifts!AH:AH&lt;=events!BL777)),BI776)</f>
        <v>38</v>
      </c>
      <c r="BJ777" s="15">
        <f t="shared" si="412"/>
        <v>0</v>
      </c>
      <c r="BK777">
        <f t="shared" si="419"/>
        <v>87</v>
      </c>
      <c r="BL777">
        <f t="shared" si="420"/>
        <v>87</v>
      </c>
      <c r="BM777" s="15">
        <f>SUMIFS(BJ$2:BJ777,K$2:K777,"=Intermission")+SUMIFS(BJ$2:BJ777,K$2:K777,"=Timeout")</f>
        <v>0</v>
      </c>
      <c r="BN777">
        <f t="shared" si="421"/>
        <v>0</v>
      </c>
      <c r="BO777" s="19">
        <f t="shared" si="422"/>
        <v>993</v>
      </c>
      <c r="BP777">
        <f t="shared" si="423"/>
        <v>988</v>
      </c>
      <c r="BQ777" s="17">
        <f t="shared" si="424"/>
        <v>993</v>
      </c>
      <c r="BR777" t="str">
        <f t="shared" si="425"/>
        <v>event_team_player_1</v>
      </c>
      <c r="BS777">
        <f>COUNTIFS(S$3:S777,"="&amp;S777,AI$3:AI777,"="&amp;AI777)</f>
        <v>1</v>
      </c>
      <c r="BT777" t="str">
        <f>IFERROR(VLOOKUP(BB777&amp;BU777&amp;X777,game_rosters!U:W,3,FALSE),"")</f>
        <v>P100164</v>
      </c>
      <c r="BU777" t="str">
        <f t="shared" si="426"/>
        <v>Nelson</v>
      </c>
    </row>
    <row r="778" spans="1:73" x14ac:dyDescent="0.2">
      <c r="A778">
        <f t="shared" si="413"/>
        <v>1</v>
      </c>
      <c r="E778" s="4"/>
      <c r="F778" s="43"/>
      <c r="G778" s="4"/>
      <c r="H778" s="46"/>
      <c r="J778" s="44" t="str">
        <f t="shared" si="427"/>
        <v/>
      </c>
      <c r="K778" t="s">
        <v>238</v>
      </c>
      <c r="L778" t="s">
        <v>193</v>
      </c>
      <c r="M778" t="s">
        <v>91</v>
      </c>
      <c r="N778" t="str">
        <f t="shared" si="398"/>
        <v>s</v>
      </c>
      <c r="Q778" t="str">
        <f t="shared" si="396"/>
        <v/>
      </c>
      <c r="S778">
        <v>414</v>
      </c>
      <c r="U778" t="str">
        <f>IF(B778=1,MAX($U$2:$U777)+1,IF(AND($T778&lt;&gt;"",$T778=$T777),$U777,IF(B778="x",U777,"")))</f>
        <v/>
      </c>
      <c r="V778" t="str">
        <f>IF(C778=1,MAX($V$2:$V777)+1,IF(AND($T778&lt;&gt;"",$T778=$T777),$U777,IF(C778="x",V777,"")))</f>
        <v/>
      </c>
      <c r="W778" t="str">
        <f t="shared" si="402"/>
        <v>a</v>
      </c>
      <c r="X778">
        <v>91</v>
      </c>
      <c r="Y778" t="e">
        <f>IF(X778&lt;&gt;"",VLOOKUP(X778,game_rosters!$C$43:$E$64,3,FALSE))</f>
        <v>#N/A</v>
      </c>
      <c r="Z778" cm="1">
        <f t="array" ref="Z778">IFERROR(IF(_xlfn._xlws.FILTER(game_rosters!$J:$J,(game_rosters!$G:$G=events!$AN778)*(game_rosters!$J:$J=events!$X778))&gt;0,1,""),"")</f>
        <v>1</v>
      </c>
      <c r="AA778">
        <f t="shared" si="403"/>
        <v>1414</v>
      </c>
      <c r="AB778" t="str">
        <f t="shared" si="404"/>
        <v/>
      </c>
      <c r="AC778">
        <f t="shared" si="401"/>
        <v>1414</v>
      </c>
      <c r="AD778" s="6">
        <v>1</v>
      </c>
      <c r="AE778" t="s">
        <v>943</v>
      </c>
      <c r="AF778" t="s">
        <v>916</v>
      </c>
      <c r="AG778" t="s">
        <v>756</v>
      </c>
      <c r="AH778" t="s">
        <v>756</v>
      </c>
      <c r="AI778" t="s">
        <v>367</v>
      </c>
      <c r="AJ778" t="str">
        <f t="shared" si="405"/>
        <v/>
      </c>
      <c r="AK778" t="str">
        <f t="shared" si="405"/>
        <v/>
      </c>
      <c r="AL778" t="str">
        <f t="shared" si="406"/>
        <v/>
      </c>
      <c r="AN778" t="s">
        <v>862</v>
      </c>
      <c r="AO778" t="str">
        <f t="shared" si="407"/>
        <v>a</v>
      </c>
      <c r="AP778" t="str">
        <f t="shared" si="414"/>
        <v/>
      </c>
      <c r="AQ778" t="str">
        <f t="shared" si="415"/>
        <v/>
      </c>
      <c r="AR778" t="str">
        <f t="shared" si="416"/>
        <v>Away</v>
      </c>
      <c r="AS778" t="str">
        <f t="shared" si="417"/>
        <v>a</v>
      </c>
      <c r="AT778" t="str">
        <f t="shared" si="418"/>
        <v>Offensive</v>
      </c>
      <c r="BA778" s="6">
        <f t="shared" si="408"/>
        <v>206</v>
      </c>
      <c r="BB778">
        <f t="shared" si="409"/>
        <v>18981</v>
      </c>
      <c r="BC778" t="str">
        <f t="shared" si="410"/>
        <v>Nelson</v>
      </c>
      <c r="BD778" t="str">
        <f t="shared" si="411"/>
        <v>Velodrome</v>
      </c>
      <c r="BE778" t="s">
        <v>238</v>
      </c>
      <c r="BF778" t="s">
        <v>193</v>
      </c>
      <c r="BG778" t="s">
        <v>91</v>
      </c>
      <c r="BI778" cm="1">
        <f t="array" ref="BI778">IFERROR(_xlfn._xlws.FILTER(shifts!A:A,(shifts!B:B=events!AD778)*(shifts!AG:AG&gt;=events!BK778)*(shifts!AH:AH&lt;=events!BL778)),BI777)</f>
        <v>38</v>
      </c>
      <c r="BJ778" s="15">
        <f t="shared" si="412"/>
        <v>0</v>
      </c>
      <c r="BK778">
        <f t="shared" si="419"/>
        <v>87</v>
      </c>
      <c r="BL778">
        <f t="shared" si="420"/>
        <v>87</v>
      </c>
      <c r="BM778" s="15">
        <f>SUMIFS(BJ$2:BJ778,K$2:K778,"=Intermission")+SUMIFS(BJ$2:BJ778,K$2:K778,"=Timeout")</f>
        <v>0</v>
      </c>
      <c r="BN778">
        <f t="shared" si="421"/>
        <v>0</v>
      </c>
      <c r="BO778" s="19">
        <f t="shared" si="422"/>
        <v>993</v>
      </c>
      <c r="BP778">
        <f t="shared" si="423"/>
        <v>988</v>
      </c>
      <c r="BQ778" s="17">
        <f t="shared" si="424"/>
        <v>993</v>
      </c>
      <c r="BR778" t="str">
        <f t="shared" si="425"/>
        <v>event_team_player_1</v>
      </c>
      <c r="BS778">
        <f>COUNTIFS(S$3:S778,"="&amp;S778,AI$3:AI778,"="&amp;AI778)</f>
        <v>1</v>
      </c>
      <c r="BT778" t="str">
        <f>IFERROR(VLOOKUP(BB778&amp;BU778&amp;X778,game_rosters!U:W,3,FALSE),"")</f>
        <v>P100002</v>
      </c>
      <c r="BU778" t="str">
        <f t="shared" si="426"/>
        <v>Velodrome</v>
      </c>
    </row>
    <row r="779" spans="1:73" x14ac:dyDescent="0.2">
      <c r="A779">
        <f t="shared" si="413"/>
        <v>1</v>
      </c>
      <c r="E779" s="4"/>
      <c r="F779" s="43"/>
      <c r="G779" s="4"/>
      <c r="H779" s="46"/>
      <c r="J779" s="44" t="str">
        <f t="shared" si="427"/>
        <v/>
      </c>
      <c r="K779" t="s">
        <v>13</v>
      </c>
      <c r="L779" t="s">
        <v>756</v>
      </c>
      <c r="M779" t="s">
        <v>756</v>
      </c>
      <c r="N779" t="str">
        <f t="shared" si="398"/>
        <v/>
      </c>
      <c r="Q779" t="str">
        <f t="shared" si="396"/>
        <v/>
      </c>
      <c r="S779">
        <v>415</v>
      </c>
      <c r="U779" t="str">
        <f>IF(B779=1,MAX($U$2:$U778)+1,IF(AND($T779&lt;&gt;"",$T779=$T778),$U778,IF(B779="x",U778,"")))</f>
        <v/>
      </c>
      <c r="V779" t="str">
        <f>IF(C779=1,MAX($V$2:$V778)+1,IF(AND($T779&lt;&gt;"",$T779=$T778),$U778,IF(C779="x",V778,"")))</f>
        <v/>
      </c>
      <c r="W779" t="str">
        <f t="shared" si="402"/>
        <v>a</v>
      </c>
      <c r="X779">
        <v>91</v>
      </c>
      <c r="Y779" t="e">
        <f>IF(X779&lt;&gt;"",VLOOKUP(X779,game_rosters!$C$43:$E$64,3,FALSE))</f>
        <v>#N/A</v>
      </c>
      <c r="Z779" cm="1">
        <f t="array" ref="Z779">IFERROR(IF(_xlfn._xlws.FILTER(game_rosters!$J:$J,(game_rosters!$G:$G=events!$AN779)*(game_rosters!$J:$J=events!$X779))&gt;0,1,""),"")</f>
        <v>1</v>
      </c>
      <c r="AA779">
        <f t="shared" si="403"/>
        <v>1415</v>
      </c>
      <c r="AB779" t="str">
        <f t="shared" si="404"/>
        <v/>
      </c>
      <c r="AC779">
        <f t="shared" si="401"/>
        <v>1415</v>
      </c>
      <c r="AD779" s="6">
        <v>1</v>
      </c>
      <c r="AE779" t="s">
        <v>943</v>
      </c>
      <c r="AF779" t="s">
        <v>739</v>
      </c>
      <c r="AG779" t="s">
        <v>943</v>
      </c>
      <c r="AH779" t="s">
        <v>917</v>
      </c>
      <c r="AI779" t="s">
        <v>367</v>
      </c>
      <c r="AJ779" t="str">
        <f t="shared" si="405"/>
        <v/>
      </c>
      <c r="AK779" t="str">
        <f t="shared" si="405"/>
        <v/>
      </c>
      <c r="AL779" t="str">
        <f t="shared" si="406"/>
        <v/>
      </c>
      <c r="AN779" t="s">
        <v>862</v>
      </c>
      <c r="AO779" t="str">
        <f t="shared" si="407"/>
        <v>a</v>
      </c>
      <c r="AP779" t="str">
        <f t="shared" si="414"/>
        <v/>
      </c>
      <c r="AQ779" t="str">
        <f t="shared" si="415"/>
        <v/>
      </c>
      <c r="AR779" t="str">
        <f t="shared" si="416"/>
        <v>Away</v>
      </c>
      <c r="AS779" t="str">
        <f t="shared" si="417"/>
        <v>a</v>
      </c>
      <c r="AT779" t="str">
        <f t="shared" si="418"/>
        <v>Offensive</v>
      </c>
      <c r="BA779" s="6">
        <f t="shared" si="408"/>
        <v>206</v>
      </c>
      <c r="BB779">
        <f t="shared" si="409"/>
        <v>18981</v>
      </c>
      <c r="BC779" t="str">
        <f t="shared" si="410"/>
        <v>Nelson</v>
      </c>
      <c r="BD779" t="str">
        <f t="shared" si="411"/>
        <v>Velodrome</v>
      </c>
      <c r="BE779" t="s">
        <v>13</v>
      </c>
      <c r="BF779" t="s">
        <v>756</v>
      </c>
      <c r="BG779" t="s">
        <v>756</v>
      </c>
      <c r="BI779" cm="1">
        <f t="array" ref="BI779">IFERROR(_xlfn._xlws.FILTER(shifts!A:A,(shifts!B:B=events!AD779)*(shifts!AG:AG&gt;=events!BK779)*(shifts!AH:AH&lt;=events!BL779)),BI778)</f>
        <v>38</v>
      </c>
      <c r="BJ779" s="15">
        <f t="shared" si="412"/>
        <v>3</v>
      </c>
      <c r="BK779">
        <f t="shared" si="419"/>
        <v>86</v>
      </c>
      <c r="BL779">
        <f t="shared" si="420"/>
        <v>83</v>
      </c>
      <c r="BM779" s="15">
        <f>SUMIFS(BJ$2:BJ779,K$2:K779,"=Intermission")+SUMIFS(BJ$2:BJ779,K$2:K779,"=Timeout")</f>
        <v>0</v>
      </c>
      <c r="BN779">
        <f t="shared" si="421"/>
        <v>0</v>
      </c>
      <c r="BO779" s="19">
        <f t="shared" si="422"/>
        <v>994</v>
      </c>
      <c r="BP779">
        <f t="shared" si="423"/>
        <v>989</v>
      </c>
      <c r="BQ779" s="17">
        <f t="shared" si="424"/>
        <v>997</v>
      </c>
      <c r="BR779" t="str">
        <f t="shared" si="425"/>
        <v>event_team_player_1</v>
      </c>
      <c r="BS779">
        <f>COUNTIFS(S$3:S779,"="&amp;S779,AI$3:AI779,"="&amp;AI779)</f>
        <v>1</v>
      </c>
      <c r="BT779" t="str">
        <f>IFERROR(VLOOKUP(BB779&amp;BU779&amp;X779,game_rosters!U:W,3,FALSE),"")</f>
        <v>P100002</v>
      </c>
      <c r="BU779" t="str">
        <f t="shared" si="426"/>
        <v>Velodrome</v>
      </c>
    </row>
    <row r="780" spans="1:73" x14ac:dyDescent="0.2">
      <c r="A780">
        <f t="shared" si="413"/>
        <v>1</v>
      </c>
      <c r="E780" s="4"/>
      <c r="F780" s="43"/>
      <c r="G780" s="4"/>
      <c r="H780" s="46"/>
      <c r="J780" s="44" t="str">
        <f t="shared" si="427"/>
        <v/>
      </c>
      <c r="K780" t="s">
        <v>7</v>
      </c>
      <c r="L780" t="s">
        <v>182</v>
      </c>
      <c r="M780" t="s">
        <v>68</v>
      </c>
      <c r="N780" t="str">
        <f t="shared" si="398"/>
        <v>u</v>
      </c>
      <c r="Q780" t="str">
        <f t="shared" si="396"/>
        <v/>
      </c>
      <c r="S780">
        <v>416</v>
      </c>
      <c r="U780" t="str">
        <f>IF(B780=1,MAX($U$2:$U779)+1,IF(AND($T780&lt;&gt;"",$T780=$T779),$U779,IF(B780="x",U779,"")))</f>
        <v/>
      </c>
      <c r="V780" t="str">
        <f>IF(C780=1,MAX($V$2:$V779)+1,IF(AND($T780&lt;&gt;"",$T780=$T779),$U779,IF(C780="x",V779,"")))</f>
        <v/>
      </c>
      <c r="W780" t="str">
        <f t="shared" si="402"/>
        <v>a</v>
      </c>
      <c r="X780">
        <v>91</v>
      </c>
      <c r="Y780" t="e">
        <f>IF(X780&lt;&gt;"",VLOOKUP(X780,game_rosters!$C$43:$E$64,3,FALSE))</f>
        <v>#N/A</v>
      </c>
      <c r="Z780" cm="1">
        <f t="array" ref="Z780">IFERROR(IF(_xlfn._xlws.FILTER(game_rosters!$J:$J,(game_rosters!$G:$G=events!$AN780)*(game_rosters!$J:$J=events!$X780))&gt;0,1,""),"")</f>
        <v>1</v>
      </c>
      <c r="AA780">
        <f t="shared" si="403"/>
        <v>1416</v>
      </c>
      <c r="AB780" t="str">
        <f t="shared" si="404"/>
        <v/>
      </c>
      <c r="AC780">
        <f t="shared" si="401"/>
        <v>1416</v>
      </c>
      <c r="AD780" s="6">
        <v>1</v>
      </c>
      <c r="AE780" t="s">
        <v>943</v>
      </c>
      <c r="AF780" t="s">
        <v>917</v>
      </c>
      <c r="AG780" t="s">
        <v>756</v>
      </c>
      <c r="AH780" t="s">
        <v>756</v>
      </c>
      <c r="AI780" t="s">
        <v>367</v>
      </c>
      <c r="AJ780" t="str">
        <f t="shared" si="405"/>
        <v/>
      </c>
      <c r="AK780" t="str">
        <f t="shared" si="405"/>
        <v/>
      </c>
      <c r="AL780" t="str">
        <f t="shared" si="406"/>
        <v/>
      </c>
      <c r="AN780" t="s">
        <v>862</v>
      </c>
      <c r="AO780" t="str">
        <f t="shared" si="407"/>
        <v>a</v>
      </c>
      <c r="AP780" t="str">
        <f t="shared" si="414"/>
        <v/>
      </c>
      <c r="AQ780" t="str">
        <f t="shared" si="415"/>
        <v/>
      </c>
      <c r="AR780" t="str">
        <f t="shared" si="416"/>
        <v>Away</v>
      </c>
      <c r="AS780" t="str">
        <f t="shared" si="417"/>
        <v>a</v>
      </c>
      <c r="AT780" t="str">
        <f t="shared" si="418"/>
        <v>Offensive</v>
      </c>
      <c r="BA780" s="6">
        <f t="shared" si="408"/>
        <v>206</v>
      </c>
      <c r="BB780">
        <f t="shared" si="409"/>
        <v>18981</v>
      </c>
      <c r="BC780" t="str">
        <f t="shared" si="410"/>
        <v>Nelson</v>
      </c>
      <c r="BD780" t="str">
        <f t="shared" si="411"/>
        <v>Velodrome</v>
      </c>
      <c r="BE780" t="s">
        <v>7</v>
      </c>
      <c r="BF780" t="s">
        <v>182</v>
      </c>
      <c r="BG780" t="s">
        <v>68</v>
      </c>
      <c r="BI780" cm="1">
        <f t="array" ref="BI780">IFERROR(_xlfn._xlws.FILTER(shifts!A:A,(shifts!B:B=events!AD780)*(shifts!AG:AG&gt;=events!BK780)*(shifts!AH:AH&lt;=events!BL780)),BI779)</f>
        <v>38</v>
      </c>
      <c r="BJ780" s="15">
        <f t="shared" si="412"/>
        <v>0</v>
      </c>
      <c r="BK780">
        <f t="shared" si="419"/>
        <v>83</v>
      </c>
      <c r="BL780">
        <f t="shared" si="420"/>
        <v>83</v>
      </c>
      <c r="BM780" s="15">
        <f>SUMIFS(BJ$2:BJ780,K$2:K780,"=Intermission")+SUMIFS(BJ$2:BJ780,K$2:K780,"=Timeout")</f>
        <v>0</v>
      </c>
      <c r="BN780">
        <f t="shared" si="421"/>
        <v>0</v>
      </c>
      <c r="BO780" s="19">
        <f t="shared" si="422"/>
        <v>997</v>
      </c>
      <c r="BP780">
        <f t="shared" si="423"/>
        <v>992</v>
      </c>
      <c r="BQ780" s="17">
        <f t="shared" si="424"/>
        <v>997</v>
      </c>
      <c r="BR780" t="str">
        <f t="shared" si="425"/>
        <v>event_team_player_1</v>
      </c>
      <c r="BS780">
        <f>COUNTIFS(S$3:S780,"="&amp;S780,AI$3:AI780,"="&amp;AI780)</f>
        <v>1</v>
      </c>
      <c r="BT780" t="str">
        <f>IFERROR(VLOOKUP(BB780&amp;BU780&amp;X780,game_rosters!U:W,3,FALSE),"")</f>
        <v>P100002</v>
      </c>
      <c r="BU780" t="str">
        <f t="shared" si="426"/>
        <v>Velodrome</v>
      </c>
    </row>
    <row r="781" spans="1:73" x14ac:dyDescent="0.2">
      <c r="A781">
        <f t="shared" si="413"/>
        <v>1</v>
      </c>
      <c r="E781" s="4"/>
      <c r="F781" s="43"/>
      <c r="G781" s="4"/>
      <c r="H781" s="46"/>
      <c r="J781" s="44" t="str">
        <f t="shared" si="427"/>
        <v/>
      </c>
      <c r="K781" t="s">
        <v>7</v>
      </c>
      <c r="L781" t="s">
        <v>182</v>
      </c>
      <c r="M781" t="s">
        <v>68</v>
      </c>
      <c r="N781" t="str">
        <f t="shared" si="398"/>
        <v>u</v>
      </c>
      <c r="Q781" t="str">
        <f t="shared" si="396"/>
        <v/>
      </c>
      <c r="S781">
        <v>416</v>
      </c>
      <c r="U781" t="str">
        <f>IF(B781=1,MAX($U$2:$U780)+1,IF(AND($T781&lt;&gt;"",$T781=$T780),$U780,IF(B781="x",U780,"")))</f>
        <v/>
      </c>
      <c r="V781" t="str">
        <f>IF(C781=1,MAX($V$2:$V780)+1,IF(AND($T781&lt;&gt;"",$T781=$T780),$U780,IF(C781="x",V780,"")))</f>
        <v/>
      </c>
      <c r="W781" t="str">
        <f t="shared" si="402"/>
        <v>a</v>
      </c>
      <c r="X781">
        <v>24</v>
      </c>
      <c r="Y781" t="e">
        <f>IF(X781&lt;&gt;"",VLOOKUP(X781,game_rosters!$C$43:$E$64,3,FALSE))</f>
        <v>#N/A</v>
      </c>
      <c r="Z781" cm="1">
        <f t="array" ref="Z781">IFERROR(IF(_xlfn._xlws.FILTER(game_rosters!$J:$J,(game_rosters!$G:$G=events!$AN781)*(game_rosters!$J:$J=events!$X781))&gt;0,1,""),"")</f>
        <v>1</v>
      </c>
      <c r="AA781">
        <f t="shared" si="403"/>
        <v>1416</v>
      </c>
      <c r="AB781" t="str">
        <f t="shared" si="404"/>
        <v/>
      </c>
      <c r="AC781">
        <f t="shared" si="401"/>
        <v>1416</v>
      </c>
      <c r="AD781" s="6">
        <v>1</v>
      </c>
      <c r="AE781" t="s">
        <v>943</v>
      </c>
      <c r="AF781" t="s">
        <v>917</v>
      </c>
      <c r="AG781" t="s">
        <v>756</v>
      </c>
      <c r="AH781" t="s">
        <v>756</v>
      </c>
      <c r="AI781" t="s">
        <v>367</v>
      </c>
      <c r="AJ781" t="str">
        <f t="shared" si="405"/>
        <v/>
      </c>
      <c r="AK781" t="str">
        <f t="shared" si="405"/>
        <v/>
      </c>
      <c r="AL781" t="str">
        <f t="shared" si="406"/>
        <v/>
      </c>
      <c r="AN781" t="s">
        <v>862</v>
      </c>
      <c r="AO781" t="str">
        <f t="shared" si="407"/>
        <v>a</v>
      </c>
      <c r="AP781" t="str">
        <f t="shared" si="414"/>
        <v/>
      </c>
      <c r="AQ781" t="str">
        <f t="shared" si="415"/>
        <v/>
      </c>
      <c r="AR781" t="str">
        <f t="shared" si="416"/>
        <v>Away</v>
      </c>
      <c r="AS781" t="str">
        <f t="shared" si="417"/>
        <v>a</v>
      </c>
      <c r="AT781" t="str">
        <f t="shared" si="418"/>
        <v>Offensive</v>
      </c>
      <c r="BA781" s="6">
        <f t="shared" si="408"/>
        <v>206</v>
      </c>
      <c r="BB781">
        <f t="shared" si="409"/>
        <v>18981</v>
      </c>
      <c r="BC781" t="str">
        <f t="shared" si="410"/>
        <v>Nelson</v>
      </c>
      <c r="BD781" t="str">
        <f t="shared" si="411"/>
        <v>Velodrome</v>
      </c>
      <c r="BE781" t="s">
        <v>7</v>
      </c>
      <c r="BF781" t="s">
        <v>182</v>
      </c>
      <c r="BG781" t="s">
        <v>68</v>
      </c>
      <c r="BI781" cm="1">
        <f t="array" ref="BI781">IFERROR(_xlfn._xlws.FILTER(shifts!A:A,(shifts!B:B=events!AD781)*(shifts!AG:AG&gt;=events!BK781)*(shifts!AH:AH&lt;=events!BL781)),BI780)</f>
        <v>38</v>
      </c>
      <c r="BJ781" s="15">
        <f t="shared" si="412"/>
        <v>0</v>
      </c>
      <c r="BK781">
        <f t="shared" si="419"/>
        <v>83</v>
      </c>
      <c r="BL781">
        <f t="shared" si="420"/>
        <v>83</v>
      </c>
      <c r="BM781" s="15">
        <f>SUMIFS(BJ$2:BJ781,K$2:K781,"=Intermission")+SUMIFS(BJ$2:BJ781,K$2:K781,"=Timeout")</f>
        <v>0</v>
      </c>
      <c r="BN781">
        <f t="shared" si="421"/>
        <v>0</v>
      </c>
      <c r="BO781" s="19">
        <f t="shared" si="422"/>
        <v>997</v>
      </c>
      <c r="BP781">
        <f t="shared" si="423"/>
        <v>992</v>
      </c>
      <c r="BQ781" s="17">
        <f t="shared" si="424"/>
        <v>997</v>
      </c>
      <c r="BR781" t="str">
        <f t="shared" si="425"/>
        <v>event_team_player_2</v>
      </c>
      <c r="BS781">
        <f>COUNTIFS(S$3:S781,"="&amp;S781,AI$3:AI781,"="&amp;AI781)</f>
        <v>2</v>
      </c>
      <c r="BT781" t="str">
        <f>IFERROR(VLOOKUP(BB781&amp;BU781&amp;X781,game_rosters!U:W,3,FALSE),"")</f>
        <v>P100230</v>
      </c>
      <c r="BU781" t="str">
        <f t="shared" si="426"/>
        <v>Velodrome</v>
      </c>
    </row>
    <row r="782" spans="1:73" x14ac:dyDescent="0.2">
      <c r="A782">
        <f t="shared" si="413"/>
        <v>1</v>
      </c>
      <c r="E782" s="4"/>
      <c r="F782" s="43"/>
      <c r="G782" s="4"/>
      <c r="H782" s="46"/>
      <c r="J782" s="44" t="str">
        <f t="shared" si="427"/>
        <v/>
      </c>
      <c r="K782" t="s">
        <v>7</v>
      </c>
      <c r="L782" t="s">
        <v>182</v>
      </c>
      <c r="M782" t="s">
        <v>68</v>
      </c>
      <c r="N782" t="str">
        <f t="shared" si="398"/>
        <v>u</v>
      </c>
      <c r="Q782" t="str">
        <f t="shared" si="396"/>
        <v/>
      </c>
      <c r="S782">
        <v>416</v>
      </c>
      <c r="U782" t="str">
        <f>IF(B782=1,MAX($U$2:$U781)+1,IF(AND($T782&lt;&gt;"",$T782=$T781),$U781,IF(B782="x",U781,"")))</f>
        <v/>
      </c>
      <c r="V782" t="str">
        <f>IF(C782=1,MAX($V$2:$V781)+1,IF(AND($T782&lt;&gt;"",$T782=$T781),$U781,IF(C782="x",V781,"")))</f>
        <v/>
      </c>
      <c r="W782" t="str">
        <f t="shared" si="402"/>
        <v>a</v>
      </c>
      <c r="X782">
        <v>37</v>
      </c>
      <c r="Y782" t="b">
        <f>IF(X782&lt;&gt;"",VLOOKUP(X782,game_rosters!$C$43:$E$64,3,FALSE))</f>
        <v>0</v>
      </c>
      <c r="Z782" t="str" cm="1">
        <f t="array" ref="Z782">IFERROR(IF(_xlfn._xlws.FILTER(game_rosters!$J:$J,(game_rosters!$G:$G=events!$AN782)*(game_rosters!$J:$J=events!$X782))&gt;0,1,""),"")</f>
        <v/>
      </c>
      <c r="AA782">
        <f t="shared" si="403"/>
        <v>1416</v>
      </c>
      <c r="AB782" t="str">
        <f t="shared" si="404"/>
        <v/>
      </c>
      <c r="AC782">
        <f t="shared" si="401"/>
        <v>1416</v>
      </c>
      <c r="AD782" s="6">
        <v>1</v>
      </c>
      <c r="AE782" t="s">
        <v>943</v>
      </c>
      <c r="AF782" t="s">
        <v>917</v>
      </c>
      <c r="AG782" t="s">
        <v>756</v>
      </c>
      <c r="AH782" t="s">
        <v>756</v>
      </c>
      <c r="AI782" t="s">
        <v>368</v>
      </c>
      <c r="AJ782" t="str">
        <f t="shared" si="405"/>
        <v/>
      </c>
      <c r="AK782" t="str">
        <f t="shared" si="405"/>
        <v/>
      </c>
      <c r="AL782" t="str">
        <f t="shared" si="406"/>
        <v/>
      </c>
      <c r="AN782" t="s">
        <v>862</v>
      </c>
      <c r="AO782" t="str">
        <f t="shared" si="407"/>
        <v>a</v>
      </c>
      <c r="AP782" t="str">
        <f t="shared" si="414"/>
        <v/>
      </c>
      <c r="AQ782" t="str">
        <f t="shared" si="415"/>
        <v/>
      </c>
      <c r="AR782" t="str">
        <f t="shared" si="416"/>
        <v>Away</v>
      </c>
      <c r="AS782" t="str">
        <f t="shared" si="417"/>
        <v>a</v>
      </c>
      <c r="AT782" t="str">
        <f t="shared" si="418"/>
        <v>Defensive</v>
      </c>
      <c r="BA782" s="6">
        <f t="shared" si="408"/>
        <v>206</v>
      </c>
      <c r="BB782">
        <f t="shared" si="409"/>
        <v>18981</v>
      </c>
      <c r="BC782" t="str">
        <f t="shared" si="410"/>
        <v>Nelson</v>
      </c>
      <c r="BD782" t="str">
        <f t="shared" si="411"/>
        <v>Velodrome</v>
      </c>
      <c r="BE782" t="s">
        <v>7</v>
      </c>
      <c r="BF782" t="s">
        <v>182</v>
      </c>
      <c r="BG782" t="s">
        <v>68</v>
      </c>
      <c r="BI782" cm="1">
        <f t="array" ref="BI782">IFERROR(_xlfn._xlws.FILTER(shifts!A:A,(shifts!B:B=events!AD782)*(shifts!AG:AG&gt;=events!BK782)*(shifts!AH:AH&lt;=events!BL782)),BI781)</f>
        <v>38</v>
      </c>
      <c r="BJ782" s="15">
        <f t="shared" si="412"/>
        <v>0</v>
      </c>
      <c r="BK782">
        <f t="shared" si="419"/>
        <v>83</v>
      </c>
      <c r="BL782">
        <f t="shared" si="420"/>
        <v>83</v>
      </c>
      <c r="BM782" s="15">
        <f>SUMIFS(BJ$2:BJ782,K$2:K782,"=Intermission")+SUMIFS(BJ$2:BJ782,K$2:K782,"=Timeout")</f>
        <v>0</v>
      </c>
      <c r="BN782">
        <f t="shared" si="421"/>
        <v>0</v>
      </c>
      <c r="BO782" s="19">
        <f t="shared" si="422"/>
        <v>997</v>
      </c>
      <c r="BP782">
        <f t="shared" si="423"/>
        <v>992</v>
      </c>
      <c r="BQ782" s="17">
        <f t="shared" si="424"/>
        <v>997</v>
      </c>
      <c r="BR782" t="str">
        <f t="shared" si="425"/>
        <v>opp_team_player_1</v>
      </c>
      <c r="BS782">
        <f>COUNTIFS(S$3:S782,"="&amp;S782,AI$3:AI782,"="&amp;AI782)</f>
        <v>1</v>
      </c>
      <c r="BT782" t="str">
        <f>IFERROR(VLOOKUP(BB782&amp;BU782&amp;X782,game_rosters!U:W,3,FALSE),"")</f>
        <v>P100119</v>
      </c>
      <c r="BU782" t="str">
        <f t="shared" si="426"/>
        <v>Nelson</v>
      </c>
    </row>
    <row r="783" spans="1:73" x14ac:dyDescent="0.2">
      <c r="A783">
        <f t="shared" si="413"/>
        <v>1</v>
      </c>
      <c r="E783" s="4"/>
      <c r="F783" s="43"/>
      <c r="G783" s="4"/>
      <c r="H783" s="46"/>
      <c r="J783" s="44" t="str">
        <f t="shared" si="427"/>
        <v/>
      </c>
      <c r="K783" t="s">
        <v>7</v>
      </c>
      <c r="L783" t="s">
        <v>182</v>
      </c>
      <c r="M783" t="s">
        <v>68</v>
      </c>
      <c r="N783" t="str">
        <f t="shared" si="398"/>
        <v>u</v>
      </c>
      <c r="Q783" t="str">
        <f t="shared" si="396"/>
        <v/>
      </c>
      <c r="S783">
        <v>416</v>
      </c>
      <c r="U783" t="str">
        <f>IF(B783=1,MAX($U$2:$U782)+1,IF(AND($T783&lt;&gt;"",$T783=$T782),$U782,IF(B783="x",U782,"")))</f>
        <v/>
      </c>
      <c r="V783" t="str">
        <f>IF(C783=1,MAX($V$2:$V782)+1,IF(AND($T783&lt;&gt;"",$T783=$T782),$U782,IF(C783="x",V782,"")))</f>
        <v/>
      </c>
      <c r="W783" t="str">
        <f t="shared" si="402"/>
        <v>a</v>
      </c>
      <c r="X783">
        <v>23</v>
      </c>
      <c r="Y783" t="b">
        <f>IF(X783&lt;&gt;"",VLOOKUP(X783,game_rosters!$C$43:$E$64,3,FALSE))</f>
        <v>0</v>
      </c>
      <c r="Z783" t="str" cm="1">
        <f t="array" ref="Z783">IFERROR(IF(_xlfn._xlws.FILTER(game_rosters!$J:$J,(game_rosters!$G:$G=events!$AN783)*(game_rosters!$J:$J=events!$X783))&gt;0,1,""),"")</f>
        <v/>
      </c>
      <c r="AA783">
        <f t="shared" si="403"/>
        <v>1416</v>
      </c>
      <c r="AB783" t="str">
        <f t="shared" si="404"/>
        <v/>
      </c>
      <c r="AC783">
        <f t="shared" si="401"/>
        <v>1416</v>
      </c>
      <c r="AD783" s="6">
        <v>1</v>
      </c>
      <c r="AE783" t="s">
        <v>943</v>
      </c>
      <c r="AF783" t="s">
        <v>917</v>
      </c>
      <c r="AG783" t="s">
        <v>756</v>
      </c>
      <c r="AH783" t="s">
        <v>756</v>
      </c>
      <c r="AI783" t="s">
        <v>368</v>
      </c>
      <c r="AJ783" t="str">
        <f t="shared" si="405"/>
        <v/>
      </c>
      <c r="AK783" t="str">
        <f t="shared" si="405"/>
        <v/>
      </c>
      <c r="AL783" t="str">
        <f t="shared" si="406"/>
        <v/>
      </c>
      <c r="AN783" t="s">
        <v>862</v>
      </c>
      <c r="AO783" t="str">
        <f t="shared" si="407"/>
        <v>a</v>
      </c>
      <c r="AP783" t="str">
        <f t="shared" si="414"/>
        <v/>
      </c>
      <c r="AQ783" t="str">
        <f t="shared" si="415"/>
        <v/>
      </c>
      <c r="AR783" t="str">
        <f t="shared" si="416"/>
        <v>Away</v>
      </c>
      <c r="AS783" t="str">
        <f t="shared" si="417"/>
        <v>a</v>
      </c>
      <c r="AT783" t="str">
        <f t="shared" si="418"/>
        <v>Defensive</v>
      </c>
      <c r="BA783" s="6">
        <f t="shared" si="408"/>
        <v>206</v>
      </c>
      <c r="BB783">
        <f t="shared" si="409"/>
        <v>18981</v>
      </c>
      <c r="BC783" t="str">
        <f t="shared" si="410"/>
        <v>Nelson</v>
      </c>
      <c r="BD783" t="str">
        <f t="shared" si="411"/>
        <v>Velodrome</v>
      </c>
      <c r="BE783" t="s">
        <v>7</v>
      </c>
      <c r="BF783" t="s">
        <v>182</v>
      </c>
      <c r="BG783" t="s">
        <v>68</v>
      </c>
      <c r="BI783" cm="1">
        <f t="array" ref="BI783">IFERROR(_xlfn._xlws.FILTER(shifts!A:A,(shifts!B:B=events!AD783)*(shifts!AG:AG&gt;=events!BK783)*(shifts!AH:AH&lt;=events!BL783)),BI782)</f>
        <v>38</v>
      </c>
      <c r="BJ783" s="15">
        <f t="shared" si="412"/>
        <v>0</v>
      </c>
      <c r="BK783">
        <f t="shared" si="419"/>
        <v>83</v>
      </c>
      <c r="BL783">
        <f t="shared" si="420"/>
        <v>83</v>
      </c>
      <c r="BM783" s="15">
        <f>SUMIFS(BJ$2:BJ783,K$2:K783,"=Intermission")+SUMIFS(BJ$2:BJ783,K$2:K783,"=Timeout")</f>
        <v>0</v>
      </c>
      <c r="BN783">
        <f t="shared" si="421"/>
        <v>0</v>
      </c>
      <c r="BO783" s="19">
        <f t="shared" si="422"/>
        <v>997</v>
      </c>
      <c r="BP783">
        <f t="shared" si="423"/>
        <v>992</v>
      </c>
      <c r="BQ783" s="17">
        <f t="shared" si="424"/>
        <v>997</v>
      </c>
      <c r="BR783" t="str">
        <f t="shared" si="425"/>
        <v>opp_team_player_2</v>
      </c>
      <c r="BS783">
        <f>COUNTIFS(S$3:S783,"="&amp;S783,AI$3:AI783,"="&amp;AI783)</f>
        <v>2</v>
      </c>
      <c r="BT783" t="str">
        <f>IFERROR(VLOOKUP(BB783&amp;BU783&amp;X783,game_rosters!U:W,3,FALSE),"")</f>
        <v>P100061</v>
      </c>
      <c r="BU783" t="str">
        <f t="shared" si="426"/>
        <v>Nelson</v>
      </c>
    </row>
    <row r="784" spans="1:73" x14ac:dyDescent="0.2">
      <c r="A784">
        <f t="shared" si="413"/>
        <v>1</v>
      </c>
      <c r="E784" s="4"/>
      <c r="F784" s="43"/>
      <c r="G784" s="4"/>
      <c r="H784" s="46"/>
      <c r="J784" s="44" t="str">
        <f t="shared" si="427"/>
        <v/>
      </c>
      <c r="K784" t="s">
        <v>13</v>
      </c>
      <c r="L784" t="s">
        <v>756</v>
      </c>
      <c r="M784" t="s">
        <v>756</v>
      </c>
      <c r="N784" t="str">
        <f t="shared" si="398"/>
        <v/>
      </c>
      <c r="Q784" t="str">
        <f t="shared" ref="Q784:Q847" si="428">IF(O784="","",IF(AND(N784&lt;&gt;"",OR(O784&lt;&gt;"",P784&lt;&gt;"")),N784,IF(OR(ISNUMBER(SEARCH("attemp",O784)),ISNUMBER(SEARCH("beat",O784)),ISNUMBER(SEARCH("mis",O784)),ISNUMBER(SEARCH("fail",O784)),ISNUMBER(SEARCH("loss",O784)),ISNUMBER(SEARCH("lost",O784)),ISNUMBER(SEARCH("attemp",P784)),ISNUMBER(SEARCH("mis",P784)),ISNUMBER(SEARCH("fail",P784)),ISNUMBER(SEARCH("loss",P784)),ISNUMBER(SEARCH("beat",P784)),ISNUMBER(SEARCH("lost",P784))),"u","")))</f>
        <v/>
      </c>
      <c r="S784">
        <v>417</v>
      </c>
      <c r="U784" t="str">
        <f>IF(B784=1,MAX($U$2:$U783)+1,IF(AND($T784&lt;&gt;"",$T784=$T783),$U783,IF(B784="x",U783,"")))</f>
        <v/>
      </c>
      <c r="V784" t="str">
        <f>IF(C784=1,MAX($V$2:$V783)+1,IF(AND($T784&lt;&gt;"",$T784=$T783),$U783,IF(C784="x",V783,"")))</f>
        <v/>
      </c>
      <c r="W784" t="str">
        <f t="shared" si="402"/>
        <v>a</v>
      </c>
      <c r="X784">
        <v>42</v>
      </c>
      <c r="Y784" t="e">
        <f>IF(X784&lt;&gt;"",VLOOKUP(X784,game_rosters!$C$43:$E$64,3,FALSE))</f>
        <v>#N/A</v>
      </c>
      <c r="Z784" cm="1">
        <f t="array" ref="Z784">IFERROR(IF(_xlfn._xlws.FILTER(game_rosters!$J:$J,(game_rosters!$G:$G=events!$AN784)*(game_rosters!$J:$J=events!$X784))&gt;0,1,""),"")</f>
        <v>1</v>
      </c>
      <c r="AA784">
        <f t="shared" si="403"/>
        <v>1417</v>
      </c>
      <c r="AB784" t="str">
        <f t="shared" si="404"/>
        <v/>
      </c>
      <c r="AC784">
        <f t="shared" si="401"/>
        <v>1417</v>
      </c>
      <c r="AD784" s="6">
        <v>1</v>
      </c>
      <c r="AE784" t="s">
        <v>943</v>
      </c>
      <c r="AF784" t="s">
        <v>919</v>
      </c>
      <c r="AG784" t="s">
        <v>943</v>
      </c>
      <c r="AH784" t="s">
        <v>743</v>
      </c>
      <c r="AI784" t="s">
        <v>367</v>
      </c>
      <c r="AJ784" t="str">
        <f t="shared" si="405"/>
        <v/>
      </c>
      <c r="AK784" t="str">
        <f t="shared" si="405"/>
        <v/>
      </c>
      <c r="AL784" t="str">
        <f t="shared" si="406"/>
        <v/>
      </c>
      <c r="AN784" t="s">
        <v>862</v>
      </c>
      <c r="AO784" t="str">
        <f t="shared" si="407"/>
        <v>a</v>
      </c>
      <c r="AP784" t="str">
        <f t="shared" si="414"/>
        <v/>
      </c>
      <c r="AQ784" t="str">
        <f t="shared" si="415"/>
        <v/>
      </c>
      <c r="AR784" t="str">
        <f t="shared" si="416"/>
        <v>Away</v>
      </c>
      <c r="AS784" t="str">
        <f t="shared" si="417"/>
        <v>a</v>
      </c>
      <c r="AT784" t="str">
        <f t="shared" si="418"/>
        <v>Offensive</v>
      </c>
      <c r="BA784" s="6">
        <f t="shared" si="408"/>
        <v>206</v>
      </c>
      <c r="BB784">
        <f t="shared" si="409"/>
        <v>18981</v>
      </c>
      <c r="BC784" t="str">
        <f t="shared" si="410"/>
        <v>Nelson</v>
      </c>
      <c r="BD784" t="str">
        <f t="shared" si="411"/>
        <v>Velodrome</v>
      </c>
      <c r="BE784" t="s">
        <v>13</v>
      </c>
      <c r="BF784" t="s">
        <v>756</v>
      </c>
      <c r="BG784" t="s">
        <v>756</v>
      </c>
      <c r="BI784" cm="1">
        <f t="array" ref="BI784">IFERROR(_xlfn._xlws.FILTER(shifts!A:A,(shifts!B:B=events!AD784)*(shifts!AG:AG&gt;=events!BK784)*(shifts!AH:AH&lt;=events!BL784)),BI783)</f>
        <v>38</v>
      </c>
      <c r="BJ784" s="15">
        <f t="shared" si="412"/>
        <v>2</v>
      </c>
      <c r="BK784">
        <f t="shared" si="419"/>
        <v>80</v>
      </c>
      <c r="BL784">
        <f t="shared" si="420"/>
        <v>78</v>
      </c>
      <c r="BM784" s="15">
        <f>SUMIFS(BJ$2:BJ784,K$2:K784,"=Intermission")+SUMIFS(BJ$2:BJ784,K$2:K784,"=Timeout")</f>
        <v>0</v>
      </c>
      <c r="BN784">
        <f t="shared" si="421"/>
        <v>0</v>
      </c>
      <c r="BO784" s="19">
        <f t="shared" si="422"/>
        <v>1000</v>
      </c>
      <c r="BP784">
        <f t="shared" si="423"/>
        <v>995</v>
      </c>
      <c r="BQ784" s="17">
        <f t="shared" si="424"/>
        <v>1002</v>
      </c>
      <c r="BR784" t="str">
        <f t="shared" si="425"/>
        <v>event_team_player_1</v>
      </c>
      <c r="BS784">
        <f>COUNTIFS(S$3:S784,"="&amp;S784,AI$3:AI784,"="&amp;AI784)</f>
        <v>1</v>
      </c>
      <c r="BT784" t="str">
        <f>IFERROR(VLOOKUP(BB784&amp;BU784&amp;X784,game_rosters!U:W,3,FALSE),"")</f>
        <v>P100201</v>
      </c>
      <c r="BU784" t="str">
        <f t="shared" si="426"/>
        <v>Velodrome</v>
      </c>
    </row>
    <row r="785" spans="1:73" x14ac:dyDescent="0.2">
      <c r="A785">
        <f t="shared" si="413"/>
        <v>1</v>
      </c>
      <c r="E785" s="4"/>
      <c r="F785" s="43"/>
      <c r="G785" s="4"/>
      <c r="H785" s="46"/>
      <c r="J785" s="44" t="str">
        <f t="shared" si="427"/>
        <v/>
      </c>
      <c r="K785" t="s">
        <v>7</v>
      </c>
      <c r="L785" t="s">
        <v>172</v>
      </c>
      <c r="M785" t="s">
        <v>68</v>
      </c>
      <c r="N785" t="str">
        <f t="shared" si="398"/>
        <v>s</v>
      </c>
      <c r="Q785" t="str">
        <f t="shared" si="428"/>
        <v/>
      </c>
      <c r="S785">
        <v>418</v>
      </c>
      <c r="U785" t="str">
        <f>IF(B785=1,MAX($U$2:$U784)+1,IF(AND($T785&lt;&gt;"",$T785=$T784),$U784,IF(B785="x",U784,"")))</f>
        <v/>
      </c>
      <c r="V785" t="str">
        <f>IF(C785=1,MAX($V$2:$V784)+1,IF(AND($T785&lt;&gt;"",$T785=$T784),$U784,IF(C785="x",V784,"")))</f>
        <v/>
      </c>
      <c r="W785" t="str">
        <f t="shared" si="402"/>
        <v>a</v>
      </c>
      <c r="X785">
        <v>42</v>
      </c>
      <c r="Y785" t="e">
        <f>IF(X785&lt;&gt;"",VLOOKUP(X785,game_rosters!$C$43:$E$64,3,FALSE))</f>
        <v>#N/A</v>
      </c>
      <c r="Z785" cm="1">
        <f t="array" ref="Z785">IFERROR(IF(_xlfn._xlws.FILTER(game_rosters!$J:$J,(game_rosters!$G:$G=events!$AN785)*(game_rosters!$J:$J=events!$X785))&gt;0,1,""),"")</f>
        <v>1</v>
      </c>
      <c r="AA785">
        <f t="shared" si="403"/>
        <v>1418</v>
      </c>
      <c r="AB785" t="str">
        <f t="shared" si="404"/>
        <v/>
      </c>
      <c r="AC785">
        <f t="shared" si="401"/>
        <v>1418</v>
      </c>
      <c r="AD785" s="6">
        <v>1</v>
      </c>
      <c r="AE785" t="s">
        <v>943</v>
      </c>
      <c r="AF785" t="s">
        <v>743</v>
      </c>
      <c r="AG785" t="s">
        <v>756</v>
      </c>
      <c r="AH785" t="s">
        <v>756</v>
      </c>
      <c r="AI785" t="s">
        <v>367</v>
      </c>
      <c r="AJ785" t="str">
        <f t="shared" si="405"/>
        <v/>
      </c>
      <c r="AK785" t="str">
        <f t="shared" si="405"/>
        <v/>
      </c>
      <c r="AL785" t="str">
        <f t="shared" si="406"/>
        <v/>
      </c>
      <c r="AN785" t="s">
        <v>862</v>
      </c>
      <c r="AO785" t="str">
        <f t="shared" si="407"/>
        <v>a</v>
      </c>
      <c r="AP785" t="str">
        <f t="shared" si="414"/>
        <v/>
      </c>
      <c r="AQ785" t="str">
        <f t="shared" si="415"/>
        <v/>
      </c>
      <c r="AR785" t="str">
        <f t="shared" si="416"/>
        <v>Away</v>
      </c>
      <c r="AS785" t="str">
        <f t="shared" si="417"/>
        <v>a</v>
      </c>
      <c r="AT785" t="str">
        <f t="shared" si="418"/>
        <v>Offensive</v>
      </c>
      <c r="BA785" s="6">
        <f t="shared" si="408"/>
        <v>206</v>
      </c>
      <c r="BB785">
        <f t="shared" si="409"/>
        <v>18981</v>
      </c>
      <c r="BC785" t="str">
        <f t="shared" si="410"/>
        <v>Nelson</v>
      </c>
      <c r="BD785" t="str">
        <f t="shared" si="411"/>
        <v>Velodrome</v>
      </c>
      <c r="BE785" t="s">
        <v>7</v>
      </c>
      <c r="BF785" t="s">
        <v>172</v>
      </c>
      <c r="BG785" t="s">
        <v>68</v>
      </c>
      <c r="BI785" cm="1">
        <f t="array" ref="BI785">IFERROR(_xlfn._xlws.FILTER(shifts!A:A,(shifts!B:B=events!AD785)*(shifts!AG:AG&gt;=events!BK785)*(shifts!AH:AH&lt;=events!BL785)),BI784)</f>
        <v>38</v>
      </c>
      <c r="BJ785" s="15">
        <f t="shared" si="412"/>
        <v>0</v>
      </c>
      <c r="BK785">
        <f t="shared" si="419"/>
        <v>78</v>
      </c>
      <c r="BL785">
        <f t="shared" si="420"/>
        <v>78</v>
      </c>
      <c r="BM785" s="15">
        <f>SUMIFS(BJ$2:BJ785,K$2:K785,"=Intermission")+SUMIFS(BJ$2:BJ785,K$2:K785,"=Timeout")</f>
        <v>0</v>
      </c>
      <c r="BN785">
        <f t="shared" si="421"/>
        <v>0</v>
      </c>
      <c r="BO785" s="19">
        <f t="shared" si="422"/>
        <v>1002</v>
      </c>
      <c r="BP785">
        <f t="shared" si="423"/>
        <v>997</v>
      </c>
      <c r="BQ785" s="17">
        <f t="shared" si="424"/>
        <v>1002</v>
      </c>
      <c r="BR785" t="str">
        <f t="shared" si="425"/>
        <v>event_team_player_1</v>
      </c>
      <c r="BS785">
        <f>COUNTIFS(S$3:S785,"="&amp;S785,AI$3:AI785,"="&amp;AI785)</f>
        <v>1</v>
      </c>
      <c r="BT785" t="str">
        <f>IFERROR(VLOOKUP(BB785&amp;BU785&amp;X785,game_rosters!U:W,3,FALSE),"")</f>
        <v>P100201</v>
      </c>
      <c r="BU785" t="str">
        <f t="shared" si="426"/>
        <v>Velodrome</v>
      </c>
    </row>
    <row r="786" spans="1:73" x14ac:dyDescent="0.2">
      <c r="A786">
        <f t="shared" si="413"/>
        <v>1</v>
      </c>
      <c r="E786" s="4"/>
      <c r="F786" s="43"/>
      <c r="G786" s="4"/>
      <c r="H786" s="46"/>
      <c r="J786" s="44" t="str">
        <f t="shared" si="427"/>
        <v/>
      </c>
      <c r="K786" t="s">
        <v>7</v>
      </c>
      <c r="L786" t="s">
        <v>172</v>
      </c>
      <c r="M786" t="s">
        <v>68</v>
      </c>
      <c r="N786" t="str">
        <f t="shared" si="398"/>
        <v>s</v>
      </c>
      <c r="Q786" t="str">
        <f t="shared" si="428"/>
        <v/>
      </c>
      <c r="S786">
        <v>418</v>
      </c>
      <c r="U786" t="str">
        <f>IF(B786=1,MAX($U$2:$U785)+1,IF(AND($T786&lt;&gt;"",$T786=$T785),$U785,IF(B786="x",U785,"")))</f>
        <v/>
      </c>
      <c r="V786" t="str">
        <f>IF(C786=1,MAX($V$2:$V785)+1,IF(AND($T786&lt;&gt;"",$T786=$T785),$U785,IF(C786="x",V785,"")))</f>
        <v/>
      </c>
      <c r="W786" t="str">
        <f t="shared" si="402"/>
        <v>a</v>
      </c>
      <c r="X786">
        <v>91</v>
      </c>
      <c r="Y786" t="e">
        <f>IF(X786&lt;&gt;"",VLOOKUP(X786,game_rosters!$C$43:$E$64,3,FALSE))</f>
        <v>#N/A</v>
      </c>
      <c r="Z786" cm="1">
        <f t="array" ref="Z786">IFERROR(IF(_xlfn._xlws.FILTER(game_rosters!$J:$J,(game_rosters!$G:$G=events!$AN786)*(game_rosters!$J:$J=events!$X786))&gt;0,1,""),"")</f>
        <v>1</v>
      </c>
      <c r="AA786">
        <f t="shared" si="403"/>
        <v>1418</v>
      </c>
      <c r="AB786" t="str">
        <f t="shared" si="404"/>
        <v/>
      </c>
      <c r="AC786">
        <f t="shared" si="401"/>
        <v>1418</v>
      </c>
      <c r="AD786" s="6">
        <v>1</v>
      </c>
      <c r="AE786" t="s">
        <v>943</v>
      </c>
      <c r="AF786" t="s">
        <v>743</v>
      </c>
      <c r="AG786" t="s">
        <v>756</v>
      </c>
      <c r="AH786" t="s">
        <v>756</v>
      </c>
      <c r="AI786" t="s">
        <v>367</v>
      </c>
      <c r="AJ786" t="str">
        <f t="shared" si="405"/>
        <v/>
      </c>
      <c r="AK786" t="str">
        <f t="shared" si="405"/>
        <v/>
      </c>
      <c r="AL786" t="str">
        <f t="shared" si="406"/>
        <v/>
      </c>
      <c r="AN786" t="s">
        <v>862</v>
      </c>
      <c r="AO786" t="str">
        <f t="shared" si="407"/>
        <v>a</v>
      </c>
      <c r="AP786" t="str">
        <f t="shared" si="414"/>
        <v/>
      </c>
      <c r="AQ786" t="str">
        <f t="shared" si="415"/>
        <v/>
      </c>
      <c r="AR786" t="str">
        <f t="shared" si="416"/>
        <v>Away</v>
      </c>
      <c r="AS786" t="str">
        <f t="shared" si="417"/>
        <v>a</v>
      </c>
      <c r="AT786" t="str">
        <f t="shared" si="418"/>
        <v>Offensive</v>
      </c>
      <c r="BA786" s="6">
        <f t="shared" si="408"/>
        <v>206</v>
      </c>
      <c r="BB786">
        <f t="shared" si="409"/>
        <v>18981</v>
      </c>
      <c r="BC786" t="str">
        <f t="shared" si="410"/>
        <v>Nelson</v>
      </c>
      <c r="BD786" t="str">
        <f t="shared" si="411"/>
        <v>Velodrome</v>
      </c>
      <c r="BE786" t="s">
        <v>7</v>
      </c>
      <c r="BF786" t="s">
        <v>172</v>
      </c>
      <c r="BG786" t="s">
        <v>68</v>
      </c>
      <c r="BI786" cm="1">
        <f t="array" ref="BI786">IFERROR(_xlfn._xlws.FILTER(shifts!A:A,(shifts!B:B=events!AD786)*(shifts!AG:AG&gt;=events!BK786)*(shifts!AH:AH&lt;=events!BL786)),BI785)</f>
        <v>38</v>
      </c>
      <c r="BJ786" s="15">
        <f t="shared" si="412"/>
        <v>0</v>
      </c>
      <c r="BK786">
        <f t="shared" si="419"/>
        <v>78</v>
      </c>
      <c r="BL786">
        <f t="shared" si="420"/>
        <v>78</v>
      </c>
      <c r="BM786" s="15">
        <f>SUMIFS(BJ$2:BJ786,K$2:K786,"=Intermission")+SUMIFS(BJ$2:BJ786,K$2:K786,"=Timeout")</f>
        <v>0</v>
      </c>
      <c r="BN786">
        <f t="shared" si="421"/>
        <v>0</v>
      </c>
      <c r="BO786" s="19">
        <f t="shared" si="422"/>
        <v>1002</v>
      </c>
      <c r="BP786">
        <f t="shared" si="423"/>
        <v>997</v>
      </c>
      <c r="BQ786" s="17">
        <f t="shared" si="424"/>
        <v>1002</v>
      </c>
      <c r="BR786" t="str">
        <f t="shared" si="425"/>
        <v>event_team_player_2</v>
      </c>
      <c r="BS786">
        <f>COUNTIFS(S$3:S786,"="&amp;S786,AI$3:AI786,"="&amp;AI786)</f>
        <v>2</v>
      </c>
      <c r="BT786" t="str">
        <f>IFERROR(VLOOKUP(BB786&amp;BU786&amp;X786,game_rosters!U:W,3,FALSE),"")</f>
        <v>P100002</v>
      </c>
      <c r="BU786" t="str">
        <f t="shared" si="426"/>
        <v>Velodrome</v>
      </c>
    </row>
    <row r="787" spans="1:73" x14ac:dyDescent="0.2">
      <c r="A787">
        <f t="shared" si="413"/>
        <v>1</v>
      </c>
      <c r="E787" s="4"/>
      <c r="F787" s="43"/>
      <c r="G787" s="4"/>
      <c r="H787" s="46"/>
      <c r="J787" s="44" t="str">
        <f t="shared" si="427"/>
        <v/>
      </c>
      <c r="K787" t="s">
        <v>9</v>
      </c>
      <c r="L787" t="s">
        <v>173</v>
      </c>
      <c r="M787" t="s">
        <v>71</v>
      </c>
      <c r="N787" t="str">
        <f t="shared" si="398"/>
        <v>u</v>
      </c>
      <c r="Q787" t="str">
        <f t="shared" si="428"/>
        <v/>
      </c>
      <c r="S787">
        <v>419</v>
      </c>
      <c r="U787" t="str">
        <f>IF(B787=1,MAX($U$2:$U786)+1,IF(AND($T787&lt;&gt;"",$T787=$T786),$U786,IF(B787="x",U786,"")))</f>
        <v/>
      </c>
      <c r="V787" t="str">
        <f>IF(C787=1,MAX($V$2:$V786)+1,IF(AND($T787&lt;&gt;"",$T787=$T786),$U786,IF(C787="x",V786,"")))</f>
        <v/>
      </c>
      <c r="W787" t="str">
        <f t="shared" si="402"/>
        <v>a</v>
      </c>
      <c r="X787">
        <v>91</v>
      </c>
      <c r="Y787" t="e">
        <f>IF(X787&lt;&gt;"",VLOOKUP(X787,game_rosters!$C$43:$E$64,3,FALSE))</f>
        <v>#N/A</v>
      </c>
      <c r="Z787" cm="1">
        <f t="array" ref="Z787">IFERROR(IF(_xlfn._xlws.FILTER(game_rosters!$J:$J,(game_rosters!$G:$G=events!$AN787)*(game_rosters!$J:$J=events!$X787))&gt;0,1,""),"")</f>
        <v>1</v>
      </c>
      <c r="AA787">
        <f t="shared" si="403"/>
        <v>1419</v>
      </c>
      <c r="AB787" t="str">
        <f t="shared" si="404"/>
        <v/>
      </c>
      <c r="AC787">
        <f t="shared" si="401"/>
        <v>1419</v>
      </c>
      <c r="AD787" s="6">
        <v>1</v>
      </c>
      <c r="AE787" t="s">
        <v>943</v>
      </c>
      <c r="AF787" t="s">
        <v>732</v>
      </c>
      <c r="AG787" t="s">
        <v>756</v>
      </c>
      <c r="AH787" t="s">
        <v>756</v>
      </c>
      <c r="AI787" t="s">
        <v>367</v>
      </c>
      <c r="AJ787" t="str">
        <f t="shared" si="405"/>
        <v/>
      </c>
      <c r="AK787" t="str">
        <f t="shared" si="405"/>
        <v/>
      </c>
      <c r="AL787" t="str">
        <f t="shared" si="406"/>
        <v/>
      </c>
      <c r="AN787" t="s">
        <v>862</v>
      </c>
      <c r="AO787" t="str">
        <f t="shared" si="407"/>
        <v>a</v>
      </c>
      <c r="AP787" t="str">
        <f t="shared" si="414"/>
        <v/>
      </c>
      <c r="AQ787" t="str">
        <f t="shared" si="415"/>
        <v/>
      </c>
      <c r="AR787" t="str">
        <f t="shared" si="416"/>
        <v>Away</v>
      </c>
      <c r="AS787" t="str">
        <f t="shared" si="417"/>
        <v>a</v>
      </c>
      <c r="AT787" t="str">
        <f t="shared" si="418"/>
        <v>Offensive</v>
      </c>
      <c r="BA787" s="6">
        <f t="shared" si="408"/>
        <v>206</v>
      </c>
      <c r="BB787">
        <f t="shared" si="409"/>
        <v>18981</v>
      </c>
      <c r="BC787" t="str">
        <f t="shared" si="410"/>
        <v>Nelson</v>
      </c>
      <c r="BD787" t="str">
        <f t="shared" si="411"/>
        <v>Velodrome</v>
      </c>
      <c r="BE787" t="s">
        <v>9</v>
      </c>
      <c r="BF787" t="s">
        <v>173</v>
      </c>
      <c r="BG787" t="s">
        <v>71</v>
      </c>
      <c r="BI787" cm="1">
        <f t="array" ref="BI787">IFERROR(_xlfn._xlws.FILTER(shifts!A:A,(shifts!B:B=events!AD787)*(shifts!AG:AG&gt;=events!BK787)*(shifts!AH:AH&lt;=events!BL787)),BI786)</f>
        <v>38</v>
      </c>
      <c r="BJ787" s="15">
        <f t="shared" si="412"/>
        <v>0</v>
      </c>
      <c r="BK787">
        <f t="shared" si="419"/>
        <v>77</v>
      </c>
      <c r="BL787">
        <f t="shared" si="420"/>
        <v>77</v>
      </c>
      <c r="BM787" s="15">
        <f>SUMIFS(BJ$2:BJ787,K$2:K787,"=Intermission")+SUMIFS(BJ$2:BJ787,K$2:K787,"=Timeout")</f>
        <v>0</v>
      </c>
      <c r="BN787">
        <f t="shared" si="421"/>
        <v>0</v>
      </c>
      <c r="BO787" s="19">
        <f t="shared" si="422"/>
        <v>1003</v>
      </c>
      <c r="BP787">
        <f t="shared" si="423"/>
        <v>998</v>
      </c>
      <c r="BQ787" s="17">
        <f t="shared" si="424"/>
        <v>1003</v>
      </c>
      <c r="BR787" t="str">
        <f t="shared" si="425"/>
        <v>event_team_player_1</v>
      </c>
      <c r="BS787">
        <f>COUNTIFS(S$3:S787,"="&amp;S787,AI$3:AI787,"="&amp;AI787)</f>
        <v>1</v>
      </c>
      <c r="BT787" t="str">
        <f>IFERROR(VLOOKUP(BB787&amp;BU787&amp;X787,game_rosters!U:W,3,FALSE),"")</f>
        <v>P100002</v>
      </c>
      <c r="BU787" t="str">
        <f t="shared" si="426"/>
        <v>Velodrome</v>
      </c>
    </row>
    <row r="788" spans="1:73" x14ac:dyDescent="0.2">
      <c r="A788">
        <f t="shared" si="413"/>
        <v>1</v>
      </c>
      <c r="E788" s="4"/>
      <c r="F788" s="43"/>
      <c r="G788" s="4"/>
      <c r="H788" s="46"/>
      <c r="J788" s="44" t="str">
        <f t="shared" si="427"/>
        <v/>
      </c>
      <c r="K788" t="s">
        <v>13</v>
      </c>
      <c r="L788" t="s">
        <v>756</v>
      </c>
      <c r="M788" t="s">
        <v>756</v>
      </c>
      <c r="N788" t="str">
        <f t="shared" si="398"/>
        <v/>
      </c>
      <c r="Q788" t="str">
        <f t="shared" si="428"/>
        <v/>
      </c>
      <c r="S788">
        <v>420</v>
      </c>
      <c r="U788" t="str">
        <f>IF(B788=1,MAX($U$2:$U787)+1,IF(AND($T788&lt;&gt;"",$T788=$T787),$U787,IF(B788="x",U787,"")))</f>
        <v/>
      </c>
      <c r="V788" t="str">
        <f>IF(C788=1,MAX($V$2:$V787)+1,IF(AND($T788&lt;&gt;"",$T788=$T787),$U787,IF(C788="x",V787,"")))</f>
        <v/>
      </c>
      <c r="W788" t="str">
        <f t="shared" si="402"/>
        <v>h</v>
      </c>
      <c r="X788">
        <v>37</v>
      </c>
      <c r="Y788" t="b">
        <f>IF(X788&lt;&gt;"",VLOOKUP(X788,game_rosters!$C$43:$E$64,3,FALSE))</f>
        <v>0</v>
      </c>
      <c r="Z788" cm="1">
        <f t="array" ref="Z788">IFERROR(IF(_xlfn._xlws.FILTER(game_rosters!$J:$J,(game_rosters!$G:$G=events!$AN788)*(game_rosters!$J:$J=events!$X788))&gt;0,1,""),"")</f>
        <v>1</v>
      </c>
      <c r="AA788">
        <f t="shared" si="403"/>
        <v>1420</v>
      </c>
      <c r="AB788" t="str">
        <f t="shared" si="404"/>
        <v/>
      </c>
      <c r="AC788">
        <f t="shared" si="401"/>
        <v>1420</v>
      </c>
      <c r="AD788" s="6">
        <v>1</v>
      </c>
      <c r="AE788" t="s">
        <v>943</v>
      </c>
      <c r="AF788" t="s">
        <v>744</v>
      </c>
      <c r="AG788" t="s">
        <v>943</v>
      </c>
      <c r="AH788" t="s">
        <v>920</v>
      </c>
      <c r="AI788" t="s">
        <v>367</v>
      </c>
      <c r="AJ788" t="str">
        <f t="shared" ref="AJ788:AK803" si="429">IF($J788&lt;&gt;"",$J788,IF($AC788=$AC787,AJ787,""))</f>
        <v/>
      </c>
      <c r="AK788" t="str">
        <f t="shared" si="429"/>
        <v/>
      </c>
      <c r="AL788" t="str">
        <f t="shared" si="406"/>
        <v/>
      </c>
      <c r="AN788" t="s">
        <v>861</v>
      </c>
      <c r="AO788" t="str">
        <f t="shared" si="407"/>
        <v>h</v>
      </c>
      <c r="AP788" t="str">
        <f t="shared" si="414"/>
        <v/>
      </c>
      <c r="AQ788" t="str">
        <f t="shared" si="415"/>
        <v/>
      </c>
      <c r="AR788" t="str">
        <f t="shared" si="416"/>
        <v>Home</v>
      </c>
      <c r="AS788" t="str">
        <f t="shared" si="417"/>
        <v>h</v>
      </c>
      <c r="AT788" t="str">
        <f t="shared" si="418"/>
        <v>Offensive</v>
      </c>
      <c r="BA788" s="6">
        <f t="shared" si="408"/>
        <v>206</v>
      </c>
      <c r="BB788">
        <f t="shared" si="409"/>
        <v>18981</v>
      </c>
      <c r="BC788" t="str">
        <f t="shared" si="410"/>
        <v>Nelson</v>
      </c>
      <c r="BD788" t="str">
        <f t="shared" si="411"/>
        <v>Velodrome</v>
      </c>
      <c r="BE788" t="s">
        <v>13</v>
      </c>
      <c r="BF788" t="s">
        <v>756</v>
      </c>
      <c r="BG788" t="s">
        <v>756</v>
      </c>
      <c r="BI788" cm="1">
        <f t="array" ref="BI788">IFERROR(_xlfn._xlws.FILTER(shifts!A:A,(shifts!B:B=events!AD788)*(shifts!AG:AG&gt;=events!BK788)*(shifts!AH:AH&lt;=events!BL788)),BI787)</f>
        <v>38</v>
      </c>
      <c r="BJ788" s="15">
        <f t="shared" si="412"/>
        <v>6</v>
      </c>
      <c r="BK788">
        <f t="shared" si="419"/>
        <v>75</v>
      </c>
      <c r="BL788">
        <f t="shared" si="420"/>
        <v>69</v>
      </c>
      <c r="BM788" s="15">
        <f>SUMIFS(BJ$2:BJ788,K$2:K788,"=Intermission")+SUMIFS(BJ$2:BJ788,K$2:K788,"=Timeout")</f>
        <v>0</v>
      </c>
      <c r="BN788">
        <f t="shared" si="421"/>
        <v>0</v>
      </c>
      <c r="BO788" s="19">
        <f t="shared" si="422"/>
        <v>1005</v>
      </c>
      <c r="BP788">
        <f t="shared" si="423"/>
        <v>1000</v>
      </c>
      <c r="BQ788" s="17">
        <f t="shared" si="424"/>
        <v>1011</v>
      </c>
      <c r="BR788" t="str">
        <f t="shared" si="425"/>
        <v>event_team_player_1</v>
      </c>
      <c r="BS788">
        <f>COUNTIFS(S$3:S788,"="&amp;S788,AI$3:AI788,"="&amp;AI788)</f>
        <v>1</v>
      </c>
      <c r="BT788" t="str">
        <f>IFERROR(VLOOKUP(BB788&amp;BU788&amp;X788,game_rosters!U:W,3,FALSE),"")</f>
        <v>P100119</v>
      </c>
      <c r="BU788" t="str">
        <f t="shared" si="426"/>
        <v>Nelson</v>
      </c>
    </row>
    <row r="789" spans="1:73" x14ac:dyDescent="0.2">
      <c r="A789">
        <f t="shared" si="413"/>
        <v>1</v>
      </c>
      <c r="E789" s="4"/>
      <c r="F789" s="43"/>
      <c r="G789" s="4"/>
      <c r="H789" s="46"/>
      <c r="J789" s="44" t="str">
        <f t="shared" si="427"/>
        <v/>
      </c>
      <c r="K789" t="s">
        <v>13</v>
      </c>
      <c r="L789" t="s">
        <v>756</v>
      </c>
      <c r="M789" t="s">
        <v>756</v>
      </c>
      <c r="N789" t="str">
        <f t="shared" ref="N789:N852" si="430">IF(K789="","",IF(K789="Goal","s",IF(AND(K789="Zone_Entry_Exit",OR(ISNUMBER(SEARCH("fail",L789)),ISNUMBER(SEARCH("FromExitClear",M789)),ISNUMBER(SEARCH("miss",M789)))),"u",IF(AND(K789="Zone_Entry_Exit",OR(NOT(ISNUMBER(SEARCH("fail",L789))),NOT(ISNUMBER(SEARCH("FromExitClear",M789))),NOT(ISNUMBER(SEARCH("miss",M789))))),"s",IF(AND(OR(K789="Shot",K789="Pass"),OR(ISNUMBER(SEARCH("complete",L789)),ISNUMBER(SEARCH("goal",L789)),ISNUMBER(SEARCH("OnNet",L789)))),"s",IF(L789="Turnover_Giveaway","u",IF(AND(OR(K789="Shot",K789="Pass"),OR(ISNUMBER(SEARCH("fail",L789)),NOT(ISNUMBER(SEARCH("complete",L789))),NOT(ISNUMBER(SEARCH("OnNet",L789))))),"u","")))))))</f>
        <v/>
      </c>
      <c r="Q789" t="str">
        <f t="shared" si="428"/>
        <v/>
      </c>
      <c r="S789">
        <v>420</v>
      </c>
      <c r="U789" t="str">
        <f>IF(B789=1,MAX($U$2:$U788)+1,IF(AND($T789&lt;&gt;"",$T789=$T788),$U788,IF(B789="x",U788,"")))</f>
        <v/>
      </c>
      <c r="V789" t="str">
        <f>IF(C789=1,MAX($V$2:$V788)+1,IF(AND($T789&lt;&gt;"",$T789=$T788),$U788,IF(C789="x",V788,"")))</f>
        <v/>
      </c>
      <c r="W789" t="str">
        <f t="shared" si="402"/>
        <v>h</v>
      </c>
      <c r="X789">
        <v>42</v>
      </c>
      <c r="Y789" t="e">
        <f>IF(X789&lt;&gt;"",VLOOKUP(X789,game_rosters!$C$43:$E$64,3,FALSE))</f>
        <v>#N/A</v>
      </c>
      <c r="Z789" t="str" cm="1">
        <f t="array" ref="Z789">IFERROR(IF(_xlfn._xlws.FILTER(game_rosters!$J:$J,(game_rosters!$G:$G=events!$AN789)*(game_rosters!$J:$J=events!$X789))&gt;0,1,""),"")</f>
        <v/>
      </c>
      <c r="AA789">
        <f t="shared" si="403"/>
        <v>1420</v>
      </c>
      <c r="AB789" t="str">
        <f t="shared" si="404"/>
        <v/>
      </c>
      <c r="AC789">
        <f t="shared" si="401"/>
        <v>1420</v>
      </c>
      <c r="AD789" s="6">
        <v>1</v>
      </c>
      <c r="AE789" t="s">
        <v>943</v>
      </c>
      <c r="AF789" t="s">
        <v>744</v>
      </c>
      <c r="AG789" t="s">
        <v>943</v>
      </c>
      <c r="AH789" t="s">
        <v>920</v>
      </c>
      <c r="AI789" t="s">
        <v>368</v>
      </c>
      <c r="AJ789" t="str">
        <f t="shared" si="429"/>
        <v/>
      </c>
      <c r="AK789" t="str">
        <f t="shared" si="429"/>
        <v/>
      </c>
      <c r="AL789" t="str">
        <f t="shared" si="406"/>
        <v/>
      </c>
      <c r="AN789" t="s">
        <v>861</v>
      </c>
      <c r="AO789" t="str">
        <f t="shared" si="407"/>
        <v>h</v>
      </c>
      <c r="AP789" t="str">
        <f t="shared" si="414"/>
        <v/>
      </c>
      <c r="AQ789" t="str">
        <f t="shared" si="415"/>
        <v/>
      </c>
      <c r="AR789" t="str">
        <f t="shared" si="416"/>
        <v>Home</v>
      </c>
      <c r="AS789" t="str">
        <f t="shared" si="417"/>
        <v>h</v>
      </c>
      <c r="AT789" t="str">
        <f t="shared" si="418"/>
        <v>Defensive</v>
      </c>
      <c r="BA789" s="6">
        <f t="shared" si="408"/>
        <v>206</v>
      </c>
      <c r="BB789">
        <f t="shared" si="409"/>
        <v>18981</v>
      </c>
      <c r="BC789" t="str">
        <f t="shared" si="410"/>
        <v>Nelson</v>
      </c>
      <c r="BD789" t="str">
        <f t="shared" si="411"/>
        <v>Velodrome</v>
      </c>
      <c r="BE789" t="s">
        <v>13</v>
      </c>
      <c r="BF789" t="s">
        <v>756</v>
      </c>
      <c r="BG789" t="s">
        <v>756</v>
      </c>
      <c r="BI789" cm="1">
        <f t="array" ref="BI789">IFERROR(_xlfn._xlws.FILTER(shifts!A:A,(shifts!B:B=events!AD789)*(shifts!AG:AG&gt;=events!BK789)*(shifts!AH:AH&lt;=events!BL789)),BI788)</f>
        <v>38</v>
      </c>
      <c r="BJ789" s="15">
        <f t="shared" si="412"/>
        <v>6</v>
      </c>
      <c r="BK789">
        <f t="shared" si="419"/>
        <v>75</v>
      </c>
      <c r="BL789">
        <f t="shared" si="420"/>
        <v>69</v>
      </c>
      <c r="BM789" s="15">
        <f>SUMIFS(BJ$2:BJ789,K$2:K789,"=Intermission")+SUMIFS(BJ$2:BJ789,K$2:K789,"=Timeout")</f>
        <v>0</v>
      </c>
      <c r="BN789">
        <f t="shared" si="421"/>
        <v>0</v>
      </c>
      <c r="BO789" s="19">
        <f t="shared" si="422"/>
        <v>1005</v>
      </c>
      <c r="BP789">
        <f t="shared" si="423"/>
        <v>1000</v>
      </c>
      <c r="BQ789" s="17">
        <f t="shared" si="424"/>
        <v>1011</v>
      </c>
      <c r="BR789" t="str">
        <f t="shared" si="425"/>
        <v>opp_team_player_1</v>
      </c>
      <c r="BS789">
        <f>COUNTIFS(S$3:S789,"="&amp;S789,AI$3:AI789,"="&amp;AI789)</f>
        <v>1</v>
      </c>
      <c r="BT789" t="str">
        <f>IFERROR(VLOOKUP(BB789&amp;BU789&amp;X789,game_rosters!U:W,3,FALSE),"")</f>
        <v>P100201</v>
      </c>
      <c r="BU789" t="str">
        <f t="shared" si="426"/>
        <v>Velodrome</v>
      </c>
    </row>
    <row r="790" spans="1:73" x14ac:dyDescent="0.2">
      <c r="A790">
        <f t="shared" si="413"/>
        <v>1</v>
      </c>
      <c r="E790" s="4"/>
      <c r="F790" s="43"/>
      <c r="G790" s="4"/>
      <c r="H790" s="46"/>
      <c r="J790" s="44" t="str">
        <f t="shared" si="427"/>
        <v>d</v>
      </c>
      <c r="K790" t="s">
        <v>238</v>
      </c>
      <c r="L790" t="s">
        <v>184</v>
      </c>
      <c r="M790" t="s">
        <v>88</v>
      </c>
      <c r="N790" t="str">
        <f t="shared" si="430"/>
        <v>s</v>
      </c>
      <c r="Q790" t="str">
        <f t="shared" si="428"/>
        <v/>
      </c>
      <c r="S790">
        <v>421</v>
      </c>
      <c r="U790" t="str">
        <f>IF(B790=1,MAX($U$2:$U789)+1,IF(AND($T790&lt;&gt;"",$T790=$T789),$U789,IF(B790="x",U789,"")))</f>
        <v/>
      </c>
      <c r="V790" t="str">
        <f>IF(C790=1,MAX($V$2:$V789)+1,IF(AND($T790&lt;&gt;"",$T790=$T789),$U789,IF(C790="x",V789,"")))</f>
        <v/>
      </c>
      <c r="W790" t="str">
        <f t="shared" si="402"/>
        <v>h</v>
      </c>
      <c r="X790">
        <v>37</v>
      </c>
      <c r="Y790" t="b">
        <f>IF(X790&lt;&gt;"",VLOOKUP(X790,game_rosters!$C$43:$E$64,3,FALSE))</f>
        <v>0</v>
      </c>
      <c r="Z790" cm="1">
        <f t="array" ref="Z790">IFERROR(IF(_xlfn._xlws.FILTER(game_rosters!$J:$J,(game_rosters!$G:$G=events!$AN790)*(game_rosters!$J:$J=events!$X790))&gt;0,1,""),"")</f>
        <v>1</v>
      </c>
      <c r="AA790">
        <f t="shared" si="403"/>
        <v>1421</v>
      </c>
      <c r="AB790" t="str">
        <f t="shared" si="404"/>
        <v/>
      </c>
      <c r="AC790">
        <f t="shared" si="401"/>
        <v>1421</v>
      </c>
      <c r="AD790" s="6">
        <v>1</v>
      </c>
      <c r="AE790" t="s">
        <v>943</v>
      </c>
      <c r="AF790" t="s">
        <v>920</v>
      </c>
      <c r="AG790" t="s">
        <v>943</v>
      </c>
      <c r="AH790" t="s">
        <v>912</v>
      </c>
      <c r="AI790" t="s">
        <v>367</v>
      </c>
      <c r="AJ790" t="str">
        <f t="shared" si="429"/>
        <v>d</v>
      </c>
      <c r="AK790" t="str">
        <f t="shared" si="429"/>
        <v>d</v>
      </c>
      <c r="AL790" t="str">
        <f t="shared" si="406"/>
        <v>d</v>
      </c>
      <c r="AN790" t="s">
        <v>861</v>
      </c>
      <c r="AO790" t="str">
        <f t="shared" si="407"/>
        <v>h</v>
      </c>
      <c r="AP790" t="str">
        <f t="shared" si="414"/>
        <v>d</v>
      </c>
      <c r="AQ790" t="str">
        <f t="shared" si="415"/>
        <v/>
      </c>
      <c r="AR790" t="str">
        <f t="shared" si="416"/>
        <v>Home</v>
      </c>
      <c r="AS790" t="str">
        <f t="shared" si="417"/>
        <v>h</v>
      </c>
      <c r="AT790" t="str">
        <f t="shared" si="418"/>
        <v>Offensive</v>
      </c>
      <c r="BA790" s="6">
        <f t="shared" si="408"/>
        <v>207</v>
      </c>
      <c r="BB790">
        <f t="shared" si="409"/>
        <v>18981</v>
      </c>
      <c r="BC790" t="str">
        <f t="shared" si="410"/>
        <v>Nelson</v>
      </c>
      <c r="BD790" t="str">
        <f t="shared" si="411"/>
        <v>Velodrome</v>
      </c>
      <c r="BE790" t="s">
        <v>238</v>
      </c>
      <c r="BF790" t="s">
        <v>184</v>
      </c>
      <c r="BG790" t="s">
        <v>88</v>
      </c>
      <c r="BI790" cm="1">
        <f t="array" ref="BI790">IFERROR(_xlfn._xlws.FILTER(shifts!A:A,(shifts!B:B=events!AD790)*(shifts!AG:AG&gt;=events!BK790)*(shifts!AH:AH&lt;=events!BL790)),BI789)</f>
        <v>38</v>
      </c>
      <c r="BJ790" s="15">
        <f t="shared" si="412"/>
        <v>4</v>
      </c>
      <c r="BK790">
        <f t="shared" si="419"/>
        <v>69</v>
      </c>
      <c r="BL790">
        <f t="shared" si="420"/>
        <v>65</v>
      </c>
      <c r="BM790" s="15">
        <f>SUMIFS(BJ$2:BJ790,K$2:K790,"=Intermission")+SUMIFS(BJ$2:BJ790,K$2:K790,"=Timeout")</f>
        <v>0</v>
      </c>
      <c r="BN790">
        <f t="shared" si="421"/>
        <v>0</v>
      </c>
      <c r="BO790" s="19">
        <f t="shared" si="422"/>
        <v>1011</v>
      </c>
      <c r="BP790">
        <f t="shared" si="423"/>
        <v>1006</v>
      </c>
      <c r="BQ790" s="17">
        <f t="shared" si="424"/>
        <v>1015</v>
      </c>
      <c r="BR790" t="str">
        <f t="shared" si="425"/>
        <v>event_team_player_1</v>
      </c>
      <c r="BS790">
        <f>COUNTIFS(S$3:S790,"="&amp;S790,AI$3:AI790,"="&amp;AI790)</f>
        <v>1</v>
      </c>
      <c r="BT790" t="str">
        <f>IFERROR(VLOOKUP(BB790&amp;BU790&amp;X790,game_rosters!U:W,3,FALSE),"")</f>
        <v>P100119</v>
      </c>
      <c r="BU790" t="str">
        <f t="shared" si="426"/>
        <v>Nelson</v>
      </c>
    </row>
    <row r="791" spans="1:73" x14ac:dyDescent="0.2">
      <c r="A791">
        <f t="shared" si="413"/>
        <v>1</v>
      </c>
      <c r="E791" s="4"/>
      <c r="F791" s="43"/>
      <c r="G791" s="4"/>
      <c r="H791" s="46"/>
      <c r="J791" s="44" t="str">
        <f t="shared" si="427"/>
        <v/>
      </c>
      <c r="K791" t="s">
        <v>13</v>
      </c>
      <c r="L791" t="s">
        <v>756</v>
      </c>
      <c r="M791" t="s">
        <v>756</v>
      </c>
      <c r="N791" t="str">
        <f t="shared" si="430"/>
        <v/>
      </c>
      <c r="Q791" t="str">
        <f t="shared" si="428"/>
        <v/>
      </c>
      <c r="S791">
        <v>422</v>
      </c>
      <c r="U791" t="str">
        <f>IF(B791=1,MAX($U$2:$U790)+1,IF(AND($T791&lt;&gt;"",$T791=$T790),$U790,IF(B791="x",U790,"")))</f>
        <v/>
      </c>
      <c r="V791" t="str">
        <f>IF(C791=1,MAX($V$2:$V790)+1,IF(AND($T791&lt;&gt;"",$T791=$T790),$U790,IF(C791="x",V790,"")))</f>
        <v/>
      </c>
      <c r="W791" t="str">
        <f t="shared" si="402"/>
        <v>h</v>
      </c>
      <c r="X791">
        <v>37</v>
      </c>
      <c r="Y791" t="b">
        <f>IF(X791&lt;&gt;"",VLOOKUP(X791,game_rosters!$C$43:$E$64,3,FALSE))</f>
        <v>0</v>
      </c>
      <c r="Z791" cm="1">
        <f t="array" ref="Z791">IFERROR(IF(_xlfn._xlws.FILTER(game_rosters!$J:$J,(game_rosters!$G:$G=events!$AN791)*(game_rosters!$J:$J=events!$X791))&gt;0,1,""),"")</f>
        <v>1</v>
      </c>
      <c r="AA791">
        <f t="shared" si="403"/>
        <v>1422</v>
      </c>
      <c r="AB791" t="str">
        <f t="shared" si="404"/>
        <v/>
      </c>
      <c r="AC791">
        <f t="shared" si="401"/>
        <v>1422</v>
      </c>
      <c r="AD791" s="6">
        <v>1</v>
      </c>
      <c r="AE791" t="s">
        <v>943</v>
      </c>
      <c r="AF791" t="s">
        <v>912</v>
      </c>
      <c r="AG791" t="s">
        <v>943</v>
      </c>
      <c r="AH791" t="s">
        <v>925</v>
      </c>
      <c r="AI791" t="s">
        <v>367</v>
      </c>
      <c r="AJ791" t="str">
        <f t="shared" si="429"/>
        <v/>
      </c>
      <c r="AK791" t="str">
        <f t="shared" si="429"/>
        <v/>
      </c>
      <c r="AL791" t="str">
        <f t="shared" si="406"/>
        <v/>
      </c>
      <c r="AN791" t="s">
        <v>861</v>
      </c>
      <c r="AO791" t="str">
        <f t="shared" si="407"/>
        <v>h</v>
      </c>
      <c r="AP791" t="str">
        <f t="shared" si="414"/>
        <v/>
      </c>
      <c r="AQ791" t="str">
        <f t="shared" si="415"/>
        <v/>
      </c>
      <c r="AR791" t="str">
        <f t="shared" si="416"/>
        <v>Home</v>
      </c>
      <c r="AS791" t="str">
        <f t="shared" si="417"/>
        <v>h</v>
      </c>
      <c r="AT791" t="str">
        <f t="shared" si="418"/>
        <v>Offensive</v>
      </c>
      <c r="BA791" s="6">
        <f t="shared" si="408"/>
        <v>207</v>
      </c>
      <c r="BB791">
        <f t="shared" si="409"/>
        <v>18981</v>
      </c>
      <c r="BC791" t="str">
        <f t="shared" si="410"/>
        <v>Nelson</v>
      </c>
      <c r="BD791" t="str">
        <f t="shared" si="411"/>
        <v>Velodrome</v>
      </c>
      <c r="BE791" t="s">
        <v>13</v>
      </c>
      <c r="BF791" t="s">
        <v>756</v>
      </c>
      <c r="BG791" t="s">
        <v>756</v>
      </c>
      <c r="BI791" cm="1">
        <f t="array" ref="BI791">IFERROR(_xlfn._xlws.FILTER(shifts!A:A,(shifts!B:B=events!AD791)*(shifts!AG:AG&gt;=events!BK791)*(shifts!AH:AH&lt;=events!BL791)),BI790)</f>
        <v>38</v>
      </c>
      <c r="BJ791" s="15">
        <f t="shared" si="412"/>
        <v>2</v>
      </c>
      <c r="BK791">
        <f t="shared" si="419"/>
        <v>65</v>
      </c>
      <c r="BL791">
        <f t="shared" si="420"/>
        <v>63</v>
      </c>
      <c r="BM791" s="15">
        <f>SUMIFS(BJ$2:BJ791,K$2:K791,"=Intermission")+SUMIFS(BJ$2:BJ791,K$2:K791,"=Timeout")</f>
        <v>0</v>
      </c>
      <c r="BN791">
        <f t="shared" si="421"/>
        <v>0</v>
      </c>
      <c r="BO791" s="19">
        <f t="shared" si="422"/>
        <v>1015</v>
      </c>
      <c r="BP791">
        <f t="shared" si="423"/>
        <v>1010</v>
      </c>
      <c r="BQ791" s="17">
        <f t="shared" si="424"/>
        <v>1017</v>
      </c>
      <c r="BR791" t="str">
        <f t="shared" si="425"/>
        <v>event_team_player_1</v>
      </c>
      <c r="BS791">
        <f>COUNTIFS(S$3:S791,"="&amp;S791,AI$3:AI791,"="&amp;AI791)</f>
        <v>1</v>
      </c>
      <c r="BT791" t="str">
        <f>IFERROR(VLOOKUP(BB791&amp;BU791&amp;X791,game_rosters!U:W,3,FALSE),"")</f>
        <v>P100119</v>
      </c>
      <c r="BU791" t="str">
        <f t="shared" si="426"/>
        <v>Nelson</v>
      </c>
    </row>
    <row r="792" spans="1:73" x14ac:dyDescent="0.2">
      <c r="A792">
        <f t="shared" si="413"/>
        <v>1</v>
      </c>
      <c r="E792" s="4"/>
      <c r="F792" s="43"/>
      <c r="G792" s="4"/>
      <c r="H792" s="46"/>
      <c r="J792" s="44" t="str">
        <f t="shared" si="427"/>
        <v>o</v>
      </c>
      <c r="K792" t="s">
        <v>238</v>
      </c>
      <c r="L792" t="s">
        <v>174</v>
      </c>
      <c r="M792" t="s">
        <v>85</v>
      </c>
      <c r="N792" t="str">
        <f t="shared" si="430"/>
        <v>s</v>
      </c>
      <c r="Q792" t="str">
        <f t="shared" si="428"/>
        <v/>
      </c>
      <c r="S792">
        <v>423</v>
      </c>
      <c r="U792" t="str">
        <f>IF(B792=1,MAX($U$2:$U791)+1,IF(AND($T792&lt;&gt;"",$T792=$T791),$U791,IF(B792="x",U791,"")))</f>
        <v/>
      </c>
      <c r="V792" t="str">
        <f>IF(C792=1,MAX($V$2:$V791)+1,IF(AND($T792&lt;&gt;"",$T792=$T791),$U791,IF(C792="x",V791,"")))</f>
        <v/>
      </c>
      <c r="W792" t="str">
        <f t="shared" si="402"/>
        <v>h</v>
      </c>
      <c r="X792">
        <v>37</v>
      </c>
      <c r="Y792" t="b">
        <f>IF(X792&lt;&gt;"",VLOOKUP(X792,game_rosters!$C$43:$E$64,3,FALSE))</f>
        <v>0</v>
      </c>
      <c r="Z792" cm="1">
        <f t="array" ref="Z792">IFERROR(IF(_xlfn._xlws.FILTER(game_rosters!$J:$J,(game_rosters!$G:$G=events!$AN792)*(game_rosters!$J:$J=events!$X792))&gt;0,1,""),"")</f>
        <v>1</v>
      </c>
      <c r="AA792">
        <f t="shared" si="403"/>
        <v>1423</v>
      </c>
      <c r="AB792" t="str">
        <f t="shared" si="404"/>
        <v/>
      </c>
      <c r="AC792">
        <f t="shared" si="401"/>
        <v>1423</v>
      </c>
      <c r="AD792" s="6">
        <v>1</v>
      </c>
      <c r="AE792" t="s">
        <v>943</v>
      </c>
      <c r="AF792" t="s">
        <v>925</v>
      </c>
      <c r="AG792" t="s">
        <v>943</v>
      </c>
      <c r="AH792" t="s">
        <v>748</v>
      </c>
      <c r="AI792" t="s">
        <v>367</v>
      </c>
      <c r="AJ792" t="str">
        <f t="shared" si="429"/>
        <v>o</v>
      </c>
      <c r="AK792" t="str">
        <f t="shared" si="429"/>
        <v>o</v>
      </c>
      <c r="AL792" t="str">
        <f t="shared" si="406"/>
        <v>o</v>
      </c>
      <c r="AN792" t="s">
        <v>861</v>
      </c>
      <c r="AO792" t="str">
        <f t="shared" si="407"/>
        <v>h</v>
      </c>
      <c r="AP792" t="str">
        <f t="shared" si="414"/>
        <v>o</v>
      </c>
      <c r="AQ792" t="str">
        <f t="shared" si="415"/>
        <v/>
      </c>
      <c r="AR792" t="str">
        <f t="shared" si="416"/>
        <v>Home</v>
      </c>
      <c r="AS792" t="str">
        <f t="shared" si="417"/>
        <v>h</v>
      </c>
      <c r="AT792" t="str">
        <f t="shared" si="418"/>
        <v>Offensive</v>
      </c>
      <c r="BA792" s="6">
        <f t="shared" si="408"/>
        <v>208</v>
      </c>
      <c r="BB792">
        <f t="shared" si="409"/>
        <v>18981</v>
      </c>
      <c r="BC792" t="str">
        <f t="shared" si="410"/>
        <v>Nelson</v>
      </c>
      <c r="BD792" t="str">
        <f t="shared" si="411"/>
        <v>Velodrome</v>
      </c>
      <c r="BE792" t="s">
        <v>238</v>
      </c>
      <c r="BF792" t="s">
        <v>174</v>
      </c>
      <c r="BG792" t="s">
        <v>85</v>
      </c>
      <c r="BI792" cm="1">
        <f t="array" ref="BI792">IFERROR(_xlfn._xlws.FILTER(shifts!A:A,(shifts!B:B=events!AD792)*(shifts!AG:AG&gt;=events!BK792)*(shifts!AH:AH&lt;=events!BL792)),BI791)</f>
        <v>38</v>
      </c>
      <c r="BJ792" s="15">
        <f t="shared" si="412"/>
        <v>2</v>
      </c>
      <c r="BK792">
        <f t="shared" si="419"/>
        <v>63</v>
      </c>
      <c r="BL792">
        <f t="shared" si="420"/>
        <v>61</v>
      </c>
      <c r="BM792" s="15">
        <f>SUMIFS(BJ$2:BJ792,K$2:K792,"=Intermission")+SUMIFS(BJ$2:BJ792,K$2:K792,"=Timeout")</f>
        <v>0</v>
      </c>
      <c r="BN792">
        <f t="shared" si="421"/>
        <v>0</v>
      </c>
      <c r="BO792" s="19">
        <f t="shared" si="422"/>
        <v>1017</v>
      </c>
      <c r="BP792">
        <f t="shared" si="423"/>
        <v>1012</v>
      </c>
      <c r="BQ792" s="17">
        <f t="shared" si="424"/>
        <v>1019</v>
      </c>
      <c r="BR792" t="str">
        <f t="shared" si="425"/>
        <v>event_team_player_1</v>
      </c>
      <c r="BS792">
        <f>COUNTIFS(S$3:S792,"="&amp;S792,AI$3:AI792,"="&amp;AI792)</f>
        <v>1</v>
      </c>
      <c r="BT792" t="str">
        <f>IFERROR(VLOOKUP(BB792&amp;BU792&amp;X792,game_rosters!U:W,3,FALSE),"")</f>
        <v>P100119</v>
      </c>
      <c r="BU792" t="str">
        <f t="shared" si="426"/>
        <v>Nelson</v>
      </c>
    </row>
    <row r="793" spans="1:73" x14ac:dyDescent="0.2">
      <c r="A793">
        <f t="shared" si="413"/>
        <v>1</v>
      </c>
      <c r="E793" s="4"/>
      <c r="F793" s="43"/>
      <c r="G793" s="4"/>
      <c r="H793" s="46"/>
      <c r="J793" s="44" t="str">
        <f t="shared" si="427"/>
        <v>o</v>
      </c>
      <c r="K793" t="s">
        <v>238</v>
      </c>
      <c r="L793" t="s">
        <v>174</v>
      </c>
      <c r="M793" t="s">
        <v>85</v>
      </c>
      <c r="N793" t="str">
        <f t="shared" si="430"/>
        <v>s</v>
      </c>
      <c r="Q793" t="str">
        <f t="shared" si="428"/>
        <v/>
      </c>
      <c r="S793">
        <v>423</v>
      </c>
      <c r="U793" t="str">
        <f>IF(B793=1,MAX($U$2:$U792)+1,IF(AND($T793&lt;&gt;"",$T793=$T792),$U792,IF(B793="x",U792,"")))</f>
        <v/>
      </c>
      <c r="V793" t="str">
        <f>IF(C793=1,MAX($V$2:$V792)+1,IF(AND($T793&lt;&gt;"",$T793=$T792),$U792,IF(C793="x",V792,"")))</f>
        <v/>
      </c>
      <c r="W793" t="str">
        <f t="shared" si="402"/>
        <v>h</v>
      </c>
      <c r="X793">
        <v>16</v>
      </c>
      <c r="Y793" t="b">
        <f>IF(X793&lt;&gt;"",VLOOKUP(X793,game_rosters!$C$43:$E$64,3,FALSE))</f>
        <v>0</v>
      </c>
      <c r="Z793" cm="1">
        <f t="array" ref="Z793">IFERROR(IF(_xlfn._xlws.FILTER(game_rosters!$J:$J,(game_rosters!$G:$G=events!$AN793)*(game_rosters!$J:$J=events!$X793))&gt;0,1,""),"")</f>
        <v>1</v>
      </c>
      <c r="AA793">
        <f t="shared" si="403"/>
        <v>1423</v>
      </c>
      <c r="AB793" t="str">
        <f t="shared" si="404"/>
        <v/>
      </c>
      <c r="AC793">
        <f t="shared" si="401"/>
        <v>1423</v>
      </c>
      <c r="AD793" s="6">
        <v>1</v>
      </c>
      <c r="AE793" t="s">
        <v>943</v>
      </c>
      <c r="AF793" t="s">
        <v>925</v>
      </c>
      <c r="AG793" t="s">
        <v>943</v>
      </c>
      <c r="AH793" t="s">
        <v>748</v>
      </c>
      <c r="AI793" t="s">
        <v>367</v>
      </c>
      <c r="AJ793" t="str">
        <f t="shared" si="429"/>
        <v>o</v>
      </c>
      <c r="AK793" t="str">
        <f t="shared" si="429"/>
        <v>o</v>
      </c>
      <c r="AL793" t="str">
        <f t="shared" si="406"/>
        <v>o</v>
      </c>
      <c r="AN793" t="s">
        <v>861</v>
      </c>
      <c r="AO793" t="str">
        <f t="shared" si="407"/>
        <v>h</v>
      </c>
      <c r="AP793" t="str">
        <f t="shared" si="414"/>
        <v>o</v>
      </c>
      <c r="AQ793" t="str">
        <f t="shared" si="415"/>
        <v/>
      </c>
      <c r="AR793" t="str">
        <f t="shared" si="416"/>
        <v>Home</v>
      </c>
      <c r="AS793" t="str">
        <f t="shared" si="417"/>
        <v>h</v>
      </c>
      <c r="AT793" t="str">
        <f t="shared" si="418"/>
        <v>Offensive</v>
      </c>
      <c r="BA793" s="6">
        <f t="shared" si="408"/>
        <v>209</v>
      </c>
      <c r="BB793">
        <f t="shared" si="409"/>
        <v>18981</v>
      </c>
      <c r="BC793" t="str">
        <f t="shared" si="410"/>
        <v>Nelson</v>
      </c>
      <c r="BD793" t="str">
        <f t="shared" si="411"/>
        <v>Velodrome</v>
      </c>
      <c r="BE793" t="s">
        <v>238</v>
      </c>
      <c r="BF793" t="s">
        <v>174</v>
      </c>
      <c r="BG793" t="s">
        <v>85</v>
      </c>
      <c r="BI793" cm="1">
        <f t="array" ref="BI793">IFERROR(_xlfn._xlws.FILTER(shifts!A:A,(shifts!B:B=events!AD793)*(shifts!AG:AG&gt;=events!BK793)*(shifts!AH:AH&lt;=events!BL793)),BI792)</f>
        <v>38</v>
      </c>
      <c r="BJ793" s="15">
        <f t="shared" si="412"/>
        <v>2</v>
      </c>
      <c r="BK793">
        <f t="shared" si="419"/>
        <v>63</v>
      </c>
      <c r="BL793">
        <f t="shared" si="420"/>
        <v>61</v>
      </c>
      <c r="BM793" s="15">
        <f>SUMIFS(BJ$2:BJ793,K$2:K793,"=Intermission")+SUMIFS(BJ$2:BJ793,K$2:K793,"=Timeout")</f>
        <v>0</v>
      </c>
      <c r="BN793">
        <f t="shared" si="421"/>
        <v>0</v>
      </c>
      <c r="BO793" s="19">
        <f t="shared" si="422"/>
        <v>1017</v>
      </c>
      <c r="BP793">
        <f t="shared" si="423"/>
        <v>1012</v>
      </c>
      <c r="BQ793" s="17">
        <f t="shared" si="424"/>
        <v>1019</v>
      </c>
      <c r="BR793" t="str">
        <f t="shared" si="425"/>
        <v>event_team_player_2</v>
      </c>
      <c r="BS793">
        <f>COUNTIFS(S$3:S793,"="&amp;S793,AI$3:AI793,"="&amp;AI793)</f>
        <v>2</v>
      </c>
      <c r="BT793" t="str">
        <f>IFERROR(VLOOKUP(BB793&amp;BU793&amp;X793,game_rosters!U:W,3,FALSE),"")</f>
        <v>P100164</v>
      </c>
      <c r="BU793" t="str">
        <f t="shared" si="426"/>
        <v>Nelson</v>
      </c>
    </row>
    <row r="794" spans="1:73" x14ac:dyDescent="0.2">
      <c r="A794">
        <f t="shared" si="413"/>
        <v>1</v>
      </c>
      <c r="E794" s="4"/>
      <c r="F794" s="43"/>
      <c r="G794" s="4"/>
      <c r="H794" s="46"/>
      <c r="J794" s="44" t="str">
        <f t="shared" si="427"/>
        <v>o</v>
      </c>
      <c r="K794" t="s">
        <v>238</v>
      </c>
      <c r="L794" t="s">
        <v>174</v>
      </c>
      <c r="M794" t="s">
        <v>85</v>
      </c>
      <c r="N794" t="str">
        <f t="shared" si="430"/>
        <v>s</v>
      </c>
      <c r="Q794" t="str">
        <f t="shared" si="428"/>
        <v/>
      </c>
      <c r="S794">
        <v>423</v>
      </c>
      <c r="U794" t="str">
        <f>IF(B794=1,MAX($U$2:$U793)+1,IF(AND($T794&lt;&gt;"",$T794=$T793),$U793,IF(B794="x",U793,"")))</f>
        <v/>
      </c>
      <c r="V794" t="str">
        <f>IF(C794=1,MAX($V$2:$V793)+1,IF(AND($T794&lt;&gt;"",$T794=$T793),$U793,IF(C794="x",V793,"")))</f>
        <v/>
      </c>
      <c r="W794" t="str">
        <f t="shared" si="402"/>
        <v>h</v>
      </c>
      <c r="X794">
        <v>9</v>
      </c>
      <c r="Y794" t="e">
        <f>IF(X794&lt;&gt;"",VLOOKUP(X794,game_rosters!$C$43:$E$64,3,FALSE))</f>
        <v>#N/A</v>
      </c>
      <c r="Z794" t="str" cm="1">
        <f t="array" ref="Z794">IFERROR(IF(_xlfn._xlws.FILTER(game_rosters!$J:$J,(game_rosters!$G:$G=events!$AN794)*(game_rosters!$J:$J=events!$X794))&gt;0,1,""),"")</f>
        <v/>
      </c>
      <c r="AA794">
        <f t="shared" si="403"/>
        <v>1423</v>
      </c>
      <c r="AB794" t="str">
        <f t="shared" si="404"/>
        <v/>
      </c>
      <c r="AC794">
        <f t="shared" si="401"/>
        <v>1423</v>
      </c>
      <c r="AD794" s="6">
        <v>1</v>
      </c>
      <c r="AE794" t="s">
        <v>943</v>
      </c>
      <c r="AF794" t="s">
        <v>925</v>
      </c>
      <c r="AG794" t="s">
        <v>943</v>
      </c>
      <c r="AH794" t="s">
        <v>748</v>
      </c>
      <c r="AI794" t="s">
        <v>368</v>
      </c>
      <c r="AJ794" t="str">
        <f t="shared" si="429"/>
        <v>o</v>
      </c>
      <c r="AK794" t="str">
        <f t="shared" si="429"/>
        <v>o</v>
      </c>
      <c r="AL794" t="str">
        <f t="shared" si="406"/>
        <v>o</v>
      </c>
      <c r="AN794" t="s">
        <v>861</v>
      </c>
      <c r="AO794" t="str">
        <f t="shared" si="407"/>
        <v>h</v>
      </c>
      <c r="AP794" t="str">
        <f t="shared" si="414"/>
        <v>o</v>
      </c>
      <c r="AQ794" t="str">
        <f t="shared" si="415"/>
        <v/>
      </c>
      <c r="AR794" t="str">
        <f t="shared" si="416"/>
        <v>Home</v>
      </c>
      <c r="AS794" t="str">
        <f t="shared" si="417"/>
        <v>h</v>
      </c>
      <c r="AT794" t="str">
        <f t="shared" si="418"/>
        <v>Defensive</v>
      </c>
      <c r="BA794" s="6">
        <f t="shared" si="408"/>
        <v>210</v>
      </c>
      <c r="BB794">
        <f t="shared" si="409"/>
        <v>18981</v>
      </c>
      <c r="BC794" t="str">
        <f t="shared" si="410"/>
        <v>Nelson</v>
      </c>
      <c r="BD794" t="str">
        <f t="shared" si="411"/>
        <v>Velodrome</v>
      </c>
      <c r="BE794" t="s">
        <v>238</v>
      </c>
      <c r="BF794" t="s">
        <v>174</v>
      </c>
      <c r="BG794" t="s">
        <v>85</v>
      </c>
      <c r="BI794" cm="1">
        <f t="array" ref="BI794">IFERROR(_xlfn._xlws.FILTER(shifts!A:A,(shifts!B:B=events!AD794)*(shifts!AG:AG&gt;=events!BK794)*(shifts!AH:AH&lt;=events!BL794)),BI793)</f>
        <v>38</v>
      </c>
      <c r="BJ794" s="15">
        <f t="shared" si="412"/>
        <v>2</v>
      </c>
      <c r="BK794">
        <f t="shared" si="419"/>
        <v>63</v>
      </c>
      <c r="BL794">
        <f t="shared" si="420"/>
        <v>61</v>
      </c>
      <c r="BM794" s="15">
        <f>SUMIFS(BJ$2:BJ794,K$2:K794,"=Intermission")+SUMIFS(BJ$2:BJ794,K$2:K794,"=Timeout")</f>
        <v>0</v>
      </c>
      <c r="BN794">
        <f t="shared" si="421"/>
        <v>0</v>
      </c>
      <c r="BO794" s="19">
        <f t="shared" si="422"/>
        <v>1017</v>
      </c>
      <c r="BP794">
        <f t="shared" si="423"/>
        <v>1012</v>
      </c>
      <c r="BQ794" s="17">
        <f t="shared" si="424"/>
        <v>1019</v>
      </c>
      <c r="BR794" t="str">
        <f t="shared" si="425"/>
        <v>opp_team_player_1</v>
      </c>
      <c r="BS794">
        <f>COUNTIFS(S$3:S794,"="&amp;S794,AI$3:AI794,"="&amp;AI794)</f>
        <v>1</v>
      </c>
      <c r="BT794" t="str">
        <f>IFERROR(VLOOKUP(BB794&amp;BU794&amp;X794,game_rosters!U:W,3,FALSE),"")</f>
        <v>P100105</v>
      </c>
      <c r="BU794" t="str">
        <f t="shared" si="426"/>
        <v>Velodrome</v>
      </c>
    </row>
    <row r="795" spans="1:73" x14ac:dyDescent="0.2">
      <c r="A795">
        <f t="shared" si="413"/>
        <v>1</v>
      </c>
      <c r="E795" s="4"/>
      <c r="F795" s="43"/>
      <c r="G795" s="4"/>
      <c r="H795" s="46"/>
      <c r="J795" s="44" t="str">
        <f t="shared" si="427"/>
        <v>o</v>
      </c>
      <c r="K795" t="s">
        <v>238</v>
      </c>
      <c r="L795" t="s">
        <v>174</v>
      </c>
      <c r="M795" t="s">
        <v>85</v>
      </c>
      <c r="N795" t="str">
        <f t="shared" si="430"/>
        <v>s</v>
      </c>
      <c r="Q795" t="str">
        <f t="shared" si="428"/>
        <v/>
      </c>
      <c r="S795">
        <v>423</v>
      </c>
      <c r="U795" t="str">
        <f>IF(B795=1,MAX($U$2:$U794)+1,IF(AND($T795&lt;&gt;"",$T795=$T794),$U794,IF(B795="x",U794,"")))</f>
        <v/>
      </c>
      <c r="V795" t="str">
        <f>IF(C795=1,MAX($V$2:$V794)+1,IF(AND($T795&lt;&gt;"",$T795=$T794),$U794,IF(C795="x",V794,"")))</f>
        <v/>
      </c>
      <c r="W795" t="str">
        <f t="shared" si="402"/>
        <v>h</v>
      </c>
      <c r="X795">
        <v>91</v>
      </c>
      <c r="Y795" t="e">
        <f>IF(X795&lt;&gt;"",VLOOKUP(X795,game_rosters!$C$43:$E$64,3,FALSE))</f>
        <v>#N/A</v>
      </c>
      <c r="Z795" t="str" cm="1">
        <f t="array" ref="Z795">IFERROR(IF(_xlfn._xlws.FILTER(game_rosters!$J:$J,(game_rosters!$G:$G=events!$AN795)*(game_rosters!$J:$J=events!$X795))&gt;0,1,""),"")</f>
        <v/>
      </c>
      <c r="AA795">
        <f t="shared" si="403"/>
        <v>1423</v>
      </c>
      <c r="AB795" t="str">
        <f t="shared" si="404"/>
        <v/>
      </c>
      <c r="AC795">
        <f t="shared" si="401"/>
        <v>1423</v>
      </c>
      <c r="AD795" s="6">
        <v>1</v>
      </c>
      <c r="AE795" t="s">
        <v>943</v>
      </c>
      <c r="AF795" t="s">
        <v>925</v>
      </c>
      <c r="AG795" t="s">
        <v>943</v>
      </c>
      <c r="AH795" t="s">
        <v>748</v>
      </c>
      <c r="AI795" t="s">
        <v>368</v>
      </c>
      <c r="AJ795" t="str">
        <f t="shared" si="429"/>
        <v>o</v>
      </c>
      <c r="AK795" t="str">
        <f t="shared" si="429"/>
        <v>o</v>
      </c>
      <c r="AL795" t="str">
        <f t="shared" si="406"/>
        <v>o</v>
      </c>
      <c r="AN795" t="s">
        <v>861</v>
      </c>
      <c r="AO795" t="str">
        <f t="shared" si="407"/>
        <v>h</v>
      </c>
      <c r="AP795" t="str">
        <f t="shared" si="414"/>
        <v>o</v>
      </c>
      <c r="AQ795" t="str">
        <f t="shared" si="415"/>
        <v/>
      </c>
      <c r="AR795" t="str">
        <f t="shared" si="416"/>
        <v>Home</v>
      </c>
      <c r="AS795" t="str">
        <f t="shared" si="417"/>
        <v>h</v>
      </c>
      <c r="AT795" t="str">
        <f t="shared" si="418"/>
        <v>Defensive</v>
      </c>
      <c r="BA795" s="6">
        <f t="shared" si="408"/>
        <v>211</v>
      </c>
      <c r="BB795">
        <f t="shared" si="409"/>
        <v>18981</v>
      </c>
      <c r="BC795" t="str">
        <f t="shared" si="410"/>
        <v>Nelson</v>
      </c>
      <c r="BD795" t="str">
        <f t="shared" si="411"/>
        <v>Velodrome</v>
      </c>
      <c r="BE795" t="s">
        <v>238</v>
      </c>
      <c r="BF795" t="s">
        <v>174</v>
      </c>
      <c r="BG795" t="s">
        <v>85</v>
      </c>
      <c r="BI795" cm="1">
        <f t="array" ref="BI795">IFERROR(_xlfn._xlws.FILTER(shifts!A:A,(shifts!B:B=events!AD795)*(shifts!AG:AG&gt;=events!BK795)*(shifts!AH:AH&lt;=events!BL795)),BI794)</f>
        <v>38</v>
      </c>
      <c r="BJ795" s="15">
        <f t="shared" si="412"/>
        <v>2</v>
      </c>
      <c r="BK795">
        <f t="shared" si="419"/>
        <v>63</v>
      </c>
      <c r="BL795">
        <f t="shared" si="420"/>
        <v>61</v>
      </c>
      <c r="BM795" s="15">
        <f>SUMIFS(BJ$2:BJ795,K$2:K795,"=Intermission")+SUMIFS(BJ$2:BJ795,K$2:K795,"=Timeout")</f>
        <v>0</v>
      </c>
      <c r="BN795">
        <f t="shared" si="421"/>
        <v>0</v>
      </c>
      <c r="BO795" s="19">
        <f t="shared" si="422"/>
        <v>1017</v>
      </c>
      <c r="BP795">
        <f t="shared" si="423"/>
        <v>1012</v>
      </c>
      <c r="BQ795" s="17">
        <f t="shared" si="424"/>
        <v>1019</v>
      </c>
      <c r="BR795" t="str">
        <f t="shared" si="425"/>
        <v>opp_team_player_2</v>
      </c>
      <c r="BS795">
        <f>COUNTIFS(S$3:S795,"="&amp;S795,AI$3:AI795,"="&amp;AI795)</f>
        <v>2</v>
      </c>
      <c r="BT795" t="str">
        <f>IFERROR(VLOOKUP(BB795&amp;BU795&amp;X795,game_rosters!U:W,3,FALSE),"")</f>
        <v>P100002</v>
      </c>
      <c r="BU795" t="str">
        <f t="shared" si="426"/>
        <v>Velodrome</v>
      </c>
    </row>
    <row r="796" spans="1:73" x14ac:dyDescent="0.2">
      <c r="A796">
        <f t="shared" si="413"/>
        <v>1</v>
      </c>
      <c r="E796" s="4"/>
      <c r="F796" s="43"/>
      <c r="G796" s="4"/>
      <c r="H796" s="46"/>
      <c r="J796" s="44" t="str">
        <f t="shared" si="427"/>
        <v>o</v>
      </c>
      <c r="K796" t="s">
        <v>238</v>
      </c>
      <c r="L796" t="s">
        <v>174</v>
      </c>
      <c r="M796" t="s">
        <v>85</v>
      </c>
      <c r="N796" t="str">
        <f t="shared" si="430"/>
        <v>s</v>
      </c>
      <c r="Q796" t="str">
        <f t="shared" si="428"/>
        <v/>
      </c>
      <c r="S796">
        <v>423</v>
      </c>
      <c r="U796" t="str">
        <f>IF(B796=1,MAX($U$2:$U795)+1,IF(AND($T796&lt;&gt;"",$T796=$T795),$U795,IF(B796="x",U795,"")))</f>
        <v/>
      </c>
      <c r="V796" t="str">
        <f>IF(C796=1,MAX($V$2:$V795)+1,IF(AND($T796&lt;&gt;"",$T796=$T795),$U795,IF(C796="x",V795,"")))</f>
        <v/>
      </c>
      <c r="W796" t="str">
        <f t="shared" si="402"/>
        <v>h</v>
      </c>
      <c r="X796">
        <v>84</v>
      </c>
      <c r="Y796" t="e">
        <f>IF(X796&lt;&gt;"",VLOOKUP(X796,game_rosters!$C$43:$E$64,3,FALSE))</f>
        <v>#N/A</v>
      </c>
      <c r="Z796" t="str" cm="1">
        <f t="array" ref="Z796">IFERROR(IF(_xlfn._xlws.FILTER(game_rosters!$J:$J,(game_rosters!$G:$G=events!$AN796)*(game_rosters!$J:$J=events!$X796))&gt;0,1,""),"")</f>
        <v/>
      </c>
      <c r="AA796">
        <f t="shared" si="403"/>
        <v>1423</v>
      </c>
      <c r="AB796" t="str">
        <f t="shared" si="404"/>
        <v/>
      </c>
      <c r="AC796">
        <f t="shared" si="401"/>
        <v>1423</v>
      </c>
      <c r="AD796" s="6">
        <v>1</v>
      </c>
      <c r="AE796" t="s">
        <v>943</v>
      </c>
      <c r="AF796" t="s">
        <v>925</v>
      </c>
      <c r="AG796" t="s">
        <v>943</v>
      </c>
      <c r="AH796" t="s">
        <v>748</v>
      </c>
      <c r="AI796" t="s">
        <v>368</v>
      </c>
      <c r="AJ796" t="str">
        <f t="shared" si="429"/>
        <v>o</v>
      </c>
      <c r="AK796" t="str">
        <f t="shared" si="429"/>
        <v>o</v>
      </c>
      <c r="AL796" t="str">
        <f t="shared" si="406"/>
        <v>o</v>
      </c>
      <c r="AN796" t="s">
        <v>861</v>
      </c>
      <c r="AO796" t="str">
        <f t="shared" si="407"/>
        <v>h</v>
      </c>
      <c r="AP796" t="str">
        <f t="shared" si="414"/>
        <v>o</v>
      </c>
      <c r="AQ796" t="str">
        <f t="shared" si="415"/>
        <v/>
      </c>
      <c r="AR796" t="str">
        <f t="shared" si="416"/>
        <v>Home</v>
      </c>
      <c r="AS796" t="str">
        <f t="shared" si="417"/>
        <v>h</v>
      </c>
      <c r="AT796" t="str">
        <f t="shared" si="418"/>
        <v>Defensive</v>
      </c>
      <c r="BA796" s="6">
        <f t="shared" si="408"/>
        <v>212</v>
      </c>
      <c r="BB796">
        <f t="shared" si="409"/>
        <v>18981</v>
      </c>
      <c r="BC796" t="str">
        <f t="shared" si="410"/>
        <v>Nelson</v>
      </c>
      <c r="BD796" t="str">
        <f t="shared" si="411"/>
        <v>Velodrome</v>
      </c>
      <c r="BE796" t="s">
        <v>238</v>
      </c>
      <c r="BF796" t="s">
        <v>174</v>
      </c>
      <c r="BG796" t="s">
        <v>85</v>
      </c>
      <c r="BI796" cm="1">
        <f t="array" ref="BI796">IFERROR(_xlfn._xlws.FILTER(shifts!A:A,(shifts!B:B=events!AD796)*(shifts!AG:AG&gt;=events!BK796)*(shifts!AH:AH&lt;=events!BL796)),BI795)</f>
        <v>38</v>
      </c>
      <c r="BJ796" s="15">
        <f t="shared" si="412"/>
        <v>2</v>
      </c>
      <c r="BK796">
        <f t="shared" si="419"/>
        <v>63</v>
      </c>
      <c r="BL796">
        <f t="shared" si="420"/>
        <v>61</v>
      </c>
      <c r="BM796" s="15">
        <f>SUMIFS(BJ$2:BJ796,K$2:K796,"=Intermission")+SUMIFS(BJ$2:BJ796,K$2:K796,"=Timeout")</f>
        <v>0</v>
      </c>
      <c r="BN796">
        <f t="shared" si="421"/>
        <v>0</v>
      </c>
      <c r="BO796" s="19">
        <f t="shared" si="422"/>
        <v>1017</v>
      </c>
      <c r="BP796">
        <f t="shared" si="423"/>
        <v>1012</v>
      </c>
      <c r="BQ796" s="17">
        <f t="shared" si="424"/>
        <v>1019</v>
      </c>
      <c r="BR796" t="str">
        <f t="shared" si="425"/>
        <v>opp_team_player_3</v>
      </c>
      <c r="BS796">
        <f>COUNTIFS(S$3:S796,"="&amp;S796,AI$3:AI796,"="&amp;AI796)</f>
        <v>3</v>
      </c>
      <c r="BT796" t="str">
        <f>IFERROR(VLOOKUP(BB796&amp;BU796&amp;X796,game_rosters!U:W,3,FALSE),"")</f>
        <v>P100198</v>
      </c>
      <c r="BU796" t="str">
        <f t="shared" si="426"/>
        <v>Velodrome</v>
      </c>
    </row>
    <row r="797" spans="1:73" x14ac:dyDescent="0.2">
      <c r="A797">
        <f t="shared" si="413"/>
        <v>1</v>
      </c>
      <c r="E797" s="4"/>
      <c r="F797" s="43"/>
      <c r="G797" s="4"/>
      <c r="H797" s="46"/>
      <c r="J797" s="44" t="str">
        <f t="shared" si="427"/>
        <v/>
      </c>
      <c r="K797" t="s">
        <v>10</v>
      </c>
      <c r="L797" t="s">
        <v>175</v>
      </c>
      <c r="M797" t="s">
        <v>139</v>
      </c>
      <c r="N797" t="str">
        <f t="shared" si="430"/>
        <v/>
      </c>
      <c r="Q797" t="str">
        <f t="shared" si="428"/>
        <v/>
      </c>
      <c r="S797">
        <v>424</v>
      </c>
      <c r="U797" t="str">
        <f>IF(B797=1,MAX($U$2:$U796)+1,IF(AND($T797&lt;&gt;"",$T797=$T796),$U796,IF(B797="x",U796,"")))</f>
        <v/>
      </c>
      <c r="V797" t="str">
        <f>IF(C797=1,MAX($V$2:$V796)+1,IF(AND($T797&lt;&gt;"",$T797=$T796),$U796,IF(C797="x",V796,"")))</f>
        <v/>
      </c>
      <c r="W797" t="str">
        <f t="shared" si="402"/>
        <v>a</v>
      </c>
      <c r="X797">
        <v>9</v>
      </c>
      <c r="Y797" t="e">
        <f>IF(X797&lt;&gt;"",VLOOKUP(X797,game_rosters!$C$43:$E$64,3,FALSE))</f>
        <v>#N/A</v>
      </c>
      <c r="Z797" cm="1">
        <f t="array" ref="Z797">IFERROR(IF(_xlfn._xlws.FILTER(game_rosters!$J:$J,(game_rosters!$G:$G=events!$AN797)*(game_rosters!$J:$J=events!$X797))&gt;0,1,""),"")</f>
        <v>1</v>
      </c>
      <c r="AA797">
        <f t="shared" si="403"/>
        <v>1424</v>
      </c>
      <c r="AB797" t="str">
        <f t="shared" si="404"/>
        <v/>
      </c>
      <c r="AC797">
        <f t="shared" si="401"/>
        <v>1424</v>
      </c>
      <c r="AD797" s="6">
        <v>1</v>
      </c>
      <c r="AE797" t="s">
        <v>943</v>
      </c>
      <c r="AF797" t="s">
        <v>748</v>
      </c>
      <c r="AG797" t="s">
        <v>756</v>
      </c>
      <c r="AH797" t="s">
        <v>756</v>
      </c>
      <c r="AI797" t="s">
        <v>367</v>
      </c>
      <c r="AJ797" t="str">
        <f t="shared" si="429"/>
        <v/>
      </c>
      <c r="AK797" t="str">
        <f t="shared" si="429"/>
        <v/>
      </c>
      <c r="AL797" t="str">
        <f t="shared" si="406"/>
        <v/>
      </c>
      <c r="AN797" t="s">
        <v>862</v>
      </c>
      <c r="AO797" t="str">
        <f t="shared" si="407"/>
        <v>a</v>
      </c>
      <c r="AP797" t="str">
        <f t="shared" si="414"/>
        <v/>
      </c>
      <c r="AQ797" t="str">
        <f t="shared" si="415"/>
        <v/>
      </c>
      <c r="AR797" t="str">
        <f t="shared" si="416"/>
        <v>Away</v>
      </c>
      <c r="AS797" t="str">
        <f t="shared" si="417"/>
        <v>a</v>
      </c>
      <c r="AT797" t="str">
        <f t="shared" si="418"/>
        <v>Offensive</v>
      </c>
      <c r="BA797" s="6">
        <f t="shared" si="408"/>
        <v>212</v>
      </c>
      <c r="BB797">
        <f t="shared" si="409"/>
        <v>18981</v>
      </c>
      <c r="BC797" t="str">
        <f t="shared" si="410"/>
        <v>Nelson</v>
      </c>
      <c r="BD797" t="str">
        <f t="shared" si="411"/>
        <v>Velodrome</v>
      </c>
      <c r="BE797" t="s">
        <v>10</v>
      </c>
      <c r="BF797" t="s">
        <v>175</v>
      </c>
      <c r="BG797" t="s">
        <v>139</v>
      </c>
      <c r="BI797" cm="1">
        <f t="array" ref="BI797">IFERROR(_xlfn._xlws.FILTER(shifts!A:A,(shifts!B:B=events!AD797)*(shifts!AG:AG&gt;=events!BK797)*(shifts!AH:AH&lt;=events!BL797)),BI796)</f>
        <v>38</v>
      </c>
      <c r="BJ797" s="15">
        <f t="shared" si="412"/>
        <v>0</v>
      </c>
      <c r="BK797">
        <f t="shared" si="419"/>
        <v>61</v>
      </c>
      <c r="BL797">
        <f t="shared" si="420"/>
        <v>61</v>
      </c>
      <c r="BM797" s="15">
        <f>SUMIFS(BJ$2:BJ797,K$2:K797,"=Intermission")+SUMIFS(BJ$2:BJ797,K$2:K797,"=Timeout")</f>
        <v>0</v>
      </c>
      <c r="BN797">
        <f t="shared" si="421"/>
        <v>0</v>
      </c>
      <c r="BO797" s="19">
        <f t="shared" si="422"/>
        <v>1019</v>
      </c>
      <c r="BP797">
        <f t="shared" si="423"/>
        <v>1014</v>
      </c>
      <c r="BQ797" s="17">
        <f t="shared" si="424"/>
        <v>1019</v>
      </c>
      <c r="BR797" t="str">
        <f t="shared" si="425"/>
        <v>event_team_player_1</v>
      </c>
      <c r="BS797">
        <f>COUNTIFS(S$3:S797,"="&amp;S797,AI$3:AI797,"="&amp;AI797)</f>
        <v>1</v>
      </c>
      <c r="BT797" t="str">
        <f>IFERROR(VLOOKUP(BB797&amp;BU797&amp;X797,game_rosters!U:W,3,FALSE),"")</f>
        <v>P100105</v>
      </c>
      <c r="BU797" t="str">
        <f t="shared" si="426"/>
        <v>Velodrome</v>
      </c>
    </row>
    <row r="798" spans="1:73" x14ac:dyDescent="0.2">
      <c r="A798">
        <f t="shared" si="413"/>
        <v>1</v>
      </c>
      <c r="E798" s="4"/>
      <c r="F798" s="43"/>
      <c r="G798" s="4"/>
      <c r="H798" s="46"/>
      <c r="J798" s="44" t="str">
        <f t="shared" si="427"/>
        <v/>
      </c>
      <c r="K798" t="s">
        <v>10</v>
      </c>
      <c r="L798" t="s">
        <v>175</v>
      </c>
      <c r="M798" t="s">
        <v>139</v>
      </c>
      <c r="N798" t="str">
        <f t="shared" si="430"/>
        <v/>
      </c>
      <c r="Q798" t="str">
        <f t="shared" si="428"/>
        <v/>
      </c>
      <c r="S798">
        <v>424</v>
      </c>
      <c r="U798" t="str">
        <f>IF(B798=1,MAX($U$2:$U797)+1,IF(AND($T798&lt;&gt;"",$T798=$T797),$U797,IF(B798="x",U797,"")))</f>
        <v/>
      </c>
      <c r="V798" t="str">
        <f>IF(C798=1,MAX($V$2:$V797)+1,IF(AND($T798&lt;&gt;"",$T798=$T797),$U797,IF(C798="x",V797,"")))</f>
        <v/>
      </c>
      <c r="W798" t="str">
        <f t="shared" si="402"/>
        <v>a</v>
      </c>
      <c r="X798">
        <v>37</v>
      </c>
      <c r="Y798" t="b">
        <f>IF(X798&lt;&gt;"",VLOOKUP(X798,game_rosters!$C$43:$E$64,3,FALSE))</f>
        <v>0</v>
      </c>
      <c r="Z798" t="str" cm="1">
        <f t="array" ref="Z798">IFERROR(IF(_xlfn._xlws.FILTER(game_rosters!$J:$J,(game_rosters!$G:$G=events!$AN798)*(game_rosters!$J:$J=events!$X798))&gt;0,1,""),"")</f>
        <v/>
      </c>
      <c r="AA798">
        <f t="shared" si="403"/>
        <v>1424</v>
      </c>
      <c r="AB798" t="str">
        <f t="shared" si="404"/>
        <v/>
      </c>
      <c r="AC798">
        <f t="shared" si="401"/>
        <v>1424</v>
      </c>
      <c r="AD798" s="6">
        <v>1</v>
      </c>
      <c r="AE798" t="s">
        <v>943</v>
      </c>
      <c r="AF798" t="s">
        <v>748</v>
      </c>
      <c r="AG798" t="s">
        <v>756</v>
      </c>
      <c r="AH798" t="s">
        <v>756</v>
      </c>
      <c r="AI798" t="s">
        <v>368</v>
      </c>
      <c r="AJ798" t="str">
        <f t="shared" si="429"/>
        <v/>
      </c>
      <c r="AK798" t="str">
        <f t="shared" si="429"/>
        <v/>
      </c>
      <c r="AL798" t="str">
        <f t="shared" si="406"/>
        <v/>
      </c>
      <c r="AN798" t="s">
        <v>862</v>
      </c>
      <c r="AO798" t="str">
        <f t="shared" si="407"/>
        <v>a</v>
      </c>
      <c r="AP798" t="str">
        <f t="shared" si="414"/>
        <v/>
      </c>
      <c r="AQ798" t="str">
        <f t="shared" si="415"/>
        <v/>
      </c>
      <c r="AR798" t="str">
        <f t="shared" si="416"/>
        <v>Away</v>
      </c>
      <c r="AS798" t="str">
        <f t="shared" si="417"/>
        <v>a</v>
      </c>
      <c r="AT798" t="str">
        <f t="shared" si="418"/>
        <v>Defensive</v>
      </c>
      <c r="BA798" s="6">
        <f t="shared" si="408"/>
        <v>212</v>
      </c>
      <c r="BB798">
        <f t="shared" si="409"/>
        <v>18981</v>
      </c>
      <c r="BC798" t="str">
        <f t="shared" si="410"/>
        <v>Nelson</v>
      </c>
      <c r="BD798" t="str">
        <f t="shared" si="411"/>
        <v>Velodrome</v>
      </c>
      <c r="BE798" t="s">
        <v>10</v>
      </c>
      <c r="BF798" t="s">
        <v>175</v>
      </c>
      <c r="BG798" t="s">
        <v>139</v>
      </c>
      <c r="BI798" cm="1">
        <f t="array" ref="BI798">IFERROR(_xlfn._xlws.FILTER(shifts!A:A,(shifts!B:B=events!AD798)*(shifts!AG:AG&gt;=events!BK798)*(shifts!AH:AH&lt;=events!BL798)),BI797)</f>
        <v>38</v>
      </c>
      <c r="BJ798" s="15">
        <f t="shared" si="412"/>
        <v>0</v>
      </c>
      <c r="BK798">
        <f t="shared" si="419"/>
        <v>61</v>
      </c>
      <c r="BL798">
        <f t="shared" si="420"/>
        <v>61</v>
      </c>
      <c r="BM798" s="15">
        <f>SUMIFS(BJ$2:BJ798,K$2:K798,"=Intermission")+SUMIFS(BJ$2:BJ798,K$2:K798,"=Timeout")</f>
        <v>0</v>
      </c>
      <c r="BN798">
        <f t="shared" si="421"/>
        <v>0</v>
      </c>
      <c r="BO798" s="19">
        <f t="shared" si="422"/>
        <v>1019</v>
      </c>
      <c r="BP798">
        <f t="shared" si="423"/>
        <v>1014</v>
      </c>
      <c r="BQ798" s="17">
        <f t="shared" si="424"/>
        <v>1019</v>
      </c>
      <c r="BR798" t="str">
        <f t="shared" si="425"/>
        <v>opp_team_player_1</v>
      </c>
      <c r="BS798">
        <f>COUNTIFS(S$3:S798,"="&amp;S798,AI$3:AI798,"="&amp;AI798)</f>
        <v>1</v>
      </c>
      <c r="BT798" t="str">
        <f>IFERROR(VLOOKUP(BB798&amp;BU798&amp;X798,game_rosters!U:W,3,FALSE),"")</f>
        <v>P100119</v>
      </c>
      <c r="BU798" t="str">
        <f t="shared" si="426"/>
        <v>Nelson</v>
      </c>
    </row>
    <row r="799" spans="1:73" x14ac:dyDescent="0.2">
      <c r="A799">
        <f t="shared" si="413"/>
        <v>1</v>
      </c>
      <c r="E799" s="4"/>
      <c r="F799" s="43"/>
      <c r="G799" s="4"/>
      <c r="H799" s="46"/>
      <c r="J799" s="44" t="str">
        <f t="shared" si="427"/>
        <v/>
      </c>
      <c r="K799" t="s">
        <v>11</v>
      </c>
      <c r="L799" t="s">
        <v>187</v>
      </c>
      <c r="M799" t="s">
        <v>41</v>
      </c>
      <c r="N799" t="str">
        <f t="shared" si="430"/>
        <v/>
      </c>
      <c r="Q799" t="str">
        <f t="shared" si="428"/>
        <v/>
      </c>
      <c r="S799">
        <v>425</v>
      </c>
      <c r="U799" t="str">
        <f>IF(B799=1,MAX($U$2:$U798)+1,IF(AND($T799&lt;&gt;"",$T799=$T798),$U798,IF(B799="x",U798,"")))</f>
        <v/>
      </c>
      <c r="V799" t="str">
        <f>IF(C799=1,MAX($V$2:$V798)+1,IF(AND($T799&lt;&gt;"",$T799=$T798),$U798,IF(C799="x",V798,"")))</f>
        <v/>
      </c>
      <c r="W799" t="str">
        <f t="shared" si="402"/>
        <v>a</v>
      </c>
      <c r="X799">
        <v>9</v>
      </c>
      <c r="Y799" t="e">
        <f>IF(X799&lt;&gt;"",VLOOKUP(X799,game_rosters!$C$43:$E$64,3,FALSE))</f>
        <v>#N/A</v>
      </c>
      <c r="Z799" cm="1">
        <f t="array" ref="Z799">IFERROR(IF(_xlfn._xlws.FILTER(game_rosters!$J:$J,(game_rosters!$G:$G=events!$AN799)*(game_rosters!$J:$J=events!$X799))&gt;0,1,""),"")</f>
        <v>1</v>
      </c>
      <c r="AA799">
        <f t="shared" si="403"/>
        <v>1425</v>
      </c>
      <c r="AB799" t="str">
        <f t="shared" si="404"/>
        <v/>
      </c>
      <c r="AC799">
        <f t="shared" si="401"/>
        <v>1425</v>
      </c>
      <c r="AD799" s="6">
        <v>1</v>
      </c>
      <c r="AE799" t="s">
        <v>742</v>
      </c>
      <c r="AF799" t="s">
        <v>927</v>
      </c>
      <c r="AG799" t="s">
        <v>756</v>
      </c>
      <c r="AH799" t="s">
        <v>756</v>
      </c>
      <c r="AI799" t="s">
        <v>367</v>
      </c>
      <c r="AJ799" t="str">
        <f t="shared" si="429"/>
        <v/>
      </c>
      <c r="AK799" t="str">
        <f t="shared" si="429"/>
        <v/>
      </c>
      <c r="AL799" t="str">
        <f t="shared" si="406"/>
        <v/>
      </c>
      <c r="AN799" t="s">
        <v>862</v>
      </c>
      <c r="AO799" t="str">
        <f t="shared" si="407"/>
        <v>a</v>
      </c>
      <c r="AP799" t="str">
        <f t="shared" si="414"/>
        <v/>
      </c>
      <c r="AQ799" t="str">
        <f t="shared" si="415"/>
        <v/>
      </c>
      <c r="AR799" t="str">
        <f t="shared" si="416"/>
        <v>Away</v>
      </c>
      <c r="AS799" t="str">
        <f t="shared" si="417"/>
        <v>a</v>
      </c>
      <c r="AT799" t="str">
        <f t="shared" si="418"/>
        <v/>
      </c>
      <c r="BA799" s="6">
        <f t="shared" si="408"/>
        <v>212</v>
      </c>
      <c r="BB799">
        <f t="shared" si="409"/>
        <v>18981</v>
      </c>
      <c r="BC799" t="str">
        <f t="shared" si="410"/>
        <v>Nelson</v>
      </c>
      <c r="BD799" t="str">
        <f t="shared" si="411"/>
        <v>Velodrome</v>
      </c>
      <c r="BE799" t="s">
        <v>11</v>
      </c>
      <c r="BF799" t="s">
        <v>187</v>
      </c>
      <c r="BG799" t="s">
        <v>41</v>
      </c>
      <c r="BI799" cm="1">
        <f t="array" ref="BI799">IFERROR(_xlfn._xlws.FILTER(shifts!A:A,(shifts!B:B=events!AD799)*(shifts!AG:AG&gt;=events!BK799)*(shifts!AH:AH&lt;=events!BL799)),BI798)</f>
        <v>39</v>
      </c>
      <c r="BJ799" s="15">
        <f t="shared" si="412"/>
        <v>0</v>
      </c>
      <c r="BK799">
        <f t="shared" si="419"/>
        <v>57</v>
      </c>
      <c r="BL799">
        <f t="shared" si="420"/>
        <v>57</v>
      </c>
      <c r="BM799" s="15">
        <f>SUMIFS(BJ$2:BJ799,K$2:K799,"=Intermission")+SUMIFS(BJ$2:BJ799,K$2:K799,"=Timeout")</f>
        <v>0</v>
      </c>
      <c r="BN799">
        <f t="shared" si="421"/>
        <v>0</v>
      </c>
      <c r="BO799" s="19">
        <f t="shared" si="422"/>
        <v>1023</v>
      </c>
      <c r="BP799">
        <f t="shared" si="423"/>
        <v>1018</v>
      </c>
      <c r="BQ799" s="17">
        <f t="shared" si="424"/>
        <v>1023</v>
      </c>
      <c r="BR799" t="str">
        <f t="shared" si="425"/>
        <v>event_team_player_1</v>
      </c>
      <c r="BS799">
        <f>COUNTIFS(S$3:S799,"="&amp;S799,AI$3:AI799,"="&amp;AI799)</f>
        <v>1</v>
      </c>
      <c r="BT799" t="str">
        <f>IFERROR(VLOOKUP(BB799&amp;BU799&amp;X799,game_rosters!U:W,3,FALSE),"")</f>
        <v>P100105</v>
      </c>
      <c r="BU799" t="str">
        <f t="shared" si="426"/>
        <v>Velodrome</v>
      </c>
    </row>
    <row r="800" spans="1:73" x14ac:dyDescent="0.2">
      <c r="A800">
        <f t="shared" si="413"/>
        <v>1</v>
      </c>
      <c r="E800" s="4"/>
      <c r="F800" s="43"/>
      <c r="G800" s="4"/>
      <c r="H800" s="46"/>
      <c r="J800" s="44" t="str">
        <f t="shared" si="427"/>
        <v/>
      </c>
      <c r="K800" t="s">
        <v>241</v>
      </c>
      <c r="L800" t="s">
        <v>756</v>
      </c>
      <c r="M800" t="s">
        <v>756</v>
      </c>
      <c r="N800" t="str">
        <f t="shared" si="430"/>
        <v/>
      </c>
      <c r="Q800" t="str">
        <f t="shared" si="428"/>
        <v/>
      </c>
      <c r="S800">
        <v>426</v>
      </c>
      <c r="U800" t="str">
        <f>IF(B800=1,MAX($U$2:$U799)+1,IF(AND($T800&lt;&gt;"",$T800=$T799),$U799,IF(B800="x",U799,"")))</f>
        <v/>
      </c>
      <c r="V800" t="str">
        <f>IF(C800=1,MAX($V$2:$V799)+1,IF(AND($T800&lt;&gt;"",$T800=$T799),$U799,IF(C800="x",V799,"")))</f>
        <v/>
      </c>
      <c r="W800" t="str">
        <f t="shared" si="402"/>
        <v>a</v>
      </c>
      <c r="X800">
        <v>9</v>
      </c>
      <c r="Y800" t="e">
        <f>IF(X800&lt;&gt;"",VLOOKUP(X800,game_rosters!$C$43:$E$64,3,FALSE))</f>
        <v>#N/A</v>
      </c>
      <c r="Z800" cm="1">
        <f t="array" ref="Z800">IFERROR(IF(_xlfn._xlws.FILTER(game_rosters!$J:$J,(game_rosters!$G:$G=events!$AN800)*(game_rosters!$J:$J=events!$X800))&gt;0,1,""),"")</f>
        <v>1</v>
      </c>
      <c r="AA800">
        <f t="shared" si="403"/>
        <v>1426</v>
      </c>
      <c r="AB800" t="str">
        <f t="shared" si="404"/>
        <v/>
      </c>
      <c r="AC800">
        <f t="shared" si="401"/>
        <v>1426</v>
      </c>
      <c r="AD800" s="6">
        <v>1</v>
      </c>
      <c r="AE800" t="s">
        <v>742</v>
      </c>
      <c r="AF800" t="s">
        <v>927</v>
      </c>
      <c r="AG800" t="s">
        <v>742</v>
      </c>
      <c r="AH800" t="s">
        <v>914</v>
      </c>
      <c r="AI800" t="s">
        <v>367</v>
      </c>
      <c r="AJ800" t="str">
        <f t="shared" si="429"/>
        <v/>
      </c>
      <c r="AK800" t="str">
        <f t="shared" si="429"/>
        <v/>
      </c>
      <c r="AL800" t="str">
        <f t="shared" si="406"/>
        <v/>
      </c>
      <c r="AN800" t="s">
        <v>862</v>
      </c>
      <c r="AO800" t="str">
        <f t="shared" si="407"/>
        <v>a</v>
      </c>
      <c r="AP800" t="str">
        <f t="shared" si="414"/>
        <v/>
      </c>
      <c r="AQ800" t="str">
        <f t="shared" si="415"/>
        <v/>
      </c>
      <c r="AR800" t="str">
        <f t="shared" si="416"/>
        <v>Away</v>
      </c>
      <c r="AS800" t="str">
        <f t="shared" si="417"/>
        <v>a</v>
      </c>
      <c r="AT800" t="str">
        <f t="shared" si="418"/>
        <v/>
      </c>
      <c r="BA800" s="6">
        <f t="shared" si="408"/>
        <v>212</v>
      </c>
      <c r="BB800">
        <f t="shared" si="409"/>
        <v>18981</v>
      </c>
      <c r="BC800" t="str">
        <f t="shared" si="410"/>
        <v>Nelson</v>
      </c>
      <c r="BD800" t="str">
        <f t="shared" si="411"/>
        <v>Velodrome</v>
      </c>
      <c r="BE800" t="s">
        <v>241</v>
      </c>
      <c r="BF800" t="s">
        <v>756</v>
      </c>
      <c r="BG800" t="s">
        <v>756</v>
      </c>
      <c r="BI800" cm="1">
        <f t="array" ref="BI800">IFERROR(_xlfn._xlws.FILTER(shifts!A:A,(shifts!B:B=events!AD800)*(shifts!AG:AG&gt;=events!BK800)*(shifts!AH:AH&lt;=events!BL800)),BI799)</f>
        <v>39</v>
      </c>
      <c r="BJ800" s="15">
        <f t="shared" si="412"/>
        <v>24</v>
      </c>
      <c r="BK800">
        <f t="shared" si="419"/>
        <v>57</v>
      </c>
      <c r="BL800">
        <f t="shared" si="420"/>
        <v>33</v>
      </c>
      <c r="BM800" s="15">
        <f>SUMIFS(BJ$2:BJ800,K$2:K800,"=Intermission")+SUMIFS(BJ$2:BJ800,K$2:K800,"=Timeout")</f>
        <v>0</v>
      </c>
      <c r="BN800">
        <f t="shared" si="421"/>
        <v>0</v>
      </c>
      <c r="BO800" s="19">
        <f t="shared" si="422"/>
        <v>1023</v>
      </c>
      <c r="BP800">
        <f t="shared" si="423"/>
        <v>1018</v>
      </c>
      <c r="BQ800" s="17">
        <f t="shared" si="424"/>
        <v>1047</v>
      </c>
      <c r="BR800" t="str">
        <f t="shared" si="425"/>
        <v>event_team_player_1</v>
      </c>
      <c r="BS800">
        <f>COUNTIFS(S$3:S800,"="&amp;S800,AI$3:AI800,"="&amp;AI800)</f>
        <v>1</v>
      </c>
      <c r="BT800" t="str">
        <f>IFERROR(VLOOKUP(BB800&amp;BU800&amp;X800,game_rosters!U:W,3,FALSE),"")</f>
        <v>P100105</v>
      </c>
      <c r="BU800" t="str">
        <f t="shared" si="426"/>
        <v>Velodrome</v>
      </c>
    </row>
    <row r="801" spans="1:73" x14ac:dyDescent="0.2">
      <c r="A801">
        <f t="shared" si="413"/>
        <v>1</v>
      </c>
      <c r="E801" s="4"/>
      <c r="F801" s="43"/>
      <c r="G801" s="4"/>
      <c r="H801" s="46"/>
      <c r="J801" s="44" t="str">
        <f t="shared" si="427"/>
        <v/>
      </c>
      <c r="K801" t="s">
        <v>5</v>
      </c>
      <c r="L801" t="s">
        <v>180</v>
      </c>
      <c r="M801" t="s">
        <v>756</v>
      </c>
      <c r="N801" t="str">
        <f t="shared" si="430"/>
        <v/>
      </c>
      <c r="Q801" t="str">
        <f t="shared" si="428"/>
        <v/>
      </c>
      <c r="S801">
        <v>427</v>
      </c>
      <c r="U801" t="str">
        <f>IF(B801=1,MAX($U$2:$U800)+1,IF(AND($T801&lt;&gt;"",$T801=$T800),$U800,IF(B801="x",U800,"")))</f>
        <v/>
      </c>
      <c r="V801" t="str">
        <f>IF(C801=1,MAX($V$2:$V800)+1,IF(AND($T801&lt;&gt;"",$T801=$T800),$U800,IF(C801="x",V800,"")))</f>
        <v/>
      </c>
      <c r="W801" t="str">
        <f t="shared" si="402"/>
        <v>a</v>
      </c>
      <c r="X801">
        <v>14</v>
      </c>
      <c r="Y801" t="e">
        <f>IF(X801&lt;&gt;"",VLOOKUP(X801,game_rosters!$C$43:$E$64,3,FALSE))</f>
        <v>#N/A</v>
      </c>
      <c r="Z801" cm="1">
        <f t="array" ref="Z801">IFERROR(IF(_xlfn._xlws.FILTER(game_rosters!$J:$J,(game_rosters!$G:$G=events!$AN801)*(game_rosters!$J:$J=events!$X801))&gt;0,1,""),"")</f>
        <v>1</v>
      </c>
      <c r="AA801">
        <f t="shared" si="403"/>
        <v>1427</v>
      </c>
      <c r="AB801" t="str">
        <f t="shared" si="404"/>
        <v/>
      </c>
      <c r="AC801">
        <f t="shared" si="401"/>
        <v>1427</v>
      </c>
      <c r="AD801" s="6">
        <v>1</v>
      </c>
      <c r="AE801" t="s">
        <v>742</v>
      </c>
      <c r="AF801" t="s">
        <v>914</v>
      </c>
      <c r="AG801" t="s">
        <v>756</v>
      </c>
      <c r="AH801" t="s">
        <v>756</v>
      </c>
      <c r="AI801" t="s">
        <v>367</v>
      </c>
      <c r="AJ801" t="str">
        <f t="shared" si="429"/>
        <v/>
      </c>
      <c r="AK801" t="str">
        <f t="shared" si="429"/>
        <v/>
      </c>
      <c r="AL801" t="str">
        <f t="shared" si="406"/>
        <v/>
      </c>
      <c r="AN801" t="s">
        <v>862</v>
      </c>
      <c r="AO801" t="str">
        <f t="shared" si="407"/>
        <v>a</v>
      </c>
      <c r="AP801" t="str">
        <f t="shared" si="414"/>
        <v/>
      </c>
      <c r="AQ801" t="str">
        <f t="shared" si="415"/>
        <v/>
      </c>
      <c r="AR801" t="str">
        <f t="shared" si="416"/>
        <v>Away</v>
      </c>
      <c r="AS801" t="str">
        <f t="shared" si="417"/>
        <v>a</v>
      </c>
      <c r="AT801" t="str">
        <f t="shared" si="418"/>
        <v>Offensive</v>
      </c>
      <c r="BA801" s="6">
        <f t="shared" si="408"/>
        <v>212</v>
      </c>
      <c r="BB801">
        <f t="shared" si="409"/>
        <v>18981</v>
      </c>
      <c r="BC801" t="str">
        <f t="shared" si="410"/>
        <v>Nelson</v>
      </c>
      <c r="BD801" t="str">
        <f t="shared" si="411"/>
        <v>Velodrome</v>
      </c>
      <c r="BE801" t="s">
        <v>5</v>
      </c>
      <c r="BF801" t="s">
        <v>180</v>
      </c>
      <c r="BG801" t="s">
        <v>756</v>
      </c>
      <c r="BI801" cm="1">
        <f t="array" ref="BI801">IFERROR(_xlfn._xlws.FILTER(shifts!A:A,(shifts!B:B=events!AD801)*(shifts!AG:AG&gt;=events!BK801)*(shifts!AH:AH&lt;=events!BL801)),BI800)</f>
        <v>39</v>
      </c>
      <c r="BJ801" s="15">
        <f t="shared" si="412"/>
        <v>0</v>
      </c>
      <c r="BK801">
        <f t="shared" si="419"/>
        <v>33</v>
      </c>
      <c r="BL801">
        <f t="shared" si="420"/>
        <v>33</v>
      </c>
      <c r="BM801" s="15">
        <f>SUMIFS(BJ$2:BJ801,K$2:K801,"=Intermission")+SUMIFS(BJ$2:BJ801,K$2:K801,"=Timeout")</f>
        <v>0</v>
      </c>
      <c r="BN801">
        <f t="shared" si="421"/>
        <v>0</v>
      </c>
      <c r="BO801" s="19">
        <f t="shared" si="422"/>
        <v>1047</v>
      </c>
      <c r="BP801">
        <f t="shared" si="423"/>
        <v>1042</v>
      </c>
      <c r="BQ801" s="17">
        <f t="shared" si="424"/>
        <v>1047</v>
      </c>
      <c r="BR801" t="str">
        <f t="shared" si="425"/>
        <v>event_team_player_1</v>
      </c>
      <c r="BS801">
        <f>COUNTIFS(S$3:S801,"="&amp;S801,AI$3:AI801,"="&amp;AI801)</f>
        <v>1</v>
      </c>
      <c r="BT801" t="str">
        <f>IFERROR(VLOOKUP(BB801&amp;BU801&amp;X801,game_rosters!U:W,3,FALSE),"")</f>
        <v>P100132</v>
      </c>
      <c r="BU801" t="str">
        <f t="shared" si="426"/>
        <v>Velodrome</v>
      </c>
    </row>
    <row r="802" spans="1:73" x14ac:dyDescent="0.2">
      <c r="A802">
        <f t="shared" si="413"/>
        <v>1</v>
      </c>
      <c r="E802" s="4"/>
      <c r="F802" s="43"/>
      <c r="G802" s="4"/>
      <c r="H802" s="46"/>
      <c r="J802" s="44" t="str">
        <f t="shared" si="427"/>
        <v/>
      </c>
      <c r="K802" t="s">
        <v>5</v>
      </c>
      <c r="L802" t="s">
        <v>180</v>
      </c>
      <c r="M802" t="s">
        <v>756</v>
      </c>
      <c r="N802" t="str">
        <f t="shared" si="430"/>
        <v/>
      </c>
      <c r="Q802" t="str">
        <f t="shared" si="428"/>
        <v/>
      </c>
      <c r="S802">
        <v>427</v>
      </c>
      <c r="U802" t="str">
        <f>IF(B802=1,MAX($U$2:$U801)+1,IF(AND($T802&lt;&gt;"",$T802=$T801),$U801,IF(B802="x",U801,"")))</f>
        <v/>
      </c>
      <c r="V802" t="str">
        <f>IF(C802=1,MAX($V$2:$V801)+1,IF(AND($T802&lt;&gt;"",$T802=$T801),$U801,IF(C802="x",V801,"")))</f>
        <v/>
      </c>
      <c r="W802" t="str">
        <f t="shared" si="402"/>
        <v>a</v>
      </c>
      <c r="X802">
        <v>10</v>
      </c>
      <c r="Y802" t="b">
        <f>IF(X802&lt;&gt;"",VLOOKUP(X802,game_rosters!$C$43:$E$64,3,FALSE))</f>
        <v>0</v>
      </c>
      <c r="Z802" t="str" cm="1">
        <f t="array" ref="Z802">IFERROR(IF(_xlfn._xlws.FILTER(game_rosters!$J:$J,(game_rosters!$G:$G=events!$AN802)*(game_rosters!$J:$J=events!$X802))&gt;0,1,""),"")</f>
        <v/>
      </c>
      <c r="AA802">
        <f t="shared" si="403"/>
        <v>1427</v>
      </c>
      <c r="AB802" t="str">
        <f t="shared" si="404"/>
        <v/>
      </c>
      <c r="AC802">
        <f t="shared" si="401"/>
        <v>1427</v>
      </c>
      <c r="AD802" s="6">
        <v>1</v>
      </c>
      <c r="AE802" t="s">
        <v>742</v>
      </c>
      <c r="AF802" t="s">
        <v>914</v>
      </c>
      <c r="AG802" t="s">
        <v>756</v>
      </c>
      <c r="AH802" t="s">
        <v>756</v>
      </c>
      <c r="AI802" t="s">
        <v>368</v>
      </c>
      <c r="AJ802" t="str">
        <f t="shared" si="429"/>
        <v/>
      </c>
      <c r="AK802" t="str">
        <f t="shared" si="429"/>
        <v/>
      </c>
      <c r="AL802" t="str">
        <f t="shared" si="406"/>
        <v/>
      </c>
      <c r="AN802" t="s">
        <v>862</v>
      </c>
      <c r="AO802" t="str">
        <f t="shared" si="407"/>
        <v>a</v>
      </c>
      <c r="AP802" t="str">
        <f t="shared" si="414"/>
        <v/>
      </c>
      <c r="AQ802" t="str">
        <f t="shared" si="415"/>
        <v/>
      </c>
      <c r="AR802" t="str">
        <f t="shared" si="416"/>
        <v>Away</v>
      </c>
      <c r="AS802" t="str">
        <f t="shared" si="417"/>
        <v>a</v>
      </c>
      <c r="AT802" t="str">
        <f t="shared" si="418"/>
        <v>Defensive</v>
      </c>
      <c r="BA802" s="6">
        <f t="shared" si="408"/>
        <v>212</v>
      </c>
      <c r="BB802">
        <f t="shared" si="409"/>
        <v>18981</v>
      </c>
      <c r="BC802" t="str">
        <f t="shared" si="410"/>
        <v>Nelson</v>
      </c>
      <c r="BD802" t="str">
        <f t="shared" si="411"/>
        <v>Velodrome</v>
      </c>
      <c r="BE802" t="s">
        <v>5</v>
      </c>
      <c r="BF802" t="s">
        <v>180</v>
      </c>
      <c r="BG802" t="s">
        <v>756</v>
      </c>
      <c r="BI802" cm="1">
        <f t="array" ref="BI802">IFERROR(_xlfn._xlws.FILTER(shifts!A:A,(shifts!B:B=events!AD802)*(shifts!AG:AG&gt;=events!BK802)*(shifts!AH:AH&lt;=events!BL802)),BI801)</f>
        <v>39</v>
      </c>
      <c r="BJ802" s="15">
        <f t="shared" si="412"/>
        <v>0</v>
      </c>
      <c r="BK802">
        <f t="shared" si="419"/>
        <v>33</v>
      </c>
      <c r="BL802">
        <f t="shared" si="420"/>
        <v>33</v>
      </c>
      <c r="BM802" s="15">
        <f>SUMIFS(BJ$2:BJ802,K$2:K802,"=Intermission")+SUMIFS(BJ$2:BJ802,K$2:K802,"=Timeout")</f>
        <v>0</v>
      </c>
      <c r="BN802">
        <f t="shared" si="421"/>
        <v>0</v>
      </c>
      <c r="BO802" s="19">
        <f t="shared" si="422"/>
        <v>1047</v>
      </c>
      <c r="BP802">
        <f t="shared" si="423"/>
        <v>1042</v>
      </c>
      <c r="BQ802" s="17">
        <f t="shared" si="424"/>
        <v>1047</v>
      </c>
      <c r="BR802" t="str">
        <f t="shared" si="425"/>
        <v>opp_team_player_1</v>
      </c>
      <c r="BS802">
        <f>COUNTIFS(S$3:S802,"="&amp;S802,AI$3:AI802,"="&amp;AI802)</f>
        <v>1</v>
      </c>
      <c r="BT802" t="str">
        <f>IFERROR(VLOOKUP(BB802&amp;BU802&amp;X802,game_rosters!U:W,3,FALSE),"")</f>
        <v>P100078</v>
      </c>
      <c r="BU802" t="str">
        <f t="shared" si="426"/>
        <v>Nelson</v>
      </c>
    </row>
    <row r="803" spans="1:73" x14ac:dyDescent="0.2">
      <c r="A803">
        <f t="shared" si="413"/>
        <v>1</v>
      </c>
      <c r="E803" s="4"/>
      <c r="F803" s="43"/>
      <c r="G803" s="4"/>
      <c r="H803" s="46"/>
      <c r="J803" s="44" t="str">
        <f t="shared" si="427"/>
        <v>d</v>
      </c>
      <c r="K803" t="s">
        <v>238</v>
      </c>
      <c r="L803" t="s">
        <v>184</v>
      </c>
      <c r="M803" t="s">
        <v>90</v>
      </c>
      <c r="N803" t="str">
        <f t="shared" si="430"/>
        <v>s</v>
      </c>
      <c r="Q803" t="str">
        <f t="shared" si="428"/>
        <v/>
      </c>
      <c r="S803">
        <v>428</v>
      </c>
      <c r="U803" t="str">
        <f>IF(B803=1,MAX($U$2:$U802)+1,IF(AND($T803&lt;&gt;"",$T803=$T802),$U802,IF(B803="x",U802,"")))</f>
        <v/>
      </c>
      <c r="V803" t="str">
        <f>IF(C803=1,MAX($V$2:$V802)+1,IF(AND($T803&lt;&gt;"",$T803=$T802),$U802,IF(C803="x",V802,"")))</f>
        <v/>
      </c>
      <c r="W803" t="str">
        <f t="shared" si="402"/>
        <v>a</v>
      </c>
      <c r="X803">
        <v>84</v>
      </c>
      <c r="Y803" t="e">
        <f>IF(X803&lt;&gt;"",VLOOKUP(X803,game_rosters!$C$43:$E$64,3,FALSE))</f>
        <v>#N/A</v>
      </c>
      <c r="Z803" cm="1">
        <f t="array" ref="Z803">IFERROR(IF(_xlfn._xlws.FILTER(game_rosters!$J:$J,(game_rosters!$G:$G=events!$AN803)*(game_rosters!$J:$J=events!$X803))&gt;0,1,""),"")</f>
        <v>1</v>
      </c>
      <c r="AA803">
        <f t="shared" si="403"/>
        <v>1428</v>
      </c>
      <c r="AB803" t="str">
        <f t="shared" si="404"/>
        <v/>
      </c>
      <c r="AC803">
        <f t="shared" si="401"/>
        <v>1428</v>
      </c>
      <c r="AD803" s="6">
        <v>1</v>
      </c>
      <c r="AE803" t="s">
        <v>742</v>
      </c>
      <c r="AF803" t="s">
        <v>915</v>
      </c>
      <c r="AG803" t="s">
        <v>756</v>
      </c>
      <c r="AH803" t="s">
        <v>756</v>
      </c>
      <c r="AI803" t="s">
        <v>367</v>
      </c>
      <c r="AJ803" t="str">
        <f t="shared" si="429"/>
        <v>d</v>
      </c>
      <c r="AK803" t="str">
        <f t="shared" si="429"/>
        <v>d</v>
      </c>
      <c r="AL803" t="str">
        <f t="shared" si="406"/>
        <v>o</v>
      </c>
      <c r="AN803" t="s">
        <v>862</v>
      </c>
      <c r="AO803" t="str">
        <f t="shared" si="407"/>
        <v>a</v>
      </c>
      <c r="AP803" t="str">
        <f t="shared" si="414"/>
        <v>o</v>
      </c>
      <c r="AQ803" t="str">
        <f t="shared" si="415"/>
        <v/>
      </c>
      <c r="AR803" t="str">
        <f t="shared" si="416"/>
        <v>Away</v>
      </c>
      <c r="AS803" t="str">
        <f t="shared" si="417"/>
        <v>a</v>
      </c>
      <c r="AT803" t="str">
        <f t="shared" si="418"/>
        <v>Offensive</v>
      </c>
      <c r="BA803" s="6">
        <f t="shared" si="408"/>
        <v>213</v>
      </c>
      <c r="BB803">
        <f t="shared" si="409"/>
        <v>18981</v>
      </c>
      <c r="BC803" t="str">
        <f t="shared" si="410"/>
        <v>Nelson</v>
      </c>
      <c r="BD803" t="str">
        <f t="shared" si="411"/>
        <v>Velodrome</v>
      </c>
      <c r="BE803" t="s">
        <v>238</v>
      </c>
      <c r="BF803" t="s">
        <v>184</v>
      </c>
      <c r="BG803" t="s">
        <v>90</v>
      </c>
      <c r="BI803" cm="1">
        <f t="array" ref="BI803">IFERROR(_xlfn._xlws.FILTER(shifts!A:A,(shifts!B:B=events!AD803)*(shifts!AG:AG&gt;=events!BK803)*(shifts!AH:AH&lt;=events!BL803)),BI802)</f>
        <v>39</v>
      </c>
      <c r="BJ803" s="15">
        <f t="shared" si="412"/>
        <v>0</v>
      </c>
      <c r="BK803">
        <f t="shared" si="419"/>
        <v>30</v>
      </c>
      <c r="BL803">
        <f t="shared" si="420"/>
        <v>30</v>
      </c>
      <c r="BM803" s="15">
        <f>SUMIFS(BJ$2:BJ803,K$2:K803,"=Intermission")+SUMIFS(BJ$2:BJ803,K$2:K803,"=Timeout")</f>
        <v>0</v>
      </c>
      <c r="BN803">
        <f t="shared" si="421"/>
        <v>0</v>
      </c>
      <c r="BO803" s="19">
        <f t="shared" si="422"/>
        <v>1050</v>
      </c>
      <c r="BP803">
        <f t="shared" si="423"/>
        <v>1045</v>
      </c>
      <c r="BQ803" s="17">
        <f t="shared" si="424"/>
        <v>1050</v>
      </c>
      <c r="BR803" t="str">
        <f t="shared" si="425"/>
        <v>event_team_player_1</v>
      </c>
      <c r="BS803">
        <f>COUNTIFS(S$3:S803,"="&amp;S803,AI$3:AI803,"="&amp;AI803)</f>
        <v>1</v>
      </c>
      <c r="BT803" t="str">
        <f>IFERROR(VLOOKUP(BB803&amp;BU803&amp;X803,game_rosters!U:W,3,FALSE),"")</f>
        <v>P100198</v>
      </c>
      <c r="BU803" t="str">
        <f t="shared" si="426"/>
        <v>Velodrome</v>
      </c>
    </row>
    <row r="804" spans="1:73" x14ac:dyDescent="0.2">
      <c r="A804">
        <f t="shared" si="413"/>
        <v>1</v>
      </c>
      <c r="E804" s="4"/>
      <c r="F804" s="43"/>
      <c r="G804" s="4"/>
      <c r="H804" s="46"/>
      <c r="J804" s="44" t="str">
        <f t="shared" si="427"/>
        <v>o</v>
      </c>
      <c r="K804" t="s">
        <v>238</v>
      </c>
      <c r="L804" t="s">
        <v>174</v>
      </c>
      <c r="M804" t="s">
        <v>375</v>
      </c>
      <c r="N804" t="str">
        <f t="shared" si="430"/>
        <v>u</v>
      </c>
      <c r="Q804" t="str">
        <f t="shared" si="428"/>
        <v/>
      </c>
      <c r="S804">
        <v>429</v>
      </c>
      <c r="U804" t="str">
        <f>IF(B804=1,MAX($U$2:$U803)+1,IF(AND($T804&lt;&gt;"",$T804=$T803),$U803,IF(B804="x",U803,"")))</f>
        <v/>
      </c>
      <c r="V804" t="str">
        <f>IF(C804=1,MAX($V$2:$V803)+1,IF(AND($T804&lt;&gt;"",$T804=$T803),$U803,IF(C804="x",V803,"")))</f>
        <v/>
      </c>
      <c r="W804" t="str">
        <f t="shared" si="402"/>
        <v>a</v>
      </c>
      <c r="X804">
        <v>84</v>
      </c>
      <c r="Y804" t="e">
        <f>IF(X804&lt;&gt;"",VLOOKUP(X804,game_rosters!$C$43:$E$64,3,FALSE))</f>
        <v>#N/A</v>
      </c>
      <c r="Z804" cm="1">
        <f t="array" ref="Z804">IFERROR(IF(_xlfn._xlws.FILTER(game_rosters!$J:$J,(game_rosters!$G:$G=events!$AN804)*(game_rosters!$J:$J=events!$X804))&gt;0,1,""),"")</f>
        <v>1</v>
      </c>
      <c r="AA804">
        <f t="shared" si="403"/>
        <v>1429</v>
      </c>
      <c r="AB804" t="str">
        <f t="shared" si="404"/>
        <v/>
      </c>
      <c r="AC804">
        <f t="shared" si="401"/>
        <v>1429</v>
      </c>
      <c r="AD804" s="6">
        <v>1</v>
      </c>
      <c r="AE804" t="s">
        <v>742</v>
      </c>
      <c r="AF804" t="s">
        <v>915</v>
      </c>
      <c r="AG804" t="s">
        <v>756</v>
      </c>
      <c r="AH804" t="s">
        <v>756</v>
      </c>
      <c r="AI804" t="s">
        <v>367</v>
      </c>
      <c r="AJ804" t="str">
        <f t="shared" ref="AJ804:AK819" si="431">IF($J804&lt;&gt;"",$J804,IF($AC804=$AC803,AJ803,""))</f>
        <v>o</v>
      </c>
      <c r="AK804" t="str">
        <f t="shared" si="431"/>
        <v>o</v>
      </c>
      <c r="AL804" t="str">
        <f t="shared" si="406"/>
        <v>d</v>
      </c>
      <c r="AN804" t="s">
        <v>862</v>
      </c>
      <c r="AO804" t="str">
        <f t="shared" si="407"/>
        <v>a</v>
      </c>
      <c r="AP804" t="str">
        <f t="shared" si="414"/>
        <v>d</v>
      </c>
      <c r="AQ804" t="str">
        <f t="shared" si="415"/>
        <v/>
      </c>
      <c r="AR804" t="str">
        <f t="shared" si="416"/>
        <v>Away</v>
      </c>
      <c r="AS804" t="str">
        <f t="shared" si="417"/>
        <v>a</v>
      </c>
      <c r="AT804" t="str">
        <f t="shared" si="418"/>
        <v>Offensive</v>
      </c>
      <c r="BA804" s="6">
        <f t="shared" si="408"/>
        <v>214</v>
      </c>
      <c r="BB804">
        <f t="shared" si="409"/>
        <v>18981</v>
      </c>
      <c r="BC804" t="str">
        <f t="shared" si="410"/>
        <v>Nelson</v>
      </c>
      <c r="BD804" t="str">
        <f t="shared" si="411"/>
        <v>Velodrome</v>
      </c>
      <c r="BE804" t="s">
        <v>238</v>
      </c>
      <c r="BF804" t="s">
        <v>174</v>
      </c>
      <c r="BG804" t="s">
        <v>375</v>
      </c>
      <c r="BI804" cm="1">
        <f t="array" ref="BI804">IFERROR(_xlfn._xlws.FILTER(shifts!A:A,(shifts!B:B=events!AD804)*(shifts!AG:AG&gt;=events!BK804)*(shifts!AH:AH&lt;=events!BL804)),BI803)</f>
        <v>39</v>
      </c>
      <c r="BJ804" s="15">
        <f t="shared" si="412"/>
        <v>0</v>
      </c>
      <c r="BK804">
        <f t="shared" si="419"/>
        <v>30</v>
      </c>
      <c r="BL804">
        <f t="shared" si="420"/>
        <v>30</v>
      </c>
      <c r="BM804" s="15">
        <f>SUMIFS(BJ$2:BJ804,K$2:K804,"=Intermission")+SUMIFS(BJ$2:BJ804,K$2:K804,"=Timeout")</f>
        <v>0</v>
      </c>
      <c r="BN804">
        <f t="shared" si="421"/>
        <v>0</v>
      </c>
      <c r="BO804" s="19">
        <f t="shared" si="422"/>
        <v>1050</v>
      </c>
      <c r="BP804">
        <f t="shared" si="423"/>
        <v>1045</v>
      </c>
      <c r="BQ804" s="17">
        <f t="shared" si="424"/>
        <v>1050</v>
      </c>
      <c r="BR804" t="str">
        <f t="shared" si="425"/>
        <v>event_team_player_1</v>
      </c>
      <c r="BS804">
        <f>COUNTIFS(S$3:S804,"="&amp;S804,AI$3:AI804,"="&amp;AI804)</f>
        <v>1</v>
      </c>
      <c r="BT804" t="str">
        <f>IFERROR(VLOOKUP(BB804&amp;BU804&amp;X804,game_rosters!U:W,3,FALSE),"")</f>
        <v>P100198</v>
      </c>
      <c r="BU804" t="str">
        <f t="shared" si="426"/>
        <v>Velodrome</v>
      </c>
    </row>
    <row r="805" spans="1:73" x14ac:dyDescent="0.2">
      <c r="A805">
        <f t="shared" si="413"/>
        <v>1</v>
      </c>
      <c r="E805" s="4"/>
      <c r="F805" s="43"/>
      <c r="G805" s="4"/>
      <c r="H805" s="46"/>
      <c r="J805" s="44" t="str">
        <f t="shared" si="427"/>
        <v/>
      </c>
      <c r="K805" t="s">
        <v>7</v>
      </c>
      <c r="L805" t="s">
        <v>182</v>
      </c>
      <c r="M805" t="s">
        <v>65</v>
      </c>
      <c r="N805" t="str">
        <f t="shared" si="430"/>
        <v>u</v>
      </c>
      <c r="Q805" t="str">
        <f t="shared" si="428"/>
        <v/>
      </c>
      <c r="S805">
        <v>430</v>
      </c>
      <c r="U805" t="str">
        <f>IF(B805=1,MAX($U$2:$U804)+1,IF(AND($T805&lt;&gt;"",$T805=$T804),$U804,IF(B805="x",U804,"")))</f>
        <v/>
      </c>
      <c r="V805" t="str">
        <f>IF(C805=1,MAX($V$2:$V804)+1,IF(AND($T805&lt;&gt;"",$T805=$T804),$U804,IF(C805="x",V804,"")))</f>
        <v/>
      </c>
      <c r="W805" t="str">
        <f t="shared" si="402"/>
        <v>h</v>
      </c>
      <c r="X805">
        <v>80</v>
      </c>
      <c r="Y805" t="b">
        <f>IF(X805&lt;&gt;"",VLOOKUP(X805,game_rosters!$C$43:$E$64,3,FALSE))</f>
        <v>0</v>
      </c>
      <c r="Z805" cm="1">
        <f t="array" ref="Z805">IFERROR(IF(_xlfn._xlws.FILTER(game_rosters!$J:$J,(game_rosters!$G:$G=events!$AN805)*(game_rosters!$J:$J=events!$X805))&gt;0,1,""),"")</f>
        <v>1</v>
      </c>
      <c r="AA805">
        <f t="shared" si="403"/>
        <v>1430</v>
      </c>
      <c r="AB805" t="str">
        <f t="shared" si="404"/>
        <v/>
      </c>
      <c r="AC805">
        <f t="shared" si="401"/>
        <v>1430</v>
      </c>
      <c r="AD805" s="6">
        <v>1</v>
      </c>
      <c r="AE805" t="s">
        <v>742</v>
      </c>
      <c r="AF805" t="s">
        <v>919</v>
      </c>
      <c r="AG805" t="s">
        <v>756</v>
      </c>
      <c r="AH805" t="s">
        <v>756</v>
      </c>
      <c r="AI805" t="s">
        <v>367</v>
      </c>
      <c r="AJ805" t="str">
        <f t="shared" si="431"/>
        <v/>
      </c>
      <c r="AK805" t="str">
        <f t="shared" si="431"/>
        <v/>
      </c>
      <c r="AL805" t="str">
        <f t="shared" si="406"/>
        <v/>
      </c>
      <c r="AN805" t="s">
        <v>861</v>
      </c>
      <c r="AO805" t="str">
        <f t="shared" si="407"/>
        <v>h</v>
      </c>
      <c r="AP805" t="str">
        <f t="shared" si="414"/>
        <v/>
      </c>
      <c r="AQ805" t="str">
        <f t="shared" si="415"/>
        <v/>
      </c>
      <c r="AR805" t="str">
        <f t="shared" si="416"/>
        <v>Home</v>
      </c>
      <c r="AS805" t="str">
        <f t="shared" si="417"/>
        <v>h</v>
      </c>
      <c r="AT805" t="str">
        <f t="shared" si="418"/>
        <v>Offensive</v>
      </c>
      <c r="BA805" s="6">
        <f t="shared" si="408"/>
        <v>214</v>
      </c>
      <c r="BB805">
        <f t="shared" si="409"/>
        <v>18981</v>
      </c>
      <c r="BC805" t="str">
        <f t="shared" si="410"/>
        <v>Nelson</v>
      </c>
      <c r="BD805" t="str">
        <f t="shared" si="411"/>
        <v>Velodrome</v>
      </c>
      <c r="BE805" t="s">
        <v>7</v>
      </c>
      <c r="BF805" t="s">
        <v>182</v>
      </c>
      <c r="BG805" t="s">
        <v>65</v>
      </c>
      <c r="BI805" cm="1">
        <f t="array" ref="BI805">IFERROR(_xlfn._xlws.FILTER(shifts!A:A,(shifts!B:B=events!AD805)*(shifts!AG:AG&gt;=events!BK805)*(shifts!AH:AH&lt;=events!BL805)),BI804)</f>
        <v>39</v>
      </c>
      <c r="BJ805" s="15">
        <f t="shared" si="412"/>
        <v>0</v>
      </c>
      <c r="BK805">
        <f t="shared" si="419"/>
        <v>20</v>
      </c>
      <c r="BL805">
        <f t="shared" si="420"/>
        <v>20</v>
      </c>
      <c r="BM805" s="15">
        <f>SUMIFS(BJ$2:BJ805,K$2:K805,"=Intermission")+SUMIFS(BJ$2:BJ805,K$2:K805,"=Timeout")</f>
        <v>0</v>
      </c>
      <c r="BN805">
        <f t="shared" si="421"/>
        <v>0</v>
      </c>
      <c r="BO805" s="19">
        <f t="shared" si="422"/>
        <v>1060</v>
      </c>
      <c r="BP805">
        <f t="shared" si="423"/>
        <v>1055</v>
      </c>
      <c r="BQ805" s="17">
        <f t="shared" si="424"/>
        <v>1060</v>
      </c>
      <c r="BR805" t="str">
        <f t="shared" si="425"/>
        <v>event_team_player_1</v>
      </c>
      <c r="BS805">
        <f>COUNTIFS(S$3:S805,"="&amp;S805,AI$3:AI805,"="&amp;AI805)</f>
        <v>1</v>
      </c>
      <c r="BT805" t="str">
        <f>IFERROR(VLOOKUP(BB805&amp;BU805&amp;X805,game_rosters!U:W,3,FALSE),"")</f>
        <v>P100197</v>
      </c>
      <c r="BU805" t="str">
        <f t="shared" si="426"/>
        <v>Nelson</v>
      </c>
    </row>
    <row r="806" spans="1:73" x14ac:dyDescent="0.2">
      <c r="A806">
        <f t="shared" si="413"/>
        <v>1</v>
      </c>
      <c r="E806" s="4"/>
      <c r="F806" s="43"/>
      <c r="G806" s="4"/>
      <c r="H806" s="46"/>
      <c r="J806" s="44" t="str">
        <f t="shared" si="427"/>
        <v/>
      </c>
      <c r="K806" t="s">
        <v>7</v>
      </c>
      <c r="L806" t="s">
        <v>182</v>
      </c>
      <c r="M806" t="s">
        <v>65</v>
      </c>
      <c r="N806" t="str">
        <f t="shared" si="430"/>
        <v>u</v>
      </c>
      <c r="Q806" t="str">
        <f t="shared" si="428"/>
        <v/>
      </c>
      <c r="S806">
        <v>430</v>
      </c>
      <c r="U806" t="str">
        <f>IF(B806=1,MAX($U$2:$U805)+1,IF(AND($T806&lt;&gt;"",$T806=$T805),$U805,IF(B806="x",U805,"")))</f>
        <v/>
      </c>
      <c r="V806" t="str">
        <f>IF(C806=1,MAX($V$2:$V805)+1,IF(AND($T806&lt;&gt;"",$T806=$T805),$U805,IF(C806="x",V805,"")))</f>
        <v/>
      </c>
      <c r="W806" t="str">
        <f t="shared" si="402"/>
        <v>h</v>
      </c>
      <c r="X806">
        <v>14</v>
      </c>
      <c r="Y806" t="e">
        <f>IF(X806&lt;&gt;"",VLOOKUP(X806,game_rosters!$C$43:$E$64,3,FALSE))</f>
        <v>#N/A</v>
      </c>
      <c r="Z806" t="str" cm="1">
        <f t="array" ref="Z806">IFERROR(IF(_xlfn._xlws.FILTER(game_rosters!$J:$J,(game_rosters!$G:$G=events!$AN806)*(game_rosters!$J:$J=events!$X806))&gt;0,1,""),"")</f>
        <v/>
      </c>
      <c r="AA806">
        <f t="shared" si="403"/>
        <v>1430</v>
      </c>
      <c r="AB806" t="str">
        <f t="shared" si="404"/>
        <v/>
      </c>
      <c r="AC806">
        <f t="shared" si="401"/>
        <v>1430</v>
      </c>
      <c r="AD806" s="6">
        <v>1</v>
      </c>
      <c r="AE806" t="s">
        <v>742</v>
      </c>
      <c r="AF806" t="s">
        <v>919</v>
      </c>
      <c r="AG806" t="s">
        <v>756</v>
      </c>
      <c r="AH806" t="s">
        <v>756</v>
      </c>
      <c r="AI806" t="s">
        <v>367</v>
      </c>
      <c r="AJ806" t="str">
        <f t="shared" si="431"/>
        <v/>
      </c>
      <c r="AK806" t="str">
        <f t="shared" si="431"/>
        <v/>
      </c>
      <c r="AL806" t="str">
        <f t="shared" si="406"/>
        <v/>
      </c>
      <c r="AN806" t="s">
        <v>861</v>
      </c>
      <c r="AO806" t="str">
        <f t="shared" si="407"/>
        <v>h</v>
      </c>
      <c r="AP806" t="str">
        <f t="shared" si="414"/>
        <v/>
      </c>
      <c r="AQ806" t="str">
        <f t="shared" si="415"/>
        <v/>
      </c>
      <c r="AR806" t="str">
        <f t="shared" si="416"/>
        <v>Home</v>
      </c>
      <c r="AS806" t="str">
        <f t="shared" si="417"/>
        <v>h</v>
      </c>
      <c r="AT806" t="str">
        <f t="shared" si="418"/>
        <v>Offensive</v>
      </c>
      <c r="BA806" s="6">
        <f t="shared" si="408"/>
        <v>214</v>
      </c>
      <c r="BB806">
        <f t="shared" si="409"/>
        <v>18981</v>
      </c>
      <c r="BC806" t="str">
        <f t="shared" si="410"/>
        <v>Nelson</v>
      </c>
      <c r="BD806" t="str">
        <f t="shared" si="411"/>
        <v>Velodrome</v>
      </c>
      <c r="BE806" t="s">
        <v>7</v>
      </c>
      <c r="BF806" t="s">
        <v>182</v>
      </c>
      <c r="BG806" t="s">
        <v>65</v>
      </c>
      <c r="BI806" cm="1">
        <f t="array" ref="BI806">IFERROR(_xlfn._xlws.FILTER(shifts!A:A,(shifts!B:B=events!AD806)*(shifts!AG:AG&gt;=events!BK806)*(shifts!AH:AH&lt;=events!BL806)),BI805)</f>
        <v>39</v>
      </c>
      <c r="BJ806" s="15">
        <f t="shared" si="412"/>
        <v>0</v>
      </c>
      <c r="BK806">
        <f t="shared" si="419"/>
        <v>20</v>
      </c>
      <c r="BL806">
        <f t="shared" si="420"/>
        <v>20</v>
      </c>
      <c r="BM806" s="15">
        <f>SUMIFS(BJ$2:BJ806,K$2:K806,"=Intermission")+SUMIFS(BJ$2:BJ806,K$2:K806,"=Timeout")</f>
        <v>0</v>
      </c>
      <c r="BN806">
        <f t="shared" si="421"/>
        <v>0</v>
      </c>
      <c r="BO806" s="19">
        <f t="shared" si="422"/>
        <v>1060</v>
      </c>
      <c r="BP806">
        <f t="shared" si="423"/>
        <v>1055</v>
      </c>
      <c r="BQ806" s="17">
        <f t="shared" si="424"/>
        <v>1060</v>
      </c>
      <c r="BR806" t="str">
        <f t="shared" si="425"/>
        <v>event_team_player_2</v>
      </c>
      <c r="BS806">
        <f>COUNTIFS(S$3:S806,"="&amp;S806,AI$3:AI806,"="&amp;AI806)</f>
        <v>2</v>
      </c>
      <c r="BT806" t="str">
        <f>IFERROR(VLOOKUP(BB806&amp;BU806&amp;X806,game_rosters!U:W,3,FALSE),"")</f>
        <v>P100132</v>
      </c>
      <c r="BU806" t="s">
        <v>521</v>
      </c>
    </row>
    <row r="807" spans="1:73" x14ac:dyDescent="0.2">
      <c r="A807">
        <f t="shared" si="413"/>
        <v>1</v>
      </c>
      <c r="E807" s="4"/>
      <c r="F807" s="43"/>
      <c r="G807" s="4"/>
      <c r="H807" s="46"/>
      <c r="J807" s="44" t="str">
        <f t="shared" si="427"/>
        <v>d</v>
      </c>
      <c r="K807" t="s">
        <v>238</v>
      </c>
      <c r="L807" t="s">
        <v>184</v>
      </c>
      <c r="M807" t="s">
        <v>376</v>
      </c>
      <c r="N807" t="str">
        <f t="shared" si="430"/>
        <v>u</v>
      </c>
      <c r="Q807" t="str">
        <f t="shared" si="428"/>
        <v/>
      </c>
      <c r="S807">
        <v>431</v>
      </c>
      <c r="U807" t="str">
        <f>IF(B807=1,MAX($U$2:$U806)+1,IF(AND($T807&lt;&gt;"",$T807=$T806),$U806,IF(B807="x",U806,"")))</f>
        <v/>
      </c>
      <c r="V807" t="str">
        <f>IF(C807=1,MAX($V$2:$V806)+1,IF(AND($T807&lt;&gt;"",$T807=$T806),$U806,IF(C807="x",V806,"")))</f>
        <v/>
      </c>
      <c r="W807" t="str">
        <f t="shared" si="402"/>
        <v>h</v>
      </c>
      <c r="X807">
        <v>80</v>
      </c>
      <c r="Y807" t="b">
        <f>IF(X807&lt;&gt;"",VLOOKUP(X807,game_rosters!$C$43:$E$64,3,FALSE))</f>
        <v>0</v>
      </c>
      <c r="Z807" cm="1">
        <f t="array" ref="Z807">IFERROR(IF(_xlfn._xlws.FILTER(game_rosters!$J:$J,(game_rosters!$G:$G=events!$AN807)*(game_rosters!$J:$J=events!$X807))&gt;0,1,""),"")</f>
        <v>1</v>
      </c>
      <c r="AA807">
        <f t="shared" si="403"/>
        <v>1431</v>
      </c>
      <c r="AB807" t="str">
        <f t="shared" si="404"/>
        <v/>
      </c>
      <c r="AC807">
        <f t="shared" si="401"/>
        <v>1431</v>
      </c>
      <c r="AD807" s="6">
        <v>1</v>
      </c>
      <c r="AE807" t="s">
        <v>742</v>
      </c>
      <c r="AF807" t="s">
        <v>919</v>
      </c>
      <c r="AG807" t="s">
        <v>756</v>
      </c>
      <c r="AH807" t="s">
        <v>756</v>
      </c>
      <c r="AI807" t="s">
        <v>367</v>
      </c>
      <c r="AJ807" t="str">
        <f t="shared" si="431"/>
        <v>d</v>
      </c>
      <c r="AK807" t="str">
        <f t="shared" si="431"/>
        <v>d</v>
      </c>
      <c r="AL807" t="str">
        <f t="shared" si="406"/>
        <v>d</v>
      </c>
      <c r="AN807" t="s">
        <v>861</v>
      </c>
      <c r="AO807" t="str">
        <f t="shared" si="407"/>
        <v>h</v>
      </c>
      <c r="AP807" t="str">
        <f t="shared" si="414"/>
        <v>d</v>
      </c>
      <c r="AQ807" t="str">
        <f t="shared" si="415"/>
        <v/>
      </c>
      <c r="AR807" t="str">
        <f t="shared" si="416"/>
        <v>Home</v>
      </c>
      <c r="AS807" t="str">
        <f t="shared" si="417"/>
        <v>h</v>
      </c>
      <c r="AT807" t="str">
        <f t="shared" si="418"/>
        <v>Offensive</v>
      </c>
      <c r="BA807" s="6">
        <f t="shared" si="408"/>
        <v>215</v>
      </c>
      <c r="BB807">
        <f t="shared" si="409"/>
        <v>18981</v>
      </c>
      <c r="BC807" t="str">
        <f t="shared" si="410"/>
        <v>Nelson</v>
      </c>
      <c r="BD807" t="str">
        <f t="shared" si="411"/>
        <v>Velodrome</v>
      </c>
      <c r="BE807" t="s">
        <v>238</v>
      </c>
      <c r="BF807" t="s">
        <v>184</v>
      </c>
      <c r="BG807" t="s">
        <v>376</v>
      </c>
      <c r="BI807" cm="1">
        <f t="array" ref="BI807">IFERROR(_xlfn._xlws.FILTER(shifts!A:A,(shifts!B:B=events!AD807)*(shifts!AG:AG&gt;=events!BK807)*(shifts!AH:AH&lt;=events!BL807)),BI806)</f>
        <v>39</v>
      </c>
      <c r="BJ807" s="15">
        <f t="shared" si="412"/>
        <v>0</v>
      </c>
      <c r="BK807">
        <f t="shared" si="419"/>
        <v>20</v>
      </c>
      <c r="BL807">
        <f t="shared" si="420"/>
        <v>20</v>
      </c>
      <c r="BM807" s="15">
        <f>SUMIFS(BJ$2:BJ807,K$2:K807,"=Intermission")+SUMIFS(BJ$2:BJ807,K$2:K807,"=Timeout")</f>
        <v>0</v>
      </c>
      <c r="BN807">
        <f t="shared" si="421"/>
        <v>0</v>
      </c>
      <c r="BO807" s="19">
        <f t="shared" si="422"/>
        <v>1060</v>
      </c>
      <c r="BP807">
        <f t="shared" si="423"/>
        <v>1055</v>
      </c>
      <c r="BQ807" s="17">
        <f t="shared" si="424"/>
        <v>1060</v>
      </c>
      <c r="BR807" t="str">
        <f t="shared" si="425"/>
        <v>event_team_player_1</v>
      </c>
      <c r="BS807">
        <f>COUNTIFS(S$3:S807,"="&amp;S807,AI$3:AI807,"="&amp;AI807)</f>
        <v>1</v>
      </c>
      <c r="BT807" t="str">
        <f>IFERROR(VLOOKUP(BB807&amp;BU807&amp;X807,game_rosters!U:W,3,FALSE),"")</f>
        <v>P100197</v>
      </c>
      <c r="BU807" t="str">
        <f t="shared" si="426"/>
        <v>Nelson</v>
      </c>
    </row>
    <row r="808" spans="1:73" x14ac:dyDescent="0.2">
      <c r="A808">
        <f t="shared" si="413"/>
        <v>1</v>
      </c>
      <c r="E808" s="4"/>
      <c r="F808" s="43"/>
      <c r="G808" s="4"/>
      <c r="H808" s="46"/>
      <c r="J808" s="44" t="str">
        <f t="shared" si="427"/>
        <v>o</v>
      </c>
      <c r="K808" t="s">
        <v>238</v>
      </c>
      <c r="L808" t="s">
        <v>174</v>
      </c>
      <c r="M808" t="s">
        <v>375</v>
      </c>
      <c r="N808" t="str">
        <f t="shared" si="430"/>
        <v>u</v>
      </c>
      <c r="Q808" t="str">
        <f t="shared" si="428"/>
        <v/>
      </c>
      <c r="S808">
        <v>432</v>
      </c>
      <c r="U808" t="str">
        <f>IF(B808=1,MAX($U$2:$U807)+1,IF(AND($T808&lt;&gt;"",$T808=$T807),$U807,IF(B808="x",U807,"")))</f>
        <v/>
      </c>
      <c r="V808" t="str">
        <f>IF(C808=1,MAX($V$2:$V807)+1,IF(AND($T808&lt;&gt;"",$T808=$T807),$U807,IF(C808="x",V807,"")))</f>
        <v/>
      </c>
      <c r="W808" t="str">
        <f t="shared" si="402"/>
        <v>h</v>
      </c>
      <c r="X808">
        <v>80</v>
      </c>
      <c r="Y808" t="b">
        <f>IF(X808&lt;&gt;"",VLOOKUP(X808,game_rosters!$C$43:$E$64,3,FALSE))</f>
        <v>0</v>
      </c>
      <c r="Z808" cm="1">
        <f t="array" ref="Z808">IFERROR(IF(_xlfn._xlws.FILTER(game_rosters!$J:$J,(game_rosters!$G:$G=events!$AN808)*(game_rosters!$J:$J=events!$X808))&gt;0,1,""),"")</f>
        <v>1</v>
      </c>
      <c r="AA808">
        <f t="shared" si="403"/>
        <v>1432</v>
      </c>
      <c r="AB808" t="str">
        <f t="shared" si="404"/>
        <v/>
      </c>
      <c r="AC808">
        <f t="shared" si="401"/>
        <v>1432</v>
      </c>
      <c r="AD808" s="6">
        <v>1</v>
      </c>
      <c r="AE808" t="s">
        <v>742</v>
      </c>
      <c r="AF808" t="s">
        <v>919</v>
      </c>
      <c r="AG808" t="s">
        <v>756</v>
      </c>
      <c r="AH808" t="s">
        <v>756</v>
      </c>
      <c r="AI808" t="s">
        <v>367</v>
      </c>
      <c r="AJ808" t="str">
        <f t="shared" si="431"/>
        <v>o</v>
      </c>
      <c r="AK808" t="str">
        <f t="shared" si="431"/>
        <v>o</v>
      </c>
      <c r="AL808" t="str">
        <f t="shared" si="406"/>
        <v>o</v>
      </c>
      <c r="AN808" t="s">
        <v>861</v>
      </c>
      <c r="AO808" t="str">
        <f t="shared" si="407"/>
        <v>h</v>
      </c>
      <c r="AP808" t="str">
        <f t="shared" si="414"/>
        <v>o</v>
      </c>
      <c r="AQ808" t="str">
        <f t="shared" si="415"/>
        <v/>
      </c>
      <c r="AR808" t="str">
        <f t="shared" si="416"/>
        <v>Home</v>
      </c>
      <c r="AS808" t="str">
        <f t="shared" si="417"/>
        <v>h</v>
      </c>
      <c r="AT808" t="str">
        <f t="shared" si="418"/>
        <v>Offensive</v>
      </c>
      <c r="BA808" s="6">
        <f t="shared" si="408"/>
        <v>216</v>
      </c>
      <c r="BB808">
        <f t="shared" si="409"/>
        <v>18981</v>
      </c>
      <c r="BC808" t="str">
        <f t="shared" si="410"/>
        <v>Nelson</v>
      </c>
      <c r="BD808" t="str">
        <f t="shared" si="411"/>
        <v>Velodrome</v>
      </c>
      <c r="BE808" t="s">
        <v>238</v>
      </c>
      <c r="BF808" t="s">
        <v>174</v>
      </c>
      <c r="BG808" t="s">
        <v>375</v>
      </c>
      <c r="BI808" cm="1">
        <f t="array" ref="BI808">IFERROR(_xlfn._xlws.FILTER(shifts!A:A,(shifts!B:B=events!AD808)*(shifts!AG:AG&gt;=events!BK808)*(shifts!AH:AH&lt;=events!BL808)),BI807)</f>
        <v>39</v>
      </c>
      <c r="BJ808" s="15">
        <f t="shared" si="412"/>
        <v>0</v>
      </c>
      <c r="BK808">
        <f t="shared" si="419"/>
        <v>20</v>
      </c>
      <c r="BL808">
        <f t="shared" si="420"/>
        <v>20</v>
      </c>
      <c r="BM808" s="15">
        <f>SUMIFS(BJ$2:BJ808,K$2:K808,"=Intermission")+SUMIFS(BJ$2:BJ808,K$2:K808,"=Timeout")</f>
        <v>0</v>
      </c>
      <c r="BN808">
        <f t="shared" si="421"/>
        <v>0</v>
      </c>
      <c r="BO808" s="19">
        <f t="shared" si="422"/>
        <v>1060</v>
      </c>
      <c r="BP808">
        <f t="shared" si="423"/>
        <v>1055</v>
      </c>
      <c r="BQ808" s="17">
        <f t="shared" si="424"/>
        <v>1060</v>
      </c>
      <c r="BR808" t="str">
        <f t="shared" si="425"/>
        <v>event_team_player_1</v>
      </c>
      <c r="BS808">
        <f>COUNTIFS(S$3:S808,"="&amp;S808,AI$3:AI808,"="&amp;AI808)</f>
        <v>1</v>
      </c>
      <c r="BT808" t="str">
        <f>IFERROR(VLOOKUP(BB808&amp;BU808&amp;X808,game_rosters!U:W,3,FALSE),"")</f>
        <v>P100197</v>
      </c>
      <c r="BU808" t="str">
        <f t="shared" si="426"/>
        <v>Nelson</v>
      </c>
    </row>
    <row r="809" spans="1:73" x14ac:dyDescent="0.2">
      <c r="A809">
        <f t="shared" si="413"/>
        <v>1</v>
      </c>
      <c r="E809" s="4"/>
      <c r="F809" s="43"/>
      <c r="G809" s="4"/>
      <c r="H809" s="46"/>
      <c r="J809" s="44" t="str">
        <f t="shared" si="427"/>
        <v/>
      </c>
      <c r="K809" t="s">
        <v>9</v>
      </c>
      <c r="L809" t="s">
        <v>173</v>
      </c>
      <c r="M809" t="s">
        <v>354</v>
      </c>
      <c r="N809" t="str">
        <f t="shared" si="430"/>
        <v>u</v>
      </c>
      <c r="Q809" t="str">
        <f t="shared" si="428"/>
        <v/>
      </c>
      <c r="S809">
        <v>433</v>
      </c>
      <c r="U809" t="str">
        <f>IF(B809=1,MAX($U$2:$U808)+1,IF(AND($T809&lt;&gt;"",$T809=$T808),$U808,IF(B809="x",U808,"")))</f>
        <v/>
      </c>
      <c r="V809" t="str">
        <f>IF(C809=1,MAX($V$2:$V808)+1,IF(AND($T809&lt;&gt;"",$T809=$T808),$U808,IF(C809="x",V808,"")))</f>
        <v/>
      </c>
      <c r="W809" t="str">
        <f t="shared" si="402"/>
        <v>h</v>
      </c>
      <c r="X809">
        <v>80</v>
      </c>
      <c r="Y809" t="b">
        <f>IF(X809&lt;&gt;"",VLOOKUP(X809,game_rosters!$C$43:$E$64,3,FALSE))</f>
        <v>0</v>
      </c>
      <c r="Z809" cm="1">
        <f t="array" ref="Z809">IFERROR(IF(_xlfn._xlws.FILTER(game_rosters!$J:$J,(game_rosters!$G:$G=events!$AN809)*(game_rosters!$J:$J=events!$X809))&gt;0,1,""),"")</f>
        <v>1</v>
      </c>
      <c r="AA809">
        <f t="shared" si="403"/>
        <v>1433</v>
      </c>
      <c r="AB809" t="str">
        <f t="shared" si="404"/>
        <v/>
      </c>
      <c r="AC809">
        <f t="shared" si="401"/>
        <v>1433</v>
      </c>
      <c r="AD809" s="6">
        <v>1</v>
      </c>
      <c r="AE809" t="s">
        <v>742</v>
      </c>
      <c r="AF809" t="s">
        <v>919</v>
      </c>
      <c r="AG809" t="s">
        <v>756</v>
      </c>
      <c r="AH809" t="s">
        <v>756</v>
      </c>
      <c r="AI809" t="s">
        <v>367</v>
      </c>
      <c r="AJ809" t="str">
        <f t="shared" si="431"/>
        <v/>
      </c>
      <c r="AK809" t="str">
        <f t="shared" si="431"/>
        <v/>
      </c>
      <c r="AL809" t="str">
        <f t="shared" si="406"/>
        <v/>
      </c>
      <c r="AN809" t="s">
        <v>861</v>
      </c>
      <c r="AO809" t="str">
        <f t="shared" si="407"/>
        <v>h</v>
      </c>
      <c r="AP809" t="str">
        <f t="shared" si="414"/>
        <v/>
      </c>
      <c r="AQ809" t="str">
        <f t="shared" si="415"/>
        <v/>
      </c>
      <c r="AR809" t="str">
        <f t="shared" si="416"/>
        <v>Home</v>
      </c>
      <c r="AS809" t="str">
        <f t="shared" si="417"/>
        <v>h</v>
      </c>
      <c r="AT809" t="str">
        <f t="shared" si="418"/>
        <v>Offensive</v>
      </c>
      <c r="BA809" s="6">
        <f t="shared" si="408"/>
        <v>216</v>
      </c>
      <c r="BB809">
        <f t="shared" si="409"/>
        <v>18981</v>
      </c>
      <c r="BC809" t="str">
        <f t="shared" si="410"/>
        <v>Nelson</v>
      </c>
      <c r="BD809" t="str">
        <f t="shared" si="411"/>
        <v>Velodrome</v>
      </c>
      <c r="BE809" t="s">
        <v>9</v>
      </c>
      <c r="BF809" t="s">
        <v>173</v>
      </c>
      <c r="BG809" t="s">
        <v>354</v>
      </c>
      <c r="BI809" cm="1">
        <f t="array" ref="BI809">IFERROR(_xlfn._xlws.FILTER(shifts!A:A,(shifts!B:B=events!AD809)*(shifts!AG:AG&gt;=events!BK809)*(shifts!AH:AH&lt;=events!BL809)),BI808)</f>
        <v>39</v>
      </c>
      <c r="BJ809" s="15">
        <f t="shared" si="412"/>
        <v>0</v>
      </c>
      <c r="BK809">
        <f t="shared" si="419"/>
        <v>20</v>
      </c>
      <c r="BL809">
        <f t="shared" si="420"/>
        <v>20</v>
      </c>
      <c r="BM809" s="15">
        <f>SUMIFS(BJ$2:BJ809,K$2:K809,"=Intermission")+SUMIFS(BJ$2:BJ809,K$2:K809,"=Timeout")</f>
        <v>0</v>
      </c>
      <c r="BN809">
        <f t="shared" si="421"/>
        <v>0</v>
      </c>
      <c r="BO809" s="19">
        <f t="shared" si="422"/>
        <v>1060</v>
      </c>
      <c r="BP809">
        <f t="shared" si="423"/>
        <v>1055</v>
      </c>
      <c r="BQ809" s="17">
        <f t="shared" si="424"/>
        <v>1060</v>
      </c>
      <c r="BR809" t="str">
        <f t="shared" si="425"/>
        <v>event_team_player_1</v>
      </c>
      <c r="BS809">
        <f>COUNTIFS(S$3:S809,"="&amp;S809,AI$3:AI809,"="&amp;AI809)</f>
        <v>1</v>
      </c>
      <c r="BT809" t="str">
        <f>IFERROR(VLOOKUP(BB809&amp;BU809&amp;X809,game_rosters!U:W,3,FALSE),"")</f>
        <v>P100197</v>
      </c>
      <c r="BU809" t="str">
        <f t="shared" si="426"/>
        <v>Nelson</v>
      </c>
    </row>
    <row r="810" spans="1:73" x14ac:dyDescent="0.2">
      <c r="A810">
        <f t="shared" si="413"/>
        <v>1</v>
      </c>
      <c r="E810" s="4"/>
      <c r="F810" s="43"/>
      <c r="G810" s="4"/>
      <c r="H810" s="46"/>
      <c r="J810" s="44" t="str">
        <f t="shared" si="427"/>
        <v>d</v>
      </c>
      <c r="K810" t="s">
        <v>238</v>
      </c>
      <c r="L810" t="s">
        <v>184</v>
      </c>
      <c r="M810" t="s">
        <v>90</v>
      </c>
      <c r="N810" t="str">
        <f t="shared" si="430"/>
        <v>s</v>
      </c>
      <c r="Q810" t="str">
        <f t="shared" si="428"/>
        <v/>
      </c>
      <c r="S810">
        <v>434</v>
      </c>
      <c r="U810" t="str">
        <f>IF(B810=1,MAX($U$2:$U809)+1,IF(AND($T810&lt;&gt;"",$T810=$T809),$U809,IF(B810="x",U809,"")))</f>
        <v/>
      </c>
      <c r="V810" t="str">
        <f>IF(C810=1,MAX($V$2:$V809)+1,IF(AND($T810&lt;&gt;"",$T810=$T809),$U809,IF(C810="x",V809,"")))</f>
        <v/>
      </c>
      <c r="W810" t="str">
        <f t="shared" si="402"/>
        <v>a</v>
      </c>
      <c r="X810">
        <v>52</v>
      </c>
      <c r="Y810" t="e">
        <f>IF(X810&lt;&gt;"",VLOOKUP(X810,game_rosters!$C$43:$E$64,3,FALSE))</f>
        <v>#N/A</v>
      </c>
      <c r="Z810" cm="1">
        <f t="array" ref="Z810">IFERROR(IF(_xlfn._xlws.FILTER(game_rosters!$J:$J,(game_rosters!$G:$G=events!$AN810)*(game_rosters!$J:$J=events!$X810))&gt;0,1,""),"")</f>
        <v>1</v>
      </c>
      <c r="AA810">
        <f t="shared" si="403"/>
        <v>1434</v>
      </c>
      <c r="AB810" t="str">
        <f t="shared" si="404"/>
        <v/>
      </c>
      <c r="AC810">
        <f t="shared" si="401"/>
        <v>1434</v>
      </c>
      <c r="AD810" s="6">
        <v>1</v>
      </c>
      <c r="AE810" t="s">
        <v>742</v>
      </c>
      <c r="AF810" t="s">
        <v>744</v>
      </c>
      <c r="AG810" t="s">
        <v>756</v>
      </c>
      <c r="AH810" t="s">
        <v>756</v>
      </c>
      <c r="AI810" t="s">
        <v>367</v>
      </c>
      <c r="AJ810" t="str">
        <f t="shared" si="431"/>
        <v>d</v>
      </c>
      <c r="AK810" t="str">
        <f t="shared" si="431"/>
        <v>d</v>
      </c>
      <c r="AL810" t="str">
        <f t="shared" si="406"/>
        <v>o</v>
      </c>
      <c r="AN810" t="s">
        <v>862</v>
      </c>
      <c r="AO810" t="str">
        <f t="shared" si="407"/>
        <v>a</v>
      </c>
      <c r="AP810" t="str">
        <f t="shared" si="414"/>
        <v>o</v>
      </c>
      <c r="AQ810" t="str">
        <f t="shared" si="415"/>
        <v/>
      </c>
      <c r="AR810" t="str">
        <f t="shared" si="416"/>
        <v>Away</v>
      </c>
      <c r="AS810" t="str">
        <f t="shared" si="417"/>
        <v>a</v>
      </c>
      <c r="AT810" t="str">
        <f t="shared" si="418"/>
        <v>Offensive</v>
      </c>
      <c r="BA810" s="6">
        <f t="shared" si="408"/>
        <v>217</v>
      </c>
      <c r="BB810">
        <f t="shared" si="409"/>
        <v>18981</v>
      </c>
      <c r="BC810" t="str">
        <f t="shared" si="410"/>
        <v>Nelson</v>
      </c>
      <c r="BD810" t="str">
        <f t="shared" si="411"/>
        <v>Velodrome</v>
      </c>
      <c r="BE810" t="s">
        <v>238</v>
      </c>
      <c r="BF810" t="s">
        <v>184</v>
      </c>
      <c r="BG810" t="s">
        <v>90</v>
      </c>
      <c r="BI810" cm="1">
        <f t="array" ref="BI810">IFERROR(_xlfn._xlws.FILTER(shifts!A:A,(shifts!B:B=events!AD810)*(shifts!AG:AG&gt;=events!BK810)*(shifts!AH:AH&lt;=events!BL810)),BI809)</f>
        <v>39</v>
      </c>
      <c r="BJ810" s="15">
        <f t="shared" si="412"/>
        <v>0</v>
      </c>
      <c r="BK810">
        <f t="shared" si="419"/>
        <v>15</v>
      </c>
      <c r="BL810">
        <f t="shared" si="420"/>
        <v>15</v>
      </c>
      <c r="BM810" s="15">
        <f>SUMIFS(BJ$2:BJ810,K$2:K810,"=Intermission")+SUMIFS(BJ$2:BJ810,K$2:K810,"=Timeout")</f>
        <v>0</v>
      </c>
      <c r="BN810">
        <f t="shared" si="421"/>
        <v>0</v>
      </c>
      <c r="BO810" s="19">
        <f t="shared" si="422"/>
        <v>1065</v>
      </c>
      <c r="BP810">
        <f t="shared" si="423"/>
        <v>1060</v>
      </c>
      <c r="BQ810" s="17">
        <f t="shared" si="424"/>
        <v>1065</v>
      </c>
      <c r="BR810" t="str">
        <f t="shared" si="425"/>
        <v>event_team_player_1</v>
      </c>
      <c r="BS810">
        <f>COUNTIFS(S$3:S810,"="&amp;S810,AI$3:AI810,"="&amp;AI810)</f>
        <v>1</v>
      </c>
      <c r="BT810" t="str">
        <f>IFERROR(VLOOKUP(BB810&amp;BU810&amp;X810,game_rosters!U:W,3,FALSE),"")</f>
        <v>P100070</v>
      </c>
      <c r="BU810" t="str">
        <f t="shared" si="426"/>
        <v>Velodrome</v>
      </c>
    </row>
    <row r="811" spans="1:73" x14ac:dyDescent="0.2">
      <c r="A811">
        <f t="shared" si="413"/>
        <v>1</v>
      </c>
      <c r="E811" s="4"/>
      <c r="F811" s="43"/>
      <c r="G811" s="4"/>
      <c r="H811" s="46"/>
      <c r="J811" s="44" t="str">
        <f t="shared" si="427"/>
        <v>o</v>
      </c>
      <c r="K811" t="s">
        <v>238</v>
      </c>
      <c r="L811" t="s">
        <v>174</v>
      </c>
      <c r="M811" t="s">
        <v>375</v>
      </c>
      <c r="N811" t="str">
        <f t="shared" si="430"/>
        <v>u</v>
      </c>
      <c r="Q811" t="str">
        <f t="shared" si="428"/>
        <v/>
      </c>
      <c r="S811">
        <v>435</v>
      </c>
      <c r="U811" t="str">
        <f>IF(B811=1,MAX($U$2:$U810)+1,IF(AND($T811&lt;&gt;"",$T811=$T810),$U810,IF(B811="x",U810,"")))</f>
        <v/>
      </c>
      <c r="V811" t="str">
        <f>IF(C811=1,MAX($V$2:$V810)+1,IF(AND($T811&lt;&gt;"",$T811=$T810),$U810,IF(C811="x",V810,"")))</f>
        <v/>
      </c>
      <c r="W811" t="str">
        <f t="shared" si="402"/>
        <v>a</v>
      </c>
      <c r="X811">
        <v>52</v>
      </c>
      <c r="Y811" t="e">
        <f>IF(X811&lt;&gt;"",VLOOKUP(X811,game_rosters!$C$43:$E$64,3,FALSE))</f>
        <v>#N/A</v>
      </c>
      <c r="Z811" cm="1">
        <f t="array" ref="Z811">IFERROR(IF(_xlfn._xlws.FILTER(game_rosters!$J:$J,(game_rosters!$G:$G=events!$AN811)*(game_rosters!$J:$J=events!$X811))&gt;0,1,""),"")</f>
        <v>1</v>
      </c>
      <c r="AA811">
        <f t="shared" si="403"/>
        <v>1435</v>
      </c>
      <c r="AB811" t="str">
        <f t="shared" si="404"/>
        <v/>
      </c>
      <c r="AC811">
        <f t="shared" si="401"/>
        <v>1435</v>
      </c>
      <c r="AD811" s="6">
        <v>1</v>
      </c>
      <c r="AE811" t="s">
        <v>742</v>
      </c>
      <c r="AF811" t="s">
        <v>744</v>
      </c>
      <c r="AG811" t="s">
        <v>756</v>
      </c>
      <c r="AH811" t="s">
        <v>756</v>
      </c>
      <c r="AI811" t="s">
        <v>367</v>
      </c>
      <c r="AJ811" t="str">
        <f t="shared" si="431"/>
        <v>o</v>
      </c>
      <c r="AK811" t="str">
        <f t="shared" si="431"/>
        <v>o</v>
      </c>
      <c r="AL811" t="str">
        <f t="shared" si="406"/>
        <v>d</v>
      </c>
      <c r="AN811" t="s">
        <v>862</v>
      </c>
      <c r="AO811" t="str">
        <f t="shared" si="407"/>
        <v>a</v>
      </c>
      <c r="AP811" t="str">
        <f t="shared" si="414"/>
        <v>d</v>
      </c>
      <c r="AQ811" t="str">
        <f t="shared" si="415"/>
        <v/>
      </c>
      <c r="AR811" t="str">
        <f t="shared" si="416"/>
        <v>Away</v>
      </c>
      <c r="AS811" t="str">
        <f t="shared" si="417"/>
        <v>a</v>
      </c>
      <c r="AT811" t="str">
        <f t="shared" si="418"/>
        <v>Offensive</v>
      </c>
      <c r="BA811" s="6">
        <f t="shared" si="408"/>
        <v>218</v>
      </c>
      <c r="BB811">
        <f t="shared" si="409"/>
        <v>18981</v>
      </c>
      <c r="BC811" t="str">
        <f t="shared" si="410"/>
        <v>Nelson</v>
      </c>
      <c r="BD811" t="str">
        <f t="shared" si="411"/>
        <v>Velodrome</v>
      </c>
      <c r="BE811" t="s">
        <v>238</v>
      </c>
      <c r="BF811" t="s">
        <v>174</v>
      </c>
      <c r="BG811" t="s">
        <v>375</v>
      </c>
      <c r="BI811" cm="1">
        <f t="array" ref="BI811">IFERROR(_xlfn._xlws.FILTER(shifts!A:A,(shifts!B:B=events!AD811)*(shifts!AG:AG&gt;=events!BK811)*(shifts!AH:AH&lt;=events!BL811)),BI810)</f>
        <v>39</v>
      </c>
      <c r="BJ811" s="15">
        <f t="shared" si="412"/>
        <v>0</v>
      </c>
      <c r="BK811">
        <f t="shared" si="419"/>
        <v>15</v>
      </c>
      <c r="BL811">
        <f t="shared" si="420"/>
        <v>15</v>
      </c>
      <c r="BM811" s="15">
        <f>SUMIFS(BJ$2:BJ811,K$2:K811,"=Intermission")+SUMIFS(BJ$2:BJ811,K$2:K811,"=Timeout")</f>
        <v>0</v>
      </c>
      <c r="BN811">
        <f t="shared" si="421"/>
        <v>0</v>
      </c>
      <c r="BO811" s="19">
        <f t="shared" si="422"/>
        <v>1065</v>
      </c>
      <c r="BP811">
        <f t="shared" si="423"/>
        <v>1060</v>
      </c>
      <c r="BQ811" s="17">
        <f t="shared" si="424"/>
        <v>1065</v>
      </c>
      <c r="BR811" t="str">
        <f t="shared" si="425"/>
        <v>event_team_player_1</v>
      </c>
      <c r="BS811">
        <f>COUNTIFS(S$3:S811,"="&amp;S811,AI$3:AI811,"="&amp;AI811)</f>
        <v>1</v>
      </c>
      <c r="BT811" t="str">
        <f>IFERROR(VLOOKUP(BB811&amp;BU811&amp;X811,game_rosters!U:W,3,FALSE),"")</f>
        <v>P100070</v>
      </c>
      <c r="BU811" t="str">
        <f t="shared" si="426"/>
        <v>Velodrome</v>
      </c>
    </row>
    <row r="812" spans="1:73" x14ac:dyDescent="0.2">
      <c r="A812">
        <f t="shared" si="413"/>
        <v>1</v>
      </c>
      <c r="E812" s="4"/>
      <c r="F812" s="43"/>
      <c r="G812" s="4"/>
      <c r="H812" s="46"/>
      <c r="J812" s="44" t="str">
        <f t="shared" si="427"/>
        <v/>
      </c>
      <c r="K812" t="s">
        <v>7</v>
      </c>
      <c r="L812" t="s">
        <v>182</v>
      </c>
      <c r="M812" t="s">
        <v>65</v>
      </c>
      <c r="N812" t="str">
        <f t="shared" si="430"/>
        <v>u</v>
      </c>
      <c r="Q812" t="str">
        <f t="shared" si="428"/>
        <v/>
      </c>
      <c r="S812">
        <v>436</v>
      </c>
      <c r="U812" t="str">
        <f>IF(B812=1,MAX($U$2:$U811)+1,IF(AND($T812&lt;&gt;"",$T812=$T811),$U811,IF(B812="x",U811,"")))</f>
        <v/>
      </c>
      <c r="V812" t="str">
        <f>IF(C812=1,MAX($V$2:$V811)+1,IF(AND($T812&lt;&gt;"",$T812=$T811),$U811,IF(C812="x",V811,"")))</f>
        <v/>
      </c>
      <c r="W812" t="str">
        <f t="shared" si="402"/>
        <v>h</v>
      </c>
      <c r="X812">
        <v>8</v>
      </c>
      <c r="Y812" t="b">
        <f>IF(X812&lt;&gt;"",VLOOKUP(X812,game_rosters!$C$43:$E$64,3,FALSE))</f>
        <v>0</v>
      </c>
      <c r="Z812" cm="1">
        <f t="array" ref="Z812">IFERROR(IF(_xlfn._xlws.FILTER(game_rosters!$J:$J,(game_rosters!$G:$G=events!$AN812)*(game_rosters!$J:$J=events!$X812))&gt;0,1,""),"")</f>
        <v>1</v>
      </c>
      <c r="AA812">
        <f t="shared" si="403"/>
        <v>1436</v>
      </c>
      <c r="AB812" t="str">
        <f t="shared" si="404"/>
        <v/>
      </c>
      <c r="AC812">
        <f t="shared" si="401"/>
        <v>1436</v>
      </c>
      <c r="AD812" s="6">
        <v>1</v>
      </c>
      <c r="AE812" t="s">
        <v>742</v>
      </c>
      <c r="AF812" t="s">
        <v>754</v>
      </c>
      <c r="AG812" t="s">
        <v>756</v>
      </c>
      <c r="AH812" t="s">
        <v>756</v>
      </c>
      <c r="AI812" t="s">
        <v>367</v>
      </c>
      <c r="AJ812" t="str">
        <f t="shared" si="431"/>
        <v/>
      </c>
      <c r="AK812" t="str">
        <f t="shared" si="431"/>
        <v/>
      </c>
      <c r="AL812" t="str">
        <f t="shared" si="406"/>
        <v/>
      </c>
      <c r="AN812" t="s">
        <v>861</v>
      </c>
      <c r="AO812" t="str">
        <f t="shared" si="407"/>
        <v>h</v>
      </c>
      <c r="AP812" t="str">
        <f t="shared" si="414"/>
        <v/>
      </c>
      <c r="AQ812" t="str">
        <f t="shared" si="415"/>
        <v/>
      </c>
      <c r="AR812" t="str">
        <f t="shared" si="416"/>
        <v>Home</v>
      </c>
      <c r="AS812" t="str">
        <f t="shared" si="417"/>
        <v>h</v>
      </c>
      <c r="AT812" t="str">
        <f t="shared" si="418"/>
        <v>Offensive</v>
      </c>
      <c r="BA812" s="6">
        <f t="shared" si="408"/>
        <v>218</v>
      </c>
      <c r="BB812">
        <f t="shared" si="409"/>
        <v>18981</v>
      </c>
      <c r="BC812" t="str">
        <f t="shared" si="410"/>
        <v>Nelson</v>
      </c>
      <c r="BD812" t="str">
        <f t="shared" si="411"/>
        <v>Velodrome</v>
      </c>
      <c r="BE812" t="s">
        <v>7</v>
      </c>
      <c r="BF812" t="s">
        <v>182</v>
      </c>
      <c r="BG812" t="s">
        <v>65</v>
      </c>
      <c r="BI812" cm="1">
        <f t="array" ref="BI812">IFERROR(_xlfn._xlws.FILTER(shifts!A:A,(shifts!B:B=events!AD812)*(shifts!AG:AG&gt;=events!BK812)*(shifts!AH:AH&lt;=events!BL812)),BI811)</f>
        <v>39</v>
      </c>
      <c r="BJ812" s="15">
        <f t="shared" si="412"/>
        <v>0</v>
      </c>
      <c r="BK812">
        <f t="shared" si="419"/>
        <v>11</v>
      </c>
      <c r="BL812">
        <f t="shared" si="420"/>
        <v>11</v>
      </c>
      <c r="BM812" s="15">
        <f>SUMIFS(BJ$2:BJ812,K$2:K812,"=Intermission")+SUMIFS(BJ$2:BJ812,K$2:K812,"=Timeout")</f>
        <v>0</v>
      </c>
      <c r="BN812">
        <f t="shared" si="421"/>
        <v>0</v>
      </c>
      <c r="BO812" s="19">
        <f t="shared" si="422"/>
        <v>1069</v>
      </c>
      <c r="BP812">
        <f t="shared" si="423"/>
        <v>1064</v>
      </c>
      <c r="BQ812" s="17">
        <f t="shared" si="424"/>
        <v>1069</v>
      </c>
      <c r="BR812" t="str">
        <f t="shared" si="425"/>
        <v>event_team_player_1</v>
      </c>
      <c r="BS812">
        <f>COUNTIFS(S$3:S812,"="&amp;S812,AI$3:AI812,"="&amp;AI812)</f>
        <v>1</v>
      </c>
      <c r="BT812" t="str">
        <f>IFERROR(VLOOKUP(BB812&amp;BU812&amp;X812,game_rosters!U:W,3,FALSE),"")</f>
        <v>P100074</v>
      </c>
      <c r="BU812" t="str">
        <f t="shared" si="426"/>
        <v>Nelson</v>
      </c>
    </row>
    <row r="813" spans="1:73" x14ac:dyDescent="0.2">
      <c r="A813">
        <f t="shared" si="413"/>
        <v>1</v>
      </c>
      <c r="E813" s="4"/>
      <c r="F813" s="43"/>
      <c r="G813" s="4"/>
      <c r="H813" s="46"/>
      <c r="J813" s="44" t="str">
        <f t="shared" si="427"/>
        <v/>
      </c>
      <c r="K813" t="s">
        <v>7</v>
      </c>
      <c r="L813" t="s">
        <v>182</v>
      </c>
      <c r="M813" t="s">
        <v>65</v>
      </c>
      <c r="N813" t="str">
        <f t="shared" si="430"/>
        <v>u</v>
      </c>
      <c r="Q813" t="str">
        <f t="shared" si="428"/>
        <v/>
      </c>
      <c r="S813">
        <v>436</v>
      </c>
      <c r="U813" t="str">
        <f>IF(B813=1,MAX($U$2:$U812)+1,IF(AND($T813&lt;&gt;"",$T813=$T812),$U812,IF(B813="x",U812,"")))</f>
        <v/>
      </c>
      <c r="V813" t="str">
        <f>IF(C813=1,MAX($V$2:$V812)+1,IF(AND($T813&lt;&gt;"",$T813=$T812),$U812,IF(C813="x",V812,"")))</f>
        <v/>
      </c>
      <c r="W813" t="str">
        <f t="shared" si="402"/>
        <v>h</v>
      </c>
      <c r="X813">
        <v>61</v>
      </c>
      <c r="Y813" t="e">
        <f>IF(X813&lt;&gt;"",VLOOKUP(X813,game_rosters!$C$43:$E$64,3,FALSE))</f>
        <v>#N/A</v>
      </c>
      <c r="Z813" t="str" cm="1">
        <f t="array" ref="Z813">IFERROR(IF(_xlfn._xlws.FILTER(game_rosters!$J:$J,(game_rosters!$G:$G=events!$AN813)*(game_rosters!$J:$J=events!$X813))&gt;0,1,""),"")</f>
        <v/>
      </c>
      <c r="AA813">
        <f t="shared" si="403"/>
        <v>1436</v>
      </c>
      <c r="AB813" t="str">
        <f t="shared" si="404"/>
        <v/>
      </c>
      <c r="AC813">
        <f t="shared" si="401"/>
        <v>1436</v>
      </c>
      <c r="AD813" s="6">
        <v>1</v>
      </c>
      <c r="AE813" t="s">
        <v>742</v>
      </c>
      <c r="AF813" t="s">
        <v>754</v>
      </c>
      <c r="AG813" t="s">
        <v>756</v>
      </c>
      <c r="AH813" t="s">
        <v>756</v>
      </c>
      <c r="AI813" t="s">
        <v>368</v>
      </c>
      <c r="AJ813" t="str">
        <f t="shared" si="431"/>
        <v/>
      </c>
      <c r="AK813" t="str">
        <f t="shared" si="431"/>
        <v/>
      </c>
      <c r="AL813" t="str">
        <f t="shared" si="406"/>
        <v/>
      </c>
      <c r="AN813" t="s">
        <v>861</v>
      </c>
      <c r="AO813" t="str">
        <f t="shared" si="407"/>
        <v>h</v>
      </c>
      <c r="AP813" t="str">
        <f t="shared" si="414"/>
        <v/>
      </c>
      <c r="AQ813" t="str">
        <f t="shared" si="415"/>
        <v/>
      </c>
      <c r="AR813" t="str">
        <f t="shared" si="416"/>
        <v>Home</v>
      </c>
      <c r="AS813" t="str">
        <f t="shared" si="417"/>
        <v>h</v>
      </c>
      <c r="AT813" t="str">
        <f t="shared" si="418"/>
        <v>Defensive</v>
      </c>
      <c r="BA813" s="6">
        <f t="shared" si="408"/>
        <v>218</v>
      </c>
      <c r="BB813">
        <f t="shared" si="409"/>
        <v>18981</v>
      </c>
      <c r="BC813" t="str">
        <f t="shared" si="410"/>
        <v>Nelson</v>
      </c>
      <c r="BD813" t="str">
        <f t="shared" si="411"/>
        <v>Velodrome</v>
      </c>
      <c r="BE813" t="s">
        <v>7</v>
      </c>
      <c r="BF813" t="s">
        <v>182</v>
      </c>
      <c r="BG813" t="s">
        <v>65</v>
      </c>
      <c r="BI813" cm="1">
        <f t="array" ref="BI813">IFERROR(_xlfn._xlws.FILTER(shifts!A:A,(shifts!B:B=events!AD813)*(shifts!AG:AG&gt;=events!BK813)*(shifts!AH:AH&lt;=events!BL813)),BI812)</f>
        <v>39</v>
      </c>
      <c r="BJ813" s="15">
        <f t="shared" si="412"/>
        <v>0</v>
      </c>
      <c r="BK813">
        <f t="shared" si="419"/>
        <v>11</v>
      </c>
      <c r="BL813">
        <f t="shared" si="420"/>
        <v>11</v>
      </c>
      <c r="BM813" s="15">
        <f>SUMIFS(BJ$2:BJ813,K$2:K813,"=Intermission")+SUMIFS(BJ$2:BJ813,K$2:K813,"=Timeout")</f>
        <v>0</v>
      </c>
      <c r="BN813">
        <f t="shared" si="421"/>
        <v>0</v>
      </c>
      <c r="BO813" s="19">
        <f t="shared" si="422"/>
        <v>1069</v>
      </c>
      <c r="BP813">
        <f t="shared" si="423"/>
        <v>1064</v>
      </c>
      <c r="BQ813" s="17">
        <f t="shared" si="424"/>
        <v>1069</v>
      </c>
      <c r="BR813" t="str">
        <f t="shared" si="425"/>
        <v>opp_team_player_1</v>
      </c>
      <c r="BS813">
        <f>COUNTIFS(S$3:S813,"="&amp;S813,AI$3:AI813,"="&amp;AI813)</f>
        <v>1</v>
      </c>
      <c r="BT813" t="str">
        <f>IFERROR(VLOOKUP(BB813&amp;BU813&amp;X813,game_rosters!U:W,3,FALSE),"")</f>
        <v>P100224</v>
      </c>
      <c r="BU813" t="str">
        <f t="shared" si="426"/>
        <v>Velodrome</v>
      </c>
    </row>
    <row r="814" spans="1:73" x14ac:dyDescent="0.2">
      <c r="A814">
        <f t="shared" si="413"/>
        <v>1</v>
      </c>
      <c r="E814" s="4"/>
      <c r="F814" s="43"/>
      <c r="G814" s="4"/>
      <c r="H814" s="46"/>
      <c r="J814" s="44" t="str">
        <f t="shared" si="427"/>
        <v>d</v>
      </c>
      <c r="K814" t="s">
        <v>238</v>
      </c>
      <c r="L814" t="s">
        <v>184</v>
      </c>
      <c r="M814" t="s">
        <v>376</v>
      </c>
      <c r="N814" t="str">
        <f t="shared" si="430"/>
        <v>u</v>
      </c>
      <c r="Q814" t="str">
        <f t="shared" si="428"/>
        <v/>
      </c>
      <c r="S814">
        <v>437</v>
      </c>
      <c r="U814" t="str">
        <f>IF(B814=1,MAX($U$2:$U813)+1,IF(AND($T814&lt;&gt;"",$T814=$T813),$U813,IF(B814="x",U813,"")))</f>
        <v/>
      </c>
      <c r="V814" t="str">
        <f>IF(C814=1,MAX($V$2:$V813)+1,IF(AND($T814&lt;&gt;"",$T814=$T813),$U813,IF(C814="x",V813,"")))</f>
        <v/>
      </c>
      <c r="W814" t="str">
        <f t="shared" si="402"/>
        <v>h</v>
      </c>
      <c r="X814">
        <v>8</v>
      </c>
      <c r="Y814" t="b">
        <f>IF(X814&lt;&gt;"",VLOOKUP(X814,game_rosters!$C$43:$E$64,3,FALSE))</f>
        <v>0</v>
      </c>
      <c r="Z814" cm="1">
        <f t="array" ref="Z814">IFERROR(IF(_xlfn._xlws.FILTER(game_rosters!$J:$J,(game_rosters!$G:$G=events!$AN814)*(game_rosters!$J:$J=events!$X814))&gt;0,1,""),"")</f>
        <v>1</v>
      </c>
      <c r="AA814">
        <f t="shared" si="403"/>
        <v>1437</v>
      </c>
      <c r="AB814" t="str">
        <f t="shared" si="404"/>
        <v/>
      </c>
      <c r="AC814">
        <f t="shared" si="401"/>
        <v>1437</v>
      </c>
      <c r="AD814" s="6">
        <v>1</v>
      </c>
      <c r="AE814" t="s">
        <v>742</v>
      </c>
      <c r="AF814" t="s">
        <v>754</v>
      </c>
      <c r="AG814" t="s">
        <v>756</v>
      </c>
      <c r="AH814" t="s">
        <v>756</v>
      </c>
      <c r="AI814" t="s">
        <v>367</v>
      </c>
      <c r="AJ814" t="str">
        <f t="shared" si="431"/>
        <v>d</v>
      </c>
      <c r="AK814" t="str">
        <f t="shared" si="431"/>
        <v>d</v>
      </c>
      <c r="AL814" t="str">
        <f t="shared" si="406"/>
        <v>d</v>
      </c>
      <c r="AN814" t="s">
        <v>861</v>
      </c>
      <c r="AO814" t="str">
        <f t="shared" si="407"/>
        <v>h</v>
      </c>
      <c r="AP814" t="str">
        <f t="shared" si="414"/>
        <v>d</v>
      </c>
      <c r="AQ814" t="str">
        <f t="shared" si="415"/>
        <v/>
      </c>
      <c r="AR814" t="str">
        <f t="shared" si="416"/>
        <v>Home</v>
      </c>
      <c r="AS814" t="str">
        <f t="shared" si="417"/>
        <v>h</v>
      </c>
      <c r="AT814" t="str">
        <f t="shared" si="418"/>
        <v>Offensive</v>
      </c>
      <c r="BA814" s="6">
        <f t="shared" si="408"/>
        <v>219</v>
      </c>
      <c r="BB814">
        <f t="shared" si="409"/>
        <v>18981</v>
      </c>
      <c r="BC814" t="str">
        <f t="shared" si="410"/>
        <v>Nelson</v>
      </c>
      <c r="BD814" t="str">
        <f t="shared" si="411"/>
        <v>Velodrome</v>
      </c>
      <c r="BE814" t="s">
        <v>238</v>
      </c>
      <c r="BF814" t="s">
        <v>184</v>
      </c>
      <c r="BG814" t="s">
        <v>376</v>
      </c>
      <c r="BI814" cm="1">
        <f t="array" ref="BI814">IFERROR(_xlfn._xlws.FILTER(shifts!A:A,(shifts!B:B=events!AD814)*(shifts!AG:AG&gt;=events!BK814)*(shifts!AH:AH&lt;=events!BL814)),BI813)</f>
        <v>39</v>
      </c>
      <c r="BJ814" s="15">
        <f t="shared" si="412"/>
        <v>0</v>
      </c>
      <c r="BK814">
        <f t="shared" si="419"/>
        <v>11</v>
      </c>
      <c r="BL814">
        <f t="shared" si="420"/>
        <v>11</v>
      </c>
      <c r="BM814" s="15">
        <f>SUMIFS(BJ$2:BJ814,K$2:K814,"=Intermission")+SUMIFS(BJ$2:BJ814,K$2:K814,"=Timeout")</f>
        <v>0</v>
      </c>
      <c r="BN814">
        <f t="shared" si="421"/>
        <v>0</v>
      </c>
      <c r="BO814" s="19">
        <f t="shared" si="422"/>
        <v>1069</v>
      </c>
      <c r="BP814">
        <f t="shared" si="423"/>
        <v>1064</v>
      </c>
      <c r="BQ814" s="17">
        <f t="shared" si="424"/>
        <v>1069</v>
      </c>
      <c r="BR814" t="str">
        <f t="shared" si="425"/>
        <v>event_team_player_1</v>
      </c>
      <c r="BS814">
        <f>COUNTIFS(S$3:S814,"="&amp;S814,AI$3:AI814,"="&amp;AI814)</f>
        <v>1</v>
      </c>
      <c r="BT814" t="str">
        <f>IFERROR(VLOOKUP(BB814&amp;BU814&amp;X814,game_rosters!U:W,3,FALSE),"")</f>
        <v>P100074</v>
      </c>
      <c r="BU814" t="str">
        <f t="shared" si="426"/>
        <v>Nelson</v>
      </c>
    </row>
    <row r="815" spans="1:73" x14ac:dyDescent="0.2">
      <c r="A815">
        <f t="shared" si="413"/>
        <v>1</v>
      </c>
      <c r="E815" s="4"/>
      <c r="F815" s="43"/>
      <c r="G815" s="4"/>
      <c r="H815" s="46"/>
      <c r="J815" s="44" t="str">
        <f t="shared" si="427"/>
        <v>o</v>
      </c>
      <c r="K815" t="s">
        <v>238</v>
      </c>
      <c r="L815" t="s">
        <v>174</v>
      </c>
      <c r="M815" t="s">
        <v>375</v>
      </c>
      <c r="N815" t="str">
        <f t="shared" si="430"/>
        <v>u</v>
      </c>
      <c r="Q815" t="str">
        <f t="shared" si="428"/>
        <v/>
      </c>
      <c r="S815">
        <v>438</v>
      </c>
      <c r="U815" t="str">
        <f>IF(B815=1,MAX($U$2:$U814)+1,IF(AND($T815&lt;&gt;"",$T815=$T814),$U814,IF(B815="x",U814,"")))</f>
        <v/>
      </c>
      <c r="V815" t="str">
        <f>IF(C815=1,MAX($V$2:$V814)+1,IF(AND($T815&lt;&gt;"",$T815=$T814),$U814,IF(C815="x",V814,"")))</f>
        <v/>
      </c>
      <c r="W815" t="str">
        <f t="shared" si="402"/>
        <v>h</v>
      </c>
      <c r="X815">
        <v>8</v>
      </c>
      <c r="Y815" t="b">
        <f>IF(X815&lt;&gt;"",VLOOKUP(X815,game_rosters!$C$43:$E$64,3,FALSE))</f>
        <v>0</v>
      </c>
      <c r="Z815" cm="1">
        <f t="array" ref="Z815">IFERROR(IF(_xlfn._xlws.FILTER(game_rosters!$J:$J,(game_rosters!$G:$G=events!$AN815)*(game_rosters!$J:$J=events!$X815))&gt;0,1,""),"")</f>
        <v>1</v>
      </c>
      <c r="AA815">
        <f t="shared" si="403"/>
        <v>1438</v>
      </c>
      <c r="AB815" t="str">
        <f t="shared" si="404"/>
        <v/>
      </c>
      <c r="AC815">
        <f t="shared" si="401"/>
        <v>1438</v>
      </c>
      <c r="AD815" s="6">
        <v>1</v>
      </c>
      <c r="AE815" t="s">
        <v>742</v>
      </c>
      <c r="AF815" t="s">
        <v>754</v>
      </c>
      <c r="AG815" t="s">
        <v>756</v>
      </c>
      <c r="AH815" t="s">
        <v>756</v>
      </c>
      <c r="AI815" t="s">
        <v>367</v>
      </c>
      <c r="AJ815" t="str">
        <f t="shared" si="431"/>
        <v>o</v>
      </c>
      <c r="AK815" t="str">
        <f t="shared" si="431"/>
        <v>o</v>
      </c>
      <c r="AL815" t="str">
        <f t="shared" si="406"/>
        <v>o</v>
      </c>
      <c r="AN815" t="s">
        <v>861</v>
      </c>
      <c r="AO815" t="str">
        <f t="shared" si="407"/>
        <v>h</v>
      </c>
      <c r="AP815" t="str">
        <f t="shared" si="414"/>
        <v>o</v>
      </c>
      <c r="AQ815" t="str">
        <f t="shared" si="415"/>
        <v/>
      </c>
      <c r="AR815" t="str">
        <f t="shared" si="416"/>
        <v>Home</v>
      </c>
      <c r="AS815" t="str">
        <f t="shared" si="417"/>
        <v>h</v>
      </c>
      <c r="AT815" t="str">
        <f t="shared" si="418"/>
        <v>Offensive</v>
      </c>
      <c r="BA815" s="6">
        <f t="shared" si="408"/>
        <v>220</v>
      </c>
      <c r="BB815">
        <f t="shared" si="409"/>
        <v>18981</v>
      </c>
      <c r="BC815" t="str">
        <f t="shared" si="410"/>
        <v>Nelson</v>
      </c>
      <c r="BD815" t="str">
        <f t="shared" si="411"/>
        <v>Velodrome</v>
      </c>
      <c r="BE815" t="s">
        <v>238</v>
      </c>
      <c r="BF815" t="s">
        <v>174</v>
      </c>
      <c r="BG815" t="s">
        <v>375</v>
      </c>
      <c r="BI815" cm="1">
        <f t="array" ref="BI815">IFERROR(_xlfn._xlws.FILTER(shifts!A:A,(shifts!B:B=events!AD815)*(shifts!AG:AG&gt;=events!BK815)*(shifts!AH:AH&lt;=events!BL815)),BI814)</f>
        <v>39</v>
      </c>
      <c r="BJ815" s="15">
        <f t="shared" si="412"/>
        <v>0</v>
      </c>
      <c r="BK815">
        <f t="shared" si="419"/>
        <v>11</v>
      </c>
      <c r="BL815">
        <f t="shared" si="420"/>
        <v>11</v>
      </c>
      <c r="BM815" s="15">
        <f>SUMIFS(BJ$2:BJ815,K$2:K815,"=Intermission")+SUMIFS(BJ$2:BJ815,K$2:K815,"=Timeout")</f>
        <v>0</v>
      </c>
      <c r="BN815">
        <f t="shared" si="421"/>
        <v>0</v>
      </c>
      <c r="BO815" s="19">
        <f t="shared" si="422"/>
        <v>1069</v>
      </c>
      <c r="BP815">
        <f t="shared" si="423"/>
        <v>1064</v>
      </c>
      <c r="BQ815" s="17">
        <f t="shared" si="424"/>
        <v>1069</v>
      </c>
      <c r="BR815" t="str">
        <f t="shared" si="425"/>
        <v>event_team_player_1</v>
      </c>
      <c r="BS815">
        <f>COUNTIFS(S$3:S815,"="&amp;S815,AI$3:AI815,"="&amp;AI815)</f>
        <v>1</v>
      </c>
      <c r="BT815" t="str">
        <f>IFERROR(VLOOKUP(BB815&amp;BU815&amp;X815,game_rosters!U:W,3,FALSE),"")</f>
        <v>P100074</v>
      </c>
      <c r="BU815" t="str">
        <f t="shared" si="426"/>
        <v>Nelson</v>
      </c>
    </row>
    <row r="816" spans="1:73" x14ac:dyDescent="0.2">
      <c r="A816">
        <f t="shared" si="413"/>
        <v>1</v>
      </c>
      <c r="E816" s="4"/>
      <c r="F816" s="43"/>
      <c r="G816" s="4"/>
      <c r="H816" s="46"/>
      <c r="J816" s="44" t="str">
        <f t="shared" si="427"/>
        <v/>
      </c>
      <c r="K816" t="s">
        <v>9</v>
      </c>
      <c r="L816" t="s">
        <v>173</v>
      </c>
      <c r="M816" t="s">
        <v>354</v>
      </c>
      <c r="N816" t="str">
        <f t="shared" si="430"/>
        <v>u</v>
      </c>
      <c r="Q816" t="str">
        <f t="shared" si="428"/>
        <v/>
      </c>
      <c r="S816">
        <v>439</v>
      </c>
      <c r="U816" t="str">
        <f>IF(B816=1,MAX($U$2:$U815)+1,IF(AND($T816&lt;&gt;"",$T816=$T815),$U815,IF(B816="x",U815,"")))</f>
        <v/>
      </c>
      <c r="V816" t="str">
        <f>IF(C816=1,MAX($V$2:$V815)+1,IF(AND($T816&lt;&gt;"",$T816=$T815),$U815,IF(C816="x",V815,"")))</f>
        <v/>
      </c>
      <c r="W816" t="str">
        <f t="shared" si="402"/>
        <v>h</v>
      </c>
      <c r="X816">
        <v>8</v>
      </c>
      <c r="Y816" t="b">
        <f>IF(X816&lt;&gt;"",VLOOKUP(X816,game_rosters!$C$43:$E$64,3,FALSE))</f>
        <v>0</v>
      </c>
      <c r="Z816" cm="1">
        <f t="array" ref="Z816">IFERROR(IF(_xlfn._xlws.FILTER(game_rosters!$J:$J,(game_rosters!$G:$G=events!$AN816)*(game_rosters!$J:$J=events!$X816))&gt;0,1,""),"")</f>
        <v>1</v>
      </c>
      <c r="AA816">
        <f t="shared" si="403"/>
        <v>1439</v>
      </c>
      <c r="AB816" t="str">
        <f t="shared" si="404"/>
        <v/>
      </c>
      <c r="AC816">
        <f t="shared" si="401"/>
        <v>1439</v>
      </c>
      <c r="AD816" s="6">
        <v>1</v>
      </c>
      <c r="AE816" t="s">
        <v>742</v>
      </c>
      <c r="AF816" t="s">
        <v>754</v>
      </c>
      <c r="AG816" t="s">
        <v>756</v>
      </c>
      <c r="AH816" t="s">
        <v>756</v>
      </c>
      <c r="AI816" t="s">
        <v>367</v>
      </c>
      <c r="AJ816" t="str">
        <f t="shared" si="431"/>
        <v/>
      </c>
      <c r="AK816" t="str">
        <f t="shared" si="431"/>
        <v/>
      </c>
      <c r="AL816" t="str">
        <f t="shared" si="406"/>
        <v/>
      </c>
      <c r="AN816" t="s">
        <v>861</v>
      </c>
      <c r="AO816" t="str">
        <f t="shared" si="407"/>
        <v>h</v>
      </c>
      <c r="AP816" t="str">
        <f t="shared" si="414"/>
        <v/>
      </c>
      <c r="AQ816" t="str">
        <f t="shared" si="415"/>
        <v/>
      </c>
      <c r="AR816" t="str">
        <f t="shared" si="416"/>
        <v>Home</v>
      </c>
      <c r="AS816" t="str">
        <f t="shared" si="417"/>
        <v>h</v>
      </c>
      <c r="AT816" t="str">
        <f t="shared" si="418"/>
        <v>Offensive</v>
      </c>
      <c r="BA816" s="6">
        <f t="shared" si="408"/>
        <v>220</v>
      </c>
      <c r="BB816">
        <f t="shared" si="409"/>
        <v>18981</v>
      </c>
      <c r="BC816" t="str">
        <f t="shared" si="410"/>
        <v>Nelson</v>
      </c>
      <c r="BD816" t="str">
        <f t="shared" si="411"/>
        <v>Velodrome</v>
      </c>
      <c r="BE816" t="s">
        <v>9</v>
      </c>
      <c r="BF816" t="s">
        <v>173</v>
      </c>
      <c r="BG816" t="s">
        <v>354</v>
      </c>
      <c r="BI816" cm="1">
        <f t="array" ref="BI816">IFERROR(_xlfn._xlws.FILTER(shifts!A:A,(shifts!B:B=events!AD816)*(shifts!AG:AG&gt;=events!BK816)*(shifts!AH:AH&lt;=events!BL816)),BI815)</f>
        <v>39</v>
      </c>
      <c r="BJ816" s="15">
        <f t="shared" si="412"/>
        <v>0</v>
      </c>
      <c r="BK816">
        <f t="shared" si="419"/>
        <v>11</v>
      </c>
      <c r="BL816">
        <f t="shared" si="420"/>
        <v>11</v>
      </c>
      <c r="BM816" s="15">
        <f>SUMIFS(BJ$2:BJ816,K$2:K816,"=Intermission")+SUMIFS(BJ$2:BJ816,K$2:K816,"=Timeout")</f>
        <v>0</v>
      </c>
      <c r="BN816">
        <f t="shared" si="421"/>
        <v>0</v>
      </c>
      <c r="BO816" s="19">
        <f t="shared" si="422"/>
        <v>1069</v>
      </c>
      <c r="BP816">
        <f t="shared" si="423"/>
        <v>1064</v>
      </c>
      <c r="BQ816" s="17">
        <f t="shared" si="424"/>
        <v>1069</v>
      </c>
      <c r="BR816" t="str">
        <f t="shared" si="425"/>
        <v>event_team_player_1</v>
      </c>
      <c r="BS816">
        <f>COUNTIFS(S$3:S816,"="&amp;S816,AI$3:AI816,"="&amp;AI816)</f>
        <v>1</v>
      </c>
      <c r="BT816" t="str">
        <f>IFERROR(VLOOKUP(BB816&amp;BU816&amp;X816,game_rosters!U:W,3,FALSE),"")</f>
        <v>P100074</v>
      </c>
      <c r="BU816" t="str">
        <f t="shared" si="426"/>
        <v>Nelson</v>
      </c>
    </row>
    <row r="817" spans="1:73" x14ac:dyDescent="0.2">
      <c r="A817">
        <f t="shared" si="413"/>
        <v>1</v>
      </c>
      <c r="E817" s="4"/>
      <c r="F817" s="43"/>
      <c r="G817" s="4"/>
      <c r="H817" s="46"/>
      <c r="J817" s="44" t="str">
        <f t="shared" si="427"/>
        <v>d</v>
      </c>
      <c r="K817" t="s">
        <v>238</v>
      </c>
      <c r="L817" t="s">
        <v>184</v>
      </c>
      <c r="M817" t="s">
        <v>90</v>
      </c>
      <c r="N817" t="str">
        <f t="shared" si="430"/>
        <v>s</v>
      </c>
      <c r="Q817" t="str">
        <f t="shared" si="428"/>
        <v/>
      </c>
      <c r="S817">
        <v>440</v>
      </c>
      <c r="U817" t="str">
        <f>IF(B817=1,MAX($U$2:$U816)+1,IF(AND($T817&lt;&gt;"",$T817=$T816),$U816,IF(B817="x",U816,"")))</f>
        <v/>
      </c>
      <c r="V817" t="str">
        <f>IF(C817=1,MAX($V$2:$V816)+1,IF(AND($T817&lt;&gt;"",$T817=$T816),$U816,IF(C817="x",V816,"")))</f>
        <v/>
      </c>
      <c r="W817" t="str">
        <f t="shared" si="402"/>
        <v>a</v>
      </c>
      <c r="X817">
        <v>52</v>
      </c>
      <c r="Y817" t="e">
        <f>IF(X817&lt;&gt;"",VLOOKUP(X817,game_rosters!$C$43:$E$64,3,FALSE))</f>
        <v>#N/A</v>
      </c>
      <c r="Z817" cm="1">
        <f t="array" ref="Z817">IFERROR(IF(_xlfn._xlws.FILTER(game_rosters!$J:$J,(game_rosters!$G:$G=events!$AN817)*(game_rosters!$J:$J=events!$X817))&gt;0,1,""),"")</f>
        <v>1</v>
      </c>
      <c r="AA817">
        <f t="shared" si="403"/>
        <v>1440</v>
      </c>
      <c r="AB817" t="str">
        <f t="shared" si="404"/>
        <v/>
      </c>
      <c r="AC817">
        <f t="shared" si="401"/>
        <v>1440</v>
      </c>
      <c r="AD817" s="6">
        <v>1</v>
      </c>
      <c r="AE817" t="s">
        <v>742</v>
      </c>
      <c r="AF817" t="s">
        <v>920</v>
      </c>
      <c r="AG817" t="s">
        <v>756</v>
      </c>
      <c r="AH817" t="s">
        <v>756</v>
      </c>
      <c r="AI817" t="s">
        <v>367</v>
      </c>
      <c r="AJ817" t="str">
        <f t="shared" si="431"/>
        <v>d</v>
      </c>
      <c r="AK817" t="str">
        <f t="shared" si="431"/>
        <v>d</v>
      </c>
      <c r="AL817" t="str">
        <f t="shared" si="406"/>
        <v>o</v>
      </c>
      <c r="AN817" t="s">
        <v>862</v>
      </c>
      <c r="AO817" t="str">
        <f t="shared" si="407"/>
        <v>a</v>
      </c>
      <c r="AP817" t="str">
        <f t="shared" si="414"/>
        <v>o</v>
      </c>
      <c r="AQ817" t="str">
        <f t="shared" si="415"/>
        <v/>
      </c>
      <c r="AR817" t="str">
        <f t="shared" si="416"/>
        <v>Away</v>
      </c>
      <c r="AS817" t="str">
        <f t="shared" si="417"/>
        <v>a</v>
      </c>
      <c r="AT817" t="str">
        <f t="shared" si="418"/>
        <v>Offensive</v>
      </c>
      <c r="BA817" s="6">
        <f t="shared" si="408"/>
        <v>221</v>
      </c>
      <c r="BB817">
        <f t="shared" si="409"/>
        <v>18981</v>
      </c>
      <c r="BC817" t="str">
        <f t="shared" si="410"/>
        <v>Nelson</v>
      </c>
      <c r="BD817" t="str">
        <f t="shared" si="411"/>
        <v>Velodrome</v>
      </c>
      <c r="BE817" t="s">
        <v>238</v>
      </c>
      <c r="BF817" t="s">
        <v>184</v>
      </c>
      <c r="BG817" t="s">
        <v>90</v>
      </c>
      <c r="BI817" cm="1">
        <f t="array" ref="BI817">IFERROR(_xlfn._xlws.FILTER(shifts!A:A,(shifts!B:B=events!AD817)*(shifts!AG:AG&gt;=events!BK817)*(shifts!AH:AH&lt;=events!BL817)),BI816)</f>
        <v>39</v>
      </c>
      <c r="BJ817" s="15">
        <f t="shared" si="412"/>
        <v>0</v>
      </c>
      <c r="BK817">
        <f t="shared" si="419"/>
        <v>9</v>
      </c>
      <c r="BL817">
        <f t="shared" si="420"/>
        <v>9</v>
      </c>
      <c r="BM817" s="15">
        <f>SUMIFS(BJ$2:BJ817,K$2:K817,"=Intermission")+SUMIFS(BJ$2:BJ817,K$2:K817,"=Timeout")</f>
        <v>0</v>
      </c>
      <c r="BN817">
        <f t="shared" si="421"/>
        <v>0</v>
      </c>
      <c r="BO817" s="19">
        <f t="shared" si="422"/>
        <v>1071</v>
      </c>
      <c r="BP817">
        <f t="shared" si="423"/>
        <v>1066</v>
      </c>
      <c r="BQ817" s="17">
        <f t="shared" si="424"/>
        <v>1071</v>
      </c>
      <c r="BR817" t="str">
        <f t="shared" si="425"/>
        <v>event_team_player_1</v>
      </c>
      <c r="BS817">
        <f>COUNTIFS(S$3:S817,"="&amp;S817,AI$3:AI817,"="&amp;AI817)</f>
        <v>1</v>
      </c>
      <c r="BT817" t="str">
        <f>IFERROR(VLOOKUP(BB817&amp;BU817&amp;X817,game_rosters!U:W,3,FALSE),"")</f>
        <v>P100070</v>
      </c>
      <c r="BU817" t="str">
        <f t="shared" si="426"/>
        <v>Velodrome</v>
      </c>
    </row>
    <row r="818" spans="1:73" x14ac:dyDescent="0.2">
      <c r="A818">
        <f t="shared" si="413"/>
        <v>1</v>
      </c>
      <c r="E818" s="4"/>
      <c r="F818" s="43"/>
      <c r="G818" s="4"/>
      <c r="H818" s="46"/>
      <c r="J818" s="44" t="str">
        <f t="shared" si="427"/>
        <v>o</v>
      </c>
      <c r="K818" t="s">
        <v>238</v>
      </c>
      <c r="L818" t="s">
        <v>174</v>
      </c>
      <c r="M818" t="s">
        <v>375</v>
      </c>
      <c r="N818" t="str">
        <f t="shared" si="430"/>
        <v>u</v>
      </c>
      <c r="Q818" t="str">
        <f t="shared" si="428"/>
        <v/>
      </c>
      <c r="S818">
        <v>441</v>
      </c>
      <c r="U818" t="str">
        <f>IF(B818=1,MAX($U$2:$U817)+1,IF(AND($T818&lt;&gt;"",$T818=$T817),$U817,IF(B818="x",U817,"")))</f>
        <v/>
      </c>
      <c r="V818" t="str">
        <f>IF(C818=1,MAX($V$2:$V817)+1,IF(AND($T818&lt;&gt;"",$T818=$T817),$U817,IF(C818="x",V817,"")))</f>
        <v/>
      </c>
      <c r="W818" t="str">
        <f t="shared" si="402"/>
        <v>a</v>
      </c>
      <c r="X818">
        <v>52</v>
      </c>
      <c r="Y818" t="e">
        <f>IF(X818&lt;&gt;"",VLOOKUP(X818,game_rosters!$C$43:$E$64,3,FALSE))</f>
        <v>#N/A</v>
      </c>
      <c r="Z818" cm="1">
        <f t="array" ref="Z818">IFERROR(IF(_xlfn._xlws.FILTER(game_rosters!$J:$J,(game_rosters!$G:$G=events!$AN818)*(game_rosters!$J:$J=events!$X818))&gt;0,1,""),"")</f>
        <v>1</v>
      </c>
      <c r="AA818">
        <f t="shared" si="403"/>
        <v>1441</v>
      </c>
      <c r="AB818" t="str">
        <f t="shared" si="404"/>
        <v/>
      </c>
      <c r="AC818">
        <f t="shared" si="401"/>
        <v>1441</v>
      </c>
      <c r="AD818" s="6">
        <v>1</v>
      </c>
      <c r="AE818" t="s">
        <v>742</v>
      </c>
      <c r="AF818" t="s">
        <v>912</v>
      </c>
      <c r="AG818" t="s">
        <v>756</v>
      </c>
      <c r="AH818" t="s">
        <v>756</v>
      </c>
      <c r="AI818" t="s">
        <v>367</v>
      </c>
      <c r="AJ818" t="str">
        <f t="shared" si="431"/>
        <v>o</v>
      </c>
      <c r="AK818" t="str">
        <f t="shared" si="431"/>
        <v>o</v>
      </c>
      <c r="AL818" t="str">
        <f t="shared" si="406"/>
        <v>d</v>
      </c>
      <c r="AN818" t="s">
        <v>862</v>
      </c>
      <c r="AO818" t="str">
        <f t="shared" si="407"/>
        <v>a</v>
      </c>
      <c r="AP818" t="str">
        <f t="shared" si="414"/>
        <v>d</v>
      </c>
      <c r="AQ818" t="str">
        <f t="shared" si="415"/>
        <v/>
      </c>
      <c r="AR818" t="str">
        <f t="shared" si="416"/>
        <v>Away</v>
      </c>
      <c r="AS818" t="str">
        <f t="shared" si="417"/>
        <v>a</v>
      </c>
      <c r="AT818" t="str">
        <f t="shared" si="418"/>
        <v>Offensive</v>
      </c>
      <c r="BA818" s="6">
        <f t="shared" si="408"/>
        <v>222</v>
      </c>
      <c r="BB818">
        <f t="shared" si="409"/>
        <v>18981</v>
      </c>
      <c r="BC818" t="str">
        <f t="shared" si="410"/>
        <v>Nelson</v>
      </c>
      <c r="BD818" t="str">
        <f t="shared" si="411"/>
        <v>Velodrome</v>
      </c>
      <c r="BE818" t="s">
        <v>238</v>
      </c>
      <c r="BF818" t="s">
        <v>174</v>
      </c>
      <c r="BG818" t="s">
        <v>375</v>
      </c>
      <c r="BI818" cm="1">
        <f t="array" ref="BI818">IFERROR(_xlfn._xlws.FILTER(shifts!A:A,(shifts!B:B=events!AD818)*(shifts!AG:AG&gt;=events!BK818)*(shifts!AH:AH&lt;=events!BL818)),BI817)</f>
        <v>39</v>
      </c>
      <c r="BJ818" s="15">
        <f t="shared" si="412"/>
        <v>0</v>
      </c>
      <c r="BK818">
        <f t="shared" si="419"/>
        <v>5</v>
      </c>
      <c r="BL818">
        <f t="shared" si="420"/>
        <v>5</v>
      </c>
      <c r="BM818" s="15">
        <f>SUMIFS(BJ$2:BJ818,K$2:K818,"=Intermission")+SUMIFS(BJ$2:BJ818,K$2:K818,"=Timeout")</f>
        <v>0</v>
      </c>
      <c r="BN818">
        <f t="shared" si="421"/>
        <v>0</v>
      </c>
      <c r="BO818" s="19">
        <f t="shared" si="422"/>
        <v>1075</v>
      </c>
      <c r="BP818">
        <f t="shared" si="423"/>
        <v>1070</v>
      </c>
      <c r="BQ818" s="17">
        <f t="shared" si="424"/>
        <v>1075</v>
      </c>
      <c r="BR818" t="str">
        <f t="shared" si="425"/>
        <v>event_team_player_1</v>
      </c>
      <c r="BS818">
        <f>COUNTIFS(S$3:S818,"="&amp;S818,AI$3:AI818,"="&amp;AI818)</f>
        <v>1</v>
      </c>
      <c r="BT818" t="str">
        <f>IFERROR(VLOOKUP(BB818&amp;BU818&amp;X818,game_rosters!U:W,3,FALSE),"")</f>
        <v>P100070</v>
      </c>
      <c r="BU818" t="str">
        <f t="shared" si="426"/>
        <v>Velodrome</v>
      </c>
    </row>
    <row r="819" spans="1:73" x14ac:dyDescent="0.2">
      <c r="A819">
        <f t="shared" si="413"/>
        <v>1</v>
      </c>
      <c r="E819" s="4"/>
      <c r="F819" s="43"/>
      <c r="G819" s="4"/>
      <c r="H819" s="46"/>
      <c r="J819" s="44" t="str">
        <f t="shared" si="427"/>
        <v>d</v>
      </c>
      <c r="K819" t="s">
        <v>238</v>
      </c>
      <c r="L819" t="s">
        <v>184</v>
      </c>
      <c r="M819" t="s">
        <v>90</v>
      </c>
      <c r="N819" t="str">
        <f t="shared" si="430"/>
        <v>s</v>
      </c>
      <c r="Q819" t="str">
        <f t="shared" si="428"/>
        <v/>
      </c>
      <c r="S819">
        <v>442</v>
      </c>
      <c r="U819" t="str">
        <f>IF(B819=1,MAX($U$2:$U818)+1,IF(AND($T819&lt;&gt;"",$T819=$T818),$U818,IF(B819="x",U818,"")))</f>
        <v/>
      </c>
      <c r="V819" t="str">
        <f>IF(C819=1,MAX($V$2:$V818)+1,IF(AND($T819&lt;&gt;"",$T819=$T818),$U818,IF(C819="x",V818,"")))</f>
        <v/>
      </c>
      <c r="W819" t="str">
        <f t="shared" si="402"/>
        <v>h</v>
      </c>
      <c r="X819">
        <v>8</v>
      </c>
      <c r="Y819" t="b">
        <f>IF(X819&lt;&gt;"",VLOOKUP(X819,game_rosters!$C$43:$E$64,3,FALSE))</f>
        <v>0</v>
      </c>
      <c r="Z819" cm="1">
        <f t="array" ref="Z819">IFERROR(IF(_xlfn._xlws.FILTER(game_rosters!$J:$J,(game_rosters!$G:$G=events!$AN819)*(game_rosters!$J:$J=events!$X819))&gt;0,1,""),"")</f>
        <v>1</v>
      </c>
      <c r="AA819">
        <f t="shared" si="403"/>
        <v>1442</v>
      </c>
      <c r="AB819" t="str">
        <f t="shared" si="404"/>
        <v/>
      </c>
      <c r="AC819">
        <f t="shared" si="401"/>
        <v>1442</v>
      </c>
      <c r="AD819" s="6">
        <v>1</v>
      </c>
      <c r="AE819" t="s">
        <v>742</v>
      </c>
      <c r="AF819" t="s">
        <v>925</v>
      </c>
      <c r="AG819" t="s">
        <v>756</v>
      </c>
      <c r="AH819" t="s">
        <v>756</v>
      </c>
      <c r="AI819" t="s">
        <v>367</v>
      </c>
      <c r="AJ819" t="str">
        <f t="shared" si="431"/>
        <v>d</v>
      </c>
      <c r="AK819" t="str">
        <f t="shared" si="431"/>
        <v>d</v>
      </c>
      <c r="AL819" t="str">
        <f t="shared" si="406"/>
        <v>d</v>
      </c>
      <c r="AN819" t="s">
        <v>861</v>
      </c>
      <c r="AO819" t="str">
        <f t="shared" si="407"/>
        <v>h</v>
      </c>
      <c r="AP819" t="str">
        <f t="shared" si="414"/>
        <v>d</v>
      </c>
      <c r="AQ819" t="str">
        <f t="shared" si="415"/>
        <v/>
      </c>
      <c r="AR819" t="str">
        <f t="shared" si="416"/>
        <v>Home</v>
      </c>
      <c r="AS819" t="str">
        <f t="shared" si="417"/>
        <v>h</v>
      </c>
      <c r="AT819" t="str">
        <f t="shared" si="418"/>
        <v>Offensive</v>
      </c>
      <c r="BA819" s="6">
        <f t="shared" si="408"/>
        <v>223</v>
      </c>
      <c r="BB819">
        <f t="shared" si="409"/>
        <v>18981</v>
      </c>
      <c r="BC819" t="str">
        <f t="shared" si="410"/>
        <v>Nelson</v>
      </c>
      <c r="BD819" t="str">
        <f t="shared" si="411"/>
        <v>Velodrome</v>
      </c>
      <c r="BE819" t="s">
        <v>238</v>
      </c>
      <c r="BF819" t="s">
        <v>184</v>
      </c>
      <c r="BG819" t="s">
        <v>90</v>
      </c>
      <c r="BI819" cm="1">
        <f t="array" ref="BI819">IFERROR(_xlfn._xlws.FILTER(shifts!A:A,(shifts!B:B=events!AD819)*(shifts!AG:AG&gt;=events!BK819)*(shifts!AH:AH&lt;=events!BL819)),BI818)</f>
        <v>39</v>
      </c>
      <c r="BJ819" s="15">
        <f t="shared" si="412"/>
        <v>0</v>
      </c>
      <c r="BK819">
        <f t="shared" si="419"/>
        <v>3</v>
      </c>
      <c r="BL819">
        <f t="shared" si="420"/>
        <v>3</v>
      </c>
      <c r="BM819" s="15">
        <f>SUMIFS(BJ$2:BJ819,K$2:K819,"=Intermission")+SUMIFS(BJ$2:BJ819,K$2:K819,"=Timeout")</f>
        <v>0</v>
      </c>
      <c r="BN819">
        <f t="shared" si="421"/>
        <v>0</v>
      </c>
      <c r="BO819" s="19">
        <f t="shared" si="422"/>
        <v>1077</v>
      </c>
      <c r="BP819">
        <f t="shared" si="423"/>
        <v>1072</v>
      </c>
      <c r="BQ819" s="17">
        <f t="shared" si="424"/>
        <v>1077</v>
      </c>
      <c r="BR819" t="str">
        <f t="shared" si="425"/>
        <v>event_team_player_1</v>
      </c>
      <c r="BS819">
        <f>COUNTIFS(S$3:S819,"="&amp;S819,AI$3:AI819,"="&amp;AI819)</f>
        <v>1</v>
      </c>
      <c r="BT819" t="str">
        <f>IFERROR(VLOOKUP(BB819&amp;BU819&amp;X819,game_rosters!U:W,3,FALSE),"")</f>
        <v>P100074</v>
      </c>
      <c r="BU819" t="str">
        <f t="shared" si="426"/>
        <v>Nelson</v>
      </c>
    </row>
    <row r="820" spans="1:73" x14ac:dyDescent="0.2">
      <c r="A820">
        <f t="shared" si="413"/>
        <v>1</v>
      </c>
      <c r="E820" s="4"/>
      <c r="F820" s="43"/>
      <c r="G820" s="4"/>
      <c r="H820" s="46"/>
      <c r="J820" s="44" t="str">
        <f t="shared" si="427"/>
        <v>d</v>
      </c>
      <c r="K820" t="s">
        <v>238</v>
      </c>
      <c r="L820" t="s">
        <v>184</v>
      </c>
      <c r="M820" t="s">
        <v>90</v>
      </c>
      <c r="N820" t="str">
        <f t="shared" si="430"/>
        <v>s</v>
      </c>
      <c r="Q820" t="str">
        <f t="shared" si="428"/>
        <v/>
      </c>
      <c r="S820">
        <v>442</v>
      </c>
      <c r="U820" t="str">
        <f>IF(B820=1,MAX($U$2:$U819)+1,IF(AND($T820&lt;&gt;"",$T820=$T819),$U819,IF(B820="x",U819,"")))</f>
        <v/>
      </c>
      <c r="V820" t="str">
        <f>IF(C820=1,MAX($V$2:$V819)+1,IF(AND($T820&lt;&gt;"",$T820=$T819),$U819,IF(C820="x",V819,"")))</f>
        <v/>
      </c>
      <c r="W820" t="str">
        <f t="shared" si="402"/>
        <v>h</v>
      </c>
      <c r="X820">
        <v>61</v>
      </c>
      <c r="Y820" t="e">
        <f>IF(X820&lt;&gt;"",VLOOKUP(X820,game_rosters!$C$43:$E$64,3,FALSE))</f>
        <v>#N/A</v>
      </c>
      <c r="Z820" t="str" cm="1">
        <f t="array" ref="Z820">IFERROR(IF(_xlfn._xlws.FILTER(game_rosters!$J:$J,(game_rosters!$G:$G=events!$AN820)*(game_rosters!$J:$J=events!$X820))&gt;0,1,""),"")</f>
        <v/>
      </c>
      <c r="AA820">
        <f t="shared" si="403"/>
        <v>1442</v>
      </c>
      <c r="AB820" t="str">
        <f t="shared" si="404"/>
        <v/>
      </c>
      <c r="AC820">
        <f t="shared" si="401"/>
        <v>1442</v>
      </c>
      <c r="AD820" s="6">
        <v>1</v>
      </c>
      <c r="AE820" t="s">
        <v>742</v>
      </c>
      <c r="AF820" t="s">
        <v>925</v>
      </c>
      <c r="AG820" t="s">
        <v>756</v>
      </c>
      <c r="AH820" t="s">
        <v>756</v>
      </c>
      <c r="AI820" t="s">
        <v>368</v>
      </c>
      <c r="AJ820" t="str">
        <f t="shared" ref="AJ820:AK835" si="432">IF($J820&lt;&gt;"",$J820,IF($AC820=$AC819,AJ819,""))</f>
        <v>d</v>
      </c>
      <c r="AK820" t="str">
        <f t="shared" si="432"/>
        <v>d</v>
      </c>
      <c r="AL820" t="str">
        <f t="shared" si="406"/>
        <v>d</v>
      </c>
      <c r="AN820" t="s">
        <v>861</v>
      </c>
      <c r="AO820" t="str">
        <f t="shared" si="407"/>
        <v>h</v>
      </c>
      <c r="AP820" t="str">
        <f t="shared" si="414"/>
        <v>d</v>
      </c>
      <c r="AQ820" t="str">
        <f t="shared" si="415"/>
        <v/>
      </c>
      <c r="AR820" t="str">
        <f t="shared" si="416"/>
        <v>Home</v>
      </c>
      <c r="AS820" t="str">
        <f t="shared" si="417"/>
        <v>h</v>
      </c>
      <c r="AT820" t="str">
        <f t="shared" si="418"/>
        <v>Defensive</v>
      </c>
      <c r="BA820" s="6">
        <f t="shared" si="408"/>
        <v>224</v>
      </c>
      <c r="BB820">
        <f t="shared" si="409"/>
        <v>18981</v>
      </c>
      <c r="BC820" t="str">
        <f t="shared" si="410"/>
        <v>Nelson</v>
      </c>
      <c r="BD820" t="str">
        <f t="shared" si="411"/>
        <v>Velodrome</v>
      </c>
      <c r="BE820" t="s">
        <v>238</v>
      </c>
      <c r="BF820" t="s">
        <v>184</v>
      </c>
      <c r="BG820" t="s">
        <v>90</v>
      </c>
      <c r="BI820" cm="1">
        <f t="array" ref="BI820">IFERROR(_xlfn._xlws.FILTER(shifts!A:A,(shifts!B:B=events!AD820)*(shifts!AG:AG&gt;=events!BK820)*(shifts!AH:AH&lt;=events!BL820)),BI819)</f>
        <v>39</v>
      </c>
      <c r="BJ820" s="15">
        <f t="shared" si="412"/>
        <v>0</v>
      </c>
      <c r="BK820">
        <f t="shared" si="419"/>
        <v>3</v>
      </c>
      <c r="BL820">
        <f t="shared" si="420"/>
        <v>3</v>
      </c>
      <c r="BM820" s="15">
        <f>SUMIFS(BJ$2:BJ820,K$2:K820,"=Intermission")+SUMIFS(BJ$2:BJ820,K$2:K820,"=Timeout")</f>
        <v>0</v>
      </c>
      <c r="BN820">
        <f t="shared" si="421"/>
        <v>0</v>
      </c>
      <c r="BO820" s="19">
        <f t="shared" si="422"/>
        <v>1077</v>
      </c>
      <c r="BP820">
        <f t="shared" si="423"/>
        <v>1072</v>
      </c>
      <c r="BQ820" s="17">
        <f t="shared" si="424"/>
        <v>1077</v>
      </c>
      <c r="BR820" t="str">
        <f t="shared" si="425"/>
        <v>opp_team_player_1</v>
      </c>
      <c r="BS820">
        <f>COUNTIFS(S$3:S820,"="&amp;S820,AI$3:AI820,"="&amp;AI820)</f>
        <v>1</v>
      </c>
      <c r="BT820" t="str">
        <f>IFERROR(VLOOKUP(BB820&amp;BU820&amp;X820,game_rosters!U:W,3,FALSE),"")</f>
        <v>P100224</v>
      </c>
      <c r="BU820" t="str">
        <f t="shared" si="426"/>
        <v>Velodrome</v>
      </c>
    </row>
    <row r="821" spans="1:73" x14ac:dyDescent="0.2">
      <c r="A821">
        <f t="shared" si="413"/>
        <v>1</v>
      </c>
      <c r="E821" s="4"/>
      <c r="F821" s="43"/>
      <c r="G821" s="4"/>
      <c r="H821" s="46"/>
      <c r="J821" s="44" t="str">
        <f t="shared" si="427"/>
        <v/>
      </c>
      <c r="K821" t="s">
        <v>11</v>
      </c>
      <c r="L821" t="s">
        <v>177</v>
      </c>
      <c r="M821" t="s">
        <v>39</v>
      </c>
      <c r="N821" t="str">
        <f t="shared" si="430"/>
        <v/>
      </c>
      <c r="Q821" t="str">
        <f t="shared" si="428"/>
        <v/>
      </c>
      <c r="S821">
        <v>443</v>
      </c>
      <c r="U821" t="str">
        <f>IF(B821=1,MAX($U$2:$U820)+1,IF(AND($T821&lt;&gt;"",$T821=$T820),$U820,IF(B821="x",U820,"")))</f>
        <v/>
      </c>
      <c r="V821" t="str">
        <f>IF(C821=1,MAX($V$2:$V820)+1,IF(AND($T821&lt;&gt;"",$T821=$T820),$U820,IF(C821="x",V820,"")))</f>
        <v/>
      </c>
      <c r="W821" t="str">
        <f t="shared" si="402"/>
        <v/>
      </c>
      <c r="Y821" t="b">
        <f>IF(X821&lt;&gt;"",VLOOKUP(X821,game_rosters!$C$43:$E$64,3,FALSE))</f>
        <v>0</v>
      </c>
      <c r="Z821" t="e" cm="1" vm="1">
        <f t="array" aca="1" ref="Z821" ca="1">IFERROR(IF(_xlfn._xlws.FILTER(game_rosters!$J:$J,(game_rosters!$G:$G=events!$AN821)*(game_rosters!$J:$J=events!$X821))&gt;0,1,""),"")</f>
        <v>#VALUE!</v>
      </c>
      <c r="AA821">
        <f t="shared" si="403"/>
        <v>1443</v>
      </c>
      <c r="AB821" t="str">
        <f t="shared" si="404"/>
        <v/>
      </c>
      <c r="AC821">
        <f t="shared" si="401"/>
        <v>1443</v>
      </c>
      <c r="AD821" s="6">
        <v>1</v>
      </c>
      <c r="AE821" t="s">
        <v>742</v>
      </c>
      <c r="AF821" t="s">
        <v>413</v>
      </c>
      <c r="AG821" t="s">
        <v>756</v>
      </c>
      <c r="AH821" t="s">
        <v>756</v>
      </c>
      <c r="AJ821" t="str">
        <f t="shared" si="432"/>
        <v/>
      </c>
      <c r="AK821" t="str">
        <f t="shared" si="432"/>
        <v/>
      </c>
      <c r="AL821" t="str">
        <f t="shared" si="406"/>
        <v/>
      </c>
      <c r="AO821" t="str">
        <f t="shared" si="407"/>
        <v/>
      </c>
      <c r="AP821" t="str">
        <f t="shared" si="414"/>
        <v/>
      </c>
      <c r="AQ821" t="str">
        <f t="shared" si="415"/>
        <v/>
      </c>
      <c r="AR821" t="str">
        <f t="shared" si="416"/>
        <v/>
      </c>
      <c r="AS821" t="str">
        <f t="shared" si="417"/>
        <v/>
      </c>
      <c r="AT821" t="str">
        <f t="shared" si="418"/>
        <v/>
      </c>
      <c r="BA821" s="6">
        <f t="shared" si="408"/>
        <v>224</v>
      </c>
      <c r="BB821">
        <f t="shared" si="409"/>
        <v>18981</v>
      </c>
      <c r="BC821" t="str">
        <f t="shared" si="410"/>
        <v>Nelson</v>
      </c>
      <c r="BD821" t="str">
        <f t="shared" si="411"/>
        <v>Velodrome</v>
      </c>
      <c r="BE821" t="s">
        <v>11</v>
      </c>
      <c r="BF821" t="s">
        <v>177</v>
      </c>
      <c r="BG821" t="s">
        <v>39</v>
      </c>
      <c r="BI821" cm="1">
        <f t="array" ref="BI821">IFERROR(_xlfn._xlws.FILTER(shifts!A:A,(shifts!B:B=events!AD821)*(shifts!AG:AG&gt;=events!BK821)*(shifts!AH:AH&lt;=events!BL821)),BI820)</f>
        <v>40</v>
      </c>
      <c r="BJ821" s="15">
        <f t="shared" si="412"/>
        <v>0</v>
      </c>
      <c r="BK821">
        <f t="shared" si="419"/>
        <v>0</v>
      </c>
      <c r="BL821">
        <f t="shared" si="420"/>
        <v>0</v>
      </c>
      <c r="BM821" s="15">
        <f>SUMIFS(BJ$2:BJ821,K$2:K821,"=Intermission")+SUMIFS(BJ$2:BJ821,K$2:K821,"=Timeout")</f>
        <v>0</v>
      </c>
      <c r="BN821">
        <f t="shared" si="421"/>
        <v>0</v>
      </c>
      <c r="BO821" s="19">
        <f t="shared" si="422"/>
        <v>1080</v>
      </c>
      <c r="BP821">
        <f t="shared" si="423"/>
        <v>1075</v>
      </c>
      <c r="BQ821" s="17">
        <f t="shared" si="424"/>
        <v>1080</v>
      </c>
      <c r="BR821" t="str">
        <f t="shared" si="425"/>
        <v/>
      </c>
      <c r="BS821">
        <f>COUNTIFS(S$3:S821,"="&amp;S821,AI$3:AI821,"="&amp;AI821)</f>
        <v>1</v>
      </c>
      <c r="BT821" t="str">
        <f>IFERROR(VLOOKUP(BB821&amp;BU821&amp;X821,game_rosters!U:W,3,FALSE),"")</f>
        <v/>
      </c>
      <c r="BU821" t="str">
        <f t="shared" si="426"/>
        <v/>
      </c>
    </row>
    <row r="822" spans="1:73" x14ac:dyDescent="0.2">
      <c r="A822">
        <f t="shared" si="413"/>
        <v>1</v>
      </c>
      <c r="E822" s="4"/>
      <c r="F822" s="43"/>
      <c r="G822" s="4"/>
      <c r="H822" s="46"/>
      <c r="J822" s="44" t="str">
        <f t="shared" si="427"/>
        <v/>
      </c>
      <c r="K822" t="s">
        <v>393</v>
      </c>
      <c r="L822" t="s">
        <v>756</v>
      </c>
      <c r="M822" t="s">
        <v>756</v>
      </c>
      <c r="N822" t="str">
        <f t="shared" si="430"/>
        <v/>
      </c>
      <c r="Q822" t="str">
        <f t="shared" si="428"/>
        <v/>
      </c>
      <c r="S822">
        <v>444</v>
      </c>
      <c r="U822" t="str">
        <f>IF(B822=1,MAX($U$2:$U821)+1,IF(AND($T822&lt;&gt;"",$T822=$T821),$U821,IF(B822="x",U821,"")))</f>
        <v/>
      </c>
      <c r="V822" t="str">
        <f>IF(C822=1,MAX($V$2:$V821)+1,IF(AND($T822&lt;&gt;"",$T822=$T821),$U821,IF(C822="x",V821,"")))</f>
        <v/>
      </c>
      <c r="W822" t="str">
        <f t="shared" si="402"/>
        <v/>
      </c>
      <c r="Y822" t="b">
        <f>IF(X822&lt;&gt;"",VLOOKUP(X822,game_rosters!$C$43:$E$64,3,FALSE))</f>
        <v>0</v>
      </c>
      <c r="Z822" t="e" cm="1" vm="1">
        <f t="array" aca="1" ref="Z822" ca="1">IFERROR(IF(_xlfn._xlws.FILTER(game_rosters!$J:$J,(game_rosters!$G:$G=events!$AN822)*(game_rosters!$J:$J=events!$X822))&gt;0,1,""),"")</f>
        <v>#VALUE!</v>
      </c>
      <c r="AA822">
        <f t="shared" si="403"/>
        <v>1444</v>
      </c>
      <c r="AB822" t="str">
        <f t="shared" si="404"/>
        <v/>
      </c>
      <c r="AC822">
        <f t="shared" si="401"/>
        <v>1444</v>
      </c>
      <c r="AD822" s="6">
        <v>2</v>
      </c>
      <c r="AE822" t="s">
        <v>941</v>
      </c>
      <c r="AF822" t="s">
        <v>928</v>
      </c>
      <c r="AG822" t="s">
        <v>940</v>
      </c>
      <c r="AH822" t="s">
        <v>740</v>
      </c>
      <c r="AJ822" t="str">
        <f t="shared" si="432"/>
        <v/>
      </c>
      <c r="AK822" t="str">
        <f t="shared" si="432"/>
        <v/>
      </c>
      <c r="AL822" t="str">
        <f t="shared" si="406"/>
        <v/>
      </c>
      <c r="AO822" t="str">
        <f t="shared" si="407"/>
        <v/>
      </c>
      <c r="AP822" t="str">
        <f t="shared" si="414"/>
        <v/>
      </c>
      <c r="AQ822" t="str">
        <f t="shared" si="415"/>
        <v/>
      </c>
      <c r="AR822" t="str">
        <f t="shared" si="416"/>
        <v/>
      </c>
      <c r="AS822" t="str">
        <f t="shared" si="417"/>
        <v/>
      </c>
      <c r="AT822" t="str">
        <f t="shared" si="418"/>
        <v/>
      </c>
      <c r="BA822" s="6">
        <f t="shared" si="408"/>
        <v>224</v>
      </c>
      <c r="BB822">
        <f t="shared" si="409"/>
        <v>18981</v>
      </c>
      <c r="BC822" t="str">
        <f t="shared" si="410"/>
        <v>Nelson</v>
      </c>
      <c r="BD822" t="str">
        <f t="shared" si="411"/>
        <v>Velodrome</v>
      </c>
      <c r="BE822" t="s">
        <v>393</v>
      </c>
      <c r="BF822" t="s">
        <v>756</v>
      </c>
      <c r="BG822" t="s">
        <v>756</v>
      </c>
      <c r="BI822" cm="1">
        <f t="array" ref="BI822">IFERROR(_xlfn._xlws.FILTER(shifts!A:A,(shifts!B:B=events!AD822)*(shifts!AG:AG&gt;=events!BK822)*(shifts!AH:AH&lt;=events!BL822)),BI821)</f>
        <v>40</v>
      </c>
      <c r="BJ822" s="15">
        <f t="shared" si="412"/>
        <v>72</v>
      </c>
      <c r="BK822">
        <f t="shared" si="419"/>
        <v>277</v>
      </c>
      <c r="BL822">
        <f t="shared" si="420"/>
        <v>205</v>
      </c>
      <c r="BM822" s="15">
        <f>SUMIFS(BJ$2:BJ822,K$2:K822,"=Intermission")+SUMIFS(BJ$2:BJ822,K$2:K822,"=Timeout")</f>
        <v>72</v>
      </c>
      <c r="BN822">
        <f t="shared" si="421"/>
        <v>1152</v>
      </c>
      <c r="BO822" s="19">
        <f t="shared" si="422"/>
        <v>1080</v>
      </c>
      <c r="BP822">
        <f t="shared" si="423"/>
        <v>1075</v>
      </c>
      <c r="BQ822" s="17">
        <f t="shared" si="424"/>
        <v>1152</v>
      </c>
      <c r="BR822" t="str">
        <f t="shared" si="425"/>
        <v/>
      </c>
      <c r="BS822">
        <f>COUNTIFS(S$3:S822,"="&amp;S822,AI$3:AI822,"="&amp;AI822)</f>
        <v>1</v>
      </c>
      <c r="BT822" t="str">
        <f>IFERROR(VLOOKUP(BB822&amp;BU822&amp;X822,game_rosters!U:W,3,FALSE),"")</f>
        <v/>
      </c>
      <c r="BU822" t="str">
        <f t="shared" si="426"/>
        <v/>
      </c>
    </row>
    <row r="823" spans="1:73" x14ac:dyDescent="0.2">
      <c r="A823">
        <f t="shared" si="413"/>
        <v>1</v>
      </c>
      <c r="E823" s="4"/>
      <c r="F823" s="43"/>
      <c r="G823" s="4"/>
      <c r="H823" s="46"/>
      <c r="J823" s="44" t="str">
        <f t="shared" si="427"/>
        <v>n</v>
      </c>
      <c r="K823" t="s">
        <v>5</v>
      </c>
      <c r="L823" t="s">
        <v>197</v>
      </c>
      <c r="M823" t="s">
        <v>756</v>
      </c>
      <c r="N823" t="str">
        <f t="shared" si="430"/>
        <v/>
      </c>
      <c r="Q823" t="str">
        <f t="shared" si="428"/>
        <v/>
      </c>
      <c r="S823">
        <v>445</v>
      </c>
      <c r="U823" t="str">
        <f>IF(B823=1,MAX($U$2:$U822)+1,IF(AND($T823&lt;&gt;"",$T823=$T822),$U822,IF(B823="x",U822,"")))</f>
        <v/>
      </c>
      <c r="V823" t="str">
        <f>IF(C823=1,MAX($V$2:$V822)+1,IF(AND($T823&lt;&gt;"",$T823=$T822),$U822,IF(C823="x",V822,"")))</f>
        <v/>
      </c>
      <c r="W823" t="str">
        <f t="shared" si="402"/>
        <v>h</v>
      </c>
      <c r="X823">
        <v>10</v>
      </c>
      <c r="Y823" t="b">
        <f>IF(X823&lt;&gt;"",VLOOKUP(X823,game_rosters!$C$43:$E$64,3,FALSE))</f>
        <v>0</v>
      </c>
      <c r="Z823" cm="1">
        <f t="array" ref="Z823">IFERROR(IF(_xlfn._xlws.FILTER(game_rosters!$J:$J,(game_rosters!$G:$G=events!$AN823)*(game_rosters!$J:$J=events!$X823))&gt;0,1,""),"")</f>
        <v>1</v>
      </c>
      <c r="AA823">
        <f t="shared" si="403"/>
        <v>1445</v>
      </c>
      <c r="AB823" t="str">
        <f t="shared" si="404"/>
        <v/>
      </c>
      <c r="AC823">
        <f t="shared" si="401"/>
        <v>1445</v>
      </c>
      <c r="AD823" s="6">
        <v>2</v>
      </c>
      <c r="AE823" t="s">
        <v>743</v>
      </c>
      <c r="AF823" t="s">
        <v>413</v>
      </c>
      <c r="AG823" t="s">
        <v>756</v>
      </c>
      <c r="AH823" t="s">
        <v>756</v>
      </c>
      <c r="AI823" t="s">
        <v>367</v>
      </c>
      <c r="AJ823" t="str">
        <f t="shared" si="432"/>
        <v>n</v>
      </c>
      <c r="AK823" t="str">
        <f t="shared" si="432"/>
        <v>n</v>
      </c>
      <c r="AL823" t="str">
        <f t="shared" si="406"/>
        <v>n</v>
      </c>
      <c r="AN823" t="s">
        <v>861</v>
      </c>
      <c r="AO823" t="str">
        <f t="shared" si="407"/>
        <v>h</v>
      </c>
      <c r="AP823" t="str">
        <f t="shared" si="414"/>
        <v>n</v>
      </c>
      <c r="AQ823" t="str">
        <f t="shared" si="415"/>
        <v/>
      </c>
      <c r="AR823" t="str">
        <f t="shared" si="416"/>
        <v>Home</v>
      </c>
      <c r="AS823" t="str">
        <f t="shared" si="417"/>
        <v>h</v>
      </c>
      <c r="AT823" t="str">
        <f t="shared" si="418"/>
        <v>Offensive</v>
      </c>
      <c r="BA823" s="6">
        <f t="shared" si="408"/>
        <v>224</v>
      </c>
      <c r="BB823">
        <f t="shared" si="409"/>
        <v>18981</v>
      </c>
      <c r="BC823" t="str">
        <f t="shared" si="410"/>
        <v>Nelson</v>
      </c>
      <c r="BD823" t="str">
        <f t="shared" si="411"/>
        <v>Velodrome</v>
      </c>
      <c r="BE823" t="s">
        <v>5</v>
      </c>
      <c r="BF823" t="s">
        <v>197</v>
      </c>
      <c r="BG823" t="s">
        <v>756</v>
      </c>
      <c r="BI823" cm="1">
        <f t="array" ref="BI823">IFERROR(_xlfn._xlws.FILTER(shifts!A:A,(shifts!B:B=events!AD823)*(shifts!AG:AG&gt;=events!BK823)*(shifts!AH:AH&lt;=events!BL823)),BI822)</f>
        <v>41</v>
      </c>
      <c r="BJ823" s="15">
        <f t="shared" si="412"/>
        <v>0</v>
      </c>
      <c r="BK823">
        <f t="shared" si="419"/>
        <v>1080</v>
      </c>
      <c r="BL823">
        <f t="shared" si="420"/>
        <v>1080</v>
      </c>
      <c r="BM823" s="15">
        <f>SUMIFS(BJ$2:BJ823,K$2:K823,"=Intermission")+SUMIFS(BJ$2:BJ823,K$2:K823,"=Timeout")</f>
        <v>72</v>
      </c>
      <c r="BN823">
        <f t="shared" si="421"/>
        <v>1152</v>
      </c>
      <c r="BO823" s="19">
        <f t="shared" si="422"/>
        <v>1152</v>
      </c>
      <c r="BP823">
        <f t="shared" si="423"/>
        <v>1147</v>
      </c>
      <c r="BQ823" s="17">
        <f t="shared" si="424"/>
        <v>1152</v>
      </c>
      <c r="BR823" t="str">
        <f t="shared" si="425"/>
        <v>event_team_player_1</v>
      </c>
      <c r="BS823">
        <f>COUNTIFS(S$3:S823,"="&amp;S823,AI$3:AI823,"="&amp;AI823)</f>
        <v>1</v>
      </c>
      <c r="BT823" t="str">
        <f>IFERROR(VLOOKUP(BB823&amp;BU823&amp;X823,game_rosters!U:W,3,FALSE),"")</f>
        <v>P100078</v>
      </c>
      <c r="BU823" t="str">
        <f t="shared" si="426"/>
        <v>Nelson</v>
      </c>
    </row>
    <row r="824" spans="1:73" x14ac:dyDescent="0.2">
      <c r="A824">
        <f t="shared" si="413"/>
        <v>1</v>
      </c>
      <c r="E824" s="4"/>
      <c r="F824" s="43"/>
      <c r="G824" s="4"/>
      <c r="H824" s="46"/>
      <c r="J824" s="44" t="str">
        <f t="shared" si="427"/>
        <v>n</v>
      </c>
      <c r="K824" t="s">
        <v>5</v>
      </c>
      <c r="L824" t="s">
        <v>197</v>
      </c>
      <c r="M824" t="s">
        <v>756</v>
      </c>
      <c r="N824" t="str">
        <f t="shared" si="430"/>
        <v/>
      </c>
      <c r="Q824" t="str">
        <f t="shared" si="428"/>
        <v/>
      </c>
      <c r="S824">
        <v>445</v>
      </c>
      <c r="U824" t="str">
        <f>IF(B824=1,MAX($U$2:$U823)+1,IF(AND($T824&lt;&gt;"",$T824=$T823),$U823,IF(B824="x",U823,"")))</f>
        <v/>
      </c>
      <c r="V824" t="str">
        <f>IF(C824=1,MAX($V$2:$V823)+1,IF(AND($T824&lt;&gt;"",$T824=$T823),$U823,IF(C824="x",V823,"")))</f>
        <v/>
      </c>
      <c r="W824" t="str">
        <f t="shared" si="402"/>
        <v>h</v>
      </c>
      <c r="X824">
        <v>14</v>
      </c>
      <c r="Y824" t="e">
        <f>IF(X824&lt;&gt;"",VLOOKUP(X824,game_rosters!$C$43:$E$64,3,FALSE))</f>
        <v>#N/A</v>
      </c>
      <c r="Z824" t="str" cm="1">
        <f t="array" ref="Z824">IFERROR(IF(_xlfn._xlws.FILTER(game_rosters!$J:$J,(game_rosters!$G:$G=events!$AN824)*(game_rosters!$J:$J=events!$X824))&gt;0,1,""),"")</f>
        <v/>
      </c>
      <c r="AA824">
        <f t="shared" si="403"/>
        <v>1445</v>
      </c>
      <c r="AB824" t="str">
        <f t="shared" si="404"/>
        <v/>
      </c>
      <c r="AC824">
        <f t="shared" si="401"/>
        <v>1445</v>
      </c>
      <c r="AD824" s="6">
        <v>2</v>
      </c>
      <c r="AE824" t="s">
        <v>743</v>
      </c>
      <c r="AF824" t="s">
        <v>413</v>
      </c>
      <c r="AG824" t="s">
        <v>756</v>
      </c>
      <c r="AH824" t="s">
        <v>756</v>
      </c>
      <c r="AI824" t="s">
        <v>368</v>
      </c>
      <c r="AJ824" t="str">
        <f t="shared" si="432"/>
        <v>n</v>
      </c>
      <c r="AK824" t="str">
        <f t="shared" si="432"/>
        <v>n</v>
      </c>
      <c r="AL824" t="str">
        <f t="shared" si="406"/>
        <v>n</v>
      </c>
      <c r="AN824" t="s">
        <v>861</v>
      </c>
      <c r="AO824" t="str">
        <f t="shared" si="407"/>
        <v>h</v>
      </c>
      <c r="AP824" t="str">
        <f t="shared" si="414"/>
        <v>n</v>
      </c>
      <c r="AQ824" t="str">
        <f t="shared" si="415"/>
        <v/>
      </c>
      <c r="AR824" t="str">
        <f t="shared" si="416"/>
        <v>Home</v>
      </c>
      <c r="AS824" t="str">
        <f t="shared" si="417"/>
        <v>h</v>
      </c>
      <c r="AT824" t="str">
        <f t="shared" si="418"/>
        <v>Defensive</v>
      </c>
      <c r="BA824" s="6">
        <f t="shared" si="408"/>
        <v>224</v>
      </c>
      <c r="BB824">
        <f t="shared" si="409"/>
        <v>18981</v>
      </c>
      <c r="BC824" t="str">
        <f t="shared" si="410"/>
        <v>Nelson</v>
      </c>
      <c r="BD824" t="str">
        <f t="shared" si="411"/>
        <v>Velodrome</v>
      </c>
      <c r="BE824" t="s">
        <v>5</v>
      </c>
      <c r="BF824" t="s">
        <v>197</v>
      </c>
      <c r="BG824" t="s">
        <v>756</v>
      </c>
      <c r="BI824" cm="1">
        <f t="array" ref="BI824">IFERROR(_xlfn._xlws.FILTER(shifts!A:A,(shifts!B:B=events!AD824)*(shifts!AG:AG&gt;=events!BK824)*(shifts!AH:AH&lt;=events!BL824)),BI823)</f>
        <v>41</v>
      </c>
      <c r="BJ824" s="15">
        <f t="shared" si="412"/>
        <v>0</v>
      </c>
      <c r="BK824">
        <f t="shared" si="419"/>
        <v>1080</v>
      </c>
      <c r="BL824">
        <f t="shared" si="420"/>
        <v>1080</v>
      </c>
      <c r="BM824" s="15">
        <f>SUMIFS(BJ$2:BJ824,K$2:K824,"=Intermission")+SUMIFS(BJ$2:BJ824,K$2:K824,"=Timeout")</f>
        <v>72</v>
      </c>
      <c r="BN824">
        <f t="shared" si="421"/>
        <v>1152</v>
      </c>
      <c r="BO824" s="19">
        <f t="shared" si="422"/>
        <v>1152</v>
      </c>
      <c r="BP824">
        <f t="shared" si="423"/>
        <v>1147</v>
      </c>
      <c r="BQ824" s="17">
        <f t="shared" si="424"/>
        <v>1152</v>
      </c>
      <c r="BR824" t="str">
        <f t="shared" si="425"/>
        <v>opp_team_player_1</v>
      </c>
      <c r="BS824">
        <f>COUNTIFS(S$3:S824,"="&amp;S824,AI$3:AI824,"="&amp;AI824)</f>
        <v>1</v>
      </c>
      <c r="BT824" t="str">
        <f>IFERROR(VLOOKUP(BB824&amp;BU824&amp;X824,game_rosters!U:W,3,FALSE),"")</f>
        <v>P100132</v>
      </c>
      <c r="BU824" t="str">
        <f t="shared" si="426"/>
        <v>Velodrome</v>
      </c>
    </row>
    <row r="825" spans="1:73" x14ac:dyDescent="0.2">
      <c r="A825">
        <f t="shared" si="413"/>
        <v>1</v>
      </c>
      <c r="E825" s="4"/>
      <c r="F825" s="43"/>
      <c r="G825" s="4"/>
      <c r="H825" s="46"/>
      <c r="J825" s="44" t="str">
        <f t="shared" si="427"/>
        <v/>
      </c>
      <c r="K825" t="s">
        <v>7</v>
      </c>
      <c r="L825" t="s">
        <v>172</v>
      </c>
      <c r="M825" t="s">
        <v>68</v>
      </c>
      <c r="N825" t="str">
        <f t="shared" si="430"/>
        <v>s</v>
      </c>
      <c r="Q825" t="str">
        <f t="shared" si="428"/>
        <v/>
      </c>
      <c r="S825">
        <v>446</v>
      </c>
      <c r="U825" t="str">
        <f>IF(B825=1,MAX($U$2:$U824)+1,IF(AND($T825&lt;&gt;"",$T825=$T824),$U824,IF(B825="x",U824,"")))</f>
        <v/>
      </c>
      <c r="V825" t="str">
        <f>IF(C825=1,MAX($V$2:$V824)+1,IF(AND($T825&lt;&gt;"",$T825=$T824),$U824,IF(C825="x",V824,"")))</f>
        <v/>
      </c>
      <c r="W825" t="str">
        <f t="shared" si="402"/>
        <v>h</v>
      </c>
      <c r="X825">
        <v>7</v>
      </c>
      <c r="Y825" t="b">
        <f>IF(X825&lt;&gt;"",VLOOKUP(X825,game_rosters!$C$43:$E$64,3,FALSE))</f>
        <v>0</v>
      </c>
      <c r="Z825" cm="1">
        <f t="array" ref="Z825">IFERROR(IF(_xlfn._xlws.FILTER(game_rosters!$J:$J,(game_rosters!$G:$G=events!$AN825)*(game_rosters!$J:$J=events!$X825))&gt;0,1,""),"")</f>
        <v>1</v>
      </c>
      <c r="AA825">
        <f t="shared" si="403"/>
        <v>1446</v>
      </c>
      <c r="AB825" t="str">
        <f t="shared" si="404"/>
        <v/>
      </c>
      <c r="AC825">
        <f t="shared" si="401"/>
        <v>1446</v>
      </c>
      <c r="AD825" s="6">
        <v>2</v>
      </c>
      <c r="AE825" t="s">
        <v>732</v>
      </c>
      <c r="AF825" t="s">
        <v>932</v>
      </c>
      <c r="AG825" t="s">
        <v>756</v>
      </c>
      <c r="AH825" t="s">
        <v>756</v>
      </c>
      <c r="AI825" t="s">
        <v>367</v>
      </c>
      <c r="AJ825" t="str">
        <f t="shared" si="432"/>
        <v/>
      </c>
      <c r="AK825" t="str">
        <f t="shared" si="432"/>
        <v/>
      </c>
      <c r="AL825" t="str">
        <f t="shared" si="406"/>
        <v/>
      </c>
      <c r="AN825" t="s">
        <v>861</v>
      </c>
      <c r="AO825" t="str">
        <f t="shared" si="407"/>
        <v>h</v>
      </c>
      <c r="AP825" t="str">
        <f t="shared" si="414"/>
        <v/>
      </c>
      <c r="AQ825" t="str">
        <f t="shared" si="415"/>
        <v/>
      </c>
      <c r="AR825" t="str">
        <f t="shared" si="416"/>
        <v>Home</v>
      </c>
      <c r="AS825" t="str">
        <f t="shared" si="417"/>
        <v>h</v>
      </c>
      <c r="AT825" t="str">
        <f t="shared" si="418"/>
        <v>Offensive</v>
      </c>
      <c r="BA825" s="6">
        <f t="shared" si="408"/>
        <v>224</v>
      </c>
      <c r="BB825">
        <f t="shared" si="409"/>
        <v>18981</v>
      </c>
      <c r="BC825" t="str">
        <f t="shared" si="410"/>
        <v>Nelson</v>
      </c>
      <c r="BD825" t="str">
        <f t="shared" si="411"/>
        <v>Velodrome</v>
      </c>
      <c r="BE825" t="s">
        <v>7</v>
      </c>
      <c r="BF825" t="s">
        <v>172</v>
      </c>
      <c r="BG825" t="s">
        <v>68</v>
      </c>
      <c r="BI825" cm="1">
        <f t="array" ref="BI825">IFERROR(_xlfn._xlws.FILTER(shifts!A:A,(shifts!B:B=events!AD825)*(shifts!AG:AG&gt;=events!BK825)*(shifts!AH:AH&lt;=events!BL825)),BI824)</f>
        <v>41</v>
      </c>
      <c r="BJ825" s="15">
        <f t="shared" si="412"/>
        <v>0</v>
      </c>
      <c r="BK825">
        <f t="shared" si="419"/>
        <v>1078</v>
      </c>
      <c r="BL825">
        <f t="shared" si="420"/>
        <v>1078</v>
      </c>
      <c r="BM825" s="15">
        <f>SUMIFS(BJ$2:BJ825,K$2:K825,"=Intermission")+SUMIFS(BJ$2:BJ825,K$2:K825,"=Timeout")</f>
        <v>72</v>
      </c>
      <c r="BN825">
        <f t="shared" si="421"/>
        <v>1152</v>
      </c>
      <c r="BO825" s="19">
        <f t="shared" si="422"/>
        <v>1154</v>
      </c>
      <c r="BP825">
        <f t="shared" si="423"/>
        <v>1149</v>
      </c>
      <c r="BQ825" s="17">
        <f t="shared" si="424"/>
        <v>1154</v>
      </c>
      <c r="BR825" t="str">
        <f t="shared" si="425"/>
        <v>event_team_player_1</v>
      </c>
      <c r="BS825">
        <f>COUNTIFS(S$3:S825,"="&amp;S825,AI$3:AI825,"="&amp;AI825)</f>
        <v>1</v>
      </c>
      <c r="BT825" t="str">
        <f>IFERROR(VLOOKUP(BB825&amp;BU825&amp;X825,game_rosters!U:W,3,FALSE),"")</f>
        <v>P100072</v>
      </c>
      <c r="BU825" t="str">
        <f t="shared" si="426"/>
        <v>Nelson</v>
      </c>
    </row>
    <row r="826" spans="1:73" x14ac:dyDescent="0.2">
      <c r="A826">
        <f t="shared" si="413"/>
        <v>1</v>
      </c>
      <c r="E826" s="4"/>
      <c r="F826" s="43"/>
      <c r="G826" s="4"/>
      <c r="H826" s="46"/>
      <c r="J826" s="44" t="str">
        <f t="shared" si="427"/>
        <v/>
      </c>
      <c r="K826" t="s">
        <v>7</v>
      </c>
      <c r="L826" t="s">
        <v>172</v>
      </c>
      <c r="M826" t="s">
        <v>68</v>
      </c>
      <c r="N826" t="str">
        <f t="shared" si="430"/>
        <v>s</v>
      </c>
      <c r="Q826" t="str">
        <f t="shared" si="428"/>
        <v/>
      </c>
      <c r="S826">
        <v>446</v>
      </c>
      <c r="U826" t="str">
        <f>IF(B826=1,MAX($U$2:$U825)+1,IF(AND($T826&lt;&gt;"",$T826=$T825),$U825,IF(B826="x",U825,"")))</f>
        <v/>
      </c>
      <c r="V826" t="str">
        <f>IF(C826=1,MAX($V$2:$V825)+1,IF(AND($T826&lt;&gt;"",$T826=$T825),$U825,IF(C826="x",V825,"")))</f>
        <v/>
      </c>
      <c r="W826" t="str">
        <f t="shared" si="402"/>
        <v>h</v>
      </c>
      <c r="X826">
        <v>16</v>
      </c>
      <c r="Y826" t="b">
        <f>IF(X826&lt;&gt;"",VLOOKUP(X826,game_rosters!$C$43:$E$64,3,FALSE))</f>
        <v>0</v>
      </c>
      <c r="Z826" cm="1">
        <f t="array" ref="Z826">IFERROR(IF(_xlfn._xlws.FILTER(game_rosters!$J:$J,(game_rosters!$G:$G=events!$AN826)*(game_rosters!$J:$J=events!$X826))&gt;0,1,""),"")</f>
        <v>1</v>
      </c>
      <c r="AA826">
        <f t="shared" si="403"/>
        <v>1446</v>
      </c>
      <c r="AB826" t="str">
        <f t="shared" si="404"/>
        <v/>
      </c>
      <c r="AC826">
        <f t="shared" si="401"/>
        <v>1446</v>
      </c>
      <c r="AD826" s="6">
        <v>2</v>
      </c>
      <c r="AE826" t="s">
        <v>732</v>
      </c>
      <c r="AF826" t="s">
        <v>932</v>
      </c>
      <c r="AG826" t="s">
        <v>756</v>
      </c>
      <c r="AH826" t="s">
        <v>756</v>
      </c>
      <c r="AI826" t="s">
        <v>367</v>
      </c>
      <c r="AJ826" t="str">
        <f t="shared" si="432"/>
        <v/>
      </c>
      <c r="AK826" t="str">
        <f t="shared" si="432"/>
        <v/>
      </c>
      <c r="AL826" t="str">
        <f t="shared" si="406"/>
        <v/>
      </c>
      <c r="AN826" t="s">
        <v>861</v>
      </c>
      <c r="AO826" t="str">
        <f t="shared" si="407"/>
        <v>h</v>
      </c>
      <c r="AP826" t="str">
        <f t="shared" si="414"/>
        <v/>
      </c>
      <c r="AQ826" t="str">
        <f t="shared" si="415"/>
        <v/>
      </c>
      <c r="AR826" t="str">
        <f t="shared" si="416"/>
        <v>Home</v>
      </c>
      <c r="AS826" t="str">
        <f t="shared" si="417"/>
        <v>h</v>
      </c>
      <c r="AT826" t="str">
        <f t="shared" si="418"/>
        <v>Offensive</v>
      </c>
      <c r="BA826" s="6">
        <f t="shared" si="408"/>
        <v>224</v>
      </c>
      <c r="BB826">
        <f t="shared" si="409"/>
        <v>18981</v>
      </c>
      <c r="BC826" t="str">
        <f t="shared" si="410"/>
        <v>Nelson</v>
      </c>
      <c r="BD826" t="str">
        <f t="shared" si="411"/>
        <v>Velodrome</v>
      </c>
      <c r="BE826" t="s">
        <v>7</v>
      </c>
      <c r="BF826" t="s">
        <v>172</v>
      </c>
      <c r="BG826" t="s">
        <v>68</v>
      </c>
      <c r="BI826" cm="1">
        <f t="array" ref="BI826">IFERROR(_xlfn._xlws.FILTER(shifts!A:A,(shifts!B:B=events!AD826)*(shifts!AG:AG&gt;=events!BK826)*(shifts!AH:AH&lt;=events!BL826)),BI825)</f>
        <v>41</v>
      </c>
      <c r="BJ826" s="15">
        <f t="shared" si="412"/>
        <v>0</v>
      </c>
      <c r="BK826">
        <f t="shared" si="419"/>
        <v>1078</v>
      </c>
      <c r="BL826">
        <f t="shared" si="420"/>
        <v>1078</v>
      </c>
      <c r="BM826" s="15">
        <f>SUMIFS(BJ$2:BJ826,K$2:K826,"=Intermission")+SUMIFS(BJ$2:BJ826,K$2:K826,"=Timeout")</f>
        <v>72</v>
      </c>
      <c r="BN826">
        <f t="shared" si="421"/>
        <v>1152</v>
      </c>
      <c r="BO826" s="19">
        <f t="shared" si="422"/>
        <v>1154</v>
      </c>
      <c r="BP826">
        <f t="shared" si="423"/>
        <v>1149</v>
      </c>
      <c r="BQ826" s="17">
        <f t="shared" si="424"/>
        <v>1154</v>
      </c>
      <c r="BR826" t="str">
        <f t="shared" si="425"/>
        <v>event_team_player_2</v>
      </c>
      <c r="BS826">
        <f>COUNTIFS(S$3:S826,"="&amp;S826,AI$3:AI826,"="&amp;AI826)</f>
        <v>2</v>
      </c>
      <c r="BT826" t="str">
        <f>IFERROR(VLOOKUP(BB826&amp;BU826&amp;X826,game_rosters!U:W,3,FALSE),"")</f>
        <v>P100164</v>
      </c>
      <c r="BU826" t="str">
        <f t="shared" si="426"/>
        <v>Nelson</v>
      </c>
    </row>
    <row r="827" spans="1:73" x14ac:dyDescent="0.2">
      <c r="A827">
        <f t="shared" si="413"/>
        <v>1</v>
      </c>
      <c r="E827" s="4"/>
      <c r="F827" s="43"/>
      <c r="G827" s="4"/>
      <c r="H827" s="46"/>
      <c r="J827" s="44" t="str">
        <f t="shared" si="427"/>
        <v>o</v>
      </c>
      <c r="K827" t="s">
        <v>238</v>
      </c>
      <c r="L827" t="s">
        <v>174</v>
      </c>
      <c r="M827" t="s">
        <v>86</v>
      </c>
      <c r="N827" t="str">
        <f t="shared" si="430"/>
        <v>s</v>
      </c>
      <c r="Q827" t="str">
        <f t="shared" si="428"/>
        <v/>
      </c>
      <c r="S827">
        <v>447</v>
      </c>
      <c r="U827" t="str">
        <f>IF(B827=1,MAX($U$2:$U826)+1,IF(AND($T827&lt;&gt;"",$T827=$T826),$U826,IF(B827="x",U826,"")))</f>
        <v/>
      </c>
      <c r="V827" t="str">
        <f>IF(C827=1,MAX($V$2:$V826)+1,IF(AND($T827&lt;&gt;"",$T827=$T826),$U826,IF(C827="x",V826,"")))</f>
        <v/>
      </c>
      <c r="W827" t="str">
        <f t="shared" si="402"/>
        <v>h</v>
      </c>
      <c r="X827">
        <v>7</v>
      </c>
      <c r="Y827" t="b">
        <f>IF(X827&lt;&gt;"",VLOOKUP(X827,game_rosters!$C$43:$E$64,3,FALSE))</f>
        <v>0</v>
      </c>
      <c r="Z827" cm="1">
        <f t="array" ref="Z827">IFERROR(IF(_xlfn._xlws.FILTER(game_rosters!$J:$J,(game_rosters!$G:$G=events!$AN827)*(game_rosters!$J:$J=events!$X827))&gt;0,1,""),"")</f>
        <v>1</v>
      </c>
      <c r="AA827">
        <f t="shared" si="403"/>
        <v>1447</v>
      </c>
      <c r="AB827" t="str">
        <f t="shared" si="404"/>
        <v/>
      </c>
      <c r="AC827">
        <f t="shared" si="401"/>
        <v>1447</v>
      </c>
      <c r="AD827" s="6">
        <v>2</v>
      </c>
      <c r="AE827" t="s">
        <v>732</v>
      </c>
      <c r="AF827" t="s">
        <v>927</v>
      </c>
      <c r="AG827" t="s">
        <v>756</v>
      </c>
      <c r="AH827" t="s">
        <v>756</v>
      </c>
      <c r="AI827" t="s">
        <v>367</v>
      </c>
      <c r="AJ827" t="str">
        <f t="shared" si="432"/>
        <v>o</v>
      </c>
      <c r="AK827" t="str">
        <f t="shared" si="432"/>
        <v>o</v>
      </c>
      <c r="AL827" t="str">
        <f t="shared" si="406"/>
        <v>o</v>
      </c>
      <c r="AN827" t="s">
        <v>861</v>
      </c>
      <c r="AO827" t="str">
        <f t="shared" si="407"/>
        <v>h</v>
      </c>
      <c r="AP827" t="str">
        <f t="shared" si="414"/>
        <v>o</v>
      </c>
      <c r="AQ827" t="str">
        <f t="shared" si="415"/>
        <v/>
      </c>
      <c r="AR827" t="str">
        <f t="shared" si="416"/>
        <v>Home</v>
      </c>
      <c r="AS827" t="str">
        <f t="shared" si="417"/>
        <v>h</v>
      </c>
      <c r="AT827" t="str">
        <f t="shared" si="418"/>
        <v>Offensive</v>
      </c>
      <c r="BA827" s="6">
        <f t="shared" si="408"/>
        <v>225</v>
      </c>
      <c r="BB827">
        <f t="shared" si="409"/>
        <v>18981</v>
      </c>
      <c r="BC827" t="str">
        <f t="shared" si="410"/>
        <v>Nelson</v>
      </c>
      <c r="BD827" t="str">
        <f t="shared" si="411"/>
        <v>Velodrome</v>
      </c>
      <c r="BE827" t="s">
        <v>238</v>
      </c>
      <c r="BF827" t="s">
        <v>174</v>
      </c>
      <c r="BG827" t="s">
        <v>86</v>
      </c>
      <c r="BI827" cm="1">
        <f t="array" ref="BI827">IFERROR(_xlfn._xlws.FILTER(shifts!A:A,(shifts!B:B=events!AD827)*(shifts!AG:AG&gt;=events!BK827)*(shifts!AH:AH&lt;=events!BL827)),BI826)</f>
        <v>41</v>
      </c>
      <c r="BJ827" s="15">
        <f t="shared" si="412"/>
        <v>0</v>
      </c>
      <c r="BK827">
        <f t="shared" si="419"/>
        <v>1077</v>
      </c>
      <c r="BL827">
        <f t="shared" si="420"/>
        <v>1077</v>
      </c>
      <c r="BM827" s="15">
        <f>SUMIFS(BJ$2:BJ827,K$2:K827,"=Intermission")+SUMIFS(BJ$2:BJ827,K$2:K827,"=Timeout")</f>
        <v>72</v>
      </c>
      <c r="BN827">
        <f t="shared" si="421"/>
        <v>1152</v>
      </c>
      <c r="BO827" s="19">
        <f t="shared" si="422"/>
        <v>1155</v>
      </c>
      <c r="BP827">
        <f t="shared" si="423"/>
        <v>1150</v>
      </c>
      <c r="BQ827" s="17">
        <f t="shared" si="424"/>
        <v>1155</v>
      </c>
      <c r="BR827" t="str">
        <f t="shared" si="425"/>
        <v>event_team_player_1</v>
      </c>
      <c r="BS827">
        <f>COUNTIFS(S$3:S827,"="&amp;S827,AI$3:AI827,"="&amp;AI827)</f>
        <v>1</v>
      </c>
      <c r="BT827" t="str">
        <f>IFERROR(VLOOKUP(BB827&amp;BU827&amp;X827,game_rosters!U:W,3,FALSE),"")</f>
        <v>P100072</v>
      </c>
      <c r="BU827" t="str">
        <f t="shared" si="426"/>
        <v>Nelson</v>
      </c>
    </row>
    <row r="828" spans="1:73" x14ac:dyDescent="0.2">
      <c r="A828">
        <f t="shared" si="413"/>
        <v>1</v>
      </c>
      <c r="E828" s="4"/>
      <c r="F828" s="43"/>
      <c r="G828" s="4"/>
      <c r="H828" s="46"/>
      <c r="J828" s="44" t="str">
        <f t="shared" si="427"/>
        <v>o</v>
      </c>
      <c r="K828" t="s">
        <v>238</v>
      </c>
      <c r="L828" t="s">
        <v>174</v>
      </c>
      <c r="M828" t="s">
        <v>86</v>
      </c>
      <c r="N828" t="str">
        <f t="shared" si="430"/>
        <v>s</v>
      </c>
      <c r="Q828" t="str">
        <f t="shared" si="428"/>
        <v/>
      </c>
      <c r="S828">
        <v>447</v>
      </c>
      <c r="U828" t="str">
        <f>IF(B828=1,MAX($U$2:$U827)+1,IF(AND($T828&lt;&gt;"",$T828=$T827),$U827,IF(B828="x",U827,"")))</f>
        <v/>
      </c>
      <c r="V828" t="str">
        <f>IF(C828=1,MAX($V$2:$V827)+1,IF(AND($T828&lt;&gt;"",$T828=$T827),$U827,IF(C828="x",V827,"")))</f>
        <v/>
      </c>
      <c r="W828" t="str">
        <f t="shared" si="402"/>
        <v>h</v>
      </c>
      <c r="X828">
        <v>16</v>
      </c>
      <c r="Y828" t="b">
        <f>IF(X828&lt;&gt;"",VLOOKUP(X828,game_rosters!$C$43:$E$64,3,FALSE))</f>
        <v>0</v>
      </c>
      <c r="Z828" cm="1">
        <f t="array" ref="Z828">IFERROR(IF(_xlfn._xlws.FILTER(game_rosters!$J:$J,(game_rosters!$G:$G=events!$AN828)*(game_rosters!$J:$J=events!$X828))&gt;0,1,""),"")</f>
        <v>1</v>
      </c>
      <c r="AA828">
        <f t="shared" si="403"/>
        <v>1447</v>
      </c>
      <c r="AB828" t="str">
        <f t="shared" si="404"/>
        <v/>
      </c>
      <c r="AC828">
        <f t="shared" si="401"/>
        <v>1447</v>
      </c>
      <c r="AD828" s="6">
        <v>2</v>
      </c>
      <c r="AE828" t="s">
        <v>732</v>
      </c>
      <c r="AF828" t="s">
        <v>927</v>
      </c>
      <c r="AG828" t="s">
        <v>756</v>
      </c>
      <c r="AH828" t="s">
        <v>756</v>
      </c>
      <c r="AI828" t="s">
        <v>367</v>
      </c>
      <c r="AJ828" t="str">
        <f t="shared" si="432"/>
        <v>o</v>
      </c>
      <c r="AK828" t="str">
        <f t="shared" si="432"/>
        <v>o</v>
      </c>
      <c r="AL828" t="str">
        <f t="shared" si="406"/>
        <v>o</v>
      </c>
      <c r="AN828" t="s">
        <v>861</v>
      </c>
      <c r="AO828" t="str">
        <f t="shared" si="407"/>
        <v>h</v>
      </c>
      <c r="AP828" t="str">
        <f t="shared" si="414"/>
        <v>o</v>
      </c>
      <c r="AQ828" t="str">
        <f t="shared" si="415"/>
        <v/>
      </c>
      <c r="AR828" t="str">
        <f t="shared" si="416"/>
        <v>Home</v>
      </c>
      <c r="AS828" t="str">
        <f t="shared" si="417"/>
        <v>h</v>
      </c>
      <c r="AT828" t="str">
        <f t="shared" si="418"/>
        <v>Offensive</v>
      </c>
      <c r="BA828" s="6">
        <f t="shared" si="408"/>
        <v>226</v>
      </c>
      <c r="BB828">
        <f t="shared" si="409"/>
        <v>18981</v>
      </c>
      <c r="BC828" t="str">
        <f t="shared" si="410"/>
        <v>Nelson</v>
      </c>
      <c r="BD828" t="str">
        <f t="shared" si="411"/>
        <v>Velodrome</v>
      </c>
      <c r="BE828" t="s">
        <v>238</v>
      </c>
      <c r="BF828" t="s">
        <v>174</v>
      </c>
      <c r="BG828" t="s">
        <v>86</v>
      </c>
      <c r="BI828" cm="1">
        <f t="array" ref="BI828">IFERROR(_xlfn._xlws.FILTER(shifts!A:A,(shifts!B:B=events!AD828)*(shifts!AG:AG&gt;=events!BK828)*(shifts!AH:AH&lt;=events!BL828)),BI827)</f>
        <v>41</v>
      </c>
      <c r="BJ828" s="15">
        <f t="shared" si="412"/>
        <v>0</v>
      </c>
      <c r="BK828">
        <f t="shared" si="419"/>
        <v>1077</v>
      </c>
      <c r="BL828">
        <f t="shared" si="420"/>
        <v>1077</v>
      </c>
      <c r="BM828" s="15">
        <f>SUMIFS(BJ$2:BJ828,K$2:K828,"=Intermission")+SUMIFS(BJ$2:BJ828,K$2:K828,"=Timeout")</f>
        <v>72</v>
      </c>
      <c r="BN828">
        <f t="shared" si="421"/>
        <v>1152</v>
      </c>
      <c r="BO828" s="19">
        <f t="shared" si="422"/>
        <v>1155</v>
      </c>
      <c r="BP828">
        <f t="shared" si="423"/>
        <v>1150</v>
      </c>
      <c r="BQ828" s="17">
        <f t="shared" si="424"/>
        <v>1155</v>
      </c>
      <c r="BR828" t="str">
        <f t="shared" si="425"/>
        <v>event_team_player_2</v>
      </c>
      <c r="BS828">
        <f>COUNTIFS(S$3:S828,"="&amp;S828,AI$3:AI828,"="&amp;AI828)</f>
        <v>2</v>
      </c>
      <c r="BT828" t="str">
        <f>IFERROR(VLOOKUP(BB828&amp;BU828&amp;X828,game_rosters!U:W,3,FALSE),"")</f>
        <v>P100164</v>
      </c>
      <c r="BU828" t="str">
        <f t="shared" si="426"/>
        <v>Nelson</v>
      </c>
    </row>
    <row r="829" spans="1:73" x14ac:dyDescent="0.2">
      <c r="A829">
        <f t="shared" si="413"/>
        <v>1</v>
      </c>
      <c r="E829" s="4"/>
      <c r="F829" s="43"/>
      <c r="G829" s="4"/>
      <c r="H829" s="46"/>
      <c r="J829" s="44" t="str">
        <f t="shared" si="427"/>
        <v>o</v>
      </c>
      <c r="K829" t="s">
        <v>238</v>
      </c>
      <c r="L829" t="s">
        <v>174</v>
      </c>
      <c r="M829" t="s">
        <v>86</v>
      </c>
      <c r="N829" t="str">
        <f t="shared" si="430"/>
        <v>s</v>
      </c>
      <c r="Q829" t="str">
        <f t="shared" si="428"/>
        <v/>
      </c>
      <c r="S829">
        <v>447</v>
      </c>
      <c r="U829" t="str">
        <f>IF(B829=1,MAX($U$2:$U828)+1,IF(AND($T829&lt;&gt;"",$T829=$T828),$U828,IF(B829="x",U828,"")))</f>
        <v/>
      </c>
      <c r="V829" t="str">
        <f>IF(C829=1,MAX($V$2:$V828)+1,IF(AND($T829&lt;&gt;"",$T829=$T828),$U828,IF(C829="x",V828,"")))</f>
        <v/>
      </c>
      <c r="W829" t="str">
        <f t="shared" si="402"/>
        <v>h</v>
      </c>
      <c r="X829">
        <v>52</v>
      </c>
      <c r="Y829" t="e">
        <f>IF(X829&lt;&gt;"",VLOOKUP(X829,game_rosters!$C$43:$E$64,3,FALSE))</f>
        <v>#N/A</v>
      </c>
      <c r="Z829" t="str" cm="1">
        <f t="array" ref="Z829">IFERROR(IF(_xlfn._xlws.FILTER(game_rosters!$J:$J,(game_rosters!$G:$G=events!$AN829)*(game_rosters!$J:$J=events!$X829))&gt;0,1,""),"")</f>
        <v/>
      </c>
      <c r="AA829">
        <f t="shared" si="403"/>
        <v>1447</v>
      </c>
      <c r="AB829" t="str">
        <f t="shared" si="404"/>
        <v/>
      </c>
      <c r="AC829">
        <f t="shared" si="401"/>
        <v>1447</v>
      </c>
      <c r="AD829" s="6">
        <v>2</v>
      </c>
      <c r="AE829" t="s">
        <v>732</v>
      </c>
      <c r="AF829" t="s">
        <v>927</v>
      </c>
      <c r="AG829" t="s">
        <v>756</v>
      </c>
      <c r="AH829" t="s">
        <v>756</v>
      </c>
      <c r="AI829" t="s">
        <v>368</v>
      </c>
      <c r="AJ829" t="str">
        <f t="shared" si="432"/>
        <v>o</v>
      </c>
      <c r="AK829" t="str">
        <f t="shared" si="432"/>
        <v>o</v>
      </c>
      <c r="AL829" t="str">
        <f t="shared" si="406"/>
        <v>o</v>
      </c>
      <c r="AN829" t="s">
        <v>861</v>
      </c>
      <c r="AO829" t="str">
        <f t="shared" si="407"/>
        <v>h</v>
      </c>
      <c r="AP829" t="str">
        <f t="shared" si="414"/>
        <v>o</v>
      </c>
      <c r="AQ829" t="str">
        <f t="shared" si="415"/>
        <v/>
      </c>
      <c r="AR829" t="str">
        <f t="shared" si="416"/>
        <v>Home</v>
      </c>
      <c r="AS829" t="str">
        <f t="shared" si="417"/>
        <v>h</v>
      </c>
      <c r="AT829" t="str">
        <f t="shared" si="418"/>
        <v>Defensive</v>
      </c>
      <c r="BA829" s="6">
        <f t="shared" si="408"/>
        <v>227</v>
      </c>
      <c r="BB829">
        <f t="shared" si="409"/>
        <v>18981</v>
      </c>
      <c r="BC829" t="str">
        <f t="shared" si="410"/>
        <v>Nelson</v>
      </c>
      <c r="BD829" t="str">
        <f t="shared" si="411"/>
        <v>Velodrome</v>
      </c>
      <c r="BE829" t="s">
        <v>238</v>
      </c>
      <c r="BF829" t="s">
        <v>174</v>
      </c>
      <c r="BG829" t="s">
        <v>86</v>
      </c>
      <c r="BI829" cm="1">
        <f t="array" ref="BI829">IFERROR(_xlfn._xlws.FILTER(shifts!A:A,(shifts!B:B=events!AD829)*(shifts!AG:AG&gt;=events!BK829)*(shifts!AH:AH&lt;=events!BL829)),BI828)</f>
        <v>41</v>
      </c>
      <c r="BJ829" s="15">
        <f t="shared" si="412"/>
        <v>0</v>
      </c>
      <c r="BK829">
        <f t="shared" si="419"/>
        <v>1077</v>
      </c>
      <c r="BL829">
        <f t="shared" si="420"/>
        <v>1077</v>
      </c>
      <c r="BM829" s="15">
        <f>SUMIFS(BJ$2:BJ829,K$2:K829,"=Intermission")+SUMIFS(BJ$2:BJ829,K$2:K829,"=Timeout")</f>
        <v>72</v>
      </c>
      <c r="BN829">
        <f t="shared" si="421"/>
        <v>1152</v>
      </c>
      <c r="BO829" s="19">
        <f t="shared" si="422"/>
        <v>1155</v>
      </c>
      <c r="BP829">
        <f t="shared" si="423"/>
        <v>1150</v>
      </c>
      <c r="BQ829" s="17">
        <f t="shared" si="424"/>
        <v>1155</v>
      </c>
      <c r="BR829" t="str">
        <f t="shared" si="425"/>
        <v>opp_team_player_1</v>
      </c>
      <c r="BS829">
        <f>COUNTIFS(S$3:S829,"="&amp;S829,AI$3:AI829,"="&amp;AI829)</f>
        <v>1</v>
      </c>
      <c r="BT829" t="str">
        <f>IFERROR(VLOOKUP(BB829&amp;BU829&amp;X829,game_rosters!U:W,3,FALSE),"")</f>
        <v>P100070</v>
      </c>
      <c r="BU829" t="str">
        <f t="shared" si="426"/>
        <v>Velodrome</v>
      </c>
    </row>
    <row r="830" spans="1:73" x14ac:dyDescent="0.2">
      <c r="A830">
        <f t="shared" si="413"/>
        <v>1</v>
      </c>
      <c r="E830" s="4"/>
      <c r="F830" s="43"/>
      <c r="G830" s="4"/>
      <c r="H830" s="46"/>
      <c r="J830" s="44" t="str">
        <f t="shared" si="427"/>
        <v>o</v>
      </c>
      <c r="K830" t="s">
        <v>238</v>
      </c>
      <c r="L830" t="s">
        <v>174</v>
      </c>
      <c r="M830" t="s">
        <v>86</v>
      </c>
      <c r="N830" t="str">
        <f t="shared" si="430"/>
        <v>s</v>
      </c>
      <c r="Q830" t="str">
        <f t="shared" si="428"/>
        <v/>
      </c>
      <c r="S830">
        <v>447</v>
      </c>
      <c r="U830" t="str">
        <f>IF(B830=1,MAX($U$2:$U829)+1,IF(AND($T830&lt;&gt;"",$T830=$T829),$U829,IF(B830="x",U829,"")))</f>
        <v/>
      </c>
      <c r="V830" t="str">
        <f>IF(C830=1,MAX($V$2:$V829)+1,IF(AND($T830&lt;&gt;"",$T830=$T829),$U829,IF(C830="x",V829,"")))</f>
        <v/>
      </c>
      <c r="W830" t="str">
        <f t="shared" si="402"/>
        <v>h</v>
      </c>
      <c r="X830">
        <v>84</v>
      </c>
      <c r="Y830" t="e">
        <f>IF(X830&lt;&gt;"",VLOOKUP(X830,game_rosters!$C$43:$E$64,3,FALSE))</f>
        <v>#N/A</v>
      </c>
      <c r="Z830" t="str" cm="1">
        <f t="array" ref="Z830">IFERROR(IF(_xlfn._xlws.FILTER(game_rosters!$J:$J,(game_rosters!$G:$G=events!$AN830)*(game_rosters!$J:$J=events!$X830))&gt;0,1,""),"")</f>
        <v/>
      </c>
      <c r="AA830">
        <f t="shared" si="403"/>
        <v>1447</v>
      </c>
      <c r="AB830" t="str">
        <f t="shared" si="404"/>
        <v/>
      </c>
      <c r="AC830">
        <f t="shared" si="401"/>
        <v>1447</v>
      </c>
      <c r="AD830" s="6">
        <v>2</v>
      </c>
      <c r="AE830" t="s">
        <v>732</v>
      </c>
      <c r="AF830" t="s">
        <v>927</v>
      </c>
      <c r="AG830" t="s">
        <v>756</v>
      </c>
      <c r="AH830" t="s">
        <v>756</v>
      </c>
      <c r="AI830" t="s">
        <v>368</v>
      </c>
      <c r="AJ830" t="str">
        <f t="shared" si="432"/>
        <v>o</v>
      </c>
      <c r="AK830" t="str">
        <f t="shared" si="432"/>
        <v>o</v>
      </c>
      <c r="AL830" t="str">
        <f t="shared" si="406"/>
        <v>o</v>
      </c>
      <c r="AN830" t="s">
        <v>861</v>
      </c>
      <c r="AO830" t="str">
        <f t="shared" si="407"/>
        <v>h</v>
      </c>
      <c r="AP830" t="str">
        <f t="shared" si="414"/>
        <v>o</v>
      </c>
      <c r="AQ830" t="str">
        <f t="shared" si="415"/>
        <v/>
      </c>
      <c r="AR830" t="str">
        <f t="shared" si="416"/>
        <v>Home</v>
      </c>
      <c r="AS830" t="str">
        <f t="shared" si="417"/>
        <v>h</v>
      </c>
      <c r="AT830" t="str">
        <f t="shared" si="418"/>
        <v>Defensive</v>
      </c>
      <c r="BA830" s="6">
        <f t="shared" si="408"/>
        <v>228</v>
      </c>
      <c r="BB830">
        <f t="shared" si="409"/>
        <v>18981</v>
      </c>
      <c r="BC830" t="str">
        <f t="shared" si="410"/>
        <v>Nelson</v>
      </c>
      <c r="BD830" t="str">
        <f t="shared" si="411"/>
        <v>Velodrome</v>
      </c>
      <c r="BE830" t="s">
        <v>238</v>
      </c>
      <c r="BF830" t="s">
        <v>174</v>
      </c>
      <c r="BG830" t="s">
        <v>86</v>
      </c>
      <c r="BI830" cm="1">
        <f t="array" ref="BI830">IFERROR(_xlfn._xlws.FILTER(shifts!A:A,(shifts!B:B=events!AD830)*(shifts!AG:AG&gt;=events!BK830)*(shifts!AH:AH&lt;=events!BL830)),BI829)</f>
        <v>41</v>
      </c>
      <c r="BJ830" s="15">
        <f t="shared" si="412"/>
        <v>0</v>
      </c>
      <c r="BK830">
        <f t="shared" si="419"/>
        <v>1077</v>
      </c>
      <c r="BL830">
        <f t="shared" si="420"/>
        <v>1077</v>
      </c>
      <c r="BM830" s="15">
        <f>SUMIFS(BJ$2:BJ830,K$2:K830,"=Intermission")+SUMIFS(BJ$2:BJ830,K$2:K830,"=Timeout")</f>
        <v>72</v>
      </c>
      <c r="BN830">
        <f t="shared" si="421"/>
        <v>1152</v>
      </c>
      <c r="BO830" s="19">
        <f t="shared" si="422"/>
        <v>1155</v>
      </c>
      <c r="BP830">
        <f t="shared" si="423"/>
        <v>1150</v>
      </c>
      <c r="BQ830" s="17">
        <f t="shared" si="424"/>
        <v>1155</v>
      </c>
      <c r="BR830" t="str">
        <f t="shared" si="425"/>
        <v>opp_team_player_2</v>
      </c>
      <c r="BS830">
        <f>COUNTIFS(S$3:S830,"="&amp;S830,AI$3:AI830,"="&amp;AI830)</f>
        <v>2</v>
      </c>
      <c r="BT830" t="str">
        <f>IFERROR(VLOOKUP(BB830&amp;BU830&amp;X830,game_rosters!U:W,3,FALSE),"")</f>
        <v>P100198</v>
      </c>
      <c r="BU830" t="str">
        <f t="shared" si="426"/>
        <v>Velodrome</v>
      </c>
    </row>
    <row r="831" spans="1:73" x14ac:dyDescent="0.2">
      <c r="A831">
        <f t="shared" si="413"/>
        <v>1</v>
      </c>
      <c r="E831" s="4"/>
      <c r="F831" s="43"/>
      <c r="G831" s="4"/>
      <c r="H831" s="46"/>
      <c r="J831" s="44" t="str">
        <f t="shared" si="427"/>
        <v/>
      </c>
      <c r="K831" t="s">
        <v>13</v>
      </c>
      <c r="L831" t="s">
        <v>756</v>
      </c>
      <c r="M831" t="s">
        <v>756</v>
      </c>
      <c r="N831" t="str">
        <f t="shared" si="430"/>
        <v/>
      </c>
      <c r="Q831" t="str">
        <f t="shared" si="428"/>
        <v/>
      </c>
      <c r="S831">
        <v>448</v>
      </c>
      <c r="U831" t="str">
        <f>IF(B831=1,MAX($U$2:$U830)+1,IF(AND($T831&lt;&gt;"",$T831=$T830),$U830,IF(B831="x",U830,"")))</f>
        <v/>
      </c>
      <c r="V831" t="str">
        <f>IF(C831=1,MAX($V$2:$V830)+1,IF(AND($T831&lt;&gt;"",$T831=$T830),$U830,IF(C831="x",V830,"")))</f>
        <v/>
      </c>
      <c r="W831" t="str">
        <f t="shared" si="402"/>
        <v>h</v>
      </c>
      <c r="X831">
        <v>16</v>
      </c>
      <c r="Y831" t="b">
        <f>IF(X831&lt;&gt;"",VLOOKUP(X831,game_rosters!$C$43:$E$64,3,FALSE))</f>
        <v>0</v>
      </c>
      <c r="Z831" cm="1">
        <f t="array" ref="Z831">IFERROR(IF(_xlfn._xlws.FILTER(game_rosters!$J:$J,(game_rosters!$G:$G=events!$AN831)*(game_rosters!$J:$J=events!$X831))&gt;0,1,""),"")</f>
        <v>1</v>
      </c>
      <c r="AA831">
        <f t="shared" si="403"/>
        <v>1448</v>
      </c>
      <c r="AB831" t="str">
        <f t="shared" si="404"/>
        <v/>
      </c>
      <c r="AC831">
        <f t="shared" si="401"/>
        <v>1448</v>
      </c>
      <c r="AD831" s="6">
        <v>2</v>
      </c>
      <c r="AE831" t="s">
        <v>732</v>
      </c>
      <c r="AF831" t="s">
        <v>733</v>
      </c>
      <c r="AG831" t="s">
        <v>732</v>
      </c>
      <c r="AH831" t="s">
        <v>934</v>
      </c>
      <c r="AI831" t="s">
        <v>367</v>
      </c>
      <c r="AJ831" t="str">
        <f t="shared" si="432"/>
        <v/>
      </c>
      <c r="AK831" t="str">
        <f t="shared" si="432"/>
        <v/>
      </c>
      <c r="AL831" t="str">
        <f t="shared" si="406"/>
        <v/>
      </c>
      <c r="AN831" t="s">
        <v>861</v>
      </c>
      <c r="AO831" t="str">
        <f t="shared" si="407"/>
        <v>h</v>
      </c>
      <c r="AP831" t="str">
        <f t="shared" si="414"/>
        <v/>
      </c>
      <c r="AQ831" t="str">
        <f t="shared" si="415"/>
        <v/>
      </c>
      <c r="AR831" t="str">
        <f t="shared" si="416"/>
        <v>Home</v>
      </c>
      <c r="AS831" t="str">
        <f t="shared" si="417"/>
        <v>h</v>
      </c>
      <c r="AT831" t="str">
        <f t="shared" si="418"/>
        <v>Offensive</v>
      </c>
      <c r="BA831" s="6">
        <f t="shared" si="408"/>
        <v>228</v>
      </c>
      <c r="BB831">
        <f t="shared" si="409"/>
        <v>18981</v>
      </c>
      <c r="BC831" t="str">
        <f t="shared" si="410"/>
        <v>Nelson</v>
      </c>
      <c r="BD831" t="str">
        <f t="shared" si="411"/>
        <v>Velodrome</v>
      </c>
      <c r="BE831" t="s">
        <v>13</v>
      </c>
      <c r="BF831" t="s">
        <v>756</v>
      </c>
      <c r="BG831" t="s">
        <v>756</v>
      </c>
      <c r="BI831" cm="1">
        <f t="array" ref="BI831">IFERROR(_xlfn._xlws.FILTER(shifts!A:A,(shifts!B:B=events!AD831)*(shifts!AG:AG&gt;=events!BK831)*(shifts!AH:AH&lt;=events!BL831)),BI830)</f>
        <v>41</v>
      </c>
      <c r="BJ831" s="15">
        <f t="shared" si="412"/>
        <v>2</v>
      </c>
      <c r="BK831">
        <f t="shared" si="419"/>
        <v>1076</v>
      </c>
      <c r="BL831">
        <f t="shared" si="420"/>
        <v>1074</v>
      </c>
      <c r="BM831" s="15">
        <f>SUMIFS(BJ$2:BJ831,K$2:K831,"=Intermission")+SUMIFS(BJ$2:BJ831,K$2:K831,"=Timeout")</f>
        <v>72</v>
      </c>
      <c r="BN831">
        <f t="shared" si="421"/>
        <v>1152</v>
      </c>
      <c r="BO831" s="19">
        <f t="shared" si="422"/>
        <v>1156</v>
      </c>
      <c r="BP831">
        <f t="shared" si="423"/>
        <v>1151</v>
      </c>
      <c r="BQ831" s="17">
        <f t="shared" si="424"/>
        <v>1158</v>
      </c>
      <c r="BR831" t="str">
        <f t="shared" si="425"/>
        <v>event_team_player_1</v>
      </c>
      <c r="BS831">
        <f>COUNTIFS(S$3:S831,"="&amp;S831,AI$3:AI831,"="&amp;AI831)</f>
        <v>1</v>
      </c>
      <c r="BT831" t="str">
        <f>IFERROR(VLOOKUP(BB831&amp;BU831&amp;X831,game_rosters!U:W,3,FALSE),"")</f>
        <v>P100164</v>
      </c>
      <c r="BU831" t="str">
        <f t="shared" si="426"/>
        <v>Nelson</v>
      </c>
    </row>
    <row r="832" spans="1:73" x14ac:dyDescent="0.2">
      <c r="A832">
        <f t="shared" si="413"/>
        <v>1</v>
      </c>
      <c r="E832" s="4"/>
      <c r="F832" s="43"/>
      <c r="G832" s="4"/>
      <c r="H832" s="46"/>
      <c r="J832" s="44" t="str">
        <f t="shared" si="427"/>
        <v/>
      </c>
      <c r="K832" t="s">
        <v>13</v>
      </c>
      <c r="L832" t="s">
        <v>756</v>
      </c>
      <c r="M832" t="s">
        <v>756</v>
      </c>
      <c r="N832" t="str">
        <f t="shared" si="430"/>
        <v/>
      </c>
      <c r="Q832" t="str">
        <f t="shared" si="428"/>
        <v/>
      </c>
      <c r="S832">
        <v>448</v>
      </c>
      <c r="U832" t="str">
        <f>IF(B832=1,MAX($U$2:$U831)+1,IF(AND($T832&lt;&gt;"",$T832=$T831),$U831,IF(B832="x",U831,"")))</f>
        <v/>
      </c>
      <c r="V832" t="str">
        <f>IF(C832=1,MAX($V$2:$V831)+1,IF(AND($T832&lt;&gt;"",$T832=$T831),$U831,IF(C832="x",V831,"")))</f>
        <v/>
      </c>
      <c r="W832" t="str">
        <f t="shared" si="402"/>
        <v>h</v>
      </c>
      <c r="X832">
        <v>52</v>
      </c>
      <c r="Y832" t="e">
        <f>IF(X832&lt;&gt;"",VLOOKUP(X832,game_rosters!$C$43:$E$64,3,FALSE))</f>
        <v>#N/A</v>
      </c>
      <c r="Z832" t="str" cm="1">
        <f t="array" ref="Z832">IFERROR(IF(_xlfn._xlws.FILTER(game_rosters!$J:$J,(game_rosters!$G:$G=events!$AN832)*(game_rosters!$J:$J=events!$X832))&gt;0,1,""),"")</f>
        <v/>
      </c>
      <c r="AA832">
        <f t="shared" si="403"/>
        <v>1448</v>
      </c>
      <c r="AB832" t="str">
        <f t="shared" si="404"/>
        <v/>
      </c>
      <c r="AC832">
        <f t="shared" si="401"/>
        <v>1448</v>
      </c>
      <c r="AD832" s="6">
        <v>2</v>
      </c>
      <c r="AE832" t="s">
        <v>732</v>
      </c>
      <c r="AF832" t="s">
        <v>733</v>
      </c>
      <c r="AG832" t="s">
        <v>732</v>
      </c>
      <c r="AH832" t="s">
        <v>934</v>
      </c>
      <c r="AI832" t="s">
        <v>368</v>
      </c>
      <c r="AJ832" t="str">
        <f t="shared" si="432"/>
        <v/>
      </c>
      <c r="AK832" t="str">
        <f t="shared" si="432"/>
        <v/>
      </c>
      <c r="AL832" t="str">
        <f t="shared" si="406"/>
        <v/>
      </c>
      <c r="AN832" t="s">
        <v>861</v>
      </c>
      <c r="AO832" t="str">
        <f t="shared" si="407"/>
        <v>h</v>
      </c>
      <c r="AP832" t="str">
        <f t="shared" si="414"/>
        <v/>
      </c>
      <c r="AQ832" t="str">
        <f t="shared" si="415"/>
        <v/>
      </c>
      <c r="AR832" t="str">
        <f t="shared" si="416"/>
        <v>Home</v>
      </c>
      <c r="AS832" t="str">
        <f t="shared" si="417"/>
        <v>h</v>
      </c>
      <c r="AT832" t="str">
        <f t="shared" si="418"/>
        <v>Defensive</v>
      </c>
      <c r="BA832" s="6">
        <f t="shared" si="408"/>
        <v>228</v>
      </c>
      <c r="BB832">
        <f t="shared" si="409"/>
        <v>18981</v>
      </c>
      <c r="BC832" t="str">
        <f t="shared" si="410"/>
        <v>Nelson</v>
      </c>
      <c r="BD832" t="str">
        <f t="shared" si="411"/>
        <v>Velodrome</v>
      </c>
      <c r="BE832" t="s">
        <v>13</v>
      </c>
      <c r="BF832" t="s">
        <v>756</v>
      </c>
      <c r="BG832" t="s">
        <v>756</v>
      </c>
      <c r="BI832" cm="1">
        <f t="array" ref="BI832">IFERROR(_xlfn._xlws.FILTER(shifts!A:A,(shifts!B:B=events!AD832)*(shifts!AG:AG&gt;=events!BK832)*(shifts!AH:AH&lt;=events!BL832)),BI831)</f>
        <v>41</v>
      </c>
      <c r="BJ832" s="15">
        <f t="shared" si="412"/>
        <v>2</v>
      </c>
      <c r="BK832">
        <f t="shared" si="419"/>
        <v>1076</v>
      </c>
      <c r="BL832">
        <f t="shared" si="420"/>
        <v>1074</v>
      </c>
      <c r="BM832" s="15">
        <f>SUMIFS(BJ$2:BJ832,K$2:K832,"=Intermission")+SUMIFS(BJ$2:BJ832,K$2:K832,"=Timeout")</f>
        <v>72</v>
      </c>
      <c r="BN832">
        <f t="shared" si="421"/>
        <v>1152</v>
      </c>
      <c r="BO832" s="19">
        <f t="shared" si="422"/>
        <v>1156</v>
      </c>
      <c r="BP832">
        <f t="shared" si="423"/>
        <v>1151</v>
      </c>
      <c r="BQ832" s="17">
        <f t="shared" si="424"/>
        <v>1158</v>
      </c>
      <c r="BR832" t="str">
        <f t="shared" si="425"/>
        <v>opp_team_player_1</v>
      </c>
      <c r="BS832">
        <f>COUNTIFS(S$3:S832,"="&amp;S832,AI$3:AI832,"="&amp;AI832)</f>
        <v>1</v>
      </c>
      <c r="BT832" t="str">
        <f>IFERROR(VLOOKUP(BB832&amp;BU832&amp;X832,game_rosters!U:W,3,FALSE),"")</f>
        <v>P100070</v>
      </c>
      <c r="BU832" t="str">
        <f t="shared" si="426"/>
        <v>Velodrome</v>
      </c>
    </row>
    <row r="833" spans="1:73" x14ac:dyDescent="0.2">
      <c r="A833">
        <f t="shared" si="413"/>
        <v>1</v>
      </c>
      <c r="E833" s="4"/>
      <c r="F833" s="43"/>
      <c r="G833" s="4"/>
      <c r="H833" s="46"/>
      <c r="J833" s="44" t="str">
        <f t="shared" si="427"/>
        <v/>
      </c>
      <c r="K833" t="s">
        <v>9</v>
      </c>
      <c r="L833" t="s">
        <v>183</v>
      </c>
      <c r="M833" t="s">
        <v>80</v>
      </c>
      <c r="N833" t="str">
        <f t="shared" si="430"/>
        <v/>
      </c>
      <c r="Q833" t="str">
        <f t="shared" si="428"/>
        <v/>
      </c>
      <c r="S833">
        <v>449</v>
      </c>
      <c r="U833" t="str">
        <f>IF(B833=1,MAX($U$2:$U832)+1,IF(AND($T833&lt;&gt;"",$T833=$T832),$U832,IF(B833="x",U832,"")))</f>
        <v/>
      </c>
      <c r="V833" t="str">
        <f>IF(C833=1,MAX($V$2:$V832)+1,IF(AND($T833&lt;&gt;"",$T833=$T832),$U832,IF(C833="x",V832,"")))</f>
        <v/>
      </c>
      <c r="W833" t="str">
        <f t="shared" si="402"/>
        <v>a</v>
      </c>
      <c r="X833">
        <v>52</v>
      </c>
      <c r="Y833" t="e">
        <f>IF(X833&lt;&gt;"",VLOOKUP(X833,game_rosters!$C$43:$E$64,3,FALSE))</f>
        <v>#N/A</v>
      </c>
      <c r="Z833" cm="1">
        <f t="array" ref="Z833">IFERROR(IF(_xlfn._xlws.FILTER(game_rosters!$J:$J,(game_rosters!$G:$G=events!$AN833)*(game_rosters!$J:$J=events!$X833))&gt;0,1,""),"")</f>
        <v>1</v>
      </c>
      <c r="AA833">
        <f t="shared" si="403"/>
        <v>1449</v>
      </c>
      <c r="AB833" t="str">
        <f t="shared" si="404"/>
        <v/>
      </c>
      <c r="AC833">
        <f t="shared" si="401"/>
        <v>1449</v>
      </c>
      <c r="AD833" s="6">
        <v>2</v>
      </c>
      <c r="AE833" t="s">
        <v>732</v>
      </c>
      <c r="AF833" t="s">
        <v>934</v>
      </c>
      <c r="AG833" t="s">
        <v>756</v>
      </c>
      <c r="AH833" t="s">
        <v>756</v>
      </c>
      <c r="AI833" t="s">
        <v>367</v>
      </c>
      <c r="AJ833" t="str">
        <f t="shared" si="432"/>
        <v/>
      </c>
      <c r="AK833" t="str">
        <f t="shared" si="432"/>
        <v/>
      </c>
      <c r="AL833" t="str">
        <f t="shared" si="406"/>
        <v/>
      </c>
      <c r="AN833" t="s">
        <v>862</v>
      </c>
      <c r="AO833" t="str">
        <f t="shared" si="407"/>
        <v>a</v>
      </c>
      <c r="AP833" t="str">
        <f t="shared" si="414"/>
        <v/>
      </c>
      <c r="AQ833" t="str">
        <f t="shared" si="415"/>
        <v/>
      </c>
      <c r="AR833" t="str">
        <f t="shared" si="416"/>
        <v>Away</v>
      </c>
      <c r="AS833" t="str">
        <f t="shared" si="417"/>
        <v>a</v>
      </c>
      <c r="AT833" t="str">
        <f t="shared" si="418"/>
        <v>Defensive</v>
      </c>
      <c r="BA833" s="6">
        <f t="shared" si="408"/>
        <v>228</v>
      </c>
      <c r="BB833">
        <f t="shared" si="409"/>
        <v>18981</v>
      </c>
      <c r="BC833" t="str">
        <f t="shared" si="410"/>
        <v>Nelson</v>
      </c>
      <c r="BD833" t="str">
        <f t="shared" si="411"/>
        <v>Velodrome</v>
      </c>
      <c r="BE833" t="s">
        <v>9</v>
      </c>
      <c r="BF833" t="s">
        <v>183</v>
      </c>
      <c r="BG833" t="s">
        <v>80</v>
      </c>
      <c r="BI833" cm="1">
        <f t="array" ref="BI833">IFERROR(_xlfn._xlws.FILTER(shifts!A:A,(shifts!B:B=events!AD833)*(shifts!AG:AG&gt;=events!BK833)*(shifts!AH:AH&lt;=events!BL833)),BI832)</f>
        <v>41</v>
      </c>
      <c r="BJ833" s="15">
        <f t="shared" si="412"/>
        <v>0</v>
      </c>
      <c r="BK833">
        <f t="shared" si="419"/>
        <v>1074</v>
      </c>
      <c r="BL833">
        <f t="shared" si="420"/>
        <v>1074</v>
      </c>
      <c r="BM833" s="15">
        <f>SUMIFS(BJ$2:BJ833,K$2:K833,"=Intermission")+SUMIFS(BJ$2:BJ833,K$2:K833,"=Timeout")</f>
        <v>72</v>
      </c>
      <c r="BN833">
        <f t="shared" si="421"/>
        <v>1152</v>
      </c>
      <c r="BO833" s="19">
        <f t="shared" si="422"/>
        <v>1158</v>
      </c>
      <c r="BP833">
        <f t="shared" si="423"/>
        <v>1153</v>
      </c>
      <c r="BQ833" s="17">
        <f t="shared" si="424"/>
        <v>1158</v>
      </c>
      <c r="BR833" t="str">
        <f t="shared" si="425"/>
        <v>event_team_player_1</v>
      </c>
      <c r="BS833">
        <f>COUNTIFS(S$3:S833,"="&amp;S833,AI$3:AI833,"="&amp;AI833)</f>
        <v>1</v>
      </c>
      <c r="BT833" t="str">
        <f>IFERROR(VLOOKUP(BB833&amp;BU833&amp;X833,game_rosters!U:W,3,FALSE),"")</f>
        <v>P100070</v>
      </c>
      <c r="BU833" t="str">
        <f t="shared" si="426"/>
        <v>Velodrome</v>
      </c>
    </row>
    <row r="834" spans="1:73" x14ac:dyDescent="0.2">
      <c r="A834">
        <f t="shared" si="413"/>
        <v>1</v>
      </c>
      <c r="E834" s="4"/>
      <c r="F834" s="43"/>
      <c r="G834" s="4"/>
      <c r="H834" s="46"/>
      <c r="J834" s="44" t="str">
        <f t="shared" si="427"/>
        <v/>
      </c>
      <c r="K834" t="s">
        <v>9</v>
      </c>
      <c r="L834" t="s">
        <v>183</v>
      </c>
      <c r="M834" t="s">
        <v>80</v>
      </c>
      <c r="N834" t="str">
        <f t="shared" si="430"/>
        <v/>
      </c>
      <c r="Q834" t="str">
        <f t="shared" si="428"/>
        <v/>
      </c>
      <c r="S834">
        <v>449</v>
      </c>
      <c r="U834" t="str">
        <f>IF(B834=1,MAX($U$2:$U833)+1,IF(AND($T834&lt;&gt;"",$T834=$T833),$U833,IF(B834="x",U833,"")))</f>
        <v/>
      </c>
      <c r="V834" t="str">
        <f>IF(C834=1,MAX($V$2:$V833)+1,IF(AND($T834&lt;&gt;"",$T834=$T833),$U833,IF(C834="x",V833,"")))</f>
        <v/>
      </c>
      <c r="W834" t="str">
        <f t="shared" si="402"/>
        <v>a</v>
      </c>
      <c r="X834">
        <v>16</v>
      </c>
      <c r="Y834" t="b">
        <f>IF(X834&lt;&gt;"",VLOOKUP(X834,game_rosters!$C$43:$E$64,3,FALSE))</f>
        <v>0</v>
      </c>
      <c r="Z834" t="str" cm="1">
        <f t="array" ref="Z834">IFERROR(IF(_xlfn._xlws.FILTER(game_rosters!$J:$J,(game_rosters!$G:$G=events!$AN834)*(game_rosters!$J:$J=events!$X834))&gt;0,1,""),"")</f>
        <v/>
      </c>
      <c r="AA834">
        <f t="shared" si="403"/>
        <v>1449</v>
      </c>
      <c r="AB834" t="str">
        <f t="shared" si="404"/>
        <v/>
      </c>
      <c r="AC834">
        <f t="shared" ref="AC834:AC897" si="433">IF(AB834&lt;&gt;"",AB834,S834+1000)</f>
        <v>1449</v>
      </c>
      <c r="AD834" s="6">
        <v>2</v>
      </c>
      <c r="AE834" t="s">
        <v>732</v>
      </c>
      <c r="AF834" t="s">
        <v>934</v>
      </c>
      <c r="AG834" t="s">
        <v>756</v>
      </c>
      <c r="AH834" t="s">
        <v>756</v>
      </c>
      <c r="AI834" t="s">
        <v>368</v>
      </c>
      <c r="AJ834" t="str">
        <f t="shared" si="432"/>
        <v/>
      </c>
      <c r="AK834" t="str">
        <f t="shared" si="432"/>
        <v/>
      </c>
      <c r="AL834" t="str">
        <f t="shared" si="406"/>
        <v/>
      </c>
      <c r="AN834" t="s">
        <v>862</v>
      </c>
      <c r="AO834" t="str">
        <f t="shared" si="407"/>
        <v>a</v>
      </c>
      <c r="AP834" t="str">
        <f t="shared" si="414"/>
        <v/>
      </c>
      <c r="AQ834" t="str">
        <f t="shared" si="415"/>
        <v/>
      </c>
      <c r="AR834" t="str">
        <f t="shared" si="416"/>
        <v>Away</v>
      </c>
      <c r="AS834" t="str">
        <f t="shared" si="417"/>
        <v>a</v>
      </c>
      <c r="AT834" t="str">
        <f t="shared" si="418"/>
        <v>Offensive</v>
      </c>
      <c r="BA834" s="6">
        <f t="shared" si="408"/>
        <v>228</v>
      </c>
      <c r="BB834">
        <f t="shared" si="409"/>
        <v>18981</v>
      </c>
      <c r="BC834" t="str">
        <f t="shared" si="410"/>
        <v>Nelson</v>
      </c>
      <c r="BD834" t="str">
        <f t="shared" si="411"/>
        <v>Velodrome</v>
      </c>
      <c r="BE834" t="s">
        <v>9</v>
      </c>
      <c r="BF834" t="s">
        <v>183</v>
      </c>
      <c r="BG834" t="s">
        <v>80</v>
      </c>
      <c r="BI834" cm="1">
        <f t="array" ref="BI834">IFERROR(_xlfn._xlws.FILTER(shifts!A:A,(shifts!B:B=events!AD834)*(shifts!AG:AG&gt;=events!BK834)*(shifts!AH:AH&lt;=events!BL834)),BI833)</f>
        <v>41</v>
      </c>
      <c r="BJ834" s="15">
        <f t="shared" si="412"/>
        <v>0</v>
      </c>
      <c r="BK834">
        <f t="shared" si="419"/>
        <v>1074</v>
      </c>
      <c r="BL834">
        <f t="shared" si="420"/>
        <v>1074</v>
      </c>
      <c r="BM834" s="15">
        <f>SUMIFS(BJ$2:BJ834,K$2:K834,"=Intermission")+SUMIFS(BJ$2:BJ834,K$2:K834,"=Timeout")</f>
        <v>72</v>
      </c>
      <c r="BN834">
        <f t="shared" si="421"/>
        <v>1152</v>
      </c>
      <c r="BO834" s="19">
        <f t="shared" si="422"/>
        <v>1158</v>
      </c>
      <c r="BP834">
        <f t="shared" si="423"/>
        <v>1153</v>
      </c>
      <c r="BQ834" s="17">
        <f t="shared" si="424"/>
        <v>1158</v>
      </c>
      <c r="BR834" t="str">
        <f t="shared" si="425"/>
        <v>opp_team_player_1</v>
      </c>
      <c r="BS834">
        <f>COUNTIFS(S$3:S834,"="&amp;S834,AI$3:AI834,"="&amp;AI834)</f>
        <v>1</v>
      </c>
      <c r="BT834" t="str">
        <f>IFERROR(VLOOKUP(BB834&amp;BU834&amp;X834,game_rosters!U:W,3,FALSE),"")</f>
        <v>P100164</v>
      </c>
      <c r="BU834" t="str">
        <f t="shared" si="426"/>
        <v>Nelson</v>
      </c>
    </row>
    <row r="835" spans="1:73" x14ac:dyDescent="0.2">
      <c r="A835">
        <f t="shared" si="413"/>
        <v>1</v>
      </c>
      <c r="E835" s="4"/>
      <c r="F835" s="43"/>
      <c r="G835" s="4"/>
      <c r="H835" s="46"/>
      <c r="J835" s="44" t="str">
        <f t="shared" si="427"/>
        <v/>
      </c>
      <c r="K835" t="s">
        <v>238</v>
      </c>
      <c r="L835" t="s">
        <v>193</v>
      </c>
      <c r="M835" t="s">
        <v>91</v>
      </c>
      <c r="N835" t="str">
        <f t="shared" si="430"/>
        <v>s</v>
      </c>
      <c r="Q835" t="str">
        <f t="shared" si="428"/>
        <v/>
      </c>
      <c r="S835">
        <v>450</v>
      </c>
      <c r="U835" t="str">
        <f>IF(B835=1,MAX($U$2:$U834)+1,IF(AND($T835&lt;&gt;"",$T835=$T834),$U834,IF(B835="x",U834,"")))</f>
        <v/>
      </c>
      <c r="V835" t="str">
        <f>IF(C835=1,MAX($V$2:$V834)+1,IF(AND($T835&lt;&gt;"",$T835=$T834),$U834,IF(C835="x",V834,"")))</f>
        <v/>
      </c>
      <c r="W835" t="str">
        <f t="shared" si="402"/>
        <v>h</v>
      </c>
      <c r="X835">
        <v>80</v>
      </c>
      <c r="Y835" t="b">
        <f>IF(X835&lt;&gt;"",VLOOKUP(X835,game_rosters!$C$43:$E$64,3,FALSE))</f>
        <v>0</v>
      </c>
      <c r="Z835" cm="1">
        <f t="array" ref="Z835">IFERROR(IF(_xlfn._xlws.FILTER(game_rosters!$J:$J,(game_rosters!$G:$G=events!$AN835)*(game_rosters!$J:$J=events!$X835))&gt;0,1,""),"")</f>
        <v>1</v>
      </c>
      <c r="AA835">
        <f t="shared" si="403"/>
        <v>1450</v>
      </c>
      <c r="AB835" t="str">
        <f t="shared" si="404"/>
        <v/>
      </c>
      <c r="AC835">
        <f t="shared" si="433"/>
        <v>1450</v>
      </c>
      <c r="AD835" s="6">
        <v>2</v>
      </c>
      <c r="AE835" t="s">
        <v>732</v>
      </c>
      <c r="AF835" t="s">
        <v>921</v>
      </c>
      <c r="AG835" t="s">
        <v>756</v>
      </c>
      <c r="AH835" t="s">
        <v>756</v>
      </c>
      <c r="AI835" t="s">
        <v>367</v>
      </c>
      <c r="AJ835" t="str">
        <f t="shared" si="432"/>
        <v/>
      </c>
      <c r="AK835" t="str">
        <f t="shared" si="432"/>
        <v/>
      </c>
      <c r="AL835" t="str">
        <f t="shared" si="406"/>
        <v/>
      </c>
      <c r="AN835" t="s">
        <v>861</v>
      </c>
      <c r="AO835" t="str">
        <f t="shared" si="407"/>
        <v>h</v>
      </c>
      <c r="AP835" t="str">
        <f t="shared" si="414"/>
        <v/>
      </c>
      <c r="AQ835" t="str">
        <f t="shared" si="415"/>
        <v/>
      </c>
      <c r="AR835" t="str">
        <f t="shared" si="416"/>
        <v>Home</v>
      </c>
      <c r="AS835" t="str">
        <f t="shared" si="417"/>
        <v>h</v>
      </c>
      <c r="AT835" t="str">
        <f t="shared" si="418"/>
        <v>Offensive</v>
      </c>
      <c r="BA835" s="6">
        <f t="shared" si="408"/>
        <v>228</v>
      </c>
      <c r="BB835">
        <f t="shared" si="409"/>
        <v>18981</v>
      </c>
      <c r="BC835" t="str">
        <f t="shared" si="410"/>
        <v>Nelson</v>
      </c>
      <c r="BD835" t="str">
        <f t="shared" si="411"/>
        <v>Velodrome</v>
      </c>
      <c r="BE835" t="s">
        <v>238</v>
      </c>
      <c r="BF835" t="s">
        <v>193</v>
      </c>
      <c r="BG835" t="s">
        <v>91</v>
      </c>
      <c r="BI835" cm="1">
        <f t="array" ref="BI835">IFERROR(_xlfn._xlws.FILTER(shifts!A:A,(shifts!B:B=events!AD835)*(shifts!AG:AG&gt;=events!BK835)*(shifts!AH:AH&lt;=events!BL835)),BI834)</f>
        <v>41</v>
      </c>
      <c r="BJ835" s="15">
        <f t="shared" si="412"/>
        <v>0</v>
      </c>
      <c r="BK835">
        <f t="shared" si="419"/>
        <v>1073</v>
      </c>
      <c r="BL835">
        <f t="shared" si="420"/>
        <v>1073</v>
      </c>
      <c r="BM835" s="15">
        <f>SUMIFS(BJ$2:BJ835,K$2:K835,"=Intermission")+SUMIFS(BJ$2:BJ835,K$2:K835,"=Timeout")</f>
        <v>72</v>
      </c>
      <c r="BN835">
        <f t="shared" si="421"/>
        <v>1152</v>
      </c>
      <c r="BO835" s="19">
        <f t="shared" si="422"/>
        <v>1159</v>
      </c>
      <c r="BP835">
        <f t="shared" si="423"/>
        <v>1154</v>
      </c>
      <c r="BQ835" s="17">
        <f t="shared" si="424"/>
        <v>1159</v>
      </c>
      <c r="BR835" t="str">
        <f t="shared" si="425"/>
        <v>event_team_player_1</v>
      </c>
      <c r="BS835">
        <f>COUNTIFS(S$3:S835,"="&amp;S835,AI$3:AI835,"="&amp;AI835)</f>
        <v>1</v>
      </c>
      <c r="BT835" t="str">
        <f>IFERROR(VLOOKUP(BB835&amp;BU835&amp;X835,game_rosters!U:W,3,FALSE),"")</f>
        <v>P100197</v>
      </c>
      <c r="BU835" t="str">
        <f t="shared" si="426"/>
        <v>Nelson</v>
      </c>
    </row>
    <row r="836" spans="1:73" x14ac:dyDescent="0.2">
      <c r="A836">
        <f t="shared" si="413"/>
        <v>1</v>
      </c>
      <c r="E836" s="4"/>
      <c r="F836" s="43"/>
      <c r="G836" s="4"/>
      <c r="H836" s="46"/>
      <c r="J836" s="44" t="str">
        <f t="shared" si="427"/>
        <v/>
      </c>
      <c r="K836" t="s">
        <v>7</v>
      </c>
      <c r="L836" t="s">
        <v>172</v>
      </c>
      <c r="M836" t="s">
        <v>67</v>
      </c>
      <c r="N836" t="str">
        <f t="shared" si="430"/>
        <v>s</v>
      </c>
      <c r="Q836" t="str">
        <f t="shared" si="428"/>
        <v/>
      </c>
      <c r="S836">
        <v>451</v>
      </c>
      <c r="U836" t="str">
        <f>IF(B836=1,MAX($U$2:$U835)+1,IF(AND($T836&lt;&gt;"",$T836=$T835),$U835,IF(B836="x",U835,"")))</f>
        <v/>
      </c>
      <c r="V836" t="str">
        <f>IF(C836=1,MAX($V$2:$V835)+1,IF(AND($T836&lt;&gt;"",$T836=$T835),$U835,IF(C836="x",V835,"")))</f>
        <v/>
      </c>
      <c r="W836" t="str">
        <f t="shared" ref="W836:W899" si="434">IF(AN836="Away","a",IF(AN836="Home","h",""))</f>
        <v>h</v>
      </c>
      <c r="X836">
        <v>80</v>
      </c>
      <c r="Y836" t="b">
        <f>IF(X836&lt;&gt;"",VLOOKUP(X836,game_rosters!$C$43:$E$64,3,FALSE))</f>
        <v>0</v>
      </c>
      <c r="Z836" cm="1">
        <f t="array" ref="Z836">IFERROR(IF(_xlfn._xlws.FILTER(game_rosters!$J:$J,(game_rosters!$G:$G=events!$AN836)*(game_rosters!$J:$J=events!$X836))&gt;0,1,""),"")</f>
        <v>1</v>
      </c>
      <c r="AA836">
        <f t="shared" ref="AA836:AA860" si="435">S836+1000</f>
        <v>1451</v>
      </c>
      <c r="AB836" t="str">
        <f t="shared" ref="AB836:AB860" si="436">IF(T836&lt;&gt;"",9000+T836,"")</f>
        <v/>
      </c>
      <c r="AC836">
        <f t="shared" si="433"/>
        <v>1451</v>
      </c>
      <c r="AD836" s="6">
        <v>2</v>
      </c>
      <c r="AE836" t="s">
        <v>732</v>
      </c>
      <c r="AF836" t="s">
        <v>921</v>
      </c>
      <c r="AG836" t="s">
        <v>756</v>
      </c>
      <c r="AH836" t="s">
        <v>756</v>
      </c>
      <c r="AI836" t="s">
        <v>367</v>
      </c>
      <c r="AJ836" t="str">
        <f t="shared" ref="AJ836:AK851" si="437">IF($J836&lt;&gt;"",$J836,IF($AC836=$AC835,AJ835,""))</f>
        <v/>
      </c>
      <c r="AK836" t="str">
        <f t="shared" si="437"/>
        <v/>
      </c>
      <c r="AL836" t="str">
        <f t="shared" ref="AL836:AL899" si="438">IF($W836="","",IF($AJ836="","",IF($W836="h",$AJ836,IF($AJ836="n","n",IF(AND($W836="a",$AJ836="d"),"o",IF(AND($W836="a",$AJ836="o"),"d"))))))</f>
        <v/>
      </c>
      <c r="AN836" t="s">
        <v>861</v>
      </c>
      <c r="AO836" t="str">
        <f t="shared" ref="AO836:AO899" si="439">IF($W836&lt;&gt;"",$W836,IF($AC836=$AC835,AO835,""))</f>
        <v>h</v>
      </c>
      <c r="AP836" t="str">
        <f t="shared" si="414"/>
        <v/>
      </c>
      <c r="AQ836" t="str">
        <f t="shared" si="415"/>
        <v/>
      </c>
      <c r="AR836" t="str">
        <f t="shared" si="416"/>
        <v>Home</v>
      </c>
      <c r="AS836" t="str">
        <f t="shared" si="417"/>
        <v>h</v>
      </c>
      <c r="AT836" t="str">
        <f t="shared" si="418"/>
        <v>Offensive</v>
      </c>
      <c r="BA836" s="6">
        <f t="shared" ref="BA836:BA899" si="440">IF(OR(L836="Zone_Entry",L836="Zone_Exit"),BA835+1,BA835)</f>
        <v>228</v>
      </c>
      <c r="BB836">
        <f t="shared" ref="BB836:BB899" si="441">BB835</f>
        <v>18981</v>
      </c>
      <c r="BC836" t="str">
        <f t="shared" ref="BC836:BC899" si="442">BC835</f>
        <v>Nelson</v>
      </c>
      <c r="BD836" t="str">
        <f t="shared" ref="BD836:BD899" si="443">BD835</f>
        <v>Velodrome</v>
      </c>
      <c r="BE836" t="s">
        <v>7</v>
      </c>
      <c r="BF836" t="s">
        <v>172</v>
      </c>
      <c r="BG836" t="s">
        <v>67</v>
      </c>
      <c r="BI836" cm="1">
        <f t="array" ref="BI836">IFERROR(_xlfn._xlws.FILTER(shifts!A:A,(shifts!B:B=events!AD836)*(shifts!AG:AG&gt;=events!BK836)*(shifts!AH:AH&lt;=events!BL836)),BI835)</f>
        <v>41</v>
      </c>
      <c r="BJ836" s="15">
        <f t="shared" ref="BJ836:BJ899" si="444">IF(AND(AG836="",AH836=""),0,((AE836*60)+AF836)-((AG836*60)+AH836))</f>
        <v>0</v>
      </c>
      <c r="BK836">
        <f t="shared" si="419"/>
        <v>1073</v>
      </c>
      <c r="BL836">
        <f t="shared" si="420"/>
        <v>1073</v>
      </c>
      <c r="BM836" s="15">
        <f>SUMIFS(BJ$2:BJ836,K$2:K836,"=Intermission")+SUMIFS(BJ$2:BJ836,K$2:K836,"=Timeout")</f>
        <v>72</v>
      </c>
      <c r="BN836">
        <f t="shared" si="421"/>
        <v>1152</v>
      </c>
      <c r="BO836" s="19">
        <f t="shared" si="422"/>
        <v>1159</v>
      </c>
      <c r="BP836">
        <f t="shared" si="423"/>
        <v>1154</v>
      </c>
      <c r="BQ836" s="17">
        <f t="shared" si="424"/>
        <v>1159</v>
      </c>
      <c r="BR836" t="str">
        <f t="shared" si="425"/>
        <v>event_team_player_1</v>
      </c>
      <c r="BS836">
        <f>COUNTIFS(S$3:S836,"="&amp;S836,AI$3:AI836,"="&amp;AI836)</f>
        <v>1</v>
      </c>
      <c r="BT836" t="str">
        <f>IFERROR(VLOOKUP(BB836&amp;BU836&amp;X836,game_rosters!U:W,3,FALSE),"")</f>
        <v>P100197</v>
      </c>
      <c r="BU836" t="str">
        <f t="shared" si="426"/>
        <v>Nelson</v>
      </c>
    </row>
    <row r="837" spans="1:73" x14ac:dyDescent="0.2">
      <c r="A837">
        <f t="shared" ref="A837:A900" si="445">IF(K837&lt;&gt;"",1,IF(D837="x","x",""))</f>
        <v>1</v>
      </c>
      <c r="E837" s="4"/>
      <c r="F837" s="43"/>
      <c r="G837" s="4"/>
      <c r="H837" s="46"/>
      <c r="J837" s="44" t="str">
        <f t="shared" si="427"/>
        <v/>
      </c>
      <c r="K837" t="s">
        <v>7</v>
      </c>
      <c r="L837" t="s">
        <v>172</v>
      </c>
      <c r="M837" t="s">
        <v>67</v>
      </c>
      <c r="N837" t="str">
        <f t="shared" si="430"/>
        <v>s</v>
      </c>
      <c r="Q837" t="str">
        <f t="shared" si="428"/>
        <v/>
      </c>
      <c r="S837">
        <v>451</v>
      </c>
      <c r="U837" t="str">
        <f>IF(B837=1,MAX($U$2:$U836)+1,IF(AND($T837&lt;&gt;"",$T837=$T836),$U836,IF(B837="x",U836,"")))</f>
        <v/>
      </c>
      <c r="V837" t="str">
        <f>IF(C837=1,MAX($V$2:$V836)+1,IF(AND($T837&lt;&gt;"",$T837=$T836),$U836,IF(C837="x",V836,"")))</f>
        <v/>
      </c>
      <c r="W837" t="str">
        <f t="shared" si="434"/>
        <v>h</v>
      </c>
      <c r="X837">
        <v>16</v>
      </c>
      <c r="Y837" t="b">
        <f>IF(X837&lt;&gt;"",VLOOKUP(X837,game_rosters!$C$43:$E$64,3,FALSE))</f>
        <v>0</v>
      </c>
      <c r="Z837" cm="1">
        <f t="array" ref="Z837">IFERROR(IF(_xlfn._xlws.FILTER(game_rosters!$J:$J,(game_rosters!$G:$G=events!$AN837)*(game_rosters!$J:$J=events!$X837))&gt;0,1,""),"")</f>
        <v>1</v>
      </c>
      <c r="AA837">
        <f t="shared" si="435"/>
        <v>1451</v>
      </c>
      <c r="AB837" t="str">
        <f t="shared" si="436"/>
        <v/>
      </c>
      <c r="AC837">
        <f t="shared" si="433"/>
        <v>1451</v>
      </c>
      <c r="AD837" s="6">
        <v>2</v>
      </c>
      <c r="AE837" t="s">
        <v>732</v>
      </c>
      <c r="AF837" t="s">
        <v>921</v>
      </c>
      <c r="AG837" t="s">
        <v>756</v>
      </c>
      <c r="AH837" t="s">
        <v>756</v>
      </c>
      <c r="AI837" t="s">
        <v>367</v>
      </c>
      <c r="AJ837" t="str">
        <f t="shared" si="437"/>
        <v/>
      </c>
      <c r="AK837" t="str">
        <f t="shared" si="437"/>
        <v/>
      </c>
      <c r="AL837" t="str">
        <f t="shared" si="438"/>
        <v/>
      </c>
      <c r="AN837" t="s">
        <v>861</v>
      </c>
      <c r="AO837" t="str">
        <f t="shared" si="439"/>
        <v>h</v>
      </c>
      <c r="AP837" t="str">
        <f t="shared" ref="AP837:AP900" si="446">IF(AL837&lt;&gt;"",AL837,IF($AC837=$AC836,AP836,""))</f>
        <v/>
      </c>
      <c r="AQ837" t="str">
        <f t="shared" ref="AQ837:AQ900" si="447">IF(AM837&lt;&gt;"",AM837,IF($AC837=$AC836,AQ836,""))</f>
        <v/>
      </c>
      <c r="AR837" t="str">
        <f t="shared" ref="AR837:AR900" si="448">IF(AN837&lt;&gt;"",AN837,IF($AC837=$AC836,AR836,""))</f>
        <v>Home</v>
      </c>
      <c r="AS837" t="str">
        <f t="shared" ref="AS837:AS900" si="449">IF(AO837&lt;&gt;"",AO837,IF($AC837=$AC836,AS836,""))</f>
        <v>h</v>
      </c>
      <c r="AT837" t="str">
        <f t="shared" ref="AT837:AT900" si="450">IF(AND(AI837="e",OR(BE837="Save",BF837="Turnover_Takeaway",BF837="Play_Defensive")),"Defensive",IF(AND(AI837="o",OR(BE837="Save",BF837="Turnover_Takeaway",BF837="Play_Defensive")),"Offensive",IF(OR(BE837="Deadice",BE837="Stoppage",BE837="Intermission"),"",IF(AI837="e","Offensive",IF(AI837="o","Defensive","")))))</f>
        <v>Offensive</v>
      </c>
      <c r="BA837" s="6">
        <f t="shared" si="440"/>
        <v>228</v>
      </c>
      <c r="BB837">
        <f t="shared" si="441"/>
        <v>18981</v>
      </c>
      <c r="BC837" t="str">
        <f t="shared" si="442"/>
        <v>Nelson</v>
      </c>
      <c r="BD837" t="str">
        <f t="shared" si="443"/>
        <v>Velodrome</v>
      </c>
      <c r="BE837" t="s">
        <v>7</v>
      </c>
      <c r="BF837" t="s">
        <v>172</v>
      </c>
      <c r="BG837" t="s">
        <v>67</v>
      </c>
      <c r="BI837" cm="1">
        <f t="array" ref="BI837">IFERROR(_xlfn._xlws.FILTER(shifts!A:A,(shifts!B:B=events!AD837)*(shifts!AG:AG&gt;=events!BK837)*(shifts!AH:AH&lt;=events!BL837)),BI836)</f>
        <v>41</v>
      </c>
      <c r="BJ837" s="15">
        <f t="shared" si="444"/>
        <v>0</v>
      </c>
      <c r="BK837">
        <f t="shared" ref="BK837:BK900" si="451">(AE837*60)+AF837</f>
        <v>1073</v>
      </c>
      <c r="BL837">
        <f t="shared" ref="BL837:BL900" si="452">IF(AND(AG837="",AH837=""),BK837,((AG837*60)+AH837))</f>
        <v>1073</v>
      </c>
      <c r="BM837" s="15">
        <f>SUMIFS(BJ$2:BJ837,K$2:K837,"=Intermission")+SUMIFS(BJ$2:BJ837,K$2:K837,"=Timeout")</f>
        <v>72</v>
      </c>
      <c r="BN837">
        <f t="shared" ref="BN837:BN900" si="453">IF(AD837=1,0,IF(AD837=2,1080+BM837,IF(AD837=3,(1080*2)+BM837,0)))</f>
        <v>1152</v>
      </c>
      <c r="BO837" s="19">
        <f t="shared" ref="BO837:BO900" si="454">IF(K837="Intermission",BO836,((1080)-((AE837*60)+AF837))+BN837)</f>
        <v>1159</v>
      </c>
      <c r="BP837">
        <f t="shared" ref="BP837:BP900" si="455">IF(BO837&lt;5,0,BO837-5)</f>
        <v>1154</v>
      </c>
      <c r="BQ837" s="17">
        <f t="shared" ref="BQ837:BQ900" si="456">BP837+BJ837+5</f>
        <v>1159</v>
      </c>
      <c r="BR837" t="str">
        <f t="shared" ref="BR837:BR900" si="457">IF(AI837="e","event_team_player_"&amp;BS837,IF(AI837="o","opp_team_player_"&amp;BS837,""))</f>
        <v>event_team_player_2</v>
      </c>
      <c r="BS837">
        <f>COUNTIFS(S$3:S837,"="&amp;S837,AI$3:AI837,"="&amp;AI837)</f>
        <v>2</v>
      </c>
      <c r="BT837" t="str">
        <f>IFERROR(VLOOKUP(BB837&amp;BU837&amp;X837,game_rosters!U:W,3,FALSE),"")</f>
        <v>P100164</v>
      </c>
      <c r="BU837" t="str">
        <f t="shared" ref="BU837:BU900" si="458">IF(AR837="","",IF(AND(AR837="Away",AI837="e"),BD837,IF(AND(AR837="Home",AI837="e"),BC837,IF(AND(AR837="Away",AI837="o"),BC837,IF(AND(AR837="Home",AI837="o"),BD837)))))</f>
        <v>Nelson</v>
      </c>
    </row>
    <row r="838" spans="1:73" x14ac:dyDescent="0.2">
      <c r="A838">
        <f t="shared" si="445"/>
        <v>1</v>
      </c>
      <c r="E838" s="4"/>
      <c r="F838" s="43"/>
      <c r="G838" s="4"/>
      <c r="H838" s="46"/>
      <c r="J838" s="44" t="str">
        <f t="shared" ref="J838:J901" si="459">IF(OR(K838="Goal",K838="Shot",L838="Zone_Entry",M838="Stoppage-Goal",M837="Stoppage-Goal"),"o",IF(OR(K838="Save",K838="Rebound",L838="Zone_Exit",M838="Stoppage-GoalieStoppage",M837="Stoppage-GoalieStoppage"),"d",IF(OR(L838="Faceoff_AfterGoal",L838="Faceoff_PeriodStart",698="Faceoff_GameStart",M837="Stoppage-Goal"),"n","")))</f>
        <v/>
      </c>
      <c r="K838" t="s">
        <v>13</v>
      </c>
      <c r="L838" t="s">
        <v>756</v>
      </c>
      <c r="M838" t="s">
        <v>756</v>
      </c>
      <c r="N838" t="str">
        <f t="shared" si="430"/>
        <v/>
      </c>
      <c r="Q838" t="str">
        <f t="shared" si="428"/>
        <v/>
      </c>
      <c r="S838">
        <v>452</v>
      </c>
      <c r="U838" t="str">
        <f>IF(B838=1,MAX($U$2:$U837)+1,IF(AND($T838&lt;&gt;"",$T838=$T837),$U837,IF(B838="x",U837,"")))</f>
        <v/>
      </c>
      <c r="V838" t="str">
        <f>IF(C838=1,MAX($V$2:$V837)+1,IF(AND($T838&lt;&gt;"",$T838=$T837),$U837,IF(C838="x",V837,"")))</f>
        <v/>
      </c>
      <c r="W838" t="str">
        <f t="shared" si="434"/>
        <v>h</v>
      </c>
      <c r="X838">
        <v>16</v>
      </c>
      <c r="Y838" t="b">
        <f>IF(X838&lt;&gt;"",VLOOKUP(X838,game_rosters!$C$43:$E$64,3,FALSE))</f>
        <v>0</v>
      </c>
      <c r="Z838" cm="1">
        <f t="array" ref="Z838">IFERROR(IF(_xlfn._xlws.FILTER(game_rosters!$J:$J,(game_rosters!$G:$G=events!$AN838)*(game_rosters!$J:$J=events!$X838))&gt;0,1,""),"")</f>
        <v>1</v>
      </c>
      <c r="AA838">
        <f t="shared" si="435"/>
        <v>1452</v>
      </c>
      <c r="AB838" t="str">
        <f t="shared" si="436"/>
        <v/>
      </c>
      <c r="AC838">
        <f t="shared" si="433"/>
        <v>1452</v>
      </c>
      <c r="AD838" s="6">
        <v>2</v>
      </c>
      <c r="AE838" t="s">
        <v>732</v>
      </c>
      <c r="AF838" t="s">
        <v>921</v>
      </c>
      <c r="AG838" t="s">
        <v>732</v>
      </c>
      <c r="AH838" t="s">
        <v>922</v>
      </c>
      <c r="AI838" t="s">
        <v>367</v>
      </c>
      <c r="AJ838" t="str">
        <f t="shared" si="437"/>
        <v/>
      </c>
      <c r="AK838" t="str">
        <f t="shared" si="437"/>
        <v/>
      </c>
      <c r="AL838" t="str">
        <f t="shared" si="438"/>
        <v/>
      </c>
      <c r="AN838" t="s">
        <v>861</v>
      </c>
      <c r="AO838" t="str">
        <f t="shared" si="439"/>
        <v>h</v>
      </c>
      <c r="AP838" t="str">
        <f t="shared" si="446"/>
        <v/>
      </c>
      <c r="AQ838" t="str">
        <f t="shared" si="447"/>
        <v/>
      </c>
      <c r="AR838" t="str">
        <f t="shared" si="448"/>
        <v>Home</v>
      </c>
      <c r="AS838" t="str">
        <f t="shared" si="449"/>
        <v>h</v>
      </c>
      <c r="AT838" t="str">
        <f t="shared" si="450"/>
        <v>Offensive</v>
      </c>
      <c r="BA838" s="6">
        <f t="shared" si="440"/>
        <v>228</v>
      </c>
      <c r="BB838">
        <f t="shared" si="441"/>
        <v>18981</v>
      </c>
      <c r="BC838" t="str">
        <f t="shared" si="442"/>
        <v>Nelson</v>
      </c>
      <c r="BD838" t="str">
        <f t="shared" si="443"/>
        <v>Velodrome</v>
      </c>
      <c r="BE838" t="s">
        <v>13</v>
      </c>
      <c r="BF838" t="s">
        <v>756</v>
      </c>
      <c r="BG838" t="s">
        <v>756</v>
      </c>
      <c r="BI838" cm="1">
        <f t="array" ref="BI838">IFERROR(_xlfn._xlws.FILTER(shifts!A:A,(shifts!B:B=events!AD838)*(shifts!AG:AG&gt;=events!BK838)*(shifts!AH:AH&lt;=events!BL838)),BI837)</f>
        <v>41</v>
      </c>
      <c r="BJ838" s="15">
        <f t="shared" si="444"/>
        <v>3</v>
      </c>
      <c r="BK838">
        <f t="shared" si="451"/>
        <v>1073</v>
      </c>
      <c r="BL838">
        <f t="shared" si="452"/>
        <v>1070</v>
      </c>
      <c r="BM838" s="15">
        <f>SUMIFS(BJ$2:BJ838,K$2:K838,"=Intermission")+SUMIFS(BJ$2:BJ838,K$2:K838,"=Timeout")</f>
        <v>72</v>
      </c>
      <c r="BN838">
        <f t="shared" si="453"/>
        <v>1152</v>
      </c>
      <c r="BO838" s="19">
        <f t="shared" si="454"/>
        <v>1159</v>
      </c>
      <c r="BP838">
        <f t="shared" si="455"/>
        <v>1154</v>
      </c>
      <c r="BQ838" s="17">
        <f t="shared" si="456"/>
        <v>1162</v>
      </c>
      <c r="BR838" t="str">
        <f t="shared" si="457"/>
        <v>event_team_player_1</v>
      </c>
      <c r="BS838">
        <f>COUNTIFS(S$3:S838,"="&amp;S838,AI$3:AI838,"="&amp;AI838)</f>
        <v>1</v>
      </c>
      <c r="BT838" t="str">
        <f>IFERROR(VLOOKUP(BB838&amp;BU838&amp;X838,game_rosters!U:W,3,FALSE),"")</f>
        <v>P100164</v>
      </c>
      <c r="BU838" t="str">
        <f t="shared" si="458"/>
        <v>Nelson</v>
      </c>
    </row>
    <row r="839" spans="1:73" x14ac:dyDescent="0.2">
      <c r="A839">
        <f t="shared" si="445"/>
        <v>1</v>
      </c>
      <c r="E839" s="4"/>
      <c r="F839" s="43"/>
      <c r="G839" s="4"/>
      <c r="H839" s="46"/>
      <c r="J839" s="44" t="str">
        <f t="shared" si="459"/>
        <v/>
      </c>
      <c r="K839" t="s">
        <v>9</v>
      </c>
      <c r="L839" t="s">
        <v>183</v>
      </c>
      <c r="M839" t="s">
        <v>80</v>
      </c>
      <c r="N839" t="str">
        <f t="shared" si="430"/>
        <v/>
      </c>
      <c r="Q839" t="str">
        <f t="shared" si="428"/>
        <v/>
      </c>
      <c r="S839">
        <v>453</v>
      </c>
      <c r="U839" t="str">
        <f>IF(B839=1,MAX($U$2:$U838)+1,IF(AND($T839&lt;&gt;"",$T839=$T838),$U838,IF(B839="x",U838,"")))</f>
        <v/>
      </c>
      <c r="V839" t="str">
        <f>IF(C839=1,MAX($V$2:$V838)+1,IF(AND($T839&lt;&gt;"",$T839=$T838),$U838,IF(C839="x",V838,"")))</f>
        <v/>
      </c>
      <c r="W839" t="str">
        <f t="shared" si="434"/>
        <v>a</v>
      </c>
      <c r="X839">
        <v>61</v>
      </c>
      <c r="Y839" t="e">
        <f>IF(X839&lt;&gt;"",VLOOKUP(X839,game_rosters!$C$43:$E$64,3,FALSE))</f>
        <v>#N/A</v>
      </c>
      <c r="Z839" cm="1">
        <f t="array" ref="Z839">IFERROR(IF(_xlfn._xlws.FILTER(game_rosters!$J:$J,(game_rosters!$G:$G=events!$AN839)*(game_rosters!$J:$J=events!$X839))&gt;0,1,""),"")</f>
        <v>1</v>
      </c>
      <c r="AA839">
        <f t="shared" si="435"/>
        <v>1453</v>
      </c>
      <c r="AB839" t="str">
        <f t="shared" si="436"/>
        <v/>
      </c>
      <c r="AC839">
        <f t="shared" si="433"/>
        <v>1453</v>
      </c>
      <c r="AD839" s="6">
        <v>2</v>
      </c>
      <c r="AE839" t="s">
        <v>732</v>
      </c>
      <c r="AF839" t="s">
        <v>922</v>
      </c>
      <c r="AG839" t="s">
        <v>756</v>
      </c>
      <c r="AH839" t="s">
        <v>756</v>
      </c>
      <c r="AI839" t="s">
        <v>367</v>
      </c>
      <c r="AJ839" t="str">
        <f t="shared" si="437"/>
        <v/>
      </c>
      <c r="AK839" t="str">
        <f t="shared" si="437"/>
        <v/>
      </c>
      <c r="AL839" t="str">
        <f t="shared" si="438"/>
        <v/>
      </c>
      <c r="AN839" t="s">
        <v>862</v>
      </c>
      <c r="AO839" t="str">
        <f t="shared" si="439"/>
        <v>a</v>
      </c>
      <c r="AP839" t="str">
        <f t="shared" si="446"/>
        <v/>
      </c>
      <c r="AQ839" t="str">
        <f t="shared" si="447"/>
        <v/>
      </c>
      <c r="AR839" t="str">
        <f t="shared" si="448"/>
        <v>Away</v>
      </c>
      <c r="AS839" t="str">
        <f t="shared" si="449"/>
        <v>a</v>
      </c>
      <c r="AT839" t="str">
        <f t="shared" si="450"/>
        <v>Defensive</v>
      </c>
      <c r="BA839" s="6">
        <f t="shared" si="440"/>
        <v>228</v>
      </c>
      <c r="BB839">
        <f t="shared" si="441"/>
        <v>18981</v>
      </c>
      <c r="BC839" t="str">
        <f t="shared" si="442"/>
        <v>Nelson</v>
      </c>
      <c r="BD839" t="str">
        <f t="shared" si="443"/>
        <v>Velodrome</v>
      </c>
      <c r="BE839" t="s">
        <v>9</v>
      </c>
      <c r="BF839" t="s">
        <v>183</v>
      </c>
      <c r="BG839" t="s">
        <v>80</v>
      </c>
      <c r="BI839" cm="1">
        <f t="array" ref="BI839">IFERROR(_xlfn._xlws.FILTER(shifts!A:A,(shifts!B:B=events!AD839)*(shifts!AG:AG&gt;=events!BK839)*(shifts!AH:AH&lt;=events!BL839)),BI838)</f>
        <v>41</v>
      </c>
      <c r="BJ839" s="15">
        <f t="shared" si="444"/>
        <v>0</v>
      </c>
      <c r="BK839">
        <f t="shared" si="451"/>
        <v>1070</v>
      </c>
      <c r="BL839">
        <f t="shared" si="452"/>
        <v>1070</v>
      </c>
      <c r="BM839" s="15">
        <f>SUMIFS(BJ$2:BJ839,K$2:K839,"=Intermission")+SUMIFS(BJ$2:BJ839,K$2:K839,"=Timeout")</f>
        <v>72</v>
      </c>
      <c r="BN839">
        <f t="shared" si="453"/>
        <v>1152</v>
      </c>
      <c r="BO839" s="19">
        <f t="shared" si="454"/>
        <v>1162</v>
      </c>
      <c r="BP839">
        <f t="shared" si="455"/>
        <v>1157</v>
      </c>
      <c r="BQ839" s="17">
        <f t="shared" si="456"/>
        <v>1162</v>
      </c>
      <c r="BR839" t="str">
        <f t="shared" si="457"/>
        <v>event_team_player_1</v>
      </c>
      <c r="BS839">
        <f>COUNTIFS(S$3:S839,"="&amp;S839,AI$3:AI839,"="&amp;AI839)</f>
        <v>1</v>
      </c>
      <c r="BT839" t="str">
        <f>IFERROR(VLOOKUP(BB839&amp;BU839&amp;X839,game_rosters!U:W,3,FALSE),"")</f>
        <v>P100224</v>
      </c>
      <c r="BU839" t="str">
        <f t="shared" si="458"/>
        <v>Velodrome</v>
      </c>
    </row>
    <row r="840" spans="1:73" x14ac:dyDescent="0.2">
      <c r="A840">
        <f t="shared" si="445"/>
        <v>1</v>
      </c>
      <c r="E840" s="4"/>
      <c r="F840" s="43"/>
      <c r="G840" s="4"/>
      <c r="H840" s="46"/>
      <c r="J840" s="44" t="str">
        <f t="shared" si="459"/>
        <v/>
      </c>
      <c r="K840" t="s">
        <v>9</v>
      </c>
      <c r="L840" t="s">
        <v>183</v>
      </c>
      <c r="M840" t="s">
        <v>80</v>
      </c>
      <c r="N840" t="str">
        <f t="shared" si="430"/>
        <v/>
      </c>
      <c r="Q840" t="str">
        <f t="shared" si="428"/>
        <v/>
      </c>
      <c r="S840">
        <v>453</v>
      </c>
      <c r="U840" t="str">
        <f>IF(B840=1,MAX($U$2:$U839)+1,IF(AND($T840&lt;&gt;"",$T840=$T839),$U839,IF(B840="x",U839,"")))</f>
        <v/>
      </c>
      <c r="V840" t="str">
        <f>IF(C840=1,MAX($V$2:$V839)+1,IF(AND($T840&lt;&gt;"",$T840=$T839),$U839,IF(C840="x",V839,"")))</f>
        <v/>
      </c>
      <c r="W840" t="str">
        <f t="shared" si="434"/>
        <v>a</v>
      </c>
      <c r="X840">
        <v>16</v>
      </c>
      <c r="Y840" t="b">
        <f>IF(X840&lt;&gt;"",VLOOKUP(X840,game_rosters!$C$43:$E$64,3,FALSE))</f>
        <v>0</v>
      </c>
      <c r="Z840" t="str" cm="1">
        <f t="array" ref="Z840">IFERROR(IF(_xlfn._xlws.FILTER(game_rosters!$J:$J,(game_rosters!$G:$G=events!$AN840)*(game_rosters!$J:$J=events!$X840))&gt;0,1,""),"")</f>
        <v/>
      </c>
      <c r="AA840">
        <f t="shared" si="435"/>
        <v>1453</v>
      </c>
      <c r="AB840" t="str">
        <f t="shared" si="436"/>
        <v/>
      </c>
      <c r="AC840">
        <f t="shared" si="433"/>
        <v>1453</v>
      </c>
      <c r="AD840" s="6">
        <v>2</v>
      </c>
      <c r="AE840" t="s">
        <v>732</v>
      </c>
      <c r="AF840" t="s">
        <v>922</v>
      </c>
      <c r="AG840" t="s">
        <v>756</v>
      </c>
      <c r="AH840" t="s">
        <v>756</v>
      </c>
      <c r="AI840" t="s">
        <v>368</v>
      </c>
      <c r="AJ840" t="str">
        <f t="shared" si="437"/>
        <v/>
      </c>
      <c r="AK840" t="str">
        <f t="shared" si="437"/>
        <v/>
      </c>
      <c r="AL840" t="str">
        <f t="shared" si="438"/>
        <v/>
      </c>
      <c r="AN840" t="s">
        <v>862</v>
      </c>
      <c r="AO840" t="str">
        <f t="shared" si="439"/>
        <v>a</v>
      </c>
      <c r="AP840" t="str">
        <f t="shared" si="446"/>
        <v/>
      </c>
      <c r="AQ840" t="str">
        <f t="shared" si="447"/>
        <v/>
      </c>
      <c r="AR840" t="str">
        <f t="shared" si="448"/>
        <v>Away</v>
      </c>
      <c r="AS840" t="str">
        <f t="shared" si="449"/>
        <v>a</v>
      </c>
      <c r="AT840" t="str">
        <f t="shared" si="450"/>
        <v>Offensive</v>
      </c>
      <c r="BA840" s="6">
        <f t="shared" si="440"/>
        <v>228</v>
      </c>
      <c r="BB840">
        <f t="shared" si="441"/>
        <v>18981</v>
      </c>
      <c r="BC840" t="str">
        <f t="shared" si="442"/>
        <v>Nelson</v>
      </c>
      <c r="BD840" t="str">
        <f t="shared" si="443"/>
        <v>Velodrome</v>
      </c>
      <c r="BE840" t="s">
        <v>9</v>
      </c>
      <c r="BF840" t="s">
        <v>183</v>
      </c>
      <c r="BG840" t="s">
        <v>80</v>
      </c>
      <c r="BI840" cm="1">
        <f t="array" ref="BI840">IFERROR(_xlfn._xlws.FILTER(shifts!A:A,(shifts!B:B=events!AD840)*(shifts!AG:AG&gt;=events!BK840)*(shifts!AH:AH&lt;=events!BL840)),BI839)</f>
        <v>41</v>
      </c>
      <c r="BJ840" s="15">
        <f t="shared" si="444"/>
        <v>0</v>
      </c>
      <c r="BK840">
        <f t="shared" si="451"/>
        <v>1070</v>
      </c>
      <c r="BL840">
        <f t="shared" si="452"/>
        <v>1070</v>
      </c>
      <c r="BM840" s="15">
        <f>SUMIFS(BJ$2:BJ840,K$2:K840,"=Intermission")+SUMIFS(BJ$2:BJ840,K$2:K840,"=Timeout")</f>
        <v>72</v>
      </c>
      <c r="BN840">
        <f t="shared" si="453"/>
        <v>1152</v>
      </c>
      <c r="BO840" s="19">
        <f t="shared" si="454"/>
        <v>1162</v>
      </c>
      <c r="BP840">
        <f t="shared" si="455"/>
        <v>1157</v>
      </c>
      <c r="BQ840" s="17">
        <f t="shared" si="456"/>
        <v>1162</v>
      </c>
      <c r="BR840" t="str">
        <f t="shared" si="457"/>
        <v>opp_team_player_1</v>
      </c>
      <c r="BS840">
        <f>COUNTIFS(S$3:S840,"="&amp;S840,AI$3:AI840,"="&amp;AI840)</f>
        <v>1</v>
      </c>
      <c r="BT840" t="str">
        <f>IFERROR(VLOOKUP(BB840&amp;BU840&amp;X840,game_rosters!U:W,3,FALSE),"")</f>
        <v>P100164</v>
      </c>
      <c r="BU840" t="str">
        <f t="shared" si="458"/>
        <v>Nelson</v>
      </c>
    </row>
    <row r="841" spans="1:73" x14ac:dyDescent="0.2">
      <c r="A841">
        <f t="shared" si="445"/>
        <v>1</v>
      </c>
      <c r="E841" s="4"/>
      <c r="F841" s="43"/>
      <c r="G841" s="4"/>
      <c r="H841" s="46"/>
      <c r="J841" s="44" t="str">
        <f t="shared" si="459"/>
        <v/>
      </c>
      <c r="K841" t="s">
        <v>238</v>
      </c>
      <c r="L841" t="s">
        <v>193</v>
      </c>
      <c r="M841" t="s">
        <v>91</v>
      </c>
      <c r="N841" t="str">
        <f t="shared" si="430"/>
        <v>s</v>
      </c>
      <c r="Q841" t="str">
        <f t="shared" si="428"/>
        <v/>
      </c>
      <c r="S841">
        <v>454</v>
      </c>
      <c r="U841" t="str">
        <f>IF(B841=1,MAX($U$2:$U840)+1,IF(AND($T841&lt;&gt;"",$T841=$T840),$U840,IF(B841="x",U840,"")))</f>
        <v/>
      </c>
      <c r="V841" t="str">
        <f>IF(C841=1,MAX($V$2:$V840)+1,IF(AND($T841&lt;&gt;"",$T841=$T840),$U840,IF(C841="x",V840,"")))</f>
        <v/>
      </c>
      <c r="W841" t="str">
        <f t="shared" si="434"/>
        <v>h</v>
      </c>
      <c r="X841">
        <v>80</v>
      </c>
      <c r="Y841" t="b">
        <f>IF(X841&lt;&gt;"",VLOOKUP(X841,game_rosters!$C$43:$E$64,3,FALSE))</f>
        <v>0</v>
      </c>
      <c r="Z841" cm="1">
        <f t="array" ref="Z841">IFERROR(IF(_xlfn._xlws.FILTER(game_rosters!$J:$J,(game_rosters!$G:$G=events!$AN841)*(game_rosters!$J:$J=events!$X841))&gt;0,1,""),"")</f>
        <v>1</v>
      </c>
      <c r="AA841">
        <f t="shared" si="435"/>
        <v>1454</v>
      </c>
      <c r="AB841" t="str">
        <f t="shared" si="436"/>
        <v/>
      </c>
      <c r="AC841">
        <f t="shared" si="433"/>
        <v>1454</v>
      </c>
      <c r="AD841" s="6">
        <v>2</v>
      </c>
      <c r="AE841" t="s">
        <v>732</v>
      </c>
      <c r="AF841" t="s">
        <v>751</v>
      </c>
      <c r="AG841" t="s">
        <v>756</v>
      </c>
      <c r="AH841" t="s">
        <v>756</v>
      </c>
      <c r="AI841" t="s">
        <v>367</v>
      </c>
      <c r="AJ841" t="str">
        <f t="shared" si="437"/>
        <v/>
      </c>
      <c r="AK841" t="str">
        <f t="shared" si="437"/>
        <v/>
      </c>
      <c r="AL841" t="str">
        <f t="shared" si="438"/>
        <v/>
      </c>
      <c r="AN841" t="s">
        <v>861</v>
      </c>
      <c r="AO841" t="str">
        <f t="shared" si="439"/>
        <v>h</v>
      </c>
      <c r="AP841" t="str">
        <f t="shared" si="446"/>
        <v/>
      </c>
      <c r="AQ841" t="str">
        <f t="shared" si="447"/>
        <v/>
      </c>
      <c r="AR841" t="str">
        <f t="shared" si="448"/>
        <v>Home</v>
      </c>
      <c r="AS841" t="str">
        <f t="shared" si="449"/>
        <v>h</v>
      </c>
      <c r="AT841" t="str">
        <f t="shared" si="450"/>
        <v>Offensive</v>
      </c>
      <c r="BA841" s="6">
        <f t="shared" si="440"/>
        <v>228</v>
      </c>
      <c r="BB841">
        <f t="shared" si="441"/>
        <v>18981</v>
      </c>
      <c r="BC841" t="str">
        <f t="shared" si="442"/>
        <v>Nelson</v>
      </c>
      <c r="BD841" t="str">
        <f t="shared" si="443"/>
        <v>Velodrome</v>
      </c>
      <c r="BE841" t="s">
        <v>238</v>
      </c>
      <c r="BF841" t="s">
        <v>193</v>
      </c>
      <c r="BG841" t="s">
        <v>91</v>
      </c>
      <c r="BI841" cm="1">
        <f t="array" ref="BI841">IFERROR(_xlfn._xlws.FILTER(shifts!A:A,(shifts!B:B=events!AD841)*(shifts!AG:AG&gt;=events!BK841)*(shifts!AH:AH&lt;=events!BL841)),BI840)</f>
        <v>41</v>
      </c>
      <c r="BJ841" s="15">
        <f t="shared" si="444"/>
        <v>0</v>
      </c>
      <c r="BK841">
        <f t="shared" si="451"/>
        <v>1069</v>
      </c>
      <c r="BL841">
        <f t="shared" si="452"/>
        <v>1069</v>
      </c>
      <c r="BM841" s="15">
        <f>SUMIFS(BJ$2:BJ841,K$2:K841,"=Intermission")+SUMIFS(BJ$2:BJ841,K$2:K841,"=Timeout")</f>
        <v>72</v>
      </c>
      <c r="BN841">
        <f t="shared" si="453"/>
        <v>1152</v>
      </c>
      <c r="BO841" s="19">
        <f t="shared" si="454"/>
        <v>1163</v>
      </c>
      <c r="BP841">
        <f t="shared" si="455"/>
        <v>1158</v>
      </c>
      <c r="BQ841" s="17">
        <f t="shared" si="456"/>
        <v>1163</v>
      </c>
      <c r="BR841" t="str">
        <f t="shared" si="457"/>
        <v>event_team_player_1</v>
      </c>
      <c r="BS841">
        <f>COUNTIFS(S$3:S841,"="&amp;S841,AI$3:AI841,"="&amp;AI841)</f>
        <v>1</v>
      </c>
      <c r="BT841" t="str">
        <f>IFERROR(VLOOKUP(BB841&amp;BU841&amp;X841,game_rosters!U:W,3,FALSE),"")</f>
        <v>P100197</v>
      </c>
      <c r="BU841" t="str">
        <f t="shared" si="458"/>
        <v>Nelson</v>
      </c>
    </row>
    <row r="842" spans="1:73" x14ac:dyDescent="0.2">
      <c r="A842">
        <f t="shared" si="445"/>
        <v>1</v>
      </c>
      <c r="E842" s="4"/>
      <c r="F842" s="43"/>
      <c r="G842" s="4"/>
      <c r="H842" s="46"/>
      <c r="J842" s="44" t="str">
        <f t="shared" si="459"/>
        <v/>
      </c>
      <c r="K842" t="s">
        <v>13</v>
      </c>
      <c r="L842" t="s">
        <v>756</v>
      </c>
      <c r="M842" t="s">
        <v>756</v>
      </c>
      <c r="N842" t="str">
        <f t="shared" si="430"/>
        <v/>
      </c>
      <c r="Q842" t="str">
        <f t="shared" si="428"/>
        <v/>
      </c>
      <c r="S842">
        <v>455</v>
      </c>
      <c r="U842" t="str">
        <f>IF(B842=1,MAX($U$2:$U841)+1,IF(AND($T842&lt;&gt;"",$T842=$T841),$U841,IF(B842="x",U841,"")))</f>
        <v/>
      </c>
      <c r="V842" t="str">
        <f>IF(C842=1,MAX($V$2:$V841)+1,IF(AND($T842&lt;&gt;"",$T842=$T841),$U841,IF(C842="x",V841,"")))</f>
        <v/>
      </c>
      <c r="W842" t="str">
        <f t="shared" si="434"/>
        <v>h</v>
      </c>
      <c r="X842">
        <v>80</v>
      </c>
      <c r="Y842" t="b">
        <f>IF(X842&lt;&gt;"",VLOOKUP(X842,game_rosters!$C$43:$E$64,3,FALSE))</f>
        <v>0</v>
      </c>
      <c r="Z842" cm="1">
        <f t="array" ref="Z842">IFERROR(IF(_xlfn._xlws.FILTER(game_rosters!$J:$J,(game_rosters!$G:$G=events!$AN842)*(game_rosters!$J:$J=events!$X842))&gt;0,1,""),"")</f>
        <v>1</v>
      </c>
      <c r="AA842">
        <f t="shared" si="435"/>
        <v>1455</v>
      </c>
      <c r="AB842" t="str">
        <f t="shared" si="436"/>
        <v/>
      </c>
      <c r="AC842">
        <f t="shared" si="433"/>
        <v>1455</v>
      </c>
      <c r="AD842" s="6">
        <v>2</v>
      </c>
      <c r="AE842" t="s">
        <v>732</v>
      </c>
      <c r="AF842" t="s">
        <v>751</v>
      </c>
      <c r="AG842" t="s">
        <v>732</v>
      </c>
      <c r="AH842" t="s">
        <v>900</v>
      </c>
      <c r="AI842" t="s">
        <v>367</v>
      </c>
      <c r="AJ842" t="str">
        <f t="shared" si="437"/>
        <v/>
      </c>
      <c r="AK842" t="str">
        <f t="shared" si="437"/>
        <v/>
      </c>
      <c r="AL842" t="str">
        <f t="shared" si="438"/>
        <v/>
      </c>
      <c r="AN842" t="s">
        <v>861</v>
      </c>
      <c r="AO842" t="str">
        <f t="shared" si="439"/>
        <v>h</v>
      </c>
      <c r="AP842" t="str">
        <f t="shared" si="446"/>
        <v/>
      </c>
      <c r="AQ842" t="str">
        <f t="shared" si="447"/>
        <v/>
      </c>
      <c r="AR842" t="str">
        <f t="shared" si="448"/>
        <v>Home</v>
      </c>
      <c r="AS842" t="str">
        <f t="shared" si="449"/>
        <v>h</v>
      </c>
      <c r="AT842" t="str">
        <f t="shared" si="450"/>
        <v>Offensive</v>
      </c>
      <c r="BA842" s="6">
        <f t="shared" si="440"/>
        <v>228</v>
      </c>
      <c r="BB842">
        <f t="shared" si="441"/>
        <v>18981</v>
      </c>
      <c r="BC842" t="str">
        <f t="shared" si="442"/>
        <v>Nelson</v>
      </c>
      <c r="BD842" t="str">
        <f t="shared" si="443"/>
        <v>Velodrome</v>
      </c>
      <c r="BE842" t="s">
        <v>13</v>
      </c>
      <c r="BF842" t="s">
        <v>756</v>
      </c>
      <c r="BG842" t="s">
        <v>756</v>
      </c>
      <c r="BI842" cm="1">
        <f t="array" ref="BI842">IFERROR(_xlfn._xlws.FILTER(shifts!A:A,(shifts!B:B=events!AD842)*(shifts!AG:AG&gt;=events!BK842)*(shifts!AH:AH&lt;=events!BL842)),BI841)</f>
        <v>41</v>
      </c>
      <c r="BJ842" s="15">
        <f t="shared" si="444"/>
        <v>2</v>
      </c>
      <c r="BK842">
        <f t="shared" si="451"/>
        <v>1069</v>
      </c>
      <c r="BL842">
        <f t="shared" si="452"/>
        <v>1067</v>
      </c>
      <c r="BM842" s="15">
        <f>SUMIFS(BJ$2:BJ842,K$2:K842,"=Intermission")+SUMIFS(BJ$2:BJ842,K$2:K842,"=Timeout")</f>
        <v>72</v>
      </c>
      <c r="BN842">
        <f t="shared" si="453"/>
        <v>1152</v>
      </c>
      <c r="BO842" s="19">
        <f t="shared" si="454"/>
        <v>1163</v>
      </c>
      <c r="BP842">
        <f t="shared" si="455"/>
        <v>1158</v>
      </c>
      <c r="BQ842" s="17">
        <f t="shared" si="456"/>
        <v>1165</v>
      </c>
      <c r="BR842" t="str">
        <f t="shared" si="457"/>
        <v>event_team_player_1</v>
      </c>
      <c r="BS842">
        <f>COUNTIFS(S$3:S842,"="&amp;S842,AI$3:AI842,"="&amp;AI842)</f>
        <v>1</v>
      </c>
      <c r="BT842" t="str">
        <f>IFERROR(VLOOKUP(BB842&amp;BU842&amp;X842,game_rosters!U:W,3,FALSE),"")</f>
        <v>P100197</v>
      </c>
      <c r="BU842" t="str">
        <f t="shared" si="458"/>
        <v>Nelson</v>
      </c>
    </row>
    <row r="843" spans="1:73" x14ac:dyDescent="0.2">
      <c r="A843">
        <f t="shared" si="445"/>
        <v>1</v>
      </c>
      <c r="E843" s="4"/>
      <c r="F843" s="43"/>
      <c r="G843" s="4"/>
      <c r="H843" s="46"/>
      <c r="J843" s="44" t="str">
        <f t="shared" si="459"/>
        <v/>
      </c>
      <c r="K843" t="s">
        <v>230</v>
      </c>
      <c r="L843" t="s">
        <v>388</v>
      </c>
      <c r="M843" t="s">
        <v>153</v>
      </c>
      <c r="N843" t="str">
        <f t="shared" si="430"/>
        <v/>
      </c>
      <c r="Q843" t="str">
        <f t="shared" si="428"/>
        <v/>
      </c>
      <c r="S843">
        <v>456</v>
      </c>
      <c r="U843" t="str">
        <f>IF(B843=1,MAX($U$2:$U842)+1,IF(AND($T843&lt;&gt;"",$T843=$T842),$U842,IF(B843="x",U842,"")))</f>
        <v/>
      </c>
      <c r="V843" t="str">
        <f>IF(C843=1,MAX($V$2:$V842)+1,IF(AND($T843&lt;&gt;"",$T843=$T842),$U842,IF(C843="x",V842,"")))</f>
        <v/>
      </c>
      <c r="W843" t="str">
        <f t="shared" si="434"/>
        <v>h</v>
      </c>
      <c r="X843">
        <v>80</v>
      </c>
      <c r="Y843" t="b">
        <f>IF(X843&lt;&gt;"",VLOOKUP(X843,game_rosters!$C$43:$E$64,3,FALSE))</f>
        <v>0</v>
      </c>
      <c r="Z843" cm="1">
        <f t="array" ref="Z843">IFERROR(IF(_xlfn._xlws.FILTER(game_rosters!$J:$J,(game_rosters!$G:$G=events!$AN843)*(game_rosters!$J:$J=events!$X843))&gt;0,1,""),"")</f>
        <v>1</v>
      </c>
      <c r="AA843">
        <f t="shared" si="435"/>
        <v>1456</v>
      </c>
      <c r="AB843" t="str">
        <f t="shared" si="436"/>
        <v/>
      </c>
      <c r="AC843">
        <f t="shared" si="433"/>
        <v>1456</v>
      </c>
      <c r="AD843" s="6">
        <v>2</v>
      </c>
      <c r="AE843" t="s">
        <v>732</v>
      </c>
      <c r="AF843" t="s">
        <v>737</v>
      </c>
      <c r="AG843" t="s">
        <v>756</v>
      </c>
      <c r="AH843" t="s">
        <v>756</v>
      </c>
      <c r="AI843" t="s">
        <v>367</v>
      </c>
      <c r="AJ843" t="str">
        <f t="shared" si="437"/>
        <v/>
      </c>
      <c r="AK843" t="str">
        <f t="shared" si="437"/>
        <v/>
      </c>
      <c r="AL843" t="str">
        <f t="shared" si="438"/>
        <v/>
      </c>
      <c r="AN843" t="s">
        <v>861</v>
      </c>
      <c r="AO843" t="str">
        <f t="shared" si="439"/>
        <v>h</v>
      </c>
      <c r="AP843" t="str">
        <f t="shared" si="446"/>
        <v/>
      </c>
      <c r="AQ843" t="str">
        <f t="shared" si="447"/>
        <v/>
      </c>
      <c r="AR843" t="str">
        <f t="shared" si="448"/>
        <v>Home</v>
      </c>
      <c r="AS843" t="str">
        <f t="shared" si="449"/>
        <v>h</v>
      </c>
      <c r="AT843" t="str">
        <f t="shared" si="450"/>
        <v>Offensive</v>
      </c>
      <c r="BA843" s="6">
        <f t="shared" si="440"/>
        <v>228</v>
      </c>
      <c r="BB843">
        <f t="shared" si="441"/>
        <v>18981</v>
      </c>
      <c r="BC843" t="str">
        <f t="shared" si="442"/>
        <v>Nelson</v>
      </c>
      <c r="BD843" t="str">
        <f t="shared" si="443"/>
        <v>Velodrome</v>
      </c>
      <c r="BE843" t="s">
        <v>230</v>
      </c>
      <c r="BF843" t="s">
        <v>388</v>
      </c>
      <c r="BG843" t="s">
        <v>153</v>
      </c>
      <c r="BI843" cm="1">
        <f t="array" ref="BI843">IFERROR(_xlfn._xlws.FILTER(shifts!A:A,(shifts!B:B=events!AD843)*(shifts!AG:AG&gt;=events!BK843)*(shifts!AH:AH&lt;=events!BL843)),BI842)</f>
        <v>41</v>
      </c>
      <c r="BJ843" s="15">
        <f t="shared" si="444"/>
        <v>0</v>
      </c>
      <c r="BK843">
        <f t="shared" si="451"/>
        <v>1066</v>
      </c>
      <c r="BL843">
        <f t="shared" si="452"/>
        <v>1066</v>
      </c>
      <c r="BM843" s="15">
        <f>SUMIFS(BJ$2:BJ843,K$2:K843,"=Intermission")+SUMIFS(BJ$2:BJ843,K$2:K843,"=Timeout")</f>
        <v>72</v>
      </c>
      <c r="BN843">
        <f t="shared" si="453"/>
        <v>1152</v>
      </c>
      <c r="BO843" s="19">
        <f t="shared" si="454"/>
        <v>1166</v>
      </c>
      <c r="BP843">
        <f t="shared" si="455"/>
        <v>1161</v>
      </c>
      <c r="BQ843" s="17">
        <f t="shared" si="456"/>
        <v>1166</v>
      </c>
      <c r="BR843" t="str">
        <f t="shared" si="457"/>
        <v>event_team_player_1</v>
      </c>
      <c r="BS843">
        <f>COUNTIFS(S$3:S843,"="&amp;S843,AI$3:AI843,"="&amp;AI843)</f>
        <v>1</v>
      </c>
      <c r="BT843" t="str">
        <f>IFERROR(VLOOKUP(BB843&amp;BU843&amp;X843,game_rosters!U:W,3,FALSE),"")</f>
        <v>P100197</v>
      </c>
      <c r="BU843" t="str">
        <f t="shared" si="458"/>
        <v>Nelson</v>
      </c>
    </row>
    <row r="844" spans="1:73" x14ac:dyDescent="0.2">
      <c r="A844">
        <f t="shared" si="445"/>
        <v>1</v>
      </c>
      <c r="E844" s="4"/>
      <c r="F844" s="43"/>
      <c r="G844" s="4"/>
      <c r="H844" s="46"/>
      <c r="J844" s="44" t="str">
        <f t="shared" si="459"/>
        <v/>
      </c>
      <c r="K844" t="s">
        <v>13</v>
      </c>
      <c r="L844" t="s">
        <v>756</v>
      </c>
      <c r="M844" t="s">
        <v>756</v>
      </c>
      <c r="N844" t="str">
        <f t="shared" si="430"/>
        <v/>
      </c>
      <c r="Q844" t="str">
        <f t="shared" si="428"/>
        <v/>
      </c>
      <c r="S844">
        <v>457</v>
      </c>
      <c r="U844" t="str">
        <f>IF(B844=1,MAX($U$2:$U843)+1,IF(AND($T844&lt;&gt;"",$T844=$T843),$U843,IF(B844="x",U843,"")))</f>
        <v/>
      </c>
      <c r="V844" t="str">
        <f>IF(C844=1,MAX($V$2:$V843)+1,IF(AND($T844&lt;&gt;"",$T844=$T843),$U843,IF(C844="x",V843,"")))</f>
        <v/>
      </c>
      <c r="W844" t="str">
        <f t="shared" si="434"/>
        <v>h</v>
      </c>
      <c r="X844">
        <v>10</v>
      </c>
      <c r="Y844" t="b">
        <f>IF(X844&lt;&gt;"",VLOOKUP(X844,game_rosters!$C$43:$E$64,3,FALSE))</f>
        <v>0</v>
      </c>
      <c r="Z844" cm="1">
        <f t="array" ref="Z844">IFERROR(IF(_xlfn._xlws.FILTER(game_rosters!$J:$J,(game_rosters!$G:$G=events!$AN844)*(game_rosters!$J:$J=events!$X844))&gt;0,1,""),"")</f>
        <v>1</v>
      </c>
      <c r="AA844">
        <f t="shared" si="435"/>
        <v>1457</v>
      </c>
      <c r="AB844" t="str">
        <f t="shared" si="436"/>
        <v/>
      </c>
      <c r="AC844">
        <f t="shared" si="433"/>
        <v>1457</v>
      </c>
      <c r="AD844" s="6">
        <v>2</v>
      </c>
      <c r="AE844" t="s">
        <v>732</v>
      </c>
      <c r="AF844" t="s">
        <v>924</v>
      </c>
      <c r="AG844" t="s">
        <v>732</v>
      </c>
      <c r="AH844" t="s">
        <v>903</v>
      </c>
      <c r="AI844" t="s">
        <v>367</v>
      </c>
      <c r="AJ844" t="str">
        <f t="shared" si="437"/>
        <v/>
      </c>
      <c r="AK844" t="str">
        <f t="shared" si="437"/>
        <v/>
      </c>
      <c r="AL844" t="str">
        <f t="shared" si="438"/>
        <v/>
      </c>
      <c r="AN844" t="s">
        <v>861</v>
      </c>
      <c r="AO844" t="str">
        <f t="shared" si="439"/>
        <v>h</v>
      </c>
      <c r="AP844" t="str">
        <f t="shared" si="446"/>
        <v/>
      </c>
      <c r="AQ844" t="str">
        <f t="shared" si="447"/>
        <v/>
      </c>
      <c r="AR844" t="str">
        <f t="shared" si="448"/>
        <v>Home</v>
      </c>
      <c r="AS844" t="str">
        <f t="shared" si="449"/>
        <v>h</v>
      </c>
      <c r="AT844" t="str">
        <f t="shared" si="450"/>
        <v>Offensive</v>
      </c>
      <c r="BA844" s="6">
        <f t="shared" si="440"/>
        <v>228</v>
      </c>
      <c r="BB844">
        <f t="shared" si="441"/>
        <v>18981</v>
      </c>
      <c r="BC844" t="str">
        <f t="shared" si="442"/>
        <v>Nelson</v>
      </c>
      <c r="BD844" t="str">
        <f t="shared" si="443"/>
        <v>Velodrome</v>
      </c>
      <c r="BE844" t="s">
        <v>13</v>
      </c>
      <c r="BF844" t="s">
        <v>756</v>
      </c>
      <c r="BG844" t="s">
        <v>756</v>
      </c>
      <c r="BI844" cm="1">
        <f t="array" ref="BI844">IFERROR(_xlfn._xlws.FILTER(shifts!A:A,(shifts!B:B=events!AD844)*(shifts!AG:AG&gt;=events!BK844)*(shifts!AH:AH&lt;=events!BL844)),BI843)</f>
        <v>41</v>
      </c>
      <c r="BJ844" s="15">
        <f t="shared" si="444"/>
        <v>1</v>
      </c>
      <c r="BK844">
        <f t="shared" si="451"/>
        <v>1061</v>
      </c>
      <c r="BL844">
        <f t="shared" si="452"/>
        <v>1060</v>
      </c>
      <c r="BM844" s="15">
        <f>SUMIFS(BJ$2:BJ844,K$2:K844,"=Intermission")+SUMIFS(BJ$2:BJ844,K$2:K844,"=Timeout")</f>
        <v>72</v>
      </c>
      <c r="BN844">
        <f t="shared" si="453"/>
        <v>1152</v>
      </c>
      <c r="BO844" s="19">
        <f t="shared" si="454"/>
        <v>1171</v>
      </c>
      <c r="BP844">
        <f t="shared" si="455"/>
        <v>1166</v>
      </c>
      <c r="BQ844" s="17">
        <f t="shared" si="456"/>
        <v>1172</v>
      </c>
      <c r="BR844" t="str">
        <f t="shared" si="457"/>
        <v>event_team_player_1</v>
      </c>
      <c r="BS844">
        <f>COUNTIFS(S$3:S844,"="&amp;S844,AI$3:AI844,"="&amp;AI844)</f>
        <v>1</v>
      </c>
      <c r="BT844" t="str">
        <f>IFERROR(VLOOKUP(BB844&amp;BU844&amp;X844,game_rosters!U:W,3,FALSE),"")</f>
        <v>P100078</v>
      </c>
      <c r="BU844" t="str">
        <f t="shared" si="458"/>
        <v>Nelson</v>
      </c>
    </row>
    <row r="845" spans="1:73" x14ac:dyDescent="0.2">
      <c r="A845">
        <f t="shared" si="445"/>
        <v>1</v>
      </c>
      <c r="E845" s="4"/>
      <c r="F845" s="43"/>
      <c r="G845" s="4"/>
      <c r="H845" s="46"/>
      <c r="J845" s="44" t="str">
        <f t="shared" si="459"/>
        <v/>
      </c>
      <c r="K845" t="s">
        <v>7</v>
      </c>
      <c r="L845" t="s">
        <v>172</v>
      </c>
      <c r="M845" t="s">
        <v>69</v>
      </c>
      <c r="N845" t="str">
        <f t="shared" si="430"/>
        <v>s</v>
      </c>
      <c r="Q845" t="str">
        <f t="shared" si="428"/>
        <v/>
      </c>
      <c r="S845">
        <v>458</v>
      </c>
      <c r="U845" t="str">
        <f>IF(B845=1,MAX($U$2:$U844)+1,IF(AND($T845&lt;&gt;"",$T845=$T844),$U844,IF(B845="x",U844,"")))</f>
        <v/>
      </c>
      <c r="V845" t="str">
        <f>IF(C845=1,MAX($V$2:$V844)+1,IF(AND($T845&lt;&gt;"",$T845=$T844),$U844,IF(C845="x",V844,"")))</f>
        <v/>
      </c>
      <c r="W845" t="str">
        <f t="shared" si="434"/>
        <v>h</v>
      </c>
      <c r="X845">
        <v>10</v>
      </c>
      <c r="Y845" t="b">
        <f>IF(X845&lt;&gt;"",VLOOKUP(X845,game_rosters!$C$43:$E$64,3,FALSE))</f>
        <v>0</v>
      </c>
      <c r="Z845" cm="1">
        <f t="array" ref="Z845">IFERROR(IF(_xlfn._xlws.FILTER(game_rosters!$J:$J,(game_rosters!$G:$G=events!$AN845)*(game_rosters!$J:$J=events!$X845))&gt;0,1,""),"")</f>
        <v>1</v>
      </c>
      <c r="AA845">
        <f t="shared" si="435"/>
        <v>1458</v>
      </c>
      <c r="AB845" t="str">
        <f t="shared" si="436"/>
        <v/>
      </c>
      <c r="AC845">
        <f t="shared" si="433"/>
        <v>1458</v>
      </c>
      <c r="AD845" s="6">
        <v>2</v>
      </c>
      <c r="AE845" t="s">
        <v>732</v>
      </c>
      <c r="AF845" t="s">
        <v>903</v>
      </c>
      <c r="AG845" t="s">
        <v>756</v>
      </c>
      <c r="AH845" t="s">
        <v>756</v>
      </c>
      <c r="AI845" t="s">
        <v>367</v>
      </c>
      <c r="AJ845" t="str">
        <f t="shared" si="437"/>
        <v/>
      </c>
      <c r="AK845" t="str">
        <f t="shared" si="437"/>
        <v/>
      </c>
      <c r="AL845" t="str">
        <f t="shared" si="438"/>
        <v/>
      </c>
      <c r="AN845" t="s">
        <v>861</v>
      </c>
      <c r="AO845" t="str">
        <f t="shared" si="439"/>
        <v>h</v>
      </c>
      <c r="AP845" t="str">
        <f t="shared" si="446"/>
        <v/>
      </c>
      <c r="AQ845" t="str">
        <f t="shared" si="447"/>
        <v/>
      </c>
      <c r="AR845" t="str">
        <f t="shared" si="448"/>
        <v>Home</v>
      </c>
      <c r="AS845" t="str">
        <f t="shared" si="449"/>
        <v>h</v>
      </c>
      <c r="AT845" t="str">
        <f t="shared" si="450"/>
        <v>Offensive</v>
      </c>
      <c r="BA845" s="6">
        <f t="shared" si="440"/>
        <v>228</v>
      </c>
      <c r="BB845">
        <f t="shared" si="441"/>
        <v>18981</v>
      </c>
      <c r="BC845" t="str">
        <f t="shared" si="442"/>
        <v>Nelson</v>
      </c>
      <c r="BD845" t="str">
        <f t="shared" si="443"/>
        <v>Velodrome</v>
      </c>
      <c r="BE845" t="s">
        <v>7</v>
      </c>
      <c r="BF845" t="s">
        <v>172</v>
      </c>
      <c r="BG845" t="s">
        <v>69</v>
      </c>
      <c r="BI845" cm="1">
        <f t="array" ref="BI845">IFERROR(_xlfn._xlws.FILTER(shifts!A:A,(shifts!B:B=events!AD845)*(shifts!AG:AG&gt;=events!BK845)*(shifts!AH:AH&lt;=events!BL845)),BI844)</f>
        <v>41</v>
      </c>
      <c r="BJ845" s="15">
        <f t="shared" si="444"/>
        <v>0</v>
      </c>
      <c r="BK845">
        <f t="shared" si="451"/>
        <v>1060</v>
      </c>
      <c r="BL845">
        <f t="shared" si="452"/>
        <v>1060</v>
      </c>
      <c r="BM845" s="15">
        <f>SUMIFS(BJ$2:BJ845,K$2:K845,"=Intermission")+SUMIFS(BJ$2:BJ845,K$2:K845,"=Timeout")</f>
        <v>72</v>
      </c>
      <c r="BN845">
        <f t="shared" si="453"/>
        <v>1152</v>
      </c>
      <c r="BO845" s="19">
        <f t="shared" si="454"/>
        <v>1172</v>
      </c>
      <c r="BP845">
        <f t="shared" si="455"/>
        <v>1167</v>
      </c>
      <c r="BQ845" s="17">
        <f t="shared" si="456"/>
        <v>1172</v>
      </c>
      <c r="BR845" t="str">
        <f t="shared" si="457"/>
        <v>event_team_player_1</v>
      </c>
      <c r="BS845">
        <f>COUNTIFS(S$3:S845,"="&amp;S845,AI$3:AI845,"="&amp;AI845)</f>
        <v>1</v>
      </c>
      <c r="BT845" t="str">
        <f>IFERROR(VLOOKUP(BB845&amp;BU845&amp;X845,game_rosters!U:W,3,FALSE),"")</f>
        <v>P100078</v>
      </c>
      <c r="BU845" t="str">
        <f t="shared" si="458"/>
        <v>Nelson</v>
      </c>
    </row>
    <row r="846" spans="1:73" x14ac:dyDescent="0.2">
      <c r="A846">
        <f t="shared" si="445"/>
        <v>1</v>
      </c>
      <c r="E846" s="4"/>
      <c r="F846" s="43"/>
      <c r="G846" s="4"/>
      <c r="H846" s="46"/>
      <c r="J846" s="44" t="str">
        <f t="shared" si="459"/>
        <v/>
      </c>
      <c r="K846" t="s">
        <v>7</v>
      </c>
      <c r="L846" t="s">
        <v>172</v>
      </c>
      <c r="M846" t="s">
        <v>69</v>
      </c>
      <c r="N846" t="str">
        <f t="shared" si="430"/>
        <v>s</v>
      </c>
      <c r="Q846" t="str">
        <f t="shared" si="428"/>
        <v/>
      </c>
      <c r="S846">
        <v>458</v>
      </c>
      <c r="U846" t="str">
        <f>IF(B846=1,MAX($U$2:$U845)+1,IF(AND($T846&lt;&gt;"",$T846=$T845),$U845,IF(B846="x",U845,"")))</f>
        <v/>
      </c>
      <c r="V846" t="str">
        <f>IF(C846=1,MAX($V$2:$V845)+1,IF(AND($T846&lt;&gt;"",$T846=$T845),$U845,IF(C846="x",V845,"")))</f>
        <v/>
      </c>
      <c r="W846" t="str">
        <f t="shared" si="434"/>
        <v>h</v>
      </c>
      <c r="X846">
        <v>80</v>
      </c>
      <c r="Y846" t="b">
        <f>IF(X846&lt;&gt;"",VLOOKUP(X846,game_rosters!$C$43:$E$64,3,FALSE))</f>
        <v>0</v>
      </c>
      <c r="Z846" cm="1">
        <f t="array" ref="Z846">IFERROR(IF(_xlfn._xlws.FILTER(game_rosters!$J:$J,(game_rosters!$G:$G=events!$AN846)*(game_rosters!$J:$J=events!$X846))&gt;0,1,""),"")</f>
        <v>1</v>
      </c>
      <c r="AA846">
        <f t="shared" si="435"/>
        <v>1458</v>
      </c>
      <c r="AB846" t="str">
        <f t="shared" si="436"/>
        <v/>
      </c>
      <c r="AC846">
        <f t="shared" si="433"/>
        <v>1458</v>
      </c>
      <c r="AD846" s="6">
        <v>2</v>
      </c>
      <c r="AE846" t="s">
        <v>732</v>
      </c>
      <c r="AF846" t="s">
        <v>903</v>
      </c>
      <c r="AG846" t="s">
        <v>756</v>
      </c>
      <c r="AH846" t="s">
        <v>756</v>
      </c>
      <c r="AI846" t="s">
        <v>367</v>
      </c>
      <c r="AJ846" t="str">
        <f t="shared" si="437"/>
        <v/>
      </c>
      <c r="AK846" t="str">
        <f t="shared" si="437"/>
        <v/>
      </c>
      <c r="AL846" t="str">
        <f t="shared" si="438"/>
        <v/>
      </c>
      <c r="AN846" t="s">
        <v>861</v>
      </c>
      <c r="AO846" t="str">
        <f t="shared" si="439"/>
        <v>h</v>
      </c>
      <c r="AP846" t="str">
        <f t="shared" si="446"/>
        <v/>
      </c>
      <c r="AQ846" t="str">
        <f t="shared" si="447"/>
        <v/>
      </c>
      <c r="AR846" t="str">
        <f t="shared" si="448"/>
        <v>Home</v>
      </c>
      <c r="AS846" t="str">
        <f t="shared" si="449"/>
        <v>h</v>
      </c>
      <c r="AT846" t="str">
        <f t="shared" si="450"/>
        <v>Offensive</v>
      </c>
      <c r="BA846" s="6">
        <f t="shared" si="440"/>
        <v>228</v>
      </c>
      <c r="BB846">
        <f t="shared" si="441"/>
        <v>18981</v>
      </c>
      <c r="BC846" t="str">
        <f t="shared" si="442"/>
        <v>Nelson</v>
      </c>
      <c r="BD846" t="str">
        <f t="shared" si="443"/>
        <v>Velodrome</v>
      </c>
      <c r="BE846" t="s">
        <v>7</v>
      </c>
      <c r="BF846" t="s">
        <v>172</v>
      </c>
      <c r="BG846" t="s">
        <v>69</v>
      </c>
      <c r="BI846" cm="1">
        <f t="array" ref="BI846">IFERROR(_xlfn._xlws.FILTER(shifts!A:A,(shifts!B:B=events!AD846)*(shifts!AG:AG&gt;=events!BK846)*(shifts!AH:AH&lt;=events!BL846)),BI845)</f>
        <v>41</v>
      </c>
      <c r="BJ846" s="15">
        <f t="shared" si="444"/>
        <v>0</v>
      </c>
      <c r="BK846">
        <f t="shared" si="451"/>
        <v>1060</v>
      </c>
      <c r="BL846">
        <f t="shared" si="452"/>
        <v>1060</v>
      </c>
      <c r="BM846" s="15">
        <f>SUMIFS(BJ$2:BJ846,K$2:K846,"=Intermission")+SUMIFS(BJ$2:BJ846,K$2:K846,"=Timeout")</f>
        <v>72</v>
      </c>
      <c r="BN846">
        <f t="shared" si="453"/>
        <v>1152</v>
      </c>
      <c r="BO846" s="19">
        <f t="shared" si="454"/>
        <v>1172</v>
      </c>
      <c r="BP846">
        <f t="shared" si="455"/>
        <v>1167</v>
      </c>
      <c r="BQ846" s="17">
        <f t="shared" si="456"/>
        <v>1172</v>
      </c>
      <c r="BR846" t="str">
        <f t="shared" si="457"/>
        <v>event_team_player_2</v>
      </c>
      <c r="BS846">
        <f>COUNTIFS(S$3:S846,"="&amp;S846,AI$3:AI846,"="&amp;AI846)</f>
        <v>2</v>
      </c>
      <c r="BT846" t="str">
        <f>IFERROR(VLOOKUP(BB846&amp;BU846&amp;X846,game_rosters!U:W,3,FALSE),"")</f>
        <v>P100197</v>
      </c>
      <c r="BU846" t="str">
        <f t="shared" si="458"/>
        <v>Nelson</v>
      </c>
    </row>
    <row r="847" spans="1:73" x14ac:dyDescent="0.2">
      <c r="A847">
        <f t="shared" si="445"/>
        <v>1</v>
      </c>
      <c r="E847" s="4"/>
      <c r="F847" s="43"/>
      <c r="G847" s="4"/>
      <c r="H847" s="46"/>
      <c r="J847" s="44" t="str">
        <f t="shared" si="459"/>
        <v/>
      </c>
      <c r="K847" t="s">
        <v>7</v>
      </c>
      <c r="L847" t="s">
        <v>172</v>
      </c>
      <c r="M847" t="s">
        <v>69</v>
      </c>
      <c r="N847" t="str">
        <f t="shared" si="430"/>
        <v>s</v>
      </c>
      <c r="Q847" t="str">
        <f t="shared" si="428"/>
        <v/>
      </c>
      <c r="S847">
        <v>458</v>
      </c>
      <c r="U847" t="str">
        <f>IF(B847=1,MAX($U$2:$U846)+1,IF(AND($T847&lt;&gt;"",$T847=$T846),$U846,IF(B847="x",U846,"")))</f>
        <v/>
      </c>
      <c r="V847" t="str">
        <f>IF(C847=1,MAX($V$2:$V846)+1,IF(AND($T847&lt;&gt;"",$T847=$T846),$U846,IF(C847="x",V846,"")))</f>
        <v/>
      </c>
      <c r="W847" t="str">
        <f t="shared" si="434"/>
        <v>h</v>
      </c>
      <c r="X847">
        <v>52</v>
      </c>
      <c r="Y847" t="e">
        <f>IF(X847&lt;&gt;"",VLOOKUP(X847,game_rosters!$C$43:$E$64,3,FALSE))</f>
        <v>#N/A</v>
      </c>
      <c r="Z847" t="str" cm="1">
        <f t="array" ref="Z847">IFERROR(IF(_xlfn._xlws.FILTER(game_rosters!$J:$J,(game_rosters!$G:$G=events!$AN847)*(game_rosters!$J:$J=events!$X847))&gt;0,1,""),"")</f>
        <v/>
      </c>
      <c r="AA847">
        <f t="shared" si="435"/>
        <v>1458</v>
      </c>
      <c r="AB847" t="str">
        <f t="shared" si="436"/>
        <v/>
      </c>
      <c r="AC847">
        <f t="shared" si="433"/>
        <v>1458</v>
      </c>
      <c r="AD847" s="6">
        <v>2</v>
      </c>
      <c r="AE847" t="s">
        <v>732</v>
      </c>
      <c r="AF847" t="s">
        <v>903</v>
      </c>
      <c r="AG847" t="s">
        <v>756</v>
      </c>
      <c r="AH847" t="s">
        <v>756</v>
      </c>
      <c r="AI847" t="s">
        <v>368</v>
      </c>
      <c r="AJ847" t="str">
        <f t="shared" si="437"/>
        <v/>
      </c>
      <c r="AK847" t="str">
        <f t="shared" si="437"/>
        <v/>
      </c>
      <c r="AL847" t="str">
        <f t="shared" si="438"/>
        <v/>
      </c>
      <c r="AN847" t="s">
        <v>861</v>
      </c>
      <c r="AO847" t="str">
        <f t="shared" si="439"/>
        <v>h</v>
      </c>
      <c r="AP847" t="str">
        <f t="shared" si="446"/>
        <v/>
      </c>
      <c r="AQ847" t="str">
        <f t="shared" si="447"/>
        <v/>
      </c>
      <c r="AR847" t="str">
        <f t="shared" si="448"/>
        <v>Home</v>
      </c>
      <c r="AS847" t="str">
        <f t="shared" si="449"/>
        <v>h</v>
      </c>
      <c r="AT847" t="str">
        <f t="shared" si="450"/>
        <v>Defensive</v>
      </c>
      <c r="BA847" s="6">
        <f t="shared" si="440"/>
        <v>228</v>
      </c>
      <c r="BB847">
        <f t="shared" si="441"/>
        <v>18981</v>
      </c>
      <c r="BC847" t="str">
        <f t="shared" si="442"/>
        <v>Nelson</v>
      </c>
      <c r="BD847" t="str">
        <f t="shared" si="443"/>
        <v>Velodrome</v>
      </c>
      <c r="BE847" t="s">
        <v>7</v>
      </c>
      <c r="BF847" t="s">
        <v>172</v>
      </c>
      <c r="BG847" t="s">
        <v>69</v>
      </c>
      <c r="BI847" cm="1">
        <f t="array" ref="BI847">IFERROR(_xlfn._xlws.FILTER(shifts!A:A,(shifts!B:B=events!AD847)*(shifts!AG:AG&gt;=events!BK847)*(shifts!AH:AH&lt;=events!BL847)),BI846)</f>
        <v>41</v>
      </c>
      <c r="BJ847" s="15">
        <f t="shared" si="444"/>
        <v>0</v>
      </c>
      <c r="BK847">
        <f t="shared" si="451"/>
        <v>1060</v>
      </c>
      <c r="BL847">
        <f t="shared" si="452"/>
        <v>1060</v>
      </c>
      <c r="BM847" s="15">
        <f>SUMIFS(BJ$2:BJ847,K$2:K847,"=Intermission")+SUMIFS(BJ$2:BJ847,K$2:K847,"=Timeout")</f>
        <v>72</v>
      </c>
      <c r="BN847">
        <f t="shared" si="453"/>
        <v>1152</v>
      </c>
      <c r="BO847" s="19">
        <f t="shared" si="454"/>
        <v>1172</v>
      </c>
      <c r="BP847">
        <f t="shared" si="455"/>
        <v>1167</v>
      </c>
      <c r="BQ847" s="17">
        <f t="shared" si="456"/>
        <v>1172</v>
      </c>
      <c r="BR847" t="str">
        <f t="shared" si="457"/>
        <v>opp_team_player_1</v>
      </c>
      <c r="BS847">
        <f>COUNTIFS(S$3:S847,"="&amp;S847,AI$3:AI847,"="&amp;AI847)</f>
        <v>1</v>
      </c>
      <c r="BT847" t="str">
        <f>IFERROR(VLOOKUP(BB847&amp;BU847&amp;X847,game_rosters!U:W,3,FALSE),"")</f>
        <v>P100070</v>
      </c>
      <c r="BU847" t="str">
        <f t="shared" si="458"/>
        <v>Velodrome</v>
      </c>
    </row>
    <row r="848" spans="1:73" x14ac:dyDescent="0.2">
      <c r="A848">
        <f t="shared" si="445"/>
        <v>1</v>
      </c>
      <c r="E848" s="4"/>
      <c r="F848" s="43"/>
      <c r="G848" s="4"/>
      <c r="H848" s="46"/>
      <c r="J848" s="44" t="str">
        <f t="shared" si="459"/>
        <v/>
      </c>
      <c r="K848" t="s">
        <v>13</v>
      </c>
      <c r="L848" t="s">
        <v>756</v>
      </c>
      <c r="M848" t="s">
        <v>756</v>
      </c>
      <c r="N848" t="str">
        <f t="shared" si="430"/>
        <v/>
      </c>
      <c r="Q848" t="str">
        <f t="shared" ref="Q848:Q860" si="460">IF(O848="","",IF(AND(N848&lt;&gt;"",OR(O848&lt;&gt;"",P848&lt;&gt;"")),N848,IF(OR(ISNUMBER(SEARCH("attemp",O848)),ISNUMBER(SEARCH("beat",O848)),ISNUMBER(SEARCH("mis",O848)),ISNUMBER(SEARCH("fail",O848)),ISNUMBER(SEARCH("loss",O848)),ISNUMBER(SEARCH("lost",O848)),ISNUMBER(SEARCH("attemp",P848)),ISNUMBER(SEARCH("mis",P848)),ISNUMBER(SEARCH("fail",P848)),ISNUMBER(SEARCH("loss",P848)),ISNUMBER(SEARCH("beat",P848)),ISNUMBER(SEARCH("lost",P848))),"u","")))</f>
        <v/>
      </c>
      <c r="S848">
        <v>459</v>
      </c>
      <c r="U848" t="str">
        <f>IF(B848=1,MAX($U$2:$U847)+1,IF(AND($T848&lt;&gt;"",$T848=$T847),$U847,IF(B848="x",U847,"")))</f>
        <v/>
      </c>
      <c r="V848" t="str">
        <f>IF(C848=1,MAX($V$2:$V847)+1,IF(AND($T848&lt;&gt;"",$T848=$T847),$U847,IF(C848="x",V847,"")))</f>
        <v/>
      </c>
      <c r="W848" t="str">
        <f t="shared" si="434"/>
        <v>h</v>
      </c>
      <c r="X848">
        <v>80</v>
      </c>
      <c r="Y848" t="b">
        <f>IF(X848&lt;&gt;"",VLOOKUP(X848,game_rosters!$C$43:$E$64,3,FALSE))</f>
        <v>0</v>
      </c>
      <c r="Z848" cm="1">
        <f t="array" ref="Z848">IFERROR(IF(_xlfn._xlws.FILTER(game_rosters!$J:$J,(game_rosters!$G:$G=events!$AN848)*(game_rosters!$J:$J=events!$X848))&gt;0,1,""),"")</f>
        <v>1</v>
      </c>
      <c r="AA848">
        <f t="shared" si="435"/>
        <v>1459</v>
      </c>
      <c r="AB848" t="str">
        <f t="shared" si="436"/>
        <v/>
      </c>
      <c r="AC848">
        <f t="shared" si="433"/>
        <v>1459</v>
      </c>
      <c r="AD848" s="6">
        <v>2</v>
      </c>
      <c r="AE848" t="s">
        <v>732</v>
      </c>
      <c r="AF848" t="s">
        <v>865</v>
      </c>
      <c r="AG848" t="s">
        <v>732</v>
      </c>
      <c r="AH848" t="s">
        <v>905</v>
      </c>
      <c r="AI848" t="s">
        <v>367</v>
      </c>
      <c r="AJ848" t="str">
        <f t="shared" si="437"/>
        <v/>
      </c>
      <c r="AK848" t="str">
        <f t="shared" si="437"/>
        <v/>
      </c>
      <c r="AL848" t="str">
        <f t="shared" si="438"/>
        <v/>
      </c>
      <c r="AN848" t="s">
        <v>861</v>
      </c>
      <c r="AO848" t="str">
        <f t="shared" si="439"/>
        <v>h</v>
      </c>
      <c r="AP848" t="str">
        <f t="shared" si="446"/>
        <v/>
      </c>
      <c r="AQ848" t="str">
        <f t="shared" si="447"/>
        <v/>
      </c>
      <c r="AR848" t="str">
        <f t="shared" si="448"/>
        <v>Home</v>
      </c>
      <c r="AS848" t="str">
        <f t="shared" si="449"/>
        <v>h</v>
      </c>
      <c r="AT848" t="str">
        <f t="shared" si="450"/>
        <v>Offensive</v>
      </c>
      <c r="BA848" s="6">
        <f t="shared" si="440"/>
        <v>228</v>
      </c>
      <c r="BB848">
        <f t="shared" si="441"/>
        <v>18981</v>
      </c>
      <c r="BC848" t="str">
        <f t="shared" si="442"/>
        <v>Nelson</v>
      </c>
      <c r="BD848" t="str">
        <f t="shared" si="443"/>
        <v>Velodrome</v>
      </c>
      <c r="BE848" t="s">
        <v>13</v>
      </c>
      <c r="BF848" t="s">
        <v>756</v>
      </c>
      <c r="BG848" t="s">
        <v>756</v>
      </c>
      <c r="BI848" cm="1">
        <f t="array" ref="BI848">IFERROR(_xlfn._xlws.FILTER(shifts!A:A,(shifts!B:B=events!AD848)*(shifts!AG:AG&gt;=events!BK848)*(shifts!AH:AH&lt;=events!BL848)),BI847)</f>
        <v>41</v>
      </c>
      <c r="BJ848" s="15">
        <f t="shared" si="444"/>
        <v>6</v>
      </c>
      <c r="BK848">
        <f t="shared" si="451"/>
        <v>1058</v>
      </c>
      <c r="BL848">
        <f t="shared" si="452"/>
        <v>1052</v>
      </c>
      <c r="BM848" s="15">
        <f>SUMIFS(BJ$2:BJ848,K$2:K848,"=Intermission")+SUMIFS(BJ$2:BJ848,K$2:K848,"=Timeout")</f>
        <v>72</v>
      </c>
      <c r="BN848">
        <f t="shared" si="453"/>
        <v>1152</v>
      </c>
      <c r="BO848" s="19">
        <f t="shared" si="454"/>
        <v>1174</v>
      </c>
      <c r="BP848">
        <f t="shared" si="455"/>
        <v>1169</v>
      </c>
      <c r="BQ848" s="17">
        <f t="shared" si="456"/>
        <v>1180</v>
      </c>
      <c r="BR848" t="str">
        <f t="shared" si="457"/>
        <v>event_team_player_1</v>
      </c>
      <c r="BS848">
        <f>COUNTIFS(S$3:S848,"="&amp;S848,AI$3:AI848,"="&amp;AI848)</f>
        <v>1</v>
      </c>
      <c r="BT848" t="str">
        <f>IFERROR(VLOOKUP(BB848&amp;BU848&amp;X848,game_rosters!U:W,3,FALSE),"")</f>
        <v>P100197</v>
      </c>
      <c r="BU848" t="str">
        <f t="shared" si="458"/>
        <v>Nelson</v>
      </c>
    </row>
    <row r="849" spans="1:73" x14ac:dyDescent="0.2">
      <c r="A849">
        <f t="shared" si="445"/>
        <v>1</v>
      </c>
      <c r="E849" s="4"/>
      <c r="F849" s="43"/>
      <c r="G849" s="4"/>
      <c r="H849" s="46"/>
      <c r="J849" s="44" t="str">
        <f t="shared" si="459"/>
        <v/>
      </c>
      <c r="K849" t="s">
        <v>13</v>
      </c>
      <c r="L849" t="s">
        <v>756</v>
      </c>
      <c r="M849" t="s">
        <v>756</v>
      </c>
      <c r="N849" t="str">
        <f t="shared" si="430"/>
        <v/>
      </c>
      <c r="Q849" t="str">
        <f t="shared" si="460"/>
        <v/>
      </c>
      <c r="S849">
        <v>459</v>
      </c>
      <c r="U849" t="str">
        <f>IF(B849=1,MAX($U$2:$U848)+1,IF(AND($T849&lt;&gt;"",$T849=$T848),$U848,IF(B849="x",U848,"")))</f>
        <v/>
      </c>
      <c r="V849" t="str">
        <f>IF(C849=1,MAX($V$2:$V848)+1,IF(AND($T849&lt;&gt;"",$T849=$T848),$U848,IF(C849="x",V848,"")))</f>
        <v/>
      </c>
      <c r="W849" t="str">
        <f t="shared" si="434"/>
        <v>h</v>
      </c>
      <c r="X849">
        <v>61</v>
      </c>
      <c r="Y849" t="e">
        <f>IF(X849&lt;&gt;"",VLOOKUP(X849,game_rosters!$C$43:$E$64,3,FALSE))</f>
        <v>#N/A</v>
      </c>
      <c r="Z849" t="str" cm="1">
        <f t="array" ref="Z849">IFERROR(IF(_xlfn._xlws.FILTER(game_rosters!$J:$J,(game_rosters!$G:$G=events!$AN849)*(game_rosters!$J:$J=events!$X849))&gt;0,1,""),"")</f>
        <v/>
      </c>
      <c r="AA849">
        <f t="shared" si="435"/>
        <v>1459</v>
      </c>
      <c r="AB849" t="str">
        <f t="shared" si="436"/>
        <v/>
      </c>
      <c r="AC849">
        <f t="shared" si="433"/>
        <v>1459</v>
      </c>
      <c r="AD849" s="6">
        <v>2</v>
      </c>
      <c r="AE849" t="s">
        <v>732</v>
      </c>
      <c r="AF849" t="s">
        <v>865</v>
      </c>
      <c r="AG849" t="s">
        <v>732</v>
      </c>
      <c r="AH849" t="s">
        <v>905</v>
      </c>
      <c r="AI849" t="s">
        <v>368</v>
      </c>
      <c r="AJ849" t="str">
        <f t="shared" si="437"/>
        <v/>
      </c>
      <c r="AK849" t="str">
        <f t="shared" si="437"/>
        <v/>
      </c>
      <c r="AL849" t="str">
        <f t="shared" si="438"/>
        <v/>
      </c>
      <c r="AN849" t="s">
        <v>861</v>
      </c>
      <c r="AO849" t="str">
        <f t="shared" si="439"/>
        <v>h</v>
      </c>
      <c r="AP849" t="str">
        <f t="shared" si="446"/>
        <v/>
      </c>
      <c r="AQ849" t="str">
        <f t="shared" si="447"/>
        <v/>
      </c>
      <c r="AR849" t="str">
        <f t="shared" si="448"/>
        <v>Home</v>
      </c>
      <c r="AS849" t="str">
        <f t="shared" si="449"/>
        <v>h</v>
      </c>
      <c r="AT849" t="str">
        <f t="shared" si="450"/>
        <v>Defensive</v>
      </c>
      <c r="BA849" s="6">
        <f t="shared" si="440"/>
        <v>228</v>
      </c>
      <c r="BB849">
        <f t="shared" si="441"/>
        <v>18981</v>
      </c>
      <c r="BC849" t="str">
        <f t="shared" si="442"/>
        <v>Nelson</v>
      </c>
      <c r="BD849" t="str">
        <f t="shared" si="443"/>
        <v>Velodrome</v>
      </c>
      <c r="BE849" t="s">
        <v>13</v>
      </c>
      <c r="BF849" t="s">
        <v>756</v>
      </c>
      <c r="BG849" t="s">
        <v>756</v>
      </c>
      <c r="BI849" cm="1">
        <f t="array" ref="BI849">IFERROR(_xlfn._xlws.FILTER(shifts!A:A,(shifts!B:B=events!AD849)*(shifts!AG:AG&gt;=events!BK849)*(shifts!AH:AH&lt;=events!BL849)),BI848)</f>
        <v>41</v>
      </c>
      <c r="BJ849" s="15">
        <f t="shared" si="444"/>
        <v>6</v>
      </c>
      <c r="BK849">
        <f t="shared" si="451"/>
        <v>1058</v>
      </c>
      <c r="BL849">
        <f t="shared" si="452"/>
        <v>1052</v>
      </c>
      <c r="BM849" s="15">
        <f>SUMIFS(BJ$2:BJ849,K$2:K849,"=Intermission")+SUMIFS(BJ$2:BJ849,K$2:K849,"=Timeout")</f>
        <v>72</v>
      </c>
      <c r="BN849">
        <f t="shared" si="453"/>
        <v>1152</v>
      </c>
      <c r="BO849" s="19">
        <f t="shared" si="454"/>
        <v>1174</v>
      </c>
      <c r="BP849">
        <f t="shared" si="455"/>
        <v>1169</v>
      </c>
      <c r="BQ849" s="17">
        <f t="shared" si="456"/>
        <v>1180</v>
      </c>
      <c r="BR849" t="str">
        <f t="shared" si="457"/>
        <v>opp_team_player_1</v>
      </c>
      <c r="BS849">
        <f>COUNTIFS(S$3:S849,"="&amp;S849,AI$3:AI849,"="&amp;AI849)</f>
        <v>1</v>
      </c>
      <c r="BT849" t="str">
        <f>IFERROR(VLOOKUP(BB849&amp;BU849&amp;X849,game_rosters!U:W,3,FALSE),"")</f>
        <v>P100224</v>
      </c>
      <c r="BU849" t="str">
        <f t="shared" si="458"/>
        <v>Velodrome</v>
      </c>
    </row>
    <row r="850" spans="1:73" x14ac:dyDescent="0.2">
      <c r="A850">
        <f t="shared" si="445"/>
        <v>1</v>
      </c>
      <c r="E850" s="4"/>
      <c r="F850" s="43"/>
      <c r="G850" s="4"/>
      <c r="H850" s="46"/>
      <c r="J850" s="44" t="str">
        <f t="shared" si="459"/>
        <v/>
      </c>
      <c r="K850" t="s">
        <v>13</v>
      </c>
      <c r="L850" t="s">
        <v>756</v>
      </c>
      <c r="M850" t="s">
        <v>756</v>
      </c>
      <c r="N850" t="str">
        <f t="shared" si="430"/>
        <v/>
      </c>
      <c r="Q850" t="str">
        <f t="shared" si="460"/>
        <v/>
      </c>
      <c r="S850">
        <v>459</v>
      </c>
      <c r="U850" t="str">
        <f>IF(B850=1,MAX($U$2:$U849)+1,IF(AND($T850&lt;&gt;"",$T850=$T849),$U849,IF(B850="x",U849,"")))</f>
        <v/>
      </c>
      <c r="V850" t="str">
        <f>IF(C850=1,MAX($V$2:$V849)+1,IF(AND($T850&lt;&gt;"",$T850=$T849),$U849,IF(C850="x",V849,"")))</f>
        <v/>
      </c>
      <c r="W850" t="str">
        <f t="shared" si="434"/>
        <v>h</v>
      </c>
      <c r="X850">
        <v>14</v>
      </c>
      <c r="Y850" t="e">
        <f>IF(X850&lt;&gt;"",VLOOKUP(X850,game_rosters!$C$43:$E$64,3,FALSE))</f>
        <v>#N/A</v>
      </c>
      <c r="Z850" t="str" cm="1">
        <f t="array" ref="Z850">IFERROR(IF(_xlfn._xlws.FILTER(game_rosters!$J:$J,(game_rosters!$G:$G=events!$AN850)*(game_rosters!$J:$J=events!$X850))&gt;0,1,""),"")</f>
        <v/>
      </c>
      <c r="AA850">
        <f t="shared" si="435"/>
        <v>1459</v>
      </c>
      <c r="AB850" t="str">
        <f t="shared" si="436"/>
        <v/>
      </c>
      <c r="AC850">
        <f t="shared" si="433"/>
        <v>1459</v>
      </c>
      <c r="AD850" s="6">
        <v>2</v>
      </c>
      <c r="AE850" t="s">
        <v>732</v>
      </c>
      <c r="AF850" t="s">
        <v>865</v>
      </c>
      <c r="AG850" t="s">
        <v>732</v>
      </c>
      <c r="AH850" t="s">
        <v>905</v>
      </c>
      <c r="AI850" t="s">
        <v>368</v>
      </c>
      <c r="AJ850" t="str">
        <f t="shared" si="437"/>
        <v/>
      </c>
      <c r="AK850" t="str">
        <f t="shared" si="437"/>
        <v/>
      </c>
      <c r="AL850" t="str">
        <f t="shared" si="438"/>
        <v/>
      </c>
      <c r="AN850" t="s">
        <v>861</v>
      </c>
      <c r="AO850" t="str">
        <f t="shared" si="439"/>
        <v>h</v>
      </c>
      <c r="AP850" t="str">
        <f t="shared" si="446"/>
        <v/>
      </c>
      <c r="AQ850" t="str">
        <f t="shared" si="447"/>
        <v/>
      </c>
      <c r="AR850" t="str">
        <f t="shared" si="448"/>
        <v>Home</v>
      </c>
      <c r="AS850" t="str">
        <f t="shared" si="449"/>
        <v>h</v>
      </c>
      <c r="AT850" t="str">
        <f t="shared" si="450"/>
        <v>Defensive</v>
      </c>
      <c r="BA850" s="6">
        <f t="shared" si="440"/>
        <v>228</v>
      </c>
      <c r="BB850">
        <f t="shared" si="441"/>
        <v>18981</v>
      </c>
      <c r="BC850" t="str">
        <f t="shared" si="442"/>
        <v>Nelson</v>
      </c>
      <c r="BD850" t="str">
        <f t="shared" si="443"/>
        <v>Velodrome</v>
      </c>
      <c r="BE850" t="s">
        <v>13</v>
      </c>
      <c r="BF850" t="s">
        <v>756</v>
      </c>
      <c r="BG850" t="s">
        <v>756</v>
      </c>
      <c r="BI850" cm="1">
        <f t="array" ref="BI850">IFERROR(_xlfn._xlws.FILTER(shifts!A:A,(shifts!B:B=events!AD850)*(shifts!AG:AG&gt;=events!BK850)*(shifts!AH:AH&lt;=events!BL850)),BI849)</f>
        <v>41</v>
      </c>
      <c r="BJ850" s="15">
        <f t="shared" si="444"/>
        <v>6</v>
      </c>
      <c r="BK850">
        <f t="shared" si="451"/>
        <v>1058</v>
      </c>
      <c r="BL850">
        <f t="shared" si="452"/>
        <v>1052</v>
      </c>
      <c r="BM850" s="15">
        <f>SUMIFS(BJ$2:BJ850,K$2:K850,"=Intermission")+SUMIFS(BJ$2:BJ850,K$2:K850,"=Timeout")</f>
        <v>72</v>
      </c>
      <c r="BN850">
        <f t="shared" si="453"/>
        <v>1152</v>
      </c>
      <c r="BO850" s="19">
        <f t="shared" si="454"/>
        <v>1174</v>
      </c>
      <c r="BP850">
        <f t="shared" si="455"/>
        <v>1169</v>
      </c>
      <c r="BQ850" s="17">
        <f t="shared" si="456"/>
        <v>1180</v>
      </c>
      <c r="BR850" t="str">
        <f t="shared" si="457"/>
        <v>opp_team_player_2</v>
      </c>
      <c r="BS850">
        <f>COUNTIFS(S$3:S850,"="&amp;S850,AI$3:AI850,"="&amp;AI850)</f>
        <v>2</v>
      </c>
      <c r="BT850" t="str">
        <f>IFERROR(VLOOKUP(BB850&amp;BU850&amp;X850,game_rosters!U:W,3,FALSE),"")</f>
        <v>P100132</v>
      </c>
      <c r="BU850" t="str">
        <f t="shared" si="458"/>
        <v>Velodrome</v>
      </c>
    </row>
    <row r="851" spans="1:73" x14ac:dyDescent="0.2">
      <c r="A851">
        <f t="shared" si="445"/>
        <v>1</v>
      </c>
      <c r="E851" s="4"/>
      <c r="F851" s="43"/>
      <c r="G851" s="4"/>
      <c r="H851" s="46"/>
      <c r="J851" s="44" t="str">
        <f t="shared" si="459"/>
        <v/>
      </c>
      <c r="K851" t="s">
        <v>7</v>
      </c>
      <c r="L851" t="s">
        <v>172</v>
      </c>
      <c r="M851" t="s">
        <v>68</v>
      </c>
      <c r="N851" t="str">
        <f t="shared" si="430"/>
        <v>s</v>
      </c>
      <c r="Q851" t="str">
        <f t="shared" si="460"/>
        <v/>
      </c>
      <c r="S851">
        <v>460</v>
      </c>
      <c r="U851" t="str">
        <f>IF(B851=1,MAX($U$2:$U850)+1,IF(AND($T851&lt;&gt;"",$T851=$T850),$U850,IF(B851="x",U850,"")))</f>
        <v/>
      </c>
      <c r="V851" t="str">
        <f>IF(C851=1,MAX($V$2:$V850)+1,IF(AND($T851&lt;&gt;"",$T851=$T850),$U850,IF(C851="x",V850,"")))</f>
        <v/>
      </c>
      <c r="W851" t="str">
        <f t="shared" si="434"/>
        <v>h</v>
      </c>
      <c r="X851">
        <v>80</v>
      </c>
      <c r="Y851" t="b">
        <f>IF(X851&lt;&gt;"",VLOOKUP(X851,game_rosters!$C$43:$E$64,3,FALSE))</f>
        <v>0</v>
      </c>
      <c r="Z851" cm="1">
        <f t="array" ref="Z851">IFERROR(IF(_xlfn._xlws.FILTER(game_rosters!$J:$J,(game_rosters!$G:$G=events!$AN851)*(game_rosters!$J:$J=events!$X851))&gt;0,1,""),"")</f>
        <v>1</v>
      </c>
      <c r="AA851">
        <f t="shared" si="435"/>
        <v>1460</v>
      </c>
      <c r="AB851" t="str">
        <f t="shared" si="436"/>
        <v/>
      </c>
      <c r="AC851">
        <f t="shared" si="433"/>
        <v>1460</v>
      </c>
      <c r="AD851" s="6">
        <v>2</v>
      </c>
      <c r="AE851" t="s">
        <v>732</v>
      </c>
      <c r="AF851" t="s">
        <v>738</v>
      </c>
      <c r="AG851" t="s">
        <v>756</v>
      </c>
      <c r="AH851" t="s">
        <v>756</v>
      </c>
      <c r="AI851" t="s">
        <v>367</v>
      </c>
      <c r="AJ851" t="str">
        <f t="shared" si="437"/>
        <v/>
      </c>
      <c r="AK851" t="str">
        <f t="shared" si="437"/>
        <v/>
      </c>
      <c r="AL851" t="str">
        <f t="shared" si="438"/>
        <v/>
      </c>
      <c r="AN851" t="s">
        <v>861</v>
      </c>
      <c r="AO851" t="str">
        <f t="shared" si="439"/>
        <v>h</v>
      </c>
      <c r="AP851" t="str">
        <f t="shared" si="446"/>
        <v/>
      </c>
      <c r="AQ851" t="str">
        <f t="shared" si="447"/>
        <v/>
      </c>
      <c r="AR851" t="str">
        <f t="shared" si="448"/>
        <v>Home</v>
      </c>
      <c r="AS851" t="str">
        <f t="shared" si="449"/>
        <v>h</v>
      </c>
      <c r="AT851" t="str">
        <f t="shared" si="450"/>
        <v>Offensive</v>
      </c>
      <c r="BA851" s="6">
        <f t="shared" si="440"/>
        <v>228</v>
      </c>
      <c r="BB851">
        <f t="shared" si="441"/>
        <v>18981</v>
      </c>
      <c r="BC851" t="str">
        <f t="shared" si="442"/>
        <v>Nelson</v>
      </c>
      <c r="BD851" t="str">
        <f t="shared" si="443"/>
        <v>Velodrome</v>
      </c>
      <c r="BE851" t="s">
        <v>7</v>
      </c>
      <c r="BF851" t="s">
        <v>172</v>
      </c>
      <c r="BG851" t="s">
        <v>68</v>
      </c>
      <c r="BI851" cm="1">
        <f t="array" ref="BI851">IFERROR(_xlfn._xlws.FILTER(shifts!A:A,(shifts!B:B=events!AD851)*(shifts!AG:AG&gt;=events!BK851)*(shifts!AH:AH&lt;=events!BL851)),BI850)</f>
        <v>41</v>
      </c>
      <c r="BJ851" s="15">
        <f t="shared" si="444"/>
        <v>0</v>
      </c>
      <c r="BK851">
        <f t="shared" si="451"/>
        <v>1051</v>
      </c>
      <c r="BL851">
        <f t="shared" si="452"/>
        <v>1051</v>
      </c>
      <c r="BM851" s="15">
        <f>SUMIFS(BJ$2:BJ851,K$2:K851,"=Intermission")+SUMIFS(BJ$2:BJ851,K$2:K851,"=Timeout")</f>
        <v>72</v>
      </c>
      <c r="BN851">
        <f t="shared" si="453"/>
        <v>1152</v>
      </c>
      <c r="BO851" s="19">
        <f t="shared" si="454"/>
        <v>1181</v>
      </c>
      <c r="BP851">
        <f t="shared" si="455"/>
        <v>1176</v>
      </c>
      <c r="BQ851" s="17">
        <f t="shared" si="456"/>
        <v>1181</v>
      </c>
      <c r="BR851" t="str">
        <f t="shared" si="457"/>
        <v>event_team_player_1</v>
      </c>
      <c r="BS851">
        <f>COUNTIFS(S$3:S851,"="&amp;S851,AI$3:AI851,"="&amp;AI851)</f>
        <v>1</v>
      </c>
      <c r="BT851" t="str">
        <f>IFERROR(VLOOKUP(BB851&amp;BU851&amp;X851,game_rosters!U:W,3,FALSE),"")</f>
        <v>P100197</v>
      </c>
      <c r="BU851" t="str">
        <f t="shared" si="458"/>
        <v>Nelson</v>
      </c>
    </row>
    <row r="852" spans="1:73" x14ac:dyDescent="0.2">
      <c r="A852">
        <f t="shared" si="445"/>
        <v>1</v>
      </c>
      <c r="E852" s="4"/>
      <c r="F852" s="43"/>
      <c r="G852" s="4"/>
      <c r="H852" s="46"/>
      <c r="J852" s="44" t="str">
        <f t="shared" si="459"/>
        <v/>
      </c>
      <c r="K852" t="s">
        <v>7</v>
      </c>
      <c r="L852" t="s">
        <v>172</v>
      </c>
      <c r="M852" t="s">
        <v>68</v>
      </c>
      <c r="N852" t="str">
        <f t="shared" si="430"/>
        <v>s</v>
      </c>
      <c r="Q852" t="str">
        <f t="shared" si="460"/>
        <v/>
      </c>
      <c r="S852">
        <v>460</v>
      </c>
      <c r="U852" t="str">
        <f>IF(B852=1,MAX($U$2:$U851)+1,IF(AND($T852&lt;&gt;"",$T852=$T851),$U851,IF(B852="x",U851,"")))</f>
        <v/>
      </c>
      <c r="V852" t="str">
        <f>IF(C852=1,MAX($V$2:$V851)+1,IF(AND($T852&lt;&gt;"",$T852=$T851),$U851,IF(C852="x",V851,"")))</f>
        <v/>
      </c>
      <c r="W852" t="str">
        <f t="shared" si="434"/>
        <v>h</v>
      </c>
      <c r="X852">
        <v>10</v>
      </c>
      <c r="Y852" t="b">
        <f>IF(X852&lt;&gt;"",VLOOKUP(X852,game_rosters!$C$43:$E$64,3,FALSE))</f>
        <v>0</v>
      </c>
      <c r="Z852" cm="1">
        <f t="array" ref="Z852">IFERROR(IF(_xlfn._xlws.FILTER(game_rosters!$J:$J,(game_rosters!$G:$G=events!$AN852)*(game_rosters!$J:$J=events!$X852))&gt;0,1,""),"")</f>
        <v>1</v>
      </c>
      <c r="AA852">
        <f t="shared" si="435"/>
        <v>1460</v>
      </c>
      <c r="AB852" t="str">
        <f t="shared" si="436"/>
        <v/>
      </c>
      <c r="AC852">
        <f t="shared" si="433"/>
        <v>1460</v>
      </c>
      <c r="AD852" s="6">
        <v>2</v>
      </c>
      <c r="AE852" t="s">
        <v>732</v>
      </c>
      <c r="AF852" t="s">
        <v>738</v>
      </c>
      <c r="AG852" t="s">
        <v>756</v>
      </c>
      <c r="AH852" t="s">
        <v>756</v>
      </c>
      <c r="AI852" t="s">
        <v>367</v>
      </c>
      <c r="AJ852" t="str">
        <f t="shared" ref="AJ852:AK867" si="461">IF($J852&lt;&gt;"",$J852,IF($AC852=$AC851,AJ851,""))</f>
        <v/>
      </c>
      <c r="AK852" t="str">
        <f t="shared" si="461"/>
        <v/>
      </c>
      <c r="AL852" t="str">
        <f t="shared" si="438"/>
        <v/>
      </c>
      <c r="AN852" t="s">
        <v>861</v>
      </c>
      <c r="AO852" t="str">
        <f t="shared" si="439"/>
        <v>h</v>
      </c>
      <c r="AP852" t="str">
        <f t="shared" si="446"/>
        <v/>
      </c>
      <c r="AQ852" t="str">
        <f t="shared" si="447"/>
        <v/>
      </c>
      <c r="AR852" t="str">
        <f t="shared" si="448"/>
        <v>Home</v>
      </c>
      <c r="AS852" t="str">
        <f t="shared" si="449"/>
        <v>h</v>
      </c>
      <c r="AT852" t="str">
        <f t="shared" si="450"/>
        <v>Offensive</v>
      </c>
      <c r="BA852" s="6">
        <f t="shared" si="440"/>
        <v>228</v>
      </c>
      <c r="BB852">
        <f t="shared" si="441"/>
        <v>18981</v>
      </c>
      <c r="BC852" t="str">
        <f t="shared" si="442"/>
        <v>Nelson</v>
      </c>
      <c r="BD852" t="str">
        <f t="shared" si="443"/>
        <v>Velodrome</v>
      </c>
      <c r="BE852" t="s">
        <v>7</v>
      </c>
      <c r="BF852" t="s">
        <v>172</v>
      </c>
      <c r="BG852" t="s">
        <v>68</v>
      </c>
      <c r="BI852" cm="1">
        <f t="array" ref="BI852">IFERROR(_xlfn._xlws.FILTER(shifts!A:A,(shifts!B:B=events!AD852)*(shifts!AG:AG&gt;=events!BK852)*(shifts!AH:AH&lt;=events!BL852)),BI851)</f>
        <v>41</v>
      </c>
      <c r="BJ852" s="15">
        <f t="shared" si="444"/>
        <v>0</v>
      </c>
      <c r="BK852">
        <f t="shared" si="451"/>
        <v>1051</v>
      </c>
      <c r="BL852">
        <f t="shared" si="452"/>
        <v>1051</v>
      </c>
      <c r="BM852" s="15">
        <f>SUMIFS(BJ$2:BJ852,K$2:K852,"=Intermission")+SUMIFS(BJ$2:BJ852,K$2:K852,"=Timeout")</f>
        <v>72</v>
      </c>
      <c r="BN852">
        <f t="shared" si="453"/>
        <v>1152</v>
      </c>
      <c r="BO852" s="19">
        <f t="shared" si="454"/>
        <v>1181</v>
      </c>
      <c r="BP852">
        <f t="shared" si="455"/>
        <v>1176</v>
      </c>
      <c r="BQ852" s="17">
        <f t="shared" si="456"/>
        <v>1181</v>
      </c>
      <c r="BR852" t="str">
        <f t="shared" si="457"/>
        <v>event_team_player_2</v>
      </c>
      <c r="BS852">
        <f>COUNTIFS(S$3:S852,"="&amp;S852,AI$3:AI852,"="&amp;AI852)</f>
        <v>2</v>
      </c>
      <c r="BT852" t="str">
        <f>IFERROR(VLOOKUP(BB852&amp;BU852&amp;X852,game_rosters!U:W,3,FALSE),"")</f>
        <v>P100078</v>
      </c>
      <c r="BU852" t="str">
        <f t="shared" si="458"/>
        <v>Nelson</v>
      </c>
    </row>
    <row r="853" spans="1:73" x14ac:dyDescent="0.2">
      <c r="A853">
        <f t="shared" si="445"/>
        <v>1</v>
      </c>
      <c r="E853" s="4"/>
      <c r="F853" s="43"/>
      <c r="G853" s="4"/>
      <c r="H853" s="46"/>
      <c r="J853" s="44" t="str">
        <f t="shared" si="459"/>
        <v/>
      </c>
      <c r="K853" t="s">
        <v>13</v>
      </c>
      <c r="L853" t="s">
        <v>756</v>
      </c>
      <c r="M853" t="s">
        <v>756</v>
      </c>
      <c r="N853" t="str">
        <f t="shared" ref="N853:N860" si="462">IF(K853="","",IF(K853="Goal","s",IF(AND(K853="Zone_Entry_Exit",OR(ISNUMBER(SEARCH("fail",L853)),ISNUMBER(SEARCH("FromExitClear",M853)),ISNUMBER(SEARCH("miss",M853)))),"u",IF(AND(K853="Zone_Entry_Exit",OR(NOT(ISNUMBER(SEARCH("fail",L853))),NOT(ISNUMBER(SEARCH("FromExitClear",M853))),NOT(ISNUMBER(SEARCH("miss",M853))))),"s",IF(AND(OR(K853="Shot",K853="Pass"),OR(ISNUMBER(SEARCH("complete",L853)),ISNUMBER(SEARCH("goal",L853)),ISNUMBER(SEARCH("OnNet",L853)))),"s",IF(L853="Turnover_Giveaway","u",IF(AND(OR(K853="Shot",K853="Pass"),OR(ISNUMBER(SEARCH("fail",L853)),NOT(ISNUMBER(SEARCH("complete",L853))),NOT(ISNUMBER(SEARCH("OnNet",L853))))),"u","")))))))</f>
        <v/>
      </c>
      <c r="Q853" t="str">
        <f t="shared" si="460"/>
        <v/>
      </c>
      <c r="S853">
        <v>461</v>
      </c>
      <c r="U853" t="str">
        <f>IF(B853=1,MAX($U$2:$U852)+1,IF(AND($T853&lt;&gt;"",$T853=$T852),$U852,IF(B853="x",U852,"")))</f>
        <v/>
      </c>
      <c r="V853" t="str">
        <f>IF(C853=1,MAX($V$2:$V852)+1,IF(AND($T853&lt;&gt;"",$T853=$T852),$U852,IF(C853="x",V852,"")))</f>
        <v/>
      </c>
      <c r="W853" t="str">
        <f t="shared" si="434"/>
        <v>h</v>
      </c>
      <c r="X853">
        <v>10</v>
      </c>
      <c r="Y853" t="b">
        <f>IF(X853&lt;&gt;"",VLOOKUP(X853,game_rosters!$C$43:$E$64,3,FALSE))</f>
        <v>0</v>
      </c>
      <c r="Z853" cm="1">
        <f t="array" ref="Z853">IFERROR(IF(_xlfn._xlws.FILTER(game_rosters!$J:$J,(game_rosters!$G:$G=events!$AN853)*(game_rosters!$J:$J=events!$X853))&gt;0,1,""),"")</f>
        <v>1</v>
      </c>
      <c r="AA853">
        <f t="shared" si="435"/>
        <v>1461</v>
      </c>
      <c r="AB853" t="str">
        <f t="shared" si="436"/>
        <v/>
      </c>
      <c r="AC853">
        <f t="shared" si="433"/>
        <v>1461</v>
      </c>
      <c r="AD853" s="6">
        <v>2</v>
      </c>
      <c r="AE853" t="s">
        <v>732</v>
      </c>
      <c r="AF853" t="s">
        <v>738</v>
      </c>
      <c r="AG853" t="s">
        <v>732</v>
      </c>
      <c r="AH853" t="s">
        <v>930</v>
      </c>
      <c r="AI853" t="s">
        <v>367</v>
      </c>
      <c r="AJ853" t="str">
        <f t="shared" si="461"/>
        <v/>
      </c>
      <c r="AK853" t="str">
        <f t="shared" si="461"/>
        <v/>
      </c>
      <c r="AL853" t="str">
        <f t="shared" si="438"/>
        <v/>
      </c>
      <c r="AN853" t="s">
        <v>861</v>
      </c>
      <c r="AO853" t="str">
        <f t="shared" si="439"/>
        <v>h</v>
      </c>
      <c r="AP853" t="str">
        <f t="shared" si="446"/>
        <v/>
      </c>
      <c r="AQ853" t="str">
        <f t="shared" si="447"/>
        <v/>
      </c>
      <c r="AR853" t="str">
        <f t="shared" si="448"/>
        <v>Home</v>
      </c>
      <c r="AS853" t="str">
        <f t="shared" si="449"/>
        <v>h</v>
      </c>
      <c r="AT853" t="str">
        <f t="shared" si="450"/>
        <v>Offensive</v>
      </c>
      <c r="BA853" s="6">
        <f t="shared" si="440"/>
        <v>228</v>
      </c>
      <c r="BB853">
        <f t="shared" si="441"/>
        <v>18981</v>
      </c>
      <c r="BC853" t="str">
        <f t="shared" si="442"/>
        <v>Nelson</v>
      </c>
      <c r="BD853" t="str">
        <f t="shared" si="443"/>
        <v>Velodrome</v>
      </c>
      <c r="BE853" t="s">
        <v>13</v>
      </c>
      <c r="BF853" t="s">
        <v>756</v>
      </c>
      <c r="BG853" t="s">
        <v>756</v>
      </c>
      <c r="BI853" cm="1">
        <f t="array" ref="BI853">IFERROR(_xlfn._xlws.FILTER(shifts!A:A,(shifts!B:B=events!AD853)*(shifts!AG:AG&gt;=events!BK853)*(shifts!AH:AH&lt;=events!BL853)),BI852)</f>
        <v>41</v>
      </c>
      <c r="BJ853" s="15">
        <f t="shared" si="444"/>
        <v>3</v>
      </c>
      <c r="BK853">
        <f t="shared" si="451"/>
        <v>1051</v>
      </c>
      <c r="BL853">
        <f t="shared" si="452"/>
        <v>1048</v>
      </c>
      <c r="BM853" s="15">
        <f>SUMIFS(BJ$2:BJ853,K$2:K853,"=Intermission")+SUMIFS(BJ$2:BJ853,K$2:K853,"=Timeout")</f>
        <v>72</v>
      </c>
      <c r="BN853">
        <f t="shared" si="453"/>
        <v>1152</v>
      </c>
      <c r="BO853" s="19">
        <f t="shared" si="454"/>
        <v>1181</v>
      </c>
      <c r="BP853">
        <f t="shared" si="455"/>
        <v>1176</v>
      </c>
      <c r="BQ853" s="17">
        <f t="shared" si="456"/>
        <v>1184</v>
      </c>
      <c r="BR853" t="str">
        <f t="shared" si="457"/>
        <v>event_team_player_1</v>
      </c>
      <c r="BS853">
        <f>COUNTIFS(S$3:S853,"="&amp;S853,AI$3:AI853,"="&amp;AI853)</f>
        <v>1</v>
      </c>
      <c r="BT853" t="str">
        <f>IFERROR(VLOOKUP(BB853&amp;BU853&amp;X853,game_rosters!U:W,3,FALSE),"")</f>
        <v>P100078</v>
      </c>
      <c r="BU853" t="str">
        <f t="shared" si="458"/>
        <v>Nelson</v>
      </c>
    </row>
    <row r="854" spans="1:73" x14ac:dyDescent="0.2">
      <c r="A854">
        <f t="shared" si="445"/>
        <v>1</v>
      </c>
      <c r="E854" s="4"/>
      <c r="F854" s="43"/>
      <c r="G854" s="4"/>
      <c r="H854" s="46"/>
      <c r="J854" s="44" t="str">
        <f t="shared" si="459"/>
        <v>o</v>
      </c>
      <c r="K854" t="s">
        <v>6</v>
      </c>
      <c r="L854" t="s">
        <v>240</v>
      </c>
      <c r="M854" t="s">
        <v>756</v>
      </c>
      <c r="N854" t="str">
        <f t="shared" si="462"/>
        <v>s</v>
      </c>
      <c r="Q854" t="str">
        <f t="shared" si="460"/>
        <v/>
      </c>
      <c r="S854">
        <v>462</v>
      </c>
      <c r="U854" t="str">
        <f>IF(B854=1,MAX($U$2:$U853)+1,IF(AND($T854&lt;&gt;"",$T854=$T853),$U853,IF(B854="x",U853,"")))</f>
        <v/>
      </c>
      <c r="V854" t="str">
        <f>IF(C854=1,MAX($V$2:$V853)+1,IF(AND($T854&lt;&gt;"",$T854=$T853),$U853,IF(C854="x",V853,"")))</f>
        <v/>
      </c>
      <c r="W854" t="str">
        <f t="shared" si="434"/>
        <v>h</v>
      </c>
      <c r="X854">
        <v>10</v>
      </c>
      <c r="Y854" t="b">
        <f>IF(X854&lt;&gt;"",VLOOKUP(X854,game_rosters!$C$43:$E$64,3,FALSE))</f>
        <v>0</v>
      </c>
      <c r="Z854" cm="1">
        <f t="array" ref="Z854">IFERROR(IF(_xlfn._xlws.FILTER(game_rosters!$J:$J,(game_rosters!$G:$G=events!$AN854)*(game_rosters!$J:$J=events!$X854))&gt;0,1,""),"")</f>
        <v>1</v>
      </c>
      <c r="AA854">
        <f t="shared" si="435"/>
        <v>1462</v>
      </c>
      <c r="AB854" t="str">
        <f t="shared" si="436"/>
        <v/>
      </c>
      <c r="AC854">
        <f t="shared" si="433"/>
        <v>1462</v>
      </c>
      <c r="AD854" s="6">
        <v>2</v>
      </c>
      <c r="AE854" t="s">
        <v>732</v>
      </c>
      <c r="AF854" t="s">
        <v>930</v>
      </c>
      <c r="AG854" t="s">
        <v>756</v>
      </c>
      <c r="AH854" t="s">
        <v>756</v>
      </c>
      <c r="AI854" t="s">
        <v>367</v>
      </c>
      <c r="AJ854" t="str">
        <f t="shared" si="461"/>
        <v>o</v>
      </c>
      <c r="AK854" t="str">
        <f t="shared" si="461"/>
        <v>o</v>
      </c>
      <c r="AL854" t="str">
        <f t="shared" si="438"/>
        <v>o</v>
      </c>
      <c r="AN854" t="s">
        <v>861</v>
      </c>
      <c r="AO854" t="str">
        <f t="shared" si="439"/>
        <v>h</v>
      </c>
      <c r="AP854" t="str">
        <f t="shared" si="446"/>
        <v>o</v>
      </c>
      <c r="AQ854" t="str">
        <f t="shared" si="447"/>
        <v/>
      </c>
      <c r="AR854" t="str">
        <f t="shared" si="448"/>
        <v>Home</v>
      </c>
      <c r="AS854" t="str">
        <f t="shared" si="449"/>
        <v>h</v>
      </c>
      <c r="AT854" t="str">
        <f t="shared" si="450"/>
        <v>Offensive</v>
      </c>
      <c r="BA854" s="6">
        <f t="shared" si="440"/>
        <v>228</v>
      </c>
      <c r="BB854">
        <f t="shared" si="441"/>
        <v>18981</v>
      </c>
      <c r="BC854" t="str">
        <f t="shared" si="442"/>
        <v>Nelson</v>
      </c>
      <c r="BD854" t="str">
        <f t="shared" si="443"/>
        <v>Velodrome</v>
      </c>
      <c r="BE854" t="s">
        <v>6</v>
      </c>
      <c r="BF854" t="s">
        <v>240</v>
      </c>
      <c r="BG854" t="s">
        <v>756</v>
      </c>
      <c r="BI854" cm="1">
        <f t="array" ref="BI854">IFERROR(_xlfn._xlws.FILTER(shifts!A:A,(shifts!B:B=events!AD854)*(shifts!AG:AG&gt;=events!BK854)*(shifts!AH:AH&lt;=events!BL854)),BI853)</f>
        <v>41</v>
      </c>
      <c r="BJ854" s="15">
        <f t="shared" si="444"/>
        <v>0</v>
      </c>
      <c r="BK854">
        <f t="shared" si="451"/>
        <v>1048</v>
      </c>
      <c r="BL854">
        <f t="shared" si="452"/>
        <v>1048</v>
      </c>
      <c r="BM854" s="15">
        <f>SUMIFS(BJ$2:BJ854,K$2:K854,"=Intermission")+SUMIFS(BJ$2:BJ854,K$2:K854,"=Timeout")</f>
        <v>72</v>
      </c>
      <c r="BN854">
        <f t="shared" si="453"/>
        <v>1152</v>
      </c>
      <c r="BO854" s="19">
        <f t="shared" si="454"/>
        <v>1184</v>
      </c>
      <c r="BP854">
        <f t="shared" si="455"/>
        <v>1179</v>
      </c>
      <c r="BQ854" s="17">
        <f t="shared" si="456"/>
        <v>1184</v>
      </c>
      <c r="BR854" t="str">
        <f t="shared" si="457"/>
        <v>event_team_player_1</v>
      </c>
      <c r="BS854">
        <f>COUNTIFS(S$3:S854,"="&amp;S854,AI$3:AI854,"="&amp;AI854)</f>
        <v>1</v>
      </c>
      <c r="BT854" t="str">
        <f>IFERROR(VLOOKUP(BB854&amp;BU854&amp;X854,game_rosters!U:W,3,FALSE),"")</f>
        <v>P100078</v>
      </c>
      <c r="BU854" t="str">
        <f t="shared" si="458"/>
        <v>Nelson</v>
      </c>
    </row>
    <row r="855" spans="1:73" x14ac:dyDescent="0.2">
      <c r="A855">
        <f t="shared" si="445"/>
        <v>1</v>
      </c>
      <c r="E855" s="4"/>
      <c r="F855" s="43"/>
      <c r="G855" s="4"/>
      <c r="H855" s="46"/>
      <c r="J855" s="44" t="str">
        <f t="shared" si="459"/>
        <v>o</v>
      </c>
      <c r="K855" t="s">
        <v>6</v>
      </c>
      <c r="L855" t="s">
        <v>240</v>
      </c>
      <c r="M855" t="s">
        <v>756</v>
      </c>
      <c r="N855" t="str">
        <f t="shared" si="462"/>
        <v>s</v>
      </c>
      <c r="Q855" t="str">
        <f t="shared" si="460"/>
        <v/>
      </c>
      <c r="S855">
        <v>462</v>
      </c>
      <c r="U855" t="str">
        <f>IF(B855=1,MAX($U$2:$U854)+1,IF(AND($T855&lt;&gt;"",$T855=$T854),$U854,IF(B855="x",U854,"")))</f>
        <v/>
      </c>
      <c r="V855" t="str">
        <f>IF(C855=1,MAX($V$2:$V854)+1,IF(AND($T855&lt;&gt;"",$T855=$T854),$U854,IF(C855="x",V854,"")))</f>
        <v/>
      </c>
      <c r="W855" t="str">
        <f t="shared" si="434"/>
        <v>h</v>
      </c>
      <c r="X855">
        <v>16</v>
      </c>
      <c r="Y855" t="b">
        <f>IF(X855&lt;&gt;"",VLOOKUP(X855,game_rosters!$C$43:$E$64,3,FALSE))</f>
        <v>0</v>
      </c>
      <c r="Z855" cm="1">
        <f t="array" ref="Z855">IFERROR(IF(_xlfn._xlws.FILTER(game_rosters!$J:$J,(game_rosters!$G:$G=events!$AN855)*(game_rosters!$J:$J=events!$X855))&gt;0,1,""),"")</f>
        <v>1</v>
      </c>
      <c r="AA855">
        <f t="shared" si="435"/>
        <v>1462</v>
      </c>
      <c r="AB855" t="str">
        <f t="shared" si="436"/>
        <v/>
      </c>
      <c r="AC855">
        <f t="shared" si="433"/>
        <v>1462</v>
      </c>
      <c r="AD855" s="6">
        <v>2</v>
      </c>
      <c r="AE855" t="s">
        <v>732</v>
      </c>
      <c r="AF855" t="s">
        <v>930</v>
      </c>
      <c r="AG855" t="s">
        <v>756</v>
      </c>
      <c r="AH855" t="s">
        <v>756</v>
      </c>
      <c r="AI855" t="s">
        <v>367</v>
      </c>
      <c r="AJ855" t="str">
        <f t="shared" si="461"/>
        <v>o</v>
      </c>
      <c r="AK855" t="str">
        <f t="shared" si="461"/>
        <v>o</v>
      </c>
      <c r="AL855" t="str">
        <f t="shared" si="438"/>
        <v>o</v>
      </c>
      <c r="AN855" t="s">
        <v>861</v>
      </c>
      <c r="AO855" t="str">
        <f t="shared" si="439"/>
        <v>h</v>
      </c>
      <c r="AP855" t="str">
        <f t="shared" si="446"/>
        <v>o</v>
      </c>
      <c r="AQ855" t="str">
        <f t="shared" si="447"/>
        <v/>
      </c>
      <c r="AR855" t="str">
        <f t="shared" si="448"/>
        <v>Home</v>
      </c>
      <c r="AS855" t="str">
        <f t="shared" si="449"/>
        <v>h</v>
      </c>
      <c r="AT855" t="str">
        <f t="shared" si="450"/>
        <v>Offensive</v>
      </c>
      <c r="BA855" s="6">
        <f t="shared" si="440"/>
        <v>228</v>
      </c>
      <c r="BB855">
        <f t="shared" si="441"/>
        <v>18981</v>
      </c>
      <c r="BC855" t="str">
        <f t="shared" si="442"/>
        <v>Nelson</v>
      </c>
      <c r="BD855" t="str">
        <f t="shared" si="443"/>
        <v>Velodrome</v>
      </c>
      <c r="BE855" t="s">
        <v>6</v>
      </c>
      <c r="BF855" t="s">
        <v>240</v>
      </c>
      <c r="BG855" t="s">
        <v>756</v>
      </c>
      <c r="BI855" cm="1">
        <f t="array" ref="BI855">IFERROR(_xlfn._xlws.FILTER(shifts!A:A,(shifts!B:B=events!AD855)*(shifts!AG:AG&gt;=events!BK855)*(shifts!AH:AH&lt;=events!BL855)),BI854)</f>
        <v>41</v>
      </c>
      <c r="BJ855" s="15">
        <f t="shared" si="444"/>
        <v>0</v>
      </c>
      <c r="BK855">
        <f t="shared" si="451"/>
        <v>1048</v>
      </c>
      <c r="BL855">
        <f t="shared" si="452"/>
        <v>1048</v>
      </c>
      <c r="BM855" s="15">
        <f>SUMIFS(BJ$2:BJ855,K$2:K855,"=Intermission")+SUMIFS(BJ$2:BJ855,K$2:K855,"=Timeout")</f>
        <v>72</v>
      </c>
      <c r="BN855">
        <f t="shared" si="453"/>
        <v>1152</v>
      </c>
      <c r="BO855" s="19">
        <f t="shared" si="454"/>
        <v>1184</v>
      </c>
      <c r="BP855">
        <f t="shared" si="455"/>
        <v>1179</v>
      </c>
      <c r="BQ855" s="17">
        <f t="shared" si="456"/>
        <v>1184</v>
      </c>
      <c r="BR855" t="str">
        <f t="shared" si="457"/>
        <v>event_team_player_2</v>
      </c>
      <c r="BS855">
        <f>COUNTIFS(S$3:S855,"="&amp;S855,AI$3:AI855,"="&amp;AI855)</f>
        <v>2</v>
      </c>
      <c r="BT855" t="str">
        <f>IFERROR(VLOOKUP(BB855&amp;BU855&amp;X855,game_rosters!U:W,3,FALSE),"")</f>
        <v>P100164</v>
      </c>
      <c r="BU855" t="str">
        <f t="shared" si="458"/>
        <v>Nelson</v>
      </c>
    </row>
    <row r="856" spans="1:73" x14ac:dyDescent="0.2">
      <c r="A856">
        <f t="shared" si="445"/>
        <v>1</v>
      </c>
      <c r="E856" s="4"/>
      <c r="F856" s="43"/>
      <c r="G856" s="4"/>
      <c r="H856" s="46"/>
      <c r="J856" s="44" t="str">
        <f t="shared" si="459"/>
        <v>o</v>
      </c>
      <c r="K856" t="s">
        <v>6</v>
      </c>
      <c r="L856" t="s">
        <v>240</v>
      </c>
      <c r="M856" t="s">
        <v>756</v>
      </c>
      <c r="N856" t="str">
        <f t="shared" si="462"/>
        <v>s</v>
      </c>
      <c r="Q856" t="str">
        <f t="shared" si="460"/>
        <v/>
      </c>
      <c r="S856">
        <v>462</v>
      </c>
      <c r="U856" t="str">
        <f>IF(B856=1,MAX($U$2:$U855)+1,IF(AND($T856&lt;&gt;"",$T856=$T855),$U855,IF(B856="x",U855,"")))</f>
        <v/>
      </c>
      <c r="V856" t="str">
        <f>IF(C856=1,MAX($V$2:$V855)+1,IF(AND($T856&lt;&gt;"",$T856=$T855),$U855,IF(C856="x",V855,"")))</f>
        <v/>
      </c>
      <c r="W856" t="str">
        <f t="shared" si="434"/>
        <v>h</v>
      </c>
      <c r="X856">
        <v>39</v>
      </c>
      <c r="Y856" t="e">
        <f>IF(X856&lt;&gt;"",VLOOKUP(X856,game_rosters!$C$43:$E$64,3,FALSE))</f>
        <v>#N/A</v>
      </c>
      <c r="Z856" t="str" cm="1">
        <f t="array" ref="Z856">IFERROR(IF(_xlfn._xlws.FILTER(game_rosters!$J:$J,(game_rosters!$G:$G=events!$AN856)*(game_rosters!$J:$J=events!$X856))&gt;0,1,""),"")</f>
        <v/>
      </c>
      <c r="AA856">
        <f t="shared" si="435"/>
        <v>1462</v>
      </c>
      <c r="AB856" t="str">
        <f t="shared" si="436"/>
        <v/>
      </c>
      <c r="AC856">
        <f t="shared" si="433"/>
        <v>1462</v>
      </c>
      <c r="AD856" s="6">
        <v>2</v>
      </c>
      <c r="AE856" t="s">
        <v>732</v>
      </c>
      <c r="AF856" t="s">
        <v>930</v>
      </c>
      <c r="AG856" t="s">
        <v>756</v>
      </c>
      <c r="AH856" t="s">
        <v>756</v>
      </c>
      <c r="AI856" t="s">
        <v>368</v>
      </c>
      <c r="AJ856" t="str">
        <f t="shared" si="461"/>
        <v>o</v>
      </c>
      <c r="AK856" t="str">
        <f t="shared" si="461"/>
        <v>o</v>
      </c>
      <c r="AL856" t="str">
        <f t="shared" si="438"/>
        <v>o</v>
      </c>
      <c r="AN856" t="s">
        <v>861</v>
      </c>
      <c r="AO856" t="str">
        <f t="shared" si="439"/>
        <v>h</v>
      </c>
      <c r="AP856" t="str">
        <f t="shared" si="446"/>
        <v>o</v>
      </c>
      <c r="AQ856" t="str">
        <f t="shared" si="447"/>
        <v/>
      </c>
      <c r="AR856" t="str">
        <f t="shared" si="448"/>
        <v>Home</v>
      </c>
      <c r="AS856" t="str">
        <f t="shared" si="449"/>
        <v>h</v>
      </c>
      <c r="AT856" t="str">
        <f t="shared" si="450"/>
        <v>Defensive</v>
      </c>
      <c r="BA856" s="6">
        <f t="shared" si="440"/>
        <v>228</v>
      </c>
      <c r="BB856">
        <f t="shared" si="441"/>
        <v>18981</v>
      </c>
      <c r="BC856" t="str">
        <f t="shared" si="442"/>
        <v>Nelson</v>
      </c>
      <c r="BD856" t="str">
        <f t="shared" si="443"/>
        <v>Velodrome</v>
      </c>
      <c r="BE856" t="s">
        <v>6</v>
      </c>
      <c r="BF856" t="s">
        <v>240</v>
      </c>
      <c r="BG856" t="s">
        <v>756</v>
      </c>
      <c r="BI856" cm="1">
        <f t="array" ref="BI856">IFERROR(_xlfn._xlws.FILTER(shifts!A:A,(shifts!B:B=events!AD856)*(shifts!AG:AG&gt;=events!BK856)*(shifts!AH:AH&lt;=events!BL856)),BI855)</f>
        <v>41</v>
      </c>
      <c r="BJ856" s="15">
        <f t="shared" si="444"/>
        <v>0</v>
      </c>
      <c r="BK856">
        <f t="shared" si="451"/>
        <v>1048</v>
      </c>
      <c r="BL856">
        <f t="shared" si="452"/>
        <v>1048</v>
      </c>
      <c r="BM856" s="15">
        <f>SUMIFS(BJ$2:BJ856,K$2:K856,"=Intermission")+SUMIFS(BJ$2:BJ856,K$2:K856,"=Timeout")</f>
        <v>72</v>
      </c>
      <c r="BN856">
        <f t="shared" si="453"/>
        <v>1152</v>
      </c>
      <c r="BO856" s="19">
        <f t="shared" si="454"/>
        <v>1184</v>
      </c>
      <c r="BP856">
        <f t="shared" si="455"/>
        <v>1179</v>
      </c>
      <c r="BQ856" s="17">
        <f t="shared" si="456"/>
        <v>1184</v>
      </c>
      <c r="BR856" t="str">
        <f t="shared" si="457"/>
        <v>opp_team_player_1</v>
      </c>
      <c r="BS856">
        <f>COUNTIFS(S$3:S856,"="&amp;S856,AI$3:AI856,"="&amp;AI856)</f>
        <v>1</v>
      </c>
      <c r="BT856" t="str">
        <f>IFERROR(VLOOKUP(BB856&amp;BU856&amp;X856,game_rosters!U:W,3,FALSE),"")</f>
        <v>P100016</v>
      </c>
      <c r="BU856" t="str">
        <f t="shared" si="458"/>
        <v>Velodrome</v>
      </c>
    </row>
    <row r="857" spans="1:73" x14ac:dyDescent="0.2">
      <c r="A857">
        <f t="shared" si="445"/>
        <v>1</v>
      </c>
      <c r="E857" s="4"/>
      <c r="F857" s="43"/>
      <c r="G857" s="4"/>
      <c r="H857" s="46"/>
      <c r="J857" s="44" t="str">
        <f t="shared" si="459"/>
        <v>o</v>
      </c>
      <c r="K857" t="s">
        <v>8</v>
      </c>
      <c r="L857" t="s">
        <v>213</v>
      </c>
      <c r="M857" t="s">
        <v>216</v>
      </c>
      <c r="N857" t="str">
        <f t="shared" si="462"/>
        <v>s</v>
      </c>
      <c r="Q857" t="str">
        <f t="shared" si="460"/>
        <v/>
      </c>
      <c r="S857">
        <v>463</v>
      </c>
      <c r="U857" t="str">
        <f>IF(B857=1,MAX($U$2:$U856)+1,IF(AND($T857&lt;&gt;"",$T857=$T856),$U856,IF(B857="x",U856,"")))</f>
        <v/>
      </c>
      <c r="V857" t="str">
        <f>IF(C857=1,MAX($V$2:$V856)+1,IF(AND($T857&lt;&gt;"",$T857=$T856),$U856,IF(C857="x",V856,"")))</f>
        <v/>
      </c>
      <c r="W857" t="str">
        <f t="shared" si="434"/>
        <v>h</v>
      </c>
      <c r="X857">
        <v>10</v>
      </c>
      <c r="Y857" t="b">
        <f>IF(X857&lt;&gt;"",VLOOKUP(X857,game_rosters!$C$43:$E$64,3,FALSE))</f>
        <v>0</v>
      </c>
      <c r="Z857" cm="1">
        <f t="array" ref="Z857">IFERROR(IF(_xlfn._xlws.FILTER(game_rosters!$J:$J,(game_rosters!$G:$G=events!$AN857)*(game_rosters!$J:$J=events!$X857))&gt;0,1,""),"")</f>
        <v>1</v>
      </c>
      <c r="AA857">
        <f t="shared" si="435"/>
        <v>1463</v>
      </c>
      <c r="AB857" t="str">
        <f t="shared" si="436"/>
        <v/>
      </c>
      <c r="AC857">
        <f t="shared" si="433"/>
        <v>1463</v>
      </c>
      <c r="AD857" s="6">
        <v>2</v>
      </c>
      <c r="AE857" t="s">
        <v>732</v>
      </c>
      <c r="AF857" t="s">
        <v>930</v>
      </c>
      <c r="AG857" t="s">
        <v>756</v>
      </c>
      <c r="AH857" t="s">
        <v>756</v>
      </c>
      <c r="AI857" t="s">
        <v>367</v>
      </c>
      <c r="AJ857" t="str">
        <f t="shared" si="461"/>
        <v>o</v>
      </c>
      <c r="AK857" t="str">
        <f t="shared" si="461"/>
        <v>o</v>
      </c>
      <c r="AL857" t="str">
        <f t="shared" si="438"/>
        <v>o</v>
      </c>
      <c r="AN857" t="s">
        <v>861</v>
      </c>
      <c r="AO857" t="str">
        <f t="shared" si="439"/>
        <v>h</v>
      </c>
      <c r="AP857" t="str">
        <f t="shared" si="446"/>
        <v>o</v>
      </c>
      <c r="AQ857" t="str">
        <f t="shared" si="447"/>
        <v/>
      </c>
      <c r="AR857" t="str">
        <f t="shared" si="448"/>
        <v>Home</v>
      </c>
      <c r="AS857" t="str">
        <f t="shared" si="449"/>
        <v>h</v>
      </c>
      <c r="AT857" t="str">
        <f t="shared" si="450"/>
        <v>Offensive</v>
      </c>
      <c r="BA857" s="6">
        <f t="shared" si="440"/>
        <v>228</v>
      </c>
      <c r="BB857">
        <f t="shared" si="441"/>
        <v>18981</v>
      </c>
      <c r="BC857" t="str">
        <f t="shared" si="442"/>
        <v>Nelson</v>
      </c>
      <c r="BD857" t="str">
        <f t="shared" si="443"/>
        <v>Velodrome</v>
      </c>
      <c r="BE857" t="s">
        <v>8</v>
      </c>
      <c r="BF857" t="s">
        <v>213</v>
      </c>
      <c r="BG857" t="s">
        <v>216</v>
      </c>
      <c r="BI857" cm="1">
        <f t="array" ref="BI857">IFERROR(_xlfn._xlws.FILTER(shifts!A:A,(shifts!B:B=events!AD857)*(shifts!AG:AG&gt;=events!BK857)*(shifts!AH:AH&lt;=events!BL857)),BI856)</f>
        <v>41</v>
      </c>
      <c r="BJ857" s="15">
        <f t="shared" si="444"/>
        <v>0</v>
      </c>
      <c r="BK857">
        <f t="shared" si="451"/>
        <v>1048</v>
      </c>
      <c r="BL857">
        <f t="shared" si="452"/>
        <v>1048</v>
      </c>
      <c r="BM857" s="15">
        <f>SUMIFS(BJ$2:BJ857,K$2:K857,"=Intermission")+SUMIFS(BJ$2:BJ857,K$2:K857,"=Timeout")</f>
        <v>72</v>
      </c>
      <c r="BN857">
        <f t="shared" si="453"/>
        <v>1152</v>
      </c>
      <c r="BO857" s="19">
        <f t="shared" si="454"/>
        <v>1184</v>
      </c>
      <c r="BP857">
        <f t="shared" si="455"/>
        <v>1179</v>
      </c>
      <c r="BQ857" s="17">
        <f t="shared" si="456"/>
        <v>1184</v>
      </c>
      <c r="BR857" t="str">
        <f t="shared" si="457"/>
        <v>event_team_player_1</v>
      </c>
      <c r="BS857">
        <f>COUNTIFS(S$3:S857,"="&amp;S857,AI$3:AI857,"="&amp;AI857)</f>
        <v>1</v>
      </c>
      <c r="BT857" t="str">
        <f>IFERROR(VLOOKUP(BB857&amp;BU857&amp;X857,game_rosters!U:W,3,FALSE),"")</f>
        <v>P100078</v>
      </c>
      <c r="BU857" t="str">
        <f t="shared" si="458"/>
        <v>Nelson</v>
      </c>
    </row>
    <row r="858" spans="1:73" x14ac:dyDescent="0.2">
      <c r="A858">
        <f t="shared" si="445"/>
        <v>1</v>
      </c>
      <c r="E858" s="4"/>
      <c r="F858" s="43"/>
      <c r="G858" s="4"/>
      <c r="H858" s="46"/>
      <c r="J858" s="44" t="str">
        <f t="shared" si="459"/>
        <v>o</v>
      </c>
      <c r="K858" t="s">
        <v>8</v>
      </c>
      <c r="L858" t="s">
        <v>213</v>
      </c>
      <c r="M858" t="s">
        <v>216</v>
      </c>
      <c r="N858" t="str">
        <f t="shared" si="462"/>
        <v>s</v>
      </c>
      <c r="Q858" t="str">
        <f t="shared" si="460"/>
        <v/>
      </c>
      <c r="S858">
        <v>463</v>
      </c>
      <c r="U858" t="str">
        <f>IF(B858=1,MAX($U$2:$U857)+1,IF(AND($T858&lt;&gt;"",$T858=$T857),$U857,IF(B858="x",U857,"")))</f>
        <v/>
      </c>
      <c r="V858" t="str">
        <f>IF(C858=1,MAX($V$2:$V857)+1,IF(AND($T858&lt;&gt;"",$T858=$T857),$U857,IF(C858="x",V857,"")))</f>
        <v/>
      </c>
      <c r="W858" t="str">
        <f t="shared" si="434"/>
        <v>h</v>
      </c>
      <c r="X858">
        <v>39</v>
      </c>
      <c r="Y858" t="e">
        <f>IF(X858&lt;&gt;"",VLOOKUP(X858,game_rosters!$C$43:$E$64,3,FALSE))</f>
        <v>#N/A</v>
      </c>
      <c r="Z858" t="str" cm="1">
        <f t="array" ref="Z858">IFERROR(IF(_xlfn._xlws.FILTER(game_rosters!$J:$J,(game_rosters!$G:$G=events!$AN858)*(game_rosters!$J:$J=events!$X858))&gt;0,1,""),"")</f>
        <v/>
      </c>
      <c r="AA858">
        <f t="shared" si="435"/>
        <v>1463</v>
      </c>
      <c r="AB858" t="str">
        <f t="shared" si="436"/>
        <v/>
      </c>
      <c r="AC858">
        <f t="shared" si="433"/>
        <v>1463</v>
      </c>
      <c r="AD858" s="6">
        <v>2</v>
      </c>
      <c r="AE858" t="s">
        <v>732</v>
      </c>
      <c r="AF858" t="s">
        <v>930</v>
      </c>
      <c r="AG858" t="s">
        <v>756</v>
      </c>
      <c r="AH858" t="s">
        <v>756</v>
      </c>
      <c r="AI858" t="s">
        <v>368</v>
      </c>
      <c r="AJ858" t="str">
        <f t="shared" si="461"/>
        <v>o</v>
      </c>
      <c r="AK858" t="str">
        <f t="shared" si="461"/>
        <v>o</v>
      </c>
      <c r="AL858" t="str">
        <f t="shared" si="438"/>
        <v>o</v>
      </c>
      <c r="AN858" t="s">
        <v>861</v>
      </c>
      <c r="AO858" t="str">
        <f t="shared" si="439"/>
        <v>h</v>
      </c>
      <c r="AP858" t="str">
        <f t="shared" si="446"/>
        <v>o</v>
      </c>
      <c r="AQ858" t="str">
        <f t="shared" si="447"/>
        <v/>
      </c>
      <c r="AR858" t="str">
        <f t="shared" si="448"/>
        <v>Home</v>
      </c>
      <c r="AS858" t="str">
        <f t="shared" si="449"/>
        <v>h</v>
      </c>
      <c r="AT858" t="str">
        <f t="shared" si="450"/>
        <v>Defensive</v>
      </c>
      <c r="BA858" s="6">
        <f t="shared" si="440"/>
        <v>228</v>
      </c>
      <c r="BB858">
        <f t="shared" si="441"/>
        <v>18981</v>
      </c>
      <c r="BC858" t="str">
        <f t="shared" si="442"/>
        <v>Nelson</v>
      </c>
      <c r="BD858" t="str">
        <f t="shared" si="443"/>
        <v>Velodrome</v>
      </c>
      <c r="BE858" t="s">
        <v>8</v>
      </c>
      <c r="BF858" t="s">
        <v>213</v>
      </c>
      <c r="BG858" t="s">
        <v>216</v>
      </c>
      <c r="BI858" cm="1">
        <f t="array" ref="BI858">IFERROR(_xlfn._xlws.FILTER(shifts!A:A,(shifts!B:B=events!AD858)*(shifts!AG:AG&gt;=events!BK858)*(shifts!AH:AH&lt;=events!BL858)),BI857)</f>
        <v>41</v>
      </c>
      <c r="BJ858" s="15">
        <f t="shared" si="444"/>
        <v>0</v>
      </c>
      <c r="BK858">
        <f t="shared" si="451"/>
        <v>1048</v>
      </c>
      <c r="BL858">
        <f t="shared" si="452"/>
        <v>1048</v>
      </c>
      <c r="BM858" s="15">
        <f>SUMIFS(BJ$2:BJ858,K$2:K858,"=Intermission")+SUMIFS(BJ$2:BJ858,K$2:K858,"=Timeout")</f>
        <v>72</v>
      </c>
      <c r="BN858">
        <f t="shared" si="453"/>
        <v>1152</v>
      </c>
      <c r="BO858" s="19">
        <f t="shared" si="454"/>
        <v>1184</v>
      </c>
      <c r="BP858">
        <f t="shared" si="455"/>
        <v>1179</v>
      </c>
      <c r="BQ858" s="17">
        <f t="shared" si="456"/>
        <v>1184</v>
      </c>
      <c r="BR858" t="str">
        <f t="shared" si="457"/>
        <v>opp_team_player_1</v>
      </c>
      <c r="BS858">
        <f>COUNTIFS(S$3:S858,"="&amp;S858,AI$3:AI858,"="&amp;AI858)</f>
        <v>1</v>
      </c>
      <c r="BT858" t="str">
        <f>IFERROR(VLOOKUP(BB858&amp;BU858&amp;X858,game_rosters!U:W,3,FALSE),"")</f>
        <v>P100016</v>
      </c>
      <c r="BU858" t="str">
        <f t="shared" si="458"/>
        <v>Velodrome</v>
      </c>
    </row>
    <row r="859" spans="1:73" x14ac:dyDescent="0.2">
      <c r="A859">
        <f t="shared" si="445"/>
        <v>1</v>
      </c>
      <c r="E859" s="4"/>
      <c r="F859" s="43"/>
      <c r="G859" s="4"/>
      <c r="H859" s="46"/>
      <c r="J859" s="44" t="str">
        <f t="shared" si="459"/>
        <v>o</v>
      </c>
      <c r="K859" t="s">
        <v>11</v>
      </c>
      <c r="L859" t="s">
        <v>187</v>
      </c>
      <c r="M859" t="s">
        <v>40</v>
      </c>
      <c r="N859" t="str">
        <f t="shared" si="462"/>
        <v/>
      </c>
      <c r="Q859" t="str">
        <f t="shared" si="460"/>
        <v/>
      </c>
      <c r="S859">
        <v>464</v>
      </c>
      <c r="U859" t="str">
        <f>IF(B859=1,MAX($U$2:$U858)+1,IF(AND($T859&lt;&gt;"",$T859=$T858),$U858,IF(B859="x",U858,"")))</f>
        <v/>
      </c>
      <c r="V859" t="str">
        <f>IF(C859=1,MAX($V$2:$V858)+1,IF(AND($T859&lt;&gt;"",$T859=$T858),$U858,IF(C859="x",V858,"")))</f>
        <v/>
      </c>
      <c r="W859" t="str">
        <f t="shared" si="434"/>
        <v>h</v>
      </c>
      <c r="X859">
        <v>10</v>
      </c>
      <c r="Y859" t="b">
        <f>IF(X859&lt;&gt;"",VLOOKUP(X859,game_rosters!$C$43:$E$64,3,FALSE))</f>
        <v>0</v>
      </c>
      <c r="Z859" cm="1">
        <f t="array" ref="Z859">IFERROR(IF(_xlfn._xlws.FILTER(game_rosters!$J:$J,(game_rosters!$G:$G=events!$AN859)*(game_rosters!$J:$J=events!$X859))&gt;0,1,""),"")</f>
        <v>1</v>
      </c>
      <c r="AA859">
        <f t="shared" si="435"/>
        <v>1464</v>
      </c>
      <c r="AB859" t="str">
        <f t="shared" si="436"/>
        <v/>
      </c>
      <c r="AC859">
        <f t="shared" si="433"/>
        <v>1464</v>
      </c>
      <c r="AD859" s="6">
        <v>2</v>
      </c>
      <c r="AE859" t="s">
        <v>732</v>
      </c>
      <c r="AF859" t="s">
        <v>930</v>
      </c>
      <c r="AG859" t="s">
        <v>756</v>
      </c>
      <c r="AH859" t="s">
        <v>756</v>
      </c>
      <c r="AI859" t="s">
        <v>367</v>
      </c>
      <c r="AJ859" t="str">
        <f t="shared" si="461"/>
        <v>o</v>
      </c>
      <c r="AK859" t="str">
        <f t="shared" si="461"/>
        <v>o</v>
      </c>
      <c r="AL859" t="str">
        <f t="shared" si="438"/>
        <v>o</v>
      </c>
      <c r="AN859" t="s">
        <v>861</v>
      </c>
      <c r="AO859" t="str">
        <f t="shared" si="439"/>
        <v>h</v>
      </c>
      <c r="AP859" t="str">
        <f t="shared" si="446"/>
        <v>o</v>
      </c>
      <c r="AQ859" t="str">
        <f t="shared" si="447"/>
        <v/>
      </c>
      <c r="AR859" t="str">
        <f t="shared" si="448"/>
        <v>Home</v>
      </c>
      <c r="AS859" t="str">
        <f t="shared" si="449"/>
        <v>h</v>
      </c>
      <c r="AT859" t="str">
        <f t="shared" si="450"/>
        <v/>
      </c>
      <c r="BA859" s="6">
        <f t="shared" si="440"/>
        <v>228</v>
      </c>
      <c r="BB859">
        <f t="shared" si="441"/>
        <v>18981</v>
      </c>
      <c r="BC859" t="str">
        <f t="shared" si="442"/>
        <v>Nelson</v>
      </c>
      <c r="BD859" t="str">
        <f t="shared" si="443"/>
        <v>Velodrome</v>
      </c>
      <c r="BE859" t="s">
        <v>11</v>
      </c>
      <c r="BF859" t="s">
        <v>187</v>
      </c>
      <c r="BG859" t="s">
        <v>40</v>
      </c>
      <c r="BI859" cm="1">
        <f t="array" ref="BI859">IFERROR(_xlfn._xlws.FILTER(shifts!A:A,(shifts!B:B=events!AD859)*(shifts!AG:AG&gt;=events!BK859)*(shifts!AH:AH&lt;=events!BL859)),BI858)</f>
        <v>41</v>
      </c>
      <c r="BJ859" s="15">
        <f t="shared" si="444"/>
        <v>0</v>
      </c>
      <c r="BK859">
        <f t="shared" si="451"/>
        <v>1048</v>
      </c>
      <c r="BL859">
        <f t="shared" si="452"/>
        <v>1048</v>
      </c>
      <c r="BM859" s="15">
        <f>SUMIFS(BJ$2:BJ859,K$2:K859,"=Intermission")+SUMIFS(BJ$2:BJ859,K$2:K859,"=Timeout")</f>
        <v>72</v>
      </c>
      <c r="BN859">
        <f t="shared" si="453"/>
        <v>1152</v>
      </c>
      <c r="BO859" s="19">
        <f t="shared" si="454"/>
        <v>1184</v>
      </c>
      <c r="BP859">
        <f t="shared" si="455"/>
        <v>1179</v>
      </c>
      <c r="BQ859" s="17">
        <f t="shared" si="456"/>
        <v>1184</v>
      </c>
      <c r="BR859" t="str">
        <f t="shared" si="457"/>
        <v>event_team_player_1</v>
      </c>
      <c r="BS859">
        <f>COUNTIFS(S$3:S859,"="&amp;S859,AI$3:AI859,"="&amp;AI859)</f>
        <v>1</v>
      </c>
      <c r="BT859" t="str">
        <f>IFERROR(VLOOKUP(BB859&amp;BU859&amp;X859,game_rosters!U:W,3,FALSE),"")</f>
        <v>P100078</v>
      </c>
      <c r="BU859" t="str">
        <f t="shared" si="458"/>
        <v>Nelson</v>
      </c>
    </row>
    <row r="860" spans="1:73" x14ac:dyDescent="0.2">
      <c r="A860">
        <f t="shared" si="445"/>
        <v>1</v>
      </c>
      <c r="E860" s="4"/>
      <c r="F860" s="43"/>
      <c r="G860" s="4"/>
      <c r="H860" s="46"/>
      <c r="J860" s="44" t="str">
        <f t="shared" si="459"/>
        <v>o</v>
      </c>
      <c r="K860" t="s">
        <v>241</v>
      </c>
      <c r="L860" t="s">
        <v>756</v>
      </c>
      <c r="M860" t="s">
        <v>756</v>
      </c>
      <c r="N860" t="str">
        <f t="shared" si="462"/>
        <v/>
      </c>
      <c r="Q860" t="str">
        <f t="shared" si="460"/>
        <v/>
      </c>
      <c r="S860">
        <v>465</v>
      </c>
      <c r="U860" t="str">
        <f>IF(B860=1,MAX($U$2:$U859)+1,IF(AND($T860&lt;&gt;"",$T860=$T859),$U859,IF(B860="x",U859,"")))</f>
        <v/>
      </c>
      <c r="V860" t="str">
        <f>IF(C860=1,MAX($V$2:$V859)+1,IF(AND($T860&lt;&gt;"",$T860=$T859),$U859,IF(C860="x",V859,"")))</f>
        <v/>
      </c>
      <c r="W860" t="str">
        <f t="shared" si="434"/>
        <v>h</v>
      </c>
      <c r="X860">
        <v>10</v>
      </c>
      <c r="Y860" t="b">
        <f>IF(X860&lt;&gt;"",VLOOKUP(X860,game_rosters!$C$43:$E$64,3,FALSE))</f>
        <v>0</v>
      </c>
      <c r="Z860" cm="1">
        <f t="array" ref="Z860">IFERROR(IF(_xlfn._xlws.FILTER(game_rosters!$J:$J,(game_rosters!$G:$G=events!$AN860)*(game_rosters!$J:$J=events!$X860))&gt;0,1,""),"")</f>
        <v>1</v>
      </c>
      <c r="AA860">
        <f t="shared" si="435"/>
        <v>1465</v>
      </c>
      <c r="AB860" t="str">
        <f t="shared" si="436"/>
        <v/>
      </c>
      <c r="AC860">
        <f t="shared" si="433"/>
        <v>1465</v>
      </c>
      <c r="AD860" s="6">
        <v>2</v>
      </c>
      <c r="AE860" t="s">
        <v>732</v>
      </c>
      <c r="AF860" t="s">
        <v>930</v>
      </c>
      <c r="AG860" t="s">
        <v>909</v>
      </c>
      <c r="AH860" t="s">
        <v>927</v>
      </c>
      <c r="AI860" t="s">
        <v>367</v>
      </c>
      <c r="AJ860" t="str">
        <f t="shared" si="461"/>
        <v>o</v>
      </c>
      <c r="AK860" t="str">
        <f t="shared" si="461"/>
        <v>o</v>
      </c>
      <c r="AL860" t="str">
        <f t="shared" si="438"/>
        <v>o</v>
      </c>
      <c r="AN860" t="s">
        <v>861</v>
      </c>
      <c r="AO860" t="str">
        <f t="shared" si="439"/>
        <v>h</v>
      </c>
      <c r="AP860" t="str">
        <f t="shared" si="446"/>
        <v>o</v>
      </c>
      <c r="AQ860" t="str">
        <f t="shared" si="447"/>
        <v/>
      </c>
      <c r="AR860" t="str">
        <f t="shared" si="448"/>
        <v>Home</v>
      </c>
      <c r="AS860" t="str">
        <f t="shared" si="449"/>
        <v>h</v>
      </c>
      <c r="AT860" t="str">
        <f t="shared" si="450"/>
        <v/>
      </c>
      <c r="BA860" s="6">
        <f t="shared" si="440"/>
        <v>228</v>
      </c>
      <c r="BB860">
        <f t="shared" si="441"/>
        <v>18981</v>
      </c>
      <c r="BC860" t="str">
        <f t="shared" si="442"/>
        <v>Nelson</v>
      </c>
      <c r="BD860" t="str">
        <f t="shared" si="443"/>
        <v>Velodrome</v>
      </c>
      <c r="BE860" t="s">
        <v>241</v>
      </c>
      <c r="BF860" t="s">
        <v>756</v>
      </c>
      <c r="BG860" t="s">
        <v>756</v>
      </c>
      <c r="BI860" cm="1">
        <f t="array" ref="BI860">IFERROR(_xlfn._xlws.FILTER(shifts!A:A,(shifts!B:B=events!AD860)*(shifts!AG:AG&gt;=events!BK860)*(shifts!AH:AH&lt;=events!BL860)),BI859)</f>
        <v>41</v>
      </c>
      <c r="BJ860" s="15">
        <f t="shared" si="444"/>
        <v>31</v>
      </c>
      <c r="BK860">
        <f t="shared" si="451"/>
        <v>1048</v>
      </c>
      <c r="BL860">
        <f t="shared" si="452"/>
        <v>1017</v>
      </c>
      <c r="BM860" s="15">
        <f>SUMIFS(BJ$2:BJ860,K$2:K860,"=Intermission")+SUMIFS(BJ$2:BJ860,K$2:K860,"=Timeout")</f>
        <v>72</v>
      </c>
      <c r="BN860">
        <f t="shared" si="453"/>
        <v>1152</v>
      </c>
      <c r="BO860" s="19">
        <f t="shared" si="454"/>
        <v>1184</v>
      </c>
      <c r="BP860">
        <f t="shared" si="455"/>
        <v>1179</v>
      </c>
      <c r="BQ860" s="17">
        <f t="shared" si="456"/>
        <v>1215</v>
      </c>
      <c r="BR860" t="str">
        <f t="shared" si="457"/>
        <v>event_team_player_1</v>
      </c>
      <c r="BS860">
        <f>COUNTIFS(S$3:S860,"="&amp;S860,AI$3:AI860,"="&amp;AI860)</f>
        <v>1</v>
      </c>
      <c r="BT860" t="str">
        <f>IFERROR(VLOOKUP(BB860&amp;BU860&amp;X860,game_rosters!U:W,3,FALSE),"")</f>
        <v>P100078</v>
      </c>
      <c r="BU860" t="str">
        <f t="shared" si="458"/>
        <v>Nelson</v>
      </c>
    </row>
    <row r="861" spans="1:73" x14ac:dyDescent="0.2">
      <c r="A861">
        <f t="shared" si="445"/>
        <v>1</v>
      </c>
      <c r="J861" s="44" t="str">
        <f t="shared" si="459"/>
        <v>n</v>
      </c>
      <c r="K861" t="s">
        <v>5</v>
      </c>
      <c r="L861" t="s">
        <v>190</v>
      </c>
      <c r="M861" t="s">
        <v>756</v>
      </c>
      <c r="S861">
        <v>466</v>
      </c>
      <c r="W861" t="str">
        <f t="shared" si="434"/>
        <v>a</v>
      </c>
      <c r="X861">
        <v>70</v>
      </c>
      <c r="Y861" t="e">
        <f>IF(X861&lt;&gt;"",VLOOKUP(X861,game_rosters!$C$43:$E$64,3,FALSE))</f>
        <v>#N/A</v>
      </c>
      <c r="Z861" cm="1">
        <f t="array" ref="Z861">IFERROR(IF(_xlfn._xlws.FILTER(game_rosters!$J:$J,(game_rosters!$G:$G=events!$AN861)*(game_rosters!$J:$J=events!$X861))&gt;0,1,""),"")</f>
        <v>1</v>
      </c>
      <c r="AA861">
        <f t="shared" ref="AA861:AA924" si="463">S861+1000</f>
        <v>1466</v>
      </c>
      <c r="AB861" t="str">
        <f t="shared" ref="AB861:AB924" si="464">IF(T861&lt;&gt;"",9000+T861,"")</f>
        <v/>
      </c>
      <c r="AC861">
        <f t="shared" si="433"/>
        <v>1466</v>
      </c>
      <c r="AD861" s="6">
        <v>2</v>
      </c>
      <c r="AE861" t="s">
        <v>909</v>
      </c>
      <c r="AF861" t="s">
        <v>927</v>
      </c>
      <c r="AG861" t="s">
        <v>756</v>
      </c>
      <c r="AH861" t="s">
        <v>756</v>
      </c>
      <c r="AI861" t="s">
        <v>367</v>
      </c>
      <c r="AJ861" t="str">
        <f t="shared" ref="AJ861:AK861" si="465">IF($J861&lt;&gt;"",$J861,IF($AC861=$AC860,AJ860,""))</f>
        <v>n</v>
      </c>
      <c r="AK861" t="str">
        <f t="shared" si="465"/>
        <v>n</v>
      </c>
      <c r="AL861" t="str">
        <f t="shared" si="438"/>
        <v>n</v>
      </c>
      <c r="AN861" t="s">
        <v>862</v>
      </c>
      <c r="AO861" t="str">
        <f t="shared" si="439"/>
        <v>a</v>
      </c>
      <c r="AP861" t="str">
        <f t="shared" si="446"/>
        <v>n</v>
      </c>
      <c r="AQ861" t="str">
        <f t="shared" si="447"/>
        <v/>
      </c>
      <c r="AR861" t="str">
        <f t="shared" si="448"/>
        <v>Away</v>
      </c>
      <c r="AS861" t="str">
        <f t="shared" si="449"/>
        <v>a</v>
      </c>
      <c r="AT861" t="str">
        <f t="shared" si="450"/>
        <v>Offensive</v>
      </c>
      <c r="BA861" s="6">
        <f t="shared" si="440"/>
        <v>228</v>
      </c>
      <c r="BB861">
        <f t="shared" si="441"/>
        <v>18981</v>
      </c>
      <c r="BC861" t="str">
        <f t="shared" si="442"/>
        <v>Nelson</v>
      </c>
      <c r="BD861" t="str">
        <f t="shared" si="443"/>
        <v>Velodrome</v>
      </c>
      <c r="BE861" t="s">
        <v>5</v>
      </c>
      <c r="BF861" t="s">
        <v>190</v>
      </c>
      <c r="BG861" t="s">
        <v>756</v>
      </c>
      <c r="BI861" cm="1">
        <f t="array" ref="BI861">IFERROR(_xlfn._xlws.FILTER(shifts!A:A,(shifts!B:B=events!AD861)*(shifts!AG:AG&gt;=events!BK861)*(shifts!AH:AH&lt;=events!BL861)),BI860)</f>
        <v>42</v>
      </c>
      <c r="BJ861" s="15">
        <f t="shared" si="444"/>
        <v>0</v>
      </c>
      <c r="BK861">
        <f t="shared" si="451"/>
        <v>1017</v>
      </c>
      <c r="BL861">
        <f t="shared" si="452"/>
        <v>1017</v>
      </c>
      <c r="BM861" s="15">
        <f>SUMIFS(BJ$2:BJ861,K$2:K861,"=Intermission")+SUMIFS(BJ$2:BJ861,K$2:K861,"=Timeout")</f>
        <v>72</v>
      </c>
      <c r="BN861">
        <f t="shared" si="453"/>
        <v>1152</v>
      </c>
      <c r="BO861" s="19">
        <f t="shared" si="454"/>
        <v>1215</v>
      </c>
      <c r="BP861">
        <f t="shared" si="455"/>
        <v>1210</v>
      </c>
      <c r="BQ861" s="17">
        <f t="shared" si="456"/>
        <v>1215</v>
      </c>
      <c r="BR861" t="str">
        <f t="shared" si="457"/>
        <v>event_team_player_1</v>
      </c>
      <c r="BS861">
        <f>COUNTIFS(S$3:S861,"="&amp;S861,AI$3:AI861,"="&amp;AI861)</f>
        <v>1</v>
      </c>
      <c r="BT861" t="str">
        <f>IFERROR(VLOOKUP(BB861&amp;BU861&amp;X861,game_rosters!U:W,3,FALSE),"")</f>
        <v>P100001</v>
      </c>
      <c r="BU861" t="str">
        <f t="shared" si="458"/>
        <v>Velodrome</v>
      </c>
    </row>
    <row r="862" spans="1:73" x14ac:dyDescent="0.2">
      <c r="A862">
        <f t="shared" si="445"/>
        <v>1</v>
      </c>
      <c r="J862" s="44" t="str">
        <f t="shared" si="459"/>
        <v>n</v>
      </c>
      <c r="K862" t="s">
        <v>5</v>
      </c>
      <c r="L862" t="s">
        <v>190</v>
      </c>
      <c r="M862" t="s">
        <v>756</v>
      </c>
      <c r="S862">
        <v>466</v>
      </c>
      <c r="W862" t="str">
        <f t="shared" si="434"/>
        <v>a</v>
      </c>
      <c r="X862">
        <v>10</v>
      </c>
      <c r="Y862" t="b">
        <f>IF(X862&lt;&gt;"",VLOOKUP(X862,game_rosters!$C$43:$E$64,3,FALSE))</f>
        <v>0</v>
      </c>
      <c r="Z862" t="str" cm="1">
        <f t="array" ref="Z862">IFERROR(IF(_xlfn._xlws.FILTER(game_rosters!$J:$J,(game_rosters!$G:$G=events!$AN862)*(game_rosters!$J:$J=events!$X862))&gt;0,1,""),"")</f>
        <v/>
      </c>
      <c r="AA862">
        <f t="shared" si="463"/>
        <v>1466</v>
      </c>
      <c r="AB862" t="str">
        <f t="shared" si="464"/>
        <v/>
      </c>
      <c r="AC862">
        <f t="shared" si="433"/>
        <v>1466</v>
      </c>
      <c r="AD862" s="6">
        <v>2</v>
      </c>
      <c r="AE862" t="s">
        <v>909</v>
      </c>
      <c r="AF862" t="s">
        <v>927</v>
      </c>
      <c r="AG862" t="s">
        <v>756</v>
      </c>
      <c r="AH862" t="s">
        <v>756</v>
      </c>
      <c r="AI862" t="s">
        <v>368</v>
      </c>
      <c r="AJ862" t="str">
        <f t="shared" ref="AJ862:AK862" si="466">IF($J862&lt;&gt;"",$J862,IF($AC862=$AC861,AJ861,""))</f>
        <v>n</v>
      </c>
      <c r="AK862" t="str">
        <f t="shared" si="466"/>
        <v>n</v>
      </c>
      <c r="AL862" t="str">
        <f t="shared" si="438"/>
        <v>n</v>
      </c>
      <c r="AN862" t="s">
        <v>862</v>
      </c>
      <c r="AO862" t="str">
        <f t="shared" si="439"/>
        <v>a</v>
      </c>
      <c r="AP862" t="str">
        <f t="shared" si="446"/>
        <v>n</v>
      </c>
      <c r="AQ862" t="str">
        <f t="shared" si="447"/>
        <v/>
      </c>
      <c r="AR862" t="str">
        <f t="shared" si="448"/>
        <v>Away</v>
      </c>
      <c r="AS862" t="str">
        <f t="shared" si="449"/>
        <v>a</v>
      </c>
      <c r="AT862" t="str">
        <f t="shared" si="450"/>
        <v>Defensive</v>
      </c>
      <c r="BA862" s="6">
        <f t="shared" si="440"/>
        <v>228</v>
      </c>
      <c r="BB862">
        <f t="shared" si="441"/>
        <v>18981</v>
      </c>
      <c r="BC862" t="str">
        <f t="shared" si="442"/>
        <v>Nelson</v>
      </c>
      <c r="BD862" t="str">
        <f t="shared" si="443"/>
        <v>Velodrome</v>
      </c>
      <c r="BE862" t="s">
        <v>5</v>
      </c>
      <c r="BF862" t="s">
        <v>190</v>
      </c>
      <c r="BG862" t="s">
        <v>756</v>
      </c>
      <c r="BI862" cm="1">
        <f t="array" ref="BI862">IFERROR(_xlfn._xlws.FILTER(shifts!A:A,(shifts!B:B=events!AD862)*(shifts!AG:AG&gt;=events!BK862)*(shifts!AH:AH&lt;=events!BL862)),BI861)</f>
        <v>42</v>
      </c>
      <c r="BJ862" s="15">
        <f t="shared" si="444"/>
        <v>0</v>
      </c>
      <c r="BK862">
        <f t="shared" si="451"/>
        <v>1017</v>
      </c>
      <c r="BL862">
        <f t="shared" si="452"/>
        <v>1017</v>
      </c>
      <c r="BM862" s="15">
        <f>SUMIFS(BJ$2:BJ862,K$2:K862,"=Intermission")+SUMIFS(BJ$2:BJ862,K$2:K862,"=Timeout")</f>
        <v>72</v>
      </c>
      <c r="BN862">
        <f t="shared" si="453"/>
        <v>1152</v>
      </c>
      <c r="BO862" s="19">
        <f t="shared" si="454"/>
        <v>1215</v>
      </c>
      <c r="BP862">
        <f t="shared" si="455"/>
        <v>1210</v>
      </c>
      <c r="BQ862" s="17">
        <f t="shared" si="456"/>
        <v>1215</v>
      </c>
      <c r="BR862" t="str">
        <f t="shared" si="457"/>
        <v>opp_team_player_1</v>
      </c>
      <c r="BS862">
        <f>COUNTIFS(S$3:S862,"="&amp;S862,AI$3:AI862,"="&amp;AI862)</f>
        <v>1</v>
      </c>
      <c r="BT862" t="str">
        <f>IFERROR(VLOOKUP(BB862&amp;BU862&amp;X862,game_rosters!U:W,3,FALSE),"")</f>
        <v>P100078</v>
      </c>
      <c r="BU862" t="str">
        <f t="shared" si="458"/>
        <v>Nelson</v>
      </c>
    </row>
    <row r="863" spans="1:73" x14ac:dyDescent="0.2">
      <c r="A863">
        <f t="shared" si="445"/>
        <v>1</v>
      </c>
      <c r="J863" s="44" t="str">
        <f t="shared" si="459"/>
        <v>o</v>
      </c>
      <c r="K863" t="s">
        <v>238</v>
      </c>
      <c r="L863" t="s">
        <v>174</v>
      </c>
      <c r="M863" t="s">
        <v>85</v>
      </c>
      <c r="S863">
        <v>467</v>
      </c>
      <c r="W863" t="str">
        <f t="shared" si="434"/>
        <v>a</v>
      </c>
      <c r="X863">
        <v>87</v>
      </c>
      <c r="Y863" t="e">
        <f>IF(X863&lt;&gt;"",VLOOKUP(X863,game_rosters!$C$43:$E$64,3,FALSE))</f>
        <v>#N/A</v>
      </c>
      <c r="Z863" cm="1">
        <f t="array" ref="Z863">IFERROR(IF(_xlfn._xlws.FILTER(game_rosters!$J:$J,(game_rosters!$G:$G=events!$AN863)*(game_rosters!$J:$J=events!$X863))&gt;0,1,""),"")</f>
        <v>1</v>
      </c>
      <c r="AA863">
        <f t="shared" si="463"/>
        <v>1467</v>
      </c>
      <c r="AB863" t="str">
        <f t="shared" si="464"/>
        <v/>
      </c>
      <c r="AC863">
        <f t="shared" si="433"/>
        <v>1467</v>
      </c>
      <c r="AD863" s="6">
        <v>2</v>
      </c>
      <c r="AE863" t="s">
        <v>909</v>
      </c>
      <c r="AF863" t="s">
        <v>751</v>
      </c>
      <c r="AG863" t="s">
        <v>909</v>
      </c>
      <c r="AH863" t="s">
        <v>900</v>
      </c>
      <c r="AI863" t="s">
        <v>367</v>
      </c>
      <c r="AJ863" t="str">
        <f t="shared" ref="AJ863:AK863" si="467">IF($J863&lt;&gt;"",$J863,IF($AC863=$AC862,AJ862,""))</f>
        <v>o</v>
      </c>
      <c r="AK863" t="str">
        <f t="shared" si="467"/>
        <v>o</v>
      </c>
      <c r="AL863" t="str">
        <f t="shared" si="438"/>
        <v>d</v>
      </c>
      <c r="AN863" t="s">
        <v>862</v>
      </c>
      <c r="AO863" t="str">
        <f t="shared" si="439"/>
        <v>a</v>
      </c>
      <c r="AP863" t="str">
        <f t="shared" si="446"/>
        <v>d</v>
      </c>
      <c r="AQ863" t="str">
        <f t="shared" si="447"/>
        <v/>
      </c>
      <c r="AR863" t="str">
        <f t="shared" si="448"/>
        <v>Away</v>
      </c>
      <c r="AS863" t="str">
        <f t="shared" si="449"/>
        <v>a</v>
      </c>
      <c r="AT863" t="str">
        <f t="shared" si="450"/>
        <v>Offensive</v>
      </c>
      <c r="BA863" s="6">
        <f t="shared" si="440"/>
        <v>229</v>
      </c>
      <c r="BB863">
        <f t="shared" si="441"/>
        <v>18981</v>
      </c>
      <c r="BC863" t="str">
        <f t="shared" si="442"/>
        <v>Nelson</v>
      </c>
      <c r="BD863" t="str">
        <f t="shared" si="443"/>
        <v>Velodrome</v>
      </c>
      <c r="BE863" t="s">
        <v>238</v>
      </c>
      <c r="BF863" t="s">
        <v>174</v>
      </c>
      <c r="BG863" t="s">
        <v>85</v>
      </c>
      <c r="BI863" cm="1">
        <f t="array" ref="BI863">IFERROR(_xlfn._xlws.FILTER(shifts!A:A,(shifts!B:B=events!AD863)*(shifts!AG:AG&gt;=events!BK863)*(shifts!AH:AH&lt;=events!BL863)),BI862)</f>
        <v>42</v>
      </c>
      <c r="BJ863" s="15">
        <f t="shared" si="444"/>
        <v>2</v>
      </c>
      <c r="BK863">
        <f t="shared" si="451"/>
        <v>1009</v>
      </c>
      <c r="BL863">
        <f t="shared" si="452"/>
        <v>1007</v>
      </c>
      <c r="BM863" s="15">
        <f>SUMIFS(BJ$2:BJ863,K$2:K863,"=Intermission")+SUMIFS(BJ$2:BJ863,K$2:K863,"=Timeout")</f>
        <v>72</v>
      </c>
      <c r="BN863">
        <f t="shared" si="453"/>
        <v>1152</v>
      </c>
      <c r="BO863" s="19">
        <f t="shared" si="454"/>
        <v>1223</v>
      </c>
      <c r="BP863">
        <f t="shared" si="455"/>
        <v>1218</v>
      </c>
      <c r="BQ863" s="17">
        <f t="shared" si="456"/>
        <v>1225</v>
      </c>
      <c r="BR863" t="str">
        <f t="shared" si="457"/>
        <v>event_team_player_1</v>
      </c>
      <c r="BS863">
        <f>COUNTIFS(S$3:S863,"="&amp;S863,AI$3:AI863,"="&amp;AI863)</f>
        <v>1</v>
      </c>
      <c r="BT863" t="str">
        <f>IFERROR(VLOOKUP(BB863&amp;BU863&amp;X863,game_rosters!U:W,3,FALSE),"")</f>
        <v>P100159</v>
      </c>
      <c r="BU863" t="str">
        <f t="shared" si="458"/>
        <v>Velodrome</v>
      </c>
    </row>
    <row r="864" spans="1:73" x14ac:dyDescent="0.2">
      <c r="A864">
        <f t="shared" si="445"/>
        <v>1</v>
      </c>
      <c r="J864" s="44" t="str">
        <f t="shared" si="459"/>
        <v>o</v>
      </c>
      <c r="K864" t="s">
        <v>238</v>
      </c>
      <c r="L864" t="s">
        <v>174</v>
      </c>
      <c r="M864" t="s">
        <v>85</v>
      </c>
      <c r="S864">
        <v>467</v>
      </c>
      <c r="W864" t="str">
        <f t="shared" si="434"/>
        <v>a</v>
      </c>
      <c r="X864">
        <v>16</v>
      </c>
      <c r="Y864" t="b">
        <f>IF(X864&lt;&gt;"",VLOOKUP(X864,game_rosters!$C$43:$E$64,3,FALSE))</f>
        <v>0</v>
      </c>
      <c r="Z864" t="str" cm="1">
        <f t="array" ref="Z864">IFERROR(IF(_xlfn._xlws.FILTER(game_rosters!$J:$J,(game_rosters!$G:$G=events!$AN864)*(game_rosters!$J:$J=events!$X864))&gt;0,1,""),"")</f>
        <v/>
      </c>
      <c r="AA864">
        <f t="shared" si="463"/>
        <v>1467</v>
      </c>
      <c r="AB864" t="str">
        <f t="shared" si="464"/>
        <v/>
      </c>
      <c r="AC864">
        <f t="shared" si="433"/>
        <v>1467</v>
      </c>
      <c r="AD864" s="6">
        <v>2</v>
      </c>
      <c r="AE864" t="s">
        <v>909</v>
      </c>
      <c r="AF864" t="s">
        <v>751</v>
      </c>
      <c r="AG864" t="s">
        <v>909</v>
      </c>
      <c r="AH864" t="s">
        <v>900</v>
      </c>
      <c r="AI864" t="s">
        <v>368</v>
      </c>
      <c r="AJ864" t="str">
        <f t="shared" ref="AJ864:AK864" si="468">IF($J864&lt;&gt;"",$J864,IF($AC864=$AC863,AJ863,""))</f>
        <v>o</v>
      </c>
      <c r="AK864" t="str">
        <f t="shared" si="468"/>
        <v>o</v>
      </c>
      <c r="AL864" t="str">
        <f t="shared" si="438"/>
        <v>d</v>
      </c>
      <c r="AN864" t="s">
        <v>862</v>
      </c>
      <c r="AO864" t="str">
        <f t="shared" si="439"/>
        <v>a</v>
      </c>
      <c r="AP864" t="str">
        <f t="shared" si="446"/>
        <v>d</v>
      </c>
      <c r="AQ864" t="str">
        <f t="shared" si="447"/>
        <v/>
      </c>
      <c r="AR864" t="str">
        <f t="shared" si="448"/>
        <v>Away</v>
      </c>
      <c r="AS864" t="str">
        <f t="shared" si="449"/>
        <v>a</v>
      </c>
      <c r="AT864" t="str">
        <f t="shared" si="450"/>
        <v>Defensive</v>
      </c>
      <c r="BA864" s="6">
        <f t="shared" si="440"/>
        <v>230</v>
      </c>
      <c r="BB864">
        <f t="shared" si="441"/>
        <v>18981</v>
      </c>
      <c r="BC864" t="str">
        <f t="shared" si="442"/>
        <v>Nelson</v>
      </c>
      <c r="BD864" t="str">
        <f t="shared" si="443"/>
        <v>Velodrome</v>
      </c>
      <c r="BE864" t="s">
        <v>238</v>
      </c>
      <c r="BF864" t="s">
        <v>174</v>
      </c>
      <c r="BG864" t="s">
        <v>85</v>
      </c>
      <c r="BI864" cm="1">
        <f t="array" ref="BI864">IFERROR(_xlfn._xlws.FILTER(shifts!A:A,(shifts!B:B=events!AD864)*(shifts!AG:AG&gt;=events!BK864)*(shifts!AH:AH&lt;=events!BL864)),BI863)</f>
        <v>42</v>
      </c>
      <c r="BJ864" s="15">
        <f t="shared" si="444"/>
        <v>2</v>
      </c>
      <c r="BK864">
        <f t="shared" si="451"/>
        <v>1009</v>
      </c>
      <c r="BL864">
        <f t="shared" si="452"/>
        <v>1007</v>
      </c>
      <c r="BM864" s="15">
        <f>SUMIFS(BJ$2:BJ864,K$2:K864,"=Intermission")+SUMIFS(BJ$2:BJ864,K$2:K864,"=Timeout")</f>
        <v>72</v>
      </c>
      <c r="BN864">
        <f t="shared" si="453"/>
        <v>1152</v>
      </c>
      <c r="BO864" s="19">
        <f t="shared" si="454"/>
        <v>1223</v>
      </c>
      <c r="BP864">
        <f t="shared" si="455"/>
        <v>1218</v>
      </c>
      <c r="BQ864" s="17">
        <f t="shared" si="456"/>
        <v>1225</v>
      </c>
      <c r="BR864" t="str">
        <f t="shared" si="457"/>
        <v>opp_team_player_1</v>
      </c>
      <c r="BS864">
        <f>COUNTIFS(S$3:S864,"="&amp;S864,AI$3:AI864,"="&amp;AI864)</f>
        <v>1</v>
      </c>
      <c r="BT864" t="str">
        <f>IFERROR(VLOOKUP(BB864&amp;BU864&amp;X864,game_rosters!U:W,3,FALSE),"")</f>
        <v>P100164</v>
      </c>
      <c r="BU864" t="str">
        <f t="shared" si="458"/>
        <v>Nelson</v>
      </c>
    </row>
    <row r="865" spans="1:73" x14ac:dyDescent="0.2">
      <c r="A865">
        <f t="shared" si="445"/>
        <v>1</v>
      </c>
      <c r="J865" s="44" t="str">
        <f t="shared" si="459"/>
        <v>o</v>
      </c>
      <c r="K865" t="s">
        <v>238</v>
      </c>
      <c r="L865" t="s">
        <v>174</v>
      </c>
      <c r="M865" t="s">
        <v>85</v>
      </c>
      <c r="S865">
        <v>467</v>
      </c>
      <c r="W865" t="str">
        <f t="shared" si="434"/>
        <v>a</v>
      </c>
      <c r="X865">
        <v>8</v>
      </c>
      <c r="Y865" t="b">
        <f>IF(X865&lt;&gt;"",VLOOKUP(X865,game_rosters!$C$43:$E$64,3,FALSE))</f>
        <v>0</v>
      </c>
      <c r="Z865" t="str" cm="1">
        <f t="array" ref="Z865">IFERROR(IF(_xlfn._xlws.FILTER(game_rosters!$J:$J,(game_rosters!$G:$G=events!$AN865)*(game_rosters!$J:$J=events!$X865))&gt;0,1,""),"")</f>
        <v/>
      </c>
      <c r="AA865">
        <f t="shared" si="463"/>
        <v>1467</v>
      </c>
      <c r="AB865" t="str">
        <f t="shared" si="464"/>
        <v/>
      </c>
      <c r="AC865">
        <f t="shared" si="433"/>
        <v>1467</v>
      </c>
      <c r="AD865" s="6">
        <v>2</v>
      </c>
      <c r="AE865" t="s">
        <v>909</v>
      </c>
      <c r="AF865" t="s">
        <v>751</v>
      </c>
      <c r="AG865" t="s">
        <v>909</v>
      </c>
      <c r="AH865" t="s">
        <v>900</v>
      </c>
      <c r="AI865" t="s">
        <v>368</v>
      </c>
      <c r="AJ865" t="str">
        <f t="shared" ref="AJ865:AK865" si="469">IF($J865&lt;&gt;"",$J865,IF($AC865=$AC864,AJ864,""))</f>
        <v>o</v>
      </c>
      <c r="AK865" t="str">
        <f t="shared" si="469"/>
        <v>o</v>
      </c>
      <c r="AL865" t="str">
        <f t="shared" si="438"/>
        <v>d</v>
      </c>
      <c r="AN865" t="s">
        <v>862</v>
      </c>
      <c r="AO865" t="str">
        <f t="shared" si="439"/>
        <v>a</v>
      </c>
      <c r="AP865" t="str">
        <f t="shared" si="446"/>
        <v>d</v>
      </c>
      <c r="AQ865" t="str">
        <f t="shared" si="447"/>
        <v/>
      </c>
      <c r="AR865" t="str">
        <f t="shared" si="448"/>
        <v>Away</v>
      </c>
      <c r="AS865" t="str">
        <f t="shared" si="449"/>
        <v>a</v>
      </c>
      <c r="AT865" t="str">
        <f t="shared" si="450"/>
        <v>Defensive</v>
      </c>
      <c r="BA865" s="6">
        <f t="shared" si="440"/>
        <v>231</v>
      </c>
      <c r="BB865">
        <f t="shared" si="441"/>
        <v>18981</v>
      </c>
      <c r="BC865" t="str">
        <f t="shared" si="442"/>
        <v>Nelson</v>
      </c>
      <c r="BD865" t="str">
        <f t="shared" si="443"/>
        <v>Velodrome</v>
      </c>
      <c r="BE865" t="s">
        <v>238</v>
      </c>
      <c r="BF865" t="s">
        <v>174</v>
      </c>
      <c r="BG865" t="s">
        <v>85</v>
      </c>
      <c r="BI865" cm="1">
        <f t="array" ref="BI865">IFERROR(_xlfn._xlws.FILTER(shifts!A:A,(shifts!B:B=events!AD865)*(shifts!AG:AG&gt;=events!BK865)*(shifts!AH:AH&lt;=events!BL865)),BI864)</f>
        <v>42</v>
      </c>
      <c r="BJ865" s="15">
        <f t="shared" si="444"/>
        <v>2</v>
      </c>
      <c r="BK865">
        <f t="shared" si="451"/>
        <v>1009</v>
      </c>
      <c r="BL865">
        <f t="shared" si="452"/>
        <v>1007</v>
      </c>
      <c r="BM865" s="15">
        <f>SUMIFS(BJ$2:BJ865,K$2:K865,"=Intermission")+SUMIFS(BJ$2:BJ865,K$2:K865,"=Timeout")</f>
        <v>72</v>
      </c>
      <c r="BN865">
        <f t="shared" si="453"/>
        <v>1152</v>
      </c>
      <c r="BO865" s="19">
        <f t="shared" si="454"/>
        <v>1223</v>
      </c>
      <c r="BP865">
        <f t="shared" si="455"/>
        <v>1218</v>
      </c>
      <c r="BQ865" s="17">
        <f t="shared" si="456"/>
        <v>1225</v>
      </c>
      <c r="BR865" t="str">
        <f t="shared" si="457"/>
        <v>opp_team_player_2</v>
      </c>
      <c r="BS865">
        <f>COUNTIFS(S$3:S865,"="&amp;S865,AI$3:AI865,"="&amp;AI865)</f>
        <v>2</v>
      </c>
      <c r="BT865" t="str">
        <f>IFERROR(VLOOKUP(BB865&amp;BU865&amp;X865,game_rosters!U:W,3,FALSE),"")</f>
        <v>P100074</v>
      </c>
      <c r="BU865" t="str">
        <f t="shared" si="458"/>
        <v>Nelson</v>
      </c>
    </row>
    <row r="866" spans="1:73" x14ac:dyDescent="0.2">
      <c r="A866">
        <f t="shared" si="445"/>
        <v>1</v>
      </c>
      <c r="J866" s="44" t="str">
        <f t="shared" si="459"/>
        <v>o</v>
      </c>
      <c r="K866" t="s">
        <v>238</v>
      </c>
      <c r="L866" t="s">
        <v>174</v>
      </c>
      <c r="M866" t="s">
        <v>85</v>
      </c>
      <c r="S866">
        <v>467</v>
      </c>
      <c r="W866" t="str">
        <f t="shared" si="434"/>
        <v>a</v>
      </c>
      <c r="X866">
        <v>80</v>
      </c>
      <c r="Y866" t="b">
        <f>IF(X866&lt;&gt;"",VLOOKUP(X866,game_rosters!$C$43:$E$64,3,FALSE))</f>
        <v>0</v>
      </c>
      <c r="Z866" t="str" cm="1">
        <f t="array" ref="Z866">IFERROR(IF(_xlfn._xlws.FILTER(game_rosters!$J:$J,(game_rosters!$G:$G=events!$AN866)*(game_rosters!$J:$J=events!$X866))&gt;0,1,""),"")</f>
        <v/>
      </c>
      <c r="AA866">
        <f t="shared" si="463"/>
        <v>1467</v>
      </c>
      <c r="AB866" t="str">
        <f t="shared" si="464"/>
        <v/>
      </c>
      <c r="AC866">
        <f t="shared" si="433"/>
        <v>1467</v>
      </c>
      <c r="AD866" s="6">
        <v>2</v>
      </c>
      <c r="AE866" t="s">
        <v>909</v>
      </c>
      <c r="AF866" t="s">
        <v>751</v>
      </c>
      <c r="AG866" t="s">
        <v>909</v>
      </c>
      <c r="AH866" t="s">
        <v>900</v>
      </c>
      <c r="AI866" t="s">
        <v>368</v>
      </c>
      <c r="AJ866" t="str">
        <f t="shared" ref="AJ866:AK866" si="470">IF($J866&lt;&gt;"",$J866,IF($AC866=$AC865,AJ865,""))</f>
        <v>o</v>
      </c>
      <c r="AK866" t="str">
        <f t="shared" si="470"/>
        <v>o</v>
      </c>
      <c r="AL866" t="str">
        <f t="shared" si="438"/>
        <v>d</v>
      </c>
      <c r="AN866" t="s">
        <v>862</v>
      </c>
      <c r="AO866" t="str">
        <f t="shared" si="439"/>
        <v>a</v>
      </c>
      <c r="AP866" t="str">
        <f t="shared" si="446"/>
        <v>d</v>
      </c>
      <c r="AQ866" t="str">
        <f t="shared" si="447"/>
        <v/>
      </c>
      <c r="AR866" t="str">
        <f t="shared" si="448"/>
        <v>Away</v>
      </c>
      <c r="AS866" t="str">
        <f t="shared" si="449"/>
        <v>a</v>
      </c>
      <c r="AT866" t="str">
        <f t="shared" si="450"/>
        <v>Defensive</v>
      </c>
      <c r="BA866" s="6">
        <f t="shared" si="440"/>
        <v>232</v>
      </c>
      <c r="BB866">
        <f t="shared" si="441"/>
        <v>18981</v>
      </c>
      <c r="BC866" t="str">
        <f t="shared" si="442"/>
        <v>Nelson</v>
      </c>
      <c r="BD866" t="str">
        <f t="shared" si="443"/>
        <v>Velodrome</v>
      </c>
      <c r="BE866" t="s">
        <v>238</v>
      </c>
      <c r="BF866" t="s">
        <v>174</v>
      </c>
      <c r="BG866" t="s">
        <v>85</v>
      </c>
      <c r="BI866" cm="1">
        <f t="array" ref="BI866">IFERROR(_xlfn._xlws.FILTER(shifts!A:A,(shifts!B:B=events!AD866)*(shifts!AG:AG&gt;=events!BK866)*(shifts!AH:AH&lt;=events!BL866)),BI865)</f>
        <v>42</v>
      </c>
      <c r="BJ866" s="15">
        <f t="shared" si="444"/>
        <v>2</v>
      </c>
      <c r="BK866">
        <f t="shared" si="451"/>
        <v>1009</v>
      </c>
      <c r="BL866">
        <f t="shared" si="452"/>
        <v>1007</v>
      </c>
      <c r="BM866" s="15">
        <f>SUMIFS(BJ$2:BJ866,K$2:K866,"=Intermission")+SUMIFS(BJ$2:BJ866,K$2:K866,"=Timeout")</f>
        <v>72</v>
      </c>
      <c r="BN866">
        <f t="shared" si="453"/>
        <v>1152</v>
      </c>
      <c r="BO866" s="19">
        <f t="shared" si="454"/>
        <v>1223</v>
      </c>
      <c r="BP866">
        <f t="shared" si="455"/>
        <v>1218</v>
      </c>
      <c r="BQ866" s="17">
        <f t="shared" si="456"/>
        <v>1225</v>
      </c>
      <c r="BR866" t="str">
        <f t="shared" si="457"/>
        <v>opp_team_player_3</v>
      </c>
      <c r="BS866">
        <f>COUNTIFS(S$3:S866,"="&amp;S866,AI$3:AI866,"="&amp;AI866)</f>
        <v>3</v>
      </c>
      <c r="BT866" t="str">
        <f>IFERROR(VLOOKUP(BB866&amp;BU866&amp;X866,game_rosters!U:W,3,FALSE),"")</f>
        <v>P100197</v>
      </c>
      <c r="BU866" t="str">
        <f t="shared" si="458"/>
        <v>Nelson</v>
      </c>
    </row>
    <row r="867" spans="1:73" x14ac:dyDescent="0.2">
      <c r="A867">
        <f t="shared" si="445"/>
        <v>1</v>
      </c>
      <c r="J867" s="44" t="str">
        <f t="shared" si="459"/>
        <v/>
      </c>
      <c r="K867" t="s">
        <v>13</v>
      </c>
      <c r="L867" t="s">
        <v>756</v>
      </c>
      <c r="M867" t="s">
        <v>756</v>
      </c>
      <c r="S867">
        <v>468</v>
      </c>
      <c r="W867" t="str">
        <f t="shared" si="434"/>
        <v>a</v>
      </c>
      <c r="X867">
        <v>87</v>
      </c>
      <c r="Y867" t="e">
        <f>IF(X867&lt;&gt;"",VLOOKUP(X867,game_rosters!$C$43:$E$64,3,FALSE))</f>
        <v>#N/A</v>
      </c>
      <c r="Z867" cm="1">
        <f t="array" ref="Z867">IFERROR(IF(_xlfn._xlws.FILTER(game_rosters!$J:$J,(game_rosters!$G:$G=events!$AN867)*(game_rosters!$J:$J=events!$X867))&gt;0,1,""),"")</f>
        <v>1</v>
      </c>
      <c r="AA867">
        <f t="shared" si="463"/>
        <v>1468</v>
      </c>
      <c r="AB867" t="str">
        <f t="shared" si="464"/>
        <v/>
      </c>
      <c r="AC867">
        <f t="shared" si="433"/>
        <v>1468</v>
      </c>
      <c r="AD867" s="6">
        <v>2</v>
      </c>
      <c r="AE867" t="s">
        <v>909</v>
      </c>
      <c r="AF867" t="s">
        <v>900</v>
      </c>
      <c r="AG867" t="s">
        <v>909</v>
      </c>
      <c r="AH867" t="s">
        <v>924</v>
      </c>
      <c r="AI867" t="s">
        <v>367</v>
      </c>
      <c r="AJ867" t="str">
        <f t="shared" ref="AJ867:AK867" si="471">IF($J867&lt;&gt;"",$J867,IF($AC867=$AC866,AJ866,""))</f>
        <v/>
      </c>
      <c r="AK867" t="str">
        <f t="shared" si="471"/>
        <v/>
      </c>
      <c r="AL867" t="str">
        <f t="shared" si="438"/>
        <v/>
      </c>
      <c r="AN867" t="s">
        <v>862</v>
      </c>
      <c r="AO867" t="str">
        <f t="shared" si="439"/>
        <v>a</v>
      </c>
      <c r="AP867" t="str">
        <f t="shared" si="446"/>
        <v/>
      </c>
      <c r="AQ867" t="str">
        <f t="shared" si="447"/>
        <v/>
      </c>
      <c r="AR867" t="str">
        <f t="shared" si="448"/>
        <v>Away</v>
      </c>
      <c r="AS867" t="str">
        <f t="shared" si="449"/>
        <v>a</v>
      </c>
      <c r="AT867" t="str">
        <f t="shared" si="450"/>
        <v>Offensive</v>
      </c>
      <c r="BA867" s="6">
        <f t="shared" si="440"/>
        <v>232</v>
      </c>
      <c r="BB867">
        <f t="shared" si="441"/>
        <v>18981</v>
      </c>
      <c r="BC867" t="str">
        <f t="shared" si="442"/>
        <v>Nelson</v>
      </c>
      <c r="BD867" t="str">
        <f t="shared" si="443"/>
        <v>Velodrome</v>
      </c>
      <c r="BE867" t="s">
        <v>13</v>
      </c>
      <c r="BF867" t="s">
        <v>756</v>
      </c>
      <c r="BG867" t="s">
        <v>756</v>
      </c>
      <c r="BI867" cm="1">
        <f t="array" ref="BI867">IFERROR(_xlfn._xlws.FILTER(shifts!A:A,(shifts!B:B=events!AD867)*(shifts!AG:AG&gt;=events!BK867)*(shifts!AH:AH&lt;=events!BL867)),BI866)</f>
        <v>42</v>
      </c>
      <c r="BJ867" s="15">
        <f t="shared" si="444"/>
        <v>6</v>
      </c>
      <c r="BK867">
        <f t="shared" si="451"/>
        <v>1007</v>
      </c>
      <c r="BL867">
        <f t="shared" si="452"/>
        <v>1001</v>
      </c>
      <c r="BM867" s="15">
        <f>SUMIFS(BJ$2:BJ867,K$2:K867,"=Intermission")+SUMIFS(BJ$2:BJ867,K$2:K867,"=Timeout")</f>
        <v>72</v>
      </c>
      <c r="BN867">
        <f t="shared" si="453"/>
        <v>1152</v>
      </c>
      <c r="BO867" s="19">
        <f t="shared" si="454"/>
        <v>1225</v>
      </c>
      <c r="BP867">
        <f t="shared" si="455"/>
        <v>1220</v>
      </c>
      <c r="BQ867" s="17">
        <f t="shared" si="456"/>
        <v>1231</v>
      </c>
      <c r="BR867" t="str">
        <f t="shared" si="457"/>
        <v>event_team_player_1</v>
      </c>
      <c r="BS867">
        <f>COUNTIFS(S$3:S867,"="&amp;S867,AI$3:AI867,"="&amp;AI867)</f>
        <v>1</v>
      </c>
      <c r="BT867" t="str">
        <f>IFERROR(VLOOKUP(BB867&amp;BU867&amp;X867,game_rosters!U:W,3,FALSE),"")</f>
        <v>P100159</v>
      </c>
      <c r="BU867" t="str">
        <f t="shared" si="458"/>
        <v>Velodrome</v>
      </c>
    </row>
    <row r="868" spans="1:73" x14ac:dyDescent="0.2">
      <c r="A868">
        <f t="shared" si="445"/>
        <v>1</v>
      </c>
      <c r="J868" s="44" t="str">
        <f t="shared" si="459"/>
        <v/>
      </c>
      <c r="K868" t="s">
        <v>13</v>
      </c>
      <c r="L868" t="s">
        <v>756</v>
      </c>
      <c r="M868" t="s">
        <v>756</v>
      </c>
      <c r="S868">
        <v>468</v>
      </c>
      <c r="W868" t="str">
        <f t="shared" si="434"/>
        <v>a</v>
      </c>
      <c r="X868">
        <v>8</v>
      </c>
      <c r="Y868" t="b">
        <f>IF(X868&lt;&gt;"",VLOOKUP(X868,game_rosters!$C$43:$E$64,3,FALSE))</f>
        <v>0</v>
      </c>
      <c r="Z868" t="str" cm="1">
        <f t="array" ref="Z868">IFERROR(IF(_xlfn._xlws.FILTER(game_rosters!$J:$J,(game_rosters!$G:$G=events!$AN868)*(game_rosters!$J:$J=events!$X868))&gt;0,1,""),"")</f>
        <v/>
      </c>
      <c r="AA868">
        <f t="shared" si="463"/>
        <v>1468</v>
      </c>
      <c r="AB868" t="str">
        <f t="shared" si="464"/>
        <v/>
      </c>
      <c r="AC868">
        <f t="shared" si="433"/>
        <v>1468</v>
      </c>
      <c r="AD868" s="6">
        <v>2</v>
      </c>
      <c r="AE868" t="s">
        <v>909</v>
      </c>
      <c r="AF868" t="s">
        <v>900</v>
      </c>
      <c r="AG868" t="s">
        <v>909</v>
      </c>
      <c r="AH868" t="s">
        <v>924</v>
      </c>
      <c r="AI868" t="s">
        <v>368</v>
      </c>
      <c r="AJ868" t="str">
        <f t="shared" ref="AJ868:AK868" si="472">IF($J868&lt;&gt;"",$J868,IF($AC868=$AC867,AJ867,""))</f>
        <v/>
      </c>
      <c r="AK868" t="str">
        <f t="shared" si="472"/>
        <v/>
      </c>
      <c r="AL868" t="str">
        <f t="shared" si="438"/>
        <v/>
      </c>
      <c r="AN868" t="s">
        <v>862</v>
      </c>
      <c r="AO868" t="str">
        <f t="shared" si="439"/>
        <v>a</v>
      </c>
      <c r="AP868" t="str">
        <f t="shared" si="446"/>
        <v/>
      </c>
      <c r="AQ868" t="str">
        <f t="shared" si="447"/>
        <v/>
      </c>
      <c r="AR868" t="str">
        <f t="shared" si="448"/>
        <v>Away</v>
      </c>
      <c r="AS868" t="str">
        <f t="shared" si="449"/>
        <v>a</v>
      </c>
      <c r="AT868" t="str">
        <f t="shared" si="450"/>
        <v>Defensive</v>
      </c>
      <c r="BA868" s="6">
        <f t="shared" si="440"/>
        <v>232</v>
      </c>
      <c r="BB868">
        <f t="shared" si="441"/>
        <v>18981</v>
      </c>
      <c r="BC868" t="str">
        <f t="shared" si="442"/>
        <v>Nelson</v>
      </c>
      <c r="BD868" t="str">
        <f t="shared" si="443"/>
        <v>Velodrome</v>
      </c>
      <c r="BE868" t="s">
        <v>13</v>
      </c>
      <c r="BF868" t="s">
        <v>756</v>
      </c>
      <c r="BG868" t="s">
        <v>756</v>
      </c>
      <c r="BI868" cm="1">
        <f t="array" ref="BI868">IFERROR(_xlfn._xlws.FILTER(shifts!A:A,(shifts!B:B=events!AD868)*(shifts!AG:AG&gt;=events!BK868)*(shifts!AH:AH&lt;=events!BL868)),BI867)</f>
        <v>42</v>
      </c>
      <c r="BJ868" s="15">
        <f t="shared" si="444"/>
        <v>6</v>
      </c>
      <c r="BK868">
        <f t="shared" si="451"/>
        <v>1007</v>
      </c>
      <c r="BL868">
        <f t="shared" si="452"/>
        <v>1001</v>
      </c>
      <c r="BM868" s="15">
        <f>SUMIFS(BJ$2:BJ868,K$2:K868,"=Intermission")+SUMIFS(BJ$2:BJ868,K$2:K868,"=Timeout")</f>
        <v>72</v>
      </c>
      <c r="BN868">
        <f t="shared" si="453"/>
        <v>1152</v>
      </c>
      <c r="BO868" s="19">
        <f t="shared" si="454"/>
        <v>1225</v>
      </c>
      <c r="BP868">
        <f t="shared" si="455"/>
        <v>1220</v>
      </c>
      <c r="BQ868" s="17">
        <f t="shared" si="456"/>
        <v>1231</v>
      </c>
      <c r="BR868" t="str">
        <f t="shared" si="457"/>
        <v>opp_team_player_1</v>
      </c>
      <c r="BS868">
        <f>COUNTIFS(S$3:S868,"="&amp;S868,AI$3:AI868,"="&amp;AI868)</f>
        <v>1</v>
      </c>
      <c r="BT868" t="str">
        <f>IFERROR(VLOOKUP(BB868&amp;BU868&amp;X868,game_rosters!U:W,3,FALSE),"")</f>
        <v>P100074</v>
      </c>
      <c r="BU868" t="str">
        <f t="shared" si="458"/>
        <v>Nelson</v>
      </c>
    </row>
    <row r="869" spans="1:73" x14ac:dyDescent="0.2">
      <c r="A869">
        <f t="shared" si="445"/>
        <v>1</v>
      </c>
      <c r="J869" s="44" t="str">
        <f t="shared" si="459"/>
        <v/>
      </c>
      <c r="K869" t="s">
        <v>13</v>
      </c>
      <c r="L869" t="s">
        <v>756</v>
      </c>
      <c r="M869" t="s">
        <v>756</v>
      </c>
      <c r="S869">
        <v>469</v>
      </c>
      <c r="W869" t="str">
        <f t="shared" si="434"/>
        <v>a</v>
      </c>
      <c r="X869">
        <v>87</v>
      </c>
      <c r="Y869" t="e">
        <f>IF(X869&lt;&gt;"",VLOOKUP(X869,game_rosters!$C$43:$E$64,3,FALSE))</f>
        <v>#N/A</v>
      </c>
      <c r="Z869" cm="1">
        <f t="array" ref="Z869">IFERROR(IF(_xlfn._xlws.FILTER(game_rosters!$J:$J,(game_rosters!$G:$G=events!$AN869)*(game_rosters!$J:$J=events!$X869))&gt;0,1,""),"")</f>
        <v>1</v>
      </c>
      <c r="AA869">
        <f t="shared" si="463"/>
        <v>1469</v>
      </c>
      <c r="AB869" t="str">
        <f t="shared" si="464"/>
        <v/>
      </c>
      <c r="AC869">
        <f t="shared" si="433"/>
        <v>1469</v>
      </c>
      <c r="AD869" s="6">
        <v>2</v>
      </c>
      <c r="AE869" t="s">
        <v>909</v>
      </c>
      <c r="AF869" t="s">
        <v>749</v>
      </c>
      <c r="AG869" t="s">
        <v>909</v>
      </c>
      <c r="AH869" t="s">
        <v>929</v>
      </c>
      <c r="AI869" t="s">
        <v>367</v>
      </c>
      <c r="AJ869" t="str">
        <f t="shared" ref="AJ869:AK869" si="473">IF($J869&lt;&gt;"",$J869,IF($AC869=$AC868,AJ868,""))</f>
        <v/>
      </c>
      <c r="AK869" t="str">
        <f t="shared" si="473"/>
        <v/>
      </c>
      <c r="AL869" t="str">
        <f t="shared" si="438"/>
        <v/>
      </c>
      <c r="AN869" t="s">
        <v>862</v>
      </c>
      <c r="AO869" t="str">
        <f t="shared" si="439"/>
        <v>a</v>
      </c>
      <c r="AP869" t="str">
        <f t="shared" si="446"/>
        <v/>
      </c>
      <c r="AQ869" t="str">
        <f t="shared" si="447"/>
        <v/>
      </c>
      <c r="AR869" t="str">
        <f t="shared" si="448"/>
        <v>Away</v>
      </c>
      <c r="AS869" t="str">
        <f t="shared" si="449"/>
        <v>a</v>
      </c>
      <c r="AT869" t="str">
        <f t="shared" si="450"/>
        <v>Offensive</v>
      </c>
      <c r="BA869" s="6">
        <f t="shared" si="440"/>
        <v>232</v>
      </c>
      <c r="BB869">
        <f t="shared" si="441"/>
        <v>18981</v>
      </c>
      <c r="BC869" t="str">
        <f t="shared" si="442"/>
        <v>Nelson</v>
      </c>
      <c r="BD869" t="str">
        <f t="shared" si="443"/>
        <v>Velodrome</v>
      </c>
      <c r="BE869" t="s">
        <v>13</v>
      </c>
      <c r="BF869" t="s">
        <v>756</v>
      </c>
      <c r="BG869" t="s">
        <v>756</v>
      </c>
      <c r="BI869" cm="1">
        <f t="array" ref="BI869">IFERROR(_xlfn._xlws.FILTER(shifts!A:A,(shifts!B:B=events!AD869)*(shifts!AG:AG&gt;=events!BK869)*(shifts!AH:AH&lt;=events!BL869)),BI868)</f>
        <v>42</v>
      </c>
      <c r="BJ869" s="15">
        <f t="shared" si="444"/>
        <v>5</v>
      </c>
      <c r="BK869">
        <f t="shared" si="451"/>
        <v>999</v>
      </c>
      <c r="BL869">
        <f t="shared" si="452"/>
        <v>994</v>
      </c>
      <c r="BM869" s="15">
        <f>SUMIFS(BJ$2:BJ869,K$2:K869,"=Intermission")+SUMIFS(BJ$2:BJ869,K$2:K869,"=Timeout")</f>
        <v>72</v>
      </c>
      <c r="BN869">
        <f t="shared" si="453"/>
        <v>1152</v>
      </c>
      <c r="BO869" s="19">
        <f t="shared" si="454"/>
        <v>1233</v>
      </c>
      <c r="BP869">
        <f t="shared" si="455"/>
        <v>1228</v>
      </c>
      <c r="BQ869" s="17">
        <f t="shared" si="456"/>
        <v>1238</v>
      </c>
      <c r="BR869" t="str">
        <f t="shared" si="457"/>
        <v>event_team_player_1</v>
      </c>
      <c r="BS869">
        <f>COUNTIFS(S$3:S869,"="&amp;S869,AI$3:AI869,"="&amp;AI869)</f>
        <v>1</v>
      </c>
      <c r="BT869" t="str">
        <f>IFERROR(VLOOKUP(BB869&amp;BU869&amp;X869,game_rosters!U:W,3,FALSE),"")</f>
        <v>P100159</v>
      </c>
      <c r="BU869" t="str">
        <f t="shared" si="458"/>
        <v>Velodrome</v>
      </c>
    </row>
    <row r="870" spans="1:73" x14ac:dyDescent="0.2">
      <c r="A870">
        <f t="shared" si="445"/>
        <v>1</v>
      </c>
      <c r="J870" s="44" t="str">
        <f t="shared" si="459"/>
        <v/>
      </c>
      <c r="K870" t="s">
        <v>13</v>
      </c>
      <c r="L870" t="s">
        <v>756</v>
      </c>
      <c r="M870" t="s">
        <v>756</v>
      </c>
      <c r="S870">
        <v>469</v>
      </c>
      <c r="W870" t="str">
        <f t="shared" si="434"/>
        <v>a</v>
      </c>
      <c r="X870">
        <v>8</v>
      </c>
      <c r="Y870" t="b">
        <f>IF(X870&lt;&gt;"",VLOOKUP(X870,game_rosters!$C$43:$E$64,3,FALSE))</f>
        <v>0</v>
      </c>
      <c r="Z870" t="str" cm="1">
        <f t="array" ref="Z870">IFERROR(IF(_xlfn._xlws.FILTER(game_rosters!$J:$J,(game_rosters!$G:$G=events!$AN870)*(game_rosters!$J:$J=events!$X870))&gt;0,1,""),"")</f>
        <v/>
      </c>
      <c r="AA870">
        <f t="shared" si="463"/>
        <v>1469</v>
      </c>
      <c r="AB870" t="str">
        <f t="shared" si="464"/>
        <v/>
      </c>
      <c r="AC870">
        <f t="shared" si="433"/>
        <v>1469</v>
      </c>
      <c r="AD870" s="6">
        <v>2</v>
      </c>
      <c r="AE870" t="s">
        <v>909</v>
      </c>
      <c r="AF870" t="s">
        <v>749</v>
      </c>
      <c r="AG870" t="s">
        <v>909</v>
      </c>
      <c r="AH870" t="s">
        <v>929</v>
      </c>
      <c r="AI870" t="s">
        <v>368</v>
      </c>
      <c r="AJ870" t="str">
        <f t="shared" ref="AJ870:AK870" si="474">IF($J870&lt;&gt;"",$J870,IF($AC870=$AC869,AJ869,""))</f>
        <v/>
      </c>
      <c r="AK870" t="str">
        <f t="shared" si="474"/>
        <v/>
      </c>
      <c r="AL870" t="str">
        <f t="shared" si="438"/>
        <v/>
      </c>
      <c r="AN870" t="s">
        <v>862</v>
      </c>
      <c r="AO870" t="str">
        <f t="shared" si="439"/>
        <v>a</v>
      </c>
      <c r="AP870" t="str">
        <f t="shared" si="446"/>
        <v/>
      </c>
      <c r="AQ870" t="str">
        <f t="shared" si="447"/>
        <v/>
      </c>
      <c r="AR870" t="str">
        <f t="shared" si="448"/>
        <v>Away</v>
      </c>
      <c r="AS870" t="str">
        <f t="shared" si="449"/>
        <v>a</v>
      </c>
      <c r="AT870" t="str">
        <f t="shared" si="450"/>
        <v>Defensive</v>
      </c>
      <c r="BA870" s="6">
        <f t="shared" si="440"/>
        <v>232</v>
      </c>
      <c r="BB870">
        <f t="shared" si="441"/>
        <v>18981</v>
      </c>
      <c r="BC870" t="str">
        <f t="shared" si="442"/>
        <v>Nelson</v>
      </c>
      <c r="BD870" t="str">
        <f t="shared" si="443"/>
        <v>Velodrome</v>
      </c>
      <c r="BE870" t="s">
        <v>13</v>
      </c>
      <c r="BF870" t="s">
        <v>756</v>
      </c>
      <c r="BG870" t="s">
        <v>756</v>
      </c>
      <c r="BI870" cm="1">
        <f t="array" ref="BI870">IFERROR(_xlfn._xlws.FILTER(shifts!A:A,(shifts!B:B=events!AD870)*(shifts!AG:AG&gt;=events!BK870)*(shifts!AH:AH&lt;=events!BL870)),BI869)</f>
        <v>42</v>
      </c>
      <c r="BJ870" s="15">
        <f t="shared" si="444"/>
        <v>5</v>
      </c>
      <c r="BK870">
        <f t="shared" si="451"/>
        <v>999</v>
      </c>
      <c r="BL870">
        <f t="shared" si="452"/>
        <v>994</v>
      </c>
      <c r="BM870" s="15">
        <f>SUMIFS(BJ$2:BJ870,K$2:K870,"=Intermission")+SUMIFS(BJ$2:BJ870,K$2:K870,"=Timeout")</f>
        <v>72</v>
      </c>
      <c r="BN870">
        <f t="shared" si="453"/>
        <v>1152</v>
      </c>
      <c r="BO870" s="19">
        <f t="shared" si="454"/>
        <v>1233</v>
      </c>
      <c r="BP870">
        <f t="shared" si="455"/>
        <v>1228</v>
      </c>
      <c r="BQ870" s="17">
        <f t="shared" si="456"/>
        <v>1238</v>
      </c>
      <c r="BR870" t="str">
        <f t="shared" si="457"/>
        <v>opp_team_player_1</v>
      </c>
      <c r="BS870">
        <f>COUNTIFS(S$3:S870,"="&amp;S870,AI$3:AI870,"="&amp;AI870)</f>
        <v>1</v>
      </c>
      <c r="BT870" t="str">
        <f>IFERROR(VLOOKUP(BB870&amp;BU870&amp;X870,game_rosters!U:W,3,FALSE),"")</f>
        <v>P100074</v>
      </c>
      <c r="BU870" t="str">
        <f t="shared" si="458"/>
        <v>Nelson</v>
      </c>
    </row>
    <row r="871" spans="1:73" x14ac:dyDescent="0.2">
      <c r="A871">
        <f t="shared" si="445"/>
        <v>1</v>
      </c>
      <c r="J871" s="44" t="str">
        <f t="shared" si="459"/>
        <v/>
      </c>
      <c r="K871" t="s">
        <v>13</v>
      </c>
      <c r="L871" t="s">
        <v>756</v>
      </c>
      <c r="M871" t="s">
        <v>756</v>
      </c>
      <c r="S871">
        <v>469</v>
      </c>
      <c r="W871" t="str">
        <f t="shared" si="434"/>
        <v>a</v>
      </c>
      <c r="X871">
        <v>80</v>
      </c>
      <c r="Y871" t="b">
        <f>IF(X871&lt;&gt;"",VLOOKUP(X871,game_rosters!$C$43:$E$64,3,FALSE))</f>
        <v>0</v>
      </c>
      <c r="Z871" t="str" cm="1">
        <f t="array" ref="Z871">IFERROR(IF(_xlfn._xlws.FILTER(game_rosters!$J:$J,(game_rosters!$G:$G=events!$AN871)*(game_rosters!$J:$J=events!$X871))&gt;0,1,""),"")</f>
        <v/>
      </c>
      <c r="AA871">
        <f t="shared" si="463"/>
        <v>1469</v>
      </c>
      <c r="AB871" t="str">
        <f t="shared" si="464"/>
        <v/>
      </c>
      <c r="AC871">
        <f t="shared" si="433"/>
        <v>1469</v>
      </c>
      <c r="AD871" s="6">
        <v>2</v>
      </c>
      <c r="AE871" t="s">
        <v>909</v>
      </c>
      <c r="AF871" t="s">
        <v>749</v>
      </c>
      <c r="AG871" t="s">
        <v>909</v>
      </c>
      <c r="AH871" t="s">
        <v>929</v>
      </c>
      <c r="AI871" t="s">
        <v>368</v>
      </c>
      <c r="AJ871" t="str">
        <f t="shared" ref="AJ871:AK871" si="475">IF($J871&lt;&gt;"",$J871,IF($AC871=$AC870,AJ870,""))</f>
        <v/>
      </c>
      <c r="AK871" t="str">
        <f t="shared" si="475"/>
        <v/>
      </c>
      <c r="AL871" t="str">
        <f t="shared" si="438"/>
        <v/>
      </c>
      <c r="AN871" t="s">
        <v>862</v>
      </c>
      <c r="AO871" t="str">
        <f t="shared" si="439"/>
        <v>a</v>
      </c>
      <c r="AP871" t="str">
        <f t="shared" si="446"/>
        <v/>
      </c>
      <c r="AQ871" t="str">
        <f t="shared" si="447"/>
        <v/>
      </c>
      <c r="AR871" t="str">
        <f t="shared" si="448"/>
        <v>Away</v>
      </c>
      <c r="AS871" t="str">
        <f t="shared" si="449"/>
        <v>a</v>
      </c>
      <c r="AT871" t="str">
        <f t="shared" si="450"/>
        <v>Defensive</v>
      </c>
      <c r="BA871" s="6">
        <f t="shared" si="440"/>
        <v>232</v>
      </c>
      <c r="BB871">
        <f t="shared" si="441"/>
        <v>18981</v>
      </c>
      <c r="BC871" t="str">
        <f t="shared" si="442"/>
        <v>Nelson</v>
      </c>
      <c r="BD871" t="str">
        <f t="shared" si="443"/>
        <v>Velodrome</v>
      </c>
      <c r="BE871" t="s">
        <v>13</v>
      </c>
      <c r="BF871" t="s">
        <v>756</v>
      </c>
      <c r="BG871" t="s">
        <v>756</v>
      </c>
      <c r="BI871" cm="1">
        <f t="array" ref="BI871">IFERROR(_xlfn._xlws.FILTER(shifts!A:A,(shifts!B:B=events!AD871)*(shifts!AG:AG&gt;=events!BK871)*(shifts!AH:AH&lt;=events!BL871)),BI870)</f>
        <v>42</v>
      </c>
      <c r="BJ871" s="15">
        <f t="shared" si="444"/>
        <v>5</v>
      </c>
      <c r="BK871">
        <f t="shared" si="451"/>
        <v>999</v>
      </c>
      <c r="BL871">
        <f t="shared" si="452"/>
        <v>994</v>
      </c>
      <c r="BM871" s="15">
        <f>SUMIFS(BJ$2:BJ871,K$2:K871,"=Intermission")+SUMIFS(BJ$2:BJ871,K$2:K871,"=Timeout")</f>
        <v>72</v>
      </c>
      <c r="BN871">
        <f t="shared" si="453"/>
        <v>1152</v>
      </c>
      <c r="BO871" s="19">
        <f t="shared" si="454"/>
        <v>1233</v>
      </c>
      <c r="BP871">
        <f t="shared" si="455"/>
        <v>1228</v>
      </c>
      <c r="BQ871" s="17">
        <f t="shared" si="456"/>
        <v>1238</v>
      </c>
      <c r="BR871" t="str">
        <f t="shared" si="457"/>
        <v>opp_team_player_2</v>
      </c>
      <c r="BS871">
        <f>COUNTIFS(S$3:S871,"="&amp;S871,AI$3:AI871,"="&amp;AI871)</f>
        <v>2</v>
      </c>
      <c r="BT871" t="str">
        <f>IFERROR(VLOOKUP(BB871&amp;BU871&amp;X871,game_rosters!U:W,3,FALSE),"")</f>
        <v>P100197</v>
      </c>
      <c r="BU871" t="str">
        <f t="shared" si="458"/>
        <v>Nelson</v>
      </c>
    </row>
    <row r="872" spans="1:73" x14ac:dyDescent="0.2">
      <c r="A872">
        <f t="shared" si="445"/>
        <v>1</v>
      </c>
      <c r="J872" s="44" t="str">
        <f t="shared" si="459"/>
        <v/>
      </c>
      <c r="K872" t="s">
        <v>9</v>
      </c>
      <c r="L872" t="s">
        <v>183</v>
      </c>
      <c r="M872" t="s">
        <v>79</v>
      </c>
      <c r="S872">
        <v>470</v>
      </c>
      <c r="W872" t="str">
        <f t="shared" si="434"/>
        <v>h</v>
      </c>
      <c r="X872">
        <v>8</v>
      </c>
      <c r="Y872" t="b">
        <f>IF(X872&lt;&gt;"",VLOOKUP(X872,game_rosters!$C$43:$E$64,3,FALSE))</f>
        <v>0</v>
      </c>
      <c r="Z872" cm="1">
        <f t="array" ref="Z872">IFERROR(IF(_xlfn._xlws.FILTER(game_rosters!$J:$J,(game_rosters!$G:$G=events!$AN872)*(game_rosters!$J:$J=events!$X872))&gt;0,1,""),"")</f>
        <v>1</v>
      </c>
      <c r="AA872">
        <f t="shared" si="463"/>
        <v>1470</v>
      </c>
      <c r="AB872" t="str">
        <f t="shared" si="464"/>
        <v/>
      </c>
      <c r="AC872">
        <f t="shared" si="433"/>
        <v>1470</v>
      </c>
      <c r="AD872" s="6">
        <v>2</v>
      </c>
      <c r="AE872" t="s">
        <v>909</v>
      </c>
      <c r="AF872" t="s">
        <v>740</v>
      </c>
      <c r="AG872" t="s">
        <v>756</v>
      </c>
      <c r="AH872" t="s">
        <v>756</v>
      </c>
      <c r="AI872" t="s">
        <v>367</v>
      </c>
      <c r="AJ872" t="str">
        <f t="shared" ref="AJ872:AK872" si="476">IF($J872&lt;&gt;"",$J872,IF($AC872=$AC871,AJ871,""))</f>
        <v/>
      </c>
      <c r="AK872" t="str">
        <f t="shared" si="476"/>
        <v/>
      </c>
      <c r="AL872" t="str">
        <f t="shared" si="438"/>
        <v/>
      </c>
      <c r="AN872" t="s">
        <v>861</v>
      </c>
      <c r="AO872" t="str">
        <f t="shared" si="439"/>
        <v>h</v>
      </c>
      <c r="AP872" t="str">
        <f t="shared" si="446"/>
        <v/>
      </c>
      <c r="AQ872" t="str">
        <f t="shared" si="447"/>
        <v/>
      </c>
      <c r="AR872" t="str">
        <f t="shared" si="448"/>
        <v>Home</v>
      </c>
      <c r="AS872" t="str">
        <f t="shared" si="449"/>
        <v>h</v>
      </c>
      <c r="AT872" t="str">
        <f t="shared" si="450"/>
        <v>Defensive</v>
      </c>
      <c r="BA872" s="6">
        <f t="shared" si="440"/>
        <v>232</v>
      </c>
      <c r="BB872">
        <f t="shared" si="441"/>
        <v>18981</v>
      </c>
      <c r="BC872" t="str">
        <f t="shared" si="442"/>
        <v>Nelson</v>
      </c>
      <c r="BD872" t="str">
        <f t="shared" si="443"/>
        <v>Velodrome</v>
      </c>
      <c r="BE872" t="s">
        <v>9</v>
      </c>
      <c r="BF872" t="s">
        <v>183</v>
      </c>
      <c r="BG872" t="s">
        <v>79</v>
      </c>
      <c r="BI872" cm="1">
        <f t="array" ref="BI872">IFERROR(_xlfn._xlws.FILTER(shifts!A:A,(shifts!B:B=events!AD872)*(shifts!AG:AG&gt;=events!BK872)*(shifts!AH:AH&lt;=events!BL872)),BI871)</f>
        <v>42</v>
      </c>
      <c r="BJ872" s="15">
        <f t="shared" si="444"/>
        <v>0</v>
      </c>
      <c r="BK872">
        <f t="shared" si="451"/>
        <v>985</v>
      </c>
      <c r="BL872">
        <f t="shared" si="452"/>
        <v>985</v>
      </c>
      <c r="BM872" s="15">
        <f>SUMIFS(BJ$2:BJ872,K$2:K872,"=Intermission")+SUMIFS(BJ$2:BJ872,K$2:K872,"=Timeout")</f>
        <v>72</v>
      </c>
      <c r="BN872">
        <f t="shared" si="453"/>
        <v>1152</v>
      </c>
      <c r="BO872" s="19">
        <f t="shared" si="454"/>
        <v>1247</v>
      </c>
      <c r="BP872">
        <f t="shared" si="455"/>
        <v>1242</v>
      </c>
      <c r="BQ872" s="17">
        <f t="shared" si="456"/>
        <v>1247</v>
      </c>
      <c r="BR872" t="str">
        <f t="shared" si="457"/>
        <v>event_team_player_1</v>
      </c>
      <c r="BS872">
        <f>COUNTIFS(S$3:S872,"="&amp;S872,AI$3:AI872,"="&amp;AI872)</f>
        <v>1</v>
      </c>
      <c r="BT872" t="str">
        <f>IFERROR(VLOOKUP(BB872&amp;BU872&amp;X872,game_rosters!U:W,3,FALSE),"")</f>
        <v>P100074</v>
      </c>
      <c r="BU872" t="str">
        <f t="shared" si="458"/>
        <v>Nelson</v>
      </c>
    </row>
    <row r="873" spans="1:73" x14ac:dyDescent="0.2">
      <c r="A873">
        <f t="shared" si="445"/>
        <v>1</v>
      </c>
      <c r="J873" s="44" t="str">
        <f t="shared" si="459"/>
        <v/>
      </c>
      <c r="K873" t="s">
        <v>9</v>
      </c>
      <c r="L873" t="s">
        <v>183</v>
      </c>
      <c r="M873" t="s">
        <v>79</v>
      </c>
      <c r="S873">
        <v>470</v>
      </c>
      <c r="W873" t="str">
        <f t="shared" si="434"/>
        <v>h</v>
      </c>
      <c r="X873">
        <v>87</v>
      </c>
      <c r="Y873" t="e">
        <f>IF(X873&lt;&gt;"",VLOOKUP(X873,game_rosters!$C$43:$E$64,3,FALSE))</f>
        <v>#N/A</v>
      </c>
      <c r="Z873" t="str" cm="1">
        <f t="array" ref="Z873">IFERROR(IF(_xlfn._xlws.FILTER(game_rosters!$J:$J,(game_rosters!$G:$G=events!$AN873)*(game_rosters!$J:$J=events!$X873))&gt;0,1,""),"")</f>
        <v/>
      </c>
      <c r="AA873">
        <f t="shared" si="463"/>
        <v>1470</v>
      </c>
      <c r="AB873" t="str">
        <f t="shared" si="464"/>
        <v/>
      </c>
      <c r="AC873">
        <f t="shared" si="433"/>
        <v>1470</v>
      </c>
      <c r="AD873" s="6">
        <v>2</v>
      </c>
      <c r="AE873" t="s">
        <v>909</v>
      </c>
      <c r="AF873" t="s">
        <v>740</v>
      </c>
      <c r="AG873" t="s">
        <v>756</v>
      </c>
      <c r="AH873" t="s">
        <v>756</v>
      </c>
      <c r="AI873" t="s">
        <v>368</v>
      </c>
      <c r="AJ873" t="str">
        <f t="shared" ref="AJ873:AK873" si="477">IF($J873&lt;&gt;"",$J873,IF($AC873=$AC872,AJ872,""))</f>
        <v/>
      </c>
      <c r="AK873" t="str">
        <f t="shared" si="477"/>
        <v/>
      </c>
      <c r="AL873" t="str">
        <f t="shared" si="438"/>
        <v/>
      </c>
      <c r="AN873" t="s">
        <v>861</v>
      </c>
      <c r="AO873" t="str">
        <f t="shared" si="439"/>
        <v>h</v>
      </c>
      <c r="AP873" t="str">
        <f t="shared" si="446"/>
        <v/>
      </c>
      <c r="AQ873" t="str">
        <f t="shared" si="447"/>
        <v/>
      </c>
      <c r="AR873" t="str">
        <f t="shared" si="448"/>
        <v>Home</v>
      </c>
      <c r="AS873" t="str">
        <f t="shared" si="449"/>
        <v>h</v>
      </c>
      <c r="AT873" t="str">
        <f t="shared" si="450"/>
        <v>Offensive</v>
      </c>
      <c r="BA873" s="6">
        <f t="shared" si="440"/>
        <v>232</v>
      </c>
      <c r="BB873">
        <f t="shared" si="441"/>
        <v>18981</v>
      </c>
      <c r="BC873" t="str">
        <f t="shared" si="442"/>
        <v>Nelson</v>
      </c>
      <c r="BD873" t="str">
        <f t="shared" si="443"/>
        <v>Velodrome</v>
      </c>
      <c r="BE873" t="s">
        <v>9</v>
      </c>
      <c r="BF873" t="s">
        <v>183</v>
      </c>
      <c r="BG873" t="s">
        <v>79</v>
      </c>
      <c r="BI873" cm="1">
        <f t="array" ref="BI873">IFERROR(_xlfn._xlws.FILTER(shifts!A:A,(shifts!B:B=events!AD873)*(shifts!AG:AG&gt;=events!BK873)*(shifts!AH:AH&lt;=events!BL873)),BI872)</f>
        <v>42</v>
      </c>
      <c r="BJ873" s="15">
        <f t="shared" si="444"/>
        <v>0</v>
      </c>
      <c r="BK873">
        <f t="shared" si="451"/>
        <v>985</v>
      </c>
      <c r="BL873">
        <f t="shared" si="452"/>
        <v>985</v>
      </c>
      <c r="BM873" s="15">
        <f>SUMIFS(BJ$2:BJ873,K$2:K873,"=Intermission")+SUMIFS(BJ$2:BJ873,K$2:K873,"=Timeout")</f>
        <v>72</v>
      </c>
      <c r="BN873">
        <f t="shared" si="453"/>
        <v>1152</v>
      </c>
      <c r="BO873" s="19">
        <f t="shared" si="454"/>
        <v>1247</v>
      </c>
      <c r="BP873">
        <f t="shared" si="455"/>
        <v>1242</v>
      </c>
      <c r="BQ873" s="17">
        <f t="shared" si="456"/>
        <v>1247</v>
      </c>
      <c r="BR873" t="str">
        <f t="shared" si="457"/>
        <v>opp_team_player_1</v>
      </c>
      <c r="BS873">
        <f>COUNTIFS(S$3:S873,"="&amp;S873,AI$3:AI873,"="&amp;AI873)</f>
        <v>1</v>
      </c>
      <c r="BT873" t="str">
        <f>IFERROR(VLOOKUP(BB873&amp;BU873&amp;X873,game_rosters!U:W,3,FALSE),"")</f>
        <v>P100159</v>
      </c>
      <c r="BU873" t="str">
        <f t="shared" si="458"/>
        <v>Velodrome</v>
      </c>
    </row>
    <row r="874" spans="1:73" x14ac:dyDescent="0.2">
      <c r="A874">
        <f t="shared" si="445"/>
        <v>1</v>
      </c>
      <c r="J874" s="44" t="str">
        <f t="shared" si="459"/>
        <v/>
      </c>
      <c r="K874" t="s">
        <v>11</v>
      </c>
      <c r="L874" t="s">
        <v>187</v>
      </c>
      <c r="M874" t="s">
        <v>106</v>
      </c>
      <c r="S874">
        <v>471</v>
      </c>
      <c r="W874" t="str">
        <f t="shared" si="434"/>
        <v>h</v>
      </c>
      <c r="X874">
        <v>8</v>
      </c>
      <c r="Y874" t="b">
        <f>IF(X874&lt;&gt;"",VLOOKUP(X874,game_rosters!$C$43:$E$64,3,FALSE))</f>
        <v>0</v>
      </c>
      <c r="Z874" cm="1">
        <f t="array" ref="Z874">IFERROR(IF(_xlfn._xlws.FILTER(game_rosters!$J:$J,(game_rosters!$G:$G=events!$AN874)*(game_rosters!$J:$J=events!$X874))&gt;0,1,""),"")</f>
        <v>1</v>
      </c>
      <c r="AA874">
        <f t="shared" si="463"/>
        <v>1471</v>
      </c>
      <c r="AB874" t="str">
        <f t="shared" si="464"/>
        <v/>
      </c>
      <c r="AC874">
        <f t="shared" si="433"/>
        <v>1471</v>
      </c>
      <c r="AD874" s="6">
        <v>2</v>
      </c>
      <c r="AE874" t="s">
        <v>909</v>
      </c>
      <c r="AF874" t="s">
        <v>740</v>
      </c>
      <c r="AG874" t="s">
        <v>756</v>
      </c>
      <c r="AH874" t="s">
        <v>756</v>
      </c>
      <c r="AI874" t="s">
        <v>367</v>
      </c>
      <c r="AJ874" t="str">
        <f t="shared" ref="AJ874:AK874" si="478">IF($J874&lt;&gt;"",$J874,IF($AC874=$AC873,AJ873,""))</f>
        <v/>
      </c>
      <c r="AK874" t="str">
        <f t="shared" si="478"/>
        <v/>
      </c>
      <c r="AL874" t="str">
        <f t="shared" si="438"/>
        <v/>
      </c>
      <c r="AN874" t="s">
        <v>861</v>
      </c>
      <c r="AO874" t="str">
        <f t="shared" si="439"/>
        <v>h</v>
      </c>
      <c r="AP874" t="str">
        <f t="shared" si="446"/>
        <v/>
      </c>
      <c r="AQ874" t="str">
        <f t="shared" si="447"/>
        <v/>
      </c>
      <c r="AR874" t="str">
        <f t="shared" si="448"/>
        <v>Home</v>
      </c>
      <c r="AS874" t="str">
        <f t="shared" si="449"/>
        <v>h</v>
      </c>
      <c r="AT874" t="str">
        <f t="shared" si="450"/>
        <v/>
      </c>
      <c r="BA874" s="6">
        <f t="shared" si="440"/>
        <v>232</v>
      </c>
      <c r="BB874">
        <f t="shared" si="441"/>
        <v>18981</v>
      </c>
      <c r="BC874" t="str">
        <f t="shared" si="442"/>
        <v>Nelson</v>
      </c>
      <c r="BD874" t="str">
        <f t="shared" si="443"/>
        <v>Velodrome</v>
      </c>
      <c r="BE874" t="s">
        <v>11</v>
      </c>
      <c r="BF874" t="s">
        <v>187</v>
      </c>
      <c r="BG874" t="s">
        <v>106</v>
      </c>
      <c r="BI874" cm="1">
        <f t="array" ref="BI874">IFERROR(_xlfn._xlws.FILTER(shifts!A:A,(shifts!B:B=events!AD874)*(shifts!AG:AG&gt;=events!BK874)*(shifts!AH:AH&lt;=events!BL874)),BI873)</f>
        <v>42</v>
      </c>
      <c r="BJ874" s="15">
        <f t="shared" si="444"/>
        <v>0</v>
      </c>
      <c r="BK874">
        <f t="shared" si="451"/>
        <v>985</v>
      </c>
      <c r="BL874">
        <f t="shared" si="452"/>
        <v>985</v>
      </c>
      <c r="BM874" s="15">
        <f>SUMIFS(BJ$2:BJ874,K$2:K874,"=Intermission")+SUMIFS(BJ$2:BJ874,K$2:K874,"=Timeout")</f>
        <v>72</v>
      </c>
      <c r="BN874">
        <f t="shared" si="453"/>
        <v>1152</v>
      </c>
      <c r="BO874" s="19">
        <f t="shared" si="454"/>
        <v>1247</v>
      </c>
      <c r="BP874">
        <f t="shared" si="455"/>
        <v>1242</v>
      </c>
      <c r="BQ874" s="17">
        <f t="shared" si="456"/>
        <v>1247</v>
      </c>
      <c r="BR874" t="str">
        <f t="shared" si="457"/>
        <v>event_team_player_1</v>
      </c>
      <c r="BS874">
        <f>COUNTIFS(S$3:S874,"="&amp;S874,AI$3:AI874,"="&amp;AI874)</f>
        <v>1</v>
      </c>
      <c r="BT874" t="str">
        <f>IFERROR(VLOOKUP(BB874&amp;BU874&amp;X874,game_rosters!U:W,3,FALSE),"")</f>
        <v>P100074</v>
      </c>
      <c r="BU874" t="str">
        <f t="shared" si="458"/>
        <v>Nelson</v>
      </c>
    </row>
    <row r="875" spans="1:73" x14ac:dyDescent="0.2">
      <c r="A875">
        <f t="shared" si="445"/>
        <v>1</v>
      </c>
      <c r="J875" s="44" t="str">
        <f t="shared" si="459"/>
        <v/>
      </c>
      <c r="K875" t="s">
        <v>241</v>
      </c>
      <c r="L875" t="s">
        <v>756</v>
      </c>
      <c r="M875" t="s">
        <v>756</v>
      </c>
      <c r="S875">
        <v>472</v>
      </c>
      <c r="W875" t="str">
        <f t="shared" si="434"/>
        <v>h</v>
      </c>
      <c r="X875">
        <v>8</v>
      </c>
      <c r="Y875" t="b">
        <f>IF(X875&lt;&gt;"",VLOOKUP(X875,game_rosters!$C$43:$E$64,3,FALSE))</f>
        <v>0</v>
      </c>
      <c r="Z875" cm="1">
        <f t="array" ref="Z875">IFERROR(IF(_xlfn._xlws.FILTER(game_rosters!$J:$J,(game_rosters!$G:$G=events!$AN875)*(game_rosters!$J:$J=events!$X875))&gt;0,1,""),"")</f>
        <v>1</v>
      </c>
      <c r="AA875">
        <f t="shared" si="463"/>
        <v>1472</v>
      </c>
      <c r="AB875" t="str">
        <f t="shared" si="464"/>
        <v/>
      </c>
      <c r="AC875">
        <f t="shared" si="433"/>
        <v>1472</v>
      </c>
      <c r="AD875" s="6">
        <v>2</v>
      </c>
      <c r="AE875" t="s">
        <v>909</v>
      </c>
      <c r="AF875" t="s">
        <v>919</v>
      </c>
      <c r="AG875" t="s">
        <v>909</v>
      </c>
      <c r="AH875" t="s">
        <v>413</v>
      </c>
      <c r="AI875" t="s">
        <v>367</v>
      </c>
      <c r="AJ875" t="str">
        <f t="shared" ref="AJ875:AK875" si="479">IF($J875&lt;&gt;"",$J875,IF($AC875=$AC874,AJ874,""))</f>
        <v/>
      </c>
      <c r="AK875" t="str">
        <f t="shared" si="479"/>
        <v/>
      </c>
      <c r="AL875" t="str">
        <f t="shared" si="438"/>
        <v/>
      </c>
      <c r="AN875" t="s">
        <v>861</v>
      </c>
      <c r="AO875" t="str">
        <f t="shared" si="439"/>
        <v>h</v>
      </c>
      <c r="AP875" t="str">
        <f t="shared" si="446"/>
        <v/>
      </c>
      <c r="AQ875" t="str">
        <f t="shared" si="447"/>
        <v/>
      </c>
      <c r="AR875" t="str">
        <f t="shared" si="448"/>
        <v>Home</v>
      </c>
      <c r="AS875" t="str">
        <f t="shared" si="449"/>
        <v>h</v>
      </c>
      <c r="AT875" t="str">
        <f t="shared" si="450"/>
        <v/>
      </c>
      <c r="BA875" s="6">
        <f t="shared" si="440"/>
        <v>232</v>
      </c>
      <c r="BB875">
        <f t="shared" si="441"/>
        <v>18981</v>
      </c>
      <c r="BC875" t="str">
        <f t="shared" si="442"/>
        <v>Nelson</v>
      </c>
      <c r="BD875" t="str">
        <f t="shared" si="443"/>
        <v>Velodrome</v>
      </c>
      <c r="BE875" t="s">
        <v>241</v>
      </c>
      <c r="BF875" t="s">
        <v>756</v>
      </c>
      <c r="BG875" t="s">
        <v>756</v>
      </c>
      <c r="BI875" cm="1">
        <f t="array" ref="BI875">IFERROR(_xlfn._xlws.FILTER(shifts!A:A,(shifts!B:B=events!AD875)*(shifts!AG:AG&gt;=events!BK875)*(shifts!AH:AH&lt;=events!BL875)),BI874)</f>
        <v>43</v>
      </c>
      <c r="BJ875" s="15">
        <f t="shared" si="444"/>
        <v>20</v>
      </c>
      <c r="BK875">
        <f t="shared" si="451"/>
        <v>980</v>
      </c>
      <c r="BL875">
        <f t="shared" si="452"/>
        <v>960</v>
      </c>
      <c r="BM875" s="15">
        <f>SUMIFS(BJ$2:BJ875,K$2:K875,"=Intermission")+SUMIFS(BJ$2:BJ875,K$2:K875,"=Timeout")</f>
        <v>72</v>
      </c>
      <c r="BN875">
        <f t="shared" si="453"/>
        <v>1152</v>
      </c>
      <c r="BO875" s="19">
        <f t="shared" si="454"/>
        <v>1252</v>
      </c>
      <c r="BP875">
        <f t="shared" si="455"/>
        <v>1247</v>
      </c>
      <c r="BQ875" s="17">
        <f t="shared" si="456"/>
        <v>1272</v>
      </c>
      <c r="BR875" t="str">
        <f t="shared" si="457"/>
        <v>event_team_player_1</v>
      </c>
      <c r="BS875">
        <f>COUNTIFS(S$3:S875,"="&amp;S875,AI$3:AI875,"="&amp;AI875)</f>
        <v>1</v>
      </c>
      <c r="BT875" t="str">
        <f>IFERROR(VLOOKUP(BB875&amp;BU875&amp;X875,game_rosters!U:W,3,FALSE),"")</f>
        <v>P100074</v>
      </c>
      <c r="BU875" t="str">
        <f t="shared" si="458"/>
        <v>Nelson</v>
      </c>
    </row>
    <row r="876" spans="1:73" x14ac:dyDescent="0.2">
      <c r="A876">
        <f t="shared" si="445"/>
        <v>1</v>
      </c>
      <c r="J876" s="44" t="str">
        <f t="shared" si="459"/>
        <v/>
      </c>
      <c r="K876" t="s">
        <v>5</v>
      </c>
      <c r="L876" t="s">
        <v>236</v>
      </c>
      <c r="M876" t="s">
        <v>756</v>
      </c>
      <c r="S876">
        <v>473</v>
      </c>
      <c r="W876" t="str">
        <f t="shared" si="434"/>
        <v>h</v>
      </c>
      <c r="X876">
        <v>70</v>
      </c>
      <c r="Y876" t="e">
        <f>IF(X876&lt;&gt;"",VLOOKUP(X876,game_rosters!$C$43:$E$64,3,FALSE))</f>
        <v>#N/A</v>
      </c>
      <c r="Z876" t="str" cm="1">
        <f t="array" ref="Z876">IFERROR(IF(_xlfn._xlws.FILTER(game_rosters!$J:$J,(game_rosters!$G:$G=events!$AN876)*(game_rosters!$J:$J=events!$X876))&gt;0,1,""),"")</f>
        <v/>
      </c>
      <c r="AA876">
        <f t="shared" si="463"/>
        <v>1473</v>
      </c>
      <c r="AB876" t="str">
        <f t="shared" si="464"/>
        <v/>
      </c>
      <c r="AC876">
        <f t="shared" si="433"/>
        <v>1473</v>
      </c>
      <c r="AD876" s="6">
        <v>2</v>
      </c>
      <c r="AE876" t="s">
        <v>909</v>
      </c>
      <c r="AF876" t="s">
        <v>413</v>
      </c>
      <c r="AG876" t="s">
        <v>756</v>
      </c>
      <c r="AH876" t="s">
        <v>756</v>
      </c>
      <c r="AI876" t="s">
        <v>367</v>
      </c>
      <c r="AJ876" t="str">
        <f t="shared" ref="AJ876:AK876" si="480">IF($J876&lt;&gt;"",$J876,IF($AC876=$AC875,AJ875,""))</f>
        <v/>
      </c>
      <c r="AK876" t="str">
        <f t="shared" si="480"/>
        <v/>
      </c>
      <c r="AL876" t="str">
        <f t="shared" si="438"/>
        <v/>
      </c>
      <c r="AN876" t="s">
        <v>861</v>
      </c>
      <c r="AO876" t="str">
        <f t="shared" si="439"/>
        <v>h</v>
      </c>
      <c r="AP876" t="str">
        <f t="shared" si="446"/>
        <v/>
      </c>
      <c r="AQ876" t="str">
        <f t="shared" si="447"/>
        <v/>
      </c>
      <c r="AR876" t="str">
        <f t="shared" si="448"/>
        <v>Home</v>
      </c>
      <c r="AS876" t="str">
        <f t="shared" si="449"/>
        <v>h</v>
      </c>
      <c r="AT876" t="str">
        <f t="shared" si="450"/>
        <v>Offensive</v>
      </c>
      <c r="BA876" s="6">
        <f t="shared" si="440"/>
        <v>232</v>
      </c>
      <c r="BB876">
        <f t="shared" si="441"/>
        <v>18981</v>
      </c>
      <c r="BC876" t="str">
        <f t="shared" si="442"/>
        <v>Nelson</v>
      </c>
      <c r="BD876" t="str">
        <f t="shared" si="443"/>
        <v>Velodrome</v>
      </c>
      <c r="BE876" t="s">
        <v>5</v>
      </c>
      <c r="BF876" t="s">
        <v>236</v>
      </c>
      <c r="BG876" t="s">
        <v>756</v>
      </c>
      <c r="BI876" cm="1">
        <f t="array" ref="BI876">IFERROR(_xlfn._xlws.FILTER(shifts!A:A,(shifts!B:B=events!AD876)*(shifts!AG:AG&gt;=events!BK876)*(shifts!AH:AH&lt;=events!BL876)),BI875)</f>
        <v>43</v>
      </c>
      <c r="BJ876" s="15">
        <f t="shared" si="444"/>
        <v>0</v>
      </c>
      <c r="BK876">
        <f t="shared" si="451"/>
        <v>960</v>
      </c>
      <c r="BL876">
        <f t="shared" si="452"/>
        <v>960</v>
      </c>
      <c r="BM876" s="15">
        <f>SUMIFS(BJ$2:BJ876,K$2:K876,"=Intermission")+SUMIFS(BJ$2:BJ876,K$2:K876,"=Timeout")</f>
        <v>72</v>
      </c>
      <c r="BN876">
        <f t="shared" si="453"/>
        <v>1152</v>
      </c>
      <c r="BO876" s="19">
        <f t="shared" si="454"/>
        <v>1272</v>
      </c>
      <c r="BP876">
        <f t="shared" si="455"/>
        <v>1267</v>
      </c>
      <c r="BQ876" s="17">
        <f t="shared" si="456"/>
        <v>1272</v>
      </c>
      <c r="BR876" t="str">
        <f t="shared" si="457"/>
        <v>event_team_player_1</v>
      </c>
      <c r="BS876">
        <f>COUNTIFS(S$3:S876,"="&amp;S876,AI$3:AI876,"="&amp;AI876)</f>
        <v>1</v>
      </c>
      <c r="BT876" t="str">
        <f>IFERROR(VLOOKUP(BB876&amp;BU876&amp;X876,game_rosters!U:W,3,FALSE),"")</f>
        <v>P100001</v>
      </c>
      <c r="BU876" t="s">
        <v>521</v>
      </c>
    </row>
    <row r="877" spans="1:73" x14ac:dyDescent="0.2">
      <c r="A877">
        <f t="shared" si="445"/>
        <v>1</v>
      </c>
      <c r="J877" s="44" t="str">
        <f t="shared" si="459"/>
        <v/>
      </c>
      <c r="K877" t="s">
        <v>5</v>
      </c>
      <c r="L877" t="s">
        <v>236</v>
      </c>
      <c r="M877" t="s">
        <v>756</v>
      </c>
      <c r="S877">
        <v>473</v>
      </c>
      <c r="W877" t="str">
        <f t="shared" si="434"/>
        <v>h</v>
      </c>
      <c r="X877">
        <v>79</v>
      </c>
      <c r="Y877" t="b">
        <f>IF(X877&lt;&gt;"",VLOOKUP(X877,game_rosters!$C$43:$E$64,3,FALSE))</f>
        <v>0</v>
      </c>
      <c r="Z877" cm="1">
        <f t="array" ref="Z877">IFERROR(IF(_xlfn._xlws.FILTER(game_rosters!$J:$J,(game_rosters!$G:$G=events!$AN877)*(game_rosters!$J:$J=events!$X877))&gt;0,1,""),"")</f>
        <v>1</v>
      </c>
      <c r="AA877">
        <f t="shared" si="463"/>
        <v>1473</v>
      </c>
      <c r="AB877" t="str">
        <f t="shared" si="464"/>
        <v/>
      </c>
      <c r="AC877">
        <f t="shared" si="433"/>
        <v>1473</v>
      </c>
      <c r="AD877" s="6">
        <v>2</v>
      </c>
      <c r="AE877" t="s">
        <v>909</v>
      </c>
      <c r="AF877" t="s">
        <v>413</v>
      </c>
      <c r="AG877" t="s">
        <v>756</v>
      </c>
      <c r="AH877" t="s">
        <v>756</v>
      </c>
      <c r="AI877" t="s">
        <v>368</v>
      </c>
      <c r="AJ877" t="str">
        <f t="shared" ref="AJ877:AK877" si="481">IF($J877&lt;&gt;"",$J877,IF($AC877=$AC876,AJ876,""))</f>
        <v/>
      </c>
      <c r="AK877" t="str">
        <f t="shared" si="481"/>
        <v/>
      </c>
      <c r="AL877" t="str">
        <f t="shared" si="438"/>
        <v/>
      </c>
      <c r="AN877" t="s">
        <v>861</v>
      </c>
      <c r="AO877" t="str">
        <f t="shared" si="439"/>
        <v>h</v>
      </c>
      <c r="AP877" t="str">
        <f t="shared" si="446"/>
        <v/>
      </c>
      <c r="AQ877" t="str">
        <f t="shared" si="447"/>
        <v/>
      </c>
      <c r="AR877" t="str">
        <f t="shared" si="448"/>
        <v>Home</v>
      </c>
      <c r="AS877" t="str">
        <f t="shared" si="449"/>
        <v>h</v>
      </c>
      <c r="AT877" t="str">
        <f t="shared" si="450"/>
        <v>Defensive</v>
      </c>
      <c r="BA877" s="6">
        <f t="shared" si="440"/>
        <v>232</v>
      </c>
      <c r="BB877">
        <f t="shared" si="441"/>
        <v>18981</v>
      </c>
      <c r="BC877" t="str">
        <f t="shared" si="442"/>
        <v>Nelson</v>
      </c>
      <c r="BD877" t="str">
        <f t="shared" si="443"/>
        <v>Velodrome</v>
      </c>
      <c r="BE877" t="s">
        <v>5</v>
      </c>
      <c r="BF877" t="s">
        <v>236</v>
      </c>
      <c r="BG877" t="s">
        <v>756</v>
      </c>
      <c r="BI877" cm="1">
        <f t="array" ref="BI877">IFERROR(_xlfn._xlws.FILTER(shifts!A:A,(shifts!B:B=events!AD877)*(shifts!AG:AG&gt;=events!BK877)*(shifts!AH:AH&lt;=events!BL877)),BI876)</f>
        <v>43</v>
      </c>
      <c r="BJ877" s="15">
        <f t="shared" si="444"/>
        <v>0</v>
      </c>
      <c r="BK877">
        <f t="shared" si="451"/>
        <v>960</v>
      </c>
      <c r="BL877">
        <f t="shared" si="452"/>
        <v>960</v>
      </c>
      <c r="BM877" s="15">
        <f>SUMIFS(BJ$2:BJ877,K$2:K877,"=Intermission")+SUMIFS(BJ$2:BJ877,K$2:K877,"=Timeout")</f>
        <v>72</v>
      </c>
      <c r="BN877">
        <f t="shared" si="453"/>
        <v>1152</v>
      </c>
      <c r="BO877" s="19">
        <f t="shared" si="454"/>
        <v>1272</v>
      </c>
      <c r="BP877">
        <f t="shared" si="455"/>
        <v>1267</v>
      </c>
      <c r="BQ877" s="17">
        <f t="shared" si="456"/>
        <v>1272</v>
      </c>
      <c r="BR877" t="str">
        <f t="shared" si="457"/>
        <v>opp_team_player_1</v>
      </c>
      <c r="BS877">
        <f>COUNTIFS(S$3:S877,"="&amp;S877,AI$3:AI877,"="&amp;AI877)</f>
        <v>1</v>
      </c>
      <c r="BT877" t="str">
        <f>IFERROR(VLOOKUP(BB877&amp;BU877&amp;X877,game_rosters!U:W,3,FALSE),"")</f>
        <v>P100066</v>
      </c>
      <c r="BU877" t="s">
        <v>944</v>
      </c>
    </row>
    <row r="878" spans="1:73" x14ac:dyDescent="0.2">
      <c r="A878">
        <f t="shared" si="445"/>
        <v>1</v>
      </c>
      <c r="J878" s="44" t="str">
        <f t="shared" si="459"/>
        <v/>
      </c>
      <c r="K878" t="s">
        <v>13</v>
      </c>
      <c r="L878" t="s">
        <v>756</v>
      </c>
      <c r="M878" t="s">
        <v>756</v>
      </c>
      <c r="S878">
        <v>474</v>
      </c>
      <c r="W878" t="str">
        <f t="shared" si="434"/>
        <v>h</v>
      </c>
      <c r="X878">
        <v>37</v>
      </c>
      <c r="Y878" t="b">
        <f>IF(X878&lt;&gt;"",VLOOKUP(X878,game_rosters!$C$43:$E$64,3,FALSE))</f>
        <v>0</v>
      </c>
      <c r="Z878" cm="1">
        <f t="array" ref="Z878">IFERROR(IF(_xlfn._xlws.FILTER(game_rosters!$J:$J,(game_rosters!$G:$G=events!$AN878)*(game_rosters!$J:$J=events!$X878))&gt;0,1,""),"")</f>
        <v>1</v>
      </c>
      <c r="AA878">
        <f t="shared" si="463"/>
        <v>1474</v>
      </c>
      <c r="AB878" t="str">
        <f t="shared" si="464"/>
        <v/>
      </c>
      <c r="AC878">
        <f t="shared" si="433"/>
        <v>1474</v>
      </c>
      <c r="AD878" s="6">
        <v>2</v>
      </c>
      <c r="AE878" t="s">
        <v>744</v>
      </c>
      <c r="AF878" t="s">
        <v>900</v>
      </c>
      <c r="AG878" t="s">
        <v>744</v>
      </c>
      <c r="AH878" t="s">
        <v>923</v>
      </c>
      <c r="AI878" t="s">
        <v>367</v>
      </c>
      <c r="AJ878" t="str">
        <f t="shared" ref="AJ878:AK878" si="482">IF($J878&lt;&gt;"",$J878,IF($AC878=$AC877,AJ877,""))</f>
        <v/>
      </c>
      <c r="AK878" t="str">
        <f t="shared" si="482"/>
        <v/>
      </c>
      <c r="AL878" t="str">
        <f t="shared" si="438"/>
        <v/>
      </c>
      <c r="AN878" t="s">
        <v>861</v>
      </c>
      <c r="AO878" t="str">
        <f t="shared" si="439"/>
        <v>h</v>
      </c>
      <c r="AP878" t="str">
        <f t="shared" si="446"/>
        <v/>
      </c>
      <c r="AQ878" t="str">
        <f t="shared" si="447"/>
        <v/>
      </c>
      <c r="AR878" t="str">
        <f t="shared" si="448"/>
        <v>Home</v>
      </c>
      <c r="AS878" t="str">
        <f t="shared" si="449"/>
        <v>h</v>
      </c>
      <c r="AT878" t="str">
        <f t="shared" si="450"/>
        <v>Offensive</v>
      </c>
      <c r="BA878" s="6">
        <f t="shared" si="440"/>
        <v>232</v>
      </c>
      <c r="BB878">
        <f t="shared" si="441"/>
        <v>18981</v>
      </c>
      <c r="BC878" t="str">
        <f t="shared" si="442"/>
        <v>Nelson</v>
      </c>
      <c r="BD878" t="str">
        <f t="shared" si="443"/>
        <v>Velodrome</v>
      </c>
      <c r="BE878" t="s">
        <v>13</v>
      </c>
      <c r="BF878" t="s">
        <v>756</v>
      </c>
      <c r="BG878" t="s">
        <v>756</v>
      </c>
      <c r="BI878" cm="1">
        <f t="array" ref="BI878">IFERROR(_xlfn._xlws.FILTER(shifts!A:A,(shifts!B:B=events!AD878)*(shifts!AG:AG&gt;=events!BK878)*(shifts!AH:AH&lt;=events!BL878)),BI877)</f>
        <v>43</v>
      </c>
      <c r="BJ878" s="15">
        <f t="shared" si="444"/>
        <v>3</v>
      </c>
      <c r="BK878">
        <f t="shared" si="451"/>
        <v>947</v>
      </c>
      <c r="BL878">
        <f t="shared" si="452"/>
        <v>944</v>
      </c>
      <c r="BM878" s="15">
        <f>SUMIFS(BJ$2:BJ878,K$2:K878,"=Intermission")+SUMIFS(BJ$2:BJ878,K$2:K878,"=Timeout")</f>
        <v>72</v>
      </c>
      <c r="BN878">
        <f t="shared" si="453"/>
        <v>1152</v>
      </c>
      <c r="BO878" s="19">
        <f t="shared" si="454"/>
        <v>1285</v>
      </c>
      <c r="BP878">
        <f t="shared" si="455"/>
        <v>1280</v>
      </c>
      <c r="BQ878" s="17">
        <f t="shared" si="456"/>
        <v>1288</v>
      </c>
      <c r="BR878" t="str">
        <f t="shared" si="457"/>
        <v>event_team_player_1</v>
      </c>
      <c r="BS878">
        <f>COUNTIFS(S$3:S878,"="&amp;S878,AI$3:AI878,"="&amp;AI878)</f>
        <v>1</v>
      </c>
      <c r="BT878" t="str">
        <f>IFERROR(VLOOKUP(BB878&amp;BU878&amp;X878,game_rosters!U:W,3,FALSE),"")</f>
        <v>P100119</v>
      </c>
      <c r="BU878" t="str">
        <f t="shared" si="458"/>
        <v>Nelson</v>
      </c>
    </row>
    <row r="879" spans="1:73" x14ac:dyDescent="0.2">
      <c r="A879">
        <f t="shared" si="445"/>
        <v>1</v>
      </c>
      <c r="J879" s="44" t="str">
        <f t="shared" si="459"/>
        <v/>
      </c>
      <c r="K879" t="s">
        <v>13</v>
      </c>
      <c r="L879" t="s">
        <v>756</v>
      </c>
      <c r="M879" t="s">
        <v>756</v>
      </c>
      <c r="S879">
        <v>474</v>
      </c>
      <c r="W879" t="str">
        <f t="shared" si="434"/>
        <v>h</v>
      </c>
      <c r="X879">
        <v>87</v>
      </c>
      <c r="Y879" t="e">
        <f>IF(X879&lt;&gt;"",VLOOKUP(X879,game_rosters!$C$43:$E$64,3,FALSE))</f>
        <v>#N/A</v>
      </c>
      <c r="Z879" t="str" cm="1">
        <f t="array" ref="Z879">IFERROR(IF(_xlfn._xlws.FILTER(game_rosters!$J:$J,(game_rosters!$G:$G=events!$AN879)*(game_rosters!$J:$J=events!$X879))&gt;0,1,""),"")</f>
        <v/>
      </c>
      <c r="AA879">
        <f t="shared" si="463"/>
        <v>1474</v>
      </c>
      <c r="AB879" t="str">
        <f t="shared" si="464"/>
        <v/>
      </c>
      <c r="AC879">
        <f t="shared" si="433"/>
        <v>1474</v>
      </c>
      <c r="AD879" s="6">
        <v>2</v>
      </c>
      <c r="AE879" t="s">
        <v>744</v>
      </c>
      <c r="AF879" t="s">
        <v>900</v>
      </c>
      <c r="AG879" t="s">
        <v>744</v>
      </c>
      <c r="AH879" t="s">
        <v>923</v>
      </c>
      <c r="AI879" t="s">
        <v>368</v>
      </c>
      <c r="AJ879" t="str">
        <f t="shared" ref="AJ879:AK879" si="483">IF($J879&lt;&gt;"",$J879,IF($AC879=$AC878,AJ878,""))</f>
        <v/>
      </c>
      <c r="AK879" t="str">
        <f t="shared" si="483"/>
        <v/>
      </c>
      <c r="AL879" t="str">
        <f t="shared" si="438"/>
        <v/>
      </c>
      <c r="AN879" t="s">
        <v>861</v>
      </c>
      <c r="AO879" t="str">
        <f t="shared" si="439"/>
        <v>h</v>
      </c>
      <c r="AP879" t="str">
        <f t="shared" si="446"/>
        <v/>
      </c>
      <c r="AQ879" t="str">
        <f t="shared" si="447"/>
        <v/>
      </c>
      <c r="AR879" t="str">
        <f t="shared" si="448"/>
        <v>Home</v>
      </c>
      <c r="AS879" t="str">
        <f t="shared" si="449"/>
        <v>h</v>
      </c>
      <c r="AT879" t="str">
        <f t="shared" si="450"/>
        <v>Defensive</v>
      </c>
      <c r="BA879" s="6">
        <f t="shared" si="440"/>
        <v>232</v>
      </c>
      <c r="BB879">
        <f t="shared" si="441"/>
        <v>18981</v>
      </c>
      <c r="BC879" t="str">
        <f t="shared" si="442"/>
        <v>Nelson</v>
      </c>
      <c r="BD879" t="str">
        <f t="shared" si="443"/>
        <v>Velodrome</v>
      </c>
      <c r="BE879" t="s">
        <v>13</v>
      </c>
      <c r="BF879" t="s">
        <v>756</v>
      </c>
      <c r="BG879" t="s">
        <v>756</v>
      </c>
      <c r="BI879" cm="1">
        <f t="array" ref="BI879">IFERROR(_xlfn._xlws.FILTER(shifts!A:A,(shifts!B:B=events!AD879)*(shifts!AG:AG&gt;=events!BK879)*(shifts!AH:AH&lt;=events!BL879)),BI878)</f>
        <v>43</v>
      </c>
      <c r="BJ879" s="15">
        <f t="shared" si="444"/>
        <v>3</v>
      </c>
      <c r="BK879">
        <f t="shared" si="451"/>
        <v>947</v>
      </c>
      <c r="BL879">
        <f t="shared" si="452"/>
        <v>944</v>
      </c>
      <c r="BM879" s="15">
        <f>SUMIFS(BJ$2:BJ879,K$2:K879,"=Intermission")+SUMIFS(BJ$2:BJ879,K$2:K879,"=Timeout")</f>
        <v>72</v>
      </c>
      <c r="BN879">
        <f t="shared" si="453"/>
        <v>1152</v>
      </c>
      <c r="BO879" s="19">
        <f t="shared" si="454"/>
        <v>1285</v>
      </c>
      <c r="BP879">
        <f t="shared" si="455"/>
        <v>1280</v>
      </c>
      <c r="BQ879" s="17">
        <f t="shared" si="456"/>
        <v>1288</v>
      </c>
      <c r="BR879" t="str">
        <f t="shared" si="457"/>
        <v>opp_team_player_1</v>
      </c>
      <c r="BS879">
        <f>COUNTIFS(S$3:S879,"="&amp;S879,AI$3:AI879,"="&amp;AI879)</f>
        <v>1</v>
      </c>
      <c r="BT879" t="str">
        <f>IFERROR(VLOOKUP(BB879&amp;BU879&amp;X879,game_rosters!U:W,3,FALSE),"")</f>
        <v>P100159</v>
      </c>
      <c r="BU879" t="str">
        <f t="shared" si="458"/>
        <v>Velodrome</v>
      </c>
    </row>
    <row r="880" spans="1:73" x14ac:dyDescent="0.2">
      <c r="A880">
        <f t="shared" si="445"/>
        <v>1</v>
      </c>
      <c r="J880" s="44" t="str">
        <f t="shared" si="459"/>
        <v/>
      </c>
      <c r="K880" t="s">
        <v>417</v>
      </c>
      <c r="L880" t="s">
        <v>756</v>
      </c>
      <c r="M880" t="s">
        <v>756</v>
      </c>
      <c r="S880">
        <v>475</v>
      </c>
      <c r="W880" t="str">
        <f t="shared" si="434"/>
        <v>a</v>
      </c>
      <c r="X880">
        <v>87</v>
      </c>
      <c r="Y880" t="e">
        <f>IF(X880&lt;&gt;"",VLOOKUP(X880,game_rosters!$C$43:$E$64,3,FALSE))</f>
        <v>#N/A</v>
      </c>
      <c r="Z880" cm="1">
        <f t="array" ref="Z880">IFERROR(IF(_xlfn._xlws.FILTER(game_rosters!$J:$J,(game_rosters!$G:$G=events!$AN880)*(game_rosters!$J:$J=events!$X880))&gt;0,1,""),"")</f>
        <v>1</v>
      </c>
      <c r="AA880">
        <f t="shared" si="463"/>
        <v>1475</v>
      </c>
      <c r="AB880" t="str">
        <f t="shared" si="464"/>
        <v/>
      </c>
      <c r="AC880">
        <f t="shared" si="433"/>
        <v>1475</v>
      </c>
      <c r="AD880" s="6">
        <v>2</v>
      </c>
      <c r="AE880" t="s">
        <v>744</v>
      </c>
      <c r="AF880" t="s">
        <v>923</v>
      </c>
      <c r="AG880" t="s">
        <v>756</v>
      </c>
      <c r="AH880" t="s">
        <v>756</v>
      </c>
      <c r="AI880" t="s">
        <v>367</v>
      </c>
      <c r="AJ880" t="str">
        <f t="shared" ref="AJ880:AK880" si="484">IF($J880&lt;&gt;"",$J880,IF($AC880=$AC879,AJ879,""))</f>
        <v/>
      </c>
      <c r="AK880" t="str">
        <f t="shared" si="484"/>
        <v/>
      </c>
      <c r="AL880" t="str">
        <f t="shared" si="438"/>
        <v/>
      </c>
      <c r="AN880" t="s">
        <v>862</v>
      </c>
      <c r="AO880" t="str">
        <f t="shared" si="439"/>
        <v>a</v>
      </c>
      <c r="AP880" t="str">
        <f t="shared" si="446"/>
        <v/>
      </c>
      <c r="AQ880" t="str">
        <f t="shared" si="447"/>
        <v/>
      </c>
      <c r="AR880" t="str">
        <f t="shared" si="448"/>
        <v>Away</v>
      </c>
      <c r="AS880" t="str">
        <f t="shared" si="449"/>
        <v>a</v>
      </c>
      <c r="AT880" t="str">
        <f t="shared" si="450"/>
        <v>Offensive</v>
      </c>
      <c r="BA880" s="6">
        <f t="shared" si="440"/>
        <v>232</v>
      </c>
      <c r="BB880">
        <f t="shared" si="441"/>
        <v>18981</v>
      </c>
      <c r="BC880" t="str">
        <f t="shared" si="442"/>
        <v>Nelson</v>
      </c>
      <c r="BD880" t="str">
        <f t="shared" si="443"/>
        <v>Velodrome</v>
      </c>
      <c r="BE880" t="s">
        <v>417</v>
      </c>
      <c r="BF880" t="s">
        <v>756</v>
      </c>
      <c r="BG880" t="s">
        <v>756</v>
      </c>
      <c r="BI880" cm="1">
        <f t="array" ref="BI880">IFERROR(_xlfn._xlws.FILTER(shifts!A:A,(shifts!B:B=events!AD880)*(shifts!AG:AG&gt;=events!BK880)*(shifts!AH:AH&lt;=events!BL880)),BI879)</f>
        <v>43</v>
      </c>
      <c r="BJ880" s="15">
        <f t="shared" si="444"/>
        <v>0</v>
      </c>
      <c r="BK880">
        <f t="shared" si="451"/>
        <v>944</v>
      </c>
      <c r="BL880">
        <f t="shared" si="452"/>
        <v>944</v>
      </c>
      <c r="BM880" s="15">
        <f>SUMIFS(BJ$2:BJ880,K$2:K880,"=Intermission")+SUMIFS(BJ$2:BJ880,K$2:K880,"=Timeout")</f>
        <v>72</v>
      </c>
      <c r="BN880">
        <f t="shared" si="453"/>
        <v>1152</v>
      </c>
      <c r="BO880" s="19">
        <f t="shared" si="454"/>
        <v>1288</v>
      </c>
      <c r="BP880">
        <f t="shared" si="455"/>
        <v>1283</v>
      </c>
      <c r="BQ880" s="17">
        <f t="shared" si="456"/>
        <v>1288</v>
      </c>
      <c r="BR880" t="str">
        <f t="shared" si="457"/>
        <v>event_team_player_1</v>
      </c>
      <c r="BS880">
        <f>COUNTIFS(S$3:S880,"="&amp;S880,AI$3:AI880,"="&amp;AI880)</f>
        <v>1</v>
      </c>
      <c r="BT880" t="str">
        <f>IFERROR(VLOOKUP(BB880&amp;BU880&amp;X880,game_rosters!U:W,3,FALSE),"")</f>
        <v>P100159</v>
      </c>
      <c r="BU880" t="str">
        <f t="shared" si="458"/>
        <v>Velodrome</v>
      </c>
    </row>
    <row r="881" spans="1:73" x14ac:dyDescent="0.2">
      <c r="A881">
        <f t="shared" si="445"/>
        <v>1</v>
      </c>
      <c r="J881" s="44" t="str">
        <f t="shared" si="459"/>
        <v/>
      </c>
      <c r="K881" t="s">
        <v>417</v>
      </c>
      <c r="L881" t="s">
        <v>756</v>
      </c>
      <c r="M881" t="s">
        <v>756</v>
      </c>
      <c r="S881">
        <v>475</v>
      </c>
      <c r="W881" t="str">
        <f t="shared" si="434"/>
        <v>a</v>
      </c>
      <c r="X881">
        <v>37</v>
      </c>
      <c r="Y881" t="b">
        <f>IF(X881&lt;&gt;"",VLOOKUP(X881,game_rosters!$C$43:$E$64,3,FALSE))</f>
        <v>0</v>
      </c>
      <c r="Z881" t="str" cm="1">
        <f t="array" ref="Z881">IFERROR(IF(_xlfn._xlws.FILTER(game_rosters!$J:$J,(game_rosters!$G:$G=events!$AN881)*(game_rosters!$J:$J=events!$X881))&gt;0,1,""),"")</f>
        <v/>
      </c>
      <c r="AA881">
        <f t="shared" si="463"/>
        <v>1475</v>
      </c>
      <c r="AB881" t="str">
        <f t="shared" si="464"/>
        <v/>
      </c>
      <c r="AC881">
        <f t="shared" si="433"/>
        <v>1475</v>
      </c>
      <c r="AD881" s="6">
        <v>2</v>
      </c>
      <c r="AE881" t="s">
        <v>744</v>
      </c>
      <c r="AF881" t="s">
        <v>923</v>
      </c>
      <c r="AG881" t="s">
        <v>756</v>
      </c>
      <c r="AH881" t="s">
        <v>756</v>
      </c>
      <c r="AI881" t="s">
        <v>368</v>
      </c>
      <c r="AJ881" t="str">
        <f t="shared" ref="AJ881:AK881" si="485">IF($J881&lt;&gt;"",$J881,IF($AC881=$AC880,AJ880,""))</f>
        <v/>
      </c>
      <c r="AK881" t="str">
        <f t="shared" si="485"/>
        <v/>
      </c>
      <c r="AL881" t="str">
        <f t="shared" si="438"/>
        <v/>
      </c>
      <c r="AN881" t="s">
        <v>862</v>
      </c>
      <c r="AO881" t="str">
        <f t="shared" si="439"/>
        <v>a</v>
      </c>
      <c r="AP881" t="str">
        <f t="shared" si="446"/>
        <v/>
      </c>
      <c r="AQ881" t="str">
        <f t="shared" si="447"/>
        <v/>
      </c>
      <c r="AR881" t="str">
        <f t="shared" si="448"/>
        <v>Away</v>
      </c>
      <c r="AS881" t="str">
        <f t="shared" si="449"/>
        <v>a</v>
      </c>
      <c r="AT881" t="str">
        <f t="shared" si="450"/>
        <v>Defensive</v>
      </c>
      <c r="BA881" s="6">
        <f t="shared" si="440"/>
        <v>232</v>
      </c>
      <c r="BB881">
        <f t="shared" si="441"/>
        <v>18981</v>
      </c>
      <c r="BC881" t="str">
        <f t="shared" si="442"/>
        <v>Nelson</v>
      </c>
      <c r="BD881" t="str">
        <f t="shared" si="443"/>
        <v>Velodrome</v>
      </c>
      <c r="BE881" t="s">
        <v>417</v>
      </c>
      <c r="BF881" t="s">
        <v>756</v>
      </c>
      <c r="BG881" t="s">
        <v>756</v>
      </c>
      <c r="BI881" cm="1">
        <f t="array" ref="BI881">IFERROR(_xlfn._xlws.FILTER(shifts!A:A,(shifts!B:B=events!AD881)*(shifts!AG:AG&gt;=events!BK881)*(shifts!AH:AH&lt;=events!BL881)),BI880)</f>
        <v>43</v>
      </c>
      <c r="BJ881" s="15">
        <f t="shared" si="444"/>
        <v>0</v>
      </c>
      <c r="BK881">
        <f t="shared" si="451"/>
        <v>944</v>
      </c>
      <c r="BL881">
        <f t="shared" si="452"/>
        <v>944</v>
      </c>
      <c r="BM881" s="15">
        <f>SUMIFS(BJ$2:BJ881,K$2:K881,"=Intermission")+SUMIFS(BJ$2:BJ881,K$2:K881,"=Timeout")</f>
        <v>72</v>
      </c>
      <c r="BN881">
        <f t="shared" si="453"/>
        <v>1152</v>
      </c>
      <c r="BO881" s="19">
        <f t="shared" si="454"/>
        <v>1288</v>
      </c>
      <c r="BP881">
        <f t="shared" si="455"/>
        <v>1283</v>
      </c>
      <c r="BQ881" s="17">
        <f t="shared" si="456"/>
        <v>1288</v>
      </c>
      <c r="BR881" t="str">
        <f t="shared" si="457"/>
        <v>opp_team_player_1</v>
      </c>
      <c r="BS881">
        <f>COUNTIFS(S$3:S881,"="&amp;S881,AI$3:AI881,"="&amp;AI881)</f>
        <v>1</v>
      </c>
      <c r="BT881" t="str">
        <f>IFERROR(VLOOKUP(BB881&amp;BU881&amp;X881,game_rosters!U:W,3,FALSE),"")</f>
        <v>P100119</v>
      </c>
      <c r="BU881" t="str">
        <f t="shared" si="458"/>
        <v>Nelson</v>
      </c>
    </row>
    <row r="882" spans="1:73" x14ac:dyDescent="0.2">
      <c r="A882">
        <f t="shared" si="445"/>
        <v>1</v>
      </c>
      <c r="J882" s="44" t="str">
        <f t="shared" si="459"/>
        <v>d</v>
      </c>
      <c r="K882" t="s">
        <v>238</v>
      </c>
      <c r="L882" t="s">
        <v>184</v>
      </c>
      <c r="M882" t="s">
        <v>170</v>
      </c>
      <c r="S882">
        <v>476</v>
      </c>
      <c r="W882" t="str">
        <f t="shared" si="434"/>
        <v>h</v>
      </c>
      <c r="X882">
        <v>37</v>
      </c>
      <c r="Y882" t="b">
        <f>IF(X882&lt;&gt;"",VLOOKUP(X882,game_rosters!$C$43:$E$64,3,FALSE))</f>
        <v>0</v>
      </c>
      <c r="Z882" cm="1">
        <f t="array" ref="Z882">IFERROR(IF(_xlfn._xlws.FILTER(game_rosters!$J:$J,(game_rosters!$G:$G=events!$AN882)*(game_rosters!$J:$J=events!$X882))&gt;0,1,""),"")</f>
        <v>1</v>
      </c>
      <c r="AA882">
        <f t="shared" si="463"/>
        <v>1476</v>
      </c>
      <c r="AB882" t="str">
        <f t="shared" si="464"/>
        <v/>
      </c>
      <c r="AC882">
        <f t="shared" si="433"/>
        <v>1476</v>
      </c>
      <c r="AD882" s="6">
        <v>2</v>
      </c>
      <c r="AE882" t="s">
        <v>744</v>
      </c>
      <c r="AF882" t="s">
        <v>923</v>
      </c>
      <c r="AG882" t="s">
        <v>756</v>
      </c>
      <c r="AH882" t="s">
        <v>756</v>
      </c>
      <c r="AI882" t="s">
        <v>367</v>
      </c>
      <c r="AJ882" t="str">
        <f t="shared" ref="AJ882:AK882" si="486">IF($J882&lt;&gt;"",$J882,IF($AC882=$AC881,AJ881,""))</f>
        <v>d</v>
      </c>
      <c r="AK882" t="str">
        <f t="shared" si="486"/>
        <v>d</v>
      </c>
      <c r="AL882" t="str">
        <f t="shared" si="438"/>
        <v>d</v>
      </c>
      <c r="AN882" t="s">
        <v>861</v>
      </c>
      <c r="AO882" t="str">
        <f t="shared" si="439"/>
        <v>h</v>
      </c>
      <c r="AP882" t="str">
        <f t="shared" si="446"/>
        <v>d</v>
      </c>
      <c r="AQ882" t="str">
        <f t="shared" si="447"/>
        <v/>
      </c>
      <c r="AR882" t="str">
        <f t="shared" si="448"/>
        <v>Home</v>
      </c>
      <c r="AS882" t="str">
        <f t="shared" si="449"/>
        <v>h</v>
      </c>
      <c r="AT882" t="str">
        <f t="shared" si="450"/>
        <v>Offensive</v>
      </c>
      <c r="BA882" s="6">
        <f t="shared" si="440"/>
        <v>233</v>
      </c>
      <c r="BB882">
        <f t="shared" si="441"/>
        <v>18981</v>
      </c>
      <c r="BC882" t="str">
        <f t="shared" si="442"/>
        <v>Nelson</v>
      </c>
      <c r="BD882" t="str">
        <f t="shared" si="443"/>
        <v>Velodrome</v>
      </c>
      <c r="BE882" t="s">
        <v>238</v>
      </c>
      <c r="BF882" t="s">
        <v>184</v>
      </c>
      <c r="BG882" t="s">
        <v>170</v>
      </c>
      <c r="BI882" cm="1">
        <f t="array" ref="BI882">IFERROR(_xlfn._xlws.FILTER(shifts!A:A,(shifts!B:B=events!AD882)*(shifts!AG:AG&gt;=events!BK882)*(shifts!AH:AH&lt;=events!BL882)),BI881)</f>
        <v>43</v>
      </c>
      <c r="BJ882" s="15">
        <f t="shared" si="444"/>
        <v>0</v>
      </c>
      <c r="BK882">
        <f t="shared" si="451"/>
        <v>944</v>
      </c>
      <c r="BL882">
        <f t="shared" si="452"/>
        <v>944</v>
      </c>
      <c r="BM882" s="15">
        <f>SUMIFS(BJ$2:BJ882,K$2:K882,"=Intermission")+SUMIFS(BJ$2:BJ882,K$2:K882,"=Timeout")</f>
        <v>72</v>
      </c>
      <c r="BN882">
        <f t="shared" si="453"/>
        <v>1152</v>
      </c>
      <c r="BO882" s="19">
        <f t="shared" si="454"/>
        <v>1288</v>
      </c>
      <c r="BP882">
        <f t="shared" si="455"/>
        <v>1283</v>
      </c>
      <c r="BQ882" s="17">
        <f t="shared" si="456"/>
        <v>1288</v>
      </c>
      <c r="BR882" t="str">
        <f t="shared" si="457"/>
        <v>event_team_player_1</v>
      </c>
      <c r="BS882">
        <f>COUNTIFS(S$3:S882,"="&amp;S882,AI$3:AI882,"="&amp;AI882)</f>
        <v>1</v>
      </c>
      <c r="BT882" t="str">
        <f>IFERROR(VLOOKUP(BB882&amp;BU882&amp;X882,game_rosters!U:W,3,FALSE),"")</f>
        <v>P100119</v>
      </c>
      <c r="BU882" t="str">
        <f t="shared" si="458"/>
        <v>Nelson</v>
      </c>
    </row>
    <row r="883" spans="1:73" x14ac:dyDescent="0.2">
      <c r="A883">
        <f t="shared" si="445"/>
        <v>1</v>
      </c>
      <c r="J883" s="44" t="str">
        <f t="shared" si="459"/>
        <v>d</v>
      </c>
      <c r="K883" t="s">
        <v>238</v>
      </c>
      <c r="L883" t="s">
        <v>184</v>
      </c>
      <c r="M883" t="s">
        <v>170</v>
      </c>
      <c r="S883">
        <v>476</v>
      </c>
      <c r="W883" t="str">
        <f t="shared" si="434"/>
        <v>h</v>
      </c>
      <c r="X883">
        <v>87</v>
      </c>
      <c r="Y883" t="e">
        <f>IF(X883&lt;&gt;"",VLOOKUP(X883,game_rosters!$C$43:$E$64,3,FALSE))</f>
        <v>#N/A</v>
      </c>
      <c r="Z883" t="str" cm="1">
        <f t="array" ref="Z883">IFERROR(IF(_xlfn._xlws.FILTER(game_rosters!$J:$J,(game_rosters!$G:$G=events!$AN883)*(game_rosters!$J:$J=events!$X883))&gt;0,1,""),"")</f>
        <v/>
      </c>
      <c r="AA883">
        <f t="shared" si="463"/>
        <v>1476</v>
      </c>
      <c r="AB883" t="str">
        <f t="shared" si="464"/>
        <v/>
      </c>
      <c r="AC883">
        <f t="shared" si="433"/>
        <v>1476</v>
      </c>
      <c r="AD883" s="6">
        <v>2</v>
      </c>
      <c r="AE883" t="s">
        <v>744</v>
      </c>
      <c r="AF883" t="s">
        <v>923</v>
      </c>
      <c r="AG883" t="s">
        <v>756</v>
      </c>
      <c r="AH883" t="s">
        <v>756</v>
      </c>
      <c r="AI883" t="s">
        <v>368</v>
      </c>
      <c r="AJ883" t="str">
        <f t="shared" ref="AJ883:AK883" si="487">IF($J883&lt;&gt;"",$J883,IF($AC883=$AC882,AJ882,""))</f>
        <v>d</v>
      </c>
      <c r="AK883" t="str">
        <f t="shared" si="487"/>
        <v>d</v>
      </c>
      <c r="AL883" t="str">
        <f t="shared" si="438"/>
        <v>d</v>
      </c>
      <c r="AN883" t="s">
        <v>861</v>
      </c>
      <c r="AO883" t="str">
        <f t="shared" si="439"/>
        <v>h</v>
      </c>
      <c r="AP883" t="str">
        <f t="shared" si="446"/>
        <v>d</v>
      </c>
      <c r="AQ883" t="str">
        <f t="shared" si="447"/>
        <v/>
      </c>
      <c r="AR883" t="str">
        <f t="shared" si="448"/>
        <v>Home</v>
      </c>
      <c r="AS883" t="str">
        <f t="shared" si="449"/>
        <v>h</v>
      </c>
      <c r="AT883" t="str">
        <f t="shared" si="450"/>
        <v>Defensive</v>
      </c>
      <c r="BA883" s="6">
        <f t="shared" si="440"/>
        <v>234</v>
      </c>
      <c r="BB883">
        <f t="shared" si="441"/>
        <v>18981</v>
      </c>
      <c r="BC883" t="str">
        <f t="shared" si="442"/>
        <v>Nelson</v>
      </c>
      <c r="BD883" t="str">
        <f t="shared" si="443"/>
        <v>Velodrome</v>
      </c>
      <c r="BE883" t="s">
        <v>238</v>
      </c>
      <c r="BF883" t="s">
        <v>184</v>
      </c>
      <c r="BG883" t="s">
        <v>170</v>
      </c>
      <c r="BI883" cm="1">
        <f t="array" ref="BI883">IFERROR(_xlfn._xlws.FILTER(shifts!A:A,(shifts!B:B=events!AD883)*(shifts!AG:AG&gt;=events!BK883)*(shifts!AH:AH&lt;=events!BL883)),BI882)</f>
        <v>43</v>
      </c>
      <c r="BJ883" s="15">
        <f t="shared" si="444"/>
        <v>0</v>
      </c>
      <c r="BK883">
        <f t="shared" si="451"/>
        <v>944</v>
      </c>
      <c r="BL883">
        <f t="shared" si="452"/>
        <v>944</v>
      </c>
      <c r="BM883" s="15">
        <f>SUMIFS(BJ$2:BJ883,K$2:K883,"=Intermission")+SUMIFS(BJ$2:BJ883,K$2:K883,"=Timeout")</f>
        <v>72</v>
      </c>
      <c r="BN883">
        <f t="shared" si="453"/>
        <v>1152</v>
      </c>
      <c r="BO883" s="19">
        <f t="shared" si="454"/>
        <v>1288</v>
      </c>
      <c r="BP883">
        <f t="shared" si="455"/>
        <v>1283</v>
      </c>
      <c r="BQ883" s="17">
        <f t="shared" si="456"/>
        <v>1288</v>
      </c>
      <c r="BR883" t="str">
        <f t="shared" si="457"/>
        <v>opp_team_player_1</v>
      </c>
      <c r="BS883">
        <f>COUNTIFS(S$3:S883,"="&amp;S883,AI$3:AI883,"="&amp;AI883)</f>
        <v>1</v>
      </c>
      <c r="BT883" t="str">
        <f>IFERROR(VLOOKUP(BB883&amp;BU883&amp;X883,game_rosters!U:W,3,FALSE),"")</f>
        <v>P100159</v>
      </c>
      <c r="BU883" t="str">
        <f t="shared" si="458"/>
        <v>Velodrome</v>
      </c>
    </row>
    <row r="884" spans="1:73" x14ac:dyDescent="0.2">
      <c r="A884">
        <f t="shared" si="445"/>
        <v>1</v>
      </c>
      <c r="J884" s="44" t="str">
        <f t="shared" si="459"/>
        <v>o</v>
      </c>
      <c r="K884" t="s">
        <v>238</v>
      </c>
      <c r="L884" t="s">
        <v>174</v>
      </c>
      <c r="M884" t="s">
        <v>85</v>
      </c>
      <c r="S884">
        <v>477</v>
      </c>
      <c r="W884" t="str">
        <f t="shared" si="434"/>
        <v>h</v>
      </c>
      <c r="X884">
        <v>79</v>
      </c>
      <c r="Y884" t="b">
        <f>IF(X884&lt;&gt;"",VLOOKUP(X884,game_rosters!$C$43:$E$64,3,FALSE))</f>
        <v>0</v>
      </c>
      <c r="Z884" cm="1">
        <f t="array" ref="Z884">IFERROR(IF(_xlfn._xlws.FILTER(game_rosters!$J:$J,(game_rosters!$G:$G=events!$AN884)*(game_rosters!$J:$J=events!$X884))&gt;0,1,""),"")</f>
        <v>1</v>
      </c>
      <c r="AA884">
        <f t="shared" si="463"/>
        <v>1477</v>
      </c>
      <c r="AB884" t="str">
        <f t="shared" si="464"/>
        <v/>
      </c>
      <c r="AC884">
        <f t="shared" si="433"/>
        <v>1477</v>
      </c>
      <c r="AD884" s="6">
        <v>2</v>
      </c>
      <c r="AE884" t="s">
        <v>744</v>
      </c>
      <c r="AF884" t="s">
        <v>902</v>
      </c>
      <c r="AG884" t="s">
        <v>744</v>
      </c>
      <c r="AH884" t="s">
        <v>903</v>
      </c>
      <c r="AI884" t="s">
        <v>367</v>
      </c>
      <c r="AJ884" t="str">
        <f t="shared" ref="AJ884:AK884" si="488">IF($J884&lt;&gt;"",$J884,IF($AC884=$AC883,AJ883,""))</f>
        <v>o</v>
      </c>
      <c r="AK884" t="str">
        <f t="shared" si="488"/>
        <v>o</v>
      </c>
      <c r="AL884" t="str">
        <f t="shared" si="438"/>
        <v>o</v>
      </c>
      <c r="AN884" t="s">
        <v>861</v>
      </c>
      <c r="AO884" t="str">
        <f t="shared" si="439"/>
        <v>h</v>
      </c>
      <c r="AP884" t="str">
        <f t="shared" si="446"/>
        <v>o</v>
      </c>
      <c r="AQ884" t="str">
        <f t="shared" si="447"/>
        <v/>
      </c>
      <c r="AR884" t="str">
        <f t="shared" si="448"/>
        <v>Home</v>
      </c>
      <c r="AS884" t="str">
        <f t="shared" si="449"/>
        <v>h</v>
      </c>
      <c r="AT884" t="str">
        <f t="shared" si="450"/>
        <v>Offensive</v>
      </c>
      <c r="BA884" s="6">
        <f t="shared" si="440"/>
        <v>235</v>
      </c>
      <c r="BB884">
        <f t="shared" si="441"/>
        <v>18981</v>
      </c>
      <c r="BC884" t="str">
        <f t="shared" si="442"/>
        <v>Nelson</v>
      </c>
      <c r="BD884" t="str">
        <f t="shared" si="443"/>
        <v>Velodrome</v>
      </c>
      <c r="BE884" t="s">
        <v>238</v>
      </c>
      <c r="BF884" t="s">
        <v>174</v>
      </c>
      <c r="BG884" t="s">
        <v>85</v>
      </c>
      <c r="BI884" cm="1">
        <f t="array" ref="BI884">IFERROR(_xlfn._xlws.FILTER(shifts!A:A,(shifts!B:B=events!AD884)*(shifts!AG:AG&gt;=events!BK884)*(shifts!AH:AH&lt;=events!BL884)),BI883)</f>
        <v>43</v>
      </c>
      <c r="BJ884" s="15">
        <f t="shared" si="444"/>
        <v>2</v>
      </c>
      <c r="BK884">
        <f t="shared" si="451"/>
        <v>942</v>
      </c>
      <c r="BL884">
        <f t="shared" si="452"/>
        <v>940</v>
      </c>
      <c r="BM884" s="15">
        <f>SUMIFS(BJ$2:BJ884,K$2:K884,"=Intermission")+SUMIFS(BJ$2:BJ884,K$2:K884,"=Timeout")</f>
        <v>72</v>
      </c>
      <c r="BN884">
        <f t="shared" si="453"/>
        <v>1152</v>
      </c>
      <c r="BO884" s="19">
        <f t="shared" si="454"/>
        <v>1290</v>
      </c>
      <c r="BP884">
        <f t="shared" si="455"/>
        <v>1285</v>
      </c>
      <c r="BQ884" s="17">
        <f t="shared" si="456"/>
        <v>1292</v>
      </c>
      <c r="BR884" t="str">
        <f t="shared" si="457"/>
        <v>event_team_player_1</v>
      </c>
      <c r="BS884">
        <f>COUNTIFS(S$3:S884,"="&amp;S884,AI$3:AI884,"="&amp;AI884)</f>
        <v>1</v>
      </c>
      <c r="BT884" t="str">
        <f>IFERROR(VLOOKUP(BB884&amp;BU884&amp;X884,game_rosters!U:W,3,FALSE),"")</f>
        <v>P100066</v>
      </c>
      <c r="BU884" t="str">
        <f t="shared" si="458"/>
        <v>Nelson</v>
      </c>
    </row>
    <row r="885" spans="1:73" x14ac:dyDescent="0.2">
      <c r="A885">
        <f t="shared" si="445"/>
        <v>1</v>
      </c>
      <c r="J885" s="44" t="str">
        <f t="shared" si="459"/>
        <v>o</v>
      </c>
      <c r="K885" t="s">
        <v>238</v>
      </c>
      <c r="L885" t="s">
        <v>174</v>
      </c>
      <c r="M885" t="s">
        <v>85</v>
      </c>
      <c r="S885">
        <v>477</v>
      </c>
      <c r="W885" t="str">
        <f t="shared" si="434"/>
        <v>h</v>
      </c>
      <c r="X885">
        <v>93</v>
      </c>
      <c r="Y885" t="e">
        <f>IF(X885&lt;&gt;"",VLOOKUP(X885,game_rosters!$C$43:$E$64,3,FALSE))</f>
        <v>#N/A</v>
      </c>
      <c r="Z885" t="str" cm="1">
        <f t="array" ref="Z885">IFERROR(IF(_xlfn._xlws.FILTER(game_rosters!$J:$J,(game_rosters!$G:$G=events!$AN885)*(game_rosters!$J:$J=events!$X885))&gt;0,1,""),"")</f>
        <v/>
      </c>
      <c r="AA885">
        <f t="shared" si="463"/>
        <v>1477</v>
      </c>
      <c r="AB885" t="str">
        <f t="shared" si="464"/>
        <v/>
      </c>
      <c r="AC885">
        <f t="shared" si="433"/>
        <v>1477</v>
      </c>
      <c r="AD885" s="6">
        <v>2</v>
      </c>
      <c r="AE885" t="s">
        <v>744</v>
      </c>
      <c r="AF885" t="s">
        <v>902</v>
      </c>
      <c r="AG885" t="s">
        <v>744</v>
      </c>
      <c r="AH885" t="s">
        <v>903</v>
      </c>
      <c r="AI885" t="s">
        <v>368</v>
      </c>
      <c r="AJ885" t="str">
        <f t="shared" ref="AJ885:AK885" si="489">IF($J885&lt;&gt;"",$J885,IF($AC885=$AC884,AJ884,""))</f>
        <v>o</v>
      </c>
      <c r="AK885" t="str">
        <f t="shared" si="489"/>
        <v>o</v>
      </c>
      <c r="AL885" t="str">
        <f t="shared" si="438"/>
        <v>o</v>
      </c>
      <c r="AN885" t="s">
        <v>861</v>
      </c>
      <c r="AO885" t="str">
        <f t="shared" si="439"/>
        <v>h</v>
      </c>
      <c r="AP885" t="str">
        <f t="shared" si="446"/>
        <v>o</v>
      </c>
      <c r="AQ885" t="str">
        <f t="shared" si="447"/>
        <v/>
      </c>
      <c r="AR885" t="str">
        <f t="shared" si="448"/>
        <v>Home</v>
      </c>
      <c r="AS885" t="str">
        <f t="shared" si="449"/>
        <v>h</v>
      </c>
      <c r="AT885" t="str">
        <f t="shared" si="450"/>
        <v>Defensive</v>
      </c>
      <c r="BA885" s="6">
        <f t="shared" si="440"/>
        <v>236</v>
      </c>
      <c r="BB885">
        <f t="shared" si="441"/>
        <v>18981</v>
      </c>
      <c r="BC885" t="str">
        <f t="shared" si="442"/>
        <v>Nelson</v>
      </c>
      <c r="BD885" t="str">
        <f t="shared" si="443"/>
        <v>Velodrome</v>
      </c>
      <c r="BE885" t="s">
        <v>238</v>
      </c>
      <c r="BF885" t="s">
        <v>174</v>
      </c>
      <c r="BG885" t="s">
        <v>85</v>
      </c>
      <c r="BI885" cm="1">
        <f t="array" ref="BI885">IFERROR(_xlfn._xlws.FILTER(shifts!A:A,(shifts!B:B=events!AD885)*(shifts!AG:AG&gt;=events!BK885)*(shifts!AH:AH&lt;=events!BL885)),BI884)</f>
        <v>43</v>
      </c>
      <c r="BJ885" s="15">
        <f t="shared" si="444"/>
        <v>2</v>
      </c>
      <c r="BK885">
        <f t="shared" si="451"/>
        <v>942</v>
      </c>
      <c r="BL885">
        <f t="shared" si="452"/>
        <v>940</v>
      </c>
      <c r="BM885" s="15">
        <f>SUMIFS(BJ$2:BJ885,K$2:K885,"=Intermission")+SUMIFS(BJ$2:BJ885,K$2:K885,"=Timeout")</f>
        <v>72</v>
      </c>
      <c r="BN885">
        <f t="shared" si="453"/>
        <v>1152</v>
      </c>
      <c r="BO885" s="19">
        <f t="shared" si="454"/>
        <v>1290</v>
      </c>
      <c r="BP885">
        <f t="shared" si="455"/>
        <v>1285</v>
      </c>
      <c r="BQ885" s="17">
        <f t="shared" si="456"/>
        <v>1292</v>
      </c>
      <c r="BR885" t="str">
        <f t="shared" si="457"/>
        <v>opp_team_player_1</v>
      </c>
      <c r="BS885">
        <f>COUNTIFS(S$3:S885,"="&amp;S885,AI$3:AI885,"="&amp;AI885)</f>
        <v>1</v>
      </c>
      <c r="BT885" t="str">
        <f>IFERROR(VLOOKUP(BB885&amp;BU885&amp;X885,game_rosters!U:W,3,FALSE),"")</f>
        <v>P100093</v>
      </c>
      <c r="BU885" t="str">
        <f t="shared" si="458"/>
        <v>Velodrome</v>
      </c>
    </row>
    <row r="886" spans="1:73" x14ac:dyDescent="0.2">
      <c r="A886">
        <f t="shared" si="445"/>
        <v>1</v>
      </c>
      <c r="J886" s="44" t="str">
        <f t="shared" si="459"/>
        <v/>
      </c>
      <c r="K886" t="s">
        <v>230</v>
      </c>
      <c r="L886" t="s">
        <v>388</v>
      </c>
      <c r="M886" t="s">
        <v>143</v>
      </c>
      <c r="S886">
        <v>478</v>
      </c>
      <c r="W886" t="str">
        <f t="shared" si="434"/>
        <v>h</v>
      </c>
      <c r="X886">
        <v>79</v>
      </c>
      <c r="Y886" t="b">
        <f>IF(X886&lt;&gt;"",VLOOKUP(X886,game_rosters!$C$43:$E$64,3,FALSE))</f>
        <v>0</v>
      </c>
      <c r="Z886" cm="1">
        <f t="array" ref="Z886">IFERROR(IF(_xlfn._xlws.FILTER(game_rosters!$J:$J,(game_rosters!$G:$G=events!$AN886)*(game_rosters!$J:$J=events!$X886))&gt;0,1,""),"")</f>
        <v>1</v>
      </c>
      <c r="AA886">
        <f t="shared" si="463"/>
        <v>1478</v>
      </c>
      <c r="AB886" t="str">
        <f t="shared" si="464"/>
        <v/>
      </c>
      <c r="AC886">
        <f t="shared" si="433"/>
        <v>1478</v>
      </c>
      <c r="AD886" s="6">
        <v>2</v>
      </c>
      <c r="AE886" t="s">
        <v>744</v>
      </c>
      <c r="AF886" t="s">
        <v>903</v>
      </c>
      <c r="AG886" t="s">
        <v>756</v>
      </c>
      <c r="AH886" t="s">
        <v>756</v>
      </c>
      <c r="AI886" t="s">
        <v>367</v>
      </c>
      <c r="AJ886" t="str">
        <f t="shared" ref="AJ886:AK886" si="490">IF($J886&lt;&gt;"",$J886,IF($AC886=$AC885,AJ885,""))</f>
        <v/>
      </c>
      <c r="AK886" t="str">
        <f t="shared" si="490"/>
        <v/>
      </c>
      <c r="AL886" t="str">
        <f t="shared" si="438"/>
        <v/>
      </c>
      <c r="AN886" t="s">
        <v>861</v>
      </c>
      <c r="AO886" t="str">
        <f t="shared" si="439"/>
        <v>h</v>
      </c>
      <c r="AP886" t="str">
        <f t="shared" si="446"/>
        <v/>
      </c>
      <c r="AQ886" t="str">
        <f t="shared" si="447"/>
        <v/>
      </c>
      <c r="AR886" t="str">
        <f t="shared" si="448"/>
        <v>Home</v>
      </c>
      <c r="AS886" t="str">
        <f t="shared" si="449"/>
        <v>h</v>
      </c>
      <c r="AT886" t="str">
        <f t="shared" si="450"/>
        <v>Offensive</v>
      </c>
      <c r="BA886" s="6">
        <f t="shared" si="440"/>
        <v>236</v>
      </c>
      <c r="BB886">
        <f t="shared" si="441"/>
        <v>18981</v>
      </c>
      <c r="BC886" t="str">
        <f t="shared" si="442"/>
        <v>Nelson</v>
      </c>
      <c r="BD886" t="str">
        <f t="shared" si="443"/>
        <v>Velodrome</v>
      </c>
      <c r="BE886" t="s">
        <v>230</v>
      </c>
      <c r="BF886" t="s">
        <v>388</v>
      </c>
      <c r="BG886" t="s">
        <v>143</v>
      </c>
      <c r="BI886" cm="1">
        <f t="array" ref="BI886">IFERROR(_xlfn._xlws.FILTER(shifts!A:A,(shifts!B:B=events!AD886)*(shifts!AG:AG&gt;=events!BK886)*(shifts!AH:AH&lt;=events!BL886)),BI885)</f>
        <v>43</v>
      </c>
      <c r="BJ886" s="15">
        <f t="shared" si="444"/>
        <v>0</v>
      </c>
      <c r="BK886">
        <f t="shared" si="451"/>
        <v>940</v>
      </c>
      <c r="BL886">
        <f t="shared" si="452"/>
        <v>940</v>
      </c>
      <c r="BM886" s="15">
        <f>SUMIFS(BJ$2:BJ886,K$2:K886,"=Intermission")+SUMIFS(BJ$2:BJ886,K$2:K886,"=Timeout")</f>
        <v>72</v>
      </c>
      <c r="BN886">
        <f t="shared" si="453"/>
        <v>1152</v>
      </c>
      <c r="BO886" s="19">
        <f t="shared" si="454"/>
        <v>1292</v>
      </c>
      <c r="BP886">
        <f t="shared" si="455"/>
        <v>1287</v>
      </c>
      <c r="BQ886" s="17">
        <f t="shared" si="456"/>
        <v>1292</v>
      </c>
      <c r="BR886" t="str">
        <f t="shared" si="457"/>
        <v>event_team_player_1</v>
      </c>
      <c r="BS886">
        <f>COUNTIFS(S$3:S886,"="&amp;S886,AI$3:AI886,"="&amp;AI886)</f>
        <v>1</v>
      </c>
      <c r="BT886" t="str">
        <f>IFERROR(VLOOKUP(BB886&amp;BU886&amp;X886,game_rosters!U:W,3,FALSE),"")</f>
        <v>P100066</v>
      </c>
      <c r="BU886" t="str">
        <f t="shared" si="458"/>
        <v>Nelson</v>
      </c>
    </row>
    <row r="887" spans="1:73" x14ac:dyDescent="0.2">
      <c r="A887">
        <f t="shared" si="445"/>
        <v>1</v>
      </c>
      <c r="J887" s="44" t="str">
        <f t="shared" si="459"/>
        <v/>
      </c>
      <c r="K887" t="s">
        <v>230</v>
      </c>
      <c r="L887" t="s">
        <v>388</v>
      </c>
      <c r="M887" t="s">
        <v>143</v>
      </c>
      <c r="S887">
        <v>478</v>
      </c>
      <c r="W887" t="str">
        <f t="shared" si="434"/>
        <v>h</v>
      </c>
      <c r="X887">
        <v>93</v>
      </c>
      <c r="Y887" t="e">
        <f>IF(X887&lt;&gt;"",VLOOKUP(X887,game_rosters!$C$43:$E$64,3,FALSE))</f>
        <v>#N/A</v>
      </c>
      <c r="Z887" t="str" cm="1">
        <f t="array" ref="Z887">IFERROR(IF(_xlfn._xlws.FILTER(game_rosters!$J:$J,(game_rosters!$G:$G=events!$AN887)*(game_rosters!$J:$J=events!$X887))&gt;0,1,""),"")</f>
        <v/>
      </c>
      <c r="AA887">
        <f t="shared" si="463"/>
        <v>1478</v>
      </c>
      <c r="AB887" t="str">
        <f t="shared" si="464"/>
        <v/>
      </c>
      <c r="AC887">
        <f t="shared" si="433"/>
        <v>1478</v>
      </c>
      <c r="AD887" s="6">
        <v>2</v>
      </c>
      <c r="AE887" t="s">
        <v>744</v>
      </c>
      <c r="AF887" t="s">
        <v>903</v>
      </c>
      <c r="AG887" t="s">
        <v>756</v>
      </c>
      <c r="AH887" t="s">
        <v>756</v>
      </c>
      <c r="AI887" t="s">
        <v>368</v>
      </c>
      <c r="AJ887" t="str">
        <f t="shared" ref="AJ887:AK887" si="491">IF($J887&lt;&gt;"",$J887,IF($AC887=$AC886,AJ886,""))</f>
        <v/>
      </c>
      <c r="AK887" t="str">
        <f t="shared" si="491"/>
        <v/>
      </c>
      <c r="AL887" t="str">
        <f t="shared" si="438"/>
        <v/>
      </c>
      <c r="AN887" t="s">
        <v>861</v>
      </c>
      <c r="AO887" t="str">
        <f t="shared" si="439"/>
        <v>h</v>
      </c>
      <c r="AP887" t="str">
        <f t="shared" si="446"/>
        <v/>
      </c>
      <c r="AQ887" t="str">
        <f t="shared" si="447"/>
        <v/>
      </c>
      <c r="AR887" t="str">
        <f t="shared" si="448"/>
        <v>Home</v>
      </c>
      <c r="AS887" t="str">
        <f t="shared" si="449"/>
        <v>h</v>
      </c>
      <c r="AT887" t="str">
        <f t="shared" si="450"/>
        <v>Defensive</v>
      </c>
      <c r="BA887" s="6">
        <f t="shared" si="440"/>
        <v>236</v>
      </c>
      <c r="BB887">
        <f t="shared" si="441"/>
        <v>18981</v>
      </c>
      <c r="BC887" t="str">
        <f t="shared" si="442"/>
        <v>Nelson</v>
      </c>
      <c r="BD887" t="str">
        <f t="shared" si="443"/>
        <v>Velodrome</v>
      </c>
      <c r="BE887" t="s">
        <v>230</v>
      </c>
      <c r="BF887" t="s">
        <v>388</v>
      </c>
      <c r="BG887" t="s">
        <v>143</v>
      </c>
      <c r="BI887" cm="1">
        <f t="array" ref="BI887">IFERROR(_xlfn._xlws.FILTER(shifts!A:A,(shifts!B:B=events!AD887)*(shifts!AG:AG&gt;=events!BK887)*(shifts!AH:AH&lt;=events!BL887)),BI886)</f>
        <v>43</v>
      </c>
      <c r="BJ887" s="15">
        <f t="shared" si="444"/>
        <v>0</v>
      </c>
      <c r="BK887">
        <f t="shared" si="451"/>
        <v>940</v>
      </c>
      <c r="BL887">
        <f t="shared" si="452"/>
        <v>940</v>
      </c>
      <c r="BM887" s="15">
        <f>SUMIFS(BJ$2:BJ887,K$2:K887,"=Intermission")+SUMIFS(BJ$2:BJ887,K$2:K887,"=Timeout")</f>
        <v>72</v>
      </c>
      <c r="BN887">
        <f t="shared" si="453"/>
        <v>1152</v>
      </c>
      <c r="BO887" s="19">
        <f t="shared" si="454"/>
        <v>1292</v>
      </c>
      <c r="BP887">
        <f t="shared" si="455"/>
        <v>1287</v>
      </c>
      <c r="BQ887" s="17">
        <f t="shared" si="456"/>
        <v>1292</v>
      </c>
      <c r="BR887" t="str">
        <f t="shared" si="457"/>
        <v>opp_team_player_1</v>
      </c>
      <c r="BS887">
        <f>COUNTIFS(S$3:S887,"="&amp;S887,AI$3:AI887,"="&amp;AI887)</f>
        <v>1</v>
      </c>
      <c r="BT887" t="str">
        <f>IFERROR(VLOOKUP(BB887&amp;BU887&amp;X887,game_rosters!U:W,3,FALSE),"")</f>
        <v>P100093</v>
      </c>
      <c r="BU887" t="str">
        <f t="shared" si="458"/>
        <v>Velodrome</v>
      </c>
    </row>
    <row r="888" spans="1:73" x14ac:dyDescent="0.2">
      <c r="A888">
        <f t="shared" si="445"/>
        <v>1</v>
      </c>
      <c r="J888" s="44" t="str">
        <f t="shared" si="459"/>
        <v/>
      </c>
      <c r="K888" t="s">
        <v>13</v>
      </c>
      <c r="L888" t="s">
        <v>418</v>
      </c>
      <c r="M888" t="s">
        <v>756</v>
      </c>
      <c r="S888">
        <v>479</v>
      </c>
      <c r="W888" t="str">
        <f t="shared" si="434"/>
        <v>h</v>
      </c>
      <c r="X888">
        <v>79</v>
      </c>
      <c r="Y888" t="b">
        <f>IF(X888&lt;&gt;"",VLOOKUP(X888,game_rosters!$C$43:$E$64,3,FALSE))</f>
        <v>0</v>
      </c>
      <c r="Z888" cm="1">
        <f t="array" ref="Z888">IFERROR(IF(_xlfn._xlws.FILTER(game_rosters!$J:$J,(game_rosters!$G:$G=events!$AN888)*(game_rosters!$J:$J=events!$X888))&gt;0,1,""),"")</f>
        <v>1</v>
      </c>
      <c r="AA888">
        <f t="shared" si="463"/>
        <v>1479</v>
      </c>
      <c r="AB888" t="str">
        <f t="shared" si="464"/>
        <v/>
      </c>
      <c r="AC888">
        <f t="shared" si="433"/>
        <v>1479</v>
      </c>
      <c r="AD888" s="6">
        <v>2</v>
      </c>
      <c r="AE888" t="s">
        <v>744</v>
      </c>
      <c r="AF888" t="s">
        <v>903</v>
      </c>
      <c r="AG888" t="s">
        <v>744</v>
      </c>
      <c r="AH888" t="s">
        <v>865</v>
      </c>
      <c r="AI888" t="s">
        <v>367</v>
      </c>
      <c r="AJ888" t="str">
        <f t="shared" ref="AJ888:AK888" si="492">IF($J888&lt;&gt;"",$J888,IF($AC888=$AC887,AJ887,""))</f>
        <v/>
      </c>
      <c r="AK888" t="str">
        <f t="shared" si="492"/>
        <v/>
      </c>
      <c r="AL888" t="str">
        <f t="shared" si="438"/>
        <v/>
      </c>
      <c r="AN888" t="s">
        <v>861</v>
      </c>
      <c r="AO888" t="str">
        <f t="shared" si="439"/>
        <v>h</v>
      </c>
      <c r="AP888" t="str">
        <f t="shared" si="446"/>
        <v/>
      </c>
      <c r="AQ888" t="str">
        <f t="shared" si="447"/>
        <v/>
      </c>
      <c r="AR888" t="str">
        <f t="shared" si="448"/>
        <v>Home</v>
      </c>
      <c r="AS888" t="str">
        <f t="shared" si="449"/>
        <v>h</v>
      </c>
      <c r="AT888" t="str">
        <f t="shared" si="450"/>
        <v>Offensive</v>
      </c>
      <c r="BA888" s="6">
        <f t="shared" si="440"/>
        <v>236</v>
      </c>
      <c r="BB888">
        <f t="shared" si="441"/>
        <v>18981</v>
      </c>
      <c r="BC888" t="str">
        <f t="shared" si="442"/>
        <v>Nelson</v>
      </c>
      <c r="BD888" t="str">
        <f t="shared" si="443"/>
        <v>Velodrome</v>
      </c>
      <c r="BE888" t="s">
        <v>13</v>
      </c>
      <c r="BF888" t="s">
        <v>418</v>
      </c>
      <c r="BG888" t="s">
        <v>756</v>
      </c>
      <c r="BI888" cm="1">
        <f t="array" ref="BI888">IFERROR(_xlfn._xlws.FILTER(shifts!A:A,(shifts!B:B=events!AD888)*(shifts!AG:AG&gt;=events!BK888)*(shifts!AH:AH&lt;=events!BL888)),BI887)</f>
        <v>43</v>
      </c>
      <c r="BJ888" s="15">
        <f t="shared" si="444"/>
        <v>2</v>
      </c>
      <c r="BK888">
        <f t="shared" si="451"/>
        <v>940</v>
      </c>
      <c r="BL888">
        <f t="shared" si="452"/>
        <v>938</v>
      </c>
      <c r="BM888" s="15">
        <f>SUMIFS(BJ$2:BJ888,K$2:K888,"=Intermission")+SUMIFS(BJ$2:BJ888,K$2:K888,"=Timeout")</f>
        <v>72</v>
      </c>
      <c r="BN888">
        <f t="shared" si="453"/>
        <v>1152</v>
      </c>
      <c r="BO888" s="19">
        <f t="shared" si="454"/>
        <v>1292</v>
      </c>
      <c r="BP888">
        <f t="shared" si="455"/>
        <v>1287</v>
      </c>
      <c r="BQ888" s="17">
        <f t="shared" si="456"/>
        <v>1294</v>
      </c>
      <c r="BR888" t="str">
        <f t="shared" si="457"/>
        <v>event_team_player_1</v>
      </c>
      <c r="BS888">
        <f>COUNTIFS(S$3:S888,"="&amp;S888,AI$3:AI888,"="&amp;AI888)</f>
        <v>1</v>
      </c>
      <c r="BT888" t="str">
        <f>IFERROR(VLOOKUP(BB888&amp;BU888&amp;X888,game_rosters!U:W,3,FALSE),"")</f>
        <v>P100066</v>
      </c>
      <c r="BU888" t="str">
        <f t="shared" si="458"/>
        <v>Nelson</v>
      </c>
    </row>
    <row r="889" spans="1:73" x14ac:dyDescent="0.2">
      <c r="A889">
        <f t="shared" si="445"/>
        <v>1</v>
      </c>
      <c r="J889" s="44" t="str">
        <f t="shared" si="459"/>
        <v>o</v>
      </c>
      <c r="K889" t="s">
        <v>6</v>
      </c>
      <c r="L889" t="s">
        <v>205</v>
      </c>
      <c r="M889" t="s">
        <v>51</v>
      </c>
      <c r="S889">
        <v>480</v>
      </c>
      <c r="W889" t="str">
        <f t="shared" si="434"/>
        <v>h</v>
      </c>
      <c r="X889">
        <v>79</v>
      </c>
      <c r="Y889" t="b">
        <f>IF(X889&lt;&gt;"",VLOOKUP(X889,game_rosters!$C$43:$E$64,3,FALSE))</f>
        <v>0</v>
      </c>
      <c r="Z889" cm="1">
        <f t="array" ref="Z889">IFERROR(IF(_xlfn._xlws.FILTER(game_rosters!$J:$J,(game_rosters!$G:$G=events!$AN889)*(game_rosters!$J:$J=events!$X889))&gt;0,1,""),"")</f>
        <v>1</v>
      </c>
      <c r="AA889">
        <f t="shared" si="463"/>
        <v>1480</v>
      </c>
      <c r="AB889" t="str">
        <f t="shared" si="464"/>
        <v/>
      </c>
      <c r="AC889">
        <f t="shared" si="433"/>
        <v>1480</v>
      </c>
      <c r="AD889" s="6">
        <v>2</v>
      </c>
      <c r="AE889" t="s">
        <v>744</v>
      </c>
      <c r="AF889" t="s">
        <v>865</v>
      </c>
      <c r="AG889" t="s">
        <v>756</v>
      </c>
      <c r="AH889" t="s">
        <v>756</v>
      </c>
      <c r="AI889" t="s">
        <v>367</v>
      </c>
      <c r="AJ889" t="str">
        <f t="shared" ref="AJ889:AK889" si="493">IF($J889&lt;&gt;"",$J889,IF($AC889=$AC888,AJ888,""))</f>
        <v>o</v>
      </c>
      <c r="AK889" t="str">
        <f t="shared" si="493"/>
        <v>o</v>
      </c>
      <c r="AL889" t="str">
        <f t="shared" si="438"/>
        <v>o</v>
      </c>
      <c r="AN889" t="s">
        <v>861</v>
      </c>
      <c r="AO889" t="str">
        <f t="shared" si="439"/>
        <v>h</v>
      </c>
      <c r="AP889" t="str">
        <f t="shared" si="446"/>
        <v>o</v>
      </c>
      <c r="AQ889" t="str">
        <f t="shared" si="447"/>
        <v/>
      </c>
      <c r="AR889" t="str">
        <f t="shared" si="448"/>
        <v>Home</v>
      </c>
      <c r="AS889" t="str">
        <f t="shared" si="449"/>
        <v>h</v>
      </c>
      <c r="AT889" t="str">
        <f t="shared" si="450"/>
        <v>Offensive</v>
      </c>
      <c r="BA889" s="6">
        <f t="shared" si="440"/>
        <v>236</v>
      </c>
      <c r="BB889">
        <f t="shared" si="441"/>
        <v>18981</v>
      </c>
      <c r="BC889" t="str">
        <f t="shared" si="442"/>
        <v>Nelson</v>
      </c>
      <c r="BD889" t="str">
        <f t="shared" si="443"/>
        <v>Velodrome</v>
      </c>
      <c r="BE889" t="s">
        <v>6</v>
      </c>
      <c r="BF889" t="s">
        <v>205</v>
      </c>
      <c r="BG889" t="s">
        <v>51</v>
      </c>
      <c r="BI889" cm="1">
        <f t="array" ref="BI889">IFERROR(_xlfn._xlws.FILTER(shifts!A:A,(shifts!B:B=events!AD889)*(shifts!AG:AG&gt;=events!BK889)*(shifts!AH:AH&lt;=events!BL889)),BI888)</f>
        <v>43</v>
      </c>
      <c r="BJ889" s="15">
        <f t="shared" si="444"/>
        <v>0</v>
      </c>
      <c r="BK889">
        <f t="shared" si="451"/>
        <v>938</v>
      </c>
      <c r="BL889">
        <f t="shared" si="452"/>
        <v>938</v>
      </c>
      <c r="BM889" s="15">
        <f>SUMIFS(BJ$2:BJ889,K$2:K889,"=Intermission")+SUMIFS(BJ$2:BJ889,K$2:K889,"=Timeout")</f>
        <v>72</v>
      </c>
      <c r="BN889">
        <f t="shared" si="453"/>
        <v>1152</v>
      </c>
      <c r="BO889" s="19">
        <f t="shared" si="454"/>
        <v>1294</v>
      </c>
      <c r="BP889">
        <f t="shared" si="455"/>
        <v>1289</v>
      </c>
      <c r="BQ889" s="17">
        <f t="shared" si="456"/>
        <v>1294</v>
      </c>
      <c r="BR889" t="str">
        <f t="shared" si="457"/>
        <v>event_team_player_1</v>
      </c>
      <c r="BS889">
        <f>COUNTIFS(S$3:S889,"="&amp;S889,AI$3:AI889,"="&amp;AI889)</f>
        <v>1</v>
      </c>
      <c r="BT889" t="str">
        <f>IFERROR(VLOOKUP(BB889&amp;BU889&amp;X889,game_rosters!U:W,3,FALSE),"")</f>
        <v>P100066</v>
      </c>
      <c r="BU889" t="str">
        <f t="shared" si="458"/>
        <v>Nelson</v>
      </c>
    </row>
    <row r="890" spans="1:73" x14ac:dyDescent="0.2">
      <c r="A890">
        <f t="shared" si="445"/>
        <v>1</v>
      </c>
      <c r="J890" s="44" t="str">
        <f t="shared" si="459"/>
        <v>o</v>
      </c>
      <c r="K890" t="s">
        <v>6</v>
      </c>
      <c r="L890" t="s">
        <v>205</v>
      </c>
      <c r="M890" t="s">
        <v>51</v>
      </c>
      <c r="S890">
        <v>480</v>
      </c>
      <c r="W890" t="str">
        <f t="shared" si="434"/>
        <v>h</v>
      </c>
      <c r="X890">
        <v>39</v>
      </c>
      <c r="Y890" t="e">
        <f>IF(X890&lt;&gt;"",VLOOKUP(X890,game_rosters!$C$43:$E$64,3,FALSE))</f>
        <v>#N/A</v>
      </c>
      <c r="Z890" t="str" cm="1">
        <f t="array" ref="Z890">IFERROR(IF(_xlfn._xlws.FILTER(game_rosters!$J:$J,(game_rosters!$G:$G=events!$AN890)*(game_rosters!$J:$J=events!$X890))&gt;0,1,""),"")</f>
        <v/>
      </c>
      <c r="AA890">
        <f t="shared" si="463"/>
        <v>1480</v>
      </c>
      <c r="AB890" t="str">
        <f t="shared" si="464"/>
        <v/>
      </c>
      <c r="AC890">
        <f t="shared" si="433"/>
        <v>1480</v>
      </c>
      <c r="AD890" s="6">
        <v>2</v>
      </c>
      <c r="AE890" t="s">
        <v>744</v>
      </c>
      <c r="AF890" t="s">
        <v>865</v>
      </c>
      <c r="AG890" t="s">
        <v>756</v>
      </c>
      <c r="AH890" t="s">
        <v>756</v>
      </c>
      <c r="AI890" t="s">
        <v>368</v>
      </c>
      <c r="AJ890" t="str">
        <f t="shared" ref="AJ890:AK890" si="494">IF($J890&lt;&gt;"",$J890,IF($AC890=$AC889,AJ889,""))</f>
        <v>o</v>
      </c>
      <c r="AK890" t="str">
        <f t="shared" si="494"/>
        <v>o</v>
      </c>
      <c r="AL890" t="str">
        <f t="shared" si="438"/>
        <v>o</v>
      </c>
      <c r="AN890" t="s">
        <v>861</v>
      </c>
      <c r="AO890" t="str">
        <f t="shared" si="439"/>
        <v>h</v>
      </c>
      <c r="AP890" t="str">
        <f t="shared" si="446"/>
        <v>o</v>
      </c>
      <c r="AQ890" t="str">
        <f t="shared" si="447"/>
        <v/>
      </c>
      <c r="AR890" t="str">
        <f t="shared" si="448"/>
        <v>Home</v>
      </c>
      <c r="AS890" t="str">
        <f t="shared" si="449"/>
        <v>h</v>
      </c>
      <c r="AT890" t="str">
        <f t="shared" si="450"/>
        <v>Defensive</v>
      </c>
      <c r="BA890" s="6">
        <f t="shared" si="440"/>
        <v>236</v>
      </c>
      <c r="BB890">
        <f t="shared" si="441"/>
        <v>18981</v>
      </c>
      <c r="BC890" t="str">
        <f t="shared" si="442"/>
        <v>Nelson</v>
      </c>
      <c r="BD890" t="str">
        <f t="shared" si="443"/>
        <v>Velodrome</v>
      </c>
      <c r="BE890" t="s">
        <v>6</v>
      </c>
      <c r="BF890" t="s">
        <v>205</v>
      </c>
      <c r="BG890" t="s">
        <v>51</v>
      </c>
      <c r="BI890" cm="1">
        <f t="array" ref="BI890">IFERROR(_xlfn._xlws.FILTER(shifts!A:A,(shifts!B:B=events!AD890)*(shifts!AG:AG&gt;=events!BK890)*(shifts!AH:AH&lt;=events!BL890)),BI889)</f>
        <v>43</v>
      </c>
      <c r="BJ890" s="15">
        <f t="shared" si="444"/>
        <v>0</v>
      </c>
      <c r="BK890">
        <f t="shared" si="451"/>
        <v>938</v>
      </c>
      <c r="BL890">
        <f t="shared" si="452"/>
        <v>938</v>
      </c>
      <c r="BM890" s="15">
        <f>SUMIFS(BJ$2:BJ890,K$2:K890,"=Intermission")+SUMIFS(BJ$2:BJ890,K$2:K890,"=Timeout")</f>
        <v>72</v>
      </c>
      <c r="BN890">
        <f t="shared" si="453"/>
        <v>1152</v>
      </c>
      <c r="BO890" s="19">
        <f t="shared" si="454"/>
        <v>1294</v>
      </c>
      <c r="BP890">
        <f t="shared" si="455"/>
        <v>1289</v>
      </c>
      <c r="BQ890" s="17">
        <f t="shared" si="456"/>
        <v>1294</v>
      </c>
      <c r="BR890" t="str">
        <f t="shared" si="457"/>
        <v>opp_team_player_1</v>
      </c>
      <c r="BS890">
        <f>COUNTIFS(S$3:S890,"="&amp;S890,AI$3:AI890,"="&amp;AI890)</f>
        <v>1</v>
      </c>
      <c r="BT890" t="str">
        <f>IFERROR(VLOOKUP(BB890&amp;BU890&amp;X890,game_rosters!U:W,3,FALSE),"")</f>
        <v>P100016</v>
      </c>
      <c r="BU890" t="str">
        <f t="shared" si="458"/>
        <v>Velodrome</v>
      </c>
    </row>
    <row r="891" spans="1:73" x14ac:dyDescent="0.2">
      <c r="A891">
        <f t="shared" si="445"/>
        <v>1</v>
      </c>
      <c r="J891" s="44" t="str">
        <f t="shared" si="459"/>
        <v>d</v>
      </c>
      <c r="K891" t="s">
        <v>15</v>
      </c>
      <c r="L891" t="s">
        <v>189</v>
      </c>
      <c r="M891" t="s">
        <v>94</v>
      </c>
      <c r="S891">
        <v>481</v>
      </c>
      <c r="W891" t="str">
        <f t="shared" si="434"/>
        <v>a</v>
      </c>
      <c r="X891">
        <v>39</v>
      </c>
      <c r="Y891" t="e">
        <f>IF(X891&lt;&gt;"",VLOOKUP(X891,game_rosters!$C$43:$E$64,3,FALSE))</f>
        <v>#N/A</v>
      </c>
      <c r="Z891" cm="1">
        <f t="array" ref="Z891">IFERROR(IF(_xlfn._xlws.FILTER(game_rosters!$J:$J,(game_rosters!$G:$G=events!$AN891)*(game_rosters!$J:$J=events!$X891))&gt;0,1,""),"")</f>
        <v>1</v>
      </c>
      <c r="AA891">
        <f t="shared" si="463"/>
        <v>1481</v>
      </c>
      <c r="AB891" t="str">
        <f t="shared" si="464"/>
        <v/>
      </c>
      <c r="AC891">
        <f t="shared" si="433"/>
        <v>1481</v>
      </c>
      <c r="AD891" s="6">
        <v>2</v>
      </c>
      <c r="AE891" t="s">
        <v>744</v>
      </c>
      <c r="AF891" t="s">
        <v>865</v>
      </c>
      <c r="AG891" t="s">
        <v>756</v>
      </c>
      <c r="AH891" t="s">
        <v>756</v>
      </c>
      <c r="AI891" t="s">
        <v>367</v>
      </c>
      <c r="AJ891" t="str">
        <f t="shared" ref="AJ891:AK891" si="495">IF($J891&lt;&gt;"",$J891,IF($AC891=$AC890,AJ890,""))</f>
        <v>d</v>
      </c>
      <c r="AK891" t="str">
        <f t="shared" si="495"/>
        <v>d</v>
      </c>
      <c r="AL891" t="str">
        <f t="shared" si="438"/>
        <v>o</v>
      </c>
      <c r="AN891" t="s">
        <v>862</v>
      </c>
      <c r="AO891" t="str">
        <f t="shared" si="439"/>
        <v>a</v>
      </c>
      <c r="AP891" t="str">
        <f t="shared" si="446"/>
        <v>o</v>
      </c>
      <c r="AQ891" t="str">
        <f t="shared" si="447"/>
        <v/>
      </c>
      <c r="AR891" t="str">
        <f t="shared" si="448"/>
        <v>Away</v>
      </c>
      <c r="AS891" t="str">
        <f t="shared" si="449"/>
        <v>a</v>
      </c>
      <c r="AT891" t="str">
        <f t="shared" si="450"/>
        <v>Defensive</v>
      </c>
      <c r="BA891" s="6">
        <f t="shared" si="440"/>
        <v>236</v>
      </c>
      <c r="BB891">
        <f t="shared" si="441"/>
        <v>18981</v>
      </c>
      <c r="BC891" t="str">
        <f t="shared" si="442"/>
        <v>Nelson</v>
      </c>
      <c r="BD891" t="str">
        <f t="shared" si="443"/>
        <v>Velodrome</v>
      </c>
      <c r="BE891" t="s">
        <v>15</v>
      </c>
      <c r="BF891" t="s">
        <v>189</v>
      </c>
      <c r="BG891" t="s">
        <v>94</v>
      </c>
      <c r="BI891" cm="1">
        <f t="array" ref="BI891">IFERROR(_xlfn._xlws.FILTER(shifts!A:A,(shifts!B:B=events!AD891)*(shifts!AG:AG&gt;=events!BK891)*(shifts!AH:AH&lt;=events!BL891)),BI890)</f>
        <v>43</v>
      </c>
      <c r="BJ891" s="15">
        <f t="shared" si="444"/>
        <v>0</v>
      </c>
      <c r="BK891">
        <f t="shared" si="451"/>
        <v>938</v>
      </c>
      <c r="BL891">
        <f t="shared" si="452"/>
        <v>938</v>
      </c>
      <c r="BM891" s="15">
        <f>SUMIFS(BJ$2:BJ891,K$2:K891,"=Intermission")+SUMIFS(BJ$2:BJ891,K$2:K891,"=Timeout")</f>
        <v>72</v>
      </c>
      <c r="BN891">
        <f t="shared" si="453"/>
        <v>1152</v>
      </c>
      <c r="BO891" s="19">
        <f t="shared" si="454"/>
        <v>1294</v>
      </c>
      <c r="BP891">
        <f t="shared" si="455"/>
        <v>1289</v>
      </c>
      <c r="BQ891" s="17">
        <f t="shared" si="456"/>
        <v>1294</v>
      </c>
      <c r="BR891" t="str">
        <f t="shared" si="457"/>
        <v>event_team_player_1</v>
      </c>
      <c r="BS891">
        <f>COUNTIFS(S$3:S891,"="&amp;S891,AI$3:AI891,"="&amp;AI891)</f>
        <v>1</v>
      </c>
      <c r="BT891" t="str">
        <f>IFERROR(VLOOKUP(BB891&amp;BU891&amp;X891,game_rosters!U:W,3,FALSE),"")</f>
        <v>P100016</v>
      </c>
      <c r="BU891" t="str">
        <f t="shared" si="458"/>
        <v>Velodrome</v>
      </c>
    </row>
    <row r="892" spans="1:73" x14ac:dyDescent="0.2">
      <c r="A892">
        <f t="shared" si="445"/>
        <v>1</v>
      </c>
      <c r="J892" s="44" t="str">
        <f t="shared" si="459"/>
        <v>d</v>
      </c>
      <c r="K892" t="s">
        <v>15</v>
      </c>
      <c r="L892" t="s">
        <v>189</v>
      </c>
      <c r="M892" t="s">
        <v>94</v>
      </c>
      <c r="S892">
        <v>481</v>
      </c>
      <c r="W892" t="str">
        <f t="shared" si="434"/>
        <v>a</v>
      </c>
      <c r="X892">
        <v>79</v>
      </c>
      <c r="Y892" t="b">
        <f>IF(X892&lt;&gt;"",VLOOKUP(X892,game_rosters!$C$43:$E$64,3,FALSE))</f>
        <v>0</v>
      </c>
      <c r="Z892" t="str" cm="1">
        <f t="array" ref="Z892">IFERROR(IF(_xlfn._xlws.FILTER(game_rosters!$J:$J,(game_rosters!$G:$G=events!$AN892)*(game_rosters!$J:$J=events!$X892))&gt;0,1,""),"")</f>
        <v/>
      </c>
      <c r="AA892">
        <f t="shared" si="463"/>
        <v>1481</v>
      </c>
      <c r="AB892" t="str">
        <f t="shared" si="464"/>
        <v/>
      </c>
      <c r="AC892">
        <f t="shared" si="433"/>
        <v>1481</v>
      </c>
      <c r="AD892" s="6">
        <v>2</v>
      </c>
      <c r="AE892" t="s">
        <v>744</v>
      </c>
      <c r="AF892" t="s">
        <v>865</v>
      </c>
      <c r="AG892" t="s">
        <v>756</v>
      </c>
      <c r="AH892" t="s">
        <v>756</v>
      </c>
      <c r="AI892" t="s">
        <v>368</v>
      </c>
      <c r="AJ892" t="str">
        <f t="shared" ref="AJ892:AK892" si="496">IF($J892&lt;&gt;"",$J892,IF($AC892=$AC891,AJ891,""))</f>
        <v>d</v>
      </c>
      <c r="AK892" t="str">
        <f t="shared" si="496"/>
        <v>d</v>
      </c>
      <c r="AL892" t="str">
        <f t="shared" si="438"/>
        <v>o</v>
      </c>
      <c r="AN892" t="s">
        <v>862</v>
      </c>
      <c r="AO892" t="str">
        <f t="shared" si="439"/>
        <v>a</v>
      </c>
      <c r="AP892" t="str">
        <f t="shared" si="446"/>
        <v>o</v>
      </c>
      <c r="AQ892" t="str">
        <f t="shared" si="447"/>
        <v/>
      </c>
      <c r="AR892" t="str">
        <f t="shared" si="448"/>
        <v>Away</v>
      </c>
      <c r="AS892" t="str">
        <f t="shared" si="449"/>
        <v>a</v>
      </c>
      <c r="AT892" t="str">
        <f t="shared" si="450"/>
        <v>Offensive</v>
      </c>
      <c r="BA892" s="6">
        <f t="shared" si="440"/>
        <v>236</v>
      </c>
      <c r="BB892">
        <f t="shared" si="441"/>
        <v>18981</v>
      </c>
      <c r="BC892" t="str">
        <f t="shared" si="442"/>
        <v>Nelson</v>
      </c>
      <c r="BD892" t="str">
        <f t="shared" si="443"/>
        <v>Velodrome</v>
      </c>
      <c r="BE892" t="s">
        <v>15</v>
      </c>
      <c r="BF892" t="s">
        <v>189</v>
      </c>
      <c r="BG892" t="s">
        <v>94</v>
      </c>
      <c r="BI892" cm="1">
        <f t="array" ref="BI892">IFERROR(_xlfn._xlws.FILTER(shifts!A:A,(shifts!B:B=events!AD892)*(shifts!AG:AG&gt;=events!BK892)*(shifts!AH:AH&lt;=events!BL892)),BI891)</f>
        <v>43</v>
      </c>
      <c r="BJ892" s="15">
        <f t="shared" si="444"/>
        <v>0</v>
      </c>
      <c r="BK892">
        <f t="shared" si="451"/>
        <v>938</v>
      </c>
      <c r="BL892">
        <f t="shared" si="452"/>
        <v>938</v>
      </c>
      <c r="BM892" s="15">
        <f>SUMIFS(BJ$2:BJ892,K$2:K892,"=Intermission")+SUMIFS(BJ$2:BJ892,K$2:K892,"=Timeout")</f>
        <v>72</v>
      </c>
      <c r="BN892">
        <f t="shared" si="453"/>
        <v>1152</v>
      </c>
      <c r="BO892" s="19">
        <f t="shared" si="454"/>
        <v>1294</v>
      </c>
      <c r="BP892">
        <f t="shared" si="455"/>
        <v>1289</v>
      </c>
      <c r="BQ892" s="17">
        <f t="shared" si="456"/>
        <v>1294</v>
      </c>
      <c r="BR892" t="str">
        <f t="shared" si="457"/>
        <v>opp_team_player_1</v>
      </c>
      <c r="BS892">
        <f>COUNTIFS(S$3:S892,"="&amp;S892,AI$3:AI892,"="&amp;AI892)</f>
        <v>1</v>
      </c>
      <c r="BT892" t="str">
        <f>IFERROR(VLOOKUP(BB892&amp;BU892&amp;X892,game_rosters!U:W,3,FALSE),"")</f>
        <v>P100066</v>
      </c>
      <c r="BU892" t="str">
        <f t="shared" si="458"/>
        <v>Nelson</v>
      </c>
    </row>
    <row r="893" spans="1:73" x14ac:dyDescent="0.2">
      <c r="A893">
        <f t="shared" si="445"/>
        <v>1</v>
      </c>
      <c r="J893" s="44" t="str">
        <f t="shared" si="459"/>
        <v/>
      </c>
      <c r="K893" t="s">
        <v>10</v>
      </c>
      <c r="L893" t="s">
        <v>175</v>
      </c>
      <c r="M893" t="s">
        <v>139</v>
      </c>
      <c r="S893">
        <v>482</v>
      </c>
      <c r="W893" t="str">
        <f t="shared" si="434"/>
        <v>a</v>
      </c>
      <c r="X893">
        <v>87</v>
      </c>
      <c r="Y893" t="e">
        <f>IF(X893&lt;&gt;"",VLOOKUP(X893,game_rosters!$C$43:$E$64,3,FALSE))</f>
        <v>#N/A</v>
      </c>
      <c r="Z893" cm="1">
        <f t="array" ref="Z893">IFERROR(IF(_xlfn._xlws.FILTER(game_rosters!$J:$J,(game_rosters!$G:$G=events!$AN893)*(game_rosters!$J:$J=events!$X893))&gt;0,1,""),"")</f>
        <v>1</v>
      </c>
      <c r="AA893">
        <f t="shared" si="463"/>
        <v>1482</v>
      </c>
      <c r="AB893" t="str">
        <f t="shared" si="464"/>
        <v/>
      </c>
      <c r="AC893">
        <f t="shared" si="433"/>
        <v>1482</v>
      </c>
      <c r="AD893" s="6">
        <v>2</v>
      </c>
      <c r="AE893" t="s">
        <v>744</v>
      </c>
      <c r="AF893" t="s">
        <v>904</v>
      </c>
      <c r="AG893" t="s">
        <v>756</v>
      </c>
      <c r="AH893" t="s">
        <v>756</v>
      </c>
      <c r="AI893" t="s">
        <v>367</v>
      </c>
      <c r="AJ893" t="str">
        <f t="shared" ref="AJ893:AK893" si="497">IF($J893&lt;&gt;"",$J893,IF($AC893=$AC892,AJ892,""))</f>
        <v/>
      </c>
      <c r="AK893" t="str">
        <f t="shared" si="497"/>
        <v/>
      </c>
      <c r="AL893" t="str">
        <f t="shared" si="438"/>
        <v/>
      </c>
      <c r="AN893" t="s">
        <v>862</v>
      </c>
      <c r="AO893" t="str">
        <f t="shared" si="439"/>
        <v>a</v>
      </c>
      <c r="AP893" t="str">
        <f t="shared" si="446"/>
        <v/>
      </c>
      <c r="AQ893" t="str">
        <f t="shared" si="447"/>
        <v/>
      </c>
      <c r="AR893" t="str">
        <f t="shared" si="448"/>
        <v>Away</v>
      </c>
      <c r="AS893" t="str">
        <f t="shared" si="449"/>
        <v>a</v>
      </c>
      <c r="AT893" t="str">
        <f t="shared" si="450"/>
        <v>Offensive</v>
      </c>
      <c r="BA893" s="6">
        <f t="shared" si="440"/>
        <v>236</v>
      </c>
      <c r="BB893">
        <f t="shared" si="441"/>
        <v>18981</v>
      </c>
      <c r="BC893" t="str">
        <f t="shared" si="442"/>
        <v>Nelson</v>
      </c>
      <c r="BD893" t="str">
        <f t="shared" si="443"/>
        <v>Velodrome</v>
      </c>
      <c r="BE893" t="s">
        <v>10</v>
      </c>
      <c r="BF893" t="s">
        <v>175</v>
      </c>
      <c r="BG893" t="s">
        <v>139</v>
      </c>
      <c r="BI893" cm="1">
        <f t="array" ref="BI893">IFERROR(_xlfn._xlws.FILTER(shifts!A:A,(shifts!B:B=events!AD893)*(shifts!AG:AG&gt;=events!BK893)*(shifts!AH:AH&lt;=events!BL893)),BI892)</f>
        <v>43</v>
      </c>
      <c r="BJ893" s="15">
        <f t="shared" si="444"/>
        <v>0</v>
      </c>
      <c r="BK893">
        <f t="shared" si="451"/>
        <v>936</v>
      </c>
      <c r="BL893">
        <f t="shared" si="452"/>
        <v>936</v>
      </c>
      <c r="BM893" s="15">
        <f>SUMIFS(BJ$2:BJ893,K$2:K893,"=Intermission")+SUMIFS(BJ$2:BJ893,K$2:K893,"=Timeout")</f>
        <v>72</v>
      </c>
      <c r="BN893">
        <f t="shared" si="453"/>
        <v>1152</v>
      </c>
      <c r="BO893" s="19">
        <f t="shared" si="454"/>
        <v>1296</v>
      </c>
      <c r="BP893">
        <f t="shared" si="455"/>
        <v>1291</v>
      </c>
      <c r="BQ893" s="17">
        <f t="shared" si="456"/>
        <v>1296</v>
      </c>
      <c r="BR893" t="str">
        <f t="shared" si="457"/>
        <v>event_team_player_1</v>
      </c>
      <c r="BS893">
        <f>COUNTIFS(S$3:S893,"="&amp;S893,AI$3:AI893,"="&amp;AI893)</f>
        <v>1</v>
      </c>
      <c r="BT893" t="str">
        <f>IFERROR(VLOOKUP(BB893&amp;BU893&amp;X893,game_rosters!U:W,3,FALSE),"")</f>
        <v>P100159</v>
      </c>
      <c r="BU893" t="str">
        <f t="shared" si="458"/>
        <v>Velodrome</v>
      </c>
    </row>
    <row r="894" spans="1:73" x14ac:dyDescent="0.2">
      <c r="A894">
        <f t="shared" si="445"/>
        <v>1</v>
      </c>
      <c r="J894" s="44" t="str">
        <f t="shared" si="459"/>
        <v/>
      </c>
      <c r="K894" t="s">
        <v>11</v>
      </c>
      <c r="L894" t="s">
        <v>187</v>
      </c>
      <c r="M894" t="s">
        <v>41</v>
      </c>
      <c r="S894">
        <v>483</v>
      </c>
      <c r="W894" t="str">
        <f t="shared" si="434"/>
        <v>a</v>
      </c>
      <c r="X894">
        <v>87</v>
      </c>
      <c r="Y894" t="e">
        <f>IF(X894&lt;&gt;"",VLOOKUP(X894,game_rosters!$C$43:$E$64,3,FALSE))</f>
        <v>#N/A</v>
      </c>
      <c r="Z894" cm="1">
        <f t="array" ref="Z894">IFERROR(IF(_xlfn._xlws.FILTER(game_rosters!$J:$J,(game_rosters!$G:$G=events!$AN894)*(game_rosters!$J:$J=events!$X894))&gt;0,1,""),"")</f>
        <v>1</v>
      </c>
      <c r="AA894">
        <f t="shared" si="463"/>
        <v>1483</v>
      </c>
      <c r="AB894" t="str">
        <f t="shared" si="464"/>
        <v/>
      </c>
      <c r="AC894">
        <f t="shared" si="433"/>
        <v>1483</v>
      </c>
      <c r="AD894" s="6">
        <v>2</v>
      </c>
      <c r="AE894" t="s">
        <v>744</v>
      </c>
      <c r="AF894" t="s">
        <v>904</v>
      </c>
      <c r="AG894" t="s">
        <v>756</v>
      </c>
      <c r="AH894" t="s">
        <v>756</v>
      </c>
      <c r="AI894" t="s">
        <v>367</v>
      </c>
      <c r="AJ894" t="str">
        <f t="shared" ref="AJ894:AK894" si="498">IF($J894&lt;&gt;"",$J894,IF($AC894=$AC893,AJ893,""))</f>
        <v/>
      </c>
      <c r="AK894" t="str">
        <f t="shared" si="498"/>
        <v/>
      </c>
      <c r="AL894" t="str">
        <f t="shared" si="438"/>
        <v/>
      </c>
      <c r="AN894" t="s">
        <v>862</v>
      </c>
      <c r="AO894" t="str">
        <f t="shared" si="439"/>
        <v>a</v>
      </c>
      <c r="AP894" t="str">
        <f t="shared" si="446"/>
        <v/>
      </c>
      <c r="AQ894" t="str">
        <f t="shared" si="447"/>
        <v/>
      </c>
      <c r="AR894" t="str">
        <f t="shared" si="448"/>
        <v>Away</v>
      </c>
      <c r="AS894" t="str">
        <f t="shared" si="449"/>
        <v>a</v>
      </c>
      <c r="AT894" t="str">
        <f t="shared" si="450"/>
        <v/>
      </c>
      <c r="BA894" s="6">
        <f t="shared" si="440"/>
        <v>236</v>
      </c>
      <c r="BB894">
        <f t="shared" si="441"/>
        <v>18981</v>
      </c>
      <c r="BC894" t="str">
        <f t="shared" si="442"/>
        <v>Nelson</v>
      </c>
      <c r="BD894" t="str">
        <f t="shared" si="443"/>
        <v>Velodrome</v>
      </c>
      <c r="BE894" t="s">
        <v>11</v>
      </c>
      <c r="BF894" t="s">
        <v>187</v>
      </c>
      <c r="BG894" t="s">
        <v>41</v>
      </c>
      <c r="BI894" cm="1">
        <f t="array" ref="BI894">IFERROR(_xlfn._xlws.FILTER(shifts!A:A,(shifts!B:B=events!AD894)*(shifts!AG:AG&gt;=events!BK894)*(shifts!AH:AH&lt;=events!BL894)),BI893)</f>
        <v>43</v>
      </c>
      <c r="BJ894" s="15">
        <f t="shared" si="444"/>
        <v>0</v>
      </c>
      <c r="BK894">
        <f t="shared" si="451"/>
        <v>936</v>
      </c>
      <c r="BL894">
        <f t="shared" si="452"/>
        <v>936</v>
      </c>
      <c r="BM894" s="15">
        <f>SUMIFS(BJ$2:BJ894,K$2:K894,"=Intermission")+SUMIFS(BJ$2:BJ894,K$2:K894,"=Timeout")</f>
        <v>72</v>
      </c>
      <c r="BN894">
        <f t="shared" si="453"/>
        <v>1152</v>
      </c>
      <c r="BO894" s="19">
        <f t="shared" si="454"/>
        <v>1296</v>
      </c>
      <c r="BP894">
        <f t="shared" si="455"/>
        <v>1291</v>
      </c>
      <c r="BQ894" s="17">
        <f t="shared" si="456"/>
        <v>1296</v>
      </c>
      <c r="BR894" t="str">
        <f t="shared" si="457"/>
        <v>event_team_player_1</v>
      </c>
      <c r="BS894">
        <f>COUNTIFS(S$3:S894,"="&amp;S894,AI$3:AI894,"="&amp;AI894)</f>
        <v>1</v>
      </c>
      <c r="BT894" t="str">
        <f>IFERROR(VLOOKUP(BB894&amp;BU894&amp;X894,game_rosters!U:W,3,FALSE),"")</f>
        <v>P100159</v>
      </c>
      <c r="BU894" t="str">
        <f t="shared" si="458"/>
        <v>Velodrome</v>
      </c>
    </row>
    <row r="895" spans="1:73" x14ac:dyDescent="0.2">
      <c r="A895">
        <f t="shared" si="445"/>
        <v>1</v>
      </c>
      <c r="J895" s="44" t="str">
        <f t="shared" si="459"/>
        <v/>
      </c>
      <c r="K895" t="s">
        <v>241</v>
      </c>
      <c r="L895" t="s">
        <v>756</v>
      </c>
      <c r="M895" t="s">
        <v>756</v>
      </c>
      <c r="S895">
        <v>484</v>
      </c>
      <c r="W895" t="str">
        <f t="shared" si="434"/>
        <v>a</v>
      </c>
      <c r="X895">
        <v>87</v>
      </c>
      <c r="Y895" t="e">
        <f>IF(X895&lt;&gt;"",VLOOKUP(X895,game_rosters!$C$43:$E$64,3,FALSE))</f>
        <v>#N/A</v>
      </c>
      <c r="Z895" cm="1">
        <f t="array" ref="Z895">IFERROR(IF(_xlfn._xlws.FILTER(game_rosters!$J:$J,(game_rosters!$G:$G=events!$AN895)*(game_rosters!$J:$J=events!$X895))&gt;0,1,""),"")</f>
        <v>1</v>
      </c>
      <c r="AA895">
        <f t="shared" si="463"/>
        <v>1484</v>
      </c>
      <c r="AB895" t="str">
        <f t="shared" si="464"/>
        <v/>
      </c>
      <c r="AC895">
        <f t="shared" si="433"/>
        <v>1484</v>
      </c>
      <c r="AD895" s="6">
        <v>2</v>
      </c>
      <c r="AE895" t="s">
        <v>744</v>
      </c>
      <c r="AF895" t="s">
        <v>904</v>
      </c>
      <c r="AG895" t="s">
        <v>744</v>
      </c>
      <c r="AH895" t="s">
        <v>911</v>
      </c>
      <c r="AI895" t="s">
        <v>367</v>
      </c>
      <c r="AJ895" t="str">
        <f t="shared" ref="AJ895:AK895" si="499">IF($J895&lt;&gt;"",$J895,IF($AC895=$AC894,AJ894,""))</f>
        <v/>
      </c>
      <c r="AK895" t="str">
        <f t="shared" si="499"/>
        <v/>
      </c>
      <c r="AL895" t="str">
        <f t="shared" si="438"/>
        <v/>
      </c>
      <c r="AN895" t="s">
        <v>862</v>
      </c>
      <c r="AO895" t="str">
        <f t="shared" si="439"/>
        <v>a</v>
      </c>
      <c r="AP895" t="str">
        <f t="shared" si="446"/>
        <v/>
      </c>
      <c r="AQ895" t="str">
        <f t="shared" si="447"/>
        <v/>
      </c>
      <c r="AR895" t="str">
        <f t="shared" si="448"/>
        <v>Away</v>
      </c>
      <c r="AS895" t="str">
        <f t="shared" si="449"/>
        <v>a</v>
      </c>
      <c r="AT895" t="str">
        <f t="shared" si="450"/>
        <v/>
      </c>
      <c r="BA895" s="6">
        <f t="shared" si="440"/>
        <v>236</v>
      </c>
      <c r="BB895">
        <f t="shared" si="441"/>
        <v>18981</v>
      </c>
      <c r="BC895" t="str">
        <f t="shared" si="442"/>
        <v>Nelson</v>
      </c>
      <c r="BD895" t="str">
        <f t="shared" si="443"/>
        <v>Velodrome</v>
      </c>
      <c r="BE895" t="s">
        <v>241</v>
      </c>
      <c r="BF895" t="s">
        <v>756</v>
      </c>
      <c r="BG895" t="s">
        <v>756</v>
      </c>
      <c r="BI895" cm="1">
        <f t="array" ref="BI895">IFERROR(_xlfn._xlws.FILTER(shifts!A:A,(shifts!B:B=events!AD895)*(shifts!AG:AG&gt;=events!BK895)*(shifts!AH:AH&lt;=events!BL895)),BI894)</f>
        <v>43</v>
      </c>
      <c r="BJ895" s="15">
        <f t="shared" si="444"/>
        <v>30</v>
      </c>
      <c r="BK895">
        <f t="shared" si="451"/>
        <v>936</v>
      </c>
      <c r="BL895">
        <f t="shared" si="452"/>
        <v>906</v>
      </c>
      <c r="BM895" s="15">
        <f>SUMIFS(BJ$2:BJ895,K$2:K895,"=Intermission")+SUMIFS(BJ$2:BJ895,K$2:K895,"=Timeout")</f>
        <v>72</v>
      </c>
      <c r="BN895">
        <f t="shared" si="453"/>
        <v>1152</v>
      </c>
      <c r="BO895" s="19">
        <f t="shared" si="454"/>
        <v>1296</v>
      </c>
      <c r="BP895">
        <f t="shared" si="455"/>
        <v>1291</v>
      </c>
      <c r="BQ895" s="17">
        <f t="shared" si="456"/>
        <v>1326</v>
      </c>
      <c r="BR895" t="str">
        <f t="shared" si="457"/>
        <v>event_team_player_1</v>
      </c>
      <c r="BS895">
        <f>COUNTIFS(S$3:S895,"="&amp;S895,AI$3:AI895,"="&amp;AI895)</f>
        <v>1</v>
      </c>
      <c r="BT895" t="str">
        <f>IFERROR(VLOOKUP(BB895&amp;BU895&amp;X895,game_rosters!U:W,3,FALSE),"")</f>
        <v>P100159</v>
      </c>
      <c r="BU895" t="str">
        <f t="shared" si="458"/>
        <v>Velodrome</v>
      </c>
    </row>
    <row r="896" spans="1:73" x14ac:dyDescent="0.2">
      <c r="A896">
        <f t="shared" si="445"/>
        <v>1</v>
      </c>
      <c r="J896" s="44" t="str">
        <f t="shared" si="459"/>
        <v/>
      </c>
      <c r="K896" t="s">
        <v>5</v>
      </c>
      <c r="L896" t="s">
        <v>180</v>
      </c>
      <c r="M896" t="s">
        <v>756</v>
      </c>
      <c r="S896">
        <v>485</v>
      </c>
      <c r="W896" t="str">
        <f t="shared" si="434"/>
        <v>a</v>
      </c>
      <c r="X896">
        <v>70</v>
      </c>
      <c r="Y896" t="e">
        <f>IF(X896&lt;&gt;"",VLOOKUP(X896,game_rosters!$C$43:$E$64,3,FALSE))</f>
        <v>#N/A</v>
      </c>
      <c r="Z896" cm="1">
        <f t="array" ref="Z896">IFERROR(IF(_xlfn._xlws.FILTER(game_rosters!$J:$J,(game_rosters!$G:$G=events!$AN896)*(game_rosters!$J:$J=events!$X896))&gt;0,1,""),"")</f>
        <v>1</v>
      </c>
      <c r="AA896">
        <f t="shared" si="463"/>
        <v>1485</v>
      </c>
      <c r="AB896" t="str">
        <f t="shared" si="464"/>
        <v/>
      </c>
      <c r="AC896">
        <f t="shared" si="433"/>
        <v>1485</v>
      </c>
      <c r="AD896" s="6">
        <v>2</v>
      </c>
      <c r="AE896" t="s">
        <v>744</v>
      </c>
      <c r="AF896" t="s">
        <v>911</v>
      </c>
      <c r="AG896" t="s">
        <v>756</v>
      </c>
      <c r="AH896" t="s">
        <v>756</v>
      </c>
      <c r="AI896" t="s">
        <v>367</v>
      </c>
      <c r="AJ896" t="str">
        <f t="shared" ref="AJ896:AK896" si="500">IF($J896&lt;&gt;"",$J896,IF($AC896=$AC895,AJ895,""))</f>
        <v/>
      </c>
      <c r="AK896" t="str">
        <f t="shared" si="500"/>
        <v/>
      </c>
      <c r="AL896" t="str">
        <f t="shared" si="438"/>
        <v/>
      </c>
      <c r="AN896" t="s">
        <v>862</v>
      </c>
      <c r="AO896" t="str">
        <f t="shared" si="439"/>
        <v>a</v>
      </c>
      <c r="AP896" t="str">
        <f t="shared" si="446"/>
        <v/>
      </c>
      <c r="AQ896" t="str">
        <f t="shared" si="447"/>
        <v/>
      </c>
      <c r="AR896" t="str">
        <f t="shared" si="448"/>
        <v>Away</v>
      </c>
      <c r="AS896" t="str">
        <f t="shared" si="449"/>
        <v>a</v>
      </c>
      <c r="AT896" t="str">
        <f t="shared" si="450"/>
        <v>Offensive</v>
      </c>
      <c r="BA896" s="6">
        <f t="shared" si="440"/>
        <v>236</v>
      </c>
      <c r="BB896">
        <f t="shared" si="441"/>
        <v>18981</v>
      </c>
      <c r="BC896" t="str">
        <f t="shared" si="442"/>
        <v>Nelson</v>
      </c>
      <c r="BD896" t="str">
        <f t="shared" si="443"/>
        <v>Velodrome</v>
      </c>
      <c r="BE896" t="s">
        <v>5</v>
      </c>
      <c r="BF896" t="s">
        <v>180</v>
      </c>
      <c r="BG896" t="s">
        <v>756</v>
      </c>
      <c r="BI896" cm="1">
        <f t="array" ref="BI896">IFERROR(_xlfn._xlws.FILTER(shifts!A:A,(shifts!B:B=events!AD896)*(shifts!AG:AG&gt;=events!BK896)*(shifts!AH:AH&lt;=events!BL896)),BI895)</f>
        <v>44</v>
      </c>
      <c r="BJ896" s="15">
        <f t="shared" si="444"/>
        <v>0</v>
      </c>
      <c r="BK896">
        <f t="shared" si="451"/>
        <v>906</v>
      </c>
      <c r="BL896">
        <f t="shared" si="452"/>
        <v>906</v>
      </c>
      <c r="BM896" s="15">
        <f>SUMIFS(BJ$2:BJ896,K$2:K896,"=Intermission")+SUMIFS(BJ$2:BJ896,K$2:K896,"=Timeout")</f>
        <v>72</v>
      </c>
      <c r="BN896">
        <f t="shared" si="453"/>
        <v>1152</v>
      </c>
      <c r="BO896" s="19">
        <f t="shared" si="454"/>
        <v>1326</v>
      </c>
      <c r="BP896">
        <f t="shared" si="455"/>
        <v>1321</v>
      </c>
      <c r="BQ896" s="17">
        <f t="shared" si="456"/>
        <v>1326</v>
      </c>
      <c r="BR896" t="str">
        <f t="shared" si="457"/>
        <v>event_team_player_1</v>
      </c>
      <c r="BS896">
        <f>COUNTIFS(S$3:S896,"="&amp;S896,AI$3:AI896,"="&amp;AI896)</f>
        <v>1</v>
      </c>
      <c r="BT896" t="str">
        <f>IFERROR(VLOOKUP(BB896&amp;BU896&amp;X896,game_rosters!U:W,3,FALSE),"")</f>
        <v>P100001</v>
      </c>
      <c r="BU896" t="str">
        <f t="shared" si="458"/>
        <v>Velodrome</v>
      </c>
    </row>
    <row r="897" spans="1:73" x14ac:dyDescent="0.2">
      <c r="A897">
        <f t="shared" si="445"/>
        <v>1</v>
      </c>
      <c r="J897" s="44" t="str">
        <f t="shared" si="459"/>
        <v/>
      </c>
      <c r="K897" t="s">
        <v>5</v>
      </c>
      <c r="L897" t="s">
        <v>180</v>
      </c>
      <c r="M897" t="s">
        <v>756</v>
      </c>
      <c r="S897">
        <v>485</v>
      </c>
      <c r="W897" t="str">
        <f t="shared" si="434"/>
        <v>a</v>
      </c>
      <c r="X897">
        <v>79</v>
      </c>
      <c r="Y897" t="b">
        <f>IF(X897&lt;&gt;"",VLOOKUP(X897,game_rosters!$C$43:$E$64,3,FALSE))</f>
        <v>0</v>
      </c>
      <c r="Z897" t="str" cm="1">
        <f t="array" ref="Z897">IFERROR(IF(_xlfn._xlws.FILTER(game_rosters!$J:$J,(game_rosters!$G:$G=events!$AN897)*(game_rosters!$J:$J=events!$X897))&gt;0,1,""),"")</f>
        <v/>
      </c>
      <c r="AA897">
        <f t="shared" si="463"/>
        <v>1485</v>
      </c>
      <c r="AB897" t="str">
        <f t="shared" si="464"/>
        <v/>
      </c>
      <c r="AC897">
        <f t="shared" si="433"/>
        <v>1485</v>
      </c>
      <c r="AD897" s="6">
        <v>2</v>
      </c>
      <c r="AE897" t="s">
        <v>744</v>
      </c>
      <c r="AF897" t="s">
        <v>911</v>
      </c>
      <c r="AG897" t="s">
        <v>756</v>
      </c>
      <c r="AH897" t="s">
        <v>756</v>
      </c>
      <c r="AI897" t="s">
        <v>368</v>
      </c>
      <c r="AJ897" t="str">
        <f t="shared" ref="AJ897:AK897" si="501">IF($J897&lt;&gt;"",$J897,IF($AC897=$AC896,AJ896,""))</f>
        <v/>
      </c>
      <c r="AK897" t="str">
        <f t="shared" si="501"/>
        <v/>
      </c>
      <c r="AL897" t="str">
        <f t="shared" si="438"/>
        <v/>
      </c>
      <c r="AN897" t="s">
        <v>862</v>
      </c>
      <c r="AO897" t="str">
        <f t="shared" si="439"/>
        <v>a</v>
      </c>
      <c r="AP897" t="str">
        <f t="shared" si="446"/>
        <v/>
      </c>
      <c r="AQ897" t="str">
        <f t="shared" si="447"/>
        <v/>
      </c>
      <c r="AR897" t="str">
        <f t="shared" si="448"/>
        <v>Away</v>
      </c>
      <c r="AS897" t="str">
        <f t="shared" si="449"/>
        <v>a</v>
      </c>
      <c r="AT897" t="str">
        <f t="shared" si="450"/>
        <v>Defensive</v>
      </c>
      <c r="BA897" s="6">
        <f t="shared" si="440"/>
        <v>236</v>
      </c>
      <c r="BB897">
        <f t="shared" si="441"/>
        <v>18981</v>
      </c>
      <c r="BC897" t="str">
        <f t="shared" si="442"/>
        <v>Nelson</v>
      </c>
      <c r="BD897" t="str">
        <f t="shared" si="443"/>
        <v>Velodrome</v>
      </c>
      <c r="BE897" t="s">
        <v>5</v>
      </c>
      <c r="BF897" t="s">
        <v>180</v>
      </c>
      <c r="BG897" t="s">
        <v>756</v>
      </c>
      <c r="BI897" cm="1">
        <f t="array" ref="BI897">IFERROR(_xlfn._xlws.FILTER(shifts!A:A,(shifts!B:B=events!AD897)*(shifts!AG:AG&gt;=events!BK897)*(shifts!AH:AH&lt;=events!BL897)),BI896)</f>
        <v>44</v>
      </c>
      <c r="BJ897" s="15">
        <f t="shared" si="444"/>
        <v>0</v>
      </c>
      <c r="BK897">
        <f t="shared" si="451"/>
        <v>906</v>
      </c>
      <c r="BL897">
        <f t="shared" si="452"/>
        <v>906</v>
      </c>
      <c r="BM897" s="15">
        <f>SUMIFS(BJ$2:BJ897,K$2:K897,"=Intermission")+SUMIFS(BJ$2:BJ897,K$2:K897,"=Timeout")</f>
        <v>72</v>
      </c>
      <c r="BN897">
        <f t="shared" si="453"/>
        <v>1152</v>
      </c>
      <c r="BO897" s="19">
        <f t="shared" si="454"/>
        <v>1326</v>
      </c>
      <c r="BP897">
        <f t="shared" si="455"/>
        <v>1321</v>
      </c>
      <c r="BQ897" s="17">
        <f t="shared" si="456"/>
        <v>1326</v>
      </c>
      <c r="BR897" t="str">
        <f t="shared" si="457"/>
        <v>opp_team_player_1</v>
      </c>
      <c r="BS897">
        <f>COUNTIFS(S$3:S897,"="&amp;S897,AI$3:AI897,"="&amp;AI897)</f>
        <v>1</v>
      </c>
      <c r="BT897" t="str">
        <f>IFERROR(VLOOKUP(BB897&amp;BU897&amp;X897,game_rosters!U:W,3,FALSE),"")</f>
        <v>P100066</v>
      </c>
      <c r="BU897" t="str">
        <f t="shared" si="458"/>
        <v>Nelson</v>
      </c>
    </row>
    <row r="898" spans="1:73" x14ac:dyDescent="0.2">
      <c r="A898">
        <f t="shared" si="445"/>
        <v>1</v>
      </c>
      <c r="J898" s="44" t="str">
        <f t="shared" si="459"/>
        <v>d</v>
      </c>
      <c r="K898" t="s">
        <v>238</v>
      </c>
      <c r="L898" t="s">
        <v>184</v>
      </c>
      <c r="M898" t="s">
        <v>170</v>
      </c>
      <c r="S898">
        <v>486</v>
      </c>
      <c r="W898" t="str">
        <f t="shared" si="434"/>
        <v>a</v>
      </c>
      <c r="X898">
        <v>70</v>
      </c>
      <c r="Y898" t="e">
        <f>IF(X898&lt;&gt;"",VLOOKUP(X898,game_rosters!$C$43:$E$64,3,FALSE))</f>
        <v>#N/A</v>
      </c>
      <c r="Z898" cm="1">
        <f t="array" ref="Z898">IFERROR(IF(_xlfn._xlws.FILTER(game_rosters!$J:$J,(game_rosters!$G:$G=events!$AN898)*(game_rosters!$J:$J=events!$X898))&gt;0,1,""),"")</f>
        <v>1</v>
      </c>
      <c r="AA898">
        <f t="shared" si="463"/>
        <v>1486</v>
      </c>
      <c r="AB898" t="str">
        <f t="shared" si="464"/>
        <v/>
      </c>
      <c r="AC898">
        <f t="shared" ref="AC898:AC961" si="502">IF(AB898&lt;&gt;"",AB898,S898+1000)</f>
        <v>1486</v>
      </c>
      <c r="AD898" s="6">
        <v>2</v>
      </c>
      <c r="AE898" t="s">
        <v>744</v>
      </c>
      <c r="AF898" t="s">
        <v>911</v>
      </c>
      <c r="AG898" t="s">
        <v>756</v>
      </c>
      <c r="AH898" t="s">
        <v>756</v>
      </c>
      <c r="AI898" t="s">
        <v>367</v>
      </c>
      <c r="AJ898" t="str">
        <f t="shared" ref="AJ898:AK898" si="503">IF($J898&lt;&gt;"",$J898,IF($AC898=$AC897,AJ897,""))</f>
        <v>d</v>
      </c>
      <c r="AK898" t="str">
        <f t="shared" si="503"/>
        <v>d</v>
      </c>
      <c r="AL898" t="str">
        <f t="shared" si="438"/>
        <v>o</v>
      </c>
      <c r="AN898" t="s">
        <v>862</v>
      </c>
      <c r="AO898" t="str">
        <f t="shared" si="439"/>
        <v>a</v>
      </c>
      <c r="AP898" t="str">
        <f t="shared" si="446"/>
        <v>o</v>
      </c>
      <c r="AQ898" t="str">
        <f t="shared" si="447"/>
        <v/>
      </c>
      <c r="AR898" t="str">
        <f t="shared" si="448"/>
        <v>Away</v>
      </c>
      <c r="AS898" t="str">
        <f t="shared" si="449"/>
        <v>a</v>
      </c>
      <c r="AT898" t="str">
        <f t="shared" si="450"/>
        <v>Offensive</v>
      </c>
      <c r="BA898" s="6">
        <f t="shared" si="440"/>
        <v>237</v>
      </c>
      <c r="BB898">
        <f t="shared" si="441"/>
        <v>18981</v>
      </c>
      <c r="BC898" t="str">
        <f t="shared" si="442"/>
        <v>Nelson</v>
      </c>
      <c r="BD898" t="str">
        <f t="shared" si="443"/>
        <v>Velodrome</v>
      </c>
      <c r="BE898" t="s">
        <v>238</v>
      </c>
      <c r="BF898" t="s">
        <v>184</v>
      </c>
      <c r="BG898" t="s">
        <v>170</v>
      </c>
      <c r="BI898" cm="1">
        <f t="array" ref="BI898">IFERROR(_xlfn._xlws.FILTER(shifts!A:A,(shifts!B:B=events!AD898)*(shifts!AG:AG&gt;=events!BK898)*(shifts!AH:AH&lt;=events!BL898)),BI897)</f>
        <v>44</v>
      </c>
      <c r="BJ898" s="15">
        <f t="shared" si="444"/>
        <v>0</v>
      </c>
      <c r="BK898">
        <f t="shared" si="451"/>
        <v>906</v>
      </c>
      <c r="BL898">
        <f t="shared" si="452"/>
        <v>906</v>
      </c>
      <c r="BM898" s="15">
        <f>SUMIFS(BJ$2:BJ898,K$2:K898,"=Intermission")+SUMIFS(BJ$2:BJ898,K$2:K898,"=Timeout")</f>
        <v>72</v>
      </c>
      <c r="BN898">
        <f t="shared" si="453"/>
        <v>1152</v>
      </c>
      <c r="BO898" s="19">
        <f t="shared" si="454"/>
        <v>1326</v>
      </c>
      <c r="BP898">
        <f t="shared" si="455"/>
        <v>1321</v>
      </c>
      <c r="BQ898" s="17">
        <f t="shared" si="456"/>
        <v>1326</v>
      </c>
      <c r="BR898" t="str">
        <f t="shared" si="457"/>
        <v>event_team_player_1</v>
      </c>
      <c r="BS898">
        <f>COUNTIFS(S$3:S898,"="&amp;S898,AI$3:AI898,"="&amp;AI898)</f>
        <v>1</v>
      </c>
      <c r="BT898" t="str">
        <f>IFERROR(VLOOKUP(BB898&amp;BU898&amp;X898,game_rosters!U:W,3,FALSE),"")</f>
        <v>P100001</v>
      </c>
      <c r="BU898" t="str">
        <f t="shared" si="458"/>
        <v>Velodrome</v>
      </c>
    </row>
    <row r="899" spans="1:73" x14ac:dyDescent="0.2">
      <c r="A899">
        <f t="shared" si="445"/>
        <v>1</v>
      </c>
      <c r="J899" s="44" t="str">
        <f t="shared" si="459"/>
        <v>o</v>
      </c>
      <c r="K899" t="s">
        <v>238</v>
      </c>
      <c r="L899" t="s">
        <v>174</v>
      </c>
      <c r="M899" t="s">
        <v>375</v>
      </c>
      <c r="S899">
        <v>487</v>
      </c>
      <c r="W899" t="str">
        <f t="shared" si="434"/>
        <v>a</v>
      </c>
      <c r="X899">
        <v>70</v>
      </c>
      <c r="Y899" t="e">
        <f>IF(X899&lt;&gt;"",VLOOKUP(X899,game_rosters!$C$43:$E$64,3,FALSE))</f>
        <v>#N/A</v>
      </c>
      <c r="Z899" cm="1">
        <f t="array" ref="Z899">IFERROR(IF(_xlfn._xlws.FILTER(game_rosters!$J:$J,(game_rosters!$G:$G=events!$AN899)*(game_rosters!$J:$J=events!$X899))&gt;0,1,""),"")</f>
        <v>1</v>
      </c>
      <c r="AA899">
        <f t="shared" si="463"/>
        <v>1487</v>
      </c>
      <c r="AB899" t="str">
        <f t="shared" si="464"/>
        <v/>
      </c>
      <c r="AC899">
        <f t="shared" si="502"/>
        <v>1487</v>
      </c>
      <c r="AD899" s="6">
        <v>2</v>
      </c>
      <c r="AE899" t="s">
        <v>744</v>
      </c>
      <c r="AF899" t="s">
        <v>911</v>
      </c>
      <c r="AG899" t="s">
        <v>756</v>
      </c>
      <c r="AH899" t="s">
        <v>756</v>
      </c>
      <c r="AI899" t="s">
        <v>367</v>
      </c>
      <c r="AJ899" t="str">
        <f t="shared" ref="AJ899:AK899" si="504">IF($J899&lt;&gt;"",$J899,IF($AC899=$AC898,AJ898,""))</f>
        <v>o</v>
      </c>
      <c r="AK899" t="str">
        <f t="shared" si="504"/>
        <v>o</v>
      </c>
      <c r="AL899" t="str">
        <f t="shared" si="438"/>
        <v>d</v>
      </c>
      <c r="AN899" t="s">
        <v>862</v>
      </c>
      <c r="AO899" t="str">
        <f t="shared" si="439"/>
        <v>a</v>
      </c>
      <c r="AP899" t="str">
        <f t="shared" si="446"/>
        <v>d</v>
      </c>
      <c r="AQ899" t="str">
        <f t="shared" si="447"/>
        <v/>
      </c>
      <c r="AR899" t="str">
        <f t="shared" si="448"/>
        <v>Away</v>
      </c>
      <c r="AS899" t="str">
        <f t="shared" si="449"/>
        <v>a</v>
      </c>
      <c r="AT899" t="str">
        <f t="shared" si="450"/>
        <v>Offensive</v>
      </c>
      <c r="BA899" s="6">
        <f t="shared" si="440"/>
        <v>238</v>
      </c>
      <c r="BB899">
        <f t="shared" si="441"/>
        <v>18981</v>
      </c>
      <c r="BC899" t="str">
        <f t="shared" si="442"/>
        <v>Nelson</v>
      </c>
      <c r="BD899" t="str">
        <f t="shared" si="443"/>
        <v>Velodrome</v>
      </c>
      <c r="BE899" t="s">
        <v>238</v>
      </c>
      <c r="BF899" t="s">
        <v>174</v>
      </c>
      <c r="BG899" t="s">
        <v>375</v>
      </c>
      <c r="BI899" cm="1">
        <f t="array" ref="BI899">IFERROR(_xlfn._xlws.FILTER(shifts!A:A,(shifts!B:B=events!AD899)*(shifts!AG:AG&gt;=events!BK899)*(shifts!AH:AH&lt;=events!BL899)),BI898)</f>
        <v>44</v>
      </c>
      <c r="BJ899" s="15">
        <f t="shared" si="444"/>
        <v>0</v>
      </c>
      <c r="BK899">
        <f t="shared" si="451"/>
        <v>906</v>
      </c>
      <c r="BL899">
        <f t="shared" si="452"/>
        <v>906</v>
      </c>
      <c r="BM899" s="15">
        <f>SUMIFS(BJ$2:BJ899,K$2:K899,"=Intermission")+SUMIFS(BJ$2:BJ899,K$2:K899,"=Timeout")</f>
        <v>72</v>
      </c>
      <c r="BN899">
        <f t="shared" si="453"/>
        <v>1152</v>
      </c>
      <c r="BO899" s="19">
        <f t="shared" si="454"/>
        <v>1326</v>
      </c>
      <c r="BP899">
        <f t="shared" si="455"/>
        <v>1321</v>
      </c>
      <c r="BQ899" s="17">
        <f t="shared" si="456"/>
        <v>1326</v>
      </c>
      <c r="BR899" t="str">
        <f t="shared" si="457"/>
        <v>event_team_player_1</v>
      </c>
      <c r="BS899">
        <f>COUNTIFS(S$3:S899,"="&amp;S899,AI$3:AI899,"="&amp;AI899)</f>
        <v>1</v>
      </c>
      <c r="BT899" t="str">
        <f>IFERROR(VLOOKUP(BB899&amp;BU899&amp;X899,game_rosters!U:W,3,FALSE),"")</f>
        <v>P100001</v>
      </c>
      <c r="BU899" t="str">
        <f t="shared" si="458"/>
        <v>Velodrome</v>
      </c>
    </row>
    <row r="900" spans="1:73" x14ac:dyDescent="0.2">
      <c r="A900">
        <f t="shared" si="445"/>
        <v>1</v>
      </c>
      <c r="J900" s="44" t="str">
        <f t="shared" si="459"/>
        <v/>
      </c>
      <c r="K900" t="s">
        <v>7</v>
      </c>
      <c r="L900" t="s">
        <v>172</v>
      </c>
      <c r="M900" t="s">
        <v>68</v>
      </c>
      <c r="S900">
        <v>488</v>
      </c>
      <c r="W900" t="str">
        <f t="shared" ref="W900:W963" si="505">IF(AN900="Away","a",IF(AN900="Home","h",""))</f>
        <v>h</v>
      </c>
      <c r="X900">
        <v>23</v>
      </c>
      <c r="Y900" t="b">
        <f>IF(X900&lt;&gt;"",VLOOKUP(X900,game_rosters!$C$43:$E$64,3,FALSE))</f>
        <v>0</v>
      </c>
      <c r="Z900" cm="1">
        <f t="array" ref="Z900">IFERROR(IF(_xlfn._xlws.FILTER(game_rosters!$J:$J,(game_rosters!$G:$G=events!$AN900)*(game_rosters!$J:$J=events!$X900))&gt;0,1,""),"")</f>
        <v>1</v>
      </c>
      <c r="AA900">
        <f t="shared" si="463"/>
        <v>1488</v>
      </c>
      <c r="AB900" t="str">
        <f t="shared" si="464"/>
        <v/>
      </c>
      <c r="AC900">
        <f t="shared" si="502"/>
        <v>1488</v>
      </c>
      <c r="AD900" s="6">
        <v>2</v>
      </c>
      <c r="AE900" t="s">
        <v>745</v>
      </c>
      <c r="AF900" t="s">
        <v>896</v>
      </c>
      <c r="AG900" t="s">
        <v>756</v>
      </c>
      <c r="AH900" t="s">
        <v>756</v>
      </c>
      <c r="AI900" t="s">
        <v>367</v>
      </c>
      <c r="AJ900" t="str">
        <f t="shared" ref="AJ900:AK900" si="506">IF($J900&lt;&gt;"",$J900,IF($AC900=$AC899,AJ899,""))</f>
        <v/>
      </c>
      <c r="AK900" t="str">
        <f t="shared" si="506"/>
        <v/>
      </c>
      <c r="AL900" t="str">
        <f t="shared" ref="AL900:AL963" si="507">IF($W900="","",IF($AJ900="","",IF($W900="h",$AJ900,IF($AJ900="n","n",IF(AND($W900="a",$AJ900="d"),"o",IF(AND($W900="a",$AJ900="o"),"d"))))))</f>
        <v/>
      </c>
      <c r="AN900" t="s">
        <v>861</v>
      </c>
      <c r="AO900" t="str">
        <f t="shared" ref="AO900:AO963" si="508">IF($W900&lt;&gt;"",$W900,IF($AC900=$AC899,AO899,""))</f>
        <v>h</v>
      </c>
      <c r="AP900" t="str">
        <f t="shared" si="446"/>
        <v/>
      </c>
      <c r="AQ900" t="str">
        <f t="shared" si="447"/>
        <v/>
      </c>
      <c r="AR900" t="str">
        <f t="shared" si="448"/>
        <v>Home</v>
      </c>
      <c r="AS900" t="str">
        <f t="shared" si="449"/>
        <v>h</v>
      </c>
      <c r="AT900" t="str">
        <f t="shared" si="450"/>
        <v>Offensive</v>
      </c>
      <c r="BA900" s="6">
        <f t="shared" ref="BA900:BA963" si="509">IF(OR(L900="Zone_Entry",L900="Zone_Exit"),BA899+1,BA899)</f>
        <v>238</v>
      </c>
      <c r="BB900">
        <f t="shared" ref="BB900:BB963" si="510">BB899</f>
        <v>18981</v>
      </c>
      <c r="BC900" t="str">
        <f t="shared" ref="BC900:BC963" si="511">BC899</f>
        <v>Nelson</v>
      </c>
      <c r="BD900" t="str">
        <f t="shared" ref="BD900:BD963" si="512">BD899</f>
        <v>Velodrome</v>
      </c>
      <c r="BE900" t="s">
        <v>7</v>
      </c>
      <c r="BF900" t="s">
        <v>172</v>
      </c>
      <c r="BG900" t="s">
        <v>68</v>
      </c>
      <c r="BI900" cm="1">
        <f t="array" ref="BI900">IFERROR(_xlfn._xlws.FILTER(shifts!A:A,(shifts!B:B=events!AD900)*(shifts!AG:AG&gt;=events!BK900)*(shifts!AH:AH&lt;=events!BL900)),BI899)</f>
        <v>44</v>
      </c>
      <c r="BJ900" s="15">
        <f t="shared" ref="BJ900:BJ963" si="513">IF(AND(AG900="",AH900=""),0,((AE900*60)+AF900)-((AG900*60)+AH900))</f>
        <v>0</v>
      </c>
      <c r="BK900">
        <f t="shared" si="451"/>
        <v>899</v>
      </c>
      <c r="BL900">
        <f t="shared" si="452"/>
        <v>899</v>
      </c>
      <c r="BM900" s="15">
        <f>SUMIFS(BJ$2:BJ900,K$2:K900,"=Intermission")+SUMIFS(BJ$2:BJ900,K$2:K900,"=Timeout")</f>
        <v>72</v>
      </c>
      <c r="BN900">
        <f t="shared" si="453"/>
        <v>1152</v>
      </c>
      <c r="BO900" s="19">
        <f t="shared" si="454"/>
        <v>1333</v>
      </c>
      <c r="BP900">
        <f t="shared" si="455"/>
        <v>1328</v>
      </c>
      <c r="BQ900" s="17">
        <f t="shared" si="456"/>
        <v>1333</v>
      </c>
      <c r="BR900" t="str">
        <f t="shared" si="457"/>
        <v>event_team_player_1</v>
      </c>
      <c r="BS900">
        <f>COUNTIFS(S$3:S900,"="&amp;S900,AI$3:AI900,"="&amp;AI900)</f>
        <v>1</v>
      </c>
      <c r="BT900" t="str">
        <f>IFERROR(VLOOKUP(BB900&amp;BU900&amp;X900,game_rosters!U:W,3,FALSE),"")</f>
        <v>P100061</v>
      </c>
      <c r="BU900" t="str">
        <f t="shared" si="458"/>
        <v>Nelson</v>
      </c>
    </row>
    <row r="901" spans="1:73" x14ac:dyDescent="0.2">
      <c r="A901">
        <f t="shared" ref="A901:A964" si="514">IF(K901&lt;&gt;"",1,IF(D901="x","x",""))</f>
        <v>1</v>
      </c>
      <c r="J901" s="44" t="str">
        <f t="shared" si="459"/>
        <v/>
      </c>
      <c r="K901" t="s">
        <v>7</v>
      </c>
      <c r="L901" t="s">
        <v>172</v>
      </c>
      <c r="M901" t="s">
        <v>68</v>
      </c>
      <c r="S901">
        <v>488</v>
      </c>
      <c r="W901" t="str">
        <f t="shared" si="505"/>
        <v>h</v>
      </c>
      <c r="X901">
        <v>37</v>
      </c>
      <c r="Y901" t="b">
        <f>IF(X901&lt;&gt;"",VLOOKUP(X901,game_rosters!$C$43:$E$64,3,FALSE))</f>
        <v>0</v>
      </c>
      <c r="Z901" cm="1">
        <f t="array" ref="Z901">IFERROR(IF(_xlfn._xlws.FILTER(game_rosters!$J:$J,(game_rosters!$G:$G=events!$AN901)*(game_rosters!$J:$J=events!$X901))&gt;0,1,""),"")</f>
        <v>1</v>
      </c>
      <c r="AA901">
        <f t="shared" si="463"/>
        <v>1488</v>
      </c>
      <c r="AB901" t="str">
        <f t="shared" si="464"/>
        <v/>
      </c>
      <c r="AC901">
        <f t="shared" si="502"/>
        <v>1488</v>
      </c>
      <c r="AD901" s="6">
        <v>2</v>
      </c>
      <c r="AE901" t="s">
        <v>745</v>
      </c>
      <c r="AF901" t="s">
        <v>896</v>
      </c>
      <c r="AG901" t="s">
        <v>756</v>
      </c>
      <c r="AH901" t="s">
        <v>756</v>
      </c>
      <c r="AI901" t="s">
        <v>367</v>
      </c>
      <c r="AJ901" t="str">
        <f t="shared" ref="AJ901:AK901" si="515">IF($J901&lt;&gt;"",$J901,IF($AC901=$AC900,AJ900,""))</f>
        <v/>
      </c>
      <c r="AK901" t="str">
        <f t="shared" si="515"/>
        <v/>
      </c>
      <c r="AL901" t="str">
        <f t="shared" si="507"/>
        <v/>
      </c>
      <c r="AN901" t="s">
        <v>861</v>
      </c>
      <c r="AO901" t="str">
        <f t="shared" si="508"/>
        <v>h</v>
      </c>
      <c r="AP901" t="str">
        <f t="shared" ref="AP901:AP964" si="516">IF(AL901&lt;&gt;"",AL901,IF($AC901=$AC900,AP900,""))</f>
        <v/>
      </c>
      <c r="AQ901" t="str">
        <f t="shared" ref="AQ901:AQ964" si="517">IF(AM901&lt;&gt;"",AM901,IF($AC901=$AC900,AQ900,""))</f>
        <v/>
      </c>
      <c r="AR901" t="str">
        <f t="shared" ref="AR901:AR964" si="518">IF(AN901&lt;&gt;"",AN901,IF($AC901=$AC900,AR900,""))</f>
        <v>Home</v>
      </c>
      <c r="AS901" t="str">
        <f t="shared" ref="AS901:AS964" si="519">IF(AO901&lt;&gt;"",AO901,IF($AC901=$AC900,AS900,""))</f>
        <v>h</v>
      </c>
      <c r="AT901" t="str">
        <f t="shared" ref="AT901:AT964" si="520">IF(AND(AI901="e",OR(BE901="Save",BF901="Turnover_Takeaway",BF901="Play_Defensive")),"Defensive",IF(AND(AI901="o",OR(BE901="Save",BF901="Turnover_Takeaway",BF901="Play_Defensive")),"Offensive",IF(OR(BE901="Deadice",BE901="Stoppage",BE901="Intermission"),"",IF(AI901="e","Offensive",IF(AI901="o","Defensive","")))))</f>
        <v>Offensive</v>
      </c>
      <c r="BA901" s="6">
        <f t="shared" si="509"/>
        <v>238</v>
      </c>
      <c r="BB901">
        <f t="shared" si="510"/>
        <v>18981</v>
      </c>
      <c r="BC901" t="str">
        <f t="shared" si="511"/>
        <v>Nelson</v>
      </c>
      <c r="BD901" t="str">
        <f t="shared" si="512"/>
        <v>Velodrome</v>
      </c>
      <c r="BE901" t="s">
        <v>7</v>
      </c>
      <c r="BF901" t="s">
        <v>172</v>
      </c>
      <c r="BG901" t="s">
        <v>68</v>
      </c>
      <c r="BI901" cm="1">
        <f t="array" ref="BI901">IFERROR(_xlfn._xlws.FILTER(shifts!A:A,(shifts!B:B=events!AD901)*(shifts!AG:AG&gt;=events!BK901)*(shifts!AH:AH&lt;=events!BL901)),BI900)</f>
        <v>44</v>
      </c>
      <c r="BJ901" s="15">
        <f t="shared" si="513"/>
        <v>0</v>
      </c>
      <c r="BK901">
        <f t="shared" ref="BK901:BK964" si="521">(AE901*60)+AF901</f>
        <v>899</v>
      </c>
      <c r="BL901">
        <f t="shared" ref="BL901:BL964" si="522">IF(AND(AG901="",AH901=""),BK901,((AG901*60)+AH901))</f>
        <v>899</v>
      </c>
      <c r="BM901" s="15">
        <f>SUMIFS(BJ$2:BJ901,K$2:K901,"=Intermission")+SUMIFS(BJ$2:BJ901,K$2:K901,"=Timeout")</f>
        <v>72</v>
      </c>
      <c r="BN901">
        <f t="shared" ref="BN901:BN964" si="523">IF(AD901=1,0,IF(AD901=2,1080+BM901,IF(AD901=3,(1080*2)+BM901,0)))</f>
        <v>1152</v>
      </c>
      <c r="BO901" s="19">
        <f t="shared" ref="BO901:BO964" si="524">IF(K901="Intermission",BO900,((1080)-((AE901*60)+AF901))+BN901)</f>
        <v>1333</v>
      </c>
      <c r="BP901">
        <f t="shared" ref="BP901:BP964" si="525">IF(BO901&lt;5,0,BO901-5)</f>
        <v>1328</v>
      </c>
      <c r="BQ901" s="17">
        <f t="shared" ref="BQ901:BQ964" si="526">BP901+BJ901+5</f>
        <v>1333</v>
      </c>
      <c r="BR901" t="str">
        <f t="shared" ref="BR901:BR964" si="527">IF(AI901="e","event_team_player_"&amp;BS901,IF(AI901="o","opp_team_player_"&amp;BS901,""))</f>
        <v>event_team_player_2</v>
      </c>
      <c r="BS901">
        <f>COUNTIFS(S$3:S901,"="&amp;S901,AI$3:AI901,"="&amp;AI901)</f>
        <v>2</v>
      </c>
      <c r="BT901" t="str">
        <f>IFERROR(VLOOKUP(BB901&amp;BU901&amp;X901,game_rosters!U:W,3,FALSE),"")</f>
        <v>P100119</v>
      </c>
      <c r="BU901" t="str">
        <f t="shared" ref="BU901:BU964" si="528">IF(AR901="","",IF(AND(AR901="Away",AI901="e"),BD901,IF(AND(AR901="Home",AI901="e"),BC901,IF(AND(AR901="Away",AI901="o"),BC901,IF(AND(AR901="Home",AI901="o"),BD901)))))</f>
        <v>Nelson</v>
      </c>
    </row>
    <row r="902" spans="1:73" x14ac:dyDescent="0.2">
      <c r="A902">
        <f t="shared" si="514"/>
        <v>1</v>
      </c>
      <c r="J902" s="44" t="str">
        <f t="shared" ref="J902:J965" si="529">IF(OR(K902="Goal",K902="Shot",L902="Zone_Entry",M902="Stoppage-Goal",M901="Stoppage-Goal"),"o",IF(OR(K902="Save",K902="Rebound",L902="Zone_Exit",M902="Stoppage-GoalieStoppage",M901="Stoppage-GoalieStoppage"),"d",IF(OR(L902="Faceoff_AfterGoal",L902="Faceoff_PeriodStart",698="Faceoff_GameStart",M901="Stoppage-Goal"),"n","")))</f>
        <v/>
      </c>
      <c r="K902" t="s">
        <v>13</v>
      </c>
      <c r="L902" t="s">
        <v>756</v>
      </c>
      <c r="M902" t="s">
        <v>756</v>
      </c>
      <c r="S902">
        <v>489</v>
      </c>
      <c r="W902" t="str">
        <f t="shared" si="505"/>
        <v>h</v>
      </c>
      <c r="X902">
        <v>37</v>
      </c>
      <c r="Y902" t="b">
        <f>IF(X902&lt;&gt;"",VLOOKUP(X902,game_rosters!$C$43:$E$64,3,FALSE))</f>
        <v>0</v>
      </c>
      <c r="Z902" cm="1">
        <f t="array" ref="Z902">IFERROR(IF(_xlfn._xlws.FILTER(game_rosters!$J:$J,(game_rosters!$G:$G=events!$AN902)*(game_rosters!$J:$J=events!$X902))&gt;0,1,""),"")</f>
        <v>1</v>
      </c>
      <c r="AA902">
        <f t="shared" si="463"/>
        <v>1489</v>
      </c>
      <c r="AB902" t="str">
        <f t="shared" si="464"/>
        <v/>
      </c>
      <c r="AC902">
        <f t="shared" si="502"/>
        <v>1489</v>
      </c>
      <c r="AD902" s="6">
        <v>2</v>
      </c>
      <c r="AE902" t="s">
        <v>745</v>
      </c>
      <c r="AF902" t="s">
        <v>896</v>
      </c>
      <c r="AG902" t="s">
        <v>745</v>
      </c>
      <c r="AH902" t="s">
        <v>733</v>
      </c>
      <c r="AI902" t="s">
        <v>367</v>
      </c>
      <c r="AJ902" t="str">
        <f t="shared" ref="AJ902:AK902" si="530">IF($J902&lt;&gt;"",$J902,IF($AC902=$AC901,AJ901,""))</f>
        <v/>
      </c>
      <c r="AK902" t="str">
        <f t="shared" si="530"/>
        <v/>
      </c>
      <c r="AL902" t="str">
        <f t="shared" si="507"/>
        <v/>
      </c>
      <c r="AN902" t="s">
        <v>861</v>
      </c>
      <c r="AO902" t="str">
        <f t="shared" si="508"/>
        <v>h</v>
      </c>
      <c r="AP902" t="str">
        <f t="shared" si="516"/>
        <v/>
      </c>
      <c r="AQ902" t="str">
        <f t="shared" si="517"/>
        <v/>
      </c>
      <c r="AR902" t="str">
        <f t="shared" si="518"/>
        <v>Home</v>
      </c>
      <c r="AS902" t="str">
        <f t="shared" si="519"/>
        <v>h</v>
      </c>
      <c r="AT902" t="str">
        <f t="shared" si="520"/>
        <v>Offensive</v>
      </c>
      <c r="BA902" s="6">
        <f t="shared" si="509"/>
        <v>238</v>
      </c>
      <c r="BB902">
        <f t="shared" si="510"/>
        <v>18981</v>
      </c>
      <c r="BC902" t="str">
        <f t="shared" si="511"/>
        <v>Nelson</v>
      </c>
      <c r="BD902" t="str">
        <f t="shared" si="512"/>
        <v>Velodrome</v>
      </c>
      <c r="BE902" t="s">
        <v>13</v>
      </c>
      <c r="BF902" t="s">
        <v>756</v>
      </c>
      <c r="BG902" t="s">
        <v>756</v>
      </c>
      <c r="BI902" cm="1">
        <f t="array" ref="BI902">IFERROR(_xlfn._xlws.FILTER(shifts!A:A,(shifts!B:B=events!AD902)*(shifts!AG:AG&gt;=events!BK902)*(shifts!AH:AH&lt;=events!BL902)),BI901)</f>
        <v>44</v>
      </c>
      <c r="BJ902" s="15">
        <f t="shared" si="513"/>
        <v>3</v>
      </c>
      <c r="BK902">
        <f t="shared" si="521"/>
        <v>899</v>
      </c>
      <c r="BL902">
        <f t="shared" si="522"/>
        <v>896</v>
      </c>
      <c r="BM902" s="15">
        <f>SUMIFS(BJ$2:BJ902,K$2:K902,"=Intermission")+SUMIFS(BJ$2:BJ902,K$2:K902,"=Timeout")</f>
        <v>72</v>
      </c>
      <c r="BN902">
        <f t="shared" si="523"/>
        <v>1152</v>
      </c>
      <c r="BO902" s="19">
        <f t="shared" si="524"/>
        <v>1333</v>
      </c>
      <c r="BP902">
        <f t="shared" si="525"/>
        <v>1328</v>
      </c>
      <c r="BQ902" s="17">
        <f t="shared" si="526"/>
        <v>1336</v>
      </c>
      <c r="BR902" t="str">
        <f t="shared" si="527"/>
        <v>event_team_player_1</v>
      </c>
      <c r="BS902">
        <f>COUNTIFS(S$3:S902,"="&amp;S902,AI$3:AI902,"="&amp;AI902)</f>
        <v>1</v>
      </c>
      <c r="BT902" t="str">
        <f>IFERROR(VLOOKUP(BB902&amp;BU902&amp;X902,game_rosters!U:W,3,FALSE),"")</f>
        <v>P100119</v>
      </c>
      <c r="BU902" t="str">
        <f t="shared" si="528"/>
        <v>Nelson</v>
      </c>
    </row>
    <row r="903" spans="1:73" x14ac:dyDescent="0.2">
      <c r="A903">
        <f t="shared" si="514"/>
        <v>1</v>
      </c>
      <c r="J903" s="44" t="str">
        <f t="shared" si="529"/>
        <v/>
      </c>
      <c r="K903" t="s">
        <v>7</v>
      </c>
      <c r="L903" t="s">
        <v>182</v>
      </c>
      <c r="M903" t="s">
        <v>65</v>
      </c>
      <c r="S903">
        <v>490</v>
      </c>
      <c r="W903" t="str">
        <f t="shared" si="505"/>
        <v>h</v>
      </c>
      <c r="X903">
        <v>37</v>
      </c>
      <c r="Y903" t="b">
        <f>IF(X903&lt;&gt;"",VLOOKUP(X903,game_rosters!$C$43:$E$64,3,FALSE))</f>
        <v>0</v>
      </c>
      <c r="Z903" cm="1">
        <f t="array" ref="Z903">IFERROR(IF(_xlfn._xlws.FILTER(game_rosters!$J:$J,(game_rosters!$G:$G=events!$AN903)*(game_rosters!$J:$J=events!$X903))&gt;0,1,""),"")</f>
        <v>1</v>
      </c>
      <c r="AA903">
        <f t="shared" si="463"/>
        <v>1490</v>
      </c>
      <c r="AB903" t="str">
        <f t="shared" si="464"/>
        <v/>
      </c>
      <c r="AC903">
        <f t="shared" si="502"/>
        <v>1490</v>
      </c>
      <c r="AD903" s="6">
        <v>2</v>
      </c>
      <c r="AE903" t="s">
        <v>745</v>
      </c>
      <c r="AF903" t="s">
        <v>733</v>
      </c>
      <c r="AG903" t="s">
        <v>756</v>
      </c>
      <c r="AH903" t="s">
        <v>756</v>
      </c>
      <c r="AI903" t="s">
        <v>367</v>
      </c>
      <c r="AJ903" t="str">
        <f t="shared" ref="AJ903:AK903" si="531">IF($J903&lt;&gt;"",$J903,IF($AC903=$AC902,AJ902,""))</f>
        <v/>
      </c>
      <c r="AK903" t="str">
        <f t="shared" si="531"/>
        <v/>
      </c>
      <c r="AL903" t="str">
        <f t="shared" si="507"/>
        <v/>
      </c>
      <c r="AN903" t="s">
        <v>861</v>
      </c>
      <c r="AO903" t="str">
        <f t="shared" si="508"/>
        <v>h</v>
      </c>
      <c r="AP903" t="str">
        <f t="shared" si="516"/>
        <v/>
      </c>
      <c r="AQ903" t="str">
        <f t="shared" si="517"/>
        <v/>
      </c>
      <c r="AR903" t="str">
        <f t="shared" si="518"/>
        <v>Home</v>
      </c>
      <c r="AS903" t="str">
        <f t="shared" si="519"/>
        <v>h</v>
      </c>
      <c r="AT903" t="str">
        <f t="shared" si="520"/>
        <v>Offensive</v>
      </c>
      <c r="BA903" s="6">
        <f t="shared" si="509"/>
        <v>238</v>
      </c>
      <c r="BB903">
        <f t="shared" si="510"/>
        <v>18981</v>
      </c>
      <c r="BC903" t="str">
        <f t="shared" si="511"/>
        <v>Nelson</v>
      </c>
      <c r="BD903" t="str">
        <f t="shared" si="512"/>
        <v>Velodrome</v>
      </c>
      <c r="BE903" t="s">
        <v>7</v>
      </c>
      <c r="BF903" t="s">
        <v>182</v>
      </c>
      <c r="BG903" t="s">
        <v>65</v>
      </c>
      <c r="BI903" cm="1">
        <f t="array" ref="BI903">IFERROR(_xlfn._xlws.FILTER(shifts!A:A,(shifts!B:B=events!AD903)*(shifts!AG:AG&gt;=events!BK903)*(shifts!AH:AH&lt;=events!BL903)),BI902)</f>
        <v>44</v>
      </c>
      <c r="BJ903" s="15">
        <f t="shared" si="513"/>
        <v>0</v>
      </c>
      <c r="BK903">
        <f t="shared" si="521"/>
        <v>896</v>
      </c>
      <c r="BL903">
        <f t="shared" si="522"/>
        <v>896</v>
      </c>
      <c r="BM903" s="15">
        <f>SUMIFS(BJ$2:BJ903,K$2:K903,"=Intermission")+SUMIFS(BJ$2:BJ903,K$2:K903,"=Timeout")</f>
        <v>72</v>
      </c>
      <c r="BN903">
        <f t="shared" si="523"/>
        <v>1152</v>
      </c>
      <c r="BO903" s="19">
        <f t="shared" si="524"/>
        <v>1336</v>
      </c>
      <c r="BP903">
        <f t="shared" si="525"/>
        <v>1331</v>
      </c>
      <c r="BQ903" s="17">
        <f t="shared" si="526"/>
        <v>1336</v>
      </c>
      <c r="BR903" t="str">
        <f t="shared" si="527"/>
        <v>event_team_player_1</v>
      </c>
      <c r="BS903">
        <f>COUNTIFS(S$3:S903,"="&amp;S903,AI$3:AI903,"="&amp;AI903)</f>
        <v>1</v>
      </c>
      <c r="BT903" t="str">
        <f>IFERROR(VLOOKUP(BB903&amp;BU903&amp;X903,game_rosters!U:W,3,FALSE),"")</f>
        <v>P100119</v>
      </c>
      <c r="BU903" t="str">
        <f t="shared" si="528"/>
        <v>Nelson</v>
      </c>
    </row>
    <row r="904" spans="1:73" x14ac:dyDescent="0.2">
      <c r="A904">
        <f t="shared" si="514"/>
        <v>1</v>
      </c>
      <c r="J904" s="44" t="str">
        <f t="shared" si="529"/>
        <v/>
      </c>
      <c r="K904" t="s">
        <v>7</v>
      </c>
      <c r="L904" t="s">
        <v>182</v>
      </c>
      <c r="M904" t="s">
        <v>65</v>
      </c>
      <c r="S904">
        <v>490</v>
      </c>
      <c r="W904" t="str">
        <f t="shared" si="505"/>
        <v>h</v>
      </c>
      <c r="X904">
        <v>15</v>
      </c>
      <c r="Y904" t="b">
        <f>IF(X904&lt;&gt;"",VLOOKUP(X904,game_rosters!$C$43:$E$64,3,FALSE))</f>
        <v>0</v>
      </c>
      <c r="Z904" cm="1">
        <f t="array" ref="Z904">IFERROR(IF(_xlfn._xlws.FILTER(game_rosters!$J:$J,(game_rosters!$G:$G=events!$AN904)*(game_rosters!$J:$J=events!$X904))&gt;0,1,""),"")</f>
        <v>1</v>
      </c>
      <c r="AA904">
        <f t="shared" si="463"/>
        <v>1490</v>
      </c>
      <c r="AB904" t="str">
        <f t="shared" si="464"/>
        <v/>
      </c>
      <c r="AC904">
        <f t="shared" si="502"/>
        <v>1490</v>
      </c>
      <c r="AD904" s="6">
        <v>2</v>
      </c>
      <c r="AE904" t="s">
        <v>745</v>
      </c>
      <c r="AF904" t="s">
        <v>733</v>
      </c>
      <c r="AG904" t="s">
        <v>756</v>
      </c>
      <c r="AH904" t="s">
        <v>756</v>
      </c>
      <c r="AI904" t="s">
        <v>367</v>
      </c>
      <c r="AJ904" t="str">
        <f t="shared" ref="AJ904:AK904" si="532">IF($J904&lt;&gt;"",$J904,IF($AC904=$AC903,AJ903,""))</f>
        <v/>
      </c>
      <c r="AK904" t="str">
        <f t="shared" si="532"/>
        <v/>
      </c>
      <c r="AL904" t="str">
        <f t="shared" si="507"/>
        <v/>
      </c>
      <c r="AN904" t="s">
        <v>861</v>
      </c>
      <c r="AO904" t="str">
        <f t="shared" si="508"/>
        <v>h</v>
      </c>
      <c r="AP904" t="str">
        <f t="shared" si="516"/>
        <v/>
      </c>
      <c r="AQ904" t="str">
        <f t="shared" si="517"/>
        <v/>
      </c>
      <c r="AR904" t="str">
        <f t="shared" si="518"/>
        <v>Home</v>
      </c>
      <c r="AS904" t="str">
        <f t="shared" si="519"/>
        <v>h</v>
      </c>
      <c r="AT904" t="str">
        <f t="shared" si="520"/>
        <v>Offensive</v>
      </c>
      <c r="BA904" s="6">
        <f t="shared" si="509"/>
        <v>238</v>
      </c>
      <c r="BB904">
        <f t="shared" si="510"/>
        <v>18981</v>
      </c>
      <c r="BC904" t="str">
        <f t="shared" si="511"/>
        <v>Nelson</v>
      </c>
      <c r="BD904" t="str">
        <f t="shared" si="512"/>
        <v>Velodrome</v>
      </c>
      <c r="BE904" t="s">
        <v>7</v>
      </c>
      <c r="BF904" t="s">
        <v>182</v>
      </c>
      <c r="BG904" t="s">
        <v>65</v>
      </c>
      <c r="BI904" cm="1">
        <f t="array" ref="BI904">IFERROR(_xlfn._xlws.FILTER(shifts!A:A,(shifts!B:B=events!AD904)*(shifts!AG:AG&gt;=events!BK904)*(shifts!AH:AH&lt;=events!BL904)),BI903)</f>
        <v>44</v>
      </c>
      <c r="BJ904" s="15">
        <f t="shared" si="513"/>
        <v>0</v>
      </c>
      <c r="BK904">
        <f t="shared" si="521"/>
        <v>896</v>
      </c>
      <c r="BL904">
        <f t="shared" si="522"/>
        <v>896</v>
      </c>
      <c r="BM904" s="15">
        <f>SUMIFS(BJ$2:BJ904,K$2:K904,"=Intermission")+SUMIFS(BJ$2:BJ904,K$2:K904,"=Timeout")</f>
        <v>72</v>
      </c>
      <c r="BN904">
        <f t="shared" si="523"/>
        <v>1152</v>
      </c>
      <c r="BO904" s="19">
        <f t="shared" si="524"/>
        <v>1336</v>
      </c>
      <c r="BP904">
        <f t="shared" si="525"/>
        <v>1331</v>
      </c>
      <c r="BQ904" s="17">
        <f t="shared" si="526"/>
        <v>1336</v>
      </c>
      <c r="BR904" t="str">
        <f t="shared" si="527"/>
        <v>event_team_player_2</v>
      </c>
      <c r="BS904">
        <f>COUNTIFS(S$3:S904,"="&amp;S904,AI$3:AI904,"="&amp;AI904)</f>
        <v>2</v>
      </c>
      <c r="BT904" t="str">
        <f>IFERROR(VLOOKUP(BB904&amp;BU904&amp;X904,game_rosters!U:W,3,FALSE),"")</f>
        <v>P100071</v>
      </c>
      <c r="BU904" t="str">
        <f t="shared" si="528"/>
        <v>Nelson</v>
      </c>
    </row>
    <row r="905" spans="1:73" x14ac:dyDescent="0.2">
      <c r="A905">
        <f t="shared" si="514"/>
        <v>1</v>
      </c>
      <c r="J905" s="44" t="str">
        <f t="shared" si="529"/>
        <v>d</v>
      </c>
      <c r="K905" t="s">
        <v>238</v>
      </c>
      <c r="L905" t="s">
        <v>184</v>
      </c>
      <c r="M905" t="s">
        <v>376</v>
      </c>
      <c r="S905">
        <v>491</v>
      </c>
      <c r="W905" t="str">
        <f t="shared" si="505"/>
        <v>h</v>
      </c>
      <c r="X905">
        <v>37</v>
      </c>
      <c r="Y905" t="b">
        <f>IF(X905&lt;&gt;"",VLOOKUP(X905,game_rosters!$C$43:$E$64,3,FALSE))</f>
        <v>0</v>
      </c>
      <c r="Z905" cm="1">
        <f t="array" ref="Z905">IFERROR(IF(_xlfn._xlws.FILTER(game_rosters!$J:$J,(game_rosters!$G:$G=events!$AN905)*(game_rosters!$J:$J=events!$X905))&gt;0,1,""),"")</f>
        <v>1</v>
      </c>
      <c r="AA905">
        <f t="shared" si="463"/>
        <v>1491</v>
      </c>
      <c r="AB905" t="str">
        <f t="shared" si="464"/>
        <v/>
      </c>
      <c r="AC905">
        <f t="shared" si="502"/>
        <v>1491</v>
      </c>
      <c r="AD905" s="6">
        <v>2</v>
      </c>
      <c r="AE905" t="s">
        <v>745</v>
      </c>
      <c r="AF905" t="s">
        <v>733</v>
      </c>
      <c r="AG905" t="s">
        <v>756</v>
      </c>
      <c r="AH905" t="s">
        <v>756</v>
      </c>
      <c r="AI905" t="s">
        <v>367</v>
      </c>
      <c r="AJ905" t="str">
        <f t="shared" ref="AJ905:AK905" si="533">IF($J905&lt;&gt;"",$J905,IF($AC905=$AC904,AJ904,""))</f>
        <v>d</v>
      </c>
      <c r="AK905" t="str">
        <f t="shared" si="533"/>
        <v>d</v>
      </c>
      <c r="AL905" t="str">
        <f t="shared" si="507"/>
        <v>d</v>
      </c>
      <c r="AN905" t="s">
        <v>861</v>
      </c>
      <c r="AO905" t="str">
        <f t="shared" si="508"/>
        <v>h</v>
      </c>
      <c r="AP905" t="str">
        <f t="shared" si="516"/>
        <v>d</v>
      </c>
      <c r="AQ905" t="str">
        <f t="shared" si="517"/>
        <v/>
      </c>
      <c r="AR905" t="str">
        <f t="shared" si="518"/>
        <v>Home</v>
      </c>
      <c r="AS905" t="str">
        <f t="shared" si="519"/>
        <v>h</v>
      </c>
      <c r="AT905" t="str">
        <f t="shared" si="520"/>
        <v>Offensive</v>
      </c>
      <c r="BA905" s="6">
        <f t="shared" si="509"/>
        <v>239</v>
      </c>
      <c r="BB905">
        <f t="shared" si="510"/>
        <v>18981</v>
      </c>
      <c r="BC905" t="str">
        <f t="shared" si="511"/>
        <v>Nelson</v>
      </c>
      <c r="BD905" t="str">
        <f t="shared" si="512"/>
        <v>Velodrome</v>
      </c>
      <c r="BE905" t="s">
        <v>238</v>
      </c>
      <c r="BF905" t="s">
        <v>184</v>
      </c>
      <c r="BG905" t="s">
        <v>376</v>
      </c>
      <c r="BI905" cm="1">
        <f t="array" ref="BI905">IFERROR(_xlfn._xlws.FILTER(shifts!A:A,(shifts!B:B=events!AD905)*(shifts!AG:AG&gt;=events!BK905)*(shifts!AH:AH&lt;=events!BL905)),BI904)</f>
        <v>44</v>
      </c>
      <c r="BJ905" s="15">
        <f t="shared" si="513"/>
        <v>0</v>
      </c>
      <c r="BK905">
        <f t="shared" si="521"/>
        <v>896</v>
      </c>
      <c r="BL905">
        <f t="shared" si="522"/>
        <v>896</v>
      </c>
      <c r="BM905" s="15">
        <f>SUMIFS(BJ$2:BJ905,K$2:K905,"=Intermission")+SUMIFS(BJ$2:BJ905,K$2:K905,"=Timeout")</f>
        <v>72</v>
      </c>
      <c r="BN905">
        <f t="shared" si="523"/>
        <v>1152</v>
      </c>
      <c r="BO905" s="19">
        <f t="shared" si="524"/>
        <v>1336</v>
      </c>
      <c r="BP905">
        <f t="shared" si="525"/>
        <v>1331</v>
      </c>
      <c r="BQ905" s="17">
        <f t="shared" si="526"/>
        <v>1336</v>
      </c>
      <c r="BR905" t="str">
        <f t="shared" si="527"/>
        <v>event_team_player_1</v>
      </c>
      <c r="BS905">
        <f>COUNTIFS(S$3:S905,"="&amp;S905,AI$3:AI905,"="&amp;AI905)</f>
        <v>1</v>
      </c>
      <c r="BT905" t="str">
        <f>IFERROR(VLOOKUP(BB905&amp;BU905&amp;X905,game_rosters!U:W,3,FALSE),"")</f>
        <v>P100119</v>
      </c>
      <c r="BU905" t="str">
        <f t="shared" si="528"/>
        <v>Nelson</v>
      </c>
    </row>
    <row r="906" spans="1:73" x14ac:dyDescent="0.2">
      <c r="A906">
        <f t="shared" si="514"/>
        <v>1</v>
      </c>
      <c r="J906" s="44" t="str">
        <f t="shared" si="529"/>
        <v>d</v>
      </c>
      <c r="K906" t="s">
        <v>238</v>
      </c>
      <c r="L906" t="s">
        <v>184</v>
      </c>
      <c r="M906" t="s">
        <v>376</v>
      </c>
      <c r="S906">
        <v>491</v>
      </c>
      <c r="W906" t="str">
        <f t="shared" si="505"/>
        <v>h</v>
      </c>
      <c r="X906">
        <v>15</v>
      </c>
      <c r="Y906" t="b">
        <f>IF(X906&lt;&gt;"",VLOOKUP(X906,game_rosters!$C$43:$E$64,3,FALSE))</f>
        <v>0</v>
      </c>
      <c r="Z906" cm="1">
        <f t="array" ref="Z906">IFERROR(IF(_xlfn._xlws.FILTER(game_rosters!$J:$J,(game_rosters!$G:$G=events!$AN906)*(game_rosters!$J:$J=events!$X906))&gt;0,1,""),"")</f>
        <v>1</v>
      </c>
      <c r="AA906">
        <f t="shared" si="463"/>
        <v>1491</v>
      </c>
      <c r="AB906" t="str">
        <f t="shared" si="464"/>
        <v/>
      </c>
      <c r="AC906">
        <f t="shared" si="502"/>
        <v>1491</v>
      </c>
      <c r="AD906" s="6">
        <v>2</v>
      </c>
      <c r="AE906" t="s">
        <v>745</v>
      </c>
      <c r="AF906" t="s">
        <v>733</v>
      </c>
      <c r="AG906" t="s">
        <v>756</v>
      </c>
      <c r="AH906" t="s">
        <v>756</v>
      </c>
      <c r="AI906" t="s">
        <v>367</v>
      </c>
      <c r="AJ906" t="str">
        <f t="shared" ref="AJ906:AK906" si="534">IF($J906&lt;&gt;"",$J906,IF($AC906=$AC905,AJ905,""))</f>
        <v>d</v>
      </c>
      <c r="AK906" t="str">
        <f t="shared" si="534"/>
        <v>d</v>
      </c>
      <c r="AL906" t="str">
        <f t="shared" si="507"/>
        <v>d</v>
      </c>
      <c r="AN906" t="s">
        <v>861</v>
      </c>
      <c r="AO906" t="str">
        <f t="shared" si="508"/>
        <v>h</v>
      </c>
      <c r="AP906" t="str">
        <f t="shared" si="516"/>
        <v>d</v>
      </c>
      <c r="AQ906" t="str">
        <f t="shared" si="517"/>
        <v/>
      </c>
      <c r="AR906" t="str">
        <f t="shared" si="518"/>
        <v>Home</v>
      </c>
      <c r="AS906" t="str">
        <f t="shared" si="519"/>
        <v>h</v>
      </c>
      <c r="AT906" t="str">
        <f t="shared" si="520"/>
        <v>Offensive</v>
      </c>
      <c r="BA906" s="6">
        <f t="shared" si="509"/>
        <v>240</v>
      </c>
      <c r="BB906">
        <f t="shared" si="510"/>
        <v>18981</v>
      </c>
      <c r="BC906" t="str">
        <f t="shared" si="511"/>
        <v>Nelson</v>
      </c>
      <c r="BD906" t="str">
        <f t="shared" si="512"/>
        <v>Velodrome</v>
      </c>
      <c r="BE906" t="s">
        <v>238</v>
      </c>
      <c r="BF906" t="s">
        <v>184</v>
      </c>
      <c r="BG906" t="s">
        <v>376</v>
      </c>
      <c r="BI906" cm="1">
        <f t="array" ref="BI906">IFERROR(_xlfn._xlws.FILTER(shifts!A:A,(shifts!B:B=events!AD906)*(shifts!AG:AG&gt;=events!BK906)*(shifts!AH:AH&lt;=events!BL906)),BI905)</f>
        <v>44</v>
      </c>
      <c r="BJ906" s="15">
        <f t="shared" si="513"/>
        <v>0</v>
      </c>
      <c r="BK906">
        <f t="shared" si="521"/>
        <v>896</v>
      </c>
      <c r="BL906">
        <f t="shared" si="522"/>
        <v>896</v>
      </c>
      <c r="BM906" s="15">
        <f>SUMIFS(BJ$2:BJ906,K$2:K906,"=Intermission")+SUMIFS(BJ$2:BJ906,K$2:K906,"=Timeout")</f>
        <v>72</v>
      </c>
      <c r="BN906">
        <f t="shared" si="523"/>
        <v>1152</v>
      </c>
      <c r="BO906" s="19">
        <f t="shared" si="524"/>
        <v>1336</v>
      </c>
      <c r="BP906">
        <f t="shared" si="525"/>
        <v>1331</v>
      </c>
      <c r="BQ906" s="17">
        <f t="shared" si="526"/>
        <v>1336</v>
      </c>
      <c r="BR906" t="str">
        <f t="shared" si="527"/>
        <v>event_team_player_2</v>
      </c>
      <c r="BS906">
        <f>COUNTIFS(S$3:S906,"="&amp;S906,AI$3:AI906,"="&amp;AI906)</f>
        <v>2</v>
      </c>
      <c r="BT906" t="str">
        <f>IFERROR(VLOOKUP(BB906&amp;BU906&amp;X906,game_rosters!U:W,3,FALSE),"")</f>
        <v>P100071</v>
      </c>
      <c r="BU906" t="str">
        <f t="shared" si="528"/>
        <v>Nelson</v>
      </c>
    </row>
    <row r="907" spans="1:73" x14ac:dyDescent="0.2">
      <c r="A907">
        <f t="shared" si="514"/>
        <v>1</v>
      </c>
      <c r="J907" s="44" t="str">
        <f t="shared" si="529"/>
        <v/>
      </c>
      <c r="K907" t="s">
        <v>13</v>
      </c>
      <c r="L907" t="s">
        <v>756</v>
      </c>
      <c r="M907" t="s">
        <v>756</v>
      </c>
      <c r="S907">
        <v>492</v>
      </c>
      <c r="W907" t="str">
        <f t="shared" si="505"/>
        <v>h</v>
      </c>
      <c r="X907">
        <v>44</v>
      </c>
      <c r="Y907" t="b">
        <f>IF(X907&lt;&gt;"",VLOOKUP(X907,game_rosters!$C$43:$E$64,3,FALSE))</f>
        <v>0</v>
      </c>
      <c r="Z907" cm="1">
        <f t="array" ref="Z907">IFERROR(IF(_xlfn._xlws.FILTER(game_rosters!$J:$J,(game_rosters!$G:$G=events!$AN907)*(game_rosters!$J:$J=events!$X907))&gt;0,1,""),"")</f>
        <v>1</v>
      </c>
      <c r="AA907">
        <f t="shared" si="463"/>
        <v>1492</v>
      </c>
      <c r="AB907" t="str">
        <f t="shared" si="464"/>
        <v/>
      </c>
      <c r="AC907">
        <f t="shared" si="502"/>
        <v>1492</v>
      </c>
      <c r="AD907" s="6">
        <v>2</v>
      </c>
      <c r="AE907" t="s">
        <v>745</v>
      </c>
      <c r="AF907" t="s">
        <v>897</v>
      </c>
      <c r="AG907" t="s">
        <v>745</v>
      </c>
      <c r="AH907" t="s">
        <v>898</v>
      </c>
      <c r="AI907" t="s">
        <v>367</v>
      </c>
      <c r="AJ907" t="str">
        <f t="shared" ref="AJ907:AK907" si="535">IF($J907&lt;&gt;"",$J907,IF($AC907=$AC906,AJ906,""))</f>
        <v/>
      </c>
      <c r="AK907" t="str">
        <f t="shared" si="535"/>
        <v/>
      </c>
      <c r="AL907" t="str">
        <f t="shared" si="507"/>
        <v/>
      </c>
      <c r="AN907" t="s">
        <v>861</v>
      </c>
      <c r="AO907" t="str">
        <f t="shared" si="508"/>
        <v>h</v>
      </c>
      <c r="AP907" t="str">
        <f t="shared" si="516"/>
        <v/>
      </c>
      <c r="AQ907" t="str">
        <f t="shared" si="517"/>
        <v/>
      </c>
      <c r="AR907" t="str">
        <f t="shared" si="518"/>
        <v>Home</v>
      </c>
      <c r="AS907" t="str">
        <f t="shared" si="519"/>
        <v>h</v>
      </c>
      <c r="AT907" t="str">
        <f t="shared" si="520"/>
        <v>Offensive</v>
      </c>
      <c r="BA907" s="6">
        <f t="shared" si="509"/>
        <v>240</v>
      </c>
      <c r="BB907">
        <f t="shared" si="510"/>
        <v>18981</v>
      </c>
      <c r="BC907" t="str">
        <f t="shared" si="511"/>
        <v>Nelson</v>
      </c>
      <c r="BD907" t="str">
        <f t="shared" si="512"/>
        <v>Velodrome</v>
      </c>
      <c r="BE907" t="s">
        <v>13</v>
      </c>
      <c r="BF907" t="s">
        <v>756</v>
      </c>
      <c r="BG907" t="s">
        <v>756</v>
      </c>
      <c r="BI907" cm="1">
        <f t="array" ref="BI907">IFERROR(_xlfn._xlws.FILTER(shifts!A:A,(shifts!B:B=events!AD907)*(shifts!AG:AG&gt;=events!BK907)*(shifts!AH:AH&lt;=events!BL907)),BI906)</f>
        <v>44</v>
      </c>
      <c r="BJ907" s="15">
        <f t="shared" si="513"/>
        <v>1</v>
      </c>
      <c r="BK907">
        <f t="shared" si="521"/>
        <v>892</v>
      </c>
      <c r="BL907">
        <f t="shared" si="522"/>
        <v>891</v>
      </c>
      <c r="BM907" s="15">
        <f>SUMIFS(BJ$2:BJ907,K$2:K907,"=Intermission")+SUMIFS(BJ$2:BJ907,K$2:K907,"=Timeout")</f>
        <v>72</v>
      </c>
      <c r="BN907">
        <f t="shared" si="523"/>
        <v>1152</v>
      </c>
      <c r="BO907" s="19">
        <f t="shared" si="524"/>
        <v>1340</v>
      </c>
      <c r="BP907">
        <f t="shared" si="525"/>
        <v>1335</v>
      </c>
      <c r="BQ907" s="17">
        <f t="shared" si="526"/>
        <v>1341</v>
      </c>
      <c r="BR907" t="str">
        <f t="shared" si="527"/>
        <v>event_team_player_1</v>
      </c>
      <c r="BS907">
        <f>COUNTIFS(S$3:S907,"="&amp;S907,AI$3:AI907,"="&amp;AI907)</f>
        <v>1</v>
      </c>
      <c r="BT907" t="str">
        <f>IFERROR(VLOOKUP(BB907&amp;BU907&amp;X907,game_rosters!U:W,3,FALSE),"")</f>
        <v>P100079</v>
      </c>
      <c r="BU907" t="str">
        <f t="shared" si="528"/>
        <v>Nelson</v>
      </c>
    </row>
    <row r="908" spans="1:73" x14ac:dyDescent="0.2">
      <c r="A908">
        <f t="shared" si="514"/>
        <v>1</v>
      </c>
      <c r="J908" s="44" t="str">
        <f t="shared" si="529"/>
        <v/>
      </c>
      <c r="K908" t="s">
        <v>13</v>
      </c>
      <c r="L908" t="s">
        <v>756</v>
      </c>
      <c r="M908" t="s">
        <v>756</v>
      </c>
      <c r="S908">
        <v>492</v>
      </c>
      <c r="W908" t="str">
        <f t="shared" si="505"/>
        <v>h</v>
      </c>
      <c r="X908">
        <v>49</v>
      </c>
      <c r="Y908" t="e">
        <f>IF(X908&lt;&gt;"",VLOOKUP(X908,game_rosters!$C$43:$E$64,3,FALSE))</f>
        <v>#N/A</v>
      </c>
      <c r="Z908" t="str" cm="1">
        <f t="array" ref="Z908">IFERROR(IF(_xlfn._xlws.FILTER(game_rosters!$J:$J,(game_rosters!$G:$G=events!$AN908)*(game_rosters!$J:$J=events!$X908))&gt;0,1,""),"")</f>
        <v/>
      </c>
      <c r="AA908">
        <f t="shared" si="463"/>
        <v>1492</v>
      </c>
      <c r="AB908" t="str">
        <f t="shared" si="464"/>
        <v/>
      </c>
      <c r="AC908">
        <f t="shared" si="502"/>
        <v>1492</v>
      </c>
      <c r="AD908" s="6">
        <v>2</v>
      </c>
      <c r="AE908" t="s">
        <v>745</v>
      </c>
      <c r="AF908" t="s">
        <v>897</v>
      </c>
      <c r="AG908" t="s">
        <v>745</v>
      </c>
      <c r="AH908" t="s">
        <v>898</v>
      </c>
      <c r="AI908" t="s">
        <v>368</v>
      </c>
      <c r="AJ908" t="str">
        <f t="shared" ref="AJ908:AK908" si="536">IF($J908&lt;&gt;"",$J908,IF($AC908=$AC907,AJ907,""))</f>
        <v/>
      </c>
      <c r="AK908" t="str">
        <f t="shared" si="536"/>
        <v/>
      </c>
      <c r="AL908" t="str">
        <f t="shared" si="507"/>
        <v/>
      </c>
      <c r="AN908" t="s">
        <v>861</v>
      </c>
      <c r="AO908" t="str">
        <f t="shared" si="508"/>
        <v>h</v>
      </c>
      <c r="AP908" t="str">
        <f t="shared" si="516"/>
        <v/>
      </c>
      <c r="AQ908" t="str">
        <f t="shared" si="517"/>
        <v/>
      </c>
      <c r="AR908" t="str">
        <f t="shared" si="518"/>
        <v>Home</v>
      </c>
      <c r="AS908" t="str">
        <f t="shared" si="519"/>
        <v>h</v>
      </c>
      <c r="AT908" t="str">
        <f t="shared" si="520"/>
        <v>Defensive</v>
      </c>
      <c r="BA908" s="6">
        <f t="shared" si="509"/>
        <v>240</v>
      </c>
      <c r="BB908">
        <f t="shared" si="510"/>
        <v>18981</v>
      </c>
      <c r="BC908" t="str">
        <f t="shared" si="511"/>
        <v>Nelson</v>
      </c>
      <c r="BD908" t="str">
        <f t="shared" si="512"/>
        <v>Velodrome</v>
      </c>
      <c r="BE908" t="s">
        <v>13</v>
      </c>
      <c r="BF908" t="s">
        <v>756</v>
      </c>
      <c r="BG908" t="s">
        <v>756</v>
      </c>
      <c r="BI908" cm="1">
        <f t="array" ref="BI908">IFERROR(_xlfn._xlws.FILTER(shifts!A:A,(shifts!B:B=events!AD908)*(shifts!AG:AG&gt;=events!BK908)*(shifts!AH:AH&lt;=events!BL908)),BI907)</f>
        <v>44</v>
      </c>
      <c r="BJ908" s="15">
        <f t="shared" si="513"/>
        <v>1</v>
      </c>
      <c r="BK908">
        <f t="shared" si="521"/>
        <v>892</v>
      </c>
      <c r="BL908">
        <f t="shared" si="522"/>
        <v>891</v>
      </c>
      <c r="BM908" s="15">
        <f>SUMIFS(BJ$2:BJ908,K$2:K908,"=Intermission")+SUMIFS(BJ$2:BJ908,K$2:K908,"=Timeout")</f>
        <v>72</v>
      </c>
      <c r="BN908">
        <f t="shared" si="523"/>
        <v>1152</v>
      </c>
      <c r="BO908" s="19">
        <f t="shared" si="524"/>
        <v>1340</v>
      </c>
      <c r="BP908">
        <f t="shared" si="525"/>
        <v>1335</v>
      </c>
      <c r="BQ908" s="17">
        <f t="shared" si="526"/>
        <v>1341</v>
      </c>
      <c r="BR908" t="str">
        <f t="shared" si="527"/>
        <v>opp_team_player_1</v>
      </c>
      <c r="BS908">
        <f>COUNTIFS(S$3:S908,"="&amp;S908,AI$3:AI908,"="&amp;AI908)</f>
        <v>1</v>
      </c>
      <c r="BT908" t="str">
        <f>IFERROR(VLOOKUP(BB908&amp;BU908&amp;X908,game_rosters!U:W,3,FALSE),"")</f>
        <v>P100161</v>
      </c>
      <c r="BU908" t="str">
        <f t="shared" si="528"/>
        <v>Velodrome</v>
      </c>
    </row>
    <row r="909" spans="1:73" x14ac:dyDescent="0.2">
      <c r="A909">
        <f t="shared" si="514"/>
        <v>1</v>
      </c>
      <c r="J909" s="44" t="str">
        <f t="shared" si="529"/>
        <v/>
      </c>
      <c r="K909" t="s">
        <v>9</v>
      </c>
      <c r="L909" t="s">
        <v>183</v>
      </c>
      <c r="M909" t="s">
        <v>80</v>
      </c>
      <c r="S909">
        <v>493</v>
      </c>
      <c r="W909" t="str">
        <f t="shared" si="505"/>
        <v>a</v>
      </c>
      <c r="X909">
        <v>49</v>
      </c>
      <c r="Y909" t="e">
        <f>IF(X909&lt;&gt;"",VLOOKUP(X909,game_rosters!$C$43:$E$64,3,FALSE))</f>
        <v>#N/A</v>
      </c>
      <c r="Z909" cm="1">
        <f t="array" ref="Z909">IFERROR(IF(_xlfn._xlws.FILTER(game_rosters!$J:$J,(game_rosters!$G:$G=events!$AN909)*(game_rosters!$J:$J=events!$X909))&gt;0,1,""),"")</f>
        <v>1</v>
      </c>
      <c r="AA909">
        <f t="shared" si="463"/>
        <v>1493</v>
      </c>
      <c r="AB909" t="str">
        <f t="shared" si="464"/>
        <v/>
      </c>
      <c r="AC909">
        <f t="shared" si="502"/>
        <v>1493</v>
      </c>
      <c r="AD909" s="6">
        <v>2</v>
      </c>
      <c r="AE909" t="s">
        <v>745</v>
      </c>
      <c r="AF909" t="s">
        <v>898</v>
      </c>
      <c r="AG909" t="s">
        <v>756</v>
      </c>
      <c r="AH909" t="s">
        <v>756</v>
      </c>
      <c r="AI909" t="s">
        <v>367</v>
      </c>
      <c r="AJ909" t="str">
        <f t="shared" ref="AJ909:AK909" si="537">IF($J909&lt;&gt;"",$J909,IF($AC909=$AC908,AJ908,""))</f>
        <v/>
      </c>
      <c r="AK909" t="str">
        <f t="shared" si="537"/>
        <v/>
      </c>
      <c r="AL909" t="str">
        <f t="shared" si="507"/>
        <v/>
      </c>
      <c r="AN909" t="s">
        <v>862</v>
      </c>
      <c r="AO909" t="str">
        <f t="shared" si="508"/>
        <v>a</v>
      </c>
      <c r="AP909" t="str">
        <f t="shared" si="516"/>
        <v/>
      </c>
      <c r="AQ909" t="str">
        <f t="shared" si="517"/>
        <v/>
      </c>
      <c r="AR909" t="str">
        <f t="shared" si="518"/>
        <v>Away</v>
      </c>
      <c r="AS909" t="str">
        <f t="shared" si="519"/>
        <v>a</v>
      </c>
      <c r="AT909" t="str">
        <f t="shared" si="520"/>
        <v>Defensive</v>
      </c>
      <c r="BA909" s="6">
        <f t="shared" si="509"/>
        <v>240</v>
      </c>
      <c r="BB909">
        <f t="shared" si="510"/>
        <v>18981</v>
      </c>
      <c r="BC909" t="str">
        <f t="shared" si="511"/>
        <v>Nelson</v>
      </c>
      <c r="BD909" t="str">
        <f t="shared" si="512"/>
        <v>Velodrome</v>
      </c>
      <c r="BE909" t="s">
        <v>9</v>
      </c>
      <c r="BF909" t="s">
        <v>183</v>
      </c>
      <c r="BG909" t="s">
        <v>80</v>
      </c>
      <c r="BI909" cm="1">
        <f t="array" ref="BI909">IFERROR(_xlfn._xlws.FILTER(shifts!A:A,(shifts!B:B=events!AD909)*(shifts!AG:AG&gt;=events!BK909)*(shifts!AH:AH&lt;=events!BL909)),BI908)</f>
        <v>44</v>
      </c>
      <c r="BJ909" s="15">
        <f t="shared" si="513"/>
        <v>0</v>
      </c>
      <c r="BK909">
        <f t="shared" si="521"/>
        <v>891</v>
      </c>
      <c r="BL909">
        <f t="shared" si="522"/>
        <v>891</v>
      </c>
      <c r="BM909" s="15">
        <f>SUMIFS(BJ$2:BJ909,K$2:K909,"=Intermission")+SUMIFS(BJ$2:BJ909,K$2:K909,"=Timeout")</f>
        <v>72</v>
      </c>
      <c r="BN909">
        <f t="shared" si="523"/>
        <v>1152</v>
      </c>
      <c r="BO909" s="19">
        <f t="shared" si="524"/>
        <v>1341</v>
      </c>
      <c r="BP909">
        <f t="shared" si="525"/>
        <v>1336</v>
      </c>
      <c r="BQ909" s="17">
        <f t="shared" si="526"/>
        <v>1341</v>
      </c>
      <c r="BR909" t="str">
        <f t="shared" si="527"/>
        <v>event_team_player_1</v>
      </c>
      <c r="BS909">
        <f>COUNTIFS(S$3:S909,"="&amp;S909,AI$3:AI909,"="&amp;AI909)</f>
        <v>1</v>
      </c>
      <c r="BT909" t="str">
        <f>IFERROR(VLOOKUP(BB909&amp;BU909&amp;X909,game_rosters!U:W,3,FALSE),"")</f>
        <v>P100161</v>
      </c>
      <c r="BU909" t="str">
        <f t="shared" si="528"/>
        <v>Velodrome</v>
      </c>
    </row>
    <row r="910" spans="1:73" x14ac:dyDescent="0.2">
      <c r="A910">
        <f t="shared" si="514"/>
        <v>1</v>
      </c>
      <c r="J910" s="44" t="str">
        <f t="shared" si="529"/>
        <v/>
      </c>
      <c r="K910" t="s">
        <v>9</v>
      </c>
      <c r="L910" t="s">
        <v>183</v>
      </c>
      <c r="M910" t="s">
        <v>80</v>
      </c>
      <c r="S910">
        <v>493</v>
      </c>
      <c r="W910" t="str">
        <f t="shared" si="505"/>
        <v>a</v>
      </c>
      <c r="X910">
        <v>44</v>
      </c>
      <c r="Y910" t="b">
        <f>IF(X910&lt;&gt;"",VLOOKUP(X910,game_rosters!$C$43:$E$64,3,FALSE))</f>
        <v>0</v>
      </c>
      <c r="Z910" t="str" cm="1">
        <f t="array" ref="Z910">IFERROR(IF(_xlfn._xlws.FILTER(game_rosters!$J:$J,(game_rosters!$G:$G=events!$AN910)*(game_rosters!$J:$J=events!$X910))&gt;0,1,""),"")</f>
        <v/>
      </c>
      <c r="AA910">
        <f t="shared" si="463"/>
        <v>1493</v>
      </c>
      <c r="AB910" t="str">
        <f t="shared" si="464"/>
        <v/>
      </c>
      <c r="AC910">
        <f t="shared" si="502"/>
        <v>1493</v>
      </c>
      <c r="AD910" s="6">
        <v>2</v>
      </c>
      <c r="AE910" t="s">
        <v>745</v>
      </c>
      <c r="AF910" t="s">
        <v>898</v>
      </c>
      <c r="AG910" t="s">
        <v>756</v>
      </c>
      <c r="AH910" t="s">
        <v>756</v>
      </c>
      <c r="AI910" t="s">
        <v>368</v>
      </c>
      <c r="AJ910" t="str">
        <f t="shared" ref="AJ910:AK910" si="538">IF($J910&lt;&gt;"",$J910,IF($AC910=$AC909,AJ909,""))</f>
        <v/>
      </c>
      <c r="AK910" t="str">
        <f t="shared" si="538"/>
        <v/>
      </c>
      <c r="AL910" t="str">
        <f t="shared" si="507"/>
        <v/>
      </c>
      <c r="AN910" t="s">
        <v>862</v>
      </c>
      <c r="AO910" t="str">
        <f t="shared" si="508"/>
        <v>a</v>
      </c>
      <c r="AP910" t="str">
        <f t="shared" si="516"/>
        <v/>
      </c>
      <c r="AQ910" t="str">
        <f t="shared" si="517"/>
        <v/>
      </c>
      <c r="AR910" t="str">
        <f t="shared" si="518"/>
        <v>Away</v>
      </c>
      <c r="AS910" t="str">
        <f t="shared" si="519"/>
        <v>a</v>
      </c>
      <c r="AT910" t="str">
        <f t="shared" si="520"/>
        <v>Offensive</v>
      </c>
      <c r="BA910" s="6">
        <f t="shared" si="509"/>
        <v>240</v>
      </c>
      <c r="BB910">
        <f t="shared" si="510"/>
        <v>18981</v>
      </c>
      <c r="BC910" t="str">
        <f t="shared" si="511"/>
        <v>Nelson</v>
      </c>
      <c r="BD910" t="str">
        <f t="shared" si="512"/>
        <v>Velodrome</v>
      </c>
      <c r="BE910" t="s">
        <v>9</v>
      </c>
      <c r="BF910" t="s">
        <v>183</v>
      </c>
      <c r="BG910" t="s">
        <v>80</v>
      </c>
      <c r="BI910" cm="1">
        <f t="array" ref="BI910">IFERROR(_xlfn._xlws.FILTER(shifts!A:A,(shifts!B:B=events!AD910)*(shifts!AG:AG&gt;=events!BK910)*(shifts!AH:AH&lt;=events!BL910)),BI909)</f>
        <v>44</v>
      </c>
      <c r="BJ910" s="15">
        <f t="shared" si="513"/>
        <v>0</v>
      </c>
      <c r="BK910">
        <f t="shared" si="521"/>
        <v>891</v>
      </c>
      <c r="BL910">
        <f t="shared" si="522"/>
        <v>891</v>
      </c>
      <c r="BM910" s="15">
        <f>SUMIFS(BJ$2:BJ910,K$2:K910,"=Intermission")+SUMIFS(BJ$2:BJ910,K$2:K910,"=Timeout")</f>
        <v>72</v>
      </c>
      <c r="BN910">
        <f t="shared" si="523"/>
        <v>1152</v>
      </c>
      <c r="BO910" s="19">
        <f t="shared" si="524"/>
        <v>1341</v>
      </c>
      <c r="BP910">
        <f t="shared" si="525"/>
        <v>1336</v>
      </c>
      <c r="BQ910" s="17">
        <f t="shared" si="526"/>
        <v>1341</v>
      </c>
      <c r="BR910" t="str">
        <f t="shared" si="527"/>
        <v>opp_team_player_1</v>
      </c>
      <c r="BS910">
        <f>COUNTIFS(S$3:S910,"="&amp;S910,AI$3:AI910,"="&amp;AI910)</f>
        <v>1</v>
      </c>
      <c r="BT910" t="str">
        <f>IFERROR(VLOOKUP(BB910&amp;BU910&amp;X910,game_rosters!U:W,3,FALSE),"")</f>
        <v>P100079</v>
      </c>
      <c r="BU910" t="str">
        <f t="shared" si="528"/>
        <v>Nelson</v>
      </c>
    </row>
    <row r="911" spans="1:73" x14ac:dyDescent="0.2">
      <c r="A911">
        <f t="shared" si="514"/>
        <v>1</v>
      </c>
      <c r="J911" s="44" t="str">
        <f t="shared" si="529"/>
        <v>o</v>
      </c>
      <c r="K911" t="s">
        <v>238</v>
      </c>
      <c r="L911" t="s">
        <v>174</v>
      </c>
      <c r="M911" t="s">
        <v>414</v>
      </c>
      <c r="S911">
        <v>494</v>
      </c>
      <c r="W911" t="str">
        <f t="shared" si="505"/>
        <v>a</v>
      </c>
      <c r="X911">
        <v>49</v>
      </c>
      <c r="Y911" t="e">
        <f>IF(X911&lt;&gt;"",VLOOKUP(X911,game_rosters!$C$43:$E$64,3,FALSE))</f>
        <v>#N/A</v>
      </c>
      <c r="Z911" cm="1">
        <f t="array" ref="Z911">IFERROR(IF(_xlfn._xlws.FILTER(game_rosters!$J:$J,(game_rosters!$G:$G=events!$AN911)*(game_rosters!$J:$J=events!$X911))&gt;0,1,""),"")</f>
        <v>1</v>
      </c>
      <c r="AA911">
        <f t="shared" si="463"/>
        <v>1494</v>
      </c>
      <c r="AB911" t="str">
        <f t="shared" si="464"/>
        <v/>
      </c>
      <c r="AC911">
        <f t="shared" si="502"/>
        <v>1494</v>
      </c>
      <c r="AD911" s="6">
        <v>2</v>
      </c>
      <c r="AE911" t="s">
        <v>745</v>
      </c>
      <c r="AF911" t="s">
        <v>898</v>
      </c>
      <c r="AG911" t="s">
        <v>756</v>
      </c>
      <c r="AH911" t="s">
        <v>756</v>
      </c>
      <c r="AI911" t="s">
        <v>367</v>
      </c>
      <c r="AJ911" t="str">
        <f t="shared" ref="AJ911:AK911" si="539">IF($J911&lt;&gt;"",$J911,IF($AC911=$AC910,AJ910,""))</f>
        <v>o</v>
      </c>
      <c r="AK911" t="str">
        <f t="shared" si="539"/>
        <v>o</v>
      </c>
      <c r="AL911" t="str">
        <f t="shared" si="507"/>
        <v>d</v>
      </c>
      <c r="AN911" t="s">
        <v>862</v>
      </c>
      <c r="AO911" t="str">
        <f t="shared" si="508"/>
        <v>a</v>
      </c>
      <c r="AP911" t="str">
        <f t="shared" si="516"/>
        <v>d</v>
      </c>
      <c r="AQ911" t="str">
        <f t="shared" si="517"/>
        <v/>
      </c>
      <c r="AR911" t="str">
        <f t="shared" si="518"/>
        <v>Away</v>
      </c>
      <c r="AS911" t="str">
        <f t="shared" si="519"/>
        <v>a</v>
      </c>
      <c r="AT911" t="str">
        <f t="shared" si="520"/>
        <v>Offensive</v>
      </c>
      <c r="BA911" s="6">
        <f t="shared" si="509"/>
        <v>241</v>
      </c>
      <c r="BB911">
        <f t="shared" si="510"/>
        <v>18981</v>
      </c>
      <c r="BC911" t="str">
        <f t="shared" si="511"/>
        <v>Nelson</v>
      </c>
      <c r="BD911" t="str">
        <f t="shared" si="512"/>
        <v>Velodrome</v>
      </c>
      <c r="BE911" t="s">
        <v>238</v>
      </c>
      <c r="BF911" t="s">
        <v>174</v>
      </c>
      <c r="BG911" t="s">
        <v>414</v>
      </c>
      <c r="BI911" cm="1">
        <f t="array" ref="BI911">IFERROR(_xlfn._xlws.FILTER(shifts!A:A,(shifts!B:B=events!AD911)*(shifts!AG:AG&gt;=events!BK911)*(shifts!AH:AH&lt;=events!BL911)),BI910)</f>
        <v>44</v>
      </c>
      <c r="BJ911" s="15">
        <f t="shared" si="513"/>
        <v>0</v>
      </c>
      <c r="BK911">
        <f t="shared" si="521"/>
        <v>891</v>
      </c>
      <c r="BL911">
        <f t="shared" si="522"/>
        <v>891</v>
      </c>
      <c r="BM911" s="15">
        <f>SUMIFS(BJ$2:BJ911,K$2:K911,"=Intermission")+SUMIFS(BJ$2:BJ911,K$2:K911,"=Timeout")</f>
        <v>72</v>
      </c>
      <c r="BN911">
        <f t="shared" si="523"/>
        <v>1152</v>
      </c>
      <c r="BO911" s="19">
        <f t="shared" si="524"/>
        <v>1341</v>
      </c>
      <c r="BP911">
        <f t="shared" si="525"/>
        <v>1336</v>
      </c>
      <c r="BQ911" s="17">
        <f t="shared" si="526"/>
        <v>1341</v>
      </c>
      <c r="BR911" t="str">
        <f t="shared" si="527"/>
        <v>event_team_player_1</v>
      </c>
      <c r="BS911">
        <f>COUNTIFS(S$3:S911,"="&amp;S911,AI$3:AI911,"="&amp;AI911)</f>
        <v>1</v>
      </c>
      <c r="BT911" t="str">
        <f>IFERROR(VLOOKUP(BB911&amp;BU911&amp;X911,game_rosters!U:W,3,FALSE),"")</f>
        <v>P100161</v>
      </c>
      <c r="BU911" t="str">
        <f t="shared" si="528"/>
        <v>Velodrome</v>
      </c>
    </row>
    <row r="912" spans="1:73" x14ac:dyDescent="0.2">
      <c r="A912">
        <f t="shared" si="514"/>
        <v>1</v>
      </c>
      <c r="J912" s="44" t="str">
        <f t="shared" si="529"/>
        <v/>
      </c>
      <c r="K912" t="s">
        <v>9</v>
      </c>
      <c r="L912" t="s">
        <v>173</v>
      </c>
      <c r="M912" t="s">
        <v>383</v>
      </c>
      <c r="S912">
        <v>495</v>
      </c>
      <c r="W912" t="str">
        <f t="shared" si="505"/>
        <v>a</v>
      </c>
      <c r="X912">
        <v>49</v>
      </c>
      <c r="Y912" t="e">
        <f>IF(X912&lt;&gt;"",VLOOKUP(X912,game_rosters!$C$43:$E$64,3,FALSE))</f>
        <v>#N/A</v>
      </c>
      <c r="Z912" cm="1">
        <f t="array" ref="Z912">IFERROR(IF(_xlfn._xlws.FILTER(game_rosters!$J:$J,(game_rosters!$G:$G=events!$AN912)*(game_rosters!$J:$J=events!$X912))&gt;0,1,""),"")</f>
        <v>1</v>
      </c>
      <c r="AA912">
        <f t="shared" si="463"/>
        <v>1495</v>
      </c>
      <c r="AB912" t="str">
        <f t="shared" si="464"/>
        <v/>
      </c>
      <c r="AC912">
        <f t="shared" si="502"/>
        <v>1495</v>
      </c>
      <c r="AD912" s="6">
        <v>2</v>
      </c>
      <c r="AE912" t="s">
        <v>745</v>
      </c>
      <c r="AF912" t="s">
        <v>935</v>
      </c>
      <c r="AG912" t="s">
        <v>756</v>
      </c>
      <c r="AH912" t="s">
        <v>756</v>
      </c>
      <c r="AI912" t="s">
        <v>367</v>
      </c>
      <c r="AJ912" t="str">
        <f t="shared" ref="AJ912:AK912" si="540">IF($J912&lt;&gt;"",$J912,IF($AC912=$AC911,AJ911,""))</f>
        <v/>
      </c>
      <c r="AK912" t="str">
        <f t="shared" si="540"/>
        <v/>
      </c>
      <c r="AL912" t="str">
        <f t="shared" si="507"/>
        <v/>
      </c>
      <c r="AN912" t="s">
        <v>862</v>
      </c>
      <c r="AO912" t="str">
        <f t="shared" si="508"/>
        <v>a</v>
      </c>
      <c r="AP912" t="str">
        <f t="shared" si="516"/>
        <v/>
      </c>
      <c r="AQ912" t="str">
        <f t="shared" si="517"/>
        <v/>
      </c>
      <c r="AR912" t="str">
        <f t="shared" si="518"/>
        <v>Away</v>
      </c>
      <c r="AS912" t="str">
        <f t="shared" si="519"/>
        <v>a</v>
      </c>
      <c r="AT912" t="str">
        <f t="shared" si="520"/>
        <v>Offensive</v>
      </c>
      <c r="BA912" s="6">
        <f t="shared" si="509"/>
        <v>241</v>
      </c>
      <c r="BB912">
        <f t="shared" si="510"/>
        <v>18981</v>
      </c>
      <c r="BC912" t="str">
        <f t="shared" si="511"/>
        <v>Nelson</v>
      </c>
      <c r="BD912" t="str">
        <f t="shared" si="512"/>
        <v>Velodrome</v>
      </c>
      <c r="BE912" t="s">
        <v>9</v>
      </c>
      <c r="BF912" t="s">
        <v>173</v>
      </c>
      <c r="BG912" t="s">
        <v>383</v>
      </c>
      <c r="BI912" cm="1">
        <f t="array" ref="BI912">IFERROR(_xlfn._xlws.FILTER(shifts!A:A,(shifts!B:B=events!AD912)*(shifts!AG:AG&gt;=events!BK912)*(shifts!AH:AH&lt;=events!BL912)),BI911)</f>
        <v>44</v>
      </c>
      <c r="BJ912" s="15">
        <f t="shared" si="513"/>
        <v>0</v>
      </c>
      <c r="BK912">
        <f t="shared" si="521"/>
        <v>885</v>
      </c>
      <c r="BL912">
        <f t="shared" si="522"/>
        <v>885</v>
      </c>
      <c r="BM912" s="15">
        <f>SUMIFS(BJ$2:BJ912,K$2:K912,"=Intermission")+SUMIFS(BJ$2:BJ912,K$2:K912,"=Timeout")</f>
        <v>72</v>
      </c>
      <c r="BN912">
        <f t="shared" si="523"/>
        <v>1152</v>
      </c>
      <c r="BO912" s="19">
        <f t="shared" si="524"/>
        <v>1347</v>
      </c>
      <c r="BP912">
        <f t="shared" si="525"/>
        <v>1342</v>
      </c>
      <c r="BQ912" s="17">
        <f t="shared" si="526"/>
        <v>1347</v>
      </c>
      <c r="BR912" t="str">
        <f t="shared" si="527"/>
        <v>event_team_player_1</v>
      </c>
      <c r="BS912">
        <f>COUNTIFS(S$3:S912,"="&amp;S912,AI$3:AI912,"="&amp;AI912)</f>
        <v>1</v>
      </c>
      <c r="BT912" t="str">
        <f>IFERROR(VLOOKUP(BB912&amp;BU912&amp;X912,game_rosters!U:W,3,FALSE),"")</f>
        <v>P100161</v>
      </c>
      <c r="BU912" t="str">
        <f t="shared" si="528"/>
        <v>Velodrome</v>
      </c>
    </row>
    <row r="913" spans="1:73" x14ac:dyDescent="0.2">
      <c r="A913">
        <f t="shared" si="514"/>
        <v>1</v>
      </c>
      <c r="J913" s="44" t="str">
        <f t="shared" si="529"/>
        <v>d</v>
      </c>
      <c r="K913" t="s">
        <v>238</v>
      </c>
      <c r="L913" t="s">
        <v>184</v>
      </c>
      <c r="M913" t="s">
        <v>88</v>
      </c>
      <c r="S913">
        <v>496</v>
      </c>
      <c r="W913" t="str">
        <f t="shared" si="505"/>
        <v>h</v>
      </c>
      <c r="X913">
        <v>79</v>
      </c>
      <c r="Y913" t="b">
        <f>IF(X913&lt;&gt;"",VLOOKUP(X913,game_rosters!$C$43:$E$64,3,FALSE))</f>
        <v>0</v>
      </c>
      <c r="Z913" cm="1">
        <f t="array" ref="Z913">IFERROR(IF(_xlfn._xlws.FILTER(game_rosters!$J:$J,(game_rosters!$G:$G=events!$AN913)*(game_rosters!$J:$J=events!$X913))&gt;0,1,""),"")</f>
        <v>1</v>
      </c>
      <c r="AA913">
        <f t="shared" si="463"/>
        <v>1496</v>
      </c>
      <c r="AB913" t="str">
        <f t="shared" si="464"/>
        <v/>
      </c>
      <c r="AC913">
        <f t="shared" si="502"/>
        <v>1496</v>
      </c>
      <c r="AD913" s="6">
        <v>2</v>
      </c>
      <c r="AE913" t="s">
        <v>745</v>
      </c>
      <c r="AF913" t="s">
        <v>901</v>
      </c>
      <c r="AG913" t="s">
        <v>745</v>
      </c>
      <c r="AH913" t="s">
        <v>902</v>
      </c>
      <c r="AI913" t="s">
        <v>367</v>
      </c>
      <c r="AJ913" t="str">
        <f t="shared" ref="AJ913:AK913" si="541">IF($J913&lt;&gt;"",$J913,IF($AC913=$AC912,AJ912,""))</f>
        <v>d</v>
      </c>
      <c r="AK913" t="str">
        <f t="shared" si="541"/>
        <v>d</v>
      </c>
      <c r="AL913" t="str">
        <f t="shared" si="507"/>
        <v>d</v>
      </c>
      <c r="AN913" t="s">
        <v>861</v>
      </c>
      <c r="AO913" t="str">
        <f t="shared" si="508"/>
        <v>h</v>
      </c>
      <c r="AP913" t="str">
        <f t="shared" si="516"/>
        <v>d</v>
      </c>
      <c r="AQ913" t="str">
        <f t="shared" si="517"/>
        <v/>
      </c>
      <c r="AR913" t="str">
        <f t="shared" si="518"/>
        <v>Home</v>
      </c>
      <c r="AS913" t="str">
        <f t="shared" si="519"/>
        <v>h</v>
      </c>
      <c r="AT913" t="str">
        <f t="shared" si="520"/>
        <v>Offensive</v>
      </c>
      <c r="BA913" s="6">
        <f t="shared" si="509"/>
        <v>242</v>
      </c>
      <c r="BB913">
        <f t="shared" si="510"/>
        <v>18981</v>
      </c>
      <c r="BC913" t="str">
        <f t="shared" si="511"/>
        <v>Nelson</v>
      </c>
      <c r="BD913" t="str">
        <f t="shared" si="512"/>
        <v>Velodrome</v>
      </c>
      <c r="BE913" t="s">
        <v>238</v>
      </c>
      <c r="BF913" t="s">
        <v>184</v>
      </c>
      <c r="BG913" t="s">
        <v>88</v>
      </c>
      <c r="BI913" cm="1">
        <f t="array" ref="BI913">IFERROR(_xlfn._xlws.FILTER(shifts!A:A,(shifts!B:B=events!AD913)*(shifts!AG:AG&gt;=events!BK913)*(shifts!AH:AH&lt;=events!BL913)),BI912)</f>
        <v>44</v>
      </c>
      <c r="BJ913" s="15">
        <f t="shared" si="513"/>
        <v>1</v>
      </c>
      <c r="BK913">
        <f t="shared" si="521"/>
        <v>883</v>
      </c>
      <c r="BL913">
        <f t="shared" si="522"/>
        <v>882</v>
      </c>
      <c r="BM913" s="15">
        <f>SUMIFS(BJ$2:BJ913,K$2:K913,"=Intermission")+SUMIFS(BJ$2:BJ913,K$2:K913,"=Timeout")</f>
        <v>72</v>
      </c>
      <c r="BN913">
        <f t="shared" si="523"/>
        <v>1152</v>
      </c>
      <c r="BO913" s="19">
        <f t="shared" si="524"/>
        <v>1349</v>
      </c>
      <c r="BP913">
        <f t="shared" si="525"/>
        <v>1344</v>
      </c>
      <c r="BQ913" s="17">
        <f t="shared" si="526"/>
        <v>1350</v>
      </c>
      <c r="BR913" t="str">
        <f t="shared" si="527"/>
        <v>event_team_player_1</v>
      </c>
      <c r="BS913">
        <f>COUNTIFS(S$3:S913,"="&amp;S913,AI$3:AI913,"="&amp;AI913)</f>
        <v>1</v>
      </c>
      <c r="BT913" t="str">
        <f>IFERROR(VLOOKUP(BB913&amp;BU913&amp;X913,game_rosters!U:W,3,FALSE),"")</f>
        <v>P100066</v>
      </c>
      <c r="BU913" t="str">
        <f t="shared" si="528"/>
        <v>Nelson</v>
      </c>
    </row>
    <row r="914" spans="1:73" x14ac:dyDescent="0.2">
      <c r="A914">
        <f t="shared" si="514"/>
        <v>1</v>
      </c>
      <c r="J914" s="44" t="str">
        <f t="shared" si="529"/>
        <v/>
      </c>
      <c r="K914" t="s">
        <v>13</v>
      </c>
      <c r="L914" t="s">
        <v>756</v>
      </c>
      <c r="M914" t="s">
        <v>756</v>
      </c>
      <c r="S914">
        <v>497</v>
      </c>
      <c r="W914" t="str">
        <f t="shared" si="505"/>
        <v>h</v>
      </c>
      <c r="X914">
        <v>79</v>
      </c>
      <c r="Y914" t="b">
        <f>IF(X914&lt;&gt;"",VLOOKUP(X914,game_rosters!$C$43:$E$64,3,FALSE))</f>
        <v>0</v>
      </c>
      <c r="Z914" cm="1">
        <f t="array" ref="Z914">IFERROR(IF(_xlfn._xlws.FILTER(game_rosters!$J:$J,(game_rosters!$G:$G=events!$AN914)*(game_rosters!$J:$J=events!$X914))&gt;0,1,""),"")</f>
        <v>1</v>
      </c>
      <c r="AA914">
        <f t="shared" si="463"/>
        <v>1497</v>
      </c>
      <c r="AB914" t="str">
        <f t="shared" si="464"/>
        <v/>
      </c>
      <c r="AC914">
        <f t="shared" si="502"/>
        <v>1497</v>
      </c>
      <c r="AD914" s="6">
        <v>2</v>
      </c>
      <c r="AE914" t="s">
        <v>745</v>
      </c>
      <c r="AF914" t="s">
        <v>902</v>
      </c>
      <c r="AG914" t="s">
        <v>745</v>
      </c>
      <c r="AH914" t="s">
        <v>903</v>
      </c>
      <c r="AI914" t="s">
        <v>367</v>
      </c>
      <c r="AJ914" t="str">
        <f t="shared" ref="AJ914:AK914" si="542">IF($J914&lt;&gt;"",$J914,IF($AC914=$AC913,AJ913,""))</f>
        <v/>
      </c>
      <c r="AK914" t="str">
        <f t="shared" si="542"/>
        <v/>
      </c>
      <c r="AL914" t="str">
        <f t="shared" si="507"/>
        <v/>
      </c>
      <c r="AN914" t="s">
        <v>861</v>
      </c>
      <c r="AO914" t="str">
        <f t="shared" si="508"/>
        <v>h</v>
      </c>
      <c r="AP914" t="str">
        <f t="shared" si="516"/>
        <v/>
      </c>
      <c r="AQ914" t="str">
        <f t="shared" si="517"/>
        <v/>
      </c>
      <c r="AR914" t="str">
        <f t="shared" si="518"/>
        <v>Home</v>
      </c>
      <c r="AS914" t="str">
        <f t="shared" si="519"/>
        <v>h</v>
      </c>
      <c r="AT914" t="str">
        <f t="shared" si="520"/>
        <v>Offensive</v>
      </c>
      <c r="BA914" s="6">
        <f t="shared" si="509"/>
        <v>242</v>
      </c>
      <c r="BB914">
        <f t="shared" si="510"/>
        <v>18981</v>
      </c>
      <c r="BC914" t="str">
        <f t="shared" si="511"/>
        <v>Nelson</v>
      </c>
      <c r="BD914" t="str">
        <f t="shared" si="512"/>
        <v>Velodrome</v>
      </c>
      <c r="BE914" t="s">
        <v>13</v>
      </c>
      <c r="BF914" t="s">
        <v>756</v>
      </c>
      <c r="BG914" t="s">
        <v>756</v>
      </c>
      <c r="BI914" cm="1">
        <f t="array" ref="BI914">IFERROR(_xlfn._xlws.FILTER(shifts!A:A,(shifts!B:B=events!AD914)*(shifts!AG:AG&gt;=events!BK914)*(shifts!AH:AH&lt;=events!BL914)),BI913)</f>
        <v>44</v>
      </c>
      <c r="BJ914" s="15">
        <f t="shared" si="513"/>
        <v>2</v>
      </c>
      <c r="BK914">
        <f t="shared" si="521"/>
        <v>882</v>
      </c>
      <c r="BL914">
        <f t="shared" si="522"/>
        <v>880</v>
      </c>
      <c r="BM914" s="15">
        <f>SUMIFS(BJ$2:BJ914,K$2:K914,"=Intermission")+SUMIFS(BJ$2:BJ914,K$2:K914,"=Timeout")</f>
        <v>72</v>
      </c>
      <c r="BN914">
        <f t="shared" si="523"/>
        <v>1152</v>
      </c>
      <c r="BO914" s="19">
        <f t="shared" si="524"/>
        <v>1350</v>
      </c>
      <c r="BP914">
        <f t="shared" si="525"/>
        <v>1345</v>
      </c>
      <c r="BQ914" s="17">
        <f t="shared" si="526"/>
        <v>1352</v>
      </c>
      <c r="BR914" t="str">
        <f t="shared" si="527"/>
        <v>event_team_player_1</v>
      </c>
      <c r="BS914">
        <f>COUNTIFS(S$3:S914,"="&amp;S914,AI$3:AI914,"="&amp;AI914)</f>
        <v>1</v>
      </c>
      <c r="BT914" t="str">
        <f>IFERROR(VLOOKUP(BB914&amp;BU914&amp;X914,game_rosters!U:W,3,FALSE),"")</f>
        <v>P100066</v>
      </c>
      <c r="BU914" t="str">
        <f t="shared" si="528"/>
        <v>Nelson</v>
      </c>
    </row>
    <row r="915" spans="1:73" x14ac:dyDescent="0.2">
      <c r="A915">
        <f t="shared" si="514"/>
        <v>1</v>
      </c>
      <c r="J915" s="44" t="str">
        <f t="shared" si="529"/>
        <v/>
      </c>
      <c r="K915" t="s">
        <v>13</v>
      </c>
      <c r="L915" t="s">
        <v>756</v>
      </c>
      <c r="M915" t="s">
        <v>756</v>
      </c>
      <c r="S915">
        <v>497</v>
      </c>
      <c r="W915" t="str">
        <f t="shared" si="505"/>
        <v>h</v>
      </c>
      <c r="X915">
        <v>70</v>
      </c>
      <c r="Y915" t="e">
        <f>IF(X915&lt;&gt;"",VLOOKUP(X915,game_rosters!$C$43:$E$64,3,FALSE))</f>
        <v>#N/A</v>
      </c>
      <c r="Z915" t="str" cm="1">
        <f t="array" ref="Z915">IFERROR(IF(_xlfn._xlws.FILTER(game_rosters!$J:$J,(game_rosters!$G:$G=events!$AN915)*(game_rosters!$J:$J=events!$X915))&gt;0,1,""),"")</f>
        <v/>
      </c>
      <c r="AA915">
        <f t="shared" si="463"/>
        <v>1497</v>
      </c>
      <c r="AB915" t="str">
        <f t="shared" si="464"/>
        <v/>
      </c>
      <c r="AC915">
        <f t="shared" si="502"/>
        <v>1497</v>
      </c>
      <c r="AD915" s="6">
        <v>2</v>
      </c>
      <c r="AE915" t="s">
        <v>745</v>
      </c>
      <c r="AF915" t="s">
        <v>902</v>
      </c>
      <c r="AG915" t="s">
        <v>745</v>
      </c>
      <c r="AH915" t="s">
        <v>903</v>
      </c>
      <c r="AI915" t="s">
        <v>368</v>
      </c>
      <c r="AJ915" t="str">
        <f t="shared" ref="AJ915:AK915" si="543">IF($J915&lt;&gt;"",$J915,IF($AC915=$AC914,AJ914,""))</f>
        <v/>
      </c>
      <c r="AK915" t="str">
        <f t="shared" si="543"/>
        <v/>
      </c>
      <c r="AL915" t="str">
        <f t="shared" si="507"/>
        <v/>
      </c>
      <c r="AN915" t="s">
        <v>861</v>
      </c>
      <c r="AO915" t="str">
        <f t="shared" si="508"/>
        <v>h</v>
      </c>
      <c r="AP915" t="str">
        <f t="shared" si="516"/>
        <v/>
      </c>
      <c r="AQ915" t="str">
        <f t="shared" si="517"/>
        <v/>
      </c>
      <c r="AR915" t="str">
        <f t="shared" si="518"/>
        <v>Home</v>
      </c>
      <c r="AS915" t="str">
        <f t="shared" si="519"/>
        <v>h</v>
      </c>
      <c r="AT915" t="str">
        <f t="shared" si="520"/>
        <v>Defensive</v>
      </c>
      <c r="BA915" s="6">
        <f t="shared" si="509"/>
        <v>242</v>
      </c>
      <c r="BB915">
        <f t="shared" si="510"/>
        <v>18981</v>
      </c>
      <c r="BC915" t="str">
        <f t="shared" si="511"/>
        <v>Nelson</v>
      </c>
      <c r="BD915" t="str">
        <f t="shared" si="512"/>
        <v>Velodrome</v>
      </c>
      <c r="BE915" t="s">
        <v>13</v>
      </c>
      <c r="BF915" t="s">
        <v>756</v>
      </c>
      <c r="BG915" t="s">
        <v>756</v>
      </c>
      <c r="BI915" cm="1">
        <f t="array" ref="BI915">IFERROR(_xlfn._xlws.FILTER(shifts!A:A,(shifts!B:B=events!AD915)*(shifts!AG:AG&gt;=events!BK915)*(shifts!AH:AH&lt;=events!BL915)),BI914)</f>
        <v>44</v>
      </c>
      <c r="BJ915" s="15">
        <f t="shared" si="513"/>
        <v>2</v>
      </c>
      <c r="BK915">
        <f t="shared" si="521"/>
        <v>882</v>
      </c>
      <c r="BL915">
        <f t="shared" si="522"/>
        <v>880</v>
      </c>
      <c r="BM915" s="15">
        <f>SUMIFS(BJ$2:BJ915,K$2:K915,"=Intermission")+SUMIFS(BJ$2:BJ915,K$2:K915,"=Timeout")</f>
        <v>72</v>
      </c>
      <c r="BN915">
        <f t="shared" si="523"/>
        <v>1152</v>
      </c>
      <c r="BO915" s="19">
        <f t="shared" si="524"/>
        <v>1350</v>
      </c>
      <c r="BP915">
        <f t="shared" si="525"/>
        <v>1345</v>
      </c>
      <c r="BQ915" s="17">
        <f t="shared" si="526"/>
        <v>1352</v>
      </c>
      <c r="BR915" t="str">
        <f t="shared" si="527"/>
        <v>opp_team_player_1</v>
      </c>
      <c r="BS915">
        <f>COUNTIFS(S$3:S915,"="&amp;S915,AI$3:AI915,"="&amp;AI915)</f>
        <v>1</v>
      </c>
      <c r="BT915" t="str">
        <f>IFERROR(VLOOKUP(BB915&amp;BU915&amp;X915,game_rosters!U:W,3,FALSE),"")</f>
        <v>P100001</v>
      </c>
      <c r="BU915" t="str">
        <f t="shared" si="528"/>
        <v>Velodrome</v>
      </c>
    </row>
    <row r="916" spans="1:73" x14ac:dyDescent="0.2">
      <c r="A916">
        <f t="shared" si="514"/>
        <v>1</v>
      </c>
      <c r="J916" s="44" t="str">
        <f t="shared" si="529"/>
        <v>o</v>
      </c>
      <c r="K916" t="s">
        <v>238</v>
      </c>
      <c r="L916" t="s">
        <v>174</v>
      </c>
      <c r="M916" t="s">
        <v>85</v>
      </c>
      <c r="S916">
        <v>498</v>
      </c>
      <c r="W916" t="str">
        <f t="shared" si="505"/>
        <v>h</v>
      </c>
      <c r="X916">
        <v>79</v>
      </c>
      <c r="Y916" t="b">
        <f>IF(X916&lt;&gt;"",VLOOKUP(X916,game_rosters!$C$43:$E$64,3,FALSE))</f>
        <v>0</v>
      </c>
      <c r="Z916" cm="1">
        <f t="array" ref="Z916">IFERROR(IF(_xlfn._xlws.FILTER(game_rosters!$J:$J,(game_rosters!$G:$G=events!$AN916)*(game_rosters!$J:$J=events!$X916))&gt;0,1,""),"")</f>
        <v>1</v>
      </c>
      <c r="AA916">
        <f t="shared" si="463"/>
        <v>1498</v>
      </c>
      <c r="AB916" t="str">
        <f t="shared" si="464"/>
        <v/>
      </c>
      <c r="AC916">
        <f t="shared" si="502"/>
        <v>1498</v>
      </c>
      <c r="AD916" s="6">
        <v>2</v>
      </c>
      <c r="AE916" t="s">
        <v>745</v>
      </c>
      <c r="AF916" t="s">
        <v>903</v>
      </c>
      <c r="AG916" t="s">
        <v>745</v>
      </c>
      <c r="AH916" t="s">
        <v>749</v>
      </c>
      <c r="AI916" t="s">
        <v>367</v>
      </c>
      <c r="AJ916" t="str">
        <f t="shared" ref="AJ916:AK916" si="544">IF($J916&lt;&gt;"",$J916,IF($AC916=$AC915,AJ915,""))</f>
        <v>o</v>
      </c>
      <c r="AK916" t="str">
        <f t="shared" si="544"/>
        <v>o</v>
      </c>
      <c r="AL916" t="str">
        <f t="shared" si="507"/>
        <v>o</v>
      </c>
      <c r="AN916" t="s">
        <v>861</v>
      </c>
      <c r="AO916" t="str">
        <f t="shared" si="508"/>
        <v>h</v>
      </c>
      <c r="AP916" t="str">
        <f t="shared" si="516"/>
        <v>o</v>
      </c>
      <c r="AQ916" t="str">
        <f t="shared" si="517"/>
        <v/>
      </c>
      <c r="AR916" t="str">
        <f t="shared" si="518"/>
        <v>Home</v>
      </c>
      <c r="AS916" t="str">
        <f t="shared" si="519"/>
        <v>h</v>
      </c>
      <c r="AT916" t="str">
        <f t="shared" si="520"/>
        <v>Offensive</v>
      </c>
      <c r="BA916" s="6">
        <f t="shared" si="509"/>
        <v>243</v>
      </c>
      <c r="BB916">
        <f t="shared" si="510"/>
        <v>18981</v>
      </c>
      <c r="BC916" t="str">
        <f t="shared" si="511"/>
        <v>Nelson</v>
      </c>
      <c r="BD916" t="str">
        <f t="shared" si="512"/>
        <v>Velodrome</v>
      </c>
      <c r="BE916" t="s">
        <v>238</v>
      </c>
      <c r="BF916" t="s">
        <v>174</v>
      </c>
      <c r="BG916" t="s">
        <v>85</v>
      </c>
      <c r="BI916" cm="1">
        <f t="array" ref="BI916">IFERROR(_xlfn._xlws.FILTER(shifts!A:A,(shifts!B:B=events!AD916)*(shifts!AG:AG&gt;=events!BK916)*(shifts!AH:AH&lt;=events!BL916)),BI915)</f>
        <v>44</v>
      </c>
      <c r="BJ916" s="15">
        <f t="shared" si="513"/>
        <v>1</v>
      </c>
      <c r="BK916">
        <f t="shared" si="521"/>
        <v>880</v>
      </c>
      <c r="BL916">
        <f t="shared" si="522"/>
        <v>879</v>
      </c>
      <c r="BM916" s="15">
        <f>SUMIFS(BJ$2:BJ916,K$2:K916,"=Intermission")+SUMIFS(BJ$2:BJ916,K$2:K916,"=Timeout")</f>
        <v>72</v>
      </c>
      <c r="BN916">
        <f t="shared" si="523"/>
        <v>1152</v>
      </c>
      <c r="BO916" s="19">
        <f t="shared" si="524"/>
        <v>1352</v>
      </c>
      <c r="BP916">
        <f t="shared" si="525"/>
        <v>1347</v>
      </c>
      <c r="BQ916" s="17">
        <f t="shared" si="526"/>
        <v>1353</v>
      </c>
      <c r="BR916" t="str">
        <f t="shared" si="527"/>
        <v>event_team_player_1</v>
      </c>
      <c r="BS916">
        <f>COUNTIFS(S$3:S916,"="&amp;S916,AI$3:AI916,"="&amp;AI916)</f>
        <v>1</v>
      </c>
      <c r="BT916" t="str">
        <f>IFERROR(VLOOKUP(BB916&amp;BU916&amp;X916,game_rosters!U:W,3,FALSE),"")</f>
        <v>P100066</v>
      </c>
      <c r="BU916" t="str">
        <f t="shared" si="528"/>
        <v>Nelson</v>
      </c>
    </row>
    <row r="917" spans="1:73" x14ac:dyDescent="0.2">
      <c r="A917">
        <f t="shared" si="514"/>
        <v>1</v>
      </c>
      <c r="J917" s="44" t="str">
        <f t="shared" si="529"/>
        <v>o</v>
      </c>
      <c r="K917" t="s">
        <v>238</v>
      </c>
      <c r="L917" t="s">
        <v>174</v>
      </c>
      <c r="M917" t="s">
        <v>85</v>
      </c>
      <c r="S917">
        <v>498</v>
      </c>
      <c r="W917" t="str">
        <f t="shared" si="505"/>
        <v>h</v>
      </c>
      <c r="X917">
        <v>70</v>
      </c>
      <c r="Y917" t="e">
        <f>IF(X917&lt;&gt;"",VLOOKUP(X917,game_rosters!$C$43:$E$64,3,FALSE))</f>
        <v>#N/A</v>
      </c>
      <c r="Z917" t="str" cm="1">
        <f t="array" ref="Z917">IFERROR(IF(_xlfn._xlws.FILTER(game_rosters!$J:$J,(game_rosters!$G:$G=events!$AN917)*(game_rosters!$J:$J=events!$X917))&gt;0,1,""),"")</f>
        <v/>
      </c>
      <c r="AA917">
        <f t="shared" si="463"/>
        <v>1498</v>
      </c>
      <c r="AB917" t="str">
        <f t="shared" si="464"/>
        <v/>
      </c>
      <c r="AC917">
        <f t="shared" si="502"/>
        <v>1498</v>
      </c>
      <c r="AD917" s="6">
        <v>2</v>
      </c>
      <c r="AE917" t="s">
        <v>745</v>
      </c>
      <c r="AF917" t="s">
        <v>903</v>
      </c>
      <c r="AG917" t="s">
        <v>745</v>
      </c>
      <c r="AH917" t="s">
        <v>749</v>
      </c>
      <c r="AI917" t="s">
        <v>368</v>
      </c>
      <c r="AJ917" t="str">
        <f t="shared" ref="AJ917:AK917" si="545">IF($J917&lt;&gt;"",$J917,IF($AC917=$AC916,AJ916,""))</f>
        <v>o</v>
      </c>
      <c r="AK917" t="str">
        <f t="shared" si="545"/>
        <v>o</v>
      </c>
      <c r="AL917" t="str">
        <f t="shared" si="507"/>
        <v>o</v>
      </c>
      <c r="AN917" t="s">
        <v>861</v>
      </c>
      <c r="AO917" t="str">
        <f t="shared" si="508"/>
        <v>h</v>
      </c>
      <c r="AP917" t="str">
        <f t="shared" si="516"/>
        <v>o</v>
      </c>
      <c r="AQ917" t="str">
        <f t="shared" si="517"/>
        <v/>
      </c>
      <c r="AR917" t="str">
        <f t="shared" si="518"/>
        <v>Home</v>
      </c>
      <c r="AS917" t="str">
        <f t="shared" si="519"/>
        <v>h</v>
      </c>
      <c r="AT917" t="str">
        <f t="shared" si="520"/>
        <v>Defensive</v>
      </c>
      <c r="BA917" s="6">
        <f t="shared" si="509"/>
        <v>244</v>
      </c>
      <c r="BB917">
        <f t="shared" si="510"/>
        <v>18981</v>
      </c>
      <c r="BC917" t="str">
        <f t="shared" si="511"/>
        <v>Nelson</v>
      </c>
      <c r="BD917" t="str">
        <f t="shared" si="512"/>
        <v>Velodrome</v>
      </c>
      <c r="BE917" t="s">
        <v>238</v>
      </c>
      <c r="BF917" t="s">
        <v>174</v>
      </c>
      <c r="BG917" t="s">
        <v>85</v>
      </c>
      <c r="BI917" cm="1">
        <f t="array" ref="BI917">IFERROR(_xlfn._xlws.FILTER(shifts!A:A,(shifts!B:B=events!AD917)*(shifts!AG:AG&gt;=events!BK917)*(shifts!AH:AH&lt;=events!BL917)),BI916)</f>
        <v>44</v>
      </c>
      <c r="BJ917" s="15">
        <f t="shared" si="513"/>
        <v>1</v>
      </c>
      <c r="BK917">
        <f t="shared" si="521"/>
        <v>880</v>
      </c>
      <c r="BL917">
        <f t="shared" si="522"/>
        <v>879</v>
      </c>
      <c r="BM917" s="15">
        <f>SUMIFS(BJ$2:BJ917,K$2:K917,"=Intermission")+SUMIFS(BJ$2:BJ917,K$2:K917,"=Timeout")</f>
        <v>72</v>
      </c>
      <c r="BN917">
        <f t="shared" si="523"/>
        <v>1152</v>
      </c>
      <c r="BO917" s="19">
        <f t="shared" si="524"/>
        <v>1352</v>
      </c>
      <c r="BP917">
        <f t="shared" si="525"/>
        <v>1347</v>
      </c>
      <c r="BQ917" s="17">
        <f t="shared" si="526"/>
        <v>1353</v>
      </c>
      <c r="BR917" t="str">
        <f t="shared" si="527"/>
        <v>opp_team_player_1</v>
      </c>
      <c r="BS917">
        <f>COUNTIFS(S$3:S917,"="&amp;S917,AI$3:AI917,"="&amp;AI917)</f>
        <v>1</v>
      </c>
      <c r="BT917" t="str">
        <f>IFERROR(VLOOKUP(BB917&amp;BU917&amp;X917,game_rosters!U:W,3,FALSE),"")</f>
        <v>P100001</v>
      </c>
      <c r="BU917" t="str">
        <f t="shared" si="528"/>
        <v>Velodrome</v>
      </c>
    </row>
    <row r="918" spans="1:73" x14ac:dyDescent="0.2">
      <c r="A918">
        <f t="shared" si="514"/>
        <v>1</v>
      </c>
      <c r="J918" s="44" t="str">
        <f t="shared" si="529"/>
        <v>o</v>
      </c>
      <c r="K918" t="s">
        <v>238</v>
      </c>
      <c r="L918" t="s">
        <v>174</v>
      </c>
      <c r="M918" t="s">
        <v>85</v>
      </c>
      <c r="S918">
        <v>498</v>
      </c>
      <c r="W918" t="str">
        <f t="shared" si="505"/>
        <v>h</v>
      </c>
      <c r="X918">
        <v>93</v>
      </c>
      <c r="Y918" t="e">
        <f>IF(X918&lt;&gt;"",VLOOKUP(X918,game_rosters!$C$43:$E$64,3,FALSE))</f>
        <v>#N/A</v>
      </c>
      <c r="Z918" t="str" cm="1">
        <f t="array" ref="Z918">IFERROR(IF(_xlfn._xlws.FILTER(game_rosters!$J:$J,(game_rosters!$G:$G=events!$AN918)*(game_rosters!$J:$J=events!$X918))&gt;0,1,""),"")</f>
        <v/>
      </c>
      <c r="AA918">
        <f t="shared" si="463"/>
        <v>1498</v>
      </c>
      <c r="AB918" t="str">
        <f t="shared" si="464"/>
        <v/>
      </c>
      <c r="AC918">
        <f t="shared" si="502"/>
        <v>1498</v>
      </c>
      <c r="AD918" s="6">
        <v>2</v>
      </c>
      <c r="AE918" t="s">
        <v>745</v>
      </c>
      <c r="AF918" t="s">
        <v>903</v>
      </c>
      <c r="AG918" t="s">
        <v>745</v>
      </c>
      <c r="AH918" t="s">
        <v>749</v>
      </c>
      <c r="AI918" t="s">
        <v>368</v>
      </c>
      <c r="AJ918" t="str">
        <f t="shared" ref="AJ918:AK918" si="546">IF($J918&lt;&gt;"",$J918,IF($AC918=$AC917,AJ917,""))</f>
        <v>o</v>
      </c>
      <c r="AK918" t="str">
        <f t="shared" si="546"/>
        <v>o</v>
      </c>
      <c r="AL918" t="str">
        <f t="shared" si="507"/>
        <v>o</v>
      </c>
      <c r="AN918" t="s">
        <v>861</v>
      </c>
      <c r="AO918" t="str">
        <f t="shared" si="508"/>
        <v>h</v>
      </c>
      <c r="AP918" t="str">
        <f t="shared" si="516"/>
        <v>o</v>
      </c>
      <c r="AQ918" t="str">
        <f t="shared" si="517"/>
        <v/>
      </c>
      <c r="AR918" t="str">
        <f t="shared" si="518"/>
        <v>Home</v>
      </c>
      <c r="AS918" t="str">
        <f t="shared" si="519"/>
        <v>h</v>
      </c>
      <c r="AT918" t="str">
        <f t="shared" si="520"/>
        <v>Defensive</v>
      </c>
      <c r="BA918" s="6">
        <f t="shared" si="509"/>
        <v>245</v>
      </c>
      <c r="BB918">
        <f t="shared" si="510"/>
        <v>18981</v>
      </c>
      <c r="BC918" t="str">
        <f t="shared" si="511"/>
        <v>Nelson</v>
      </c>
      <c r="BD918" t="str">
        <f t="shared" si="512"/>
        <v>Velodrome</v>
      </c>
      <c r="BE918" t="s">
        <v>238</v>
      </c>
      <c r="BF918" t="s">
        <v>174</v>
      </c>
      <c r="BG918" t="s">
        <v>85</v>
      </c>
      <c r="BI918" cm="1">
        <f t="array" ref="BI918">IFERROR(_xlfn._xlws.FILTER(shifts!A:A,(shifts!B:B=events!AD918)*(shifts!AG:AG&gt;=events!BK918)*(shifts!AH:AH&lt;=events!BL918)),BI917)</f>
        <v>44</v>
      </c>
      <c r="BJ918" s="15">
        <f t="shared" si="513"/>
        <v>1</v>
      </c>
      <c r="BK918">
        <f t="shared" si="521"/>
        <v>880</v>
      </c>
      <c r="BL918">
        <f t="shared" si="522"/>
        <v>879</v>
      </c>
      <c r="BM918" s="15">
        <f>SUMIFS(BJ$2:BJ918,K$2:K918,"=Intermission")+SUMIFS(BJ$2:BJ918,K$2:K918,"=Timeout")</f>
        <v>72</v>
      </c>
      <c r="BN918">
        <f t="shared" si="523"/>
        <v>1152</v>
      </c>
      <c r="BO918" s="19">
        <f t="shared" si="524"/>
        <v>1352</v>
      </c>
      <c r="BP918">
        <f t="shared" si="525"/>
        <v>1347</v>
      </c>
      <c r="BQ918" s="17">
        <f t="shared" si="526"/>
        <v>1353</v>
      </c>
      <c r="BR918" t="str">
        <f t="shared" si="527"/>
        <v>opp_team_player_2</v>
      </c>
      <c r="BS918">
        <f>COUNTIFS(S$3:S918,"="&amp;S918,AI$3:AI918,"="&amp;AI918)</f>
        <v>2</v>
      </c>
      <c r="BT918" t="str">
        <f>IFERROR(VLOOKUP(BB918&amp;BU918&amp;X918,game_rosters!U:W,3,FALSE),"")</f>
        <v>P100093</v>
      </c>
      <c r="BU918" t="str">
        <f t="shared" si="528"/>
        <v>Velodrome</v>
      </c>
    </row>
    <row r="919" spans="1:73" x14ac:dyDescent="0.2">
      <c r="A919">
        <f t="shared" si="514"/>
        <v>1</v>
      </c>
      <c r="J919" s="44" t="str">
        <f t="shared" si="529"/>
        <v>o</v>
      </c>
      <c r="K919" t="s">
        <v>238</v>
      </c>
      <c r="L919" t="s">
        <v>174</v>
      </c>
      <c r="M919" t="s">
        <v>85</v>
      </c>
      <c r="S919">
        <v>498</v>
      </c>
      <c r="W919" t="str">
        <f t="shared" si="505"/>
        <v>h</v>
      </c>
      <c r="X919">
        <v>22</v>
      </c>
      <c r="Y919" t="e">
        <f>IF(X919&lt;&gt;"",VLOOKUP(X919,game_rosters!$C$43:$E$64,3,FALSE))</f>
        <v>#N/A</v>
      </c>
      <c r="Z919" t="str" cm="1">
        <f t="array" ref="Z919">IFERROR(IF(_xlfn._xlws.FILTER(game_rosters!$J:$J,(game_rosters!$G:$G=events!$AN919)*(game_rosters!$J:$J=events!$X919))&gt;0,1,""),"")</f>
        <v/>
      </c>
      <c r="AA919">
        <f t="shared" si="463"/>
        <v>1498</v>
      </c>
      <c r="AB919" t="str">
        <f t="shared" si="464"/>
        <v/>
      </c>
      <c r="AC919">
        <f t="shared" si="502"/>
        <v>1498</v>
      </c>
      <c r="AD919" s="6">
        <v>2</v>
      </c>
      <c r="AE919" t="s">
        <v>745</v>
      </c>
      <c r="AF919" t="s">
        <v>903</v>
      </c>
      <c r="AG919" t="s">
        <v>745</v>
      </c>
      <c r="AH919" t="s">
        <v>749</v>
      </c>
      <c r="AI919" t="s">
        <v>368</v>
      </c>
      <c r="AJ919" t="str">
        <f t="shared" ref="AJ919:AK919" si="547">IF($J919&lt;&gt;"",$J919,IF($AC919=$AC918,AJ918,""))</f>
        <v>o</v>
      </c>
      <c r="AK919" t="str">
        <f t="shared" si="547"/>
        <v>o</v>
      </c>
      <c r="AL919" t="str">
        <f t="shared" si="507"/>
        <v>o</v>
      </c>
      <c r="AN919" t="s">
        <v>861</v>
      </c>
      <c r="AO919" t="str">
        <f t="shared" si="508"/>
        <v>h</v>
      </c>
      <c r="AP919" t="str">
        <f t="shared" si="516"/>
        <v>o</v>
      </c>
      <c r="AQ919" t="str">
        <f t="shared" si="517"/>
        <v/>
      </c>
      <c r="AR919" t="str">
        <f t="shared" si="518"/>
        <v>Home</v>
      </c>
      <c r="AS919" t="str">
        <f t="shared" si="519"/>
        <v>h</v>
      </c>
      <c r="AT919" t="str">
        <f t="shared" si="520"/>
        <v>Defensive</v>
      </c>
      <c r="BA919" s="6">
        <f t="shared" si="509"/>
        <v>246</v>
      </c>
      <c r="BB919">
        <f t="shared" si="510"/>
        <v>18981</v>
      </c>
      <c r="BC919" t="str">
        <f t="shared" si="511"/>
        <v>Nelson</v>
      </c>
      <c r="BD919" t="str">
        <f t="shared" si="512"/>
        <v>Velodrome</v>
      </c>
      <c r="BE919" t="s">
        <v>238</v>
      </c>
      <c r="BF919" t="s">
        <v>174</v>
      </c>
      <c r="BG919" t="s">
        <v>85</v>
      </c>
      <c r="BI919" cm="1">
        <f t="array" ref="BI919">IFERROR(_xlfn._xlws.FILTER(shifts!A:A,(shifts!B:B=events!AD919)*(shifts!AG:AG&gt;=events!BK919)*(shifts!AH:AH&lt;=events!BL919)),BI918)</f>
        <v>44</v>
      </c>
      <c r="BJ919" s="15">
        <f t="shared" si="513"/>
        <v>1</v>
      </c>
      <c r="BK919">
        <f t="shared" si="521"/>
        <v>880</v>
      </c>
      <c r="BL919">
        <f t="shared" si="522"/>
        <v>879</v>
      </c>
      <c r="BM919" s="15">
        <f>SUMIFS(BJ$2:BJ919,K$2:K919,"=Intermission")+SUMIFS(BJ$2:BJ919,K$2:K919,"=Timeout")</f>
        <v>72</v>
      </c>
      <c r="BN919">
        <f t="shared" si="523"/>
        <v>1152</v>
      </c>
      <c r="BO919" s="19">
        <f t="shared" si="524"/>
        <v>1352</v>
      </c>
      <c r="BP919">
        <f t="shared" si="525"/>
        <v>1347</v>
      </c>
      <c r="BQ919" s="17">
        <f t="shared" si="526"/>
        <v>1353</v>
      </c>
      <c r="BR919" t="str">
        <f t="shared" si="527"/>
        <v>opp_team_player_3</v>
      </c>
      <c r="BS919">
        <f>COUNTIFS(S$3:S919,"="&amp;S919,AI$3:AI919,"="&amp;AI919)</f>
        <v>3</v>
      </c>
      <c r="BT919" t="str">
        <f>IFERROR(VLOOKUP(BB919&amp;BU919&amp;X919,game_rosters!U:W,3,FALSE),"")</f>
        <v>P100108</v>
      </c>
      <c r="BU919" t="str">
        <f t="shared" si="528"/>
        <v>Velodrome</v>
      </c>
    </row>
    <row r="920" spans="1:73" x14ac:dyDescent="0.2">
      <c r="A920">
        <f t="shared" si="514"/>
        <v>1</v>
      </c>
      <c r="J920" s="44" t="str">
        <f t="shared" si="529"/>
        <v/>
      </c>
      <c r="K920" t="s">
        <v>7</v>
      </c>
      <c r="L920" t="s">
        <v>172</v>
      </c>
      <c r="M920" t="s">
        <v>67</v>
      </c>
      <c r="S920">
        <v>499</v>
      </c>
      <c r="W920" t="str">
        <f t="shared" si="505"/>
        <v>h</v>
      </c>
      <c r="X920">
        <v>79</v>
      </c>
      <c r="Y920" t="b">
        <f>IF(X920&lt;&gt;"",VLOOKUP(X920,game_rosters!$C$43:$E$64,3,FALSE))</f>
        <v>0</v>
      </c>
      <c r="Z920" cm="1">
        <f t="array" ref="Z920">IFERROR(IF(_xlfn._xlws.FILTER(game_rosters!$J:$J,(game_rosters!$G:$G=events!$AN920)*(game_rosters!$J:$J=events!$X920))&gt;0,1,""),"")</f>
        <v>1</v>
      </c>
      <c r="AA920">
        <f t="shared" si="463"/>
        <v>1499</v>
      </c>
      <c r="AB920" t="str">
        <f t="shared" si="464"/>
        <v/>
      </c>
      <c r="AC920">
        <f t="shared" si="502"/>
        <v>1499</v>
      </c>
      <c r="AD920" s="6">
        <v>2</v>
      </c>
      <c r="AE920" t="s">
        <v>745</v>
      </c>
      <c r="AF920" t="s">
        <v>749</v>
      </c>
      <c r="AG920" t="s">
        <v>756</v>
      </c>
      <c r="AH920" t="s">
        <v>756</v>
      </c>
      <c r="AI920" t="s">
        <v>367</v>
      </c>
      <c r="AJ920" t="str">
        <f t="shared" ref="AJ920:AK920" si="548">IF($J920&lt;&gt;"",$J920,IF($AC920=$AC919,AJ919,""))</f>
        <v/>
      </c>
      <c r="AK920" t="str">
        <f t="shared" si="548"/>
        <v/>
      </c>
      <c r="AL920" t="str">
        <f t="shared" si="507"/>
        <v/>
      </c>
      <c r="AN920" t="s">
        <v>861</v>
      </c>
      <c r="AO920" t="str">
        <f t="shared" si="508"/>
        <v>h</v>
      </c>
      <c r="AP920" t="str">
        <f t="shared" si="516"/>
        <v/>
      </c>
      <c r="AQ920" t="str">
        <f t="shared" si="517"/>
        <v/>
      </c>
      <c r="AR920" t="str">
        <f t="shared" si="518"/>
        <v>Home</v>
      </c>
      <c r="AS920" t="str">
        <f t="shared" si="519"/>
        <v>h</v>
      </c>
      <c r="AT920" t="str">
        <f t="shared" si="520"/>
        <v>Offensive</v>
      </c>
      <c r="BA920" s="6">
        <f t="shared" si="509"/>
        <v>246</v>
      </c>
      <c r="BB920">
        <f t="shared" si="510"/>
        <v>18981</v>
      </c>
      <c r="BC920" t="str">
        <f t="shared" si="511"/>
        <v>Nelson</v>
      </c>
      <c r="BD920" t="str">
        <f t="shared" si="512"/>
        <v>Velodrome</v>
      </c>
      <c r="BE920" t="s">
        <v>7</v>
      </c>
      <c r="BF920" t="s">
        <v>172</v>
      </c>
      <c r="BG920" t="s">
        <v>67</v>
      </c>
      <c r="BI920" cm="1">
        <f t="array" ref="BI920">IFERROR(_xlfn._xlws.FILTER(shifts!A:A,(shifts!B:B=events!AD920)*(shifts!AG:AG&gt;=events!BK920)*(shifts!AH:AH&lt;=events!BL920)),BI919)</f>
        <v>44</v>
      </c>
      <c r="BJ920" s="15">
        <f t="shared" si="513"/>
        <v>0</v>
      </c>
      <c r="BK920">
        <f t="shared" si="521"/>
        <v>879</v>
      </c>
      <c r="BL920">
        <f t="shared" si="522"/>
        <v>879</v>
      </c>
      <c r="BM920" s="15">
        <f>SUMIFS(BJ$2:BJ920,K$2:K920,"=Intermission")+SUMIFS(BJ$2:BJ920,K$2:K920,"=Timeout")</f>
        <v>72</v>
      </c>
      <c r="BN920">
        <f t="shared" si="523"/>
        <v>1152</v>
      </c>
      <c r="BO920" s="19">
        <f t="shared" si="524"/>
        <v>1353</v>
      </c>
      <c r="BP920">
        <f t="shared" si="525"/>
        <v>1348</v>
      </c>
      <c r="BQ920" s="17">
        <f t="shared" si="526"/>
        <v>1353</v>
      </c>
      <c r="BR920" t="str">
        <f t="shared" si="527"/>
        <v>event_team_player_1</v>
      </c>
      <c r="BS920">
        <f>COUNTIFS(S$3:S920,"="&amp;S920,AI$3:AI920,"="&amp;AI920)</f>
        <v>1</v>
      </c>
      <c r="BT920" t="str">
        <f>IFERROR(VLOOKUP(BB920&amp;BU920&amp;X920,game_rosters!U:W,3,FALSE),"")</f>
        <v>P100066</v>
      </c>
      <c r="BU920" t="str">
        <f t="shared" si="528"/>
        <v>Nelson</v>
      </c>
    </row>
    <row r="921" spans="1:73" x14ac:dyDescent="0.2">
      <c r="A921">
        <f t="shared" si="514"/>
        <v>1</v>
      </c>
      <c r="J921" s="44" t="str">
        <f t="shared" si="529"/>
        <v/>
      </c>
      <c r="K921" t="s">
        <v>7</v>
      </c>
      <c r="L921" t="s">
        <v>172</v>
      </c>
      <c r="M921" t="s">
        <v>67</v>
      </c>
      <c r="S921">
        <v>499</v>
      </c>
      <c r="W921" t="str">
        <f t="shared" si="505"/>
        <v>h</v>
      </c>
      <c r="X921">
        <v>44</v>
      </c>
      <c r="Y921" t="b">
        <f>IF(X921&lt;&gt;"",VLOOKUP(X921,game_rosters!$C$43:$E$64,3,FALSE))</f>
        <v>0</v>
      </c>
      <c r="Z921" cm="1">
        <f t="array" ref="Z921">IFERROR(IF(_xlfn._xlws.FILTER(game_rosters!$J:$J,(game_rosters!$G:$G=events!$AN921)*(game_rosters!$J:$J=events!$X921))&gt;0,1,""),"")</f>
        <v>1</v>
      </c>
      <c r="AA921">
        <f t="shared" si="463"/>
        <v>1499</v>
      </c>
      <c r="AB921" t="str">
        <f t="shared" si="464"/>
        <v/>
      </c>
      <c r="AC921">
        <f t="shared" si="502"/>
        <v>1499</v>
      </c>
      <c r="AD921" s="6">
        <v>2</v>
      </c>
      <c r="AE921" t="s">
        <v>745</v>
      </c>
      <c r="AF921" t="s">
        <v>749</v>
      </c>
      <c r="AG921" t="s">
        <v>756</v>
      </c>
      <c r="AH921" t="s">
        <v>756</v>
      </c>
      <c r="AI921" t="s">
        <v>367</v>
      </c>
      <c r="AJ921" t="str">
        <f t="shared" ref="AJ921:AK921" si="549">IF($J921&lt;&gt;"",$J921,IF($AC921=$AC920,AJ920,""))</f>
        <v/>
      </c>
      <c r="AK921" t="str">
        <f t="shared" si="549"/>
        <v/>
      </c>
      <c r="AL921" t="str">
        <f t="shared" si="507"/>
        <v/>
      </c>
      <c r="AN921" t="s">
        <v>861</v>
      </c>
      <c r="AO921" t="str">
        <f t="shared" si="508"/>
        <v>h</v>
      </c>
      <c r="AP921" t="str">
        <f t="shared" si="516"/>
        <v/>
      </c>
      <c r="AQ921" t="str">
        <f t="shared" si="517"/>
        <v/>
      </c>
      <c r="AR921" t="str">
        <f t="shared" si="518"/>
        <v>Home</v>
      </c>
      <c r="AS921" t="str">
        <f t="shared" si="519"/>
        <v>h</v>
      </c>
      <c r="AT921" t="str">
        <f t="shared" si="520"/>
        <v>Offensive</v>
      </c>
      <c r="BA921" s="6">
        <f t="shared" si="509"/>
        <v>246</v>
      </c>
      <c r="BB921">
        <f t="shared" si="510"/>
        <v>18981</v>
      </c>
      <c r="BC921" t="str">
        <f t="shared" si="511"/>
        <v>Nelson</v>
      </c>
      <c r="BD921" t="str">
        <f t="shared" si="512"/>
        <v>Velodrome</v>
      </c>
      <c r="BE921" t="s">
        <v>7</v>
      </c>
      <c r="BF921" t="s">
        <v>172</v>
      </c>
      <c r="BG921" t="s">
        <v>67</v>
      </c>
      <c r="BI921" cm="1">
        <f t="array" ref="BI921">IFERROR(_xlfn._xlws.FILTER(shifts!A:A,(shifts!B:B=events!AD921)*(shifts!AG:AG&gt;=events!BK921)*(shifts!AH:AH&lt;=events!BL921)),BI920)</f>
        <v>44</v>
      </c>
      <c r="BJ921" s="15">
        <f t="shared" si="513"/>
        <v>0</v>
      </c>
      <c r="BK921">
        <f t="shared" si="521"/>
        <v>879</v>
      </c>
      <c r="BL921">
        <f t="shared" si="522"/>
        <v>879</v>
      </c>
      <c r="BM921" s="15">
        <f>SUMIFS(BJ$2:BJ921,K$2:K921,"=Intermission")+SUMIFS(BJ$2:BJ921,K$2:K921,"=Timeout")</f>
        <v>72</v>
      </c>
      <c r="BN921">
        <f t="shared" si="523"/>
        <v>1152</v>
      </c>
      <c r="BO921" s="19">
        <f t="shared" si="524"/>
        <v>1353</v>
      </c>
      <c r="BP921">
        <f t="shared" si="525"/>
        <v>1348</v>
      </c>
      <c r="BQ921" s="17">
        <f t="shared" si="526"/>
        <v>1353</v>
      </c>
      <c r="BR921" t="str">
        <f t="shared" si="527"/>
        <v>event_team_player_2</v>
      </c>
      <c r="BS921">
        <f>COUNTIFS(S$3:S921,"="&amp;S921,AI$3:AI921,"="&amp;AI921)</f>
        <v>2</v>
      </c>
      <c r="BT921" t="str">
        <f>IFERROR(VLOOKUP(BB921&amp;BU921&amp;X921,game_rosters!U:W,3,FALSE),"")</f>
        <v>P100079</v>
      </c>
      <c r="BU921" t="str">
        <f t="shared" si="528"/>
        <v>Nelson</v>
      </c>
    </row>
    <row r="922" spans="1:73" x14ac:dyDescent="0.2">
      <c r="A922">
        <f t="shared" si="514"/>
        <v>1</v>
      </c>
      <c r="J922" s="44" t="str">
        <f t="shared" si="529"/>
        <v/>
      </c>
      <c r="K922" t="s">
        <v>13</v>
      </c>
      <c r="L922" t="s">
        <v>756</v>
      </c>
      <c r="M922" t="s">
        <v>756</v>
      </c>
      <c r="S922">
        <v>500</v>
      </c>
      <c r="W922" t="str">
        <f t="shared" si="505"/>
        <v>h</v>
      </c>
      <c r="X922">
        <v>44</v>
      </c>
      <c r="Y922" t="b">
        <f>IF(X922&lt;&gt;"",VLOOKUP(X922,game_rosters!$C$43:$E$64,3,FALSE))</f>
        <v>0</v>
      </c>
      <c r="Z922" cm="1">
        <f t="array" ref="Z922">IFERROR(IF(_xlfn._xlws.FILTER(game_rosters!$J:$J,(game_rosters!$G:$G=events!$AN922)*(game_rosters!$J:$J=events!$X922))&gt;0,1,""),"")</f>
        <v>1</v>
      </c>
      <c r="AA922">
        <f t="shared" si="463"/>
        <v>1500</v>
      </c>
      <c r="AB922" t="str">
        <f t="shared" si="464"/>
        <v/>
      </c>
      <c r="AC922">
        <f t="shared" si="502"/>
        <v>1500</v>
      </c>
      <c r="AD922" s="6">
        <v>2</v>
      </c>
      <c r="AE922" t="s">
        <v>745</v>
      </c>
      <c r="AF922" t="s">
        <v>865</v>
      </c>
      <c r="AG922" t="s">
        <v>745</v>
      </c>
      <c r="AH922" t="s">
        <v>928</v>
      </c>
      <c r="AI922" t="s">
        <v>367</v>
      </c>
      <c r="AJ922" t="str">
        <f t="shared" ref="AJ922:AK922" si="550">IF($J922&lt;&gt;"",$J922,IF($AC922=$AC921,AJ921,""))</f>
        <v/>
      </c>
      <c r="AK922" t="str">
        <f t="shared" si="550"/>
        <v/>
      </c>
      <c r="AL922" t="str">
        <f t="shared" si="507"/>
        <v/>
      </c>
      <c r="AN922" t="s">
        <v>861</v>
      </c>
      <c r="AO922" t="str">
        <f t="shared" si="508"/>
        <v>h</v>
      </c>
      <c r="AP922" t="str">
        <f t="shared" si="516"/>
        <v/>
      </c>
      <c r="AQ922" t="str">
        <f t="shared" si="517"/>
        <v/>
      </c>
      <c r="AR922" t="str">
        <f t="shared" si="518"/>
        <v>Home</v>
      </c>
      <c r="AS922" t="str">
        <f t="shared" si="519"/>
        <v>h</v>
      </c>
      <c r="AT922" t="str">
        <f t="shared" si="520"/>
        <v>Offensive</v>
      </c>
      <c r="BA922" s="6">
        <f t="shared" si="509"/>
        <v>246</v>
      </c>
      <c r="BB922">
        <f t="shared" si="510"/>
        <v>18981</v>
      </c>
      <c r="BC922" t="str">
        <f t="shared" si="511"/>
        <v>Nelson</v>
      </c>
      <c r="BD922" t="str">
        <f t="shared" si="512"/>
        <v>Velodrome</v>
      </c>
      <c r="BE922" t="s">
        <v>13</v>
      </c>
      <c r="BF922" t="s">
        <v>756</v>
      </c>
      <c r="BG922" t="s">
        <v>756</v>
      </c>
      <c r="BI922" cm="1">
        <f t="array" ref="BI922">IFERROR(_xlfn._xlws.FILTER(shifts!A:A,(shifts!B:B=events!AD922)*(shifts!AG:AG&gt;=events!BK922)*(shifts!AH:AH&lt;=events!BL922)),BI921)</f>
        <v>44</v>
      </c>
      <c r="BJ922" s="15">
        <f t="shared" si="513"/>
        <v>1</v>
      </c>
      <c r="BK922">
        <f t="shared" si="521"/>
        <v>878</v>
      </c>
      <c r="BL922">
        <f t="shared" si="522"/>
        <v>877</v>
      </c>
      <c r="BM922" s="15">
        <f>SUMIFS(BJ$2:BJ922,K$2:K922,"=Intermission")+SUMIFS(BJ$2:BJ922,K$2:K922,"=Timeout")</f>
        <v>72</v>
      </c>
      <c r="BN922">
        <f t="shared" si="523"/>
        <v>1152</v>
      </c>
      <c r="BO922" s="19">
        <f t="shared" si="524"/>
        <v>1354</v>
      </c>
      <c r="BP922">
        <f t="shared" si="525"/>
        <v>1349</v>
      </c>
      <c r="BQ922" s="17">
        <f t="shared" si="526"/>
        <v>1355</v>
      </c>
      <c r="BR922" t="str">
        <f t="shared" si="527"/>
        <v>event_team_player_1</v>
      </c>
      <c r="BS922">
        <f>COUNTIFS(S$3:S922,"="&amp;S922,AI$3:AI922,"="&amp;AI922)</f>
        <v>1</v>
      </c>
      <c r="BT922" t="str">
        <f>IFERROR(VLOOKUP(BB922&amp;BU922&amp;X922,game_rosters!U:W,3,FALSE),"")</f>
        <v>P100079</v>
      </c>
      <c r="BU922" t="str">
        <f t="shared" si="528"/>
        <v>Nelson</v>
      </c>
    </row>
    <row r="923" spans="1:73" x14ac:dyDescent="0.2">
      <c r="A923">
        <f t="shared" si="514"/>
        <v>1</v>
      </c>
      <c r="J923" s="44" t="str">
        <f t="shared" si="529"/>
        <v>o</v>
      </c>
      <c r="K923" t="s">
        <v>6</v>
      </c>
      <c r="L923" t="s">
        <v>205</v>
      </c>
      <c r="M923" t="s">
        <v>51</v>
      </c>
      <c r="S923">
        <v>501</v>
      </c>
      <c r="W923" t="str">
        <f t="shared" si="505"/>
        <v>h</v>
      </c>
      <c r="X923">
        <v>44</v>
      </c>
      <c r="Y923" t="b">
        <f>IF(X923&lt;&gt;"",VLOOKUP(X923,game_rosters!$C$43:$E$64,3,FALSE))</f>
        <v>0</v>
      </c>
      <c r="Z923" cm="1">
        <f t="array" ref="Z923">IFERROR(IF(_xlfn._xlws.FILTER(game_rosters!$J:$J,(game_rosters!$G:$G=events!$AN923)*(game_rosters!$J:$J=events!$X923))&gt;0,1,""),"")</f>
        <v>1</v>
      </c>
      <c r="AA923">
        <f t="shared" si="463"/>
        <v>1501</v>
      </c>
      <c r="AB923" t="str">
        <f t="shared" si="464"/>
        <v/>
      </c>
      <c r="AC923">
        <f t="shared" si="502"/>
        <v>1501</v>
      </c>
      <c r="AD923" s="6">
        <v>2</v>
      </c>
      <c r="AE923" t="s">
        <v>745</v>
      </c>
      <c r="AF923" t="s">
        <v>928</v>
      </c>
      <c r="AG923" t="s">
        <v>756</v>
      </c>
      <c r="AH923" t="s">
        <v>756</v>
      </c>
      <c r="AI923" t="s">
        <v>367</v>
      </c>
      <c r="AJ923" t="str">
        <f t="shared" ref="AJ923:AK923" si="551">IF($J923&lt;&gt;"",$J923,IF($AC923=$AC922,AJ922,""))</f>
        <v>o</v>
      </c>
      <c r="AK923" t="str">
        <f t="shared" si="551"/>
        <v>o</v>
      </c>
      <c r="AL923" t="str">
        <f t="shared" si="507"/>
        <v>o</v>
      </c>
      <c r="AN923" t="s">
        <v>861</v>
      </c>
      <c r="AO923" t="str">
        <f t="shared" si="508"/>
        <v>h</v>
      </c>
      <c r="AP923" t="str">
        <f t="shared" si="516"/>
        <v>o</v>
      </c>
      <c r="AQ923" t="str">
        <f t="shared" si="517"/>
        <v/>
      </c>
      <c r="AR923" t="str">
        <f t="shared" si="518"/>
        <v>Home</v>
      </c>
      <c r="AS923" t="str">
        <f t="shared" si="519"/>
        <v>h</v>
      </c>
      <c r="AT923" t="str">
        <f t="shared" si="520"/>
        <v>Offensive</v>
      </c>
      <c r="BA923" s="6">
        <f t="shared" si="509"/>
        <v>246</v>
      </c>
      <c r="BB923">
        <f t="shared" si="510"/>
        <v>18981</v>
      </c>
      <c r="BC923" t="str">
        <f t="shared" si="511"/>
        <v>Nelson</v>
      </c>
      <c r="BD923" t="str">
        <f t="shared" si="512"/>
        <v>Velodrome</v>
      </c>
      <c r="BE923" t="s">
        <v>6</v>
      </c>
      <c r="BF923" t="s">
        <v>205</v>
      </c>
      <c r="BG923" t="s">
        <v>51</v>
      </c>
      <c r="BI923" cm="1">
        <f t="array" ref="BI923">IFERROR(_xlfn._xlws.FILTER(shifts!A:A,(shifts!B:B=events!AD923)*(shifts!AG:AG&gt;=events!BK923)*(shifts!AH:AH&lt;=events!BL923)),BI922)</f>
        <v>44</v>
      </c>
      <c r="BJ923" s="15">
        <f t="shared" si="513"/>
        <v>0</v>
      </c>
      <c r="BK923">
        <f t="shared" si="521"/>
        <v>877</v>
      </c>
      <c r="BL923">
        <f t="shared" si="522"/>
        <v>877</v>
      </c>
      <c r="BM923" s="15">
        <f>SUMIFS(BJ$2:BJ923,K$2:K923,"=Intermission")+SUMIFS(BJ$2:BJ923,K$2:K923,"=Timeout")</f>
        <v>72</v>
      </c>
      <c r="BN923">
        <f t="shared" si="523"/>
        <v>1152</v>
      </c>
      <c r="BO923" s="19">
        <f t="shared" si="524"/>
        <v>1355</v>
      </c>
      <c r="BP923">
        <f t="shared" si="525"/>
        <v>1350</v>
      </c>
      <c r="BQ923" s="17">
        <f t="shared" si="526"/>
        <v>1355</v>
      </c>
      <c r="BR923" t="str">
        <f t="shared" si="527"/>
        <v>event_team_player_1</v>
      </c>
      <c r="BS923">
        <f>COUNTIFS(S$3:S923,"="&amp;S923,AI$3:AI923,"="&amp;AI923)</f>
        <v>1</v>
      </c>
      <c r="BT923" t="str">
        <f>IFERROR(VLOOKUP(BB923&amp;BU923&amp;X923,game_rosters!U:W,3,FALSE),"")</f>
        <v>P100079</v>
      </c>
      <c r="BU923" t="str">
        <f t="shared" si="528"/>
        <v>Nelson</v>
      </c>
    </row>
    <row r="924" spans="1:73" x14ac:dyDescent="0.2">
      <c r="A924">
        <f t="shared" si="514"/>
        <v>1</v>
      </c>
      <c r="J924" s="44" t="str">
        <f t="shared" si="529"/>
        <v>o</v>
      </c>
      <c r="K924" t="s">
        <v>6</v>
      </c>
      <c r="L924" t="s">
        <v>205</v>
      </c>
      <c r="M924" t="s">
        <v>51</v>
      </c>
      <c r="S924">
        <v>501</v>
      </c>
      <c r="W924" t="str">
        <f t="shared" si="505"/>
        <v>h</v>
      </c>
      <c r="X924">
        <v>79</v>
      </c>
      <c r="Y924" t="b">
        <f>IF(X924&lt;&gt;"",VLOOKUP(X924,game_rosters!$C$43:$E$64,3,FALSE))</f>
        <v>0</v>
      </c>
      <c r="Z924" cm="1">
        <f t="array" ref="Z924">IFERROR(IF(_xlfn._xlws.FILTER(game_rosters!$J:$J,(game_rosters!$G:$G=events!$AN924)*(game_rosters!$J:$J=events!$X924))&gt;0,1,""),"")</f>
        <v>1</v>
      </c>
      <c r="AA924">
        <f t="shared" si="463"/>
        <v>1501</v>
      </c>
      <c r="AB924" t="str">
        <f t="shared" si="464"/>
        <v/>
      </c>
      <c r="AC924">
        <f t="shared" si="502"/>
        <v>1501</v>
      </c>
      <c r="AD924" s="6">
        <v>2</v>
      </c>
      <c r="AE924" t="s">
        <v>745</v>
      </c>
      <c r="AF924" t="s">
        <v>928</v>
      </c>
      <c r="AG924" t="s">
        <v>756</v>
      </c>
      <c r="AH924" t="s">
        <v>756</v>
      </c>
      <c r="AI924" t="s">
        <v>367</v>
      </c>
      <c r="AJ924" t="str">
        <f t="shared" ref="AJ924:AK924" si="552">IF($J924&lt;&gt;"",$J924,IF($AC924=$AC923,AJ923,""))</f>
        <v>o</v>
      </c>
      <c r="AK924" t="str">
        <f t="shared" si="552"/>
        <v>o</v>
      </c>
      <c r="AL924" t="str">
        <f t="shared" si="507"/>
        <v>o</v>
      </c>
      <c r="AN924" t="s">
        <v>861</v>
      </c>
      <c r="AO924" t="str">
        <f t="shared" si="508"/>
        <v>h</v>
      </c>
      <c r="AP924" t="str">
        <f t="shared" si="516"/>
        <v>o</v>
      </c>
      <c r="AQ924" t="str">
        <f t="shared" si="517"/>
        <v/>
      </c>
      <c r="AR924" t="str">
        <f t="shared" si="518"/>
        <v>Home</v>
      </c>
      <c r="AS924" t="str">
        <f t="shared" si="519"/>
        <v>h</v>
      </c>
      <c r="AT924" t="str">
        <f t="shared" si="520"/>
        <v>Offensive</v>
      </c>
      <c r="BA924" s="6">
        <f t="shared" si="509"/>
        <v>246</v>
      </c>
      <c r="BB924">
        <f t="shared" si="510"/>
        <v>18981</v>
      </c>
      <c r="BC924" t="str">
        <f t="shared" si="511"/>
        <v>Nelson</v>
      </c>
      <c r="BD924" t="str">
        <f t="shared" si="512"/>
        <v>Velodrome</v>
      </c>
      <c r="BE924" t="s">
        <v>6</v>
      </c>
      <c r="BF924" t="s">
        <v>205</v>
      </c>
      <c r="BG924" t="s">
        <v>51</v>
      </c>
      <c r="BI924" cm="1">
        <f t="array" ref="BI924">IFERROR(_xlfn._xlws.FILTER(shifts!A:A,(shifts!B:B=events!AD924)*(shifts!AG:AG&gt;=events!BK924)*(shifts!AH:AH&lt;=events!BL924)),BI923)</f>
        <v>44</v>
      </c>
      <c r="BJ924" s="15">
        <f t="shared" si="513"/>
        <v>0</v>
      </c>
      <c r="BK924">
        <f t="shared" si="521"/>
        <v>877</v>
      </c>
      <c r="BL924">
        <f t="shared" si="522"/>
        <v>877</v>
      </c>
      <c r="BM924" s="15">
        <f>SUMIFS(BJ$2:BJ924,K$2:K924,"=Intermission")+SUMIFS(BJ$2:BJ924,K$2:K924,"=Timeout")</f>
        <v>72</v>
      </c>
      <c r="BN924">
        <f t="shared" si="523"/>
        <v>1152</v>
      </c>
      <c r="BO924" s="19">
        <f t="shared" si="524"/>
        <v>1355</v>
      </c>
      <c r="BP924">
        <f t="shared" si="525"/>
        <v>1350</v>
      </c>
      <c r="BQ924" s="17">
        <f t="shared" si="526"/>
        <v>1355</v>
      </c>
      <c r="BR924" t="str">
        <f t="shared" si="527"/>
        <v>event_team_player_2</v>
      </c>
      <c r="BS924">
        <f>COUNTIFS(S$3:S924,"="&amp;S924,AI$3:AI924,"="&amp;AI924)</f>
        <v>2</v>
      </c>
      <c r="BT924" t="str">
        <f>IFERROR(VLOOKUP(BB924&amp;BU924&amp;X924,game_rosters!U:W,3,FALSE),"")</f>
        <v>P100066</v>
      </c>
      <c r="BU924" t="str">
        <f t="shared" si="528"/>
        <v>Nelson</v>
      </c>
    </row>
    <row r="925" spans="1:73" x14ac:dyDescent="0.2">
      <c r="A925">
        <f t="shared" si="514"/>
        <v>1</v>
      </c>
      <c r="J925" s="44" t="str">
        <f t="shared" si="529"/>
        <v>o</v>
      </c>
      <c r="K925" t="s">
        <v>6</v>
      </c>
      <c r="L925" t="s">
        <v>205</v>
      </c>
      <c r="M925" t="s">
        <v>51</v>
      </c>
      <c r="S925">
        <v>501</v>
      </c>
      <c r="W925" t="str">
        <f t="shared" si="505"/>
        <v>h</v>
      </c>
      <c r="X925">
        <v>39</v>
      </c>
      <c r="Y925" t="e">
        <f>IF(X925&lt;&gt;"",VLOOKUP(X925,game_rosters!$C$43:$E$64,3,FALSE))</f>
        <v>#N/A</v>
      </c>
      <c r="Z925" t="str" cm="1">
        <f t="array" ref="Z925">IFERROR(IF(_xlfn._xlws.FILTER(game_rosters!$J:$J,(game_rosters!$G:$G=events!$AN925)*(game_rosters!$J:$J=events!$X925))&gt;0,1,""),"")</f>
        <v/>
      </c>
      <c r="AA925">
        <f t="shared" ref="AA925:AA988" si="553">S925+1000</f>
        <v>1501</v>
      </c>
      <c r="AB925" t="str">
        <f t="shared" ref="AB925:AB988" si="554">IF(T925&lt;&gt;"",9000+T925,"")</f>
        <v/>
      </c>
      <c r="AC925">
        <f t="shared" si="502"/>
        <v>1501</v>
      </c>
      <c r="AD925" s="6">
        <v>2</v>
      </c>
      <c r="AE925" t="s">
        <v>745</v>
      </c>
      <c r="AF925" t="s">
        <v>928</v>
      </c>
      <c r="AG925" t="s">
        <v>756</v>
      </c>
      <c r="AH925" t="s">
        <v>756</v>
      </c>
      <c r="AI925" t="s">
        <v>368</v>
      </c>
      <c r="AJ925" t="str">
        <f t="shared" ref="AJ925:AK925" si="555">IF($J925&lt;&gt;"",$J925,IF($AC925=$AC924,AJ924,""))</f>
        <v>o</v>
      </c>
      <c r="AK925" t="str">
        <f t="shared" si="555"/>
        <v>o</v>
      </c>
      <c r="AL925" t="str">
        <f t="shared" si="507"/>
        <v>o</v>
      </c>
      <c r="AN925" t="s">
        <v>861</v>
      </c>
      <c r="AO925" t="str">
        <f t="shared" si="508"/>
        <v>h</v>
      </c>
      <c r="AP925" t="str">
        <f t="shared" si="516"/>
        <v>o</v>
      </c>
      <c r="AQ925" t="str">
        <f t="shared" si="517"/>
        <v/>
      </c>
      <c r="AR925" t="str">
        <f t="shared" si="518"/>
        <v>Home</v>
      </c>
      <c r="AS925" t="str">
        <f t="shared" si="519"/>
        <v>h</v>
      </c>
      <c r="AT925" t="str">
        <f t="shared" si="520"/>
        <v>Defensive</v>
      </c>
      <c r="BA925" s="6">
        <f t="shared" si="509"/>
        <v>246</v>
      </c>
      <c r="BB925">
        <f t="shared" si="510"/>
        <v>18981</v>
      </c>
      <c r="BC925" t="str">
        <f t="shared" si="511"/>
        <v>Nelson</v>
      </c>
      <c r="BD925" t="str">
        <f t="shared" si="512"/>
        <v>Velodrome</v>
      </c>
      <c r="BE925" t="s">
        <v>6</v>
      </c>
      <c r="BF925" t="s">
        <v>205</v>
      </c>
      <c r="BG925" t="s">
        <v>51</v>
      </c>
      <c r="BI925" cm="1">
        <f t="array" ref="BI925">IFERROR(_xlfn._xlws.FILTER(shifts!A:A,(shifts!B:B=events!AD925)*(shifts!AG:AG&gt;=events!BK925)*(shifts!AH:AH&lt;=events!BL925)),BI924)</f>
        <v>44</v>
      </c>
      <c r="BJ925" s="15">
        <f t="shared" si="513"/>
        <v>0</v>
      </c>
      <c r="BK925">
        <f t="shared" si="521"/>
        <v>877</v>
      </c>
      <c r="BL925">
        <f t="shared" si="522"/>
        <v>877</v>
      </c>
      <c r="BM925" s="15">
        <f>SUMIFS(BJ$2:BJ925,K$2:K925,"=Intermission")+SUMIFS(BJ$2:BJ925,K$2:K925,"=Timeout")</f>
        <v>72</v>
      </c>
      <c r="BN925">
        <f t="shared" si="523"/>
        <v>1152</v>
      </c>
      <c r="BO925" s="19">
        <f t="shared" si="524"/>
        <v>1355</v>
      </c>
      <c r="BP925">
        <f t="shared" si="525"/>
        <v>1350</v>
      </c>
      <c r="BQ925" s="17">
        <f t="shared" si="526"/>
        <v>1355</v>
      </c>
      <c r="BR925" t="str">
        <f t="shared" si="527"/>
        <v>opp_team_player_1</v>
      </c>
      <c r="BS925">
        <f>COUNTIFS(S$3:S925,"="&amp;S925,AI$3:AI925,"="&amp;AI925)</f>
        <v>1</v>
      </c>
      <c r="BT925" t="str">
        <f>IFERROR(VLOOKUP(BB925&amp;BU925&amp;X925,game_rosters!U:W,3,FALSE),"")</f>
        <v>P100016</v>
      </c>
      <c r="BU925" t="str">
        <f t="shared" si="528"/>
        <v>Velodrome</v>
      </c>
    </row>
    <row r="926" spans="1:73" x14ac:dyDescent="0.2">
      <c r="A926">
        <f t="shared" si="514"/>
        <v>1</v>
      </c>
      <c r="J926" s="44" t="str">
        <f t="shared" si="529"/>
        <v>o</v>
      </c>
      <c r="K926" t="s">
        <v>6</v>
      </c>
      <c r="L926" t="s">
        <v>205</v>
      </c>
      <c r="M926" t="s">
        <v>51</v>
      </c>
      <c r="S926">
        <v>501</v>
      </c>
      <c r="W926" t="str">
        <f t="shared" si="505"/>
        <v>h</v>
      </c>
      <c r="X926">
        <v>93</v>
      </c>
      <c r="Y926" t="e">
        <f>IF(X926&lt;&gt;"",VLOOKUP(X926,game_rosters!$C$43:$E$64,3,FALSE))</f>
        <v>#N/A</v>
      </c>
      <c r="Z926" t="str" cm="1">
        <f t="array" ref="Z926">IFERROR(IF(_xlfn._xlws.FILTER(game_rosters!$J:$J,(game_rosters!$G:$G=events!$AN926)*(game_rosters!$J:$J=events!$X926))&gt;0,1,""),"")</f>
        <v/>
      </c>
      <c r="AA926">
        <f t="shared" si="553"/>
        <v>1501</v>
      </c>
      <c r="AB926" t="str">
        <f t="shared" si="554"/>
        <v/>
      </c>
      <c r="AC926">
        <f t="shared" si="502"/>
        <v>1501</v>
      </c>
      <c r="AD926" s="6">
        <v>2</v>
      </c>
      <c r="AE926" t="s">
        <v>745</v>
      </c>
      <c r="AF926" t="s">
        <v>928</v>
      </c>
      <c r="AG926" t="s">
        <v>756</v>
      </c>
      <c r="AH926" t="s">
        <v>756</v>
      </c>
      <c r="AI926" t="s">
        <v>368</v>
      </c>
      <c r="AJ926" t="str">
        <f t="shared" ref="AJ926:AK926" si="556">IF($J926&lt;&gt;"",$J926,IF($AC926=$AC925,AJ925,""))</f>
        <v>o</v>
      </c>
      <c r="AK926" t="str">
        <f t="shared" si="556"/>
        <v>o</v>
      </c>
      <c r="AL926" t="str">
        <f t="shared" si="507"/>
        <v>o</v>
      </c>
      <c r="AN926" t="s">
        <v>861</v>
      </c>
      <c r="AO926" t="str">
        <f t="shared" si="508"/>
        <v>h</v>
      </c>
      <c r="AP926" t="str">
        <f t="shared" si="516"/>
        <v>o</v>
      </c>
      <c r="AQ926" t="str">
        <f t="shared" si="517"/>
        <v/>
      </c>
      <c r="AR926" t="str">
        <f t="shared" si="518"/>
        <v>Home</v>
      </c>
      <c r="AS926" t="str">
        <f t="shared" si="519"/>
        <v>h</v>
      </c>
      <c r="AT926" t="str">
        <f t="shared" si="520"/>
        <v>Defensive</v>
      </c>
      <c r="BA926" s="6">
        <f t="shared" si="509"/>
        <v>246</v>
      </c>
      <c r="BB926">
        <f t="shared" si="510"/>
        <v>18981</v>
      </c>
      <c r="BC926" t="str">
        <f t="shared" si="511"/>
        <v>Nelson</v>
      </c>
      <c r="BD926" t="str">
        <f t="shared" si="512"/>
        <v>Velodrome</v>
      </c>
      <c r="BE926" t="s">
        <v>6</v>
      </c>
      <c r="BF926" t="s">
        <v>205</v>
      </c>
      <c r="BG926" t="s">
        <v>51</v>
      </c>
      <c r="BI926" cm="1">
        <f t="array" ref="BI926">IFERROR(_xlfn._xlws.FILTER(shifts!A:A,(shifts!B:B=events!AD926)*(shifts!AG:AG&gt;=events!BK926)*(shifts!AH:AH&lt;=events!BL926)),BI925)</f>
        <v>44</v>
      </c>
      <c r="BJ926" s="15">
        <f t="shared" si="513"/>
        <v>0</v>
      </c>
      <c r="BK926">
        <f t="shared" si="521"/>
        <v>877</v>
      </c>
      <c r="BL926">
        <f t="shared" si="522"/>
        <v>877</v>
      </c>
      <c r="BM926" s="15">
        <f>SUMIFS(BJ$2:BJ926,K$2:K926,"=Intermission")+SUMIFS(BJ$2:BJ926,K$2:K926,"=Timeout")</f>
        <v>72</v>
      </c>
      <c r="BN926">
        <f t="shared" si="523"/>
        <v>1152</v>
      </c>
      <c r="BO926" s="19">
        <f t="shared" si="524"/>
        <v>1355</v>
      </c>
      <c r="BP926">
        <f t="shared" si="525"/>
        <v>1350</v>
      </c>
      <c r="BQ926" s="17">
        <f t="shared" si="526"/>
        <v>1355</v>
      </c>
      <c r="BR926" t="str">
        <f t="shared" si="527"/>
        <v>opp_team_player_2</v>
      </c>
      <c r="BS926">
        <f>COUNTIFS(S$3:S926,"="&amp;S926,AI$3:AI926,"="&amp;AI926)</f>
        <v>2</v>
      </c>
      <c r="BT926" t="str">
        <f>IFERROR(VLOOKUP(BB926&amp;BU926&amp;X926,game_rosters!U:W,3,FALSE),"")</f>
        <v>P100093</v>
      </c>
      <c r="BU926" t="str">
        <f t="shared" si="528"/>
        <v>Velodrome</v>
      </c>
    </row>
    <row r="927" spans="1:73" x14ac:dyDescent="0.2">
      <c r="A927">
        <f t="shared" si="514"/>
        <v>1</v>
      </c>
      <c r="J927" s="44" t="str">
        <f t="shared" si="529"/>
        <v>d</v>
      </c>
      <c r="K927" t="s">
        <v>15</v>
      </c>
      <c r="L927" t="s">
        <v>179</v>
      </c>
      <c r="M927" t="s">
        <v>94</v>
      </c>
      <c r="S927">
        <v>502</v>
      </c>
      <c r="W927" t="str">
        <f t="shared" si="505"/>
        <v>a</v>
      </c>
      <c r="X927">
        <v>39</v>
      </c>
      <c r="Y927" t="e">
        <f>IF(X927&lt;&gt;"",VLOOKUP(X927,game_rosters!$C$43:$E$64,3,FALSE))</f>
        <v>#N/A</v>
      </c>
      <c r="Z927" cm="1">
        <f t="array" ref="Z927">IFERROR(IF(_xlfn._xlws.FILTER(game_rosters!$J:$J,(game_rosters!$G:$G=events!$AN927)*(game_rosters!$J:$J=events!$X927))&gt;0,1,""),"")</f>
        <v>1</v>
      </c>
      <c r="AA927">
        <f t="shared" si="553"/>
        <v>1502</v>
      </c>
      <c r="AB927" t="str">
        <f t="shared" si="554"/>
        <v/>
      </c>
      <c r="AC927">
        <f t="shared" si="502"/>
        <v>1502</v>
      </c>
      <c r="AD927" s="6">
        <v>2</v>
      </c>
      <c r="AE927" t="s">
        <v>745</v>
      </c>
      <c r="AF927" t="s">
        <v>928</v>
      </c>
      <c r="AG927" t="s">
        <v>756</v>
      </c>
      <c r="AH927" t="s">
        <v>756</v>
      </c>
      <c r="AI927" t="s">
        <v>367</v>
      </c>
      <c r="AJ927" t="str">
        <f t="shared" ref="AJ927:AK927" si="557">IF($J927&lt;&gt;"",$J927,IF($AC927=$AC926,AJ926,""))</f>
        <v>d</v>
      </c>
      <c r="AK927" t="str">
        <f t="shared" si="557"/>
        <v>d</v>
      </c>
      <c r="AL927" t="str">
        <f t="shared" si="507"/>
        <v>o</v>
      </c>
      <c r="AN927" t="s">
        <v>862</v>
      </c>
      <c r="AO927" t="str">
        <f t="shared" si="508"/>
        <v>a</v>
      </c>
      <c r="AP927" t="str">
        <f t="shared" si="516"/>
        <v>o</v>
      </c>
      <c r="AQ927" t="str">
        <f t="shared" si="517"/>
        <v/>
      </c>
      <c r="AR927" t="str">
        <f t="shared" si="518"/>
        <v>Away</v>
      </c>
      <c r="AS927" t="str">
        <f t="shared" si="519"/>
        <v>a</v>
      </c>
      <c r="AT927" t="str">
        <f t="shared" si="520"/>
        <v>Defensive</v>
      </c>
      <c r="BA927" s="6">
        <f t="shared" si="509"/>
        <v>246</v>
      </c>
      <c r="BB927">
        <f t="shared" si="510"/>
        <v>18981</v>
      </c>
      <c r="BC927" t="str">
        <f t="shared" si="511"/>
        <v>Nelson</v>
      </c>
      <c r="BD927" t="str">
        <f t="shared" si="512"/>
        <v>Velodrome</v>
      </c>
      <c r="BE927" t="s">
        <v>15</v>
      </c>
      <c r="BF927" t="s">
        <v>179</v>
      </c>
      <c r="BG927" t="s">
        <v>94</v>
      </c>
      <c r="BI927" cm="1">
        <f t="array" ref="BI927">IFERROR(_xlfn._xlws.FILTER(shifts!A:A,(shifts!B:B=events!AD927)*(shifts!AG:AG&gt;=events!BK927)*(shifts!AH:AH&lt;=events!BL927)),BI926)</f>
        <v>44</v>
      </c>
      <c r="BJ927" s="15">
        <f t="shared" si="513"/>
        <v>0</v>
      </c>
      <c r="BK927">
        <f t="shared" si="521"/>
        <v>877</v>
      </c>
      <c r="BL927">
        <f t="shared" si="522"/>
        <v>877</v>
      </c>
      <c r="BM927" s="15">
        <f>SUMIFS(BJ$2:BJ927,K$2:K927,"=Intermission")+SUMIFS(BJ$2:BJ927,K$2:K927,"=Timeout")</f>
        <v>72</v>
      </c>
      <c r="BN927">
        <f t="shared" si="523"/>
        <v>1152</v>
      </c>
      <c r="BO927" s="19">
        <f t="shared" si="524"/>
        <v>1355</v>
      </c>
      <c r="BP927">
        <f t="shared" si="525"/>
        <v>1350</v>
      </c>
      <c r="BQ927" s="17">
        <f t="shared" si="526"/>
        <v>1355</v>
      </c>
      <c r="BR927" t="str">
        <f t="shared" si="527"/>
        <v>event_team_player_1</v>
      </c>
      <c r="BS927">
        <f>COUNTIFS(S$3:S927,"="&amp;S927,AI$3:AI927,"="&amp;AI927)</f>
        <v>1</v>
      </c>
      <c r="BT927" t="str">
        <f>IFERROR(VLOOKUP(BB927&amp;BU927&amp;X927,game_rosters!U:W,3,FALSE),"")</f>
        <v>P100016</v>
      </c>
      <c r="BU927" t="str">
        <f t="shared" si="528"/>
        <v>Velodrome</v>
      </c>
    </row>
    <row r="928" spans="1:73" x14ac:dyDescent="0.2">
      <c r="A928">
        <f t="shared" si="514"/>
        <v>1</v>
      </c>
      <c r="J928" s="44" t="str">
        <f t="shared" si="529"/>
        <v>d</v>
      </c>
      <c r="K928" t="s">
        <v>15</v>
      </c>
      <c r="L928" t="s">
        <v>179</v>
      </c>
      <c r="M928" t="s">
        <v>94</v>
      </c>
      <c r="S928">
        <v>502</v>
      </c>
      <c r="W928" t="str">
        <f t="shared" si="505"/>
        <v>a</v>
      </c>
      <c r="X928">
        <v>93</v>
      </c>
      <c r="Y928" t="e">
        <f>IF(X928&lt;&gt;"",VLOOKUP(X928,game_rosters!$C$43:$E$64,3,FALSE))</f>
        <v>#N/A</v>
      </c>
      <c r="Z928" cm="1">
        <f t="array" ref="Z928">IFERROR(IF(_xlfn._xlws.FILTER(game_rosters!$J:$J,(game_rosters!$G:$G=events!$AN928)*(game_rosters!$J:$J=events!$X928))&gt;0,1,""),"")</f>
        <v>1</v>
      </c>
      <c r="AA928">
        <f t="shared" si="553"/>
        <v>1502</v>
      </c>
      <c r="AB928" t="str">
        <f t="shared" si="554"/>
        <v/>
      </c>
      <c r="AC928">
        <f t="shared" si="502"/>
        <v>1502</v>
      </c>
      <c r="AD928" s="6">
        <v>2</v>
      </c>
      <c r="AE928" t="s">
        <v>745</v>
      </c>
      <c r="AF928" t="s">
        <v>928</v>
      </c>
      <c r="AG928" t="s">
        <v>756</v>
      </c>
      <c r="AH928" t="s">
        <v>756</v>
      </c>
      <c r="AI928" t="s">
        <v>367</v>
      </c>
      <c r="AJ928" t="str">
        <f t="shared" ref="AJ928:AK928" si="558">IF($J928&lt;&gt;"",$J928,IF($AC928=$AC927,AJ927,""))</f>
        <v>d</v>
      </c>
      <c r="AK928" t="str">
        <f t="shared" si="558"/>
        <v>d</v>
      </c>
      <c r="AL928" t="str">
        <f t="shared" si="507"/>
        <v>o</v>
      </c>
      <c r="AN928" t="s">
        <v>862</v>
      </c>
      <c r="AO928" t="str">
        <f t="shared" si="508"/>
        <v>a</v>
      </c>
      <c r="AP928" t="str">
        <f t="shared" si="516"/>
        <v>o</v>
      </c>
      <c r="AQ928" t="str">
        <f t="shared" si="517"/>
        <v/>
      </c>
      <c r="AR928" t="str">
        <f t="shared" si="518"/>
        <v>Away</v>
      </c>
      <c r="AS928" t="str">
        <f t="shared" si="519"/>
        <v>a</v>
      </c>
      <c r="AT928" t="str">
        <f t="shared" si="520"/>
        <v>Defensive</v>
      </c>
      <c r="BA928" s="6">
        <f t="shared" si="509"/>
        <v>246</v>
      </c>
      <c r="BB928">
        <f t="shared" si="510"/>
        <v>18981</v>
      </c>
      <c r="BC928" t="str">
        <f t="shared" si="511"/>
        <v>Nelson</v>
      </c>
      <c r="BD928" t="str">
        <f t="shared" si="512"/>
        <v>Velodrome</v>
      </c>
      <c r="BE928" t="s">
        <v>15</v>
      </c>
      <c r="BF928" t="s">
        <v>179</v>
      </c>
      <c r="BG928" t="s">
        <v>94</v>
      </c>
      <c r="BI928" cm="1">
        <f t="array" ref="BI928">IFERROR(_xlfn._xlws.FILTER(shifts!A:A,(shifts!B:B=events!AD928)*(shifts!AG:AG&gt;=events!BK928)*(shifts!AH:AH&lt;=events!BL928)),BI927)</f>
        <v>44</v>
      </c>
      <c r="BJ928" s="15">
        <f t="shared" si="513"/>
        <v>0</v>
      </c>
      <c r="BK928">
        <f t="shared" si="521"/>
        <v>877</v>
      </c>
      <c r="BL928">
        <f t="shared" si="522"/>
        <v>877</v>
      </c>
      <c r="BM928" s="15">
        <f>SUMIFS(BJ$2:BJ928,K$2:K928,"=Intermission")+SUMIFS(BJ$2:BJ928,K$2:K928,"=Timeout")</f>
        <v>72</v>
      </c>
      <c r="BN928">
        <f t="shared" si="523"/>
        <v>1152</v>
      </c>
      <c r="BO928" s="19">
        <f t="shared" si="524"/>
        <v>1355</v>
      </c>
      <c r="BP928">
        <f t="shared" si="525"/>
        <v>1350</v>
      </c>
      <c r="BQ928" s="17">
        <f t="shared" si="526"/>
        <v>1355</v>
      </c>
      <c r="BR928" t="str">
        <f t="shared" si="527"/>
        <v>event_team_player_2</v>
      </c>
      <c r="BS928">
        <f>COUNTIFS(S$3:S928,"="&amp;S928,AI$3:AI928,"="&amp;AI928)</f>
        <v>2</v>
      </c>
      <c r="BT928" t="str">
        <f>IFERROR(VLOOKUP(BB928&amp;BU928&amp;X928,game_rosters!U:W,3,FALSE),"")</f>
        <v>P100093</v>
      </c>
      <c r="BU928" t="str">
        <f t="shared" si="528"/>
        <v>Velodrome</v>
      </c>
    </row>
    <row r="929" spans="1:73" x14ac:dyDescent="0.2">
      <c r="A929">
        <f t="shared" si="514"/>
        <v>1</v>
      </c>
      <c r="J929" s="44" t="str">
        <f t="shared" si="529"/>
        <v>d</v>
      </c>
      <c r="K929" t="s">
        <v>15</v>
      </c>
      <c r="L929" t="s">
        <v>179</v>
      </c>
      <c r="M929" t="s">
        <v>94</v>
      </c>
      <c r="S929">
        <v>502</v>
      </c>
      <c r="W929" t="str">
        <f t="shared" si="505"/>
        <v>a</v>
      </c>
      <c r="X929">
        <v>44</v>
      </c>
      <c r="Y929" t="b">
        <f>IF(X929&lt;&gt;"",VLOOKUP(X929,game_rosters!$C$43:$E$64,3,FALSE))</f>
        <v>0</v>
      </c>
      <c r="Z929" t="str" cm="1">
        <f t="array" ref="Z929">IFERROR(IF(_xlfn._xlws.FILTER(game_rosters!$J:$J,(game_rosters!$G:$G=events!$AN929)*(game_rosters!$J:$J=events!$X929))&gt;0,1,""),"")</f>
        <v/>
      </c>
      <c r="AA929">
        <f t="shared" si="553"/>
        <v>1502</v>
      </c>
      <c r="AB929" t="str">
        <f t="shared" si="554"/>
        <v/>
      </c>
      <c r="AC929">
        <f t="shared" si="502"/>
        <v>1502</v>
      </c>
      <c r="AD929" s="6">
        <v>2</v>
      </c>
      <c r="AE929" t="s">
        <v>745</v>
      </c>
      <c r="AF929" t="s">
        <v>928</v>
      </c>
      <c r="AG929" t="s">
        <v>756</v>
      </c>
      <c r="AH929" t="s">
        <v>756</v>
      </c>
      <c r="AI929" t="s">
        <v>368</v>
      </c>
      <c r="AJ929" t="str">
        <f t="shared" ref="AJ929:AK929" si="559">IF($J929&lt;&gt;"",$J929,IF($AC929=$AC928,AJ928,""))</f>
        <v>d</v>
      </c>
      <c r="AK929" t="str">
        <f t="shared" si="559"/>
        <v>d</v>
      </c>
      <c r="AL929" t="str">
        <f t="shared" si="507"/>
        <v>o</v>
      </c>
      <c r="AN929" t="s">
        <v>862</v>
      </c>
      <c r="AO929" t="str">
        <f t="shared" si="508"/>
        <v>a</v>
      </c>
      <c r="AP929" t="str">
        <f t="shared" si="516"/>
        <v>o</v>
      </c>
      <c r="AQ929" t="str">
        <f t="shared" si="517"/>
        <v/>
      </c>
      <c r="AR929" t="str">
        <f t="shared" si="518"/>
        <v>Away</v>
      </c>
      <c r="AS929" t="str">
        <f t="shared" si="519"/>
        <v>a</v>
      </c>
      <c r="AT929" t="str">
        <f t="shared" si="520"/>
        <v>Offensive</v>
      </c>
      <c r="BA929" s="6">
        <f t="shared" si="509"/>
        <v>246</v>
      </c>
      <c r="BB929">
        <f t="shared" si="510"/>
        <v>18981</v>
      </c>
      <c r="BC929" t="str">
        <f t="shared" si="511"/>
        <v>Nelson</v>
      </c>
      <c r="BD929" t="str">
        <f t="shared" si="512"/>
        <v>Velodrome</v>
      </c>
      <c r="BE929" t="s">
        <v>15</v>
      </c>
      <c r="BF929" t="s">
        <v>179</v>
      </c>
      <c r="BG929" t="s">
        <v>94</v>
      </c>
      <c r="BI929" cm="1">
        <f t="array" ref="BI929">IFERROR(_xlfn._xlws.FILTER(shifts!A:A,(shifts!B:B=events!AD929)*(shifts!AG:AG&gt;=events!BK929)*(shifts!AH:AH&lt;=events!BL929)),BI928)</f>
        <v>44</v>
      </c>
      <c r="BJ929" s="15">
        <f t="shared" si="513"/>
        <v>0</v>
      </c>
      <c r="BK929">
        <f t="shared" si="521"/>
        <v>877</v>
      </c>
      <c r="BL929">
        <f t="shared" si="522"/>
        <v>877</v>
      </c>
      <c r="BM929" s="15">
        <f>SUMIFS(BJ$2:BJ929,K$2:K929,"=Intermission")+SUMIFS(BJ$2:BJ929,K$2:K929,"=Timeout")</f>
        <v>72</v>
      </c>
      <c r="BN929">
        <f t="shared" si="523"/>
        <v>1152</v>
      </c>
      <c r="BO929" s="19">
        <f t="shared" si="524"/>
        <v>1355</v>
      </c>
      <c r="BP929">
        <f t="shared" si="525"/>
        <v>1350</v>
      </c>
      <c r="BQ929" s="17">
        <f t="shared" si="526"/>
        <v>1355</v>
      </c>
      <c r="BR929" t="str">
        <f t="shared" si="527"/>
        <v>opp_team_player_1</v>
      </c>
      <c r="BS929">
        <f>COUNTIFS(S$3:S929,"="&amp;S929,AI$3:AI929,"="&amp;AI929)</f>
        <v>1</v>
      </c>
      <c r="BT929" t="str">
        <f>IFERROR(VLOOKUP(BB929&amp;BU929&amp;X929,game_rosters!U:W,3,FALSE),"")</f>
        <v>P100079</v>
      </c>
      <c r="BU929" t="str">
        <f t="shared" si="528"/>
        <v>Nelson</v>
      </c>
    </row>
    <row r="930" spans="1:73" x14ac:dyDescent="0.2">
      <c r="A930">
        <f t="shared" si="514"/>
        <v>1</v>
      </c>
      <c r="J930" s="44" t="str">
        <f t="shared" si="529"/>
        <v>d</v>
      </c>
      <c r="K930" t="s">
        <v>15</v>
      </c>
      <c r="L930" t="s">
        <v>179</v>
      </c>
      <c r="M930" t="s">
        <v>94</v>
      </c>
      <c r="S930">
        <v>502</v>
      </c>
      <c r="W930" t="str">
        <f t="shared" si="505"/>
        <v>a</v>
      </c>
      <c r="X930">
        <v>79</v>
      </c>
      <c r="Y930" t="b">
        <f>IF(X930&lt;&gt;"",VLOOKUP(X930,game_rosters!$C$43:$E$64,3,FALSE))</f>
        <v>0</v>
      </c>
      <c r="Z930" t="str" cm="1">
        <f t="array" ref="Z930">IFERROR(IF(_xlfn._xlws.FILTER(game_rosters!$J:$J,(game_rosters!$G:$G=events!$AN930)*(game_rosters!$J:$J=events!$X930))&gt;0,1,""),"")</f>
        <v/>
      </c>
      <c r="AA930">
        <f t="shared" si="553"/>
        <v>1502</v>
      </c>
      <c r="AB930" t="str">
        <f t="shared" si="554"/>
        <v/>
      </c>
      <c r="AC930">
        <f t="shared" si="502"/>
        <v>1502</v>
      </c>
      <c r="AD930" s="6">
        <v>2</v>
      </c>
      <c r="AE930" t="s">
        <v>745</v>
      </c>
      <c r="AF930" t="s">
        <v>928</v>
      </c>
      <c r="AG930" t="s">
        <v>756</v>
      </c>
      <c r="AH930" t="s">
        <v>756</v>
      </c>
      <c r="AI930" t="s">
        <v>368</v>
      </c>
      <c r="AJ930" t="str">
        <f t="shared" ref="AJ930:AK930" si="560">IF($J930&lt;&gt;"",$J930,IF($AC930=$AC929,AJ929,""))</f>
        <v>d</v>
      </c>
      <c r="AK930" t="str">
        <f t="shared" si="560"/>
        <v>d</v>
      </c>
      <c r="AL930" t="str">
        <f t="shared" si="507"/>
        <v>o</v>
      </c>
      <c r="AN930" t="s">
        <v>862</v>
      </c>
      <c r="AO930" t="str">
        <f t="shared" si="508"/>
        <v>a</v>
      </c>
      <c r="AP930" t="str">
        <f t="shared" si="516"/>
        <v>o</v>
      </c>
      <c r="AQ930" t="str">
        <f t="shared" si="517"/>
        <v/>
      </c>
      <c r="AR930" t="str">
        <f t="shared" si="518"/>
        <v>Away</v>
      </c>
      <c r="AS930" t="str">
        <f t="shared" si="519"/>
        <v>a</v>
      </c>
      <c r="AT930" t="str">
        <f t="shared" si="520"/>
        <v>Offensive</v>
      </c>
      <c r="BA930" s="6">
        <f t="shared" si="509"/>
        <v>246</v>
      </c>
      <c r="BB930">
        <f t="shared" si="510"/>
        <v>18981</v>
      </c>
      <c r="BC930" t="str">
        <f t="shared" si="511"/>
        <v>Nelson</v>
      </c>
      <c r="BD930" t="str">
        <f t="shared" si="512"/>
        <v>Velodrome</v>
      </c>
      <c r="BE930" t="s">
        <v>15</v>
      </c>
      <c r="BF930" t="s">
        <v>179</v>
      </c>
      <c r="BG930" t="s">
        <v>94</v>
      </c>
      <c r="BI930" cm="1">
        <f t="array" ref="BI930">IFERROR(_xlfn._xlws.FILTER(shifts!A:A,(shifts!B:B=events!AD930)*(shifts!AG:AG&gt;=events!BK930)*(shifts!AH:AH&lt;=events!BL930)),BI929)</f>
        <v>44</v>
      </c>
      <c r="BJ930" s="15">
        <f t="shared" si="513"/>
        <v>0</v>
      </c>
      <c r="BK930">
        <f t="shared" si="521"/>
        <v>877</v>
      </c>
      <c r="BL930">
        <f t="shared" si="522"/>
        <v>877</v>
      </c>
      <c r="BM930" s="15">
        <f>SUMIFS(BJ$2:BJ930,K$2:K930,"=Intermission")+SUMIFS(BJ$2:BJ930,K$2:K930,"=Timeout")</f>
        <v>72</v>
      </c>
      <c r="BN930">
        <f t="shared" si="523"/>
        <v>1152</v>
      </c>
      <c r="BO930" s="19">
        <f t="shared" si="524"/>
        <v>1355</v>
      </c>
      <c r="BP930">
        <f t="shared" si="525"/>
        <v>1350</v>
      </c>
      <c r="BQ930" s="17">
        <f t="shared" si="526"/>
        <v>1355</v>
      </c>
      <c r="BR930" t="str">
        <f t="shared" si="527"/>
        <v>opp_team_player_2</v>
      </c>
      <c r="BS930">
        <f>COUNTIFS(S$3:S930,"="&amp;S930,AI$3:AI930,"="&amp;AI930)</f>
        <v>2</v>
      </c>
      <c r="BT930" t="str">
        <f>IFERROR(VLOOKUP(BB930&amp;BU930&amp;X930,game_rosters!U:W,3,FALSE),"")</f>
        <v>P100066</v>
      </c>
      <c r="BU930" t="str">
        <f t="shared" si="528"/>
        <v>Nelson</v>
      </c>
    </row>
    <row r="931" spans="1:73" x14ac:dyDescent="0.2">
      <c r="A931">
        <f t="shared" si="514"/>
        <v>1</v>
      </c>
      <c r="J931" s="44" t="str">
        <f t="shared" si="529"/>
        <v>d</v>
      </c>
      <c r="K931" t="s">
        <v>231</v>
      </c>
      <c r="L931" t="s">
        <v>232</v>
      </c>
      <c r="M931" t="s">
        <v>756</v>
      </c>
      <c r="S931">
        <v>503</v>
      </c>
      <c r="W931" t="str">
        <f t="shared" si="505"/>
        <v>a</v>
      </c>
      <c r="X931">
        <v>39</v>
      </c>
      <c r="Y931" t="e">
        <f>IF(X931&lt;&gt;"",VLOOKUP(X931,game_rosters!$C$43:$E$64,3,FALSE))</f>
        <v>#N/A</v>
      </c>
      <c r="Z931" cm="1">
        <f t="array" ref="Z931">IFERROR(IF(_xlfn._xlws.FILTER(game_rosters!$J:$J,(game_rosters!$G:$G=events!$AN931)*(game_rosters!$J:$J=events!$X931))&gt;0,1,""),"")</f>
        <v>1</v>
      </c>
      <c r="AA931">
        <f t="shared" si="553"/>
        <v>1503</v>
      </c>
      <c r="AB931" t="str">
        <f t="shared" si="554"/>
        <v/>
      </c>
      <c r="AC931">
        <f t="shared" si="502"/>
        <v>1503</v>
      </c>
      <c r="AD931" s="6">
        <v>2</v>
      </c>
      <c r="AE931" t="s">
        <v>745</v>
      </c>
      <c r="AF931" t="s">
        <v>928</v>
      </c>
      <c r="AG931" t="s">
        <v>756</v>
      </c>
      <c r="AH931" t="s">
        <v>756</v>
      </c>
      <c r="AI931" t="s">
        <v>367</v>
      </c>
      <c r="AJ931" t="str">
        <f t="shared" ref="AJ931:AK931" si="561">IF($J931&lt;&gt;"",$J931,IF($AC931=$AC930,AJ930,""))</f>
        <v>d</v>
      </c>
      <c r="AK931" t="str">
        <f t="shared" si="561"/>
        <v>d</v>
      </c>
      <c r="AL931" t="str">
        <f t="shared" si="507"/>
        <v>o</v>
      </c>
      <c r="AN931" t="s">
        <v>862</v>
      </c>
      <c r="AO931" t="str">
        <f t="shared" si="508"/>
        <v>a</v>
      </c>
      <c r="AP931" t="str">
        <f t="shared" si="516"/>
        <v>o</v>
      </c>
      <c r="AQ931" t="str">
        <f t="shared" si="517"/>
        <v/>
      </c>
      <c r="AR931" t="str">
        <f t="shared" si="518"/>
        <v>Away</v>
      </c>
      <c r="AS931" t="str">
        <f t="shared" si="519"/>
        <v>a</v>
      </c>
      <c r="AT931" t="str">
        <f t="shared" si="520"/>
        <v>Offensive</v>
      </c>
      <c r="BA931" s="6">
        <f t="shared" si="509"/>
        <v>246</v>
      </c>
      <c r="BB931">
        <f t="shared" si="510"/>
        <v>18981</v>
      </c>
      <c r="BC931" t="str">
        <f t="shared" si="511"/>
        <v>Nelson</v>
      </c>
      <c r="BD931" t="str">
        <f t="shared" si="512"/>
        <v>Velodrome</v>
      </c>
      <c r="BE931" t="s">
        <v>231</v>
      </c>
      <c r="BF931" t="s">
        <v>232</v>
      </c>
      <c r="BG931" t="s">
        <v>756</v>
      </c>
      <c r="BI931" cm="1">
        <f t="array" ref="BI931">IFERROR(_xlfn._xlws.FILTER(shifts!A:A,(shifts!B:B=events!AD931)*(shifts!AG:AG&gt;=events!BK931)*(shifts!AH:AH&lt;=events!BL931)),BI930)</f>
        <v>44</v>
      </c>
      <c r="BJ931" s="15">
        <f t="shared" si="513"/>
        <v>0</v>
      </c>
      <c r="BK931">
        <f t="shared" si="521"/>
        <v>877</v>
      </c>
      <c r="BL931">
        <f t="shared" si="522"/>
        <v>877</v>
      </c>
      <c r="BM931" s="15">
        <f>SUMIFS(BJ$2:BJ931,K$2:K931,"=Intermission")+SUMIFS(BJ$2:BJ931,K$2:K931,"=Timeout")</f>
        <v>72</v>
      </c>
      <c r="BN931">
        <f t="shared" si="523"/>
        <v>1152</v>
      </c>
      <c r="BO931" s="19">
        <f t="shared" si="524"/>
        <v>1355</v>
      </c>
      <c r="BP931">
        <f t="shared" si="525"/>
        <v>1350</v>
      </c>
      <c r="BQ931" s="17">
        <f t="shared" si="526"/>
        <v>1355</v>
      </c>
      <c r="BR931" t="str">
        <f t="shared" si="527"/>
        <v>event_team_player_1</v>
      </c>
      <c r="BS931">
        <f>COUNTIFS(S$3:S931,"="&amp;S931,AI$3:AI931,"="&amp;AI931)</f>
        <v>1</v>
      </c>
      <c r="BT931" t="str">
        <f>IFERROR(VLOOKUP(BB931&amp;BU931&amp;X931,game_rosters!U:W,3,FALSE),"")</f>
        <v>P100016</v>
      </c>
      <c r="BU931" t="str">
        <f t="shared" si="528"/>
        <v>Velodrome</v>
      </c>
    </row>
    <row r="932" spans="1:73" x14ac:dyDescent="0.2">
      <c r="A932">
        <f t="shared" si="514"/>
        <v>1</v>
      </c>
      <c r="J932" s="44" t="str">
        <f t="shared" si="529"/>
        <v>d</v>
      </c>
      <c r="K932" t="s">
        <v>238</v>
      </c>
      <c r="L932" t="s">
        <v>184</v>
      </c>
      <c r="M932" t="s">
        <v>88</v>
      </c>
      <c r="S932">
        <v>504</v>
      </c>
      <c r="W932" t="str">
        <f t="shared" si="505"/>
        <v>a</v>
      </c>
      <c r="X932">
        <v>70</v>
      </c>
      <c r="Y932" t="e">
        <f>IF(X932&lt;&gt;"",VLOOKUP(X932,game_rosters!$C$43:$E$64,3,FALSE))</f>
        <v>#N/A</v>
      </c>
      <c r="Z932" cm="1">
        <f t="array" ref="Z932">IFERROR(IF(_xlfn._xlws.FILTER(game_rosters!$J:$J,(game_rosters!$G:$G=events!$AN932)*(game_rosters!$J:$J=events!$X932))&gt;0,1,""),"")</f>
        <v>1</v>
      </c>
      <c r="AA932">
        <f t="shared" si="553"/>
        <v>1504</v>
      </c>
      <c r="AB932" t="str">
        <f t="shared" si="554"/>
        <v/>
      </c>
      <c r="AC932">
        <f t="shared" si="502"/>
        <v>1504</v>
      </c>
      <c r="AD932" s="6">
        <v>2</v>
      </c>
      <c r="AE932" t="s">
        <v>745</v>
      </c>
      <c r="AF932" t="s">
        <v>905</v>
      </c>
      <c r="AG932" t="s">
        <v>745</v>
      </c>
      <c r="AH932" t="s">
        <v>738</v>
      </c>
      <c r="AI932" t="s">
        <v>367</v>
      </c>
      <c r="AJ932" t="str">
        <f t="shared" ref="AJ932:AK932" si="562">IF($J932&lt;&gt;"",$J932,IF($AC932=$AC931,AJ931,""))</f>
        <v>d</v>
      </c>
      <c r="AK932" t="str">
        <f t="shared" si="562"/>
        <v>d</v>
      </c>
      <c r="AL932" t="str">
        <f t="shared" si="507"/>
        <v>o</v>
      </c>
      <c r="AN932" t="s">
        <v>862</v>
      </c>
      <c r="AO932" t="str">
        <f t="shared" si="508"/>
        <v>a</v>
      </c>
      <c r="AP932" t="str">
        <f t="shared" si="516"/>
        <v>o</v>
      </c>
      <c r="AQ932" t="str">
        <f t="shared" si="517"/>
        <v/>
      </c>
      <c r="AR932" t="str">
        <f t="shared" si="518"/>
        <v>Away</v>
      </c>
      <c r="AS932" t="str">
        <f t="shared" si="519"/>
        <v>a</v>
      </c>
      <c r="AT932" t="str">
        <f t="shared" si="520"/>
        <v>Offensive</v>
      </c>
      <c r="BA932" s="6">
        <f t="shared" si="509"/>
        <v>247</v>
      </c>
      <c r="BB932">
        <f t="shared" si="510"/>
        <v>18981</v>
      </c>
      <c r="BC932" t="str">
        <f t="shared" si="511"/>
        <v>Nelson</v>
      </c>
      <c r="BD932" t="str">
        <f t="shared" si="512"/>
        <v>Velodrome</v>
      </c>
      <c r="BE932" t="s">
        <v>238</v>
      </c>
      <c r="BF932" t="s">
        <v>184</v>
      </c>
      <c r="BG932" t="s">
        <v>88</v>
      </c>
      <c r="BI932" cm="1">
        <f t="array" ref="BI932">IFERROR(_xlfn._xlws.FILTER(shifts!A:A,(shifts!B:B=events!AD932)*(shifts!AG:AG&gt;=events!BK932)*(shifts!AH:AH&lt;=events!BL932)),BI931)</f>
        <v>44</v>
      </c>
      <c r="BJ932" s="15">
        <f t="shared" si="513"/>
        <v>1</v>
      </c>
      <c r="BK932">
        <f t="shared" si="521"/>
        <v>872</v>
      </c>
      <c r="BL932">
        <f t="shared" si="522"/>
        <v>871</v>
      </c>
      <c r="BM932" s="15">
        <f>SUMIFS(BJ$2:BJ932,K$2:K932,"=Intermission")+SUMIFS(BJ$2:BJ932,K$2:K932,"=Timeout")</f>
        <v>72</v>
      </c>
      <c r="BN932">
        <f t="shared" si="523"/>
        <v>1152</v>
      </c>
      <c r="BO932" s="19">
        <f t="shared" si="524"/>
        <v>1360</v>
      </c>
      <c r="BP932">
        <f t="shared" si="525"/>
        <v>1355</v>
      </c>
      <c r="BQ932" s="17">
        <f t="shared" si="526"/>
        <v>1361</v>
      </c>
      <c r="BR932" t="str">
        <f t="shared" si="527"/>
        <v>event_team_player_1</v>
      </c>
      <c r="BS932">
        <f>COUNTIFS(S$3:S932,"="&amp;S932,AI$3:AI932,"="&amp;AI932)</f>
        <v>1</v>
      </c>
      <c r="BT932" t="str">
        <f>IFERROR(VLOOKUP(BB932&amp;BU932&amp;X932,game_rosters!U:W,3,FALSE),"")</f>
        <v>P100001</v>
      </c>
      <c r="BU932" t="str">
        <f t="shared" si="528"/>
        <v>Velodrome</v>
      </c>
    </row>
    <row r="933" spans="1:73" x14ac:dyDescent="0.2">
      <c r="A933">
        <f t="shared" si="514"/>
        <v>1</v>
      </c>
      <c r="J933" s="44" t="str">
        <f t="shared" si="529"/>
        <v/>
      </c>
      <c r="K933" t="s">
        <v>7</v>
      </c>
      <c r="L933" t="s">
        <v>182</v>
      </c>
      <c r="M933" t="s">
        <v>68</v>
      </c>
      <c r="S933">
        <v>505</v>
      </c>
      <c r="W933" t="str">
        <f t="shared" si="505"/>
        <v>a</v>
      </c>
      <c r="X933">
        <v>70</v>
      </c>
      <c r="Y933" t="e">
        <f>IF(X933&lt;&gt;"",VLOOKUP(X933,game_rosters!$C$43:$E$64,3,FALSE))</f>
        <v>#N/A</v>
      </c>
      <c r="Z933" cm="1">
        <f t="array" ref="Z933">IFERROR(IF(_xlfn._xlws.FILTER(game_rosters!$J:$J,(game_rosters!$G:$G=events!$AN933)*(game_rosters!$J:$J=events!$X933))&gt;0,1,""),"")</f>
        <v>1</v>
      </c>
      <c r="AA933">
        <f t="shared" si="553"/>
        <v>1505</v>
      </c>
      <c r="AB933" t="str">
        <f t="shared" si="554"/>
        <v/>
      </c>
      <c r="AC933">
        <f t="shared" si="502"/>
        <v>1505</v>
      </c>
      <c r="AD933" s="6">
        <v>2</v>
      </c>
      <c r="AE933" t="s">
        <v>745</v>
      </c>
      <c r="AF933" t="s">
        <v>738</v>
      </c>
      <c r="AG933" t="s">
        <v>756</v>
      </c>
      <c r="AH933" t="s">
        <v>756</v>
      </c>
      <c r="AI933" t="s">
        <v>367</v>
      </c>
      <c r="AJ933" t="str">
        <f t="shared" ref="AJ933:AK933" si="563">IF($J933&lt;&gt;"",$J933,IF($AC933=$AC932,AJ932,""))</f>
        <v/>
      </c>
      <c r="AK933" t="str">
        <f t="shared" si="563"/>
        <v/>
      </c>
      <c r="AL933" t="str">
        <f t="shared" si="507"/>
        <v/>
      </c>
      <c r="AN933" t="s">
        <v>862</v>
      </c>
      <c r="AO933" t="str">
        <f t="shared" si="508"/>
        <v>a</v>
      </c>
      <c r="AP933" t="str">
        <f t="shared" si="516"/>
        <v/>
      </c>
      <c r="AQ933" t="str">
        <f t="shared" si="517"/>
        <v/>
      </c>
      <c r="AR933" t="str">
        <f t="shared" si="518"/>
        <v>Away</v>
      </c>
      <c r="AS933" t="str">
        <f t="shared" si="519"/>
        <v>a</v>
      </c>
      <c r="AT933" t="str">
        <f t="shared" si="520"/>
        <v>Offensive</v>
      </c>
      <c r="BA933" s="6">
        <f t="shared" si="509"/>
        <v>247</v>
      </c>
      <c r="BB933">
        <f t="shared" si="510"/>
        <v>18981</v>
      </c>
      <c r="BC933" t="str">
        <f t="shared" si="511"/>
        <v>Nelson</v>
      </c>
      <c r="BD933" t="str">
        <f t="shared" si="512"/>
        <v>Velodrome</v>
      </c>
      <c r="BE933" t="s">
        <v>7</v>
      </c>
      <c r="BF933" t="s">
        <v>182</v>
      </c>
      <c r="BG933" t="s">
        <v>68</v>
      </c>
      <c r="BI933" cm="1">
        <f t="array" ref="BI933">IFERROR(_xlfn._xlws.FILTER(shifts!A:A,(shifts!B:B=events!AD933)*(shifts!AG:AG&gt;=events!BK933)*(shifts!AH:AH&lt;=events!BL933)),BI932)</f>
        <v>44</v>
      </c>
      <c r="BJ933" s="15">
        <f t="shared" si="513"/>
        <v>0</v>
      </c>
      <c r="BK933">
        <f t="shared" si="521"/>
        <v>871</v>
      </c>
      <c r="BL933">
        <f t="shared" si="522"/>
        <v>871</v>
      </c>
      <c r="BM933" s="15">
        <f>SUMIFS(BJ$2:BJ933,K$2:K933,"=Intermission")+SUMIFS(BJ$2:BJ933,K$2:K933,"=Timeout")</f>
        <v>72</v>
      </c>
      <c r="BN933">
        <f t="shared" si="523"/>
        <v>1152</v>
      </c>
      <c r="BO933" s="19">
        <f t="shared" si="524"/>
        <v>1361</v>
      </c>
      <c r="BP933">
        <f t="shared" si="525"/>
        <v>1356</v>
      </c>
      <c r="BQ933" s="17">
        <f t="shared" si="526"/>
        <v>1361</v>
      </c>
      <c r="BR933" t="str">
        <f t="shared" si="527"/>
        <v>event_team_player_1</v>
      </c>
      <c r="BS933">
        <f>COUNTIFS(S$3:S933,"="&amp;S933,AI$3:AI933,"="&amp;AI933)</f>
        <v>1</v>
      </c>
      <c r="BT933" t="str">
        <f>IFERROR(VLOOKUP(BB933&amp;BU933&amp;X933,game_rosters!U:W,3,FALSE),"")</f>
        <v>P100001</v>
      </c>
      <c r="BU933" t="str">
        <f t="shared" si="528"/>
        <v>Velodrome</v>
      </c>
    </row>
    <row r="934" spans="1:73" x14ac:dyDescent="0.2">
      <c r="A934">
        <f t="shared" si="514"/>
        <v>1</v>
      </c>
      <c r="J934" s="44" t="str">
        <f t="shared" si="529"/>
        <v/>
      </c>
      <c r="K934" t="s">
        <v>7</v>
      </c>
      <c r="L934" t="s">
        <v>182</v>
      </c>
      <c r="M934" t="s">
        <v>68</v>
      </c>
      <c r="S934">
        <v>505</v>
      </c>
      <c r="W934" t="str">
        <f t="shared" si="505"/>
        <v>a</v>
      </c>
      <c r="X934">
        <v>49</v>
      </c>
      <c r="Y934" t="e">
        <f>IF(X934&lt;&gt;"",VLOOKUP(X934,game_rosters!$C$43:$E$64,3,FALSE))</f>
        <v>#N/A</v>
      </c>
      <c r="Z934" cm="1">
        <f t="array" ref="Z934">IFERROR(IF(_xlfn._xlws.FILTER(game_rosters!$J:$J,(game_rosters!$G:$G=events!$AN934)*(game_rosters!$J:$J=events!$X934))&gt;0,1,""),"")</f>
        <v>1</v>
      </c>
      <c r="AA934">
        <f t="shared" si="553"/>
        <v>1505</v>
      </c>
      <c r="AB934" t="str">
        <f t="shared" si="554"/>
        <v/>
      </c>
      <c r="AC934">
        <f t="shared" si="502"/>
        <v>1505</v>
      </c>
      <c r="AD934" s="6">
        <v>2</v>
      </c>
      <c r="AE934" t="s">
        <v>745</v>
      </c>
      <c r="AF934" t="s">
        <v>738</v>
      </c>
      <c r="AG934" t="s">
        <v>756</v>
      </c>
      <c r="AH934" t="s">
        <v>756</v>
      </c>
      <c r="AI934" t="s">
        <v>367</v>
      </c>
      <c r="AJ934" t="str">
        <f t="shared" ref="AJ934:AK934" si="564">IF($J934&lt;&gt;"",$J934,IF($AC934=$AC933,AJ933,""))</f>
        <v/>
      </c>
      <c r="AK934" t="str">
        <f t="shared" si="564"/>
        <v/>
      </c>
      <c r="AL934" t="str">
        <f t="shared" si="507"/>
        <v/>
      </c>
      <c r="AN934" t="s">
        <v>862</v>
      </c>
      <c r="AO934" t="str">
        <f t="shared" si="508"/>
        <v>a</v>
      </c>
      <c r="AP934" t="str">
        <f t="shared" si="516"/>
        <v/>
      </c>
      <c r="AQ934" t="str">
        <f t="shared" si="517"/>
        <v/>
      </c>
      <c r="AR934" t="str">
        <f t="shared" si="518"/>
        <v>Away</v>
      </c>
      <c r="AS934" t="str">
        <f t="shared" si="519"/>
        <v>a</v>
      </c>
      <c r="AT934" t="str">
        <f t="shared" si="520"/>
        <v>Offensive</v>
      </c>
      <c r="BA934" s="6">
        <f t="shared" si="509"/>
        <v>247</v>
      </c>
      <c r="BB934">
        <f t="shared" si="510"/>
        <v>18981</v>
      </c>
      <c r="BC934" t="str">
        <f t="shared" si="511"/>
        <v>Nelson</v>
      </c>
      <c r="BD934" t="str">
        <f t="shared" si="512"/>
        <v>Velodrome</v>
      </c>
      <c r="BE934" t="s">
        <v>7</v>
      </c>
      <c r="BF934" t="s">
        <v>182</v>
      </c>
      <c r="BG934" t="s">
        <v>68</v>
      </c>
      <c r="BI934" cm="1">
        <f t="array" ref="BI934">IFERROR(_xlfn._xlws.FILTER(shifts!A:A,(shifts!B:B=events!AD934)*(shifts!AG:AG&gt;=events!BK934)*(shifts!AH:AH&lt;=events!BL934)),BI933)</f>
        <v>44</v>
      </c>
      <c r="BJ934" s="15">
        <f t="shared" si="513"/>
        <v>0</v>
      </c>
      <c r="BK934">
        <f t="shared" si="521"/>
        <v>871</v>
      </c>
      <c r="BL934">
        <f t="shared" si="522"/>
        <v>871</v>
      </c>
      <c r="BM934" s="15">
        <f>SUMIFS(BJ$2:BJ934,K$2:K934,"=Intermission")+SUMIFS(BJ$2:BJ934,K$2:K934,"=Timeout")</f>
        <v>72</v>
      </c>
      <c r="BN934">
        <f t="shared" si="523"/>
        <v>1152</v>
      </c>
      <c r="BO934" s="19">
        <f t="shared" si="524"/>
        <v>1361</v>
      </c>
      <c r="BP934">
        <f t="shared" si="525"/>
        <v>1356</v>
      </c>
      <c r="BQ934" s="17">
        <f t="shared" si="526"/>
        <v>1361</v>
      </c>
      <c r="BR934" t="str">
        <f t="shared" si="527"/>
        <v>event_team_player_2</v>
      </c>
      <c r="BS934">
        <f>COUNTIFS(S$3:S934,"="&amp;S934,AI$3:AI934,"="&amp;AI934)</f>
        <v>2</v>
      </c>
      <c r="BT934" t="str">
        <f>IFERROR(VLOOKUP(BB934&amp;BU934&amp;X934,game_rosters!U:W,3,FALSE),"")</f>
        <v>P100161</v>
      </c>
      <c r="BU934" t="str">
        <f t="shared" si="528"/>
        <v>Velodrome</v>
      </c>
    </row>
    <row r="935" spans="1:73" x14ac:dyDescent="0.2">
      <c r="A935">
        <f t="shared" si="514"/>
        <v>1</v>
      </c>
      <c r="J935" s="44" t="str">
        <f t="shared" si="529"/>
        <v>o</v>
      </c>
      <c r="K935" t="s">
        <v>238</v>
      </c>
      <c r="L935" t="s">
        <v>174</v>
      </c>
      <c r="M935" t="s">
        <v>390</v>
      </c>
      <c r="S935">
        <v>506</v>
      </c>
      <c r="W935" t="str">
        <f t="shared" si="505"/>
        <v>a</v>
      </c>
      <c r="X935">
        <v>70</v>
      </c>
      <c r="Y935" t="e">
        <f>IF(X935&lt;&gt;"",VLOOKUP(X935,game_rosters!$C$43:$E$64,3,FALSE))</f>
        <v>#N/A</v>
      </c>
      <c r="Z935" cm="1">
        <f t="array" ref="Z935">IFERROR(IF(_xlfn._xlws.FILTER(game_rosters!$J:$J,(game_rosters!$G:$G=events!$AN935)*(game_rosters!$J:$J=events!$X935))&gt;0,1,""),"")</f>
        <v>1</v>
      </c>
      <c r="AA935">
        <f t="shared" si="553"/>
        <v>1506</v>
      </c>
      <c r="AB935" t="str">
        <f t="shared" si="554"/>
        <v/>
      </c>
      <c r="AC935">
        <f t="shared" si="502"/>
        <v>1506</v>
      </c>
      <c r="AD935" s="6">
        <v>2</v>
      </c>
      <c r="AE935" t="s">
        <v>745</v>
      </c>
      <c r="AF935" t="s">
        <v>738</v>
      </c>
      <c r="AG935" t="s">
        <v>756</v>
      </c>
      <c r="AH935" t="s">
        <v>756</v>
      </c>
      <c r="AI935" t="s">
        <v>367</v>
      </c>
      <c r="AJ935" t="str">
        <f t="shared" ref="AJ935:AK935" si="565">IF($J935&lt;&gt;"",$J935,IF($AC935=$AC934,AJ934,""))</f>
        <v>o</v>
      </c>
      <c r="AK935" t="str">
        <f t="shared" si="565"/>
        <v>o</v>
      </c>
      <c r="AL935" t="str">
        <f t="shared" si="507"/>
        <v>d</v>
      </c>
      <c r="AN935" t="s">
        <v>862</v>
      </c>
      <c r="AO935" t="str">
        <f t="shared" si="508"/>
        <v>a</v>
      </c>
      <c r="AP935" t="str">
        <f t="shared" si="516"/>
        <v>d</v>
      </c>
      <c r="AQ935" t="str">
        <f t="shared" si="517"/>
        <v/>
      </c>
      <c r="AR935" t="str">
        <f t="shared" si="518"/>
        <v>Away</v>
      </c>
      <c r="AS935" t="str">
        <f t="shared" si="519"/>
        <v>a</v>
      </c>
      <c r="AT935" t="str">
        <f t="shared" si="520"/>
        <v>Offensive</v>
      </c>
      <c r="BA935" s="6">
        <f t="shared" si="509"/>
        <v>248</v>
      </c>
      <c r="BB935">
        <f t="shared" si="510"/>
        <v>18981</v>
      </c>
      <c r="BC935" t="str">
        <f t="shared" si="511"/>
        <v>Nelson</v>
      </c>
      <c r="BD935" t="str">
        <f t="shared" si="512"/>
        <v>Velodrome</v>
      </c>
      <c r="BE935" t="s">
        <v>238</v>
      </c>
      <c r="BF935" t="s">
        <v>174</v>
      </c>
      <c r="BG935" t="s">
        <v>390</v>
      </c>
      <c r="BI935" cm="1">
        <f t="array" ref="BI935">IFERROR(_xlfn._xlws.FILTER(shifts!A:A,(shifts!B:B=events!AD935)*(shifts!AG:AG&gt;=events!BK935)*(shifts!AH:AH&lt;=events!BL935)),BI934)</f>
        <v>44</v>
      </c>
      <c r="BJ935" s="15">
        <f t="shared" si="513"/>
        <v>0</v>
      </c>
      <c r="BK935">
        <f t="shared" si="521"/>
        <v>871</v>
      </c>
      <c r="BL935">
        <f t="shared" si="522"/>
        <v>871</v>
      </c>
      <c r="BM935" s="15">
        <f>SUMIFS(BJ$2:BJ935,K$2:K935,"=Intermission")+SUMIFS(BJ$2:BJ935,K$2:K935,"=Timeout")</f>
        <v>72</v>
      </c>
      <c r="BN935">
        <f t="shared" si="523"/>
        <v>1152</v>
      </c>
      <c r="BO935" s="19">
        <f t="shared" si="524"/>
        <v>1361</v>
      </c>
      <c r="BP935">
        <f t="shared" si="525"/>
        <v>1356</v>
      </c>
      <c r="BQ935" s="17">
        <f t="shared" si="526"/>
        <v>1361</v>
      </c>
      <c r="BR935" t="str">
        <f t="shared" si="527"/>
        <v>event_team_player_1</v>
      </c>
      <c r="BS935">
        <f>COUNTIFS(S$3:S935,"="&amp;S935,AI$3:AI935,"="&amp;AI935)</f>
        <v>1</v>
      </c>
      <c r="BT935" t="str">
        <f>IFERROR(VLOOKUP(BB935&amp;BU935&amp;X935,game_rosters!U:W,3,FALSE),"")</f>
        <v>P100001</v>
      </c>
      <c r="BU935" t="str">
        <f t="shared" si="528"/>
        <v>Velodrome</v>
      </c>
    </row>
    <row r="936" spans="1:73" x14ac:dyDescent="0.2">
      <c r="A936">
        <f t="shared" si="514"/>
        <v>1</v>
      </c>
      <c r="J936" s="44" t="str">
        <f t="shared" si="529"/>
        <v/>
      </c>
      <c r="K936" t="s">
        <v>7</v>
      </c>
      <c r="L936" t="s">
        <v>172</v>
      </c>
      <c r="M936" t="s">
        <v>66</v>
      </c>
      <c r="S936">
        <v>507</v>
      </c>
      <c r="W936" t="str">
        <f t="shared" si="505"/>
        <v>h</v>
      </c>
      <c r="X936">
        <v>23</v>
      </c>
      <c r="Y936" t="b">
        <f>IF(X936&lt;&gt;"",VLOOKUP(X936,game_rosters!$C$43:$E$64,3,FALSE))</f>
        <v>0</v>
      </c>
      <c r="Z936" cm="1">
        <f t="array" ref="Z936">IFERROR(IF(_xlfn._xlws.FILTER(game_rosters!$J:$J,(game_rosters!$G:$G=events!$AN936)*(game_rosters!$J:$J=events!$X936))&gt;0,1,""),"")</f>
        <v>1</v>
      </c>
      <c r="AA936">
        <f t="shared" si="553"/>
        <v>1507</v>
      </c>
      <c r="AB936" t="str">
        <f t="shared" si="554"/>
        <v/>
      </c>
      <c r="AC936">
        <f t="shared" si="502"/>
        <v>1507</v>
      </c>
      <c r="AD936" s="6">
        <v>2</v>
      </c>
      <c r="AE936" t="s">
        <v>745</v>
      </c>
      <c r="AF936" t="s">
        <v>739</v>
      </c>
      <c r="AG936" t="s">
        <v>756</v>
      </c>
      <c r="AH936" t="s">
        <v>756</v>
      </c>
      <c r="AI936" t="s">
        <v>367</v>
      </c>
      <c r="AJ936" t="str">
        <f t="shared" ref="AJ936:AK936" si="566">IF($J936&lt;&gt;"",$J936,IF($AC936=$AC935,AJ935,""))</f>
        <v/>
      </c>
      <c r="AK936" t="str">
        <f t="shared" si="566"/>
        <v/>
      </c>
      <c r="AL936" t="str">
        <f t="shared" si="507"/>
        <v/>
      </c>
      <c r="AN936" t="s">
        <v>861</v>
      </c>
      <c r="AO936" t="str">
        <f t="shared" si="508"/>
        <v>h</v>
      </c>
      <c r="AP936" t="str">
        <f t="shared" si="516"/>
        <v/>
      </c>
      <c r="AQ936" t="str">
        <f t="shared" si="517"/>
        <v/>
      </c>
      <c r="AR936" t="str">
        <f t="shared" si="518"/>
        <v>Home</v>
      </c>
      <c r="AS936" t="str">
        <f t="shared" si="519"/>
        <v>h</v>
      </c>
      <c r="AT936" t="str">
        <f t="shared" si="520"/>
        <v>Offensive</v>
      </c>
      <c r="BA936" s="6">
        <f t="shared" si="509"/>
        <v>248</v>
      </c>
      <c r="BB936">
        <f t="shared" si="510"/>
        <v>18981</v>
      </c>
      <c r="BC936" t="str">
        <f t="shared" si="511"/>
        <v>Nelson</v>
      </c>
      <c r="BD936" t="str">
        <f t="shared" si="512"/>
        <v>Velodrome</v>
      </c>
      <c r="BE936" t="s">
        <v>7</v>
      </c>
      <c r="BF936" t="s">
        <v>172</v>
      </c>
      <c r="BG936" t="s">
        <v>66</v>
      </c>
      <c r="BI936" cm="1">
        <f t="array" ref="BI936">IFERROR(_xlfn._xlws.FILTER(shifts!A:A,(shifts!B:B=events!AD936)*(shifts!AG:AG&gt;=events!BK936)*(shifts!AH:AH&lt;=events!BL936)),BI935)</f>
        <v>44</v>
      </c>
      <c r="BJ936" s="15">
        <f t="shared" si="513"/>
        <v>0</v>
      </c>
      <c r="BK936">
        <f t="shared" si="521"/>
        <v>866</v>
      </c>
      <c r="BL936">
        <f t="shared" si="522"/>
        <v>866</v>
      </c>
      <c r="BM936" s="15">
        <f>SUMIFS(BJ$2:BJ936,K$2:K936,"=Intermission")+SUMIFS(BJ$2:BJ936,K$2:K936,"=Timeout")</f>
        <v>72</v>
      </c>
      <c r="BN936">
        <f t="shared" si="523"/>
        <v>1152</v>
      </c>
      <c r="BO936" s="19">
        <f t="shared" si="524"/>
        <v>1366</v>
      </c>
      <c r="BP936">
        <f t="shared" si="525"/>
        <v>1361</v>
      </c>
      <c r="BQ936" s="17">
        <f t="shared" si="526"/>
        <v>1366</v>
      </c>
      <c r="BR936" t="str">
        <f t="shared" si="527"/>
        <v>event_team_player_1</v>
      </c>
      <c r="BS936">
        <f>COUNTIFS(S$3:S936,"="&amp;S936,AI$3:AI936,"="&amp;AI936)</f>
        <v>1</v>
      </c>
      <c r="BT936" t="str">
        <f>IFERROR(VLOOKUP(BB936&amp;BU936&amp;X936,game_rosters!U:W,3,FALSE),"")</f>
        <v>P100061</v>
      </c>
      <c r="BU936" t="str">
        <f t="shared" si="528"/>
        <v>Nelson</v>
      </c>
    </row>
    <row r="937" spans="1:73" x14ac:dyDescent="0.2">
      <c r="A937">
        <f t="shared" si="514"/>
        <v>1</v>
      </c>
      <c r="J937" s="44" t="str">
        <f t="shared" si="529"/>
        <v/>
      </c>
      <c r="K937" t="s">
        <v>7</v>
      </c>
      <c r="L937" t="s">
        <v>172</v>
      </c>
      <c r="M937" t="s">
        <v>66</v>
      </c>
      <c r="S937">
        <v>507</v>
      </c>
      <c r="W937" t="str">
        <f t="shared" si="505"/>
        <v>h</v>
      </c>
      <c r="X937">
        <v>79</v>
      </c>
      <c r="Y937" t="b">
        <f>IF(X937&lt;&gt;"",VLOOKUP(X937,game_rosters!$C$43:$E$64,3,FALSE))</f>
        <v>0</v>
      </c>
      <c r="Z937" cm="1">
        <f t="array" ref="Z937">IFERROR(IF(_xlfn._xlws.FILTER(game_rosters!$J:$J,(game_rosters!$G:$G=events!$AN937)*(game_rosters!$J:$J=events!$X937))&gt;0,1,""),"")</f>
        <v>1</v>
      </c>
      <c r="AA937">
        <f t="shared" si="553"/>
        <v>1507</v>
      </c>
      <c r="AB937" t="str">
        <f t="shared" si="554"/>
        <v/>
      </c>
      <c r="AC937">
        <f t="shared" si="502"/>
        <v>1507</v>
      </c>
      <c r="AD937" s="6">
        <v>2</v>
      </c>
      <c r="AE937" t="s">
        <v>745</v>
      </c>
      <c r="AF937" t="s">
        <v>739</v>
      </c>
      <c r="AG937" t="s">
        <v>756</v>
      </c>
      <c r="AH937" t="s">
        <v>756</v>
      </c>
      <c r="AI937" t="s">
        <v>367</v>
      </c>
      <c r="AJ937" t="str">
        <f t="shared" ref="AJ937:AK937" si="567">IF($J937&lt;&gt;"",$J937,IF($AC937=$AC936,AJ936,""))</f>
        <v/>
      </c>
      <c r="AK937" t="str">
        <f t="shared" si="567"/>
        <v/>
      </c>
      <c r="AL937" t="str">
        <f t="shared" si="507"/>
        <v/>
      </c>
      <c r="AN937" t="s">
        <v>861</v>
      </c>
      <c r="AO937" t="str">
        <f t="shared" si="508"/>
        <v>h</v>
      </c>
      <c r="AP937" t="str">
        <f t="shared" si="516"/>
        <v/>
      </c>
      <c r="AQ937" t="str">
        <f t="shared" si="517"/>
        <v/>
      </c>
      <c r="AR937" t="str">
        <f t="shared" si="518"/>
        <v>Home</v>
      </c>
      <c r="AS937" t="str">
        <f t="shared" si="519"/>
        <v>h</v>
      </c>
      <c r="AT937" t="str">
        <f t="shared" si="520"/>
        <v>Offensive</v>
      </c>
      <c r="BA937" s="6">
        <f t="shared" si="509"/>
        <v>248</v>
      </c>
      <c r="BB937">
        <f t="shared" si="510"/>
        <v>18981</v>
      </c>
      <c r="BC937" t="str">
        <f t="shared" si="511"/>
        <v>Nelson</v>
      </c>
      <c r="BD937" t="str">
        <f t="shared" si="512"/>
        <v>Velodrome</v>
      </c>
      <c r="BE937" t="s">
        <v>7</v>
      </c>
      <c r="BF937" t="s">
        <v>172</v>
      </c>
      <c r="BG937" t="s">
        <v>66</v>
      </c>
      <c r="BI937" cm="1">
        <f t="array" ref="BI937">IFERROR(_xlfn._xlws.FILTER(shifts!A:A,(shifts!B:B=events!AD937)*(shifts!AG:AG&gt;=events!BK937)*(shifts!AH:AH&lt;=events!BL937)),BI936)</f>
        <v>44</v>
      </c>
      <c r="BJ937" s="15">
        <f t="shared" si="513"/>
        <v>0</v>
      </c>
      <c r="BK937">
        <f t="shared" si="521"/>
        <v>866</v>
      </c>
      <c r="BL937">
        <f t="shared" si="522"/>
        <v>866</v>
      </c>
      <c r="BM937" s="15">
        <f>SUMIFS(BJ$2:BJ937,K$2:K937,"=Intermission")+SUMIFS(BJ$2:BJ937,K$2:K937,"=Timeout")</f>
        <v>72</v>
      </c>
      <c r="BN937">
        <f t="shared" si="523"/>
        <v>1152</v>
      </c>
      <c r="BO937" s="19">
        <f t="shared" si="524"/>
        <v>1366</v>
      </c>
      <c r="BP937">
        <f t="shared" si="525"/>
        <v>1361</v>
      </c>
      <c r="BQ937" s="17">
        <f t="shared" si="526"/>
        <v>1366</v>
      </c>
      <c r="BR937" t="str">
        <f t="shared" si="527"/>
        <v>event_team_player_2</v>
      </c>
      <c r="BS937">
        <f>COUNTIFS(S$3:S937,"="&amp;S937,AI$3:AI937,"="&amp;AI937)</f>
        <v>2</v>
      </c>
      <c r="BT937" t="str">
        <f>IFERROR(VLOOKUP(BB937&amp;BU937&amp;X937,game_rosters!U:W,3,FALSE),"")</f>
        <v>P100066</v>
      </c>
      <c r="BU937" t="str">
        <f t="shared" si="528"/>
        <v>Nelson</v>
      </c>
    </row>
    <row r="938" spans="1:73" x14ac:dyDescent="0.2">
      <c r="A938">
        <f t="shared" si="514"/>
        <v>1</v>
      </c>
      <c r="J938" s="44" t="str">
        <f t="shared" si="529"/>
        <v>d</v>
      </c>
      <c r="K938" t="s">
        <v>238</v>
      </c>
      <c r="L938" t="s">
        <v>184</v>
      </c>
      <c r="M938" t="s">
        <v>88</v>
      </c>
      <c r="S938">
        <v>508</v>
      </c>
      <c r="W938" t="str">
        <f t="shared" si="505"/>
        <v>h</v>
      </c>
      <c r="X938">
        <v>79</v>
      </c>
      <c r="Y938" t="b">
        <f>IF(X938&lt;&gt;"",VLOOKUP(X938,game_rosters!$C$43:$E$64,3,FALSE))</f>
        <v>0</v>
      </c>
      <c r="Z938" cm="1">
        <f t="array" ref="Z938">IFERROR(IF(_xlfn._xlws.FILTER(game_rosters!$J:$J,(game_rosters!$G:$G=events!$AN938)*(game_rosters!$J:$J=events!$X938))&gt;0,1,""),"")</f>
        <v>1</v>
      </c>
      <c r="AA938">
        <f t="shared" si="553"/>
        <v>1508</v>
      </c>
      <c r="AB938" t="str">
        <f t="shared" si="554"/>
        <v/>
      </c>
      <c r="AC938">
        <f t="shared" si="502"/>
        <v>1508</v>
      </c>
      <c r="AD938" s="6">
        <v>2</v>
      </c>
      <c r="AE938" t="s">
        <v>745</v>
      </c>
      <c r="AF938" t="s">
        <v>917</v>
      </c>
      <c r="AG938" t="s">
        <v>745</v>
      </c>
      <c r="AH938" t="s">
        <v>741</v>
      </c>
      <c r="AI938" t="s">
        <v>367</v>
      </c>
      <c r="AJ938" t="str">
        <f t="shared" ref="AJ938:AK938" si="568">IF($J938&lt;&gt;"",$J938,IF($AC938=$AC937,AJ937,""))</f>
        <v>d</v>
      </c>
      <c r="AK938" t="str">
        <f t="shared" si="568"/>
        <v>d</v>
      </c>
      <c r="AL938" t="str">
        <f t="shared" si="507"/>
        <v>d</v>
      </c>
      <c r="AN938" t="s">
        <v>861</v>
      </c>
      <c r="AO938" t="str">
        <f t="shared" si="508"/>
        <v>h</v>
      </c>
      <c r="AP938" t="str">
        <f t="shared" si="516"/>
        <v>d</v>
      </c>
      <c r="AQ938" t="str">
        <f t="shared" si="517"/>
        <v/>
      </c>
      <c r="AR938" t="str">
        <f t="shared" si="518"/>
        <v>Home</v>
      </c>
      <c r="AS938" t="str">
        <f t="shared" si="519"/>
        <v>h</v>
      </c>
      <c r="AT938" t="str">
        <f t="shared" si="520"/>
        <v>Offensive</v>
      </c>
      <c r="BA938" s="6">
        <f t="shared" si="509"/>
        <v>249</v>
      </c>
      <c r="BB938">
        <f t="shared" si="510"/>
        <v>18981</v>
      </c>
      <c r="BC938" t="str">
        <f t="shared" si="511"/>
        <v>Nelson</v>
      </c>
      <c r="BD938" t="str">
        <f t="shared" si="512"/>
        <v>Velodrome</v>
      </c>
      <c r="BE938" t="s">
        <v>238</v>
      </c>
      <c r="BF938" t="s">
        <v>184</v>
      </c>
      <c r="BG938" t="s">
        <v>88</v>
      </c>
      <c r="BI938" cm="1">
        <f t="array" ref="BI938">IFERROR(_xlfn._xlws.FILTER(shifts!A:A,(shifts!B:B=events!AD938)*(shifts!AG:AG&gt;=events!BK938)*(shifts!AH:AH&lt;=events!BL938)),BI937)</f>
        <v>45</v>
      </c>
      <c r="BJ938" s="15">
        <f t="shared" si="513"/>
        <v>2</v>
      </c>
      <c r="BK938">
        <f t="shared" si="521"/>
        <v>863</v>
      </c>
      <c r="BL938">
        <f t="shared" si="522"/>
        <v>861</v>
      </c>
      <c r="BM938" s="15">
        <f>SUMIFS(BJ$2:BJ938,K$2:K938,"=Intermission")+SUMIFS(BJ$2:BJ938,K$2:K938,"=Timeout")</f>
        <v>72</v>
      </c>
      <c r="BN938">
        <f t="shared" si="523"/>
        <v>1152</v>
      </c>
      <c r="BO938" s="19">
        <f t="shared" si="524"/>
        <v>1369</v>
      </c>
      <c r="BP938">
        <f t="shared" si="525"/>
        <v>1364</v>
      </c>
      <c r="BQ938" s="17">
        <f t="shared" si="526"/>
        <v>1371</v>
      </c>
      <c r="BR938" t="str">
        <f t="shared" si="527"/>
        <v>event_team_player_1</v>
      </c>
      <c r="BS938">
        <f>COUNTIFS(S$3:S938,"="&amp;S938,AI$3:AI938,"="&amp;AI938)</f>
        <v>1</v>
      </c>
      <c r="BT938" t="str">
        <f>IFERROR(VLOOKUP(BB938&amp;BU938&amp;X938,game_rosters!U:W,3,FALSE),"")</f>
        <v>P100066</v>
      </c>
      <c r="BU938" t="str">
        <f t="shared" si="528"/>
        <v>Nelson</v>
      </c>
    </row>
    <row r="939" spans="1:73" x14ac:dyDescent="0.2">
      <c r="A939">
        <f t="shared" si="514"/>
        <v>1</v>
      </c>
      <c r="J939" s="44" t="str">
        <f t="shared" si="529"/>
        <v/>
      </c>
      <c r="K939" t="s">
        <v>13</v>
      </c>
      <c r="L939" t="s">
        <v>756</v>
      </c>
      <c r="M939" t="s">
        <v>756</v>
      </c>
      <c r="S939">
        <v>509</v>
      </c>
      <c r="W939" t="str">
        <f t="shared" si="505"/>
        <v>h</v>
      </c>
      <c r="X939">
        <v>79</v>
      </c>
      <c r="Y939" t="b">
        <f>IF(X939&lt;&gt;"",VLOOKUP(X939,game_rosters!$C$43:$E$64,3,FALSE))</f>
        <v>0</v>
      </c>
      <c r="Z939" cm="1">
        <f t="array" ref="Z939">IFERROR(IF(_xlfn._xlws.FILTER(game_rosters!$J:$J,(game_rosters!$G:$G=events!$AN939)*(game_rosters!$J:$J=events!$X939))&gt;0,1,""),"")</f>
        <v>1</v>
      </c>
      <c r="AA939">
        <f t="shared" si="553"/>
        <v>1509</v>
      </c>
      <c r="AB939" t="str">
        <f t="shared" si="554"/>
        <v/>
      </c>
      <c r="AC939">
        <f t="shared" si="502"/>
        <v>1509</v>
      </c>
      <c r="AD939" s="6">
        <v>2</v>
      </c>
      <c r="AE939" t="s">
        <v>745</v>
      </c>
      <c r="AF939" t="s">
        <v>741</v>
      </c>
      <c r="AG939" t="s">
        <v>745</v>
      </c>
      <c r="AH939" t="s">
        <v>908</v>
      </c>
      <c r="AI939" t="s">
        <v>367</v>
      </c>
      <c r="AJ939" t="str">
        <f t="shared" ref="AJ939:AK939" si="569">IF($J939&lt;&gt;"",$J939,IF($AC939=$AC938,AJ938,""))</f>
        <v/>
      </c>
      <c r="AK939" t="str">
        <f t="shared" si="569"/>
        <v/>
      </c>
      <c r="AL939" t="str">
        <f t="shared" si="507"/>
        <v/>
      </c>
      <c r="AN939" t="s">
        <v>861</v>
      </c>
      <c r="AO939" t="str">
        <f t="shared" si="508"/>
        <v>h</v>
      </c>
      <c r="AP939" t="str">
        <f t="shared" si="516"/>
        <v/>
      </c>
      <c r="AQ939" t="str">
        <f t="shared" si="517"/>
        <v/>
      </c>
      <c r="AR939" t="str">
        <f t="shared" si="518"/>
        <v>Home</v>
      </c>
      <c r="AS939" t="str">
        <f t="shared" si="519"/>
        <v>h</v>
      </c>
      <c r="AT939" t="str">
        <f t="shared" si="520"/>
        <v>Offensive</v>
      </c>
      <c r="BA939" s="6">
        <f t="shared" si="509"/>
        <v>249</v>
      </c>
      <c r="BB939">
        <f t="shared" si="510"/>
        <v>18981</v>
      </c>
      <c r="BC939" t="str">
        <f t="shared" si="511"/>
        <v>Nelson</v>
      </c>
      <c r="BD939" t="str">
        <f t="shared" si="512"/>
        <v>Velodrome</v>
      </c>
      <c r="BE939" t="s">
        <v>13</v>
      </c>
      <c r="BF939" t="s">
        <v>756</v>
      </c>
      <c r="BG939" t="s">
        <v>756</v>
      </c>
      <c r="BI939" cm="1">
        <f t="array" ref="BI939">IFERROR(_xlfn._xlws.FILTER(shifts!A:A,(shifts!B:B=events!AD939)*(shifts!AG:AG&gt;=events!BK939)*(shifts!AH:AH&lt;=events!BL939)),BI938)</f>
        <v>45</v>
      </c>
      <c r="BJ939" s="15">
        <f t="shared" si="513"/>
        <v>2</v>
      </c>
      <c r="BK939">
        <f t="shared" si="521"/>
        <v>861</v>
      </c>
      <c r="BL939">
        <f t="shared" si="522"/>
        <v>859</v>
      </c>
      <c r="BM939" s="15">
        <f>SUMIFS(BJ$2:BJ939,K$2:K939,"=Intermission")+SUMIFS(BJ$2:BJ939,K$2:K939,"=Timeout")</f>
        <v>72</v>
      </c>
      <c r="BN939">
        <f t="shared" si="523"/>
        <v>1152</v>
      </c>
      <c r="BO939" s="19">
        <f t="shared" si="524"/>
        <v>1371</v>
      </c>
      <c r="BP939">
        <f t="shared" si="525"/>
        <v>1366</v>
      </c>
      <c r="BQ939" s="17">
        <f t="shared" si="526"/>
        <v>1373</v>
      </c>
      <c r="BR939" t="str">
        <f t="shared" si="527"/>
        <v>event_team_player_1</v>
      </c>
      <c r="BS939">
        <f>COUNTIFS(S$3:S939,"="&amp;S939,AI$3:AI939,"="&amp;AI939)</f>
        <v>1</v>
      </c>
      <c r="BT939" t="str">
        <f>IFERROR(VLOOKUP(BB939&amp;BU939&amp;X939,game_rosters!U:W,3,FALSE),"")</f>
        <v>P100066</v>
      </c>
      <c r="BU939" t="str">
        <f t="shared" si="528"/>
        <v>Nelson</v>
      </c>
    </row>
    <row r="940" spans="1:73" x14ac:dyDescent="0.2">
      <c r="A940">
        <f t="shared" si="514"/>
        <v>1</v>
      </c>
      <c r="J940" s="44" t="str">
        <f t="shared" si="529"/>
        <v>o</v>
      </c>
      <c r="K940" t="s">
        <v>238</v>
      </c>
      <c r="L940" t="s">
        <v>174</v>
      </c>
      <c r="M940" t="s">
        <v>85</v>
      </c>
      <c r="S940">
        <v>510</v>
      </c>
      <c r="W940" t="str">
        <f t="shared" si="505"/>
        <v>h</v>
      </c>
      <c r="X940">
        <v>79</v>
      </c>
      <c r="Y940" t="b">
        <f>IF(X940&lt;&gt;"",VLOOKUP(X940,game_rosters!$C$43:$E$64,3,FALSE))</f>
        <v>0</v>
      </c>
      <c r="Z940" cm="1">
        <f t="array" ref="Z940">IFERROR(IF(_xlfn._xlws.FILTER(game_rosters!$J:$J,(game_rosters!$G:$G=events!$AN940)*(game_rosters!$J:$J=events!$X940))&gt;0,1,""),"")</f>
        <v>1</v>
      </c>
      <c r="AA940">
        <f t="shared" si="553"/>
        <v>1510</v>
      </c>
      <c r="AB940" t="str">
        <f t="shared" si="554"/>
        <v/>
      </c>
      <c r="AC940">
        <f t="shared" si="502"/>
        <v>1510</v>
      </c>
      <c r="AD940" s="6">
        <v>2</v>
      </c>
      <c r="AE940" t="s">
        <v>745</v>
      </c>
      <c r="AF940" t="s">
        <v>908</v>
      </c>
      <c r="AG940" t="s">
        <v>745</v>
      </c>
      <c r="AH940" t="s">
        <v>744</v>
      </c>
      <c r="AI940" t="s">
        <v>367</v>
      </c>
      <c r="AJ940" t="str">
        <f t="shared" ref="AJ940:AK940" si="570">IF($J940&lt;&gt;"",$J940,IF($AC940=$AC939,AJ939,""))</f>
        <v>o</v>
      </c>
      <c r="AK940" t="str">
        <f t="shared" si="570"/>
        <v>o</v>
      </c>
      <c r="AL940" t="str">
        <f t="shared" si="507"/>
        <v>o</v>
      </c>
      <c r="AN940" t="s">
        <v>861</v>
      </c>
      <c r="AO940" t="str">
        <f t="shared" si="508"/>
        <v>h</v>
      </c>
      <c r="AP940" t="str">
        <f t="shared" si="516"/>
        <v>o</v>
      </c>
      <c r="AQ940" t="str">
        <f t="shared" si="517"/>
        <v/>
      </c>
      <c r="AR940" t="str">
        <f t="shared" si="518"/>
        <v>Home</v>
      </c>
      <c r="AS940" t="str">
        <f t="shared" si="519"/>
        <v>h</v>
      </c>
      <c r="AT940" t="str">
        <f t="shared" si="520"/>
        <v>Offensive</v>
      </c>
      <c r="BA940" s="6">
        <f t="shared" si="509"/>
        <v>250</v>
      </c>
      <c r="BB940">
        <f t="shared" si="510"/>
        <v>18981</v>
      </c>
      <c r="BC940" t="str">
        <f t="shared" si="511"/>
        <v>Nelson</v>
      </c>
      <c r="BD940" t="str">
        <f t="shared" si="512"/>
        <v>Velodrome</v>
      </c>
      <c r="BE940" t="s">
        <v>238</v>
      </c>
      <c r="BF940" t="s">
        <v>174</v>
      </c>
      <c r="BG940" t="s">
        <v>85</v>
      </c>
      <c r="BI940" cm="1">
        <f t="array" ref="BI940">IFERROR(_xlfn._xlws.FILTER(shifts!A:A,(shifts!B:B=events!AD940)*(shifts!AG:AG&gt;=events!BK940)*(shifts!AH:AH&lt;=events!BL940)),BI939)</f>
        <v>45</v>
      </c>
      <c r="BJ940" s="15">
        <f t="shared" si="513"/>
        <v>4</v>
      </c>
      <c r="BK940">
        <f t="shared" si="521"/>
        <v>859</v>
      </c>
      <c r="BL940">
        <f t="shared" si="522"/>
        <v>855</v>
      </c>
      <c r="BM940" s="15">
        <f>SUMIFS(BJ$2:BJ940,K$2:K940,"=Intermission")+SUMIFS(BJ$2:BJ940,K$2:K940,"=Timeout")</f>
        <v>72</v>
      </c>
      <c r="BN940">
        <f t="shared" si="523"/>
        <v>1152</v>
      </c>
      <c r="BO940" s="19">
        <f t="shared" si="524"/>
        <v>1373</v>
      </c>
      <c r="BP940">
        <f t="shared" si="525"/>
        <v>1368</v>
      </c>
      <c r="BQ940" s="17">
        <f t="shared" si="526"/>
        <v>1377</v>
      </c>
      <c r="BR940" t="str">
        <f t="shared" si="527"/>
        <v>event_team_player_1</v>
      </c>
      <c r="BS940">
        <f>COUNTIFS(S$3:S940,"="&amp;S940,AI$3:AI940,"="&amp;AI940)</f>
        <v>1</v>
      </c>
      <c r="BT940" t="str">
        <f>IFERROR(VLOOKUP(BB940&amp;BU940&amp;X940,game_rosters!U:W,3,FALSE),"")</f>
        <v>P100066</v>
      </c>
      <c r="BU940" t="str">
        <f t="shared" si="528"/>
        <v>Nelson</v>
      </c>
    </row>
    <row r="941" spans="1:73" x14ac:dyDescent="0.2">
      <c r="A941">
        <f t="shared" si="514"/>
        <v>1</v>
      </c>
      <c r="J941" s="44" t="str">
        <f t="shared" si="529"/>
        <v>o</v>
      </c>
      <c r="K941" t="s">
        <v>238</v>
      </c>
      <c r="L941" t="s">
        <v>174</v>
      </c>
      <c r="M941" t="s">
        <v>85</v>
      </c>
      <c r="S941">
        <v>510</v>
      </c>
      <c r="W941" t="str">
        <f t="shared" si="505"/>
        <v>h</v>
      </c>
      <c r="X941">
        <v>44</v>
      </c>
      <c r="Y941" t="b">
        <f>IF(X941&lt;&gt;"",VLOOKUP(X941,game_rosters!$C$43:$E$64,3,FALSE))</f>
        <v>0</v>
      </c>
      <c r="Z941" cm="1">
        <f t="array" ref="Z941">IFERROR(IF(_xlfn._xlws.FILTER(game_rosters!$J:$J,(game_rosters!$G:$G=events!$AN941)*(game_rosters!$J:$J=events!$X941))&gt;0,1,""),"")</f>
        <v>1</v>
      </c>
      <c r="AA941">
        <f t="shared" si="553"/>
        <v>1510</v>
      </c>
      <c r="AB941" t="str">
        <f t="shared" si="554"/>
        <v/>
      </c>
      <c r="AC941">
        <f t="shared" si="502"/>
        <v>1510</v>
      </c>
      <c r="AD941" s="6">
        <v>2</v>
      </c>
      <c r="AE941" t="s">
        <v>745</v>
      </c>
      <c r="AF941" t="s">
        <v>908</v>
      </c>
      <c r="AG941" t="s">
        <v>745</v>
      </c>
      <c r="AH941" t="s">
        <v>744</v>
      </c>
      <c r="AI941" t="s">
        <v>367</v>
      </c>
      <c r="AJ941" t="str">
        <f t="shared" ref="AJ941:AK941" si="571">IF($J941&lt;&gt;"",$J941,IF($AC941=$AC940,AJ940,""))</f>
        <v>o</v>
      </c>
      <c r="AK941" t="str">
        <f t="shared" si="571"/>
        <v>o</v>
      </c>
      <c r="AL941" t="str">
        <f t="shared" si="507"/>
        <v>o</v>
      </c>
      <c r="AN941" t="s">
        <v>861</v>
      </c>
      <c r="AO941" t="str">
        <f t="shared" si="508"/>
        <v>h</v>
      </c>
      <c r="AP941" t="str">
        <f t="shared" si="516"/>
        <v>o</v>
      </c>
      <c r="AQ941" t="str">
        <f t="shared" si="517"/>
        <v/>
      </c>
      <c r="AR941" t="str">
        <f t="shared" si="518"/>
        <v>Home</v>
      </c>
      <c r="AS941" t="str">
        <f t="shared" si="519"/>
        <v>h</v>
      </c>
      <c r="AT941" t="str">
        <f t="shared" si="520"/>
        <v>Offensive</v>
      </c>
      <c r="BA941" s="6">
        <f t="shared" si="509"/>
        <v>251</v>
      </c>
      <c r="BB941">
        <f t="shared" si="510"/>
        <v>18981</v>
      </c>
      <c r="BC941" t="str">
        <f t="shared" si="511"/>
        <v>Nelson</v>
      </c>
      <c r="BD941" t="str">
        <f t="shared" si="512"/>
        <v>Velodrome</v>
      </c>
      <c r="BE941" t="s">
        <v>238</v>
      </c>
      <c r="BF941" t="s">
        <v>174</v>
      </c>
      <c r="BG941" t="s">
        <v>85</v>
      </c>
      <c r="BI941" cm="1">
        <f t="array" ref="BI941">IFERROR(_xlfn._xlws.FILTER(shifts!A:A,(shifts!B:B=events!AD941)*(shifts!AG:AG&gt;=events!BK941)*(shifts!AH:AH&lt;=events!BL941)),BI940)</f>
        <v>45</v>
      </c>
      <c r="BJ941" s="15">
        <f t="shared" si="513"/>
        <v>4</v>
      </c>
      <c r="BK941">
        <f t="shared" si="521"/>
        <v>859</v>
      </c>
      <c r="BL941">
        <f t="shared" si="522"/>
        <v>855</v>
      </c>
      <c r="BM941" s="15">
        <f>SUMIFS(BJ$2:BJ941,K$2:K941,"=Intermission")+SUMIFS(BJ$2:BJ941,K$2:K941,"=Timeout")</f>
        <v>72</v>
      </c>
      <c r="BN941">
        <f t="shared" si="523"/>
        <v>1152</v>
      </c>
      <c r="BO941" s="19">
        <f t="shared" si="524"/>
        <v>1373</v>
      </c>
      <c r="BP941">
        <f t="shared" si="525"/>
        <v>1368</v>
      </c>
      <c r="BQ941" s="17">
        <f t="shared" si="526"/>
        <v>1377</v>
      </c>
      <c r="BR941" t="str">
        <f t="shared" si="527"/>
        <v>event_team_player_2</v>
      </c>
      <c r="BS941">
        <f>COUNTIFS(S$3:S941,"="&amp;S941,AI$3:AI941,"="&amp;AI941)</f>
        <v>2</v>
      </c>
      <c r="BT941" t="str">
        <f>IFERROR(VLOOKUP(BB941&amp;BU941&amp;X941,game_rosters!U:W,3,FALSE),"")</f>
        <v>P100079</v>
      </c>
      <c r="BU941" t="str">
        <f t="shared" si="528"/>
        <v>Nelson</v>
      </c>
    </row>
    <row r="942" spans="1:73" x14ac:dyDescent="0.2">
      <c r="A942">
        <f t="shared" si="514"/>
        <v>1</v>
      </c>
      <c r="J942" s="44" t="str">
        <f t="shared" si="529"/>
        <v>o</v>
      </c>
      <c r="K942" t="s">
        <v>238</v>
      </c>
      <c r="L942" t="s">
        <v>174</v>
      </c>
      <c r="M942" t="s">
        <v>85</v>
      </c>
      <c r="S942">
        <v>510</v>
      </c>
      <c r="W942" t="str">
        <f t="shared" si="505"/>
        <v>h</v>
      </c>
      <c r="X942">
        <v>42</v>
      </c>
      <c r="Y942" t="e">
        <f>IF(X942&lt;&gt;"",VLOOKUP(X942,game_rosters!$C$43:$E$64,3,FALSE))</f>
        <v>#N/A</v>
      </c>
      <c r="Z942" t="str" cm="1">
        <f t="array" ref="Z942">IFERROR(IF(_xlfn._xlws.FILTER(game_rosters!$J:$J,(game_rosters!$G:$G=events!$AN942)*(game_rosters!$J:$J=events!$X942))&gt;0,1,""),"")</f>
        <v/>
      </c>
      <c r="AA942">
        <f t="shared" si="553"/>
        <v>1510</v>
      </c>
      <c r="AB942" t="str">
        <f t="shared" si="554"/>
        <v/>
      </c>
      <c r="AC942">
        <f t="shared" si="502"/>
        <v>1510</v>
      </c>
      <c r="AD942" s="6">
        <v>2</v>
      </c>
      <c r="AE942" t="s">
        <v>745</v>
      </c>
      <c r="AF942" t="s">
        <v>908</v>
      </c>
      <c r="AG942" t="s">
        <v>745</v>
      </c>
      <c r="AH942" t="s">
        <v>744</v>
      </c>
      <c r="AI942" t="s">
        <v>368</v>
      </c>
      <c r="AJ942" t="str">
        <f t="shared" ref="AJ942:AK942" si="572">IF($J942&lt;&gt;"",$J942,IF($AC942=$AC941,AJ941,""))</f>
        <v>o</v>
      </c>
      <c r="AK942" t="str">
        <f t="shared" si="572"/>
        <v>o</v>
      </c>
      <c r="AL942" t="str">
        <f t="shared" si="507"/>
        <v>o</v>
      </c>
      <c r="AN942" t="s">
        <v>861</v>
      </c>
      <c r="AO942" t="str">
        <f t="shared" si="508"/>
        <v>h</v>
      </c>
      <c r="AP942" t="str">
        <f t="shared" si="516"/>
        <v>o</v>
      </c>
      <c r="AQ942" t="str">
        <f t="shared" si="517"/>
        <v/>
      </c>
      <c r="AR942" t="str">
        <f t="shared" si="518"/>
        <v>Home</v>
      </c>
      <c r="AS942" t="str">
        <f t="shared" si="519"/>
        <v>h</v>
      </c>
      <c r="AT942" t="str">
        <f t="shared" si="520"/>
        <v>Defensive</v>
      </c>
      <c r="BA942" s="6">
        <f t="shared" si="509"/>
        <v>252</v>
      </c>
      <c r="BB942">
        <f t="shared" si="510"/>
        <v>18981</v>
      </c>
      <c r="BC942" t="str">
        <f t="shared" si="511"/>
        <v>Nelson</v>
      </c>
      <c r="BD942" t="str">
        <f t="shared" si="512"/>
        <v>Velodrome</v>
      </c>
      <c r="BE942" t="s">
        <v>238</v>
      </c>
      <c r="BF942" t="s">
        <v>174</v>
      </c>
      <c r="BG942" t="s">
        <v>85</v>
      </c>
      <c r="BI942" cm="1">
        <f t="array" ref="BI942">IFERROR(_xlfn._xlws.FILTER(shifts!A:A,(shifts!B:B=events!AD942)*(shifts!AG:AG&gt;=events!BK942)*(shifts!AH:AH&lt;=events!BL942)),BI941)</f>
        <v>45</v>
      </c>
      <c r="BJ942" s="15">
        <f t="shared" si="513"/>
        <v>4</v>
      </c>
      <c r="BK942">
        <f t="shared" si="521"/>
        <v>859</v>
      </c>
      <c r="BL942">
        <f t="shared" si="522"/>
        <v>855</v>
      </c>
      <c r="BM942" s="15">
        <f>SUMIFS(BJ$2:BJ942,K$2:K942,"=Intermission")+SUMIFS(BJ$2:BJ942,K$2:K942,"=Timeout")</f>
        <v>72</v>
      </c>
      <c r="BN942">
        <f t="shared" si="523"/>
        <v>1152</v>
      </c>
      <c r="BO942" s="19">
        <f t="shared" si="524"/>
        <v>1373</v>
      </c>
      <c r="BP942">
        <f t="shared" si="525"/>
        <v>1368</v>
      </c>
      <c r="BQ942" s="17">
        <f t="shared" si="526"/>
        <v>1377</v>
      </c>
      <c r="BR942" t="str">
        <f t="shared" si="527"/>
        <v>opp_team_player_1</v>
      </c>
      <c r="BS942">
        <f>COUNTIFS(S$3:S942,"="&amp;S942,AI$3:AI942,"="&amp;AI942)</f>
        <v>1</v>
      </c>
      <c r="BT942" t="str">
        <f>IFERROR(VLOOKUP(BB942&amp;BU942&amp;X942,game_rosters!U:W,3,FALSE),"")</f>
        <v>P100201</v>
      </c>
      <c r="BU942" t="str">
        <f t="shared" si="528"/>
        <v>Velodrome</v>
      </c>
    </row>
    <row r="943" spans="1:73" x14ac:dyDescent="0.2">
      <c r="A943">
        <f t="shared" si="514"/>
        <v>1</v>
      </c>
      <c r="J943" s="44" t="str">
        <f t="shared" si="529"/>
        <v>o</v>
      </c>
      <c r="K943" t="s">
        <v>238</v>
      </c>
      <c r="L943" t="s">
        <v>174</v>
      </c>
      <c r="M943" t="s">
        <v>85</v>
      </c>
      <c r="S943">
        <v>510</v>
      </c>
      <c r="W943" t="str">
        <f t="shared" si="505"/>
        <v>h</v>
      </c>
      <c r="X943">
        <v>93</v>
      </c>
      <c r="Y943" t="e">
        <f>IF(X943&lt;&gt;"",VLOOKUP(X943,game_rosters!$C$43:$E$64,3,FALSE))</f>
        <v>#N/A</v>
      </c>
      <c r="Z943" t="str" cm="1">
        <f t="array" ref="Z943">IFERROR(IF(_xlfn._xlws.FILTER(game_rosters!$J:$J,(game_rosters!$G:$G=events!$AN943)*(game_rosters!$J:$J=events!$X943))&gt;0,1,""),"")</f>
        <v/>
      </c>
      <c r="AA943">
        <f t="shared" si="553"/>
        <v>1510</v>
      </c>
      <c r="AB943" t="str">
        <f t="shared" si="554"/>
        <v/>
      </c>
      <c r="AC943">
        <f t="shared" si="502"/>
        <v>1510</v>
      </c>
      <c r="AD943" s="6">
        <v>2</v>
      </c>
      <c r="AE943" t="s">
        <v>745</v>
      </c>
      <c r="AF943" t="s">
        <v>908</v>
      </c>
      <c r="AG943" t="s">
        <v>745</v>
      </c>
      <c r="AH943" t="s">
        <v>744</v>
      </c>
      <c r="AI943" t="s">
        <v>368</v>
      </c>
      <c r="AJ943" t="str">
        <f t="shared" ref="AJ943:AK943" si="573">IF($J943&lt;&gt;"",$J943,IF($AC943=$AC942,AJ942,""))</f>
        <v>o</v>
      </c>
      <c r="AK943" t="str">
        <f t="shared" si="573"/>
        <v>o</v>
      </c>
      <c r="AL943" t="str">
        <f t="shared" si="507"/>
        <v>o</v>
      </c>
      <c r="AN943" t="s">
        <v>861</v>
      </c>
      <c r="AO943" t="str">
        <f t="shared" si="508"/>
        <v>h</v>
      </c>
      <c r="AP943" t="str">
        <f t="shared" si="516"/>
        <v>o</v>
      </c>
      <c r="AQ943" t="str">
        <f t="shared" si="517"/>
        <v/>
      </c>
      <c r="AR943" t="str">
        <f t="shared" si="518"/>
        <v>Home</v>
      </c>
      <c r="AS943" t="str">
        <f t="shared" si="519"/>
        <v>h</v>
      </c>
      <c r="AT943" t="str">
        <f t="shared" si="520"/>
        <v>Defensive</v>
      </c>
      <c r="BA943" s="6">
        <f t="shared" si="509"/>
        <v>253</v>
      </c>
      <c r="BB943">
        <f t="shared" si="510"/>
        <v>18981</v>
      </c>
      <c r="BC943" t="str">
        <f t="shared" si="511"/>
        <v>Nelson</v>
      </c>
      <c r="BD943" t="str">
        <f t="shared" si="512"/>
        <v>Velodrome</v>
      </c>
      <c r="BE943" t="s">
        <v>238</v>
      </c>
      <c r="BF943" t="s">
        <v>174</v>
      </c>
      <c r="BG943" t="s">
        <v>85</v>
      </c>
      <c r="BI943" cm="1">
        <f t="array" ref="BI943">IFERROR(_xlfn._xlws.FILTER(shifts!A:A,(shifts!B:B=events!AD943)*(shifts!AG:AG&gt;=events!BK943)*(shifts!AH:AH&lt;=events!BL943)),BI942)</f>
        <v>45</v>
      </c>
      <c r="BJ943" s="15">
        <f t="shared" si="513"/>
        <v>4</v>
      </c>
      <c r="BK943">
        <f t="shared" si="521"/>
        <v>859</v>
      </c>
      <c r="BL943">
        <f t="shared" si="522"/>
        <v>855</v>
      </c>
      <c r="BM943" s="15">
        <f>SUMIFS(BJ$2:BJ943,K$2:K943,"=Intermission")+SUMIFS(BJ$2:BJ943,K$2:K943,"=Timeout")</f>
        <v>72</v>
      </c>
      <c r="BN943">
        <f t="shared" si="523"/>
        <v>1152</v>
      </c>
      <c r="BO943" s="19">
        <f t="shared" si="524"/>
        <v>1373</v>
      </c>
      <c r="BP943">
        <f t="shared" si="525"/>
        <v>1368</v>
      </c>
      <c r="BQ943" s="17">
        <f t="shared" si="526"/>
        <v>1377</v>
      </c>
      <c r="BR943" t="str">
        <f t="shared" si="527"/>
        <v>opp_team_player_2</v>
      </c>
      <c r="BS943">
        <f>COUNTIFS(S$3:S943,"="&amp;S943,AI$3:AI943,"="&amp;AI943)</f>
        <v>2</v>
      </c>
      <c r="BT943" t="str">
        <f>IFERROR(VLOOKUP(BB943&amp;BU943&amp;X943,game_rosters!U:W,3,FALSE),"")</f>
        <v>P100093</v>
      </c>
      <c r="BU943" t="str">
        <f t="shared" si="528"/>
        <v>Velodrome</v>
      </c>
    </row>
    <row r="944" spans="1:73" x14ac:dyDescent="0.2">
      <c r="A944">
        <f t="shared" si="514"/>
        <v>1</v>
      </c>
      <c r="J944" s="44" t="str">
        <f t="shared" si="529"/>
        <v>o</v>
      </c>
      <c r="K944" t="s">
        <v>238</v>
      </c>
      <c r="L944" t="s">
        <v>174</v>
      </c>
      <c r="M944" t="s">
        <v>85</v>
      </c>
      <c r="S944">
        <v>510</v>
      </c>
      <c r="W944" t="str">
        <f t="shared" si="505"/>
        <v>h</v>
      </c>
      <c r="X944">
        <v>9</v>
      </c>
      <c r="Y944" t="e">
        <f>IF(X944&lt;&gt;"",VLOOKUP(X944,game_rosters!$C$43:$E$64,3,FALSE))</f>
        <v>#N/A</v>
      </c>
      <c r="Z944" t="str" cm="1">
        <f t="array" ref="Z944">IFERROR(IF(_xlfn._xlws.FILTER(game_rosters!$J:$J,(game_rosters!$G:$G=events!$AN944)*(game_rosters!$J:$J=events!$X944))&gt;0,1,""),"")</f>
        <v/>
      </c>
      <c r="AA944">
        <f t="shared" si="553"/>
        <v>1510</v>
      </c>
      <c r="AB944" t="str">
        <f t="shared" si="554"/>
        <v/>
      </c>
      <c r="AC944">
        <f t="shared" si="502"/>
        <v>1510</v>
      </c>
      <c r="AD944" s="6">
        <v>2</v>
      </c>
      <c r="AE944" t="s">
        <v>745</v>
      </c>
      <c r="AF944" t="s">
        <v>908</v>
      </c>
      <c r="AG944" t="s">
        <v>745</v>
      </c>
      <c r="AH944" t="s">
        <v>744</v>
      </c>
      <c r="AI944" t="s">
        <v>368</v>
      </c>
      <c r="AJ944" t="str">
        <f t="shared" ref="AJ944:AK944" si="574">IF($J944&lt;&gt;"",$J944,IF($AC944=$AC943,AJ943,""))</f>
        <v>o</v>
      </c>
      <c r="AK944" t="str">
        <f t="shared" si="574"/>
        <v>o</v>
      </c>
      <c r="AL944" t="str">
        <f t="shared" si="507"/>
        <v>o</v>
      </c>
      <c r="AN944" t="s">
        <v>861</v>
      </c>
      <c r="AO944" t="str">
        <f t="shared" si="508"/>
        <v>h</v>
      </c>
      <c r="AP944" t="str">
        <f t="shared" si="516"/>
        <v>o</v>
      </c>
      <c r="AQ944" t="str">
        <f t="shared" si="517"/>
        <v/>
      </c>
      <c r="AR944" t="str">
        <f t="shared" si="518"/>
        <v>Home</v>
      </c>
      <c r="AS944" t="str">
        <f t="shared" si="519"/>
        <v>h</v>
      </c>
      <c r="AT944" t="str">
        <f t="shared" si="520"/>
        <v>Defensive</v>
      </c>
      <c r="BA944" s="6">
        <f t="shared" si="509"/>
        <v>254</v>
      </c>
      <c r="BB944">
        <f t="shared" si="510"/>
        <v>18981</v>
      </c>
      <c r="BC944" t="str">
        <f t="shared" si="511"/>
        <v>Nelson</v>
      </c>
      <c r="BD944" t="str">
        <f t="shared" si="512"/>
        <v>Velodrome</v>
      </c>
      <c r="BE944" t="s">
        <v>238</v>
      </c>
      <c r="BF944" t="s">
        <v>174</v>
      </c>
      <c r="BG944" t="s">
        <v>85</v>
      </c>
      <c r="BI944" cm="1">
        <f t="array" ref="BI944">IFERROR(_xlfn._xlws.FILTER(shifts!A:A,(shifts!B:B=events!AD944)*(shifts!AG:AG&gt;=events!BK944)*(shifts!AH:AH&lt;=events!BL944)),BI943)</f>
        <v>45</v>
      </c>
      <c r="BJ944" s="15">
        <f t="shared" si="513"/>
        <v>4</v>
      </c>
      <c r="BK944">
        <f t="shared" si="521"/>
        <v>859</v>
      </c>
      <c r="BL944">
        <f t="shared" si="522"/>
        <v>855</v>
      </c>
      <c r="BM944" s="15">
        <f>SUMIFS(BJ$2:BJ944,K$2:K944,"=Intermission")+SUMIFS(BJ$2:BJ944,K$2:K944,"=Timeout")</f>
        <v>72</v>
      </c>
      <c r="BN944">
        <f t="shared" si="523"/>
        <v>1152</v>
      </c>
      <c r="BO944" s="19">
        <f t="shared" si="524"/>
        <v>1373</v>
      </c>
      <c r="BP944">
        <f t="shared" si="525"/>
        <v>1368</v>
      </c>
      <c r="BQ944" s="17">
        <f t="shared" si="526"/>
        <v>1377</v>
      </c>
      <c r="BR944" t="str">
        <f t="shared" si="527"/>
        <v>opp_team_player_3</v>
      </c>
      <c r="BS944">
        <f>COUNTIFS(S$3:S944,"="&amp;S944,AI$3:AI944,"="&amp;AI944)</f>
        <v>3</v>
      </c>
      <c r="BT944" t="str">
        <f>IFERROR(VLOOKUP(BB944&amp;BU944&amp;X944,game_rosters!U:W,3,FALSE),"")</f>
        <v>P100105</v>
      </c>
      <c r="BU944" t="str">
        <f t="shared" si="528"/>
        <v>Velodrome</v>
      </c>
    </row>
    <row r="945" spans="1:73" x14ac:dyDescent="0.2">
      <c r="A945">
        <f t="shared" si="514"/>
        <v>1</v>
      </c>
      <c r="J945" s="44" t="str">
        <f t="shared" si="529"/>
        <v/>
      </c>
      <c r="K945" t="s">
        <v>7</v>
      </c>
      <c r="L945" t="s">
        <v>172</v>
      </c>
      <c r="M945" t="s">
        <v>68</v>
      </c>
      <c r="S945">
        <v>511</v>
      </c>
      <c r="W945" t="str">
        <f t="shared" si="505"/>
        <v>h</v>
      </c>
      <c r="X945">
        <v>79</v>
      </c>
      <c r="Y945" t="b">
        <f>IF(X945&lt;&gt;"",VLOOKUP(X945,game_rosters!$C$43:$E$64,3,FALSE))</f>
        <v>0</v>
      </c>
      <c r="Z945" cm="1">
        <f t="array" ref="Z945">IFERROR(IF(_xlfn._xlws.FILTER(game_rosters!$J:$J,(game_rosters!$G:$G=events!$AN945)*(game_rosters!$J:$J=events!$X945))&gt;0,1,""),"")</f>
        <v>1</v>
      </c>
      <c r="AA945">
        <f t="shared" si="553"/>
        <v>1511</v>
      </c>
      <c r="AB945" t="str">
        <f t="shared" si="554"/>
        <v/>
      </c>
      <c r="AC945">
        <f t="shared" si="502"/>
        <v>1511</v>
      </c>
      <c r="AD945" s="6">
        <v>2</v>
      </c>
      <c r="AE945" t="s">
        <v>745</v>
      </c>
      <c r="AF945" t="s">
        <v>744</v>
      </c>
      <c r="AG945" t="s">
        <v>756</v>
      </c>
      <c r="AH945" t="s">
        <v>756</v>
      </c>
      <c r="AI945" t="s">
        <v>367</v>
      </c>
      <c r="AJ945" t="str">
        <f t="shared" ref="AJ945:AK945" si="575">IF($J945&lt;&gt;"",$J945,IF($AC945=$AC944,AJ944,""))</f>
        <v/>
      </c>
      <c r="AK945" t="str">
        <f t="shared" si="575"/>
        <v/>
      </c>
      <c r="AL945" t="str">
        <f t="shared" si="507"/>
        <v/>
      </c>
      <c r="AN945" t="s">
        <v>861</v>
      </c>
      <c r="AO945" t="str">
        <f t="shared" si="508"/>
        <v>h</v>
      </c>
      <c r="AP945" t="str">
        <f t="shared" si="516"/>
        <v/>
      </c>
      <c r="AQ945" t="str">
        <f t="shared" si="517"/>
        <v/>
      </c>
      <c r="AR945" t="str">
        <f t="shared" si="518"/>
        <v>Home</v>
      </c>
      <c r="AS945" t="str">
        <f t="shared" si="519"/>
        <v>h</v>
      </c>
      <c r="AT945" t="str">
        <f t="shared" si="520"/>
        <v>Offensive</v>
      </c>
      <c r="BA945" s="6">
        <f t="shared" si="509"/>
        <v>254</v>
      </c>
      <c r="BB945">
        <f t="shared" si="510"/>
        <v>18981</v>
      </c>
      <c r="BC945" t="str">
        <f t="shared" si="511"/>
        <v>Nelson</v>
      </c>
      <c r="BD945" t="str">
        <f t="shared" si="512"/>
        <v>Velodrome</v>
      </c>
      <c r="BE945" t="s">
        <v>7</v>
      </c>
      <c r="BF945" t="s">
        <v>172</v>
      </c>
      <c r="BG945" t="s">
        <v>68</v>
      </c>
      <c r="BI945" cm="1">
        <f t="array" ref="BI945">IFERROR(_xlfn._xlws.FILTER(shifts!A:A,(shifts!B:B=events!AD945)*(shifts!AG:AG&gt;=events!BK945)*(shifts!AH:AH&lt;=events!BL945)),BI944)</f>
        <v>45</v>
      </c>
      <c r="BJ945" s="15">
        <f t="shared" si="513"/>
        <v>0</v>
      </c>
      <c r="BK945">
        <f t="shared" si="521"/>
        <v>855</v>
      </c>
      <c r="BL945">
        <f t="shared" si="522"/>
        <v>855</v>
      </c>
      <c r="BM945" s="15">
        <f>SUMIFS(BJ$2:BJ945,K$2:K945,"=Intermission")+SUMIFS(BJ$2:BJ945,K$2:K945,"=Timeout")</f>
        <v>72</v>
      </c>
      <c r="BN945">
        <f t="shared" si="523"/>
        <v>1152</v>
      </c>
      <c r="BO945" s="19">
        <f t="shared" si="524"/>
        <v>1377</v>
      </c>
      <c r="BP945">
        <f t="shared" si="525"/>
        <v>1372</v>
      </c>
      <c r="BQ945" s="17">
        <f t="shared" si="526"/>
        <v>1377</v>
      </c>
      <c r="BR945" t="str">
        <f t="shared" si="527"/>
        <v>event_team_player_1</v>
      </c>
      <c r="BS945">
        <f>COUNTIFS(S$3:S945,"="&amp;S945,AI$3:AI945,"="&amp;AI945)</f>
        <v>1</v>
      </c>
      <c r="BT945" t="str">
        <f>IFERROR(VLOOKUP(BB945&amp;BU945&amp;X945,game_rosters!U:W,3,FALSE),"")</f>
        <v>P100066</v>
      </c>
      <c r="BU945" t="str">
        <f t="shared" si="528"/>
        <v>Nelson</v>
      </c>
    </row>
    <row r="946" spans="1:73" x14ac:dyDescent="0.2">
      <c r="A946">
        <f t="shared" si="514"/>
        <v>1</v>
      </c>
      <c r="J946" s="44" t="str">
        <f t="shared" si="529"/>
        <v/>
      </c>
      <c r="K946" t="s">
        <v>7</v>
      </c>
      <c r="L946" t="s">
        <v>172</v>
      </c>
      <c r="M946" t="s">
        <v>68</v>
      </c>
      <c r="S946">
        <v>511</v>
      </c>
      <c r="W946" t="str">
        <f t="shared" si="505"/>
        <v>h</v>
      </c>
      <c r="X946">
        <v>44</v>
      </c>
      <c r="Y946" t="b">
        <f>IF(X946&lt;&gt;"",VLOOKUP(X946,game_rosters!$C$43:$E$64,3,FALSE))</f>
        <v>0</v>
      </c>
      <c r="Z946" cm="1">
        <f t="array" ref="Z946">IFERROR(IF(_xlfn._xlws.FILTER(game_rosters!$J:$J,(game_rosters!$G:$G=events!$AN946)*(game_rosters!$J:$J=events!$X946))&gt;0,1,""),"")</f>
        <v>1</v>
      </c>
      <c r="AA946">
        <f t="shared" si="553"/>
        <v>1511</v>
      </c>
      <c r="AB946" t="str">
        <f t="shared" si="554"/>
        <v/>
      </c>
      <c r="AC946">
        <f t="shared" si="502"/>
        <v>1511</v>
      </c>
      <c r="AD946" s="6">
        <v>2</v>
      </c>
      <c r="AE946" t="s">
        <v>745</v>
      </c>
      <c r="AF946" t="s">
        <v>744</v>
      </c>
      <c r="AG946" t="s">
        <v>756</v>
      </c>
      <c r="AH946" t="s">
        <v>756</v>
      </c>
      <c r="AI946" t="s">
        <v>367</v>
      </c>
      <c r="AJ946" t="str">
        <f t="shared" ref="AJ946:AK946" si="576">IF($J946&lt;&gt;"",$J946,IF($AC946=$AC945,AJ945,""))</f>
        <v/>
      </c>
      <c r="AK946" t="str">
        <f t="shared" si="576"/>
        <v/>
      </c>
      <c r="AL946" t="str">
        <f t="shared" si="507"/>
        <v/>
      </c>
      <c r="AN946" t="s">
        <v>861</v>
      </c>
      <c r="AO946" t="str">
        <f t="shared" si="508"/>
        <v>h</v>
      </c>
      <c r="AP946" t="str">
        <f t="shared" si="516"/>
        <v/>
      </c>
      <c r="AQ946" t="str">
        <f t="shared" si="517"/>
        <v/>
      </c>
      <c r="AR946" t="str">
        <f t="shared" si="518"/>
        <v>Home</v>
      </c>
      <c r="AS946" t="str">
        <f t="shared" si="519"/>
        <v>h</v>
      </c>
      <c r="AT946" t="str">
        <f t="shared" si="520"/>
        <v>Offensive</v>
      </c>
      <c r="BA946" s="6">
        <f t="shared" si="509"/>
        <v>254</v>
      </c>
      <c r="BB946">
        <f t="shared" si="510"/>
        <v>18981</v>
      </c>
      <c r="BC946" t="str">
        <f t="shared" si="511"/>
        <v>Nelson</v>
      </c>
      <c r="BD946" t="str">
        <f t="shared" si="512"/>
        <v>Velodrome</v>
      </c>
      <c r="BE946" t="s">
        <v>7</v>
      </c>
      <c r="BF946" t="s">
        <v>172</v>
      </c>
      <c r="BG946" t="s">
        <v>68</v>
      </c>
      <c r="BI946" cm="1">
        <f t="array" ref="BI946">IFERROR(_xlfn._xlws.FILTER(shifts!A:A,(shifts!B:B=events!AD946)*(shifts!AG:AG&gt;=events!BK946)*(shifts!AH:AH&lt;=events!BL946)),BI945)</f>
        <v>45</v>
      </c>
      <c r="BJ946" s="15">
        <f t="shared" si="513"/>
        <v>0</v>
      </c>
      <c r="BK946">
        <f t="shared" si="521"/>
        <v>855</v>
      </c>
      <c r="BL946">
        <f t="shared" si="522"/>
        <v>855</v>
      </c>
      <c r="BM946" s="15">
        <f>SUMIFS(BJ$2:BJ946,K$2:K946,"=Intermission")+SUMIFS(BJ$2:BJ946,K$2:K946,"=Timeout")</f>
        <v>72</v>
      </c>
      <c r="BN946">
        <f t="shared" si="523"/>
        <v>1152</v>
      </c>
      <c r="BO946" s="19">
        <f t="shared" si="524"/>
        <v>1377</v>
      </c>
      <c r="BP946">
        <f t="shared" si="525"/>
        <v>1372</v>
      </c>
      <c r="BQ946" s="17">
        <f t="shared" si="526"/>
        <v>1377</v>
      </c>
      <c r="BR946" t="str">
        <f t="shared" si="527"/>
        <v>event_team_player_2</v>
      </c>
      <c r="BS946">
        <f>COUNTIFS(S$3:S946,"="&amp;S946,AI$3:AI946,"="&amp;AI946)</f>
        <v>2</v>
      </c>
      <c r="BT946" t="str">
        <f>IFERROR(VLOOKUP(BB946&amp;BU946&amp;X946,game_rosters!U:W,3,FALSE),"")</f>
        <v>P100079</v>
      </c>
      <c r="BU946" t="str">
        <f t="shared" si="528"/>
        <v>Nelson</v>
      </c>
    </row>
    <row r="947" spans="1:73" x14ac:dyDescent="0.2">
      <c r="A947">
        <f t="shared" si="514"/>
        <v>1</v>
      </c>
      <c r="J947" s="44" t="str">
        <f t="shared" si="529"/>
        <v>o</v>
      </c>
      <c r="K947" t="s">
        <v>6</v>
      </c>
      <c r="L947" t="s">
        <v>181</v>
      </c>
      <c r="M947" t="s">
        <v>59</v>
      </c>
      <c r="S947">
        <v>512</v>
      </c>
      <c r="W947" t="str">
        <f t="shared" si="505"/>
        <v>h</v>
      </c>
      <c r="X947">
        <v>44</v>
      </c>
      <c r="Y947" t="b">
        <f>IF(X947&lt;&gt;"",VLOOKUP(X947,game_rosters!$C$43:$E$64,3,FALSE))</f>
        <v>0</v>
      </c>
      <c r="Z947" cm="1">
        <f t="array" ref="Z947">IFERROR(IF(_xlfn._xlws.FILTER(game_rosters!$J:$J,(game_rosters!$G:$G=events!$AN947)*(game_rosters!$J:$J=events!$X947))&gt;0,1,""),"")</f>
        <v>1</v>
      </c>
      <c r="AA947">
        <f t="shared" si="553"/>
        <v>1512</v>
      </c>
      <c r="AB947" t="str">
        <f t="shared" si="554"/>
        <v/>
      </c>
      <c r="AC947">
        <f t="shared" si="502"/>
        <v>1512</v>
      </c>
      <c r="AD947" s="6">
        <v>2</v>
      </c>
      <c r="AE947" t="s">
        <v>745</v>
      </c>
      <c r="AF947" t="s">
        <v>926</v>
      </c>
      <c r="AG947" t="s">
        <v>756</v>
      </c>
      <c r="AH947" t="s">
        <v>756</v>
      </c>
      <c r="AI947" t="s">
        <v>367</v>
      </c>
      <c r="AJ947" t="str">
        <f t="shared" ref="AJ947:AK947" si="577">IF($J947&lt;&gt;"",$J947,IF($AC947=$AC946,AJ946,""))</f>
        <v>o</v>
      </c>
      <c r="AK947" t="str">
        <f t="shared" si="577"/>
        <v>o</v>
      </c>
      <c r="AL947" t="str">
        <f t="shared" si="507"/>
        <v>o</v>
      </c>
      <c r="AN947" t="s">
        <v>861</v>
      </c>
      <c r="AO947" t="str">
        <f t="shared" si="508"/>
        <v>h</v>
      </c>
      <c r="AP947" t="str">
        <f t="shared" si="516"/>
        <v>o</v>
      </c>
      <c r="AQ947" t="str">
        <f t="shared" si="517"/>
        <v/>
      </c>
      <c r="AR947" t="str">
        <f t="shared" si="518"/>
        <v>Home</v>
      </c>
      <c r="AS947" t="str">
        <f t="shared" si="519"/>
        <v>h</v>
      </c>
      <c r="AT947" t="str">
        <f t="shared" si="520"/>
        <v>Offensive</v>
      </c>
      <c r="BA947" s="6">
        <f t="shared" si="509"/>
        <v>254</v>
      </c>
      <c r="BB947">
        <f t="shared" si="510"/>
        <v>18981</v>
      </c>
      <c r="BC947" t="str">
        <f t="shared" si="511"/>
        <v>Nelson</v>
      </c>
      <c r="BD947" t="str">
        <f t="shared" si="512"/>
        <v>Velodrome</v>
      </c>
      <c r="BE947" t="s">
        <v>6</v>
      </c>
      <c r="BF947" t="s">
        <v>181</v>
      </c>
      <c r="BG947" t="s">
        <v>59</v>
      </c>
      <c r="BI947" cm="1">
        <f t="array" ref="BI947">IFERROR(_xlfn._xlws.FILTER(shifts!A:A,(shifts!B:B=events!AD947)*(shifts!AG:AG&gt;=events!BK947)*(shifts!AH:AH&lt;=events!BL947)),BI946)</f>
        <v>46</v>
      </c>
      <c r="BJ947" s="15">
        <f t="shared" si="513"/>
        <v>0</v>
      </c>
      <c r="BK947">
        <f t="shared" si="521"/>
        <v>853</v>
      </c>
      <c r="BL947">
        <f t="shared" si="522"/>
        <v>853</v>
      </c>
      <c r="BM947" s="15">
        <f>SUMIFS(BJ$2:BJ947,K$2:K947,"=Intermission")+SUMIFS(BJ$2:BJ947,K$2:K947,"=Timeout")</f>
        <v>72</v>
      </c>
      <c r="BN947">
        <f t="shared" si="523"/>
        <v>1152</v>
      </c>
      <c r="BO947" s="19">
        <f t="shared" si="524"/>
        <v>1379</v>
      </c>
      <c r="BP947">
        <f t="shared" si="525"/>
        <v>1374</v>
      </c>
      <c r="BQ947" s="17">
        <f t="shared" si="526"/>
        <v>1379</v>
      </c>
      <c r="BR947" t="str">
        <f t="shared" si="527"/>
        <v>event_team_player_1</v>
      </c>
      <c r="BS947">
        <f>COUNTIFS(S$3:S947,"="&amp;S947,AI$3:AI947,"="&amp;AI947)</f>
        <v>1</v>
      </c>
      <c r="BT947" t="str">
        <f>IFERROR(VLOOKUP(BB947&amp;BU947&amp;X947,game_rosters!U:W,3,FALSE),"")</f>
        <v>P100079</v>
      </c>
      <c r="BU947" t="str">
        <f t="shared" si="528"/>
        <v>Nelson</v>
      </c>
    </row>
    <row r="948" spans="1:73" x14ac:dyDescent="0.2">
      <c r="A948">
        <f t="shared" si="514"/>
        <v>1</v>
      </c>
      <c r="J948" s="44" t="str">
        <f t="shared" si="529"/>
        <v>o</v>
      </c>
      <c r="K948" t="s">
        <v>6</v>
      </c>
      <c r="L948" t="s">
        <v>181</v>
      </c>
      <c r="M948" t="s">
        <v>59</v>
      </c>
      <c r="S948">
        <v>512</v>
      </c>
      <c r="W948" t="str">
        <f t="shared" si="505"/>
        <v>h</v>
      </c>
      <c r="X948">
        <v>9</v>
      </c>
      <c r="Y948" t="e">
        <f>IF(X948&lt;&gt;"",VLOOKUP(X948,game_rosters!$C$43:$E$64,3,FALSE))</f>
        <v>#N/A</v>
      </c>
      <c r="Z948" t="str" cm="1">
        <f t="array" ref="Z948">IFERROR(IF(_xlfn._xlws.FILTER(game_rosters!$J:$J,(game_rosters!$G:$G=events!$AN948)*(game_rosters!$J:$J=events!$X948))&gt;0,1,""),"")</f>
        <v/>
      </c>
      <c r="AA948">
        <f t="shared" si="553"/>
        <v>1512</v>
      </c>
      <c r="AB948" t="str">
        <f t="shared" si="554"/>
        <v/>
      </c>
      <c r="AC948">
        <f t="shared" si="502"/>
        <v>1512</v>
      </c>
      <c r="AD948" s="6">
        <v>2</v>
      </c>
      <c r="AE948" t="s">
        <v>745</v>
      </c>
      <c r="AF948" t="s">
        <v>926</v>
      </c>
      <c r="AG948" t="s">
        <v>756</v>
      </c>
      <c r="AH948" t="s">
        <v>756</v>
      </c>
      <c r="AI948" t="s">
        <v>368</v>
      </c>
      <c r="AJ948" t="str">
        <f t="shared" ref="AJ948:AK948" si="578">IF($J948&lt;&gt;"",$J948,IF($AC948=$AC947,AJ947,""))</f>
        <v>o</v>
      </c>
      <c r="AK948" t="str">
        <f t="shared" si="578"/>
        <v>o</v>
      </c>
      <c r="AL948" t="str">
        <f t="shared" si="507"/>
        <v>o</v>
      </c>
      <c r="AN948" t="s">
        <v>861</v>
      </c>
      <c r="AO948" t="str">
        <f t="shared" si="508"/>
        <v>h</v>
      </c>
      <c r="AP948" t="str">
        <f t="shared" si="516"/>
        <v>o</v>
      </c>
      <c r="AQ948" t="str">
        <f t="shared" si="517"/>
        <v/>
      </c>
      <c r="AR948" t="str">
        <f t="shared" si="518"/>
        <v>Home</v>
      </c>
      <c r="AS948" t="str">
        <f t="shared" si="519"/>
        <v>h</v>
      </c>
      <c r="AT948" t="str">
        <f t="shared" si="520"/>
        <v>Defensive</v>
      </c>
      <c r="BA948" s="6">
        <f t="shared" si="509"/>
        <v>254</v>
      </c>
      <c r="BB948">
        <f t="shared" si="510"/>
        <v>18981</v>
      </c>
      <c r="BC948" t="str">
        <f t="shared" si="511"/>
        <v>Nelson</v>
      </c>
      <c r="BD948" t="str">
        <f t="shared" si="512"/>
        <v>Velodrome</v>
      </c>
      <c r="BE948" t="s">
        <v>6</v>
      </c>
      <c r="BF948" t="s">
        <v>181</v>
      </c>
      <c r="BG948" t="s">
        <v>59</v>
      </c>
      <c r="BI948" cm="1">
        <f t="array" ref="BI948">IFERROR(_xlfn._xlws.FILTER(shifts!A:A,(shifts!B:B=events!AD948)*(shifts!AG:AG&gt;=events!BK948)*(shifts!AH:AH&lt;=events!BL948)),BI947)</f>
        <v>46</v>
      </c>
      <c r="BJ948" s="15">
        <f t="shared" si="513"/>
        <v>0</v>
      </c>
      <c r="BK948">
        <f t="shared" si="521"/>
        <v>853</v>
      </c>
      <c r="BL948">
        <f t="shared" si="522"/>
        <v>853</v>
      </c>
      <c r="BM948" s="15">
        <f>SUMIFS(BJ$2:BJ948,K$2:K948,"=Intermission")+SUMIFS(BJ$2:BJ948,K$2:K948,"=Timeout")</f>
        <v>72</v>
      </c>
      <c r="BN948">
        <f t="shared" si="523"/>
        <v>1152</v>
      </c>
      <c r="BO948" s="19">
        <f t="shared" si="524"/>
        <v>1379</v>
      </c>
      <c r="BP948">
        <f t="shared" si="525"/>
        <v>1374</v>
      </c>
      <c r="BQ948" s="17">
        <f t="shared" si="526"/>
        <v>1379</v>
      </c>
      <c r="BR948" t="str">
        <f t="shared" si="527"/>
        <v>opp_team_player_1</v>
      </c>
      <c r="BS948">
        <f>COUNTIFS(S$3:S948,"="&amp;S948,AI$3:AI948,"="&amp;AI948)</f>
        <v>1</v>
      </c>
      <c r="BT948" t="str">
        <f>IFERROR(VLOOKUP(BB948&amp;BU948&amp;X948,game_rosters!U:W,3,FALSE),"")</f>
        <v>P100105</v>
      </c>
      <c r="BU948" t="str">
        <f t="shared" si="528"/>
        <v>Velodrome</v>
      </c>
    </row>
    <row r="949" spans="1:73" x14ac:dyDescent="0.2">
      <c r="A949">
        <f t="shared" si="514"/>
        <v>1</v>
      </c>
      <c r="J949" s="44" t="str">
        <f t="shared" si="529"/>
        <v/>
      </c>
      <c r="K949" t="s">
        <v>13</v>
      </c>
      <c r="L949" t="s">
        <v>756</v>
      </c>
      <c r="M949" t="s">
        <v>756</v>
      </c>
      <c r="S949">
        <v>513</v>
      </c>
      <c r="W949" t="str">
        <f t="shared" si="505"/>
        <v>h</v>
      </c>
      <c r="X949">
        <v>3</v>
      </c>
      <c r="Y949" t="b">
        <f>IF(X949&lt;&gt;"",VLOOKUP(X949,game_rosters!$C$43:$E$64,3,FALSE))</f>
        <v>0</v>
      </c>
      <c r="Z949" cm="1">
        <f t="array" ref="Z949">IFERROR(IF(_xlfn._xlws.FILTER(game_rosters!$J:$J,(game_rosters!$G:$G=events!$AN949)*(game_rosters!$J:$J=events!$X949))&gt;0,1,""),"")</f>
        <v>1</v>
      </c>
      <c r="AA949">
        <f t="shared" si="553"/>
        <v>1513</v>
      </c>
      <c r="AB949" t="str">
        <f t="shared" si="554"/>
        <v/>
      </c>
      <c r="AC949">
        <f t="shared" si="502"/>
        <v>1513</v>
      </c>
      <c r="AD949" s="6">
        <v>2</v>
      </c>
      <c r="AE949" t="s">
        <v>745</v>
      </c>
      <c r="AF949" t="s">
        <v>920</v>
      </c>
      <c r="AG949" t="s">
        <v>745</v>
      </c>
      <c r="AH949" t="s">
        <v>939</v>
      </c>
      <c r="AI949" t="s">
        <v>367</v>
      </c>
      <c r="AJ949" t="str">
        <f t="shared" ref="AJ949:AK949" si="579">IF($J949&lt;&gt;"",$J949,IF($AC949=$AC948,AJ948,""))</f>
        <v/>
      </c>
      <c r="AK949" t="str">
        <f t="shared" si="579"/>
        <v/>
      </c>
      <c r="AL949" t="str">
        <f t="shared" si="507"/>
        <v/>
      </c>
      <c r="AN949" t="s">
        <v>861</v>
      </c>
      <c r="AO949" t="str">
        <f t="shared" si="508"/>
        <v>h</v>
      </c>
      <c r="AP949" t="str">
        <f t="shared" si="516"/>
        <v/>
      </c>
      <c r="AQ949" t="str">
        <f t="shared" si="517"/>
        <v/>
      </c>
      <c r="AR949" t="str">
        <f t="shared" si="518"/>
        <v>Home</v>
      </c>
      <c r="AS949" t="str">
        <f t="shared" si="519"/>
        <v>h</v>
      </c>
      <c r="AT949" t="str">
        <f t="shared" si="520"/>
        <v>Offensive</v>
      </c>
      <c r="BA949" s="6">
        <f t="shared" si="509"/>
        <v>254</v>
      </c>
      <c r="BB949">
        <f t="shared" si="510"/>
        <v>18981</v>
      </c>
      <c r="BC949" t="str">
        <f t="shared" si="511"/>
        <v>Nelson</v>
      </c>
      <c r="BD949" t="str">
        <f t="shared" si="512"/>
        <v>Velodrome</v>
      </c>
      <c r="BE949" t="s">
        <v>13</v>
      </c>
      <c r="BF949" t="s">
        <v>756</v>
      </c>
      <c r="BG949" t="s">
        <v>756</v>
      </c>
      <c r="BI949" cm="1">
        <f t="array" ref="BI949">IFERROR(_xlfn._xlws.FILTER(shifts!A:A,(shifts!B:B=events!AD949)*(shifts!AG:AG&gt;=events!BK949)*(shifts!AH:AH&lt;=events!BL949)),BI948)</f>
        <v>46</v>
      </c>
      <c r="BJ949" s="15">
        <f t="shared" si="513"/>
        <v>1</v>
      </c>
      <c r="BK949">
        <f t="shared" si="521"/>
        <v>849</v>
      </c>
      <c r="BL949">
        <f t="shared" si="522"/>
        <v>848</v>
      </c>
      <c r="BM949" s="15">
        <f>SUMIFS(BJ$2:BJ949,K$2:K949,"=Intermission")+SUMIFS(BJ$2:BJ949,K$2:K949,"=Timeout")</f>
        <v>72</v>
      </c>
      <c r="BN949">
        <f t="shared" si="523"/>
        <v>1152</v>
      </c>
      <c r="BO949" s="19">
        <f t="shared" si="524"/>
        <v>1383</v>
      </c>
      <c r="BP949">
        <f t="shared" si="525"/>
        <v>1378</v>
      </c>
      <c r="BQ949" s="17">
        <f t="shared" si="526"/>
        <v>1384</v>
      </c>
      <c r="BR949" t="str">
        <f t="shared" si="527"/>
        <v>event_team_player_1</v>
      </c>
      <c r="BS949">
        <f>COUNTIFS(S$3:S949,"="&amp;S949,AI$3:AI949,"="&amp;AI949)</f>
        <v>1</v>
      </c>
      <c r="BT949" t="str">
        <f>IFERROR(VLOOKUP(BB949&amp;BU949&amp;X949,game_rosters!U:W,3,FALSE),"")</f>
        <v>P100111</v>
      </c>
      <c r="BU949" t="str">
        <f t="shared" si="528"/>
        <v>Nelson</v>
      </c>
    </row>
    <row r="950" spans="1:73" x14ac:dyDescent="0.2">
      <c r="A950">
        <f t="shared" si="514"/>
        <v>1</v>
      </c>
      <c r="J950" s="44" t="str">
        <f t="shared" si="529"/>
        <v/>
      </c>
      <c r="K950" t="s">
        <v>13</v>
      </c>
      <c r="L950" t="s">
        <v>756</v>
      </c>
      <c r="M950" t="s">
        <v>756</v>
      </c>
      <c r="S950">
        <v>513</v>
      </c>
      <c r="W950" t="str">
        <f t="shared" si="505"/>
        <v>h</v>
      </c>
      <c r="X950">
        <v>49</v>
      </c>
      <c r="Y950" t="e">
        <f>IF(X950&lt;&gt;"",VLOOKUP(X950,game_rosters!$C$43:$E$64,3,FALSE))</f>
        <v>#N/A</v>
      </c>
      <c r="Z950" t="str" cm="1">
        <f t="array" ref="Z950">IFERROR(IF(_xlfn._xlws.FILTER(game_rosters!$J:$J,(game_rosters!$G:$G=events!$AN950)*(game_rosters!$J:$J=events!$X950))&gt;0,1,""),"")</f>
        <v/>
      </c>
      <c r="AA950">
        <f t="shared" si="553"/>
        <v>1513</v>
      </c>
      <c r="AB950" t="str">
        <f t="shared" si="554"/>
        <v/>
      </c>
      <c r="AC950">
        <f t="shared" si="502"/>
        <v>1513</v>
      </c>
      <c r="AD950" s="6">
        <v>2</v>
      </c>
      <c r="AE950" t="s">
        <v>745</v>
      </c>
      <c r="AF950" t="s">
        <v>920</v>
      </c>
      <c r="AG950" t="s">
        <v>745</v>
      </c>
      <c r="AH950" t="s">
        <v>939</v>
      </c>
      <c r="AI950" t="s">
        <v>368</v>
      </c>
      <c r="AJ950" t="str">
        <f t="shared" ref="AJ950:AK950" si="580">IF($J950&lt;&gt;"",$J950,IF($AC950=$AC949,AJ949,""))</f>
        <v/>
      </c>
      <c r="AK950" t="str">
        <f t="shared" si="580"/>
        <v/>
      </c>
      <c r="AL950" t="str">
        <f t="shared" si="507"/>
        <v/>
      </c>
      <c r="AN950" t="s">
        <v>861</v>
      </c>
      <c r="AO950" t="str">
        <f t="shared" si="508"/>
        <v>h</v>
      </c>
      <c r="AP950" t="str">
        <f t="shared" si="516"/>
        <v/>
      </c>
      <c r="AQ950" t="str">
        <f t="shared" si="517"/>
        <v/>
      </c>
      <c r="AR950" t="str">
        <f t="shared" si="518"/>
        <v>Home</v>
      </c>
      <c r="AS950" t="str">
        <f t="shared" si="519"/>
        <v>h</v>
      </c>
      <c r="AT950" t="str">
        <f t="shared" si="520"/>
        <v>Defensive</v>
      </c>
      <c r="BA950" s="6">
        <f t="shared" si="509"/>
        <v>254</v>
      </c>
      <c r="BB950">
        <f t="shared" si="510"/>
        <v>18981</v>
      </c>
      <c r="BC950" t="str">
        <f t="shared" si="511"/>
        <v>Nelson</v>
      </c>
      <c r="BD950" t="str">
        <f t="shared" si="512"/>
        <v>Velodrome</v>
      </c>
      <c r="BE950" t="s">
        <v>13</v>
      </c>
      <c r="BF950" t="s">
        <v>756</v>
      </c>
      <c r="BG950" t="s">
        <v>756</v>
      </c>
      <c r="BI950" cm="1">
        <f t="array" ref="BI950">IFERROR(_xlfn._xlws.FILTER(shifts!A:A,(shifts!B:B=events!AD950)*(shifts!AG:AG&gt;=events!BK950)*(shifts!AH:AH&lt;=events!BL950)),BI949)</f>
        <v>46</v>
      </c>
      <c r="BJ950" s="15">
        <f t="shared" si="513"/>
        <v>1</v>
      </c>
      <c r="BK950">
        <f t="shared" si="521"/>
        <v>849</v>
      </c>
      <c r="BL950">
        <f t="shared" si="522"/>
        <v>848</v>
      </c>
      <c r="BM950" s="15">
        <f>SUMIFS(BJ$2:BJ950,K$2:K950,"=Intermission")+SUMIFS(BJ$2:BJ950,K$2:K950,"=Timeout")</f>
        <v>72</v>
      </c>
      <c r="BN950">
        <f t="shared" si="523"/>
        <v>1152</v>
      </c>
      <c r="BO950" s="19">
        <f t="shared" si="524"/>
        <v>1383</v>
      </c>
      <c r="BP950">
        <f t="shared" si="525"/>
        <v>1378</v>
      </c>
      <c r="BQ950" s="17">
        <f t="shared" si="526"/>
        <v>1384</v>
      </c>
      <c r="BR950" t="str">
        <f t="shared" si="527"/>
        <v>opp_team_player_1</v>
      </c>
      <c r="BS950">
        <f>COUNTIFS(S$3:S950,"="&amp;S950,AI$3:AI950,"="&amp;AI950)</f>
        <v>1</v>
      </c>
      <c r="BT950" t="str">
        <f>IFERROR(VLOOKUP(BB950&amp;BU950&amp;X950,game_rosters!U:W,3,FALSE),"")</f>
        <v>P100161</v>
      </c>
      <c r="BU950" t="str">
        <f t="shared" si="528"/>
        <v>Velodrome</v>
      </c>
    </row>
    <row r="951" spans="1:73" x14ac:dyDescent="0.2">
      <c r="A951">
        <f t="shared" si="514"/>
        <v>1</v>
      </c>
      <c r="J951" s="44" t="str">
        <f t="shared" si="529"/>
        <v/>
      </c>
      <c r="K951" t="s">
        <v>9</v>
      </c>
      <c r="L951" t="s">
        <v>183</v>
      </c>
      <c r="M951" t="s">
        <v>80</v>
      </c>
      <c r="S951">
        <v>514</v>
      </c>
      <c r="W951" t="str">
        <f t="shared" si="505"/>
        <v>a</v>
      </c>
      <c r="X951">
        <v>49</v>
      </c>
      <c r="Y951" t="e">
        <f>IF(X951&lt;&gt;"",VLOOKUP(X951,game_rosters!$C$43:$E$64,3,FALSE))</f>
        <v>#N/A</v>
      </c>
      <c r="Z951" cm="1">
        <f t="array" ref="Z951">IFERROR(IF(_xlfn._xlws.FILTER(game_rosters!$J:$J,(game_rosters!$G:$G=events!$AN951)*(game_rosters!$J:$J=events!$X951))&gt;0,1,""),"")</f>
        <v>1</v>
      </c>
      <c r="AA951">
        <f t="shared" si="553"/>
        <v>1514</v>
      </c>
      <c r="AB951" t="str">
        <f t="shared" si="554"/>
        <v/>
      </c>
      <c r="AC951">
        <f t="shared" si="502"/>
        <v>1514</v>
      </c>
      <c r="AD951" s="6">
        <v>2</v>
      </c>
      <c r="AE951" t="s">
        <v>745</v>
      </c>
      <c r="AF951" t="s">
        <v>939</v>
      </c>
      <c r="AG951" t="s">
        <v>756</v>
      </c>
      <c r="AH951" t="s">
        <v>756</v>
      </c>
      <c r="AI951" t="s">
        <v>367</v>
      </c>
      <c r="AJ951" t="str">
        <f t="shared" ref="AJ951:AK951" si="581">IF($J951&lt;&gt;"",$J951,IF($AC951=$AC950,AJ950,""))</f>
        <v/>
      </c>
      <c r="AK951" t="str">
        <f t="shared" si="581"/>
        <v/>
      </c>
      <c r="AL951" t="str">
        <f t="shared" si="507"/>
        <v/>
      </c>
      <c r="AN951" t="s">
        <v>862</v>
      </c>
      <c r="AO951" t="str">
        <f t="shared" si="508"/>
        <v>a</v>
      </c>
      <c r="AP951" t="str">
        <f t="shared" si="516"/>
        <v/>
      </c>
      <c r="AQ951" t="str">
        <f t="shared" si="517"/>
        <v/>
      </c>
      <c r="AR951" t="str">
        <f t="shared" si="518"/>
        <v>Away</v>
      </c>
      <c r="AS951" t="str">
        <f t="shared" si="519"/>
        <v>a</v>
      </c>
      <c r="AT951" t="str">
        <f t="shared" si="520"/>
        <v>Defensive</v>
      </c>
      <c r="BA951" s="6">
        <f t="shared" si="509"/>
        <v>254</v>
      </c>
      <c r="BB951">
        <f t="shared" si="510"/>
        <v>18981</v>
      </c>
      <c r="BC951" t="str">
        <f t="shared" si="511"/>
        <v>Nelson</v>
      </c>
      <c r="BD951" t="str">
        <f t="shared" si="512"/>
        <v>Velodrome</v>
      </c>
      <c r="BE951" t="s">
        <v>9</v>
      </c>
      <c r="BF951" t="s">
        <v>183</v>
      </c>
      <c r="BG951" t="s">
        <v>80</v>
      </c>
      <c r="BI951" cm="1">
        <f t="array" ref="BI951">IFERROR(_xlfn._xlws.FILTER(shifts!A:A,(shifts!B:B=events!AD951)*(shifts!AG:AG&gt;=events!BK951)*(shifts!AH:AH&lt;=events!BL951)),BI950)</f>
        <v>46</v>
      </c>
      <c r="BJ951" s="15">
        <f t="shared" si="513"/>
        <v>0</v>
      </c>
      <c r="BK951">
        <f t="shared" si="521"/>
        <v>848</v>
      </c>
      <c r="BL951">
        <f t="shared" si="522"/>
        <v>848</v>
      </c>
      <c r="BM951" s="15">
        <f>SUMIFS(BJ$2:BJ951,K$2:K951,"=Intermission")+SUMIFS(BJ$2:BJ951,K$2:K951,"=Timeout")</f>
        <v>72</v>
      </c>
      <c r="BN951">
        <f t="shared" si="523"/>
        <v>1152</v>
      </c>
      <c r="BO951" s="19">
        <f t="shared" si="524"/>
        <v>1384</v>
      </c>
      <c r="BP951">
        <f t="shared" si="525"/>
        <v>1379</v>
      </c>
      <c r="BQ951" s="17">
        <f t="shared" si="526"/>
        <v>1384</v>
      </c>
      <c r="BR951" t="str">
        <f t="shared" si="527"/>
        <v>event_team_player_1</v>
      </c>
      <c r="BS951">
        <f>COUNTIFS(S$3:S951,"="&amp;S951,AI$3:AI951,"="&amp;AI951)</f>
        <v>1</v>
      </c>
      <c r="BT951" t="str">
        <f>IFERROR(VLOOKUP(BB951&amp;BU951&amp;X951,game_rosters!U:W,3,FALSE),"")</f>
        <v>P100161</v>
      </c>
      <c r="BU951" t="str">
        <f t="shared" si="528"/>
        <v>Velodrome</v>
      </c>
    </row>
    <row r="952" spans="1:73" x14ac:dyDescent="0.2">
      <c r="A952">
        <f t="shared" si="514"/>
        <v>1</v>
      </c>
      <c r="J952" s="44" t="str">
        <f t="shared" si="529"/>
        <v/>
      </c>
      <c r="K952" t="s">
        <v>9</v>
      </c>
      <c r="L952" t="s">
        <v>183</v>
      </c>
      <c r="M952" t="s">
        <v>80</v>
      </c>
      <c r="S952">
        <v>514</v>
      </c>
      <c r="W952" t="str">
        <f t="shared" si="505"/>
        <v>a</v>
      </c>
      <c r="X952">
        <v>3</v>
      </c>
      <c r="Y952" t="b">
        <f>IF(X952&lt;&gt;"",VLOOKUP(X952,game_rosters!$C$43:$E$64,3,FALSE))</f>
        <v>0</v>
      </c>
      <c r="Z952" t="str" cm="1">
        <f t="array" ref="Z952">IFERROR(IF(_xlfn._xlws.FILTER(game_rosters!$J:$J,(game_rosters!$G:$G=events!$AN952)*(game_rosters!$J:$J=events!$X952))&gt;0,1,""),"")</f>
        <v/>
      </c>
      <c r="AA952">
        <f t="shared" si="553"/>
        <v>1514</v>
      </c>
      <c r="AB952" t="str">
        <f t="shared" si="554"/>
        <v/>
      </c>
      <c r="AC952">
        <f t="shared" si="502"/>
        <v>1514</v>
      </c>
      <c r="AD952" s="6">
        <v>2</v>
      </c>
      <c r="AE952" t="s">
        <v>745</v>
      </c>
      <c r="AF952" t="s">
        <v>939</v>
      </c>
      <c r="AG952" t="s">
        <v>756</v>
      </c>
      <c r="AH952" t="s">
        <v>756</v>
      </c>
      <c r="AI952" t="s">
        <v>368</v>
      </c>
      <c r="AJ952" t="str">
        <f t="shared" ref="AJ952:AK952" si="582">IF($J952&lt;&gt;"",$J952,IF($AC952=$AC951,AJ951,""))</f>
        <v/>
      </c>
      <c r="AK952" t="str">
        <f t="shared" si="582"/>
        <v/>
      </c>
      <c r="AL952" t="str">
        <f t="shared" si="507"/>
        <v/>
      </c>
      <c r="AN952" t="s">
        <v>862</v>
      </c>
      <c r="AO952" t="str">
        <f t="shared" si="508"/>
        <v>a</v>
      </c>
      <c r="AP952" t="str">
        <f t="shared" si="516"/>
        <v/>
      </c>
      <c r="AQ952" t="str">
        <f t="shared" si="517"/>
        <v/>
      </c>
      <c r="AR952" t="str">
        <f t="shared" si="518"/>
        <v>Away</v>
      </c>
      <c r="AS952" t="str">
        <f t="shared" si="519"/>
        <v>a</v>
      </c>
      <c r="AT952" t="str">
        <f t="shared" si="520"/>
        <v>Offensive</v>
      </c>
      <c r="BA952" s="6">
        <f t="shared" si="509"/>
        <v>254</v>
      </c>
      <c r="BB952">
        <f t="shared" si="510"/>
        <v>18981</v>
      </c>
      <c r="BC952" t="str">
        <f t="shared" si="511"/>
        <v>Nelson</v>
      </c>
      <c r="BD952" t="str">
        <f t="shared" si="512"/>
        <v>Velodrome</v>
      </c>
      <c r="BE952" t="s">
        <v>9</v>
      </c>
      <c r="BF952" t="s">
        <v>183</v>
      </c>
      <c r="BG952" t="s">
        <v>80</v>
      </c>
      <c r="BI952" cm="1">
        <f t="array" ref="BI952">IFERROR(_xlfn._xlws.FILTER(shifts!A:A,(shifts!B:B=events!AD952)*(shifts!AG:AG&gt;=events!BK952)*(shifts!AH:AH&lt;=events!BL952)),BI951)</f>
        <v>46</v>
      </c>
      <c r="BJ952" s="15">
        <f t="shared" si="513"/>
        <v>0</v>
      </c>
      <c r="BK952">
        <f t="shared" si="521"/>
        <v>848</v>
      </c>
      <c r="BL952">
        <f t="shared" si="522"/>
        <v>848</v>
      </c>
      <c r="BM952" s="15">
        <f>SUMIFS(BJ$2:BJ952,K$2:K952,"=Intermission")+SUMIFS(BJ$2:BJ952,K$2:K952,"=Timeout")</f>
        <v>72</v>
      </c>
      <c r="BN952">
        <f t="shared" si="523"/>
        <v>1152</v>
      </c>
      <c r="BO952" s="19">
        <f t="shared" si="524"/>
        <v>1384</v>
      </c>
      <c r="BP952">
        <f t="shared" si="525"/>
        <v>1379</v>
      </c>
      <c r="BQ952" s="17">
        <f t="shared" si="526"/>
        <v>1384</v>
      </c>
      <c r="BR952" t="str">
        <f t="shared" si="527"/>
        <v>opp_team_player_1</v>
      </c>
      <c r="BS952">
        <f>COUNTIFS(S$3:S952,"="&amp;S952,AI$3:AI952,"="&amp;AI952)</f>
        <v>1</v>
      </c>
      <c r="BT952" t="str">
        <f>IFERROR(VLOOKUP(BB952&amp;BU952&amp;X952,game_rosters!U:W,3,FALSE),"")</f>
        <v>P100111</v>
      </c>
      <c r="BU952" t="str">
        <f t="shared" si="528"/>
        <v>Nelson</v>
      </c>
    </row>
    <row r="953" spans="1:73" x14ac:dyDescent="0.2">
      <c r="A953">
        <f t="shared" si="514"/>
        <v>1</v>
      </c>
      <c r="J953" s="44" t="str">
        <f t="shared" si="529"/>
        <v>d</v>
      </c>
      <c r="K953" t="s">
        <v>238</v>
      </c>
      <c r="L953" t="s">
        <v>184</v>
      </c>
      <c r="M953" t="s">
        <v>170</v>
      </c>
      <c r="S953">
        <v>515</v>
      </c>
      <c r="W953" t="str">
        <f t="shared" si="505"/>
        <v>a</v>
      </c>
      <c r="X953">
        <v>49</v>
      </c>
      <c r="Y953" t="e">
        <f>IF(X953&lt;&gt;"",VLOOKUP(X953,game_rosters!$C$43:$E$64,3,FALSE))</f>
        <v>#N/A</v>
      </c>
      <c r="Z953" cm="1">
        <f t="array" ref="Z953">IFERROR(IF(_xlfn._xlws.FILTER(game_rosters!$J:$J,(game_rosters!$G:$G=events!$AN953)*(game_rosters!$J:$J=events!$X953))&gt;0,1,""),"")</f>
        <v>1</v>
      </c>
      <c r="AA953">
        <f t="shared" si="553"/>
        <v>1515</v>
      </c>
      <c r="AB953" t="str">
        <f t="shared" si="554"/>
        <v/>
      </c>
      <c r="AC953">
        <f t="shared" si="502"/>
        <v>1515</v>
      </c>
      <c r="AD953" s="6">
        <v>2</v>
      </c>
      <c r="AE953" t="s">
        <v>745</v>
      </c>
      <c r="AF953" t="s">
        <v>748</v>
      </c>
      <c r="AG953" t="s">
        <v>756</v>
      </c>
      <c r="AH953" t="s">
        <v>756</v>
      </c>
      <c r="AI953" t="s">
        <v>367</v>
      </c>
      <c r="AJ953" t="str">
        <f t="shared" ref="AJ953:AK953" si="583">IF($J953&lt;&gt;"",$J953,IF($AC953=$AC952,AJ952,""))</f>
        <v>d</v>
      </c>
      <c r="AK953" t="str">
        <f t="shared" si="583"/>
        <v>d</v>
      </c>
      <c r="AL953" t="str">
        <f t="shared" si="507"/>
        <v>o</v>
      </c>
      <c r="AN953" t="s">
        <v>862</v>
      </c>
      <c r="AO953" t="str">
        <f t="shared" si="508"/>
        <v>a</v>
      </c>
      <c r="AP953" t="str">
        <f t="shared" si="516"/>
        <v>o</v>
      </c>
      <c r="AQ953" t="str">
        <f t="shared" si="517"/>
        <v/>
      </c>
      <c r="AR953" t="str">
        <f t="shared" si="518"/>
        <v>Away</v>
      </c>
      <c r="AS953" t="str">
        <f t="shared" si="519"/>
        <v>a</v>
      </c>
      <c r="AT953" t="str">
        <f t="shared" si="520"/>
        <v>Offensive</v>
      </c>
      <c r="BA953" s="6">
        <f t="shared" si="509"/>
        <v>255</v>
      </c>
      <c r="BB953">
        <f t="shared" si="510"/>
        <v>18981</v>
      </c>
      <c r="BC953" t="str">
        <f t="shared" si="511"/>
        <v>Nelson</v>
      </c>
      <c r="BD953" t="str">
        <f t="shared" si="512"/>
        <v>Velodrome</v>
      </c>
      <c r="BE953" t="s">
        <v>238</v>
      </c>
      <c r="BF953" t="s">
        <v>184</v>
      </c>
      <c r="BG953" t="s">
        <v>170</v>
      </c>
      <c r="BI953" cm="1">
        <f t="array" ref="BI953">IFERROR(_xlfn._xlws.FILTER(shifts!A:A,(shifts!B:B=events!AD953)*(shifts!AG:AG&gt;=events!BK953)*(shifts!AH:AH&lt;=events!BL953)),BI952)</f>
        <v>46</v>
      </c>
      <c r="BJ953" s="15">
        <f t="shared" si="513"/>
        <v>0</v>
      </c>
      <c r="BK953">
        <f t="shared" si="521"/>
        <v>841</v>
      </c>
      <c r="BL953">
        <f t="shared" si="522"/>
        <v>841</v>
      </c>
      <c r="BM953" s="15">
        <f>SUMIFS(BJ$2:BJ953,K$2:K953,"=Intermission")+SUMIFS(BJ$2:BJ953,K$2:K953,"=Timeout")</f>
        <v>72</v>
      </c>
      <c r="BN953">
        <f t="shared" si="523"/>
        <v>1152</v>
      </c>
      <c r="BO953" s="19">
        <f t="shared" si="524"/>
        <v>1391</v>
      </c>
      <c r="BP953">
        <f t="shared" si="525"/>
        <v>1386</v>
      </c>
      <c r="BQ953" s="17">
        <f t="shared" si="526"/>
        <v>1391</v>
      </c>
      <c r="BR953" t="str">
        <f t="shared" si="527"/>
        <v>event_team_player_1</v>
      </c>
      <c r="BS953">
        <f>COUNTIFS(S$3:S953,"="&amp;S953,AI$3:AI953,"="&amp;AI953)</f>
        <v>1</v>
      </c>
      <c r="BT953" t="str">
        <f>IFERROR(VLOOKUP(BB953&amp;BU953&amp;X953,game_rosters!U:W,3,FALSE),"")</f>
        <v>P100161</v>
      </c>
      <c r="BU953" t="str">
        <f t="shared" si="528"/>
        <v>Velodrome</v>
      </c>
    </row>
    <row r="954" spans="1:73" x14ac:dyDescent="0.2">
      <c r="A954">
        <f t="shared" si="514"/>
        <v>1</v>
      </c>
      <c r="J954" s="44" t="str">
        <f t="shared" si="529"/>
        <v>d</v>
      </c>
      <c r="K954" t="s">
        <v>238</v>
      </c>
      <c r="L954" t="s">
        <v>184</v>
      </c>
      <c r="M954" t="s">
        <v>170</v>
      </c>
      <c r="S954">
        <v>515</v>
      </c>
      <c r="W954" t="str">
        <f t="shared" si="505"/>
        <v>a</v>
      </c>
      <c r="X954">
        <v>79</v>
      </c>
      <c r="Y954" t="b">
        <f>IF(X954&lt;&gt;"",VLOOKUP(X954,game_rosters!$C$43:$E$64,3,FALSE))</f>
        <v>0</v>
      </c>
      <c r="Z954" t="str" cm="1">
        <f t="array" ref="Z954">IFERROR(IF(_xlfn._xlws.FILTER(game_rosters!$J:$J,(game_rosters!$G:$G=events!$AN954)*(game_rosters!$J:$J=events!$X954))&gt;0,1,""),"")</f>
        <v/>
      </c>
      <c r="AA954">
        <f t="shared" si="553"/>
        <v>1515</v>
      </c>
      <c r="AB954" t="str">
        <f t="shared" si="554"/>
        <v/>
      </c>
      <c r="AC954">
        <f t="shared" si="502"/>
        <v>1515</v>
      </c>
      <c r="AD954" s="6">
        <v>2</v>
      </c>
      <c r="AE954" t="s">
        <v>745</v>
      </c>
      <c r="AF954" t="s">
        <v>748</v>
      </c>
      <c r="AG954" t="s">
        <v>756</v>
      </c>
      <c r="AH954" t="s">
        <v>756</v>
      </c>
      <c r="AI954" t="s">
        <v>368</v>
      </c>
      <c r="AJ954" t="str">
        <f t="shared" ref="AJ954:AK954" si="584">IF($J954&lt;&gt;"",$J954,IF($AC954=$AC953,AJ953,""))</f>
        <v>d</v>
      </c>
      <c r="AK954" t="str">
        <f t="shared" si="584"/>
        <v>d</v>
      </c>
      <c r="AL954" t="str">
        <f t="shared" si="507"/>
        <v>o</v>
      </c>
      <c r="AN954" t="s">
        <v>862</v>
      </c>
      <c r="AO954" t="str">
        <f t="shared" si="508"/>
        <v>a</v>
      </c>
      <c r="AP954" t="str">
        <f t="shared" si="516"/>
        <v>o</v>
      </c>
      <c r="AQ954" t="str">
        <f t="shared" si="517"/>
        <v/>
      </c>
      <c r="AR954" t="str">
        <f t="shared" si="518"/>
        <v>Away</v>
      </c>
      <c r="AS954" t="str">
        <f t="shared" si="519"/>
        <v>a</v>
      </c>
      <c r="AT954" t="str">
        <f t="shared" si="520"/>
        <v>Defensive</v>
      </c>
      <c r="BA954" s="6">
        <f t="shared" si="509"/>
        <v>256</v>
      </c>
      <c r="BB954">
        <f t="shared" si="510"/>
        <v>18981</v>
      </c>
      <c r="BC954" t="str">
        <f t="shared" si="511"/>
        <v>Nelson</v>
      </c>
      <c r="BD954" t="str">
        <f t="shared" si="512"/>
        <v>Velodrome</v>
      </c>
      <c r="BE954" t="s">
        <v>238</v>
      </c>
      <c r="BF954" t="s">
        <v>184</v>
      </c>
      <c r="BG954" t="s">
        <v>170</v>
      </c>
      <c r="BI954" cm="1">
        <f t="array" ref="BI954">IFERROR(_xlfn._xlws.FILTER(shifts!A:A,(shifts!B:B=events!AD954)*(shifts!AG:AG&gt;=events!BK954)*(shifts!AH:AH&lt;=events!BL954)),BI953)</f>
        <v>46</v>
      </c>
      <c r="BJ954" s="15">
        <f t="shared" si="513"/>
        <v>0</v>
      </c>
      <c r="BK954">
        <f t="shared" si="521"/>
        <v>841</v>
      </c>
      <c r="BL954">
        <f t="shared" si="522"/>
        <v>841</v>
      </c>
      <c r="BM954" s="15">
        <f>SUMIFS(BJ$2:BJ954,K$2:K954,"=Intermission")+SUMIFS(BJ$2:BJ954,K$2:K954,"=Timeout")</f>
        <v>72</v>
      </c>
      <c r="BN954">
        <f t="shared" si="523"/>
        <v>1152</v>
      </c>
      <c r="BO954" s="19">
        <f t="shared" si="524"/>
        <v>1391</v>
      </c>
      <c r="BP954">
        <f t="shared" si="525"/>
        <v>1386</v>
      </c>
      <c r="BQ954" s="17">
        <f t="shared" si="526"/>
        <v>1391</v>
      </c>
      <c r="BR954" t="str">
        <f t="shared" si="527"/>
        <v>opp_team_player_1</v>
      </c>
      <c r="BS954">
        <f>COUNTIFS(S$3:S954,"="&amp;S954,AI$3:AI954,"="&amp;AI954)</f>
        <v>1</v>
      </c>
      <c r="BT954" t="str">
        <f>IFERROR(VLOOKUP(BB954&amp;BU954&amp;X954,game_rosters!U:W,3,FALSE),"")</f>
        <v>P100066</v>
      </c>
      <c r="BU954" t="str">
        <f t="shared" si="528"/>
        <v>Nelson</v>
      </c>
    </row>
    <row r="955" spans="1:73" x14ac:dyDescent="0.2">
      <c r="A955">
        <f t="shared" si="514"/>
        <v>1</v>
      </c>
      <c r="J955" s="44" t="str">
        <f t="shared" si="529"/>
        <v>o</v>
      </c>
      <c r="K955" t="s">
        <v>238</v>
      </c>
      <c r="L955" t="s">
        <v>174</v>
      </c>
      <c r="M955" t="s">
        <v>375</v>
      </c>
      <c r="S955">
        <v>516</v>
      </c>
      <c r="W955" t="str">
        <f t="shared" si="505"/>
        <v>a</v>
      </c>
      <c r="X955">
        <v>49</v>
      </c>
      <c r="Y955" t="e">
        <f>IF(X955&lt;&gt;"",VLOOKUP(X955,game_rosters!$C$43:$E$64,3,FALSE))</f>
        <v>#N/A</v>
      </c>
      <c r="Z955" cm="1">
        <f t="array" ref="Z955">IFERROR(IF(_xlfn._xlws.FILTER(game_rosters!$J:$J,(game_rosters!$G:$G=events!$AN955)*(game_rosters!$J:$J=events!$X955))&gt;0,1,""),"")</f>
        <v>1</v>
      </c>
      <c r="AA955">
        <f t="shared" si="553"/>
        <v>1516</v>
      </c>
      <c r="AB955" t="str">
        <f t="shared" si="554"/>
        <v/>
      </c>
      <c r="AC955">
        <f t="shared" si="502"/>
        <v>1516</v>
      </c>
      <c r="AD955" s="6">
        <v>2</v>
      </c>
      <c r="AE955" t="s">
        <v>745</v>
      </c>
      <c r="AF955" t="s">
        <v>748</v>
      </c>
      <c r="AG955" t="s">
        <v>756</v>
      </c>
      <c r="AH955" t="s">
        <v>756</v>
      </c>
      <c r="AI955" t="s">
        <v>367</v>
      </c>
      <c r="AJ955" t="str">
        <f t="shared" ref="AJ955:AK955" si="585">IF($J955&lt;&gt;"",$J955,IF($AC955=$AC954,AJ954,""))</f>
        <v>o</v>
      </c>
      <c r="AK955" t="str">
        <f t="shared" si="585"/>
        <v>o</v>
      </c>
      <c r="AL955" t="str">
        <f t="shared" si="507"/>
        <v>d</v>
      </c>
      <c r="AN955" t="s">
        <v>862</v>
      </c>
      <c r="AO955" t="str">
        <f t="shared" si="508"/>
        <v>a</v>
      </c>
      <c r="AP955" t="str">
        <f t="shared" si="516"/>
        <v>d</v>
      </c>
      <c r="AQ955" t="str">
        <f t="shared" si="517"/>
        <v/>
      </c>
      <c r="AR955" t="str">
        <f t="shared" si="518"/>
        <v>Away</v>
      </c>
      <c r="AS955" t="str">
        <f t="shared" si="519"/>
        <v>a</v>
      </c>
      <c r="AT955" t="str">
        <f t="shared" si="520"/>
        <v>Offensive</v>
      </c>
      <c r="BA955" s="6">
        <f t="shared" si="509"/>
        <v>257</v>
      </c>
      <c r="BB955">
        <f t="shared" si="510"/>
        <v>18981</v>
      </c>
      <c r="BC955" t="str">
        <f t="shared" si="511"/>
        <v>Nelson</v>
      </c>
      <c r="BD955" t="str">
        <f t="shared" si="512"/>
        <v>Velodrome</v>
      </c>
      <c r="BE955" t="s">
        <v>238</v>
      </c>
      <c r="BF955" t="s">
        <v>174</v>
      </c>
      <c r="BG955" t="s">
        <v>375</v>
      </c>
      <c r="BI955" cm="1">
        <f t="array" ref="BI955">IFERROR(_xlfn._xlws.FILTER(shifts!A:A,(shifts!B:B=events!AD955)*(shifts!AG:AG&gt;=events!BK955)*(shifts!AH:AH&lt;=events!BL955)),BI954)</f>
        <v>46</v>
      </c>
      <c r="BJ955" s="15">
        <f t="shared" si="513"/>
        <v>0</v>
      </c>
      <c r="BK955">
        <f t="shared" si="521"/>
        <v>841</v>
      </c>
      <c r="BL955">
        <f t="shared" si="522"/>
        <v>841</v>
      </c>
      <c r="BM955" s="15">
        <f>SUMIFS(BJ$2:BJ955,K$2:K955,"=Intermission")+SUMIFS(BJ$2:BJ955,K$2:K955,"=Timeout")</f>
        <v>72</v>
      </c>
      <c r="BN955">
        <f t="shared" si="523"/>
        <v>1152</v>
      </c>
      <c r="BO955" s="19">
        <f t="shared" si="524"/>
        <v>1391</v>
      </c>
      <c r="BP955">
        <f t="shared" si="525"/>
        <v>1386</v>
      </c>
      <c r="BQ955" s="17">
        <f t="shared" si="526"/>
        <v>1391</v>
      </c>
      <c r="BR955" t="str">
        <f t="shared" si="527"/>
        <v>event_team_player_1</v>
      </c>
      <c r="BS955">
        <f>COUNTIFS(S$3:S955,"="&amp;S955,AI$3:AI955,"="&amp;AI955)</f>
        <v>1</v>
      </c>
      <c r="BT955" t="str">
        <f>IFERROR(VLOOKUP(BB955&amp;BU955&amp;X955,game_rosters!U:W,3,FALSE),"")</f>
        <v>P100161</v>
      </c>
      <c r="BU955" t="str">
        <f t="shared" si="528"/>
        <v>Velodrome</v>
      </c>
    </row>
    <row r="956" spans="1:73" x14ac:dyDescent="0.2">
      <c r="A956">
        <f t="shared" si="514"/>
        <v>1</v>
      </c>
      <c r="J956" s="44" t="str">
        <f t="shared" si="529"/>
        <v/>
      </c>
      <c r="K956" t="s">
        <v>13</v>
      </c>
      <c r="L956" t="s">
        <v>756</v>
      </c>
      <c r="M956" t="s">
        <v>756</v>
      </c>
      <c r="S956">
        <v>517</v>
      </c>
      <c r="W956" t="str">
        <f t="shared" si="505"/>
        <v>h</v>
      </c>
      <c r="X956">
        <v>23</v>
      </c>
      <c r="Y956" t="b">
        <f>IF(X956&lt;&gt;"",VLOOKUP(X956,game_rosters!$C$43:$E$64,3,FALSE))</f>
        <v>0</v>
      </c>
      <c r="Z956" cm="1">
        <f t="array" ref="Z956">IFERROR(IF(_xlfn._xlws.FILTER(game_rosters!$J:$J,(game_rosters!$G:$G=events!$AN956)*(game_rosters!$J:$J=events!$X956))&gt;0,1,""),"")</f>
        <v>1</v>
      </c>
      <c r="AA956">
        <f t="shared" si="553"/>
        <v>1517</v>
      </c>
      <c r="AB956" t="str">
        <f t="shared" si="554"/>
        <v/>
      </c>
      <c r="AC956">
        <f t="shared" si="502"/>
        <v>1517</v>
      </c>
      <c r="AD956" s="6">
        <v>2</v>
      </c>
      <c r="AE956" t="s">
        <v>926</v>
      </c>
      <c r="AF956" t="s">
        <v>733</v>
      </c>
      <c r="AG956" t="s">
        <v>926</v>
      </c>
      <c r="AH956" t="s">
        <v>897</v>
      </c>
      <c r="AI956" t="s">
        <v>367</v>
      </c>
      <c r="AJ956" t="str">
        <f t="shared" ref="AJ956:AK956" si="586">IF($J956&lt;&gt;"",$J956,IF($AC956=$AC955,AJ955,""))</f>
        <v/>
      </c>
      <c r="AK956" t="str">
        <f t="shared" si="586"/>
        <v/>
      </c>
      <c r="AL956" t="str">
        <f t="shared" si="507"/>
        <v/>
      </c>
      <c r="AN956" t="s">
        <v>861</v>
      </c>
      <c r="AO956" t="str">
        <f t="shared" si="508"/>
        <v>h</v>
      </c>
      <c r="AP956" t="str">
        <f t="shared" si="516"/>
        <v/>
      </c>
      <c r="AQ956" t="str">
        <f t="shared" si="517"/>
        <v/>
      </c>
      <c r="AR956" t="str">
        <f t="shared" si="518"/>
        <v>Home</v>
      </c>
      <c r="AS956" t="str">
        <f t="shared" si="519"/>
        <v>h</v>
      </c>
      <c r="AT956" t="str">
        <f t="shared" si="520"/>
        <v>Offensive</v>
      </c>
      <c r="BA956" s="6">
        <f t="shared" si="509"/>
        <v>257</v>
      </c>
      <c r="BB956">
        <f t="shared" si="510"/>
        <v>18981</v>
      </c>
      <c r="BC956" t="str">
        <f t="shared" si="511"/>
        <v>Nelson</v>
      </c>
      <c r="BD956" t="str">
        <f t="shared" si="512"/>
        <v>Velodrome</v>
      </c>
      <c r="BE956" t="s">
        <v>13</v>
      </c>
      <c r="BF956" t="s">
        <v>756</v>
      </c>
      <c r="BG956" t="s">
        <v>756</v>
      </c>
      <c r="BI956" cm="1">
        <f t="array" ref="BI956">IFERROR(_xlfn._xlws.FILTER(shifts!A:A,(shifts!B:B=events!AD956)*(shifts!AG:AG&gt;=events!BK956)*(shifts!AH:AH&lt;=events!BL956)),BI955)</f>
        <v>47</v>
      </c>
      <c r="BJ956" s="15">
        <f t="shared" si="513"/>
        <v>4</v>
      </c>
      <c r="BK956">
        <f t="shared" si="521"/>
        <v>836</v>
      </c>
      <c r="BL956">
        <f t="shared" si="522"/>
        <v>832</v>
      </c>
      <c r="BM956" s="15">
        <f>SUMIFS(BJ$2:BJ956,K$2:K956,"=Intermission")+SUMIFS(BJ$2:BJ956,K$2:K956,"=Timeout")</f>
        <v>72</v>
      </c>
      <c r="BN956">
        <f t="shared" si="523"/>
        <v>1152</v>
      </c>
      <c r="BO956" s="19">
        <f t="shared" si="524"/>
        <v>1396</v>
      </c>
      <c r="BP956">
        <f t="shared" si="525"/>
        <v>1391</v>
      </c>
      <c r="BQ956" s="17">
        <f t="shared" si="526"/>
        <v>1400</v>
      </c>
      <c r="BR956" t="str">
        <f t="shared" si="527"/>
        <v>event_team_player_1</v>
      </c>
      <c r="BS956">
        <f>COUNTIFS(S$3:S956,"="&amp;S956,AI$3:AI956,"="&amp;AI956)</f>
        <v>1</v>
      </c>
      <c r="BT956" t="str">
        <f>IFERROR(VLOOKUP(BB956&amp;BU956&amp;X956,game_rosters!U:W,3,FALSE),"")</f>
        <v>P100061</v>
      </c>
      <c r="BU956" t="str">
        <f t="shared" si="528"/>
        <v>Nelson</v>
      </c>
    </row>
    <row r="957" spans="1:73" x14ac:dyDescent="0.2">
      <c r="A957">
        <f t="shared" si="514"/>
        <v>1</v>
      </c>
      <c r="J957" s="44" t="str">
        <f t="shared" si="529"/>
        <v/>
      </c>
      <c r="K957" t="s">
        <v>7</v>
      </c>
      <c r="L957" t="s">
        <v>192</v>
      </c>
      <c r="M957" t="s">
        <v>65</v>
      </c>
      <c r="S957">
        <v>518</v>
      </c>
      <c r="W957" t="str">
        <f t="shared" si="505"/>
        <v>h</v>
      </c>
      <c r="X957">
        <v>23</v>
      </c>
      <c r="Y957" t="b">
        <f>IF(X957&lt;&gt;"",VLOOKUP(X957,game_rosters!$C$43:$E$64,3,FALSE))</f>
        <v>0</v>
      </c>
      <c r="Z957" cm="1">
        <f t="array" ref="Z957">IFERROR(IF(_xlfn._xlws.FILTER(game_rosters!$J:$J,(game_rosters!$G:$G=events!$AN957)*(game_rosters!$J:$J=events!$X957))&gt;0,1,""),"")</f>
        <v>1</v>
      </c>
      <c r="AA957">
        <f t="shared" si="553"/>
        <v>1518</v>
      </c>
      <c r="AB957" t="str">
        <f t="shared" si="554"/>
        <v/>
      </c>
      <c r="AC957">
        <f t="shared" si="502"/>
        <v>1518</v>
      </c>
      <c r="AD957" s="6">
        <v>2</v>
      </c>
      <c r="AE957" t="s">
        <v>926</v>
      </c>
      <c r="AF957" t="s">
        <v>897</v>
      </c>
      <c r="AG957" t="s">
        <v>756</v>
      </c>
      <c r="AH957" t="s">
        <v>756</v>
      </c>
      <c r="AI957" t="s">
        <v>367</v>
      </c>
      <c r="AJ957" t="str">
        <f t="shared" ref="AJ957:AK957" si="587">IF($J957&lt;&gt;"",$J957,IF($AC957=$AC956,AJ956,""))</f>
        <v/>
      </c>
      <c r="AK957" t="str">
        <f t="shared" si="587"/>
        <v/>
      </c>
      <c r="AL957" t="str">
        <f t="shared" si="507"/>
        <v/>
      </c>
      <c r="AN957" t="s">
        <v>861</v>
      </c>
      <c r="AO957" t="str">
        <f t="shared" si="508"/>
        <v>h</v>
      </c>
      <c r="AP957" t="str">
        <f t="shared" si="516"/>
        <v/>
      </c>
      <c r="AQ957" t="str">
        <f t="shared" si="517"/>
        <v/>
      </c>
      <c r="AR957" t="str">
        <f t="shared" si="518"/>
        <v>Home</v>
      </c>
      <c r="AS957" t="str">
        <f t="shared" si="519"/>
        <v>h</v>
      </c>
      <c r="AT957" t="str">
        <f t="shared" si="520"/>
        <v>Offensive</v>
      </c>
      <c r="BA957" s="6">
        <f t="shared" si="509"/>
        <v>257</v>
      </c>
      <c r="BB957">
        <f t="shared" si="510"/>
        <v>18981</v>
      </c>
      <c r="BC957" t="str">
        <f t="shared" si="511"/>
        <v>Nelson</v>
      </c>
      <c r="BD957" t="str">
        <f t="shared" si="512"/>
        <v>Velodrome</v>
      </c>
      <c r="BE957" t="s">
        <v>7</v>
      </c>
      <c r="BF957" t="s">
        <v>192</v>
      </c>
      <c r="BG957" t="s">
        <v>65</v>
      </c>
      <c r="BI957" cm="1">
        <f t="array" ref="BI957">IFERROR(_xlfn._xlws.FILTER(shifts!A:A,(shifts!B:B=events!AD957)*(shifts!AG:AG&gt;=events!BK957)*(shifts!AH:AH&lt;=events!BL957)),BI956)</f>
        <v>47</v>
      </c>
      <c r="BJ957" s="15">
        <f t="shared" si="513"/>
        <v>0</v>
      </c>
      <c r="BK957">
        <f t="shared" si="521"/>
        <v>832</v>
      </c>
      <c r="BL957">
        <f t="shared" si="522"/>
        <v>832</v>
      </c>
      <c r="BM957" s="15">
        <f>SUMIFS(BJ$2:BJ957,K$2:K957,"=Intermission")+SUMIFS(BJ$2:BJ957,K$2:K957,"=Timeout")</f>
        <v>72</v>
      </c>
      <c r="BN957">
        <f t="shared" si="523"/>
        <v>1152</v>
      </c>
      <c r="BO957" s="19">
        <f t="shared" si="524"/>
        <v>1400</v>
      </c>
      <c r="BP957">
        <f t="shared" si="525"/>
        <v>1395</v>
      </c>
      <c r="BQ957" s="17">
        <f t="shared" si="526"/>
        <v>1400</v>
      </c>
      <c r="BR957" t="str">
        <f t="shared" si="527"/>
        <v>event_team_player_1</v>
      </c>
      <c r="BS957">
        <f>COUNTIFS(S$3:S957,"="&amp;S957,AI$3:AI957,"="&amp;AI957)</f>
        <v>1</v>
      </c>
      <c r="BT957" t="str">
        <f>IFERROR(VLOOKUP(BB957&amp;BU957&amp;X957,game_rosters!U:W,3,FALSE),"")</f>
        <v>P100061</v>
      </c>
      <c r="BU957" t="str">
        <f t="shared" si="528"/>
        <v>Nelson</v>
      </c>
    </row>
    <row r="958" spans="1:73" x14ac:dyDescent="0.2">
      <c r="A958">
        <f t="shared" si="514"/>
        <v>1</v>
      </c>
      <c r="J958" s="44" t="str">
        <f t="shared" si="529"/>
        <v/>
      </c>
      <c r="K958" t="s">
        <v>7</v>
      </c>
      <c r="L958" t="s">
        <v>192</v>
      </c>
      <c r="M958" t="s">
        <v>65</v>
      </c>
      <c r="S958">
        <v>518</v>
      </c>
      <c r="W958" t="str">
        <f t="shared" si="505"/>
        <v>h</v>
      </c>
      <c r="X958">
        <v>42</v>
      </c>
      <c r="Y958" t="e">
        <f>IF(X958&lt;&gt;"",VLOOKUP(X958,game_rosters!$C$43:$E$64,3,FALSE))</f>
        <v>#N/A</v>
      </c>
      <c r="Z958" t="str" cm="1">
        <f t="array" ref="Z958">IFERROR(IF(_xlfn._xlws.FILTER(game_rosters!$J:$J,(game_rosters!$G:$G=events!$AN958)*(game_rosters!$J:$J=events!$X958))&gt;0,1,""),"")</f>
        <v/>
      </c>
      <c r="AA958">
        <f t="shared" si="553"/>
        <v>1518</v>
      </c>
      <c r="AB958" t="str">
        <f t="shared" si="554"/>
        <v/>
      </c>
      <c r="AC958">
        <f t="shared" si="502"/>
        <v>1518</v>
      </c>
      <c r="AD958" s="6">
        <v>2</v>
      </c>
      <c r="AE958" t="s">
        <v>926</v>
      </c>
      <c r="AF958" t="s">
        <v>897</v>
      </c>
      <c r="AG958" t="s">
        <v>756</v>
      </c>
      <c r="AH958" t="s">
        <v>756</v>
      </c>
      <c r="AI958" t="s">
        <v>368</v>
      </c>
      <c r="AJ958" t="str">
        <f t="shared" ref="AJ958:AK958" si="588">IF($J958&lt;&gt;"",$J958,IF($AC958=$AC957,AJ957,""))</f>
        <v/>
      </c>
      <c r="AK958" t="str">
        <f t="shared" si="588"/>
        <v/>
      </c>
      <c r="AL958" t="str">
        <f t="shared" si="507"/>
        <v/>
      </c>
      <c r="AN958" t="s">
        <v>861</v>
      </c>
      <c r="AO958" t="str">
        <f t="shared" si="508"/>
        <v>h</v>
      </c>
      <c r="AP958" t="str">
        <f t="shared" si="516"/>
        <v/>
      </c>
      <c r="AQ958" t="str">
        <f t="shared" si="517"/>
        <v/>
      </c>
      <c r="AR958" t="str">
        <f t="shared" si="518"/>
        <v>Home</v>
      </c>
      <c r="AS958" t="str">
        <f t="shared" si="519"/>
        <v>h</v>
      </c>
      <c r="AT958" t="str">
        <f t="shared" si="520"/>
        <v>Defensive</v>
      </c>
      <c r="BA958" s="6">
        <f t="shared" si="509"/>
        <v>257</v>
      </c>
      <c r="BB958">
        <f t="shared" si="510"/>
        <v>18981</v>
      </c>
      <c r="BC958" t="str">
        <f t="shared" si="511"/>
        <v>Nelson</v>
      </c>
      <c r="BD958" t="str">
        <f t="shared" si="512"/>
        <v>Velodrome</v>
      </c>
      <c r="BE958" t="s">
        <v>7</v>
      </c>
      <c r="BF958" t="s">
        <v>192</v>
      </c>
      <c r="BG958" t="s">
        <v>65</v>
      </c>
      <c r="BI958" cm="1">
        <f t="array" ref="BI958">IFERROR(_xlfn._xlws.FILTER(shifts!A:A,(shifts!B:B=events!AD958)*(shifts!AG:AG&gt;=events!BK958)*(shifts!AH:AH&lt;=events!BL958)),BI957)</f>
        <v>47</v>
      </c>
      <c r="BJ958" s="15">
        <f t="shared" si="513"/>
        <v>0</v>
      </c>
      <c r="BK958">
        <f t="shared" si="521"/>
        <v>832</v>
      </c>
      <c r="BL958">
        <f t="shared" si="522"/>
        <v>832</v>
      </c>
      <c r="BM958" s="15">
        <f>SUMIFS(BJ$2:BJ958,K$2:K958,"=Intermission")+SUMIFS(BJ$2:BJ958,K$2:K958,"=Timeout")</f>
        <v>72</v>
      </c>
      <c r="BN958">
        <f t="shared" si="523"/>
        <v>1152</v>
      </c>
      <c r="BO958" s="19">
        <f t="shared" si="524"/>
        <v>1400</v>
      </c>
      <c r="BP958">
        <f t="shared" si="525"/>
        <v>1395</v>
      </c>
      <c r="BQ958" s="17">
        <f t="shared" si="526"/>
        <v>1400</v>
      </c>
      <c r="BR958" t="str">
        <f t="shared" si="527"/>
        <v>opp_team_player_1</v>
      </c>
      <c r="BS958">
        <f>COUNTIFS(S$3:S958,"="&amp;S958,AI$3:AI958,"="&amp;AI958)</f>
        <v>1</v>
      </c>
      <c r="BT958" t="str">
        <f>IFERROR(VLOOKUP(BB958&amp;BU958&amp;X958,game_rosters!U:W,3,FALSE),"")</f>
        <v>P100201</v>
      </c>
      <c r="BU958" t="str">
        <f t="shared" si="528"/>
        <v>Velodrome</v>
      </c>
    </row>
    <row r="959" spans="1:73" x14ac:dyDescent="0.2">
      <c r="A959">
        <f t="shared" si="514"/>
        <v>1</v>
      </c>
      <c r="J959" s="44" t="str">
        <f t="shared" si="529"/>
        <v>d</v>
      </c>
      <c r="K959" t="s">
        <v>238</v>
      </c>
      <c r="L959" t="s">
        <v>184</v>
      </c>
      <c r="M959" t="s">
        <v>376</v>
      </c>
      <c r="S959">
        <v>519</v>
      </c>
      <c r="W959" t="str">
        <f t="shared" si="505"/>
        <v>h</v>
      </c>
      <c r="X959">
        <v>23</v>
      </c>
      <c r="Y959" t="b">
        <f>IF(X959&lt;&gt;"",VLOOKUP(X959,game_rosters!$C$43:$E$64,3,FALSE))</f>
        <v>0</v>
      </c>
      <c r="Z959" cm="1">
        <f t="array" ref="Z959">IFERROR(IF(_xlfn._xlws.FILTER(game_rosters!$J:$J,(game_rosters!$G:$G=events!$AN959)*(game_rosters!$J:$J=events!$X959))&gt;0,1,""),"")</f>
        <v>1</v>
      </c>
      <c r="AA959">
        <f t="shared" si="553"/>
        <v>1519</v>
      </c>
      <c r="AB959" t="str">
        <f t="shared" si="554"/>
        <v/>
      </c>
      <c r="AC959">
        <f t="shared" si="502"/>
        <v>1519</v>
      </c>
      <c r="AD959" s="6">
        <v>2</v>
      </c>
      <c r="AE959" t="s">
        <v>926</v>
      </c>
      <c r="AF959" t="s">
        <v>897</v>
      </c>
      <c r="AG959" t="s">
        <v>756</v>
      </c>
      <c r="AH959" t="s">
        <v>756</v>
      </c>
      <c r="AI959" t="s">
        <v>367</v>
      </c>
      <c r="AJ959" t="str">
        <f t="shared" ref="AJ959:AK959" si="589">IF($J959&lt;&gt;"",$J959,IF($AC959=$AC958,AJ958,""))</f>
        <v>d</v>
      </c>
      <c r="AK959" t="str">
        <f t="shared" si="589"/>
        <v>d</v>
      </c>
      <c r="AL959" t="str">
        <f t="shared" si="507"/>
        <v>d</v>
      </c>
      <c r="AN959" t="s">
        <v>861</v>
      </c>
      <c r="AO959" t="str">
        <f t="shared" si="508"/>
        <v>h</v>
      </c>
      <c r="AP959" t="str">
        <f t="shared" si="516"/>
        <v>d</v>
      </c>
      <c r="AQ959" t="str">
        <f t="shared" si="517"/>
        <v/>
      </c>
      <c r="AR959" t="str">
        <f t="shared" si="518"/>
        <v>Home</v>
      </c>
      <c r="AS959" t="str">
        <f t="shared" si="519"/>
        <v>h</v>
      </c>
      <c r="AT959" t="str">
        <f t="shared" si="520"/>
        <v>Offensive</v>
      </c>
      <c r="BA959" s="6">
        <f t="shared" si="509"/>
        <v>258</v>
      </c>
      <c r="BB959">
        <f t="shared" si="510"/>
        <v>18981</v>
      </c>
      <c r="BC959" t="str">
        <f t="shared" si="511"/>
        <v>Nelson</v>
      </c>
      <c r="BD959" t="str">
        <f t="shared" si="512"/>
        <v>Velodrome</v>
      </c>
      <c r="BE959" t="s">
        <v>238</v>
      </c>
      <c r="BF959" t="s">
        <v>184</v>
      </c>
      <c r="BG959" t="s">
        <v>376</v>
      </c>
      <c r="BI959" cm="1">
        <f t="array" ref="BI959">IFERROR(_xlfn._xlws.FILTER(shifts!A:A,(shifts!B:B=events!AD959)*(shifts!AG:AG&gt;=events!BK959)*(shifts!AH:AH&lt;=events!BL959)),BI958)</f>
        <v>47</v>
      </c>
      <c r="BJ959" s="15">
        <f t="shared" si="513"/>
        <v>0</v>
      </c>
      <c r="BK959">
        <f t="shared" si="521"/>
        <v>832</v>
      </c>
      <c r="BL959">
        <f t="shared" si="522"/>
        <v>832</v>
      </c>
      <c r="BM959" s="15">
        <f>SUMIFS(BJ$2:BJ959,K$2:K959,"=Intermission")+SUMIFS(BJ$2:BJ959,K$2:K959,"=Timeout")</f>
        <v>72</v>
      </c>
      <c r="BN959">
        <f t="shared" si="523"/>
        <v>1152</v>
      </c>
      <c r="BO959" s="19">
        <f t="shared" si="524"/>
        <v>1400</v>
      </c>
      <c r="BP959">
        <f t="shared" si="525"/>
        <v>1395</v>
      </c>
      <c r="BQ959" s="17">
        <f t="shared" si="526"/>
        <v>1400</v>
      </c>
      <c r="BR959" t="str">
        <f t="shared" si="527"/>
        <v>event_team_player_1</v>
      </c>
      <c r="BS959">
        <f>COUNTIFS(S$3:S959,"="&amp;S959,AI$3:AI959,"="&amp;AI959)</f>
        <v>1</v>
      </c>
      <c r="BT959" t="str">
        <f>IFERROR(VLOOKUP(BB959&amp;BU959&amp;X959,game_rosters!U:W,3,FALSE),"")</f>
        <v>P100061</v>
      </c>
      <c r="BU959" t="str">
        <f t="shared" si="528"/>
        <v>Nelson</v>
      </c>
    </row>
    <row r="960" spans="1:73" x14ac:dyDescent="0.2">
      <c r="A960">
        <f t="shared" si="514"/>
        <v>1</v>
      </c>
      <c r="J960" s="44" t="str">
        <f t="shared" si="529"/>
        <v>d</v>
      </c>
      <c r="K960" t="s">
        <v>238</v>
      </c>
      <c r="L960" t="s">
        <v>184</v>
      </c>
      <c r="M960" t="s">
        <v>376</v>
      </c>
      <c r="S960">
        <v>519</v>
      </c>
      <c r="W960" t="str">
        <f t="shared" si="505"/>
        <v>h</v>
      </c>
      <c r="X960">
        <v>42</v>
      </c>
      <c r="Y960" t="e">
        <f>IF(X960&lt;&gt;"",VLOOKUP(X960,game_rosters!$C$43:$E$64,3,FALSE))</f>
        <v>#N/A</v>
      </c>
      <c r="Z960" t="str" cm="1">
        <f t="array" ref="Z960">IFERROR(IF(_xlfn._xlws.FILTER(game_rosters!$J:$J,(game_rosters!$G:$G=events!$AN960)*(game_rosters!$J:$J=events!$X960))&gt;0,1,""),"")</f>
        <v/>
      </c>
      <c r="AA960">
        <f t="shared" si="553"/>
        <v>1519</v>
      </c>
      <c r="AB960" t="str">
        <f t="shared" si="554"/>
        <v/>
      </c>
      <c r="AC960">
        <f t="shared" si="502"/>
        <v>1519</v>
      </c>
      <c r="AD960" s="6">
        <v>2</v>
      </c>
      <c r="AE960" t="s">
        <v>926</v>
      </c>
      <c r="AF960" t="s">
        <v>897</v>
      </c>
      <c r="AG960" t="s">
        <v>756</v>
      </c>
      <c r="AH960" t="s">
        <v>756</v>
      </c>
      <c r="AI960" t="s">
        <v>368</v>
      </c>
      <c r="AJ960" t="str">
        <f t="shared" ref="AJ960:AK960" si="590">IF($J960&lt;&gt;"",$J960,IF($AC960=$AC959,AJ959,""))</f>
        <v>d</v>
      </c>
      <c r="AK960" t="str">
        <f t="shared" si="590"/>
        <v>d</v>
      </c>
      <c r="AL960" t="str">
        <f t="shared" si="507"/>
        <v>d</v>
      </c>
      <c r="AN960" t="s">
        <v>861</v>
      </c>
      <c r="AO960" t="str">
        <f t="shared" si="508"/>
        <v>h</v>
      </c>
      <c r="AP960" t="str">
        <f t="shared" si="516"/>
        <v>d</v>
      </c>
      <c r="AQ960" t="str">
        <f t="shared" si="517"/>
        <v/>
      </c>
      <c r="AR960" t="str">
        <f t="shared" si="518"/>
        <v>Home</v>
      </c>
      <c r="AS960" t="str">
        <f t="shared" si="519"/>
        <v>h</v>
      </c>
      <c r="AT960" t="str">
        <f t="shared" si="520"/>
        <v>Defensive</v>
      </c>
      <c r="BA960" s="6">
        <f t="shared" si="509"/>
        <v>259</v>
      </c>
      <c r="BB960">
        <f t="shared" si="510"/>
        <v>18981</v>
      </c>
      <c r="BC960" t="str">
        <f t="shared" si="511"/>
        <v>Nelson</v>
      </c>
      <c r="BD960" t="str">
        <f t="shared" si="512"/>
        <v>Velodrome</v>
      </c>
      <c r="BE960" t="s">
        <v>238</v>
      </c>
      <c r="BF960" t="s">
        <v>184</v>
      </c>
      <c r="BG960" t="s">
        <v>376</v>
      </c>
      <c r="BI960" cm="1">
        <f t="array" ref="BI960">IFERROR(_xlfn._xlws.FILTER(shifts!A:A,(shifts!B:B=events!AD960)*(shifts!AG:AG&gt;=events!BK960)*(shifts!AH:AH&lt;=events!BL960)),BI959)</f>
        <v>47</v>
      </c>
      <c r="BJ960" s="15">
        <f t="shared" si="513"/>
        <v>0</v>
      </c>
      <c r="BK960">
        <f t="shared" si="521"/>
        <v>832</v>
      </c>
      <c r="BL960">
        <f t="shared" si="522"/>
        <v>832</v>
      </c>
      <c r="BM960" s="15">
        <f>SUMIFS(BJ$2:BJ960,K$2:K960,"=Intermission")+SUMIFS(BJ$2:BJ960,K$2:K960,"=Timeout")</f>
        <v>72</v>
      </c>
      <c r="BN960">
        <f t="shared" si="523"/>
        <v>1152</v>
      </c>
      <c r="BO960" s="19">
        <f t="shared" si="524"/>
        <v>1400</v>
      </c>
      <c r="BP960">
        <f t="shared" si="525"/>
        <v>1395</v>
      </c>
      <c r="BQ960" s="17">
        <f t="shared" si="526"/>
        <v>1400</v>
      </c>
      <c r="BR960" t="str">
        <f t="shared" si="527"/>
        <v>opp_team_player_1</v>
      </c>
      <c r="BS960">
        <f>COUNTIFS(S$3:S960,"="&amp;S960,AI$3:AI960,"="&amp;AI960)</f>
        <v>1</v>
      </c>
      <c r="BT960" t="str">
        <f>IFERROR(VLOOKUP(BB960&amp;BU960&amp;X960,game_rosters!U:W,3,FALSE),"")</f>
        <v>P100201</v>
      </c>
      <c r="BU960" t="str">
        <f t="shared" si="528"/>
        <v>Velodrome</v>
      </c>
    </row>
    <row r="961" spans="1:73" x14ac:dyDescent="0.2">
      <c r="A961">
        <f t="shared" si="514"/>
        <v>1</v>
      </c>
      <c r="J961" s="44" t="str">
        <f t="shared" si="529"/>
        <v/>
      </c>
      <c r="K961" t="s">
        <v>9</v>
      </c>
      <c r="L961" t="s">
        <v>173</v>
      </c>
      <c r="M961" t="s">
        <v>74</v>
      </c>
      <c r="S961">
        <v>520</v>
      </c>
      <c r="W961" t="str">
        <f t="shared" si="505"/>
        <v>h</v>
      </c>
      <c r="X961">
        <v>23</v>
      </c>
      <c r="Y961" t="b">
        <f>IF(X961&lt;&gt;"",VLOOKUP(X961,game_rosters!$C$43:$E$64,3,FALSE))</f>
        <v>0</v>
      </c>
      <c r="Z961" cm="1">
        <f t="array" ref="Z961">IFERROR(IF(_xlfn._xlws.FILTER(game_rosters!$J:$J,(game_rosters!$G:$G=events!$AN961)*(game_rosters!$J:$J=events!$X961))&gt;0,1,""),"")</f>
        <v>1</v>
      </c>
      <c r="AA961">
        <f t="shared" si="553"/>
        <v>1520</v>
      </c>
      <c r="AB961" t="str">
        <f t="shared" si="554"/>
        <v/>
      </c>
      <c r="AC961">
        <f t="shared" si="502"/>
        <v>1520</v>
      </c>
      <c r="AD961" s="6">
        <v>2</v>
      </c>
      <c r="AE961" t="s">
        <v>926</v>
      </c>
      <c r="AF961" t="s">
        <v>897</v>
      </c>
      <c r="AG961" t="s">
        <v>756</v>
      </c>
      <c r="AH961" t="s">
        <v>756</v>
      </c>
      <c r="AI961" t="s">
        <v>367</v>
      </c>
      <c r="AJ961" t="str">
        <f t="shared" ref="AJ961:AK961" si="591">IF($J961&lt;&gt;"",$J961,IF($AC961=$AC960,AJ960,""))</f>
        <v/>
      </c>
      <c r="AK961" t="str">
        <f t="shared" si="591"/>
        <v/>
      </c>
      <c r="AL961" t="str">
        <f t="shared" si="507"/>
        <v/>
      </c>
      <c r="AN961" t="s">
        <v>861</v>
      </c>
      <c r="AO961" t="str">
        <f t="shared" si="508"/>
        <v>h</v>
      </c>
      <c r="AP961" t="str">
        <f t="shared" si="516"/>
        <v/>
      </c>
      <c r="AQ961" t="str">
        <f t="shared" si="517"/>
        <v/>
      </c>
      <c r="AR961" t="str">
        <f t="shared" si="518"/>
        <v>Home</v>
      </c>
      <c r="AS961" t="str">
        <f t="shared" si="519"/>
        <v>h</v>
      </c>
      <c r="AT961" t="str">
        <f t="shared" si="520"/>
        <v>Offensive</v>
      </c>
      <c r="BA961" s="6">
        <f t="shared" si="509"/>
        <v>259</v>
      </c>
      <c r="BB961">
        <f t="shared" si="510"/>
        <v>18981</v>
      </c>
      <c r="BC961" t="str">
        <f t="shared" si="511"/>
        <v>Nelson</v>
      </c>
      <c r="BD961" t="str">
        <f t="shared" si="512"/>
        <v>Velodrome</v>
      </c>
      <c r="BE961" t="s">
        <v>9</v>
      </c>
      <c r="BF961" t="s">
        <v>173</v>
      </c>
      <c r="BG961" t="s">
        <v>74</v>
      </c>
      <c r="BI961" cm="1">
        <f t="array" ref="BI961">IFERROR(_xlfn._xlws.FILTER(shifts!A:A,(shifts!B:B=events!AD961)*(shifts!AG:AG&gt;=events!BK961)*(shifts!AH:AH&lt;=events!BL961)),BI960)</f>
        <v>47</v>
      </c>
      <c r="BJ961" s="15">
        <f t="shared" si="513"/>
        <v>0</v>
      </c>
      <c r="BK961">
        <f t="shared" si="521"/>
        <v>832</v>
      </c>
      <c r="BL961">
        <f t="shared" si="522"/>
        <v>832</v>
      </c>
      <c r="BM961" s="15">
        <f>SUMIFS(BJ$2:BJ961,K$2:K961,"=Intermission")+SUMIFS(BJ$2:BJ961,K$2:K961,"=Timeout")</f>
        <v>72</v>
      </c>
      <c r="BN961">
        <f t="shared" si="523"/>
        <v>1152</v>
      </c>
      <c r="BO961" s="19">
        <f t="shared" si="524"/>
        <v>1400</v>
      </c>
      <c r="BP961">
        <f t="shared" si="525"/>
        <v>1395</v>
      </c>
      <c r="BQ961" s="17">
        <f t="shared" si="526"/>
        <v>1400</v>
      </c>
      <c r="BR961" t="str">
        <f t="shared" si="527"/>
        <v>event_team_player_1</v>
      </c>
      <c r="BS961">
        <f>COUNTIFS(S$3:S961,"="&amp;S961,AI$3:AI961,"="&amp;AI961)</f>
        <v>1</v>
      </c>
      <c r="BT961" t="str">
        <f>IFERROR(VLOOKUP(BB961&amp;BU961&amp;X961,game_rosters!U:W,3,FALSE),"")</f>
        <v>P100061</v>
      </c>
      <c r="BU961" t="str">
        <f t="shared" si="528"/>
        <v>Nelson</v>
      </c>
    </row>
    <row r="962" spans="1:73" x14ac:dyDescent="0.2">
      <c r="A962">
        <f t="shared" si="514"/>
        <v>1</v>
      </c>
      <c r="J962" s="44" t="str">
        <f t="shared" si="529"/>
        <v/>
      </c>
      <c r="K962" t="s">
        <v>9</v>
      </c>
      <c r="L962" t="s">
        <v>173</v>
      </c>
      <c r="M962" t="s">
        <v>74</v>
      </c>
      <c r="S962">
        <v>520</v>
      </c>
      <c r="W962" t="str">
        <f t="shared" si="505"/>
        <v>h</v>
      </c>
      <c r="X962">
        <v>42</v>
      </c>
      <c r="Y962" t="e">
        <f>IF(X962&lt;&gt;"",VLOOKUP(X962,game_rosters!$C$43:$E$64,3,FALSE))</f>
        <v>#N/A</v>
      </c>
      <c r="Z962" t="str" cm="1">
        <f t="array" ref="Z962">IFERROR(IF(_xlfn._xlws.FILTER(game_rosters!$J:$J,(game_rosters!$G:$G=events!$AN962)*(game_rosters!$J:$J=events!$X962))&gt;0,1,""),"")</f>
        <v/>
      </c>
      <c r="AA962">
        <f t="shared" si="553"/>
        <v>1520</v>
      </c>
      <c r="AB962" t="str">
        <f t="shared" si="554"/>
        <v/>
      </c>
      <c r="AC962">
        <f t="shared" ref="AC962:AC1025" si="592">IF(AB962&lt;&gt;"",AB962,S962+1000)</f>
        <v>1520</v>
      </c>
      <c r="AD962" s="6">
        <v>2</v>
      </c>
      <c r="AE962" t="s">
        <v>926</v>
      </c>
      <c r="AF962" t="s">
        <v>897</v>
      </c>
      <c r="AG962" t="s">
        <v>756</v>
      </c>
      <c r="AH962" t="s">
        <v>756</v>
      </c>
      <c r="AI962" t="s">
        <v>368</v>
      </c>
      <c r="AJ962" t="str">
        <f t="shared" ref="AJ962:AK962" si="593">IF($J962&lt;&gt;"",$J962,IF($AC962=$AC961,AJ961,""))</f>
        <v/>
      </c>
      <c r="AK962" t="str">
        <f t="shared" si="593"/>
        <v/>
      </c>
      <c r="AL962" t="str">
        <f t="shared" si="507"/>
        <v/>
      </c>
      <c r="AN962" t="s">
        <v>861</v>
      </c>
      <c r="AO962" t="str">
        <f t="shared" si="508"/>
        <v>h</v>
      </c>
      <c r="AP962" t="str">
        <f t="shared" si="516"/>
        <v/>
      </c>
      <c r="AQ962" t="str">
        <f t="shared" si="517"/>
        <v/>
      </c>
      <c r="AR962" t="str">
        <f t="shared" si="518"/>
        <v>Home</v>
      </c>
      <c r="AS962" t="str">
        <f t="shared" si="519"/>
        <v>h</v>
      </c>
      <c r="AT962" t="str">
        <f t="shared" si="520"/>
        <v>Defensive</v>
      </c>
      <c r="BA962" s="6">
        <f t="shared" si="509"/>
        <v>259</v>
      </c>
      <c r="BB962">
        <f t="shared" si="510"/>
        <v>18981</v>
      </c>
      <c r="BC962" t="str">
        <f t="shared" si="511"/>
        <v>Nelson</v>
      </c>
      <c r="BD962" t="str">
        <f t="shared" si="512"/>
        <v>Velodrome</v>
      </c>
      <c r="BE962" t="s">
        <v>9</v>
      </c>
      <c r="BF962" t="s">
        <v>173</v>
      </c>
      <c r="BG962" t="s">
        <v>74</v>
      </c>
      <c r="BI962" cm="1">
        <f t="array" ref="BI962">IFERROR(_xlfn._xlws.FILTER(shifts!A:A,(shifts!B:B=events!AD962)*(shifts!AG:AG&gt;=events!BK962)*(shifts!AH:AH&lt;=events!BL962)),BI961)</f>
        <v>47</v>
      </c>
      <c r="BJ962" s="15">
        <f t="shared" si="513"/>
        <v>0</v>
      </c>
      <c r="BK962">
        <f t="shared" si="521"/>
        <v>832</v>
      </c>
      <c r="BL962">
        <f t="shared" si="522"/>
        <v>832</v>
      </c>
      <c r="BM962" s="15">
        <f>SUMIFS(BJ$2:BJ962,K$2:K962,"=Intermission")+SUMIFS(BJ$2:BJ962,K$2:K962,"=Timeout")</f>
        <v>72</v>
      </c>
      <c r="BN962">
        <f t="shared" si="523"/>
        <v>1152</v>
      </c>
      <c r="BO962" s="19">
        <f t="shared" si="524"/>
        <v>1400</v>
      </c>
      <c r="BP962">
        <f t="shared" si="525"/>
        <v>1395</v>
      </c>
      <c r="BQ962" s="17">
        <f t="shared" si="526"/>
        <v>1400</v>
      </c>
      <c r="BR962" t="str">
        <f t="shared" si="527"/>
        <v>opp_team_player_1</v>
      </c>
      <c r="BS962">
        <f>COUNTIFS(S$3:S962,"="&amp;S962,AI$3:AI962,"="&amp;AI962)</f>
        <v>1</v>
      </c>
      <c r="BT962" t="str">
        <f>IFERROR(VLOOKUP(BB962&amp;BU962&amp;X962,game_rosters!U:W,3,FALSE),"")</f>
        <v>P100201</v>
      </c>
      <c r="BU962" t="str">
        <f t="shared" si="528"/>
        <v>Velodrome</v>
      </c>
    </row>
    <row r="963" spans="1:73" x14ac:dyDescent="0.2">
      <c r="A963">
        <f t="shared" si="514"/>
        <v>1</v>
      </c>
      <c r="J963" s="44" t="str">
        <f t="shared" si="529"/>
        <v/>
      </c>
      <c r="K963" t="s">
        <v>9</v>
      </c>
      <c r="L963" t="s">
        <v>173</v>
      </c>
      <c r="M963" t="s">
        <v>74</v>
      </c>
      <c r="S963">
        <v>520</v>
      </c>
      <c r="W963" t="str">
        <f t="shared" si="505"/>
        <v>h</v>
      </c>
      <c r="X963">
        <v>9</v>
      </c>
      <c r="Y963" t="e">
        <f>IF(X963&lt;&gt;"",VLOOKUP(X963,game_rosters!$C$43:$E$64,3,FALSE))</f>
        <v>#N/A</v>
      </c>
      <c r="Z963" t="str" cm="1">
        <f t="array" ref="Z963">IFERROR(IF(_xlfn._xlws.FILTER(game_rosters!$J:$J,(game_rosters!$G:$G=events!$AN963)*(game_rosters!$J:$J=events!$X963))&gt;0,1,""),"")</f>
        <v/>
      </c>
      <c r="AA963">
        <f t="shared" si="553"/>
        <v>1520</v>
      </c>
      <c r="AB963" t="str">
        <f t="shared" si="554"/>
        <v/>
      </c>
      <c r="AC963">
        <f t="shared" si="592"/>
        <v>1520</v>
      </c>
      <c r="AD963" s="6">
        <v>2</v>
      </c>
      <c r="AE963" t="s">
        <v>926</v>
      </c>
      <c r="AF963" t="s">
        <v>897</v>
      </c>
      <c r="AG963" t="s">
        <v>756</v>
      </c>
      <c r="AH963" t="s">
        <v>756</v>
      </c>
      <c r="AI963" t="s">
        <v>368</v>
      </c>
      <c r="AJ963" t="str">
        <f t="shared" ref="AJ963:AK963" si="594">IF($J963&lt;&gt;"",$J963,IF($AC963=$AC962,AJ962,""))</f>
        <v/>
      </c>
      <c r="AK963" t="str">
        <f t="shared" si="594"/>
        <v/>
      </c>
      <c r="AL963" t="str">
        <f t="shared" si="507"/>
        <v/>
      </c>
      <c r="AN963" t="s">
        <v>861</v>
      </c>
      <c r="AO963" t="str">
        <f t="shared" si="508"/>
        <v>h</v>
      </c>
      <c r="AP963" t="str">
        <f t="shared" si="516"/>
        <v/>
      </c>
      <c r="AQ963" t="str">
        <f t="shared" si="517"/>
        <v/>
      </c>
      <c r="AR963" t="str">
        <f t="shared" si="518"/>
        <v>Home</v>
      </c>
      <c r="AS963" t="str">
        <f t="shared" si="519"/>
        <v>h</v>
      </c>
      <c r="AT963" t="str">
        <f t="shared" si="520"/>
        <v>Defensive</v>
      </c>
      <c r="BA963" s="6">
        <f t="shared" si="509"/>
        <v>259</v>
      </c>
      <c r="BB963">
        <f t="shared" si="510"/>
        <v>18981</v>
      </c>
      <c r="BC963" t="str">
        <f t="shared" si="511"/>
        <v>Nelson</v>
      </c>
      <c r="BD963" t="str">
        <f t="shared" si="512"/>
        <v>Velodrome</v>
      </c>
      <c r="BE963" t="s">
        <v>9</v>
      </c>
      <c r="BF963" t="s">
        <v>173</v>
      </c>
      <c r="BG963" t="s">
        <v>74</v>
      </c>
      <c r="BI963" cm="1">
        <f t="array" ref="BI963">IFERROR(_xlfn._xlws.FILTER(shifts!A:A,(shifts!B:B=events!AD963)*(shifts!AG:AG&gt;=events!BK963)*(shifts!AH:AH&lt;=events!BL963)),BI962)</f>
        <v>47</v>
      </c>
      <c r="BJ963" s="15">
        <f t="shared" si="513"/>
        <v>0</v>
      </c>
      <c r="BK963">
        <f t="shared" si="521"/>
        <v>832</v>
      </c>
      <c r="BL963">
        <f t="shared" si="522"/>
        <v>832</v>
      </c>
      <c r="BM963" s="15">
        <f>SUMIFS(BJ$2:BJ963,K$2:K963,"=Intermission")+SUMIFS(BJ$2:BJ963,K$2:K963,"=Timeout")</f>
        <v>72</v>
      </c>
      <c r="BN963">
        <f t="shared" si="523"/>
        <v>1152</v>
      </c>
      <c r="BO963" s="19">
        <f t="shared" si="524"/>
        <v>1400</v>
      </c>
      <c r="BP963">
        <f t="shared" si="525"/>
        <v>1395</v>
      </c>
      <c r="BQ963" s="17">
        <f t="shared" si="526"/>
        <v>1400</v>
      </c>
      <c r="BR963" t="str">
        <f t="shared" si="527"/>
        <v>opp_team_player_2</v>
      </c>
      <c r="BS963">
        <f>COUNTIFS(S$3:S963,"="&amp;S963,AI$3:AI963,"="&amp;AI963)</f>
        <v>2</v>
      </c>
      <c r="BT963" t="str">
        <f>IFERROR(VLOOKUP(BB963&amp;BU963&amp;X963,game_rosters!U:W,3,FALSE),"")</f>
        <v>P100105</v>
      </c>
      <c r="BU963" t="str">
        <f t="shared" si="528"/>
        <v>Velodrome</v>
      </c>
    </row>
    <row r="964" spans="1:73" x14ac:dyDescent="0.2">
      <c r="A964">
        <f t="shared" si="514"/>
        <v>1</v>
      </c>
      <c r="J964" s="44" t="str">
        <f t="shared" si="529"/>
        <v/>
      </c>
      <c r="K964" t="s">
        <v>13</v>
      </c>
      <c r="L964" t="s">
        <v>756</v>
      </c>
      <c r="M964" t="s">
        <v>756</v>
      </c>
      <c r="S964">
        <v>521</v>
      </c>
      <c r="W964" t="str">
        <f t="shared" ref="W964:W1027" si="595">IF(AN964="Away","a",IF(AN964="Home","h",""))</f>
        <v>a</v>
      </c>
      <c r="X964">
        <v>9</v>
      </c>
      <c r="Y964" t="e">
        <f>IF(X964&lt;&gt;"",VLOOKUP(X964,game_rosters!$C$43:$E$64,3,FALSE))</f>
        <v>#N/A</v>
      </c>
      <c r="Z964" cm="1">
        <f t="array" ref="Z964">IFERROR(IF(_xlfn._xlws.FILTER(game_rosters!$J:$J,(game_rosters!$G:$G=events!$AN964)*(game_rosters!$J:$J=events!$X964))&gt;0,1,""),"")</f>
        <v>1</v>
      </c>
      <c r="AA964">
        <f t="shared" si="553"/>
        <v>1521</v>
      </c>
      <c r="AB964" t="str">
        <f t="shared" si="554"/>
        <v/>
      </c>
      <c r="AC964">
        <f t="shared" si="592"/>
        <v>1521</v>
      </c>
      <c r="AD964" s="6">
        <v>2</v>
      </c>
      <c r="AE964" t="s">
        <v>926</v>
      </c>
      <c r="AF964" t="s">
        <v>751</v>
      </c>
      <c r="AG964" t="s">
        <v>926</v>
      </c>
      <c r="AH964" t="s">
        <v>737</v>
      </c>
      <c r="AI964" t="s">
        <v>367</v>
      </c>
      <c r="AJ964" t="str">
        <f t="shared" ref="AJ964:AK964" si="596">IF($J964&lt;&gt;"",$J964,IF($AC964=$AC963,AJ963,""))</f>
        <v/>
      </c>
      <c r="AK964" t="str">
        <f t="shared" si="596"/>
        <v/>
      </c>
      <c r="AL964" t="str">
        <f t="shared" ref="AL964:AL1027" si="597">IF($W964="","",IF($AJ964="","",IF($W964="h",$AJ964,IF($AJ964="n","n",IF(AND($W964="a",$AJ964="d"),"o",IF(AND($W964="a",$AJ964="o"),"d"))))))</f>
        <v/>
      </c>
      <c r="AN964" t="s">
        <v>862</v>
      </c>
      <c r="AO964" t="str">
        <f t="shared" ref="AO964:AO1027" si="598">IF($W964&lt;&gt;"",$W964,IF($AC964=$AC963,AO963,""))</f>
        <v>a</v>
      </c>
      <c r="AP964" t="str">
        <f t="shared" si="516"/>
        <v/>
      </c>
      <c r="AQ964" t="str">
        <f t="shared" si="517"/>
        <v/>
      </c>
      <c r="AR964" t="str">
        <f t="shared" si="518"/>
        <v>Away</v>
      </c>
      <c r="AS964" t="str">
        <f t="shared" si="519"/>
        <v>a</v>
      </c>
      <c r="AT964" t="str">
        <f t="shared" si="520"/>
        <v>Offensive</v>
      </c>
      <c r="BA964" s="6">
        <f t="shared" ref="BA964:BA1027" si="599">IF(OR(L964="Zone_Entry",L964="Zone_Exit"),BA963+1,BA963)</f>
        <v>259</v>
      </c>
      <c r="BB964">
        <f t="shared" ref="BB964:BB1027" si="600">BB963</f>
        <v>18981</v>
      </c>
      <c r="BC964" t="str">
        <f t="shared" ref="BC964:BC1027" si="601">BC963</f>
        <v>Nelson</v>
      </c>
      <c r="BD964" t="str">
        <f t="shared" ref="BD964:BD1027" si="602">BD963</f>
        <v>Velodrome</v>
      </c>
      <c r="BE964" t="s">
        <v>13</v>
      </c>
      <c r="BF964" t="s">
        <v>756</v>
      </c>
      <c r="BG964" t="s">
        <v>756</v>
      </c>
      <c r="BI964" cm="1">
        <f t="array" ref="BI964">IFERROR(_xlfn._xlws.FILTER(shifts!A:A,(shifts!B:B=events!AD964)*(shifts!AG:AG&gt;=events!BK964)*(shifts!AH:AH&lt;=events!BL964)),BI963)</f>
        <v>47</v>
      </c>
      <c r="BJ964" s="15">
        <f t="shared" ref="BJ964:BJ1027" si="603">IF(AND(AG964="",AH964=""),0,((AE964*60)+AF964)-((AG964*60)+AH964))</f>
        <v>3</v>
      </c>
      <c r="BK964">
        <f t="shared" si="521"/>
        <v>829</v>
      </c>
      <c r="BL964">
        <f t="shared" si="522"/>
        <v>826</v>
      </c>
      <c r="BM964" s="15">
        <f>SUMIFS(BJ$2:BJ964,K$2:K964,"=Intermission")+SUMIFS(BJ$2:BJ964,K$2:K964,"=Timeout")</f>
        <v>72</v>
      </c>
      <c r="BN964">
        <f t="shared" si="523"/>
        <v>1152</v>
      </c>
      <c r="BO964" s="19">
        <f t="shared" si="524"/>
        <v>1403</v>
      </c>
      <c r="BP964">
        <f t="shared" si="525"/>
        <v>1398</v>
      </c>
      <c r="BQ964" s="17">
        <f t="shared" si="526"/>
        <v>1406</v>
      </c>
      <c r="BR964" t="str">
        <f t="shared" si="527"/>
        <v>event_team_player_1</v>
      </c>
      <c r="BS964">
        <f>COUNTIFS(S$3:S964,"="&amp;S964,AI$3:AI964,"="&amp;AI964)</f>
        <v>1</v>
      </c>
      <c r="BT964" t="str">
        <f>IFERROR(VLOOKUP(BB964&amp;BU964&amp;X964,game_rosters!U:W,3,FALSE),"")</f>
        <v>P100105</v>
      </c>
      <c r="BU964" t="str">
        <f t="shared" si="528"/>
        <v>Velodrome</v>
      </c>
    </row>
    <row r="965" spans="1:73" x14ac:dyDescent="0.2">
      <c r="A965">
        <f t="shared" ref="A965:A1028" si="604">IF(K965&lt;&gt;"",1,IF(D965="x","x",""))</f>
        <v>1</v>
      </c>
      <c r="J965" s="44" t="str">
        <f t="shared" si="529"/>
        <v/>
      </c>
      <c r="K965" t="s">
        <v>13</v>
      </c>
      <c r="L965" t="s">
        <v>756</v>
      </c>
      <c r="M965" t="s">
        <v>756</v>
      </c>
      <c r="S965">
        <v>521</v>
      </c>
      <c r="W965" t="str">
        <f t="shared" si="595"/>
        <v>a</v>
      </c>
      <c r="X965">
        <v>37</v>
      </c>
      <c r="Y965" t="b">
        <f>IF(X965&lt;&gt;"",VLOOKUP(X965,game_rosters!$C$43:$E$64,3,FALSE))</f>
        <v>0</v>
      </c>
      <c r="Z965" t="str" cm="1">
        <f t="array" ref="Z965">IFERROR(IF(_xlfn._xlws.FILTER(game_rosters!$J:$J,(game_rosters!$G:$G=events!$AN965)*(game_rosters!$J:$J=events!$X965))&gt;0,1,""),"")</f>
        <v/>
      </c>
      <c r="AA965">
        <f t="shared" si="553"/>
        <v>1521</v>
      </c>
      <c r="AB965" t="str">
        <f t="shared" si="554"/>
        <v/>
      </c>
      <c r="AC965">
        <f t="shared" si="592"/>
        <v>1521</v>
      </c>
      <c r="AD965" s="6">
        <v>2</v>
      </c>
      <c r="AE965" t="s">
        <v>926</v>
      </c>
      <c r="AF965" t="s">
        <v>751</v>
      </c>
      <c r="AG965" t="s">
        <v>926</v>
      </c>
      <c r="AH965" t="s">
        <v>737</v>
      </c>
      <c r="AI965" t="s">
        <v>368</v>
      </c>
      <c r="AJ965" t="str">
        <f t="shared" ref="AJ965:AK965" si="605">IF($J965&lt;&gt;"",$J965,IF($AC965=$AC964,AJ964,""))</f>
        <v/>
      </c>
      <c r="AK965" t="str">
        <f t="shared" si="605"/>
        <v/>
      </c>
      <c r="AL965" t="str">
        <f t="shared" si="597"/>
        <v/>
      </c>
      <c r="AN965" t="s">
        <v>862</v>
      </c>
      <c r="AO965" t="str">
        <f t="shared" si="598"/>
        <v>a</v>
      </c>
      <c r="AP965" t="str">
        <f t="shared" ref="AP965:AP1028" si="606">IF(AL965&lt;&gt;"",AL965,IF($AC965=$AC964,AP964,""))</f>
        <v/>
      </c>
      <c r="AQ965" t="str">
        <f t="shared" ref="AQ965:AQ1028" si="607">IF(AM965&lt;&gt;"",AM965,IF($AC965=$AC964,AQ964,""))</f>
        <v/>
      </c>
      <c r="AR965" t="str">
        <f t="shared" ref="AR965:AR1028" si="608">IF(AN965&lt;&gt;"",AN965,IF($AC965=$AC964,AR964,""))</f>
        <v>Away</v>
      </c>
      <c r="AS965" t="str">
        <f t="shared" ref="AS965:AS1028" si="609">IF(AO965&lt;&gt;"",AO965,IF($AC965=$AC964,AS964,""))</f>
        <v>a</v>
      </c>
      <c r="AT965" t="str">
        <f t="shared" ref="AT965:AT1028" si="610">IF(AND(AI965="e",OR(BE965="Save",BF965="Turnover_Takeaway",BF965="Play_Defensive")),"Defensive",IF(AND(AI965="o",OR(BE965="Save",BF965="Turnover_Takeaway",BF965="Play_Defensive")),"Offensive",IF(OR(BE965="Deadice",BE965="Stoppage",BE965="Intermission"),"",IF(AI965="e","Offensive",IF(AI965="o","Defensive","")))))</f>
        <v>Defensive</v>
      </c>
      <c r="BA965" s="6">
        <f t="shared" si="599"/>
        <v>259</v>
      </c>
      <c r="BB965">
        <f t="shared" si="600"/>
        <v>18981</v>
      </c>
      <c r="BC965" t="str">
        <f t="shared" si="601"/>
        <v>Nelson</v>
      </c>
      <c r="BD965" t="str">
        <f t="shared" si="602"/>
        <v>Velodrome</v>
      </c>
      <c r="BE965" t="s">
        <v>13</v>
      </c>
      <c r="BF965" t="s">
        <v>756</v>
      </c>
      <c r="BG965" t="s">
        <v>756</v>
      </c>
      <c r="BI965" cm="1">
        <f t="array" ref="BI965">IFERROR(_xlfn._xlws.FILTER(shifts!A:A,(shifts!B:B=events!AD965)*(shifts!AG:AG&gt;=events!BK965)*(shifts!AH:AH&lt;=events!BL965)),BI964)</f>
        <v>47</v>
      </c>
      <c r="BJ965" s="15">
        <f t="shared" si="603"/>
        <v>3</v>
      </c>
      <c r="BK965">
        <f t="shared" ref="BK965:BK1028" si="611">(AE965*60)+AF965</f>
        <v>829</v>
      </c>
      <c r="BL965">
        <f t="shared" ref="BL965:BL1028" si="612">IF(AND(AG965="",AH965=""),BK965,((AG965*60)+AH965))</f>
        <v>826</v>
      </c>
      <c r="BM965" s="15">
        <f>SUMIFS(BJ$2:BJ965,K$2:K965,"=Intermission")+SUMIFS(BJ$2:BJ965,K$2:K965,"=Timeout")</f>
        <v>72</v>
      </c>
      <c r="BN965">
        <f t="shared" ref="BN965:BN1028" si="613">IF(AD965=1,0,IF(AD965=2,1080+BM965,IF(AD965=3,(1080*2)+BM965,0)))</f>
        <v>1152</v>
      </c>
      <c r="BO965" s="19">
        <f t="shared" ref="BO965:BO1028" si="614">IF(K965="Intermission",BO964,((1080)-((AE965*60)+AF965))+BN965)</f>
        <v>1403</v>
      </c>
      <c r="BP965">
        <f t="shared" ref="BP965:BP1028" si="615">IF(BO965&lt;5,0,BO965-5)</f>
        <v>1398</v>
      </c>
      <c r="BQ965" s="17">
        <f t="shared" ref="BQ965:BQ1028" si="616">BP965+BJ965+5</f>
        <v>1406</v>
      </c>
      <c r="BR965" t="str">
        <f t="shared" ref="BR965:BR1028" si="617">IF(AI965="e","event_team_player_"&amp;BS965,IF(AI965="o","opp_team_player_"&amp;BS965,""))</f>
        <v>opp_team_player_1</v>
      </c>
      <c r="BS965">
        <f>COUNTIFS(S$3:S965,"="&amp;S965,AI$3:AI965,"="&amp;AI965)</f>
        <v>1</v>
      </c>
      <c r="BT965" t="str">
        <f>IFERROR(VLOOKUP(BB965&amp;BU965&amp;X965,game_rosters!U:W,3,FALSE),"")</f>
        <v>P100119</v>
      </c>
      <c r="BU965" t="str">
        <f t="shared" ref="BU965:BU1028" si="618">IF(AR965="","",IF(AND(AR965="Away",AI965="e"),BD965,IF(AND(AR965="Home",AI965="e"),BC965,IF(AND(AR965="Away",AI965="o"),BC965,IF(AND(AR965="Home",AI965="o"),BD965)))))</f>
        <v>Nelson</v>
      </c>
    </row>
    <row r="966" spans="1:73" x14ac:dyDescent="0.2">
      <c r="A966">
        <f t="shared" si="604"/>
        <v>1</v>
      </c>
      <c r="J966" s="44" t="str">
        <f t="shared" ref="J966:J1029" si="619">IF(OR(K966="Goal",K966="Shot",L966="Zone_Entry",M966="Stoppage-Goal",M965="Stoppage-Goal"),"o",IF(OR(K966="Save",K966="Rebound",L966="Zone_Exit",M966="Stoppage-GoalieStoppage",M965="Stoppage-GoalieStoppage"),"d",IF(OR(L966="Faceoff_AfterGoal",L966="Faceoff_PeriodStart",698="Faceoff_GameStart",M965="Stoppage-Goal"),"n","")))</f>
        <v>o</v>
      </c>
      <c r="K966" t="s">
        <v>238</v>
      </c>
      <c r="L966" t="s">
        <v>174</v>
      </c>
      <c r="M966" t="s">
        <v>87</v>
      </c>
      <c r="S966">
        <v>522</v>
      </c>
      <c r="W966" t="str">
        <f t="shared" si="595"/>
        <v>a</v>
      </c>
      <c r="X966">
        <v>9</v>
      </c>
      <c r="Y966" t="e">
        <f>IF(X966&lt;&gt;"",VLOOKUP(X966,game_rosters!$C$43:$E$64,3,FALSE))</f>
        <v>#N/A</v>
      </c>
      <c r="Z966" cm="1">
        <f t="array" ref="Z966">IFERROR(IF(_xlfn._xlws.FILTER(game_rosters!$J:$J,(game_rosters!$G:$G=events!$AN966)*(game_rosters!$J:$J=events!$X966))&gt;0,1,""),"")</f>
        <v>1</v>
      </c>
      <c r="AA966">
        <f t="shared" si="553"/>
        <v>1522</v>
      </c>
      <c r="AB966" t="str">
        <f t="shared" si="554"/>
        <v/>
      </c>
      <c r="AC966">
        <f t="shared" si="592"/>
        <v>1522</v>
      </c>
      <c r="AD966" s="6">
        <v>2</v>
      </c>
      <c r="AE966" t="s">
        <v>926</v>
      </c>
      <c r="AF966" t="s">
        <v>737</v>
      </c>
      <c r="AG966" t="s">
        <v>756</v>
      </c>
      <c r="AH966" t="s">
        <v>756</v>
      </c>
      <c r="AI966" t="s">
        <v>367</v>
      </c>
      <c r="AJ966" t="str">
        <f t="shared" ref="AJ966:AK966" si="620">IF($J966&lt;&gt;"",$J966,IF($AC966=$AC965,AJ965,""))</f>
        <v>o</v>
      </c>
      <c r="AK966" t="str">
        <f t="shared" si="620"/>
        <v>o</v>
      </c>
      <c r="AL966" t="str">
        <f t="shared" si="597"/>
        <v>d</v>
      </c>
      <c r="AN966" t="s">
        <v>862</v>
      </c>
      <c r="AO966" t="str">
        <f t="shared" si="598"/>
        <v>a</v>
      </c>
      <c r="AP966" t="str">
        <f t="shared" si="606"/>
        <v>d</v>
      </c>
      <c r="AQ966" t="str">
        <f t="shared" si="607"/>
        <v/>
      </c>
      <c r="AR966" t="str">
        <f t="shared" si="608"/>
        <v>Away</v>
      </c>
      <c r="AS966" t="str">
        <f t="shared" si="609"/>
        <v>a</v>
      </c>
      <c r="AT966" t="str">
        <f t="shared" si="610"/>
        <v>Offensive</v>
      </c>
      <c r="BA966" s="6">
        <f t="shared" si="599"/>
        <v>260</v>
      </c>
      <c r="BB966">
        <f t="shared" si="600"/>
        <v>18981</v>
      </c>
      <c r="BC966" t="str">
        <f t="shared" si="601"/>
        <v>Nelson</v>
      </c>
      <c r="BD966" t="str">
        <f t="shared" si="602"/>
        <v>Velodrome</v>
      </c>
      <c r="BE966" t="s">
        <v>238</v>
      </c>
      <c r="BF966" t="s">
        <v>174</v>
      </c>
      <c r="BG966" t="s">
        <v>87</v>
      </c>
      <c r="BI966" cm="1">
        <f t="array" ref="BI966">IFERROR(_xlfn._xlws.FILTER(shifts!A:A,(shifts!B:B=events!AD966)*(shifts!AG:AG&gt;=events!BK966)*(shifts!AH:AH&lt;=events!BL966)),BI965)</f>
        <v>47</v>
      </c>
      <c r="BJ966" s="15">
        <f t="shared" si="603"/>
        <v>0</v>
      </c>
      <c r="BK966">
        <f t="shared" si="611"/>
        <v>826</v>
      </c>
      <c r="BL966">
        <f t="shared" si="612"/>
        <v>826</v>
      </c>
      <c r="BM966" s="15">
        <f>SUMIFS(BJ$2:BJ966,K$2:K966,"=Intermission")+SUMIFS(BJ$2:BJ966,K$2:K966,"=Timeout")</f>
        <v>72</v>
      </c>
      <c r="BN966">
        <f t="shared" si="613"/>
        <v>1152</v>
      </c>
      <c r="BO966" s="19">
        <f t="shared" si="614"/>
        <v>1406</v>
      </c>
      <c r="BP966">
        <f t="shared" si="615"/>
        <v>1401</v>
      </c>
      <c r="BQ966" s="17">
        <f t="shared" si="616"/>
        <v>1406</v>
      </c>
      <c r="BR966" t="str">
        <f t="shared" si="617"/>
        <v>event_team_player_1</v>
      </c>
      <c r="BS966">
        <f>COUNTIFS(S$3:S966,"="&amp;S966,AI$3:AI966,"="&amp;AI966)</f>
        <v>1</v>
      </c>
      <c r="BT966" t="str">
        <f>IFERROR(VLOOKUP(BB966&amp;BU966&amp;X966,game_rosters!U:W,3,FALSE),"")</f>
        <v>P100105</v>
      </c>
      <c r="BU966" t="str">
        <f t="shared" si="618"/>
        <v>Velodrome</v>
      </c>
    </row>
    <row r="967" spans="1:73" x14ac:dyDescent="0.2">
      <c r="A967">
        <f t="shared" si="604"/>
        <v>1</v>
      </c>
      <c r="J967" s="44" t="str">
        <f t="shared" si="619"/>
        <v>o</v>
      </c>
      <c r="K967" t="s">
        <v>238</v>
      </c>
      <c r="L967" t="s">
        <v>174</v>
      </c>
      <c r="M967" t="s">
        <v>87</v>
      </c>
      <c r="S967">
        <v>522</v>
      </c>
      <c r="W967" t="str">
        <f t="shared" si="595"/>
        <v>a</v>
      </c>
      <c r="X967">
        <v>37</v>
      </c>
      <c r="Y967" t="b">
        <f>IF(X967&lt;&gt;"",VLOOKUP(X967,game_rosters!$C$43:$E$64,3,FALSE))</f>
        <v>0</v>
      </c>
      <c r="Z967" t="str" cm="1">
        <f t="array" ref="Z967">IFERROR(IF(_xlfn._xlws.FILTER(game_rosters!$J:$J,(game_rosters!$G:$G=events!$AN967)*(game_rosters!$J:$J=events!$X967))&gt;0,1,""),"")</f>
        <v/>
      </c>
      <c r="AA967">
        <f t="shared" si="553"/>
        <v>1522</v>
      </c>
      <c r="AB967" t="str">
        <f t="shared" si="554"/>
        <v/>
      </c>
      <c r="AC967">
        <f t="shared" si="592"/>
        <v>1522</v>
      </c>
      <c r="AD967" s="6">
        <v>2</v>
      </c>
      <c r="AE967" t="s">
        <v>926</v>
      </c>
      <c r="AF967" t="s">
        <v>737</v>
      </c>
      <c r="AG967" t="s">
        <v>756</v>
      </c>
      <c r="AH967" t="s">
        <v>756</v>
      </c>
      <c r="AI967" t="s">
        <v>368</v>
      </c>
      <c r="AJ967" t="str">
        <f t="shared" ref="AJ967:AK967" si="621">IF($J967&lt;&gt;"",$J967,IF($AC967=$AC966,AJ966,""))</f>
        <v>o</v>
      </c>
      <c r="AK967" t="str">
        <f t="shared" si="621"/>
        <v>o</v>
      </c>
      <c r="AL967" t="str">
        <f t="shared" si="597"/>
        <v>d</v>
      </c>
      <c r="AN967" t="s">
        <v>862</v>
      </c>
      <c r="AO967" t="str">
        <f t="shared" si="598"/>
        <v>a</v>
      </c>
      <c r="AP967" t="str">
        <f t="shared" si="606"/>
        <v>d</v>
      </c>
      <c r="AQ967" t="str">
        <f t="shared" si="607"/>
        <v/>
      </c>
      <c r="AR967" t="str">
        <f t="shared" si="608"/>
        <v>Away</v>
      </c>
      <c r="AS967" t="str">
        <f t="shared" si="609"/>
        <v>a</v>
      </c>
      <c r="AT967" t="str">
        <f t="shared" si="610"/>
        <v>Defensive</v>
      </c>
      <c r="BA967" s="6">
        <f t="shared" si="599"/>
        <v>261</v>
      </c>
      <c r="BB967">
        <f t="shared" si="600"/>
        <v>18981</v>
      </c>
      <c r="BC967" t="str">
        <f t="shared" si="601"/>
        <v>Nelson</v>
      </c>
      <c r="BD967" t="str">
        <f t="shared" si="602"/>
        <v>Velodrome</v>
      </c>
      <c r="BE967" t="s">
        <v>238</v>
      </c>
      <c r="BF967" t="s">
        <v>174</v>
      </c>
      <c r="BG967" t="s">
        <v>87</v>
      </c>
      <c r="BI967" cm="1">
        <f t="array" ref="BI967">IFERROR(_xlfn._xlws.FILTER(shifts!A:A,(shifts!B:B=events!AD967)*(shifts!AG:AG&gt;=events!BK967)*(shifts!AH:AH&lt;=events!BL967)),BI966)</f>
        <v>47</v>
      </c>
      <c r="BJ967" s="15">
        <f t="shared" si="603"/>
        <v>0</v>
      </c>
      <c r="BK967">
        <f t="shared" si="611"/>
        <v>826</v>
      </c>
      <c r="BL967">
        <f t="shared" si="612"/>
        <v>826</v>
      </c>
      <c r="BM967" s="15">
        <f>SUMIFS(BJ$2:BJ967,K$2:K967,"=Intermission")+SUMIFS(BJ$2:BJ967,K$2:K967,"=Timeout")</f>
        <v>72</v>
      </c>
      <c r="BN967">
        <f t="shared" si="613"/>
        <v>1152</v>
      </c>
      <c r="BO967" s="19">
        <f t="shared" si="614"/>
        <v>1406</v>
      </c>
      <c r="BP967">
        <f t="shared" si="615"/>
        <v>1401</v>
      </c>
      <c r="BQ967" s="17">
        <f t="shared" si="616"/>
        <v>1406</v>
      </c>
      <c r="BR967" t="str">
        <f t="shared" si="617"/>
        <v>opp_team_player_1</v>
      </c>
      <c r="BS967">
        <f>COUNTIFS(S$3:S967,"="&amp;S967,AI$3:AI967,"="&amp;AI967)</f>
        <v>1</v>
      </c>
      <c r="BT967" t="str">
        <f>IFERROR(VLOOKUP(BB967&amp;BU967&amp;X967,game_rosters!U:W,3,FALSE),"")</f>
        <v>P100119</v>
      </c>
      <c r="BU967" t="str">
        <f t="shared" si="618"/>
        <v>Nelson</v>
      </c>
    </row>
    <row r="968" spans="1:73" x14ac:dyDescent="0.2">
      <c r="A968">
        <f t="shared" si="604"/>
        <v>1</v>
      </c>
      <c r="J968" s="44" t="str">
        <f t="shared" si="619"/>
        <v/>
      </c>
      <c r="K968" t="s">
        <v>9</v>
      </c>
      <c r="L968" t="s">
        <v>173</v>
      </c>
      <c r="M968" t="s">
        <v>354</v>
      </c>
      <c r="S968">
        <v>523</v>
      </c>
      <c r="W968" t="str">
        <f t="shared" si="595"/>
        <v>a</v>
      </c>
      <c r="X968">
        <v>9</v>
      </c>
      <c r="Y968" t="e">
        <f>IF(X968&lt;&gt;"",VLOOKUP(X968,game_rosters!$C$43:$E$64,3,FALSE))</f>
        <v>#N/A</v>
      </c>
      <c r="Z968" cm="1">
        <f t="array" ref="Z968">IFERROR(IF(_xlfn._xlws.FILTER(game_rosters!$J:$J,(game_rosters!$G:$G=events!$AN968)*(game_rosters!$J:$J=events!$X968))&gt;0,1,""),"")</f>
        <v>1</v>
      </c>
      <c r="AA968">
        <f t="shared" si="553"/>
        <v>1523</v>
      </c>
      <c r="AB968" t="str">
        <f t="shared" si="554"/>
        <v/>
      </c>
      <c r="AC968">
        <f t="shared" si="592"/>
        <v>1523</v>
      </c>
      <c r="AD968" s="6">
        <v>2</v>
      </c>
      <c r="AE968" t="s">
        <v>926</v>
      </c>
      <c r="AF968" t="s">
        <v>737</v>
      </c>
      <c r="AG968" t="s">
        <v>756</v>
      </c>
      <c r="AH968" t="s">
        <v>756</v>
      </c>
      <c r="AI968" t="s">
        <v>367</v>
      </c>
      <c r="AJ968" t="str">
        <f t="shared" ref="AJ968:AK968" si="622">IF($J968&lt;&gt;"",$J968,IF($AC968=$AC967,AJ967,""))</f>
        <v/>
      </c>
      <c r="AK968" t="str">
        <f t="shared" si="622"/>
        <v/>
      </c>
      <c r="AL968" t="str">
        <f t="shared" si="597"/>
        <v/>
      </c>
      <c r="AN968" t="s">
        <v>862</v>
      </c>
      <c r="AO968" t="str">
        <f t="shared" si="598"/>
        <v>a</v>
      </c>
      <c r="AP968" t="str">
        <f t="shared" si="606"/>
        <v/>
      </c>
      <c r="AQ968" t="str">
        <f t="shared" si="607"/>
        <v/>
      </c>
      <c r="AR968" t="str">
        <f t="shared" si="608"/>
        <v>Away</v>
      </c>
      <c r="AS968" t="str">
        <f t="shared" si="609"/>
        <v>a</v>
      </c>
      <c r="AT968" t="str">
        <f t="shared" si="610"/>
        <v>Offensive</v>
      </c>
      <c r="BA968" s="6">
        <f t="shared" si="599"/>
        <v>261</v>
      </c>
      <c r="BB968">
        <f t="shared" si="600"/>
        <v>18981</v>
      </c>
      <c r="BC968" t="str">
        <f t="shared" si="601"/>
        <v>Nelson</v>
      </c>
      <c r="BD968" t="str">
        <f t="shared" si="602"/>
        <v>Velodrome</v>
      </c>
      <c r="BE968" t="s">
        <v>9</v>
      </c>
      <c r="BF968" t="s">
        <v>173</v>
      </c>
      <c r="BG968" t="s">
        <v>354</v>
      </c>
      <c r="BI968" cm="1">
        <f t="array" ref="BI968">IFERROR(_xlfn._xlws.FILTER(shifts!A:A,(shifts!B:B=events!AD968)*(shifts!AG:AG&gt;=events!BK968)*(shifts!AH:AH&lt;=events!BL968)),BI967)</f>
        <v>47</v>
      </c>
      <c r="BJ968" s="15">
        <f t="shared" si="603"/>
        <v>0</v>
      </c>
      <c r="BK968">
        <f t="shared" si="611"/>
        <v>826</v>
      </c>
      <c r="BL968">
        <f t="shared" si="612"/>
        <v>826</v>
      </c>
      <c r="BM968" s="15">
        <f>SUMIFS(BJ$2:BJ968,K$2:K968,"=Intermission")+SUMIFS(BJ$2:BJ968,K$2:K968,"=Timeout")</f>
        <v>72</v>
      </c>
      <c r="BN968">
        <f t="shared" si="613"/>
        <v>1152</v>
      </c>
      <c r="BO968" s="19">
        <f t="shared" si="614"/>
        <v>1406</v>
      </c>
      <c r="BP968">
        <f t="shared" si="615"/>
        <v>1401</v>
      </c>
      <c r="BQ968" s="17">
        <f t="shared" si="616"/>
        <v>1406</v>
      </c>
      <c r="BR968" t="str">
        <f t="shared" si="617"/>
        <v>event_team_player_1</v>
      </c>
      <c r="BS968">
        <f>COUNTIFS(S$3:S968,"="&amp;S968,AI$3:AI968,"="&amp;AI968)</f>
        <v>1</v>
      </c>
      <c r="BT968" t="str">
        <f>IFERROR(VLOOKUP(BB968&amp;BU968&amp;X968,game_rosters!U:W,3,FALSE),"")</f>
        <v>P100105</v>
      </c>
      <c r="BU968" t="str">
        <f t="shared" si="618"/>
        <v>Velodrome</v>
      </c>
    </row>
    <row r="969" spans="1:73" x14ac:dyDescent="0.2">
      <c r="A969">
        <f t="shared" si="604"/>
        <v>1</v>
      </c>
      <c r="J969" s="44" t="str">
        <f t="shared" si="619"/>
        <v/>
      </c>
      <c r="K969" t="s">
        <v>7</v>
      </c>
      <c r="L969" t="s">
        <v>172</v>
      </c>
      <c r="M969" t="s">
        <v>66</v>
      </c>
      <c r="S969">
        <v>524</v>
      </c>
      <c r="W969" t="str">
        <f t="shared" si="595"/>
        <v>h</v>
      </c>
      <c r="X969">
        <v>23</v>
      </c>
      <c r="Y969" t="b">
        <f>IF(X969&lt;&gt;"",VLOOKUP(X969,game_rosters!$C$43:$E$64,3,FALSE))</f>
        <v>0</v>
      </c>
      <c r="Z969" cm="1">
        <f t="array" ref="Z969">IFERROR(IF(_xlfn._xlws.FILTER(game_rosters!$J:$J,(game_rosters!$G:$G=events!$AN969)*(game_rosters!$J:$J=events!$X969))&gt;0,1,""),"")</f>
        <v>1</v>
      </c>
      <c r="AA969">
        <f t="shared" si="553"/>
        <v>1524</v>
      </c>
      <c r="AB969" t="str">
        <f t="shared" si="554"/>
        <v/>
      </c>
      <c r="AC969">
        <f t="shared" si="592"/>
        <v>1524</v>
      </c>
      <c r="AD969" s="6">
        <v>2</v>
      </c>
      <c r="AE969" t="s">
        <v>926</v>
      </c>
      <c r="AF969" t="s">
        <v>902</v>
      </c>
      <c r="AG969" t="s">
        <v>756</v>
      </c>
      <c r="AH969" t="s">
        <v>756</v>
      </c>
      <c r="AI969" t="s">
        <v>367</v>
      </c>
      <c r="AJ969" t="str">
        <f t="shared" ref="AJ969:AK969" si="623">IF($J969&lt;&gt;"",$J969,IF($AC969=$AC968,AJ968,""))</f>
        <v/>
      </c>
      <c r="AK969" t="str">
        <f t="shared" si="623"/>
        <v/>
      </c>
      <c r="AL969" t="str">
        <f t="shared" si="597"/>
        <v/>
      </c>
      <c r="AN969" t="s">
        <v>861</v>
      </c>
      <c r="AO969" t="str">
        <f t="shared" si="598"/>
        <v>h</v>
      </c>
      <c r="AP969" t="str">
        <f t="shared" si="606"/>
        <v/>
      </c>
      <c r="AQ969" t="str">
        <f t="shared" si="607"/>
        <v/>
      </c>
      <c r="AR969" t="str">
        <f t="shared" si="608"/>
        <v>Home</v>
      </c>
      <c r="AS969" t="str">
        <f t="shared" si="609"/>
        <v>h</v>
      </c>
      <c r="AT969" t="str">
        <f t="shared" si="610"/>
        <v>Offensive</v>
      </c>
      <c r="BA969" s="6">
        <f t="shared" si="599"/>
        <v>261</v>
      </c>
      <c r="BB969">
        <f t="shared" si="600"/>
        <v>18981</v>
      </c>
      <c r="BC969" t="str">
        <f t="shared" si="601"/>
        <v>Nelson</v>
      </c>
      <c r="BD969" t="str">
        <f t="shared" si="602"/>
        <v>Velodrome</v>
      </c>
      <c r="BE969" t="s">
        <v>7</v>
      </c>
      <c r="BF969" t="s">
        <v>172</v>
      </c>
      <c r="BG969" t="s">
        <v>66</v>
      </c>
      <c r="BI969" cm="1">
        <f t="array" ref="BI969">IFERROR(_xlfn._xlws.FILTER(shifts!A:A,(shifts!B:B=events!AD969)*(shifts!AG:AG&gt;=events!BK969)*(shifts!AH:AH&lt;=events!BL969)),BI968)</f>
        <v>47</v>
      </c>
      <c r="BJ969" s="15">
        <f t="shared" si="603"/>
        <v>0</v>
      </c>
      <c r="BK969">
        <f t="shared" si="611"/>
        <v>822</v>
      </c>
      <c r="BL969">
        <f t="shared" si="612"/>
        <v>822</v>
      </c>
      <c r="BM969" s="15">
        <f>SUMIFS(BJ$2:BJ969,K$2:K969,"=Intermission")+SUMIFS(BJ$2:BJ969,K$2:K969,"=Timeout")</f>
        <v>72</v>
      </c>
      <c r="BN969">
        <f t="shared" si="613"/>
        <v>1152</v>
      </c>
      <c r="BO969" s="19">
        <f t="shared" si="614"/>
        <v>1410</v>
      </c>
      <c r="BP969">
        <f t="shared" si="615"/>
        <v>1405</v>
      </c>
      <c r="BQ969" s="17">
        <f t="shared" si="616"/>
        <v>1410</v>
      </c>
      <c r="BR969" t="str">
        <f t="shared" si="617"/>
        <v>event_team_player_1</v>
      </c>
      <c r="BS969">
        <f>COUNTIFS(S$3:S969,"="&amp;S969,AI$3:AI969,"="&amp;AI969)</f>
        <v>1</v>
      </c>
      <c r="BT969" t="str">
        <f>IFERROR(VLOOKUP(BB969&amp;BU969&amp;X969,game_rosters!U:W,3,FALSE),"")</f>
        <v>P100061</v>
      </c>
      <c r="BU969" t="str">
        <f t="shared" si="618"/>
        <v>Nelson</v>
      </c>
    </row>
    <row r="970" spans="1:73" x14ac:dyDescent="0.2">
      <c r="A970">
        <f t="shared" si="604"/>
        <v>1</v>
      </c>
      <c r="J970" s="44" t="str">
        <f t="shared" si="619"/>
        <v/>
      </c>
      <c r="K970" t="s">
        <v>7</v>
      </c>
      <c r="L970" t="s">
        <v>172</v>
      </c>
      <c r="M970" t="s">
        <v>66</v>
      </c>
      <c r="S970">
        <v>524</v>
      </c>
      <c r="W970" t="str">
        <f t="shared" si="595"/>
        <v>h</v>
      </c>
      <c r="X970">
        <v>10</v>
      </c>
      <c r="Y970" t="b">
        <f>IF(X970&lt;&gt;"",VLOOKUP(X970,game_rosters!$C$43:$E$64,3,FALSE))</f>
        <v>0</v>
      </c>
      <c r="Z970" cm="1">
        <f t="array" ref="Z970">IFERROR(IF(_xlfn._xlws.FILTER(game_rosters!$J:$J,(game_rosters!$G:$G=events!$AN970)*(game_rosters!$J:$J=events!$X970))&gt;0,1,""),"")</f>
        <v>1</v>
      </c>
      <c r="AA970">
        <f t="shared" si="553"/>
        <v>1524</v>
      </c>
      <c r="AB970" t="str">
        <f t="shared" si="554"/>
        <v/>
      </c>
      <c r="AC970">
        <f t="shared" si="592"/>
        <v>1524</v>
      </c>
      <c r="AD970" s="6">
        <v>2</v>
      </c>
      <c r="AE970" t="s">
        <v>926</v>
      </c>
      <c r="AF970" t="s">
        <v>902</v>
      </c>
      <c r="AG970" t="s">
        <v>756</v>
      </c>
      <c r="AH970" t="s">
        <v>756</v>
      </c>
      <c r="AI970" t="s">
        <v>367</v>
      </c>
      <c r="AJ970" t="str">
        <f t="shared" ref="AJ970:AK970" si="624">IF($J970&lt;&gt;"",$J970,IF($AC970=$AC969,AJ969,""))</f>
        <v/>
      </c>
      <c r="AK970" t="str">
        <f t="shared" si="624"/>
        <v/>
      </c>
      <c r="AL970" t="str">
        <f t="shared" si="597"/>
        <v/>
      </c>
      <c r="AN970" t="s">
        <v>861</v>
      </c>
      <c r="AO970" t="str">
        <f t="shared" si="598"/>
        <v>h</v>
      </c>
      <c r="AP970" t="str">
        <f t="shared" si="606"/>
        <v/>
      </c>
      <c r="AQ970" t="str">
        <f t="shared" si="607"/>
        <v/>
      </c>
      <c r="AR970" t="str">
        <f t="shared" si="608"/>
        <v>Home</v>
      </c>
      <c r="AS970" t="str">
        <f t="shared" si="609"/>
        <v>h</v>
      </c>
      <c r="AT970" t="str">
        <f t="shared" si="610"/>
        <v>Offensive</v>
      </c>
      <c r="BA970" s="6">
        <f t="shared" si="599"/>
        <v>261</v>
      </c>
      <c r="BB970">
        <f t="shared" si="600"/>
        <v>18981</v>
      </c>
      <c r="BC970" t="str">
        <f t="shared" si="601"/>
        <v>Nelson</v>
      </c>
      <c r="BD970" t="str">
        <f t="shared" si="602"/>
        <v>Velodrome</v>
      </c>
      <c r="BE970" t="s">
        <v>7</v>
      </c>
      <c r="BF970" t="s">
        <v>172</v>
      </c>
      <c r="BG970" t="s">
        <v>66</v>
      </c>
      <c r="BI970" cm="1">
        <f t="array" ref="BI970">IFERROR(_xlfn._xlws.FILTER(shifts!A:A,(shifts!B:B=events!AD970)*(shifts!AG:AG&gt;=events!BK970)*(shifts!AH:AH&lt;=events!BL970)),BI969)</f>
        <v>47</v>
      </c>
      <c r="BJ970" s="15">
        <f t="shared" si="603"/>
        <v>0</v>
      </c>
      <c r="BK970">
        <f t="shared" si="611"/>
        <v>822</v>
      </c>
      <c r="BL970">
        <f t="shared" si="612"/>
        <v>822</v>
      </c>
      <c r="BM970" s="15">
        <f>SUMIFS(BJ$2:BJ970,K$2:K970,"=Intermission")+SUMIFS(BJ$2:BJ970,K$2:K970,"=Timeout")</f>
        <v>72</v>
      </c>
      <c r="BN970">
        <f t="shared" si="613"/>
        <v>1152</v>
      </c>
      <c r="BO970" s="19">
        <f t="shared" si="614"/>
        <v>1410</v>
      </c>
      <c r="BP970">
        <f t="shared" si="615"/>
        <v>1405</v>
      </c>
      <c r="BQ970" s="17">
        <f t="shared" si="616"/>
        <v>1410</v>
      </c>
      <c r="BR970" t="str">
        <f t="shared" si="617"/>
        <v>event_team_player_2</v>
      </c>
      <c r="BS970">
        <f>COUNTIFS(S$3:S970,"="&amp;S970,AI$3:AI970,"="&amp;AI970)</f>
        <v>2</v>
      </c>
      <c r="BT970" t="str">
        <f>IFERROR(VLOOKUP(BB970&amp;BU970&amp;X970,game_rosters!U:W,3,FALSE),"")</f>
        <v>P100078</v>
      </c>
      <c r="BU970" t="str">
        <f t="shared" si="618"/>
        <v>Nelson</v>
      </c>
    </row>
    <row r="971" spans="1:73" x14ac:dyDescent="0.2">
      <c r="A971">
        <f t="shared" si="604"/>
        <v>1</v>
      </c>
      <c r="J971" s="44" t="str">
        <f t="shared" si="619"/>
        <v>d</v>
      </c>
      <c r="K971" t="s">
        <v>238</v>
      </c>
      <c r="L971" t="s">
        <v>184</v>
      </c>
      <c r="M971" t="s">
        <v>88</v>
      </c>
      <c r="S971">
        <v>525</v>
      </c>
      <c r="W971" t="str">
        <f t="shared" si="595"/>
        <v>h</v>
      </c>
      <c r="X971">
        <v>10</v>
      </c>
      <c r="Y971" t="b">
        <f>IF(X971&lt;&gt;"",VLOOKUP(X971,game_rosters!$C$43:$E$64,3,FALSE))</f>
        <v>0</v>
      </c>
      <c r="Z971" cm="1">
        <f t="array" ref="Z971">IFERROR(IF(_xlfn._xlws.FILTER(game_rosters!$J:$J,(game_rosters!$G:$G=events!$AN971)*(game_rosters!$J:$J=events!$X971))&gt;0,1,""),"")</f>
        <v>1</v>
      </c>
      <c r="AA971">
        <f t="shared" si="553"/>
        <v>1525</v>
      </c>
      <c r="AB971" t="str">
        <f t="shared" si="554"/>
        <v/>
      </c>
      <c r="AC971">
        <f t="shared" si="592"/>
        <v>1525</v>
      </c>
      <c r="AD971" s="6">
        <v>2</v>
      </c>
      <c r="AE971" t="s">
        <v>926</v>
      </c>
      <c r="AF971" t="s">
        <v>903</v>
      </c>
      <c r="AG971" t="s">
        <v>926</v>
      </c>
      <c r="AH971" t="s">
        <v>749</v>
      </c>
      <c r="AI971" t="s">
        <v>367</v>
      </c>
      <c r="AJ971" t="str">
        <f t="shared" ref="AJ971:AK971" si="625">IF($J971&lt;&gt;"",$J971,IF($AC971=$AC970,AJ970,""))</f>
        <v>d</v>
      </c>
      <c r="AK971" t="str">
        <f t="shared" si="625"/>
        <v>d</v>
      </c>
      <c r="AL971" t="str">
        <f t="shared" si="597"/>
        <v>d</v>
      </c>
      <c r="AN971" t="s">
        <v>861</v>
      </c>
      <c r="AO971" t="str">
        <f t="shared" si="598"/>
        <v>h</v>
      </c>
      <c r="AP971" t="str">
        <f t="shared" si="606"/>
        <v>d</v>
      </c>
      <c r="AQ971" t="str">
        <f t="shared" si="607"/>
        <v/>
      </c>
      <c r="AR971" t="str">
        <f t="shared" si="608"/>
        <v>Home</v>
      </c>
      <c r="AS971" t="str">
        <f t="shared" si="609"/>
        <v>h</v>
      </c>
      <c r="AT971" t="str">
        <f t="shared" si="610"/>
        <v>Offensive</v>
      </c>
      <c r="BA971" s="6">
        <f t="shared" si="599"/>
        <v>262</v>
      </c>
      <c r="BB971">
        <f t="shared" si="600"/>
        <v>18981</v>
      </c>
      <c r="BC971" t="str">
        <f t="shared" si="601"/>
        <v>Nelson</v>
      </c>
      <c r="BD971" t="str">
        <f t="shared" si="602"/>
        <v>Velodrome</v>
      </c>
      <c r="BE971" t="s">
        <v>238</v>
      </c>
      <c r="BF971" t="s">
        <v>184</v>
      </c>
      <c r="BG971" t="s">
        <v>88</v>
      </c>
      <c r="BI971" cm="1">
        <f t="array" ref="BI971">IFERROR(_xlfn._xlws.FILTER(shifts!A:A,(shifts!B:B=events!AD971)*(shifts!AG:AG&gt;=events!BK971)*(shifts!AH:AH&lt;=events!BL971)),BI970)</f>
        <v>47</v>
      </c>
      <c r="BJ971" s="15">
        <f t="shared" si="603"/>
        <v>1</v>
      </c>
      <c r="BK971">
        <f t="shared" si="611"/>
        <v>820</v>
      </c>
      <c r="BL971">
        <f t="shared" si="612"/>
        <v>819</v>
      </c>
      <c r="BM971" s="15">
        <f>SUMIFS(BJ$2:BJ971,K$2:K971,"=Intermission")+SUMIFS(BJ$2:BJ971,K$2:K971,"=Timeout")</f>
        <v>72</v>
      </c>
      <c r="BN971">
        <f t="shared" si="613"/>
        <v>1152</v>
      </c>
      <c r="BO971" s="19">
        <f t="shared" si="614"/>
        <v>1412</v>
      </c>
      <c r="BP971">
        <f t="shared" si="615"/>
        <v>1407</v>
      </c>
      <c r="BQ971" s="17">
        <f t="shared" si="616"/>
        <v>1413</v>
      </c>
      <c r="BR971" t="str">
        <f t="shared" si="617"/>
        <v>event_team_player_1</v>
      </c>
      <c r="BS971">
        <f>COUNTIFS(S$3:S971,"="&amp;S971,AI$3:AI971,"="&amp;AI971)</f>
        <v>1</v>
      </c>
      <c r="BT971" t="str">
        <f>IFERROR(VLOOKUP(BB971&amp;BU971&amp;X971,game_rosters!U:W,3,FALSE),"")</f>
        <v>P100078</v>
      </c>
      <c r="BU971" t="str">
        <f t="shared" si="618"/>
        <v>Nelson</v>
      </c>
    </row>
    <row r="972" spans="1:73" x14ac:dyDescent="0.2">
      <c r="A972">
        <f t="shared" si="604"/>
        <v>1</v>
      </c>
      <c r="J972" s="44" t="str">
        <f t="shared" si="619"/>
        <v/>
      </c>
      <c r="K972" t="s">
        <v>13</v>
      </c>
      <c r="L972" t="s">
        <v>756</v>
      </c>
      <c r="M972" t="s">
        <v>756</v>
      </c>
      <c r="S972">
        <v>526</v>
      </c>
      <c r="W972" t="str">
        <f t="shared" si="595"/>
        <v>h</v>
      </c>
      <c r="X972">
        <v>10</v>
      </c>
      <c r="Y972" t="b">
        <f>IF(X972&lt;&gt;"",VLOOKUP(X972,game_rosters!$C$43:$E$64,3,FALSE))</f>
        <v>0</v>
      </c>
      <c r="Z972" cm="1">
        <f t="array" ref="Z972">IFERROR(IF(_xlfn._xlws.FILTER(game_rosters!$J:$J,(game_rosters!$G:$G=events!$AN972)*(game_rosters!$J:$J=events!$X972))&gt;0,1,""),"")</f>
        <v>1</v>
      </c>
      <c r="AA972">
        <f t="shared" si="553"/>
        <v>1526</v>
      </c>
      <c r="AB972" t="str">
        <f t="shared" si="554"/>
        <v/>
      </c>
      <c r="AC972">
        <f t="shared" si="592"/>
        <v>1526</v>
      </c>
      <c r="AD972" s="6">
        <v>2</v>
      </c>
      <c r="AE972" t="s">
        <v>926</v>
      </c>
      <c r="AF972" t="s">
        <v>749</v>
      </c>
      <c r="AG972" t="s">
        <v>926</v>
      </c>
      <c r="AH972" t="s">
        <v>928</v>
      </c>
      <c r="AI972" t="s">
        <v>367</v>
      </c>
      <c r="AJ972" t="str">
        <f t="shared" ref="AJ972:AK972" si="626">IF($J972&lt;&gt;"",$J972,IF($AC972=$AC971,AJ971,""))</f>
        <v/>
      </c>
      <c r="AK972" t="str">
        <f t="shared" si="626"/>
        <v/>
      </c>
      <c r="AL972" t="str">
        <f t="shared" si="597"/>
        <v/>
      </c>
      <c r="AN972" t="s">
        <v>861</v>
      </c>
      <c r="AO972" t="str">
        <f t="shared" si="598"/>
        <v>h</v>
      </c>
      <c r="AP972" t="str">
        <f t="shared" si="606"/>
        <v/>
      </c>
      <c r="AQ972" t="str">
        <f t="shared" si="607"/>
        <v/>
      </c>
      <c r="AR972" t="str">
        <f t="shared" si="608"/>
        <v>Home</v>
      </c>
      <c r="AS972" t="str">
        <f t="shared" si="609"/>
        <v>h</v>
      </c>
      <c r="AT972" t="str">
        <f t="shared" si="610"/>
        <v>Offensive</v>
      </c>
      <c r="BA972" s="6">
        <f t="shared" si="599"/>
        <v>262</v>
      </c>
      <c r="BB972">
        <f t="shared" si="600"/>
        <v>18981</v>
      </c>
      <c r="BC972" t="str">
        <f t="shared" si="601"/>
        <v>Nelson</v>
      </c>
      <c r="BD972" t="str">
        <f t="shared" si="602"/>
        <v>Velodrome</v>
      </c>
      <c r="BE972" t="s">
        <v>13</v>
      </c>
      <c r="BF972" t="s">
        <v>756</v>
      </c>
      <c r="BG972" t="s">
        <v>756</v>
      </c>
      <c r="BI972" cm="1">
        <f t="array" ref="BI972">IFERROR(_xlfn._xlws.FILTER(shifts!A:A,(shifts!B:B=events!AD972)*(shifts!AG:AG&gt;=events!BK972)*(shifts!AH:AH&lt;=events!BL972)),BI971)</f>
        <v>47</v>
      </c>
      <c r="BJ972" s="15">
        <f t="shared" si="603"/>
        <v>2</v>
      </c>
      <c r="BK972">
        <f t="shared" si="611"/>
        <v>819</v>
      </c>
      <c r="BL972">
        <f t="shared" si="612"/>
        <v>817</v>
      </c>
      <c r="BM972" s="15">
        <f>SUMIFS(BJ$2:BJ972,K$2:K972,"=Intermission")+SUMIFS(BJ$2:BJ972,K$2:K972,"=Timeout")</f>
        <v>72</v>
      </c>
      <c r="BN972">
        <f t="shared" si="613"/>
        <v>1152</v>
      </c>
      <c r="BO972" s="19">
        <f t="shared" si="614"/>
        <v>1413</v>
      </c>
      <c r="BP972">
        <f t="shared" si="615"/>
        <v>1408</v>
      </c>
      <c r="BQ972" s="17">
        <f t="shared" si="616"/>
        <v>1415</v>
      </c>
      <c r="BR972" t="str">
        <f t="shared" si="617"/>
        <v>event_team_player_1</v>
      </c>
      <c r="BS972">
        <f>COUNTIFS(S$3:S972,"="&amp;S972,AI$3:AI972,"="&amp;AI972)</f>
        <v>1</v>
      </c>
      <c r="BT972" t="str">
        <f>IFERROR(VLOOKUP(BB972&amp;BU972&amp;X972,game_rosters!U:W,3,FALSE),"")</f>
        <v>P100078</v>
      </c>
      <c r="BU972" t="str">
        <f t="shared" si="618"/>
        <v>Nelson</v>
      </c>
    </row>
    <row r="973" spans="1:73" x14ac:dyDescent="0.2">
      <c r="A973">
        <f t="shared" si="604"/>
        <v>1</v>
      </c>
      <c r="J973" s="44" t="str">
        <f t="shared" si="619"/>
        <v>o</v>
      </c>
      <c r="K973" t="s">
        <v>238</v>
      </c>
      <c r="L973" t="s">
        <v>174</v>
      </c>
      <c r="M973" t="s">
        <v>85</v>
      </c>
      <c r="S973">
        <v>527</v>
      </c>
      <c r="W973" t="str">
        <f t="shared" si="595"/>
        <v>h</v>
      </c>
      <c r="X973">
        <v>10</v>
      </c>
      <c r="Y973" t="b">
        <f>IF(X973&lt;&gt;"",VLOOKUP(X973,game_rosters!$C$43:$E$64,3,FALSE))</f>
        <v>0</v>
      </c>
      <c r="Z973" cm="1">
        <f t="array" ref="Z973">IFERROR(IF(_xlfn._xlws.FILTER(game_rosters!$J:$J,(game_rosters!$G:$G=events!$AN973)*(game_rosters!$J:$J=events!$X973))&gt;0,1,""),"")</f>
        <v>1</v>
      </c>
      <c r="AA973">
        <f t="shared" si="553"/>
        <v>1527</v>
      </c>
      <c r="AB973" t="str">
        <f t="shared" si="554"/>
        <v/>
      </c>
      <c r="AC973">
        <f t="shared" si="592"/>
        <v>1527</v>
      </c>
      <c r="AD973" s="6">
        <v>2</v>
      </c>
      <c r="AE973" t="s">
        <v>926</v>
      </c>
      <c r="AF973" t="s">
        <v>928</v>
      </c>
      <c r="AG973" t="s">
        <v>926</v>
      </c>
      <c r="AH973" t="s">
        <v>904</v>
      </c>
      <c r="AI973" t="s">
        <v>367</v>
      </c>
      <c r="AJ973" t="str">
        <f t="shared" ref="AJ973:AK973" si="627">IF($J973&lt;&gt;"",$J973,IF($AC973=$AC972,AJ972,""))</f>
        <v>o</v>
      </c>
      <c r="AK973" t="str">
        <f t="shared" si="627"/>
        <v>o</v>
      </c>
      <c r="AL973" t="str">
        <f t="shared" si="597"/>
        <v>o</v>
      </c>
      <c r="AN973" t="s">
        <v>861</v>
      </c>
      <c r="AO973" t="str">
        <f t="shared" si="598"/>
        <v>h</v>
      </c>
      <c r="AP973" t="str">
        <f t="shared" si="606"/>
        <v>o</v>
      </c>
      <c r="AQ973" t="str">
        <f t="shared" si="607"/>
        <v/>
      </c>
      <c r="AR973" t="str">
        <f t="shared" si="608"/>
        <v>Home</v>
      </c>
      <c r="AS973" t="str">
        <f t="shared" si="609"/>
        <v>h</v>
      </c>
      <c r="AT973" t="str">
        <f t="shared" si="610"/>
        <v>Offensive</v>
      </c>
      <c r="BA973" s="6">
        <f t="shared" si="599"/>
        <v>263</v>
      </c>
      <c r="BB973">
        <f t="shared" si="600"/>
        <v>18981</v>
      </c>
      <c r="BC973" t="str">
        <f t="shared" si="601"/>
        <v>Nelson</v>
      </c>
      <c r="BD973" t="str">
        <f t="shared" si="602"/>
        <v>Velodrome</v>
      </c>
      <c r="BE973" t="s">
        <v>238</v>
      </c>
      <c r="BF973" t="s">
        <v>174</v>
      </c>
      <c r="BG973" t="s">
        <v>85</v>
      </c>
      <c r="BI973" cm="1">
        <f t="array" ref="BI973">IFERROR(_xlfn._xlws.FILTER(shifts!A:A,(shifts!B:B=events!AD973)*(shifts!AG:AG&gt;=events!BK973)*(shifts!AH:AH&lt;=events!BL973)),BI972)</f>
        <v>47</v>
      </c>
      <c r="BJ973" s="15">
        <f t="shared" si="603"/>
        <v>1</v>
      </c>
      <c r="BK973">
        <f t="shared" si="611"/>
        <v>817</v>
      </c>
      <c r="BL973">
        <f t="shared" si="612"/>
        <v>816</v>
      </c>
      <c r="BM973" s="15">
        <f>SUMIFS(BJ$2:BJ973,K$2:K973,"=Intermission")+SUMIFS(BJ$2:BJ973,K$2:K973,"=Timeout")</f>
        <v>72</v>
      </c>
      <c r="BN973">
        <f t="shared" si="613"/>
        <v>1152</v>
      </c>
      <c r="BO973" s="19">
        <f t="shared" si="614"/>
        <v>1415</v>
      </c>
      <c r="BP973">
        <f t="shared" si="615"/>
        <v>1410</v>
      </c>
      <c r="BQ973" s="17">
        <f t="shared" si="616"/>
        <v>1416</v>
      </c>
      <c r="BR973" t="str">
        <f t="shared" si="617"/>
        <v>event_team_player_1</v>
      </c>
      <c r="BS973">
        <f>COUNTIFS(S$3:S973,"="&amp;S973,AI$3:AI973,"="&amp;AI973)</f>
        <v>1</v>
      </c>
      <c r="BT973" t="str">
        <f>IFERROR(VLOOKUP(BB973&amp;BU973&amp;X973,game_rosters!U:W,3,FALSE),"")</f>
        <v>P100078</v>
      </c>
      <c r="BU973" t="str">
        <f t="shared" si="618"/>
        <v>Nelson</v>
      </c>
    </row>
    <row r="974" spans="1:73" x14ac:dyDescent="0.2">
      <c r="A974">
        <f t="shared" si="604"/>
        <v>1</v>
      </c>
      <c r="J974" s="44" t="str">
        <f t="shared" si="619"/>
        <v>o</v>
      </c>
      <c r="K974" t="s">
        <v>238</v>
      </c>
      <c r="L974" t="s">
        <v>174</v>
      </c>
      <c r="M974" t="s">
        <v>85</v>
      </c>
      <c r="S974">
        <v>527</v>
      </c>
      <c r="W974" t="str">
        <f t="shared" si="595"/>
        <v>h</v>
      </c>
      <c r="X974">
        <v>9</v>
      </c>
      <c r="Y974" t="e">
        <f>IF(X974&lt;&gt;"",VLOOKUP(X974,game_rosters!$C$43:$E$64,3,FALSE))</f>
        <v>#N/A</v>
      </c>
      <c r="Z974" t="str" cm="1">
        <f t="array" ref="Z974">IFERROR(IF(_xlfn._xlws.FILTER(game_rosters!$J:$J,(game_rosters!$G:$G=events!$AN974)*(game_rosters!$J:$J=events!$X974))&gt;0,1,""),"")</f>
        <v/>
      </c>
      <c r="AA974">
        <f t="shared" si="553"/>
        <v>1527</v>
      </c>
      <c r="AB974" t="str">
        <f t="shared" si="554"/>
        <v/>
      </c>
      <c r="AC974">
        <f t="shared" si="592"/>
        <v>1527</v>
      </c>
      <c r="AD974" s="6">
        <v>2</v>
      </c>
      <c r="AE974" t="s">
        <v>926</v>
      </c>
      <c r="AF974" t="s">
        <v>928</v>
      </c>
      <c r="AG974" t="s">
        <v>926</v>
      </c>
      <c r="AH974" t="s">
        <v>904</v>
      </c>
      <c r="AI974" t="s">
        <v>368</v>
      </c>
      <c r="AJ974" t="str">
        <f t="shared" ref="AJ974:AK974" si="628">IF($J974&lt;&gt;"",$J974,IF($AC974=$AC973,AJ973,""))</f>
        <v>o</v>
      </c>
      <c r="AK974" t="str">
        <f t="shared" si="628"/>
        <v>o</v>
      </c>
      <c r="AL974" t="str">
        <f t="shared" si="597"/>
        <v>o</v>
      </c>
      <c r="AN974" t="s">
        <v>861</v>
      </c>
      <c r="AO974" t="str">
        <f t="shared" si="598"/>
        <v>h</v>
      </c>
      <c r="AP974" t="str">
        <f t="shared" si="606"/>
        <v>o</v>
      </c>
      <c r="AQ974" t="str">
        <f t="shared" si="607"/>
        <v/>
      </c>
      <c r="AR974" t="str">
        <f t="shared" si="608"/>
        <v>Home</v>
      </c>
      <c r="AS974" t="str">
        <f t="shared" si="609"/>
        <v>h</v>
      </c>
      <c r="AT974" t="str">
        <f t="shared" si="610"/>
        <v>Defensive</v>
      </c>
      <c r="BA974" s="6">
        <f t="shared" si="599"/>
        <v>264</v>
      </c>
      <c r="BB974">
        <f t="shared" si="600"/>
        <v>18981</v>
      </c>
      <c r="BC974" t="str">
        <f t="shared" si="601"/>
        <v>Nelson</v>
      </c>
      <c r="BD974" t="str">
        <f t="shared" si="602"/>
        <v>Velodrome</v>
      </c>
      <c r="BE974" t="s">
        <v>238</v>
      </c>
      <c r="BF974" t="s">
        <v>174</v>
      </c>
      <c r="BG974" t="s">
        <v>85</v>
      </c>
      <c r="BI974" cm="1">
        <f t="array" ref="BI974">IFERROR(_xlfn._xlws.FILTER(shifts!A:A,(shifts!B:B=events!AD974)*(shifts!AG:AG&gt;=events!BK974)*(shifts!AH:AH&lt;=events!BL974)),BI973)</f>
        <v>47</v>
      </c>
      <c r="BJ974" s="15">
        <f t="shared" si="603"/>
        <v>1</v>
      </c>
      <c r="BK974">
        <f t="shared" si="611"/>
        <v>817</v>
      </c>
      <c r="BL974">
        <f t="shared" si="612"/>
        <v>816</v>
      </c>
      <c r="BM974" s="15">
        <f>SUMIFS(BJ$2:BJ974,K$2:K974,"=Intermission")+SUMIFS(BJ$2:BJ974,K$2:K974,"=Timeout")</f>
        <v>72</v>
      </c>
      <c r="BN974">
        <f t="shared" si="613"/>
        <v>1152</v>
      </c>
      <c r="BO974" s="19">
        <f t="shared" si="614"/>
        <v>1415</v>
      </c>
      <c r="BP974">
        <f t="shared" si="615"/>
        <v>1410</v>
      </c>
      <c r="BQ974" s="17">
        <f t="shared" si="616"/>
        <v>1416</v>
      </c>
      <c r="BR974" t="str">
        <f t="shared" si="617"/>
        <v>opp_team_player_1</v>
      </c>
      <c r="BS974">
        <f>COUNTIFS(S$3:S974,"="&amp;S974,AI$3:AI974,"="&amp;AI974)</f>
        <v>1</v>
      </c>
      <c r="BT974" t="str">
        <f>IFERROR(VLOOKUP(BB974&amp;BU974&amp;X974,game_rosters!U:W,3,FALSE),"")</f>
        <v>P100105</v>
      </c>
      <c r="BU974" t="str">
        <f t="shared" si="618"/>
        <v>Velodrome</v>
      </c>
    </row>
    <row r="975" spans="1:73" x14ac:dyDescent="0.2">
      <c r="A975">
        <f t="shared" si="604"/>
        <v>1</v>
      </c>
      <c r="J975" s="44" t="str">
        <f t="shared" si="619"/>
        <v>o</v>
      </c>
      <c r="K975" t="s">
        <v>238</v>
      </c>
      <c r="L975" t="s">
        <v>174</v>
      </c>
      <c r="M975" t="s">
        <v>85</v>
      </c>
      <c r="S975">
        <v>527</v>
      </c>
      <c r="W975" t="str">
        <f t="shared" si="595"/>
        <v>h</v>
      </c>
      <c r="X975">
        <v>93</v>
      </c>
      <c r="Y975" t="e">
        <f>IF(X975&lt;&gt;"",VLOOKUP(X975,game_rosters!$C$43:$E$64,3,FALSE))</f>
        <v>#N/A</v>
      </c>
      <c r="Z975" t="str" cm="1">
        <f t="array" ref="Z975">IFERROR(IF(_xlfn._xlws.FILTER(game_rosters!$J:$J,(game_rosters!$G:$G=events!$AN975)*(game_rosters!$J:$J=events!$X975))&gt;0,1,""),"")</f>
        <v/>
      </c>
      <c r="AA975">
        <f t="shared" si="553"/>
        <v>1527</v>
      </c>
      <c r="AB975" t="str">
        <f t="shared" si="554"/>
        <v/>
      </c>
      <c r="AC975">
        <f t="shared" si="592"/>
        <v>1527</v>
      </c>
      <c r="AD975" s="6">
        <v>2</v>
      </c>
      <c r="AE975" t="s">
        <v>926</v>
      </c>
      <c r="AF975" t="s">
        <v>928</v>
      </c>
      <c r="AG975" t="s">
        <v>926</v>
      </c>
      <c r="AH975" t="s">
        <v>904</v>
      </c>
      <c r="AI975" t="s">
        <v>368</v>
      </c>
      <c r="AJ975" t="str">
        <f t="shared" ref="AJ975:AK975" si="629">IF($J975&lt;&gt;"",$J975,IF($AC975=$AC974,AJ974,""))</f>
        <v>o</v>
      </c>
      <c r="AK975" t="str">
        <f t="shared" si="629"/>
        <v>o</v>
      </c>
      <c r="AL975" t="str">
        <f t="shared" si="597"/>
        <v>o</v>
      </c>
      <c r="AN975" t="s">
        <v>861</v>
      </c>
      <c r="AO975" t="str">
        <f t="shared" si="598"/>
        <v>h</v>
      </c>
      <c r="AP975" t="str">
        <f t="shared" si="606"/>
        <v>o</v>
      </c>
      <c r="AQ975" t="str">
        <f t="shared" si="607"/>
        <v/>
      </c>
      <c r="AR975" t="str">
        <f t="shared" si="608"/>
        <v>Home</v>
      </c>
      <c r="AS975" t="str">
        <f t="shared" si="609"/>
        <v>h</v>
      </c>
      <c r="AT975" t="str">
        <f t="shared" si="610"/>
        <v>Defensive</v>
      </c>
      <c r="BA975" s="6">
        <f t="shared" si="599"/>
        <v>265</v>
      </c>
      <c r="BB975">
        <f t="shared" si="600"/>
        <v>18981</v>
      </c>
      <c r="BC975" t="str">
        <f t="shared" si="601"/>
        <v>Nelson</v>
      </c>
      <c r="BD975" t="str">
        <f t="shared" si="602"/>
        <v>Velodrome</v>
      </c>
      <c r="BE975" t="s">
        <v>238</v>
      </c>
      <c r="BF975" t="s">
        <v>174</v>
      </c>
      <c r="BG975" t="s">
        <v>85</v>
      </c>
      <c r="BI975" cm="1">
        <f t="array" ref="BI975">IFERROR(_xlfn._xlws.FILTER(shifts!A:A,(shifts!B:B=events!AD975)*(shifts!AG:AG&gt;=events!BK975)*(shifts!AH:AH&lt;=events!BL975)),BI974)</f>
        <v>47</v>
      </c>
      <c r="BJ975" s="15">
        <f t="shared" si="603"/>
        <v>1</v>
      </c>
      <c r="BK975">
        <f t="shared" si="611"/>
        <v>817</v>
      </c>
      <c r="BL975">
        <f t="shared" si="612"/>
        <v>816</v>
      </c>
      <c r="BM975" s="15">
        <f>SUMIFS(BJ$2:BJ975,K$2:K975,"=Intermission")+SUMIFS(BJ$2:BJ975,K$2:K975,"=Timeout")</f>
        <v>72</v>
      </c>
      <c r="BN975">
        <f t="shared" si="613"/>
        <v>1152</v>
      </c>
      <c r="BO975" s="19">
        <f t="shared" si="614"/>
        <v>1415</v>
      </c>
      <c r="BP975">
        <f t="shared" si="615"/>
        <v>1410</v>
      </c>
      <c r="BQ975" s="17">
        <f t="shared" si="616"/>
        <v>1416</v>
      </c>
      <c r="BR975" t="str">
        <f t="shared" si="617"/>
        <v>opp_team_player_2</v>
      </c>
      <c r="BS975">
        <f>COUNTIFS(S$3:S975,"="&amp;S975,AI$3:AI975,"="&amp;AI975)</f>
        <v>2</v>
      </c>
      <c r="BT975" t="str">
        <f>IFERROR(VLOOKUP(BB975&amp;BU975&amp;X975,game_rosters!U:W,3,FALSE),"")</f>
        <v>P100093</v>
      </c>
      <c r="BU975" t="str">
        <f t="shared" si="618"/>
        <v>Velodrome</v>
      </c>
    </row>
    <row r="976" spans="1:73" x14ac:dyDescent="0.2">
      <c r="A976">
        <f t="shared" si="604"/>
        <v>1</v>
      </c>
      <c r="J976" s="44" t="str">
        <f t="shared" si="619"/>
        <v>o</v>
      </c>
      <c r="K976" t="s">
        <v>6</v>
      </c>
      <c r="L976" t="s">
        <v>191</v>
      </c>
      <c r="M976" t="s">
        <v>51</v>
      </c>
      <c r="S976">
        <v>528</v>
      </c>
      <c r="W976" t="str">
        <f t="shared" si="595"/>
        <v>h</v>
      </c>
      <c r="X976">
        <v>10</v>
      </c>
      <c r="Y976" t="b">
        <f>IF(X976&lt;&gt;"",VLOOKUP(X976,game_rosters!$C$43:$E$64,3,FALSE))</f>
        <v>0</v>
      </c>
      <c r="Z976" cm="1">
        <f t="array" ref="Z976">IFERROR(IF(_xlfn._xlws.FILTER(game_rosters!$J:$J,(game_rosters!$G:$G=events!$AN976)*(game_rosters!$J:$J=events!$X976))&gt;0,1,""),"")</f>
        <v>1</v>
      </c>
      <c r="AA976">
        <f t="shared" si="553"/>
        <v>1528</v>
      </c>
      <c r="AB976" t="str">
        <f t="shared" si="554"/>
        <v/>
      </c>
      <c r="AC976">
        <f t="shared" si="592"/>
        <v>1528</v>
      </c>
      <c r="AD976" s="6">
        <v>2</v>
      </c>
      <c r="AE976" t="s">
        <v>926</v>
      </c>
      <c r="AF976" t="s">
        <v>904</v>
      </c>
      <c r="AG976" t="s">
        <v>756</v>
      </c>
      <c r="AH976" t="s">
        <v>756</v>
      </c>
      <c r="AI976" t="s">
        <v>367</v>
      </c>
      <c r="AJ976" t="str">
        <f t="shared" ref="AJ976:AK976" si="630">IF($J976&lt;&gt;"",$J976,IF($AC976=$AC975,AJ975,""))</f>
        <v>o</v>
      </c>
      <c r="AK976" t="str">
        <f t="shared" si="630"/>
        <v>o</v>
      </c>
      <c r="AL976" t="str">
        <f t="shared" si="597"/>
        <v>o</v>
      </c>
      <c r="AN976" t="s">
        <v>861</v>
      </c>
      <c r="AO976" t="str">
        <f t="shared" si="598"/>
        <v>h</v>
      </c>
      <c r="AP976" t="str">
        <f t="shared" si="606"/>
        <v>o</v>
      </c>
      <c r="AQ976" t="str">
        <f t="shared" si="607"/>
        <v/>
      </c>
      <c r="AR976" t="str">
        <f t="shared" si="608"/>
        <v>Home</v>
      </c>
      <c r="AS976" t="str">
        <f t="shared" si="609"/>
        <v>h</v>
      </c>
      <c r="AT976" t="str">
        <f t="shared" si="610"/>
        <v>Offensive</v>
      </c>
      <c r="BA976" s="6">
        <f t="shared" si="599"/>
        <v>265</v>
      </c>
      <c r="BB976">
        <f t="shared" si="600"/>
        <v>18981</v>
      </c>
      <c r="BC976" t="str">
        <f t="shared" si="601"/>
        <v>Nelson</v>
      </c>
      <c r="BD976" t="str">
        <f t="shared" si="602"/>
        <v>Velodrome</v>
      </c>
      <c r="BE976" t="s">
        <v>6</v>
      </c>
      <c r="BF976" t="s">
        <v>191</v>
      </c>
      <c r="BG976" t="s">
        <v>51</v>
      </c>
      <c r="BI976" cm="1">
        <f t="array" ref="BI976">IFERROR(_xlfn._xlws.FILTER(shifts!A:A,(shifts!B:B=events!AD976)*(shifts!AG:AG&gt;=events!BK976)*(shifts!AH:AH&lt;=events!BL976)),BI975)</f>
        <v>47</v>
      </c>
      <c r="BJ976" s="15">
        <f t="shared" si="603"/>
        <v>0</v>
      </c>
      <c r="BK976">
        <f t="shared" si="611"/>
        <v>816</v>
      </c>
      <c r="BL976">
        <f t="shared" si="612"/>
        <v>816</v>
      </c>
      <c r="BM976" s="15">
        <f>SUMIFS(BJ$2:BJ976,K$2:K976,"=Intermission")+SUMIFS(BJ$2:BJ976,K$2:K976,"=Timeout")</f>
        <v>72</v>
      </c>
      <c r="BN976">
        <f t="shared" si="613"/>
        <v>1152</v>
      </c>
      <c r="BO976" s="19">
        <f t="shared" si="614"/>
        <v>1416</v>
      </c>
      <c r="BP976">
        <f t="shared" si="615"/>
        <v>1411</v>
      </c>
      <c r="BQ976" s="17">
        <f t="shared" si="616"/>
        <v>1416</v>
      </c>
      <c r="BR976" t="str">
        <f t="shared" si="617"/>
        <v>event_team_player_1</v>
      </c>
      <c r="BS976">
        <f>COUNTIFS(S$3:S976,"="&amp;S976,AI$3:AI976,"="&amp;AI976)</f>
        <v>1</v>
      </c>
      <c r="BT976" t="str">
        <f>IFERROR(VLOOKUP(BB976&amp;BU976&amp;X976,game_rosters!U:W,3,FALSE),"")</f>
        <v>P100078</v>
      </c>
      <c r="BU976" t="str">
        <f t="shared" si="618"/>
        <v>Nelson</v>
      </c>
    </row>
    <row r="977" spans="1:73" x14ac:dyDescent="0.2">
      <c r="A977">
        <f t="shared" si="604"/>
        <v>1</v>
      </c>
      <c r="J977" s="44" t="str">
        <f t="shared" si="619"/>
        <v>o</v>
      </c>
      <c r="K977" t="s">
        <v>6</v>
      </c>
      <c r="L977" t="s">
        <v>191</v>
      </c>
      <c r="M977" t="s">
        <v>51</v>
      </c>
      <c r="S977">
        <v>528</v>
      </c>
      <c r="W977" t="str">
        <f t="shared" si="595"/>
        <v>h</v>
      </c>
      <c r="X977">
        <v>9</v>
      </c>
      <c r="Y977" t="e">
        <f>IF(X977&lt;&gt;"",VLOOKUP(X977,game_rosters!$C$43:$E$64,3,FALSE))</f>
        <v>#N/A</v>
      </c>
      <c r="Z977" t="str" cm="1">
        <f t="array" ref="Z977">IFERROR(IF(_xlfn._xlws.FILTER(game_rosters!$J:$J,(game_rosters!$G:$G=events!$AN977)*(game_rosters!$J:$J=events!$X977))&gt;0,1,""),"")</f>
        <v/>
      </c>
      <c r="AA977">
        <f t="shared" si="553"/>
        <v>1528</v>
      </c>
      <c r="AB977" t="str">
        <f t="shared" si="554"/>
        <v/>
      </c>
      <c r="AC977">
        <f t="shared" si="592"/>
        <v>1528</v>
      </c>
      <c r="AD977" s="6">
        <v>2</v>
      </c>
      <c r="AE977" t="s">
        <v>926</v>
      </c>
      <c r="AF977" t="s">
        <v>904</v>
      </c>
      <c r="AG977" t="s">
        <v>756</v>
      </c>
      <c r="AH977" t="s">
        <v>756</v>
      </c>
      <c r="AI977" t="s">
        <v>368</v>
      </c>
      <c r="AJ977" t="str">
        <f t="shared" ref="AJ977:AK977" si="631">IF($J977&lt;&gt;"",$J977,IF($AC977=$AC976,AJ976,""))</f>
        <v>o</v>
      </c>
      <c r="AK977" t="str">
        <f t="shared" si="631"/>
        <v>o</v>
      </c>
      <c r="AL977" t="str">
        <f t="shared" si="597"/>
        <v>o</v>
      </c>
      <c r="AN977" t="s">
        <v>861</v>
      </c>
      <c r="AO977" t="str">
        <f t="shared" si="598"/>
        <v>h</v>
      </c>
      <c r="AP977" t="str">
        <f t="shared" si="606"/>
        <v>o</v>
      </c>
      <c r="AQ977" t="str">
        <f t="shared" si="607"/>
        <v/>
      </c>
      <c r="AR977" t="str">
        <f t="shared" si="608"/>
        <v>Home</v>
      </c>
      <c r="AS977" t="str">
        <f t="shared" si="609"/>
        <v>h</v>
      </c>
      <c r="AT977" t="str">
        <f t="shared" si="610"/>
        <v>Defensive</v>
      </c>
      <c r="BA977" s="6">
        <f t="shared" si="599"/>
        <v>265</v>
      </c>
      <c r="BB977">
        <f t="shared" si="600"/>
        <v>18981</v>
      </c>
      <c r="BC977" t="str">
        <f t="shared" si="601"/>
        <v>Nelson</v>
      </c>
      <c r="BD977" t="str">
        <f t="shared" si="602"/>
        <v>Velodrome</v>
      </c>
      <c r="BE977" t="s">
        <v>6</v>
      </c>
      <c r="BF977" t="s">
        <v>191</v>
      </c>
      <c r="BG977" t="s">
        <v>51</v>
      </c>
      <c r="BI977" cm="1">
        <f t="array" ref="BI977">IFERROR(_xlfn._xlws.FILTER(shifts!A:A,(shifts!B:B=events!AD977)*(shifts!AG:AG&gt;=events!BK977)*(shifts!AH:AH&lt;=events!BL977)),BI976)</f>
        <v>47</v>
      </c>
      <c r="BJ977" s="15">
        <f t="shared" si="603"/>
        <v>0</v>
      </c>
      <c r="BK977">
        <f t="shared" si="611"/>
        <v>816</v>
      </c>
      <c r="BL977">
        <f t="shared" si="612"/>
        <v>816</v>
      </c>
      <c r="BM977" s="15">
        <f>SUMIFS(BJ$2:BJ977,K$2:K977,"=Intermission")+SUMIFS(BJ$2:BJ977,K$2:K977,"=Timeout")</f>
        <v>72</v>
      </c>
      <c r="BN977">
        <f t="shared" si="613"/>
        <v>1152</v>
      </c>
      <c r="BO977" s="19">
        <f t="shared" si="614"/>
        <v>1416</v>
      </c>
      <c r="BP977">
        <f t="shared" si="615"/>
        <v>1411</v>
      </c>
      <c r="BQ977" s="17">
        <f t="shared" si="616"/>
        <v>1416</v>
      </c>
      <c r="BR977" t="str">
        <f t="shared" si="617"/>
        <v>opp_team_player_1</v>
      </c>
      <c r="BS977">
        <f>COUNTIFS(S$3:S977,"="&amp;S977,AI$3:AI977,"="&amp;AI977)</f>
        <v>1</v>
      </c>
      <c r="BT977" t="str">
        <f>IFERROR(VLOOKUP(BB977&amp;BU977&amp;X977,game_rosters!U:W,3,FALSE),"")</f>
        <v>P100105</v>
      </c>
      <c r="BU977" t="str">
        <f t="shared" si="618"/>
        <v>Velodrome</v>
      </c>
    </row>
    <row r="978" spans="1:73" x14ac:dyDescent="0.2">
      <c r="A978">
        <f t="shared" si="604"/>
        <v>1</v>
      </c>
      <c r="J978" s="44" t="str">
        <f t="shared" si="619"/>
        <v/>
      </c>
      <c r="K978" t="s">
        <v>13</v>
      </c>
      <c r="L978" t="s">
        <v>756</v>
      </c>
      <c r="M978" t="s">
        <v>756</v>
      </c>
      <c r="S978">
        <v>529</v>
      </c>
      <c r="W978" t="str">
        <f t="shared" si="595"/>
        <v>h</v>
      </c>
      <c r="X978">
        <v>44</v>
      </c>
      <c r="Y978" t="b">
        <f>IF(X978&lt;&gt;"",VLOOKUP(X978,game_rosters!$C$43:$E$64,3,FALSE))</f>
        <v>0</v>
      </c>
      <c r="Z978" cm="1">
        <f t="array" ref="Z978">IFERROR(IF(_xlfn._xlws.FILTER(game_rosters!$J:$J,(game_rosters!$G:$G=events!$AN978)*(game_rosters!$J:$J=events!$X978))&gt;0,1,""),"")</f>
        <v>1</v>
      </c>
      <c r="AA978">
        <f t="shared" si="553"/>
        <v>1529</v>
      </c>
      <c r="AB978" t="str">
        <f t="shared" si="554"/>
        <v/>
      </c>
      <c r="AC978">
        <f t="shared" si="592"/>
        <v>1529</v>
      </c>
      <c r="AD978" s="6">
        <v>2</v>
      </c>
      <c r="AE978" t="s">
        <v>926</v>
      </c>
      <c r="AF978" t="s">
        <v>929</v>
      </c>
      <c r="AG978" t="s">
        <v>926</v>
      </c>
      <c r="AH978" t="s">
        <v>738</v>
      </c>
      <c r="AI978" t="s">
        <v>367</v>
      </c>
      <c r="AJ978" t="str">
        <f t="shared" ref="AJ978:AK978" si="632">IF($J978&lt;&gt;"",$J978,IF($AC978=$AC977,AJ977,""))</f>
        <v/>
      </c>
      <c r="AK978" t="str">
        <f t="shared" si="632"/>
        <v/>
      </c>
      <c r="AL978" t="str">
        <f t="shared" si="597"/>
        <v/>
      </c>
      <c r="AN978" t="s">
        <v>861</v>
      </c>
      <c r="AO978" t="str">
        <f t="shared" si="598"/>
        <v>h</v>
      </c>
      <c r="AP978" t="str">
        <f t="shared" si="606"/>
        <v/>
      </c>
      <c r="AQ978" t="str">
        <f t="shared" si="607"/>
        <v/>
      </c>
      <c r="AR978" t="str">
        <f t="shared" si="608"/>
        <v>Home</v>
      </c>
      <c r="AS978" t="str">
        <f t="shared" si="609"/>
        <v>h</v>
      </c>
      <c r="AT978" t="str">
        <f t="shared" si="610"/>
        <v>Offensive</v>
      </c>
      <c r="BA978" s="6">
        <f t="shared" si="599"/>
        <v>265</v>
      </c>
      <c r="BB978">
        <f t="shared" si="600"/>
        <v>18981</v>
      </c>
      <c r="BC978" t="str">
        <f t="shared" si="601"/>
        <v>Nelson</v>
      </c>
      <c r="BD978" t="str">
        <f t="shared" si="602"/>
        <v>Velodrome</v>
      </c>
      <c r="BE978" t="s">
        <v>13</v>
      </c>
      <c r="BF978" t="s">
        <v>756</v>
      </c>
      <c r="BG978" t="s">
        <v>756</v>
      </c>
      <c r="BI978" cm="1">
        <f t="array" ref="BI978">IFERROR(_xlfn._xlws.FILTER(shifts!A:A,(shifts!B:B=events!AD978)*(shifts!AG:AG&gt;=events!BK978)*(shifts!AH:AH&lt;=events!BL978)),BI977)</f>
        <v>48</v>
      </c>
      <c r="BJ978" s="15">
        <f t="shared" si="603"/>
        <v>3</v>
      </c>
      <c r="BK978">
        <f t="shared" si="611"/>
        <v>814</v>
      </c>
      <c r="BL978">
        <f t="shared" si="612"/>
        <v>811</v>
      </c>
      <c r="BM978" s="15">
        <f>SUMIFS(BJ$2:BJ978,K$2:K978,"=Intermission")+SUMIFS(BJ$2:BJ978,K$2:K978,"=Timeout")</f>
        <v>72</v>
      </c>
      <c r="BN978">
        <f t="shared" si="613"/>
        <v>1152</v>
      </c>
      <c r="BO978" s="19">
        <f t="shared" si="614"/>
        <v>1418</v>
      </c>
      <c r="BP978">
        <f t="shared" si="615"/>
        <v>1413</v>
      </c>
      <c r="BQ978" s="17">
        <f t="shared" si="616"/>
        <v>1421</v>
      </c>
      <c r="BR978" t="str">
        <f t="shared" si="617"/>
        <v>event_team_player_1</v>
      </c>
      <c r="BS978">
        <f>COUNTIFS(S$3:S978,"="&amp;S978,AI$3:AI978,"="&amp;AI978)</f>
        <v>1</v>
      </c>
      <c r="BT978" t="str">
        <f>IFERROR(VLOOKUP(BB978&amp;BU978&amp;X978,game_rosters!U:W,3,FALSE),"")</f>
        <v>P100079</v>
      </c>
      <c r="BU978" t="str">
        <f t="shared" si="618"/>
        <v>Nelson</v>
      </c>
    </row>
    <row r="979" spans="1:73" x14ac:dyDescent="0.2">
      <c r="A979">
        <f t="shared" si="604"/>
        <v>1</v>
      </c>
      <c r="J979" s="44" t="str">
        <f t="shared" si="619"/>
        <v/>
      </c>
      <c r="K979" t="s">
        <v>230</v>
      </c>
      <c r="L979" t="s">
        <v>389</v>
      </c>
      <c r="M979" t="s">
        <v>156</v>
      </c>
      <c r="S979">
        <v>530</v>
      </c>
      <c r="W979" t="str">
        <f t="shared" si="595"/>
        <v>a</v>
      </c>
      <c r="X979">
        <v>93</v>
      </c>
      <c r="Y979" t="e">
        <f>IF(X979&lt;&gt;"",VLOOKUP(X979,game_rosters!$C$43:$E$64,3,FALSE))</f>
        <v>#N/A</v>
      </c>
      <c r="Z979" cm="1">
        <f t="array" ref="Z979">IFERROR(IF(_xlfn._xlws.FILTER(game_rosters!$J:$J,(game_rosters!$G:$G=events!$AN979)*(game_rosters!$J:$J=events!$X979))&gt;0,1,""),"")</f>
        <v>1</v>
      </c>
      <c r="AA979">
        <f t="shared" si="553"/>
        <v>1530</v>
      </c>
      <c r="AB979" t="str">
        <f t="shared" si="554"/>
        <v/>
      </c>
      <c r="AC979">
        <f t="shared" si="592"/>
        <v>1530</v>
      </c>
      <c r="AD979" s="6">
        <v>2</v>
      </c>
      <c r="AE979" t="s">
        <v>926</v>
      </c>
      <c r="AF979" t="s">
        <v>738</v>
      </c>
      <c r="AG979" t="s">
        <v>756</v>
      </c>
      <c r="AH979" t="s">
        <v>756</v>
      </c>
      <c r="AI979" t="s">
        <v>367</v>
      </c>
      <c r="AJ979" t="str">
        <f t="shared" ref="AJ979:AK979" si="633">IF($J979&lt;&gt;"",$J979,IF($AC979=$AC978,AJ978,""))</f>
        <v/>
      </c>
      <c r="AK979" t="str">
        <f t="shared" si="633"/>
        <v/>
      </c>
      <c r="AL979" t="str">
        <f t="shared" si="597"/>
        <v/>
      </c>
      <c r="AN979" t="s">
        <v>862</v>
      </c>
      <c r="AO979" t="str">
        <f t="shared" si="598"/>
        <v>a</v>
      </c>
      <c r="AP979" t="str">
        <f t="shared" si="606"/>
        <v/>
      </c>
      <c r="AQ979" t="str">
        <f t="shared" si="607"/>
        <v/>
      </c>
      <c r="AR979" t="str">
        <f t="shared" si="608"/>
        <v>Away</v>
      </c>
      <c r="AS979" t="str">
        <f t="shared" si="609"/>
        <v>a</v>
      </c>
      <c r="AT979" t="str">
        <f t="shared" si="610"/>
        <v>Defensive</v>
      </c>
      <c r="BA979" s="6">
        <f t="shared" si="599"/>
        <v>265</v>
      </c>
      <c r="BB979">
        <f t="shared" si="600"/>
        <v>18981</v>
      </c>
      <c r="BC979" t="str">
        <f t="shared" si="601"/>
        <v>Nelson</v>
      </c>
      <c r="BD979" t="str">
        <f t="shared" si="602"/>
        <v>Velodrome</v>
      </c>
      <c r="BE979" t="s">
        <v>230</v>
      </c>
      <c r="BF979" t="s">
        <v>389</v>
      </c>
      <c r="BG979" t="s">
        <v>156</v>
      </c>
      <c r="BI979" cm="1">
        <f t="array" ref="BI979">IFERROR(_xlfn._xlws.FILTER(shifts!A:A,(shifts!B:B=events!AD979)*(shifts!AG:AG&gt;=events!BK979)*(shifts!AH:AH&lt;=events!BL979)),BI978)</f>
        <v>48</v>
      </c>
      <c r="BJ979" s="15">
        <f t="shared" si="603"/>
        <v>0</v>
      </c>
      <c r="BK979">
        <f t="shared" si="611"/>
        <v>811</v>
      </c>
      <c r="BL979">
        <f t="shared" si="612"/>
        <v>811</v>
      </c>
      <c r="BM979" s="15">
        <f>SUMIFS(BJ$2:BJ979,K$2:K979,"=Intermission")+SUMIFS(BJ$2:BJ979,K$2:K979,"=Timeout")</f>
        <v>72</v>
      </c>
      <c r="BN979">
        <f t="shared" si="613"/>
        <v>1152</v>
      </c>
      <c r="BO979" s="19">
        <f t="shared" si="614"/>
        <v>1421</v>
      </c>
      <c r="BP979">
        <f t="shared" si="615"/>
        <v>1416</v>
      </c>
      <c r="BQ979" s="17">
        <f t="shared" si="616"/>
        <v>1421</v>
      </c>
      <c r="BR979" t="str">
        <f t="shared" si="617"/>
        <v>event_team_player_1</v>
      </c>
      <c r="BS979">
        <f>COUNTIFS(S$3:S979,"="&amp;S979,AI$3:AI979,"="&amp;AI979)</f>
        <v>1</v>
      </c>
      <c r="BT979" t="str">
        <f>IFERROR(VLOOKUP(BB979&amp;BU979&amp;X979,game_rosters!U:W,3,FALSE),"")</f>
        <v>P100093</v>
      </c>
      <c r="BU979" t="str">
        <f t="shared" si="618"/>
        <v>Velodrome</v>
      </c>
    </row>
    <row r="980" spans="1:73" x14ac:dyDescent="0.2">
      <c r="A980">
        <f t="shared" si="604"/>
        <v>1</v>
      </c>
      <c r="J980" s="44" t="str">
        <f t="shared" si="619"/>
        <v/>
      </c>
      <c r="K980" t="s">
        <v>230</v>
      </c>
      <c r="L980" t="s">
        <v>389</v>
      </c>
      <c r="M980" t="s">
        <v>156</v>
      </c>
      <c r="S980">
        <v>530</v>
      </c>
      <c r="W980" t="str">
        <f t="shared" si="595"/>
        <v>a</v>
      </c>
      <c r="X980">
        <v>44</v>
      </c>
      <c r="Y980" t="b">
        <f>IF(X980&lt;&gt;"",VLOOKUP(X980,game_rosters!$C$43:$E$64,3,FALSE))</f>
        <v>0</v>
      </c>
      <c r="Z980" t="str" cm="1">
        <f t="array" ref="Z980">IFERROR(IF(_xlfn._xlws.FILTER(game_rosters!$J:$J,(game_rosters!$G:$G=events!$AN980)*(game_rosters!$J:$J=events!$X980))&gt;0,1,""),"")</f>
        <v/>
      </c>
      <c r="AA980">
        <f t="shared" si="553"/>
        <v>1530</v>
      </c>
      <c r="AB980" t="str">
        <f t="shared" si="554"/>
        <v/>
      </c>
      <c r="AC980">
        <f t="shared" si="592"/>
        <v>1530</v>
      </c>
      <c r="AD980" s="6">
        <v>2</v>
      </c>
      <c r="AE980" t="s">
        <v>926</v>
      </c>
      <c r="AF980" t="s">
        <v>738</v>
      </c>
      <c r="AG980" t="s">
        <v>756</v>
      </c>
      <c r="AH980" t="s">
        <v>756</v>
      </c>
      <c r="AI980" t="s">
        <v>368</v>
      </c>
      <c r="AJ980" t="str">
        <f t="shared" ref="AJ980:AK980" si="634">IF($J980&lt;&gt;"",$J980,IF($AC980=$AC979,AJ979,""))</f>
        <v/>
      </c>
      <c r="AK980" t="str">
        <f t="shared" si="634"/>
        <v/>
      </c>
      <c r="AL980" t="str">
        <f t="shared" si="597"/>
        <v/>
      </c>
      <c r="AN980" t="s">
        <v>862</v>
      </c>
      <c r="AO980" t="str">
        <f t="shared" si="598"/>
        <v>a</v>
      </c>
      <c r="AP980" t="str">
        <f t="shared" si="606"/>
        <v/>
      </c>
      <c r="AQ980" t="str">
        <f t="shared" si="607"/>
        <v/>
      </c>
      <c r="AR980" t="str">
        <f t="shared" si="608"/>
        <v>Away</v>
      </c>
      <c r="AS980" t="str">
        <f t="shared" si="609"/>
        <v>a</v>
      </c>
      <c r="AT980" t="str">
        <f t="shared" si="610"/>
        <v>Offensive</v>
      </c>
      <c r="BA980" s="6">
        <f t="shared" si="599"/>
        <v>265</v>
      </c>
      <c r="BB980">
        <f t="shared" si="600"/>
        <v>18981</v>
      </c>
      <c r="BC980" t="str">
        <f t="shared" si="601"/>
        <v>Nelson</v>
      </c>
      <c r="BD980" t="str">
        <f t="shared" si="602"/>
        <v>Velodrome</v>
      </c>
      <c r="BE980" t="s">
        <v>230</v>
      </c>
      <c r="BF980" t="s">
        <v>389</v>
      </c>
      <c r="BG980" t="s">
        <v>156</v>
      </c>
      <c r="BI980" cm="1">
        <f t="array" ref="BI980">IFERROR(_xlfn._xlws.FILTER(shifts!A:A,(shifts!B:B=events!AD980)*(shifts!AG:AG&gt;=events!BK980)*(shifts!AH:AH&lt;=events!BL980)),BI979)</f>
        <v>48</v>
      </c>
      <c r="BJ980" s="15">
        <f t="shared" si="603"/>
        <v>0</v>
      </c>
      <c r="BK980">
        <f t="shared" si="611"/>
        <v>811</v>
      </c>
      <c r="BL980">
        <f t="shared" si="612"/>
        <v>811</v>
      </c>
      <c r="BM980" s="15">
        <f>SUMIFS(BJ$2:BJ980,K$2:K980,"=Intermission")+SUMIFS(BJ$2:BJ980,K$2:K980,"=Timeout")</f>
        <v>72</v>
      </c>
      <c r="BN980">
        <f t="shared" si="613"/>
        <v>1152</v>
      </c>
      <c r="BO980" s="19">
        <f t="shared" si="614"/>
        <v>1421</v>
      </c>
      <c r="BP980">
        <f t="shared" si="615"/>
        <v>1416</v>
      </c>
      <c r="BQ980" s="17">
        <f t="shared" si="616"/>
        <v>1421</v>
      </c>
      <c r="BR980" t="str">
        <f t="shared" si="617"/>
        <v>opp_team_player_1</v>
      </c>
      <c r="BS980">
        <f>COUNTIFS(S$3:S980,"="&amp;S980,AI$3:AI980,"="&amp;AI980)</f>
        <v>1</v>
      </c>
      <c r="BT980" t="str">
        <f>IFERROR(VLOOKUP(BB980&amp;BU980&amp;X980,game_rosters!U:W,3,FALSE),"")</f>
        <v>P100079</v>
      </c>
      <c r="BU980" t="str">
        <f t="shared" si="618"/>
        <v>Nelson</v>
      </c>
    </row>
    <row r="981" spans="1:73" x14ac:dyDescent="0.2">
      <c r="A981">
        <f t="shared" si="604"/>
        <v>1</v>
      </c>
      <c r="J981" s="44" t="str">
        <f t="shared" si="619"/>
        <v/>
      </c>
      <c r="K981" t="s">
        <v>238</v>
      </c>
      <c r="L981" t="s">
        <v>193</v>
      </c>
      <c r="M981" t="s">
        <v>91</v>
      </c>
      <c r="S981">
        <v>531</v>
      </c>
      <c r="W981" t="str">
        <f t="shared" si="595"/>
        <v>h</v>
      </c>
      <c r="X981">
        <v>37</v>
      </c>
      <c r="Y981" t="b">
        <f>IF(X981&lt;&gt;"",VLOOKUP(X981,game_rosters!$C$43:$E$64,3,FALSE))</f>
        <v>0</v>
      </c>
      <c r="Z981" cm="1">
        <f t="array" ref="Z981">IFERROR(IF(_xlfn._xlws.FILTER(game_rosters!$J:$J,(game_rosters!$G:$G=events!$AN981)*(game_rosters!$J:$J=events!$X981))&gt;0,1,""),"")</f>
        <v>1</v>
      </c>
      <c r="AA981">
        <f t="shared" si="553"/>
        <v>1531</v>
      </c>
      <c r="AB981" t="str">
        <f t="shared" si="554"/>
        <v/>
      </c>
      <c r="AC981">
        <f t="shared" si="592"/>
        <v>1531</v>
      </c>
      <c r="AD981" s="6">
        <v>2</v>
      </c>
      <c r="AE981" t="s">
        <v>926</v>
      </c>
      <c r="AF981" t="s">
        <v>906</v>
      </c>
      <c r="AG981" t="s">
        <v>756</v>
      </c>
      <c r="AH981" t="s">
        <v>756</v>
      </c>
      <c r="AI981" t="s">
        <v>367</v>
      </c>
      <c r="AJ981" t="str">
        <f t="shared" ref="AJ981:AK981" si="635">IF($J981&lt;&gt;"",$J981,IF($AC981=$AC980,AJ980,""))</f>
        <v/>
      </c>
      <c r="AK981" t="str">
        <f t="shared" si="635"/>
        <v/>
      </c>
      <c r="AL981" t="str">
        <f t="shared" si="597"/>
        <v/>
      </c>
      <c r="AN981" t="s">
        <v>861</v>
      </c>
      <c r="AO981" t="str">
        <f t="shared" si="598"/>
        <v>h</v>
      </c>
      <c r="AP981" t="str">
        <f t="shared" si="606"/>
        <v/>
      </c>
      <c r="AQ981" t="str">
        <f t="shared" si="607"/>
        <v/>
      </c>
      <c r="AR981" t="str">
        <f t="shared" si="608"/>
        <v>Home</v>
      </c>
      <c r="AS981" t="str">
        <f t="shared" si="609"/>
        <v>h</v>
      </c>
      <c r="AT981" t="str">
        <f t="shared" si="610"/>
        <v>Offensive</v>
      </c>
      <c r="BA981" s="6">
        <f t="shared" si="599"/>
        <v>265</v>
      </c>
      <c r="BB981">
        <f t="shared" si="600"/>
        <v>18981</v>
      </c>
      <c r="BC981" t="str">
        <f t="shared" si="601"/>
        <v>Nelson</v>
      </c>
      <c r="BD981" t="str">
        <f t="shared" si="602"/>
        <v>Velodrome</v>
      </c>
      <c r="BE981" t="s">
        <v>238</v>
      </c>
      <c r="BF981" t="s">
        <v>193</v>
      </c>
      <c r="BG981" t="s">
        <v>91</v>
      </c>
      <c r="BI981" cm="1">
        <f t="array" ref="BI981">IFERROR(_xlfn._xlws.FILTER(shifts!A:A,(shifts!B:B=events!AD981)*(shifts!AG:AG&gt;=events!BK981)*(shifts!AH:AH&lt;=events!BL981)),BI980)</f>
        <v>48</v>
      </c>
      <c r="BJ981" s="15">
        <f t="shared" si="603"/>
        <v>0</v>
      </c>
      <c r="BK981">
        <f t="shared" si="611"/>
        <v>809</v>
      </c>
      <c r="BL981">
        <f t="shared" si="612"/>
        <v>809</v>
      </c>
      <c r="BM981" s="15">
        <f>SUMIFS(BJ$2:BJ981,K$2:K981,"=Intermission")+SUMIFS(BJ$2:BJ981,K$2:K981,"=Timeout")</f>
        <v>72</v>
      </c>
      <c r="BN981">
        <f t="shared" si="613"/>
        <v>1152</v>
      </c>
      <c r="BO981" s="19">
        <f t="shared" si="614"/>
        <v>1423</v>
      </c>
      <c r="BP981">
        <f t="shared" si="615"/>
        <v>1418</v>
      </c>
      <c r="BQ981" s="17">
        <f t="shared" si="616"/>
        <v>1423</v>
      </c>
      <c r="BR981" t="str">
        <f t="shared" si="617"/>
        <v>event_team_player_1</v>
      </c>
      <c r="BS981">
        <f>COUNTIFS(S$3:S981,"="&amp;S981,AI$3:AI981,"="&amp;AI981)</f>
        <v>1</v>
      </c>
      <c r="BT981" t="str">
        <f>IFERROR(VLOOKUP(BB981&amp;BU981&amp;X981,game_rosters!U:W,3,FALSE),"")</f>
        <v>P100119</v>
      </c>
      <c r="BU981" t="str">
        <f t="shared" si="618"/>
        <v>Nelson</v>
      </c>
    </row>
    <row r="982" spans="1:73" x14ac:dyDescent="0.2">
      <c r="A982">
        <f t="shared" si="604"/>
        <v>1</v>
      </c>
      <c r="J982" s="44" t="str">
        <f t="shared" si="619"/>
        <v/>
      </c>
      <c r="K982" t="s">
        <v>13</v>
      </c>
      <c r="L982" t="s">
        <v>756</v>
      </c>
      <c r="M982" t="s">
        <v>756</v>
      </c>
      <c r="S982">
        <v>532</v>
      </c>
      <c r="W982" t="str">
        <f t="shared" si="595"/>
        <v>h</v>
      </c>
      <c r="X982">
        <v>37</v>
      </c>
      <c r="Y982" t="b">
        <f>IF(X982&lt;&gt;"",VLOOKUP(X982,game_rosters!$C$43:$E$64,3,FALSE))</f>
        <v>0</v>
      </c>
      <c r="Z982" cm="1">
        <f t="array" ref="Z982">IFERROR(IF(_xlfn._xlws.FILTER(game_rosters!$J:$J,(game_rosters!$G:$G=events!$AN982)*(game_rosters!$J:$J=events!$X982))&gt;0,1,""),"")</f>
        <v>1</v>
      </c>
      <c r="AA982">
        <f t="shared" si="553"/>
        <v>1532</v>
      </c>
      <c r="AB982" t="str">
        <f t="shared" si="554"/>
        <v/>
      </c>
      <c r="AC982">
        <f t="shared" si="592"/>
        <v>1532</v>
      </c>
      <c r="AD982" s="6">
        <v>2</v>
      </c>
      <c r="AE982" t="s">
        <v>926</v>
      </c>
      <c r="AF982" t="s">
        <v>906</v>
      </c>
      <c r="AG982" t="s">
        <v>926</v>
      </c>
      <c r="AH982" t="s">
        <v>916</v>
      </c>
      <c r="AI982" t="s">
        <v>367</v>
      </c>
      <c r="AJ982" t="str">
        <f t="shared" ref="AJ982:AK982" si="636">IF($J982&lt;&gt;"",$J982,IF($AC982=$AC981,AJ981,""))</f>
        <v/>
      </c>
      <c r="AK982" t="str">
        <f t="shared" si="636"/>
        <v/>
      </c>
      <c r="AL982" t="str">
        <f t="shared" si="597"/>
        <v/>
      </c>
      <c r="AN982" t="s">
        <v>861</v>
      </c>
      <c r="AO982" t="str">
        <f t="shared" si="598"/>
        <v>h</v>
      </c>
      <c r="AP982" t="str">
        <f t="shared" si="606"/>
        <v/>
      </c>
      <c r="AQ982" t="str">
        <f t="shared" si="607"/>
        <v/>
      </c>
      <c r="AR982" t="str">
        <f t="shared" si="608"/>
        <v>Home</v>
      </c>
      <c r="AS982" t="str">
        <f t="shared" si="609"/>
        <v>h</v>
      </c>
      <c r="AT982" t="str">
        <f t="shared" si="610"/>
        <v>Offensive</v>
      </c>
      <c r="BA982" s="6">
        <f t="shared" si="599"/>
        <v>265</v>
      </c>
      <c r="BB982">
        <f t="shared" si="600"/>
        <v>18981</v>
      </c>
      <c r="BC982" t="str">
        <f t="shared" si="601"/>
        <v>Nelson</v>
      </c>
      <c r="BD982" t="str">
        <f t="shared" si="602"/>
        <v>Velodrome</v>
      </c>
      <c r="BE982" t="s">
        <v>13</v>
      </c>
      <c r="BF982" t="s">
        <v>756</v>
      </c>
      <c r="BG982" t="s">
        <v>756</v>
      </c>
      <c r="BI982" cm="1">
        <f t="array" ref="BI982">IFERROR(_xlfn._xlws.FILTER(shifts!A:A,(shifts!B:B=events!AD982)*(shifts!AG:AG&gt;=events!BK982)*(shifts!AH:AH&lt;=events!BL982)),BI981)</f>
        <v>48</v>
      </c>
      <c r="BJ982" s="15">
        <f t="shared" si="603"/>
        <v>2</v>
      </c>
      <c r="BK982">
        <f t="shared" si="611"/>
        <v>809</v>
      </c>
      <c r="BL982">
        <f t="shared" si="612"/>
        <v>807</v>
      </c>
      <c r="BM982" s="15">
        <f>SUMIFS(BJ$2:BJ982,K$2:K982,"=Intermission")+SUMIFS(BJ$2:BJ982,K$2:K982,"=Timeout")</f>
        <v>72</v>
      </c>
      <c r="BN982">
        <f t="shared" si="613"/>
        <v>1152</v>
      </c>
      <c r="BO982" s="19">
        <f t="shared" si="614"/>
        <v>1423</v>
      </c>
      <c r="BP982">
        <f t="shared" si="615"/>
        <v>1418</v>
      </c>
      <c r="BQ982" s="17">
        <f t="shared" si="616"/>
        <v>1425</v>
      </c>
      <c r="BR982" t="str">
        <f t="shared" si="617"/>
        <v>event_team_player_1</v>
      </c>
      <c r="BS982">
        <f>COUNTIFS(S$3:S982,"="&amp;S982,AI$3:AI982,"="&amp;AI982)</f>
        <v>1</v>
      </c>
      <c r="BT982" t="str">
        <f>IFERROR(VLOOKUP(BB982&amp;BU982&amp;X982,game_rosters!U:W,3,FALSE),"")</f>
        <v>P100119</v>
      </c>
      <c r="BU982" t="str">
        <f t="shared" si="618"/>
        <v>Nelson</v>
      </c>
    </row>
    <row r="983" spans="1:73" x14ac:dyDescent="0.2">
      <c r="A983">
        <f t="shared" si="604"/>
        <v>1</v>
      </c>
      <c r="J983" s="44" t="str">
        <f t="shared" si="619"/>
        <v/>
      </c>
      <c r="K983" t="s">
        <v>13</v>
      </c>
      <c r="L983" t="s">
        <v>756</v>
      </c>
      <c r="M983" t="s">
        <v>756</v>
      </c>
      <c r="S983">
        <v>532</v>
      </c>
      <c r="W983" t="str">
        <f t="shared" si="595"/>
        <v>h</v>
      </c>
      <c r="X983">
        <v>49</v>
      </c>
      <c r="Y983" t="e">
        <f>IF(X983&lt;&gt;"",VLOOKUP(X983,game_rosters!$C$43:$E$64,3,FALSE))</f>
        <v>#N/A</v>
      </c>
      <c r="Z983" t="str" cm="1">
        <f t="array" ref="Z983">IFERROR(IF(_xlfn._xlws.FILTER(game_rosters!$J:$J,(game_rosters!$G:$G=events!$AN983)*(game_rosters!$J:$J=events!$X983))&gt;0,1,""),"")</f>
        <v/>
      </c>
      <c r="AA983">
        <f t="shared" si="553"/>
        <v>1532</v>
      </c>
      <c r="AB983" t="str">
        <f t="shared" si="554"/>
        <v/>
      </c>
      <c r="AC983">
        <f t="shared" si="592"/>
        <v>1532</v>
      </c>
      <c r="AD983" s="6">
        <v>2</v>
      </c>
      <c r="AE983" t="s">
        <v>926</v>
      </c>
      <c r="AF983" t="s">
        <v>906</v>
      </c>
      <c r="AG983" t="s">
        <v>926</v>
      </c>
      <c r="AH983" t="s">
        <v>916</v>
      </c>
      <c r="AI983" t="s">
        <v>368</v>
      </c>
      <c r="AJ983" t="str">
        <f t="shared" ref="AJ983:AK983" si="637">IF($J983&lt;&gt;"",$J983,IF($AC983=$AC982,AJ982,""))</f>
        <v/>
      </c>
      <c r="AK983" t="str">
        <f t="shared" si="637"/>
        <v/>
      </c>
      <c r="AL983" t="str">
        <f t="shared" si="597"/>
        <v/>
      </c>
      <c r="AN983" t="s">
        <v>861</v>
      </c>
      <c r="AO983" t="str">
        <f t="shared" si="598"/>
        <v>h</v>
      </c>
      <c r="AP983" t="str">
        <f t="shared" si="606"/>
        <v/>
      </c>
      <c r="AQ983" t="str">
        <f t="shared" si="607"/>
        <v/>
      </c>
      <c r="AR983" t="str">
        <f t="shared" si="608"/>
        <v>Home</v>
      </c>
      <c r="AS983" t="str">
        <f t="shared" si="609"/>
        <v>h</v>
      </c>
      <c r="AT983" t="str">
        <f t="shared" si="610"/>
        <v>Defensive</v>
      </c>
      <c r="BA983" s="6">
        <f t="shared" si="599"/>
        <v>265</v>
      </c>
      <c r="BB983">
        <f t="shared" si="600"/>
        <v>18981</v>
      </c>
      <c r="BC983" t="str">
        <f t="shared" si="601"/>
        <v>Nelson</v>
      </c>
      <c r="BD983" t="str">
        <f t="shared" si="602"/>
        <v>Velodrome</v>
      </c>
      <c r="BE983" t="s">
        <v>13</v>
      </c>
      <c r="BF983" t="s">
        <v>756</v>
      </c>
      <c r="BG983" t="s">
        <v>756</v>
      </c>
      <c r="BI983" cm="1">
        <f t="array" ref="BI983">IFERROR(_xlfn._xlws.FILTER(shifts!A:A,(shifts!B:B=events!AD983)*(shifts!AG:AG&gt;=events!BK983)*(shifts!AH:AH&lt;=events!BL983)),BI982)</f>
        <v>48</v>
      </c>
      <c r="BJ983" s="15">
        <f t="shared" si="603"/>
        <v>2</v>
      </c>
      <c r="BK983">
        <f t="shared" si="611"/>
        <v>809</v>
      </c>
      <c r="BL983">
        <f t="shared" si="612"/>
        <v>807</v>
      </c>
      <c r="BM983" s="15">
        <f>SUMIFS(BJ$2:BJ983,K$2:K983,"=Intermission")+SUMIFS(BJ$2:BJ983,K$2:K983,"=Timeout")</f>
        <v>72</v>
      </c>
      <c r="BN983">
        <f t="shared" si="613"/>
        <v>1152</v>
      </c>
      <c r="BO983" s="19">
        <f t="shared" si="614"/>
        <v>1423</v>
      </c>
      <c r="BP983">
        <f t="shared" si="615"/>
        <v>1418</v>
      </c>
      <c r="BQ983" s="17">
        <f t="shared" si="616"/>
        <v>1425</v>
      </c>
      <c r="BR983" t="str">
        <f t="shared" si="617"/>
        <v>opp_team_player_1</v>
      </c>
      <c r="BS983">
        <f>COUNTIFS(S$3:S983,"="&amp;S983,AI$3:AI983,"="&amp;AI983)</f>
        <v>1</v>
      </c>
      <c r="BT983" t="str">
        <f>IFERROR(VLOOKUP(BB983&amp;BU983&amp;X983,game_rosters!U:W,3,FALSE),"")</f>
        <v>P100161</v>
      </c>
      <c r="BU983" t="str">
        <f t="shared" si="618"/>
        <v>Velodrome</v>
      </c>
    </row>
    <row r="984" spans="1:73" x14ac:dyDescent="0.2">
      <c r="A984">
        <f t="shared" si="604"/>
        <v>1</v>
      </c>
      <c r="J984" s="44" t="str">
        <f t="shared" si="619"/>
        <v/>
      </c>
      <c r="K984" t="s">
        <v>7</v>
      </c>
      <c r="L984" t="s">
        <v>172</v>
      </c>
      <c r="M984" t="s">
        <v>66</v>
      </c>
      <c r="S984">
        <v>533</v>
      </c>
      <c r="W984" t="str">
        <f t="shared" si="595"/>
        <v>h</v>
      </c>
      <c r="X984">
        <v>37</v>
      </c>
      <c r="Y984" t="b">
        <f>IF(X984&lt;&gt;"",VLOOKUP(X984,game_rosters!$C$43:$E$64,3,FALSE))</f>
        <v>0</v>
      </c>
      <c r="Z984" cm="1">
        <f t="array" ref="Z984">IFERROR(IF(_xlfn._xlws.FILTER(game_rosters!$J:$J,(game_rosters!$G:$G=events!$AN984)*(game_rosters!$J:$J=events!$X984))&gt;0,1,""),"")</f>
        <v>1</v>
      </c>
      <c r="AA984">
        <f t="shared" si="553"/>
        <v>1533</v>
      </c>
      <c r="AB984" t="str">
        <f t="shared" si="554"/>
        <v/>
      </c>
      <c r="AC984">
        <f t="shared" si="592"/>
        <v>1533</v>
      </c>
      <c r="AD984" s="6">
        <v>2</v>
      </c>
      <c r="AE984" t="s">
        <v>926</v>
      </c>
      <c r="AF984" t="s">
        <v>739</v>
      </c>
      <c r="AG984" t="s">
        <v>756</v>
      </c>
      <c r="AH984" t="s">
        <v>756</v>
      </c>
      <c r="AI984" t="s">
        <v>367</v>
      </c>
      <c r="AJ984" t="str">
        <f t="shared" ref="AJ984:AK984" si="638">IF($J984&lt;&gt;"",$J984,IF($AC984=$AC983,AJ983,""))</f>
        <v/>
      </c>
      <c r="AK984" t="str">
        <f t="shared" si="638"/>
        <v/>
      </c>
      <c r="AL984" t="str">
        <f t="shared" si="597"/>
        <v/>
      </c>
      <c r="AN984" t="s">
        <v>861</v>
      </c>
      <c r="AO984" t="str">
        <f t="shared" si="598"/>
        <v>h</v>
      </c>
      <c r="AP984" t="str">
        <f t="shared" si="606"/>
        <v/>
      </c>
      <c r="AQ984" t="str">
        <f t="shared" si="607"/>
        <v/>
      </c>
      <c r="AR984" t="str">
        <f t="shared" si="608"/>
        <v>Home</v>
      </c>
      <c r="AS984" t="str">
        <f t="shared" si="609"/>
        <v>h</v>
      </c>
      <c r="AT984" t="str">
        <f t="shared" si="610"/>
        <v>Offensive</v>
      </c>
      <c r="BA984" s="6">
        <f t="shared" si="599"/>
        <v>265</v>
      </c>
      <c r="BB984">
        <f t="shared" si="600"/>
        <v>18981</v>
      </c>
      <c r="BC984" t="str">
        <f t="shared" si="601"/>
        <v>Nelson</v>
      </c>
      <c r="BD984" t="str">
        <f t="shared" si="602"/>
        <v>Velodrome</v>
      </c>
      <c r="BE984" t="s">
        <v>7</v>
      </c>
      <c r="BF984" t="s">
        <v>172</v>
      </c>
      <c r="BG984" t="s">
        <v>66</v>
      </c>
      <c r="BI984" cm="1">
        <f t="array" ref="BI984">IFERROR(_xlfn._xlws.FILTER(shifts!A:A,(shifts!B:B=events!AD984)*(shifts!AG:AG&gt;=events!BK984)*(shifts!AH:AH&lt;=events!BL984)),BI983)</f>
        <v>48</v>
      </c>
      <c r="BJ984" s="15">
        <f t="shared" si="603"/>
        <v>0</v>
      </c>
      <c r="BK984">
        <f t="shared" si="611"/>
        <v>806</v>
      </c>
      <c r="BL984">
        <f t="shared" si="612"/>
        <v>806</v>
      </c>
      <c r="BM984" s="15">
        <f>SUMIFS(BJ$2:BJ984,K$2:K984,"=Intermission")+SUMIFS(BJ$2:BJ984,K$2:K984,"=Timeout")</f>
        <v>72</v>
      </c>
      <c r="BN984">
        <f t="shared" si="613"/>
        <v>1152</v>
      </c>
      <c r="BO984" s="19">
        <f t="shared" si="614"/>
        <v>1426</v>
      </c>
      <c r="BP984">
        <f t="shared" si="615"/>
        <v>1421</v>
      </c>
      <c r="BQ984" s="17">
        <f t="shared" si="616"/>
        <v>1426</v>
      </c>
      <c r="BR984" t="str">
        <f t="shared" si="617"/>
        <v>event_team_player_1</v>
      </c>
      <c r="BS984">
        <f>COUNTIFS(S$3:S984,"="&amp;S984,AI$3:AI984,"="&amp;AI984)</f>
        <v>1</v>
      </c>
      <c r="BT984" t="str">
        <f>IFERROR(VLOOKUP(BB984&amp;BU984&amp;X984,game_rosters!U:W,3,FALSE),"")</f>
        <v>P100119</v>
      </c>
      <c r="BU984" t="str">
        <f t="shared" si="618"/>
        <v>Nelson</v>
      </c>
    </row>
    <row r="985" spans="1:73" x14ac:dyDescent="0.2">
      <c r="A985">
        <f t="shared" si="604"/>
        <v>1</v>
      </c>
      <c r="J985" s="44" t="str">
        <f t="shared" si="619"/>
        <v/>
      </c>
      <c r="K985" t="s">
        <v>7</v>
      </c>
      <c r="L985" t="s">
        <v>172</v>
      </c>
      <c r="M985" t="s">
        <v>66</v>
      </c>
      <c r="S985">
        <v>533</v>
      </c>
      <c r="W985" t="str">
        <f t="shared" si="595"/>
        <v>h</v>
      </c>
      <c r="X985">
        <v>10</v>
      </c>
      <c r="Y985" t="b">
        <f>IF(X985&lt;&gt;"",VLOOKUP(X985,game_rosters!$C$43:$E$64,3,FALSE))</f>
        <v>0</v>
      </c>
      <c r="Z985" cm="1">
        <f t="array" ref="Z985">IFERROR(IF(_xlfn._xlws.FILTER(game_rosters!$J:$J,(game_rosters!$G:$G=events!$AN985)*(game_rosters!$J:$J=events!$X985))&gt;0,1,""),"")</f>
        <v>1</v>
      </c>
      <c r="AA985">
        <f t="shared" si="553"/>
        <v>1533</v>
      </c>
      <c r="AB985" t="str">
        <f t="shared" si="554"/>
        <v/>
      </c>
      <c r="AC985">
        <f t="shared" si="592"/>
        <v>1533</v>
      </c>
      <c r="AD985" s="6">
        <v>2</v>
      </c>
      <c r="AE985" t="s">
        <v>926</v>
      </c>
      <c r="AF985" t="s">
        <v>739</v>
      </c>
      <c r="AG985" t="s">
        <v>756</v>
      </c>
      <c r="AH985" t="s">
        <v>756</v>
      </c>
      <c r="AI985" t="s">
        <v>367</v>
      </c>
      <c r="AJ985" t="str">
        <f t="shared" ref="AJ985:AK985" si="639">IF($J985&lt;&gt;"",$J985,IF($AC985=$AC984,AJ984,""))</f>
        <v/>
      </c>
      <c r="AK985" t="str">
        <f t="shared" si="639"/>
        <v/>
      </c>
      <c r="AL985" t="str">
        <f t="shared" si="597"/>
        <v/>
      </c>
      <c r="AN985" t="s">
        <v>861</v>
      </c>
      <c r="AO985" t="str">
        <f t="shared" si="598"/>
        <v>h</v>
      </c>
      <c r="AP985" t="str">
        <f t="shared" si="606"/>
        <v/>
      </c>
      <c r="AQ985" t="str">
        <f t="shared" si="607"/>
        <v/>
      </c>
      <c r="AR985" t="str">
        <f t="shared" si="608"/>
        <v>Home</v>
      </c>
      <c r="AS985" t="str">
        <f t="shared" si="609"/>
        <v>h</v>
      </c>
      <c r="AT985" t="str">
        <f t="shared" si="610"/>
        <v>Offensive</v>
      </c>
      <c r="BA985" s="6">
        <f t="shared" si="599"/>
        <v>265</v>
      </c>
      <c r="BB985">
        <f t="shared" si="600"/>
        <v>18981</v>
      </c>
      <c r="BC985" t="str">
        <f t="shared" si="601"/>
        <v>Nelson</v>
      </c>
      <c r="BD985" t="str">
        <f t="shared" si="602"/>
        <v>Velodrome</v>
      </c>
      <c r="BE985" t="s">
        <v>7</v>
      </c>
      <c r="BF985" t="s">
        <v>172</v>
      </c>
      <c r="BG985" t="s">
        <v>66</v>
      </c>
      <c r="BI985" cm="1">
        <f t="array" ref="BI985">IFERROR(_xlfn._xlws.FILTER(shifts!A:A,(shifts!B:B=events!AD985)*(shifts!AG:AG&gt;=events!BK985)*(shifts!AH:AH&lt;=events!BL985)),BI984)</f>
        <v>48</v>
      </c>
      <c r="BJ985" s="15">
        <f t="shared" si="603"/>
        <v>0</v>
      </c>
      <c r="BK985">
        <f t="shared" si="611"/>
        <v>806</v>
      </c>
      <c r="BL985">
        <f t="shared" si="612"/>
        <v>806</v>
      </c>
      <c r="BM985" s="15">
        <f>SUMIFS(BJ$2:BJ985,K$2:K985,"=Intermission")+SUMIFS(BJ$2:BJ985,K$2:K985,"=Timeout")</f>
        <v>72</v>
      </c>
      <c r="BN985">
        <f t="shared" si="613"/>
        <v>1152</v>
      </c>
      <c r="BO985" s="19">
        <f t="shared" si="614"/>
        <v>1426</v>
      </c>
      <c r="BP985">
        <f t="shared" si="615"/>
        <v>1421</v>
      </c>
      <c r="BQ985" s="17">
        <f t="shared" si="616"/>
        <v>1426</v>
      </c>
      <c r="BR985" t="str">
        <f t="shared" si="617"/>
        <v>event_team_player_2</v>
      </c>
      <c r="BS985">
        <f>COUNTIFS(S$3:S985,"="&amp;S985,AI$3:AI985,"="&amp;AI985)</f>
        <v>2</v>
      </c>
      <c r="BT985" t="str">
        <f>IFERROR(VLOOKUP(BB985&amp;BU985&amp;X985,game_rosters!U:W,3,FALSE),"")</f>
        <v>P100078</v>
      </c>
      <c r="BU985" t="str">
        <f t="shared" si="618"/>
        <v>Nelson</v>
      </c>
    </row>
    <row r="986" spans="1:73" x14ac:dyDescent="0.2">
      <c r="A986">
        <f t="shared" si="604"/>
        <v>1</v>
      </c>
      <c r="J986" s="44" t="str">
        <f t="shared" si="619"/>
        <v/>
      </c>
      <c r="K986" t="s">
        <v>7</v>
      </c>
      <c r="L986" t="s">
        <v>199</v>
      </c>
      <c r="M986" t="s">
        <v>67</v>
      </c>
      <c r="S986">
        <v>534</v>
      </c>
      <c r="W986" t="str">
        <f t="shared" si="595"/>
        <v>h</v>
      </c>
      <c r="X986">
        <v>10</v>
      </c>
      <c r="Y986" t="b">
        <f>IF(X986&lt;&gt;"",VLOOKUP(X986,game_rosters!$C$43:$E$64,3,FALSE))</f>
        <v>0</v>
      </c>
      <c r="Z986" cm="1">
        <f t="array" ref="Z986">IFERROR(IF(_xlfn._xlws.FILTER(game_rosters!$J:$J,(game_rosters!$G:$G=events!$AN986)*(game_rosters!$J:$J=events!$X986))&gt;0,1,""),"")</f>
        <v>1</v>
      </c>
      <c r="AA986">
        <f t="shared" si="553"/>
        <v>1534</v>
      </c>
      <c r="AB986" t="str">
        <f t="shared" si="554"/>
        <v/>
      </c>
      <c r="AC986">
        <f t="shared" si="592"/>
        <v>1534</v>
      </c>
      <c r="AD986" s="6">
        <v>2</v>
      </c>
      <c r="AE986" t="s">
        <v>926</v>
      </c>
      <c r="AF986" t="s">
        <v>907</v>
      </c>
      <c r="AG986" t="s">
        <v>756</v>
      </c>
      <c r="AH986" t="s">
        <v>756</v>
      </c>
      <c r="AI986" t="s">
        <v>367</v>
      </c>
      <c r="AJ986" t="str">
        <f t="shared" ref="AJ986:AK986" si="640">IF($J986&lt;&gt;"",$J986,IF($AC986=$AC985,AJ985,""))</f>
        <v/>
      </c>
      <c r="AK986" t="str">
        <f t="shared" si="640"/>
        <v/>
      </c>
      <c r="AL986" t="str">
        <f t="shared" si="597"/>
        <v/>
      </c>
      <c r="AN986" t="s">
        <v>861</v>
      </c>
      <c r="AO986" t="str">
        <f t="shared" si="598"/>
        <v>h</v>
      </c>
      <c r="AP986" t="str">
        <f t="shared" si="606"/>
        <v/>
      </c>
      <c r="AQ986" t="str">
        <f t="shared" si="607"/>
        <v/>
      </c>
      <c r="AR986" t="str">
        <f t="shared" si="608"/>
        <v>Home</v>
      </c>
      <c r="AS986" t="str">
        <f t="shared" si="609"/>
        <v>h</v>
      </c>
      <c r="AT986" t="str">
        <f t="shared" si="610"/>
        <v>Offensive</v>
      </c>
      <c r="BA986" s="6">
        <f t="shared" si="599"/>
        <v>265</v>
      </c>
      <c r="BB986">
        <f t="shared" si="600"/>
        <v>18981</v>
      </c>
      <c r="BC986" t="str">
        <f t="shared" si="601"/>
        <v>Nelson</v>
      </c>
      <c r="BD986" t="str">
        <f t="shared" si="602"/>
        <v>Velodrome</v>
      </c>
      <c r="BE986" t="s">
        <v>7</v>
      </c>
      <c r="BF986" t="s">
        <v>199</v>
      </c>
      <c r="BG986" t="s">
        <v>67</v>
      </c>
      <c r="BI986" cm="1">
        <f t="array" ref="BI986">IFERROR(_xlfn._xlws.FILTER(shifts!A:A,(shifts!B:B=events!AD986)*(shifts!AG:AG&gt;=events!BK986)*(shifts!AH:AH&lt;=events!BL986)),BI985)</f>
        <v>48</v>
      </c>
      <c r="BJ986" s="15">
        <f t="shared" si="603"/>
        <v>0</v>
      </c>
      <c r="BK986">
        <f t="shared" si="611"/>
        <v>804</v>
      </c>
      <c r="BL986">
        <f t="shared" si="612"/>
        <v>804</v>
      </c>
      <c r="BM986" s="15">
        <f>SUMIFS(BJ$2:BJ986,K$2:K986,"=Intermission")+SUMIFS(BJ$2:BJ986,K$2:K986,"=Timeout")</f>
        <v>72</v>
      </c>
      <c r="BN986">
        <f t="shared" si="613"/>
        <v>1152</v>
      </c>
      <c r="BO986" s="19">
        <f t="shared" si="614"/>
        <v>1428</v>
      </c>
      <c r="BP986">
        <f t="shared" si="615"/>
        <v>1423</v>
      </c>
      <c r="BQ986" s="17">
        <f t="shared" si="616"/>
        <v>1428</v>
      </c>
      <c r="BR986" t="str">
        <f t="shared" si="617"/>
        <v>event_team_player_1</v>
      </c>
      <c r="BS986">
        <f>COUNTIFS(S$3:S986,"="&amp;S986,AI$3:AI986,"="&amp;AI986)</f>
        <v>1</v>
      </c>
      <c r="BT986" t="str">
        <f>IFERROR(VLOOKUP(BB986&amp;BU986&amp;X986,game_rosters!U:W,3,FALSE),"")</f>
        <v>P100078</v>
      </c>
      <c r="BU986" t="str">
        <f t="shared" si="618"/>
        <v>Nelson</v>
      </c>
    </row>
    <row r="987" spans="1:73" x14ac:dyDescent="0.2">
      <c r="A987">
        <f t="shared" si="604"/>
        <v>1</v>
      </c>
      <c r="J987" s="44" t="str">
        <f t="shared" si="619"/>
        <v/>
      </c>
      <c r="K987" t="s">
        <v>7</v>
      </c>
      <c r="L987" t="s">
        <v>199</v>
      </c>
      <c r="M987" t="s">
        <v>67</v>
      </c>
      <c r="S987">
        <v>534</v>
      </c>
      <c r="W987" t="str">
        <f t="shared" si="595"/>
        <v>h</v>
      </c>
      <c r="X987">
        <v>93</v>
      </c>
      <c r="Y987" t="e">
        <f>IF(X987&lt;&gt;"",VLOOKUP(X987,game_rosters!$C$43:$E$64,3,FALSE))</f>
        <v>#N/A</v>
      </c>
      <c r="Z987" t="str" cm="1">
        <f t="array" ref="Z987">IFERROR(IF(_xlfn._xlws.FILTER(game_rosters!$J:$J,(game_rosters!$G:$G=events!$AN987)*(game_rosters!$J:$J=events!$X987))&gt;0,1,""),"")</f>
        <v/>
      </c>
      <c r="AA987">
        <f t="shared" si="553"/>
        <v>1534</v>
      </c>
      <c r="AB987" t="str">
        <f t="shared" si="554"/>
        <v/>
      </c>
      <c r="AC987">
        <f t="shared" si="592"/>
        <v>1534</v>
      </c>
      <c r="AD987" s="6">
        <v>2</v>
      </c>
      <c r="AE987" t="s">
        <v>926</v>
      </c>
      <c r="AF987" t="s">
        <v>907</v>
      </c>
      <c r="AG987" t="s">
        <v>756</v>
      </c>
      <c r="AH987" t="s">
        <v>756</v>
      </c>
      <c r="AI987" t="s">
        <v>368</v>
      </c>
      <c r="AJ987" t="str">
        <f t="shared" ref="AJ987:AK987" si="641">IF($J987&lt;&gt;"",$J987,IF($AC987=$AC986,AJ986,""))</f>
        <v/>
      </c>
      <c r="AK987" t="str">
        <f t="shared" si="641"/>
        <v/>
      </c>
      <c r="AL987" t="str">
        <f t="shared" si="597"/>
        <v/>
      </c>
      <c r="AN987" t="s">
        <v>861</v>
      </c>
      <c r="AO987" t="str">
        <f t="shared" si="598"/>
        <v>h</v>
      </c>
      <c r="AP987" t="str">
        <f t="shared" si="606"/>
        <v/>
      </c>
      <c r="AQ987" t="str">
        <f t="shared" si="607"/>
        <v/>
      </c>
      <c r="AR987" t="str">
        <f t="shared" si="608"/>
        <v>Home</v>
      </c>
      <c r="AS987" t="str">
        <f t="shared" si="609"/>
        <v>h</v>
      </c>
      <c r="AT987" t="str">
        <f t="shared" si="610"/>
        <v>Defensive</v>
      </c>
      <c r="BA987" s="6">
        <f t="shared" si="599"/>
        <v>265</v>
      </c>
      <c r="BB987">
        <f t="shared" si="600"/>
        <v>18981</v>
      </c>
      <c r="BC987" t="str">
        <f t="shared" si="601"/>
        <v>Nelson</v>
      </c>
      <c r="BD987" t="str">
        <f t="shared" si="602"/>
        <v>Velodrome</v>
      </c>
      <c r="BE987" t="s">
        <v>7</v>
      </c>
      <c r="BF987" t="s">
        <v>199</v>
      </c>
      <c r="BG987" t="s">
        <v>67</v>
      </c>
      <c r="BI987" cm="1">
        <f t="array" ref="BI987">IFERROR(_xlfn._xlws.FILTER(shifts!A:A,(shifts!B:B=events!AD987)*(shifts!AG:AG&gt;=events!BK987)*(shifts!AH:AH&lt;=events!BL987)),BI986)</f>
        <v>48</v>
      </c>
      <c r="BJ987" s="15">
        <f t="shared" si="603"/>
        <v>0</v>
      </c>
      <c r="BK987">
        <f t="shared" si="611"/>
        <v>804</v>
      </c>
      <c r="BL987">
        <f t="shared" si="612"/>
        <v>804</v>
      </c>
      <c r="BM987" s="15">
        <f>SUMIFS(BJ$2:BJ987,K$2:K987,"=Intermission")+SUMIFS(BJ$2:BJ987,K$2:K987,"=Timeout")</f>
        <v>72</v>
      </c>
      <c r="BN987">
        <f t="shared" si="613"/>
        <v>1152</v>
      </c>
      <c r="BO987" s="19">
        <f t="shared" si="614"/>
        <v>1428</v>
      </c>
      <c r="BP987">
        <f t="shared" si="615"/>
        <v>1423</v>
      </c>
      <c r="BQ987" s="17">
        <f t="shared" si="616"/>
        <v>1428</v>
      </c>
      <c r="BR987" t="str">
        <f t="shared" si="617"/>
        <v>opp_team_player_1</v>
      </c>
      <c r="BS987">
        <f>COUNTIFS(S$3:S987,"="&amp;S987,AI$3:AI987,"="&amp;AI987)</f>
        <v>1</v>
      </c>
      <c r="BT987" t="str">
        <f>IFERROR(VLOOKUP(BB987&amp;BU987&amp;X987,game_rosters!U:W,3,FALSE),"")</f>
        <v>P100093</v>
      </c>
      <c r="BU987" t="str">
        <f t="shared" si="618"/>
        <v>Velodrome</v>
      </c>
    </row>
    <row r="988" spans="1:73" x14ac:dyDescent="0.2">
      <c r="A988">
        <f t="shared" si="604"/>
        <v>1</v>
      </c>
      <c r="J988" s="44" t="str">
        <f t="shared" si="619"/>
        <v/>
      </c>
      <c r="K988" t="s">
        <v>9</v>
      </c>
      <c r="L988" t="s">
        <v>173</v>
      </c>
      <c r="M988" t="s">
        <v>73</v>
      </c>
      <c r="S988">
        <v>535</v>
      </c>
      <c r="W988" t="str">
        <f t="shared" si="595"/>
        <v>h</v>
      </c>
      <c r="X988">
        <v>10</v>
      </c>
      <c r="Y988" t="b">
        <f>IF(X988&lt;&gt;"",VLOOKUP(X988,game_rosters!$C$43:$E$64,3,FALSE))</f>
        <v>0</v>
      </c>
      <c r="Z988" cm="1">
        <f t="array" ref="Z988">IFERROR(IF(_xlfn._xlws.FILTER(game_rosters!$J:$J,(game_rosters!$G:$G=events!$AN988)*(game_rosters!$J:$J=events!$X988))&gt;0,1,""),"")</f>
        <v>1</v>
      </c>
      <c r="AA988">
        <f t="shared" si="553"/>
        <v>1535</v>
      </c>
      <c r="AB988" t="str">
        <f t="shared" si="554"/>
        <v/>
      </c>
      <c r="AC988">
        <f t="shared" si="592"/>
        <v>1535</v>
      </c>
      <c r="AD988" s="6">
        <v>2</v>
      </c>
      <c r="AE988" t="s">
        <v>926</v>
      </c>
      <c r="AF988" t="s">
        <v>907</v>
      </c>
      <c r="AG988" t="s">
        <v>756</v>
      </c>
      <c r="AH988" t="s">
        <v>756</v>
      </c>
      <c r="AI988" t="s">
        <v>367</v>
      </c>
      <c r="AJ988" t="str">
        <f t="shared" ref="AJ988:AK988" si="642">IF($J988&lt;&gt;"",$J988,IF($AC988=$AC987,AJ987,""))</f>
        <v/>
      </c>
      <c r="AK988" t="str">
        <f t="shared" si="642"/>
        <v/>
      </c>
      <c r="AL988" t="str">
        <f t="shared" si="597"/>
        <v/>
      </c>
      <c r="AN988" t="s">
        <v>861</v>
      </c>
      <c r="AO988" t="str">
        <f t="shared" si="598"/>
        <v>h</v>
      </c>
      <c r="AP988" t="str">
        <f t="shared" si="606"/>
        <v/>
      </c>
      <c r="AQ988" t="str">
        <f t="shared" si="607"/>
        <v/>
      </c>
      <c r="AR988" t="str">
        <f t="shared" si="608"/>
        <v>Home</v>
      </c>
      <c r="AS988" t="str">
        <f t="shared" si="609"/>
        <v>h</v>
      </c>
      <c r="AT988" t="str">
        <f t="shared" si="610"/>
        <v>Offensive</v>
      </c>
      <c r="BA988" s="6">
        <f t="shared" si="599"/>
        <v>265</v>
      </c>
      <c r="BB988">
        <f t="shared" si="600"/>
        <v>18981</v>
      </c>
      <c r="BC988" t="str">
        <f t="shared" si="601"/>
        <v>Nelson</v>
      </c>
      <c r="BD988" t="str">
        <f t="shared" si="602"/>
        <v>Velodrome</v>
      </c>
      <c r="BE988" t="s">
        <v>9</v>
      </c>
      <c r="BF988" t="s">
        <v>173</v>
      </c>
      <c r="BG988" t="s">
        <v>73</v>
      </c>
      <c r="BI988" cm="1">
        <f t="array" ref="BI988">IFERROR(_xlfn._xlws.FILTER(shifts!A:A,(shifts!B:B=events!AD988)*(shifts!AG:AG&gt;=events!BK988)*(shifts!AH:AH&lt;=events!BL988)),BI987)</f>
        <v>48</v>
      </c>
      <c r="BJ988" s="15">
        <f t="shared" si="603"/>
        <v>0</v>
      </c>
      <c r="BK988">
        <f t="shared" si="611"/>
        <v>804</v>
      </c>
      <c r="BL988">
        <f t="shared" si="612"/>
        <v>804</v>
      </c>
      <c r="BM988" s="15">
        <f>SUMIFS(BJ$2:BJ988,K$2:K988,"=Intermission")+SUMIFS(BJ$2:BJ988,K$2:K988,"=Timeout")</f>
        <v>72</v>
      </c>
      <c r="BN988">
        <f t="shared" si="613"/>
        <v>1152</v>
      </c>
      <c r="BO988" s="19">
        <f t="shared" si="614"/>
        <v>1428</v>
      </c>
      <c r="BP988">
        <f t="shared" si="615"/>
        <v>1423</v>
      </c>
      <c r="BQ988" s="17">
        <f t="shared" si="616"/>
        <v>1428</v>
      </c>
      <c r="BR988" t="str">
        <f t="shared" si="617"/>
        <v>event_team_player_1</v>
      </c>
      <c r="BS988">
        <f>COUNTIFS(S$3:S988,"="&amp;S988,AI$3:AI988,"="&amp;AI988)</f>
        <v>1</v>
      </c>
      <c r="BT988" t="str">
        <f>IFERROR(VLOOKUP(BB988&amp;BU988&amp;X988,game_rosters!U:W,3,FALSE),"")</f>
        <v>P100078</v>
      </c>
      <c r="BU988" t="str">
        <f t="shared" si="618"/>
        <v>Nelson</v>
      </c>
    </row>
    <row r="989" spans="1:73" x14ac:dyDescent="0.2">
      <c r="A989">
        <f t="shared" si="604"/>
        <v>1</v>
      </c>
      <c r="J989" s="44" t="str">
        <f t="shared" si="619"/>
        <v/>
      </c>
      <c r="K989" t="s">
        <v>9</v>
      </c>
      <c r="L989" t="s">
        <v>173</v>
      </c>
      <c r="M989" t="s">
        <v>73</v>
      </c>
      <c r="S989">
        <v>535</v>
      </c>
      <c r="W989" t="str">
        <f t="shared" si="595"/>
        <v>h</v>
      </c>
      <c r="X989">
        <v>93</v>
      </c>
      <c r="Y989" t="e">
        <f>IF(X989&lt;&gt;"",VLOOKUP(X989,game_rosters!$C$43:$E$64,3,FALSE))</f>
        <v>#N/A</v>
      </c>
      <c r="Z989" t="str" cm="1">
        <f t="array" ref="Z989">IFERROR(IF(_xlfn._xlws.FILTER(game_rosters!$J:$J,(game_rosters!$G:$G=events!$AN989)*(game_rosters!$J:$J=events!$X989))&gt;0,1,""),"")</f>
        <v/>
      </c>
      <c r="AA989">
        <f t="shared" ref="AA989:AA1052" si="643">S989+1000</f>
        <v>1535</v>
      </c>
      <c r="AB989" t="str">
        <f t="shared" ref="AB989:AB1052" si="644">IF(T989&lt;&gt;"",9000+T989,"")</f>
        <v/>
      </c>
      <c r="AC989">
        <f t="shared" si="592"/>
        <v>1535</v>
      </c>
      <c r="AD989" s="6">
        <v>2</v>
      </c>
      <c r="AE989" t="s">
        <v>926</v>
      </c>
      <c r="AF989" t="s">
        <v>907</v>
      </c>
      <c r="AG989" t="s">
        <v>756</v>
      </c>
      <c r="AH989" t="s">
        <v>756</v>
      </c>
      <c r="AI989" t="s">
        <v>368</v>
      </c>
      <c r="AJ989" t="str">
        <f t="shared" ref="AJ989:AK989" si="645">IF($J989&lt;&gt;"",$J989,IF($AC989=$AC988,AJ988,""))</f>
        <v/>
      </c>
      <c r="AK989" t="str">
        <f t="shared" si="645"/>
        <v/>
      </c>
      <c r="AL989" t="str">
        <f t="shared" si="597"/>
        <v/>
      </c>
      <c r="AN989" t="s">
        <v>861</v>
      </c>
      <c r="AO989" t="str">
        <f t="shared" si="598"/>
        <v>h</v>
      </c>
      <c r="AP989" t="str">
        <f t="shared" si="606"/>
        <v/>
      </c>
      <c r="AQ989" t="str">
        <f t="shared" si="607"/>
        <v/>
      </c>
      <c r="AR989" t="str">
        <f t="shared" si="608"/>
        <v>Home</v>
      </c>
      <c r="AS989" t="str">
        <f t="shared" si="609"/>
        <v>h</v>
      </c>
      <c r="AT989" t="str">
        <f t="shared" si="610"/>
        <v>Defensive</v>
      </c>
      <c r="BA989" s="6">
        <f t="shared" si="599"/>
        <v>265</v>
      </c>
      <c r="BB989">
        <f t="shared" si="600"/>
        <v>18981</v>
      </c>
      <c r="BC989" t="str">
        <f t="shared" si="601"/>
        <v>Nelson</v>
      </c>
      <c r="BD989" t="str">
        <f t="shared" si="602"/>
        <v>Velodrome</v>
      </c>
      <c r="BE989" t="s">
        <v>9</v>
      </c>
      <c r="BF989" t="s">
        <v>173</v>
      </c>
      <c r="BG989" t="s">
        <v>73</v>
      </c>
      <c r="BI989" cm="1">
        <f t="array" ref="BI989">IFERROR(_xlfn._xlws.FILTER(shifts!A:A,(shifts!B:B=events!AD989)*(shifts!AG:AG&gt;=events!BK989)*(shifts!AH:AH&lt;=events!BL989)),BI988)</f>
        <v>48</v>
      </c>
      <c r="BJ989" s="15">
        <f t="shared" si="603"/>
        <v>0</v>
      </c>
      <c r="BK989">
        <f t="shared" si="611"/>
        <v>804</v>
      </c>
      <c r="BL989">
        <f t="shared" si="612"/>
        <v>804</v>
      </c>
      <c r="BM989" s="15">
        <f>SUMIFS(BJ$2:BJ989,K$2:K989,"=Intermission")+SUMIFS(BJ$2:BJ989,K$2:K989,"=Timeout")</f>
        <v>72</v>
      </c>
      <c r="BN989">
        <f t="shared" si="613"/>
        <v>1152</v>
      </c>
      <c r="BO989" s="19">
        <f t="shared" si="614"/>
        <v>1428</v>
      </c>
      <c r="BP989">
        <f t="shared" si="615"/>
        <v>1423</v>
      </c>
      <c r="BQ989" s="17">
        <f t="shared" si="616"/>
        <v>1428</v>
      </c>
      <c r="BR989" t="str">
        <f t="shared" si="617"/>
        <v>opp_team_player_1</v>
      </c>
      <c r="BS989">
        <f>COUNTIFS(S$3:S989,"="&amp;S989,AI$3:AI989,"="&amp;AI989)</f>
        <v>1</v>
      </c>
      <c r="BT989" t="str">
        <f>IFERROR(VLOOKUP(BB989&amp;BU989&amp;X989,game_rosters!U:W,3,FALSE),"")</f>
        <v>P100093</v>
      </c>
      <c r="BU989" t="str">
        <f t="shared" si="618"/>
        <v>Velodrome</v>
      </c>
    </row>
    <row r="990" spans="1:73" x14ac:dyDescent="0.2">
      <c r="A990">
        <f t="shared" si="604"/>
        <v>1</v>
      </c>
      <c r="J990" s="44" t="str">
        <f t="shared" si="619"/>
        <v/>
      </c>
      <c r="K990" t="s">
        <v>9</v>
      </c>
      <c r="L990" t="s">
        <v>173</v>
      </c>
      <c r="M990" t="s">
        <v>365</v>
      </c>
      <c r="S990">
        <v>536</v>
      </c>
      <c r="W990" t="str">
        <f t="shared" si="595"/>
        <v>a</v>
      </c>
      <c r="X990">
        <v>93</v>
      </c>
      <c r="Y990" t="e">
        <f>IF(X990&lt;&gt;"",VLOOKUP(X990,game_rosters!$C$43:$E$64,3,FALSE))</f>
        <v>#N/A</v>
      </c>
      <c r="Z990" cm="1">
        <f t="array" ref="Z990">IFERROR(IF(_xlfn._xlws.FILTER(game_rosters!$J:$J,(game_rosters!$G:$G=events!$AN990)*(game_rosters!$J:$J=events!$X990))&gt;0,1,""),"")</f>
        <v>1</v>
      </c>
      <c r="AA990">
        <f t="shared" si="643"/>
        <v>1536</v>
      </c>
      <c r="AB990" t="str">
        <f t="shared" si="644"/>
        <v/>
      </c>
      <c r="AC990">
        <f t="shared" si="592"/>
        <v>1536</v>
      </c>
      <c r="AD990" s="6">
        <v>2</v>
      </c>
      <c r="AE990" t="s">
        <v>926</v>
      </c>
      <c r="AF990" t="s">
        <v>918</v>
      </c>
      <c r="AG990" t="s">
        <v>756</v>
      </c>
      <c r="AH990" t="s">
        <v>756</v>
      </c>
      <c r="AI990" t="s">
        <v>367</v>
      </c>
      <c r="AJ990" t="str">
        <f t="shared" ref="AJ990:AK990" si="646">IF($J990&lt;&gt;"",$J990,IF($AC990=$AC989,AJ989,""))</f>
        <v/>
      </c>
      <c r="AK990" t="str">
        <f t="shared" si="646"/>
        <v/>
      </c>
      <c r="AL990" t="str">
        <f t="shared" si="597"/>
        <v/>
      </c>
      <c r="AN990" t="s">
        <v>862</v>
      </c>
      <c r="AO990" t="str">
        <f t="shared" si="598"/>
        <v>a</v>
      </c>
      <c r="AP990" t="str">
        <f t="shared" si="606"/>
        <v/>
      </c>
      <c r="AQ990" t="str">
        <f t="shared" si="607"/>
        <v/>
      </c>
      <c r="AR990" t="str">
        <f t="shared" si="608"/>
        <v>Away</v>
      </c>
      <c r="AS990" t="str">
        <f t="shared" si="609"/>
        <v>a</v>
      </c>
      <c r="AT990" t="str">
        <f t="shared" si="610"/>
        <v>Offensive</v>
      </c>
      <c r="BA990" s="6">
        <f t="shared" si="599"/>
        <v>265</v>
      </c>
      <c r="BB990">
        <f t="shared" si="600"/>
        <v>18981</v>
      </c>
      <c r="BC990" t="str">
        <f t="shared" si="601"/>
        <v>Nelson</v>
      </c>
      <c r="BD990" t="str">
        <f t="shared" si="602"/>
        <v>Velodrome</v>
      </c>
      <c r="BE990" t="s">
        <v>9</v>
      </c>
      <c r="BF990" t="s">
        <v>173</v>
      </c>
      <c r="BG990" t="s">
        <v>365</v>
      </c>
      <c r="BI990" cm="1">
        <f t="array" ref="BI990">IFERROR(_xlfn._xlws.FILTER(shifts!A:A,(shifts!B:B=events!AD990)*(shifts!AG:AG&gt;=events!BK990)*(shifts!AH:AH&lt;=events!BL990)),BI989)</f>
        <v>48</v>
      </c>
      <c r="BJ990" s="15">
        <f t="shared" si="603"/>
        <v>0</v>
      </c>
      <c r="BK990">
        <f t="shared" si="611"/>
        <v>802</v>
      </c>
      <c r="BL990">
        <f t="shared" si="612"/>
        <v>802</v>
      </c>
      <c r="BM990" s="15">
        <f>SUMIFS(BJ$2:BJ990,K$2:K990,"=Intermission")+SUMIFS(BJ$2:BJ990,K$2:K990,"=Timeout")</f>
        <v>72</v>
      </c>
      <c r="BN990">
        <f t="shared" si="613"/>
        <v>1152</v>
      </c>
      <c r="BO990" s="19">
        <f t="shared" si="614"/>
        <v>1430</v>
      </c>
      <c r="BP990">
        <f t="shared" si="615"/>
        <v>1425</v>
      </c>
      <c r="BQ990" s="17">
        <f t="shared" si="616"/>
        <v>1430</v>
      </c>
      <c r="BR990" t="str">
        <f t="shared" si="617"/>
        <v>event_team_player_1</v>
      </c>
      <c r="BS990">
        <f>COUNTIFS(S$3:S990,"="&amp;S990,AI$3:AI990,"="&amp;AI990)</f>
        <v>1</v>
      </c>
      <c r="BT990" t="str">
        <f>IFERROR(VLOOKUP(BB990&amp;BU990&amp;X990,game_rosters!U:W,3,FALSE),"")</f>
        <v>P100093</v>
      </c>
      <c r="BU990" t="str">
        <f t="shared" si="618"/>
        <v>Velodrome</v>
      </c>
    </row>
    <row r="991" spans="1:73" x14ac:dyDescent="0.2">
      <c r="A991">
        <f t="shared" si="604"/>
        <v>1</v>
      </c>
      <c r="J991" s="44" t="str">
        <f t="shared" si="619"/>
        <v/>
      </c>
      <c r="K991" t="s">
        <v>9</v>
      </c>
      <c r="L991" t="s">
        <v>173</v>
      </c>
      <c r="M991" t="s">
        <v>391</v>
      </c>
      <c r="S991">
        <v>537</v>
      </c>
      <c r="W991" t="str">
        <f t="shared" si="595"/>
        <v>h</v>
      </c>
      <c r="X991">
        <v>44</v>
      </c>
      <c r="Y991" t="b">
        <f>IF(X991&lt;&gt;"",VLOOKUP(X991,game_rosters!$C$43:$E$64,3,FALSE))</f>
        <v>0</v>
      </c>
      <c r="Z991" cm="1">
        <f t="array" ref="Z991">IFERROR(IF(_xlfn._xlws.FILTER(game_rosters!$J:$J,(game_rosters!$G:$G=events!$AN991)*(game_rosters!$J:$J=events!$X991))&gt;0,1,""),"")</f>
        <v>1</v>
      </c>
      <c r="AA991">
        <f t="shared" si="643"/>
        <v>1537</v>
      </c>
      <c r="AB991" t="str">
        <f t="shared" si="644"/>
        <v/>
      </c>
      <c r="AC991">
        <f t="shared" si="592"/>
        <v>1537</v>
      </c>
      <c r="AD991" s="6">
        <v>2</v>
      </c>
      <c r="AE991" t="s">
        <v>926</v>
      </c>
      <c r="AF991" t="s">
        <v>919</v>
      </c>
      <c r="AG991" t="s">
        <v>756</v>
      </c>
      <c r="AH991" t="s">
        <v>756</v>
      </c>
      <c r="AI991" t="s">
        <v>367</v>
      </c>
      <c r="AJ991" t="str">
        <f t="shared" ref="AJ991:AK991" si="647">IF($J991&lt;&gt;"",$J991,IF($AC991=$AC990,AJ990,""))</f>
        <v/>
      </c>
      <c r="AK991" t="str">
        <f t="shared" si="647"/>
        <v/>
      </c>
      <c r="AL991" t="str">
        <f t="shared" si="597"/>
        <v/>
      </c>
      <c r="AN991" t="s">
        <v>861</v>
      </c>
      <c r="AO991" t="str">
        <f t="shared" si="598"/>
        <v>h</v>
      </c>
      <c r="AP991" t="str">
        <f t="shared" si="606"/>
        <v/>
      </c>
      <c r="AQ991" t="str">
        <f t="shared" si="607"/>
        <v/>
      </c>
      <c r="AR991" t="str">
        <f t="shared" si="608"/>
        <v>Home</v>
      </c>
      <c r="AS991" t="str">
        <f t="shared" si="609"/>
        <v>h</v>
      </c>
      <c r="AT991" t="str">
        <f t="shared" si="610"/>
        <v>Offensive</v>
      </c>
      <c r="BA991" s="6">
        <f t="shared" si="599"/>
        <v>265</v>
      </c>
      <c r="BB991">
        <f t="shared" si="600"/>
        <v>18981</v>
      </c>
      <c r="BC991" t="str">
        <f t="shared" si="601"/>
        <v>Nelson</v>
      </c>
      <c r="BD991" t="str">
        <f t="shared" si="602"/>
        <v>Velodrome</v>
      </c>
      <c r="BE991" t="s">
        <v>9</v>
      </c>
      <c r="BF991" t="s">
        <v>173</v>
      </c>
      <c r="BG991" t="s">
        <v>391</v>
      </c>
      <c r="BI991" cm="1">
        <f t="array" ref="BI991">IFERROR(_xlfn._xlws.FILTER(shifts!A:A,(shifts!B:B=events!AD991)*(shifts!AG:AG&gt;=events!BK991)*(shifts!AH:AH&lt;=events!BL991)),BI990)</f>
        <v>48</v>
      </c>
      <c r="BJ991" s="15">
        <f t="shared" si="603"/>
        <v>0</v>
      </c>
      <c r="BK991">
        <f t="shared" si="611"/>
        <v>800</v>
      </c>
      <c r="BL991">
        <f t="shared" si="612"/>
        <v>800</v>
      </c>
      <c r="BM991" s="15">
        <f>SUMIFS(BJ$2:BJ991,K$2:K991,"=Intermission")+SUMIFS(BJ$2:BJ991,K$2:K991,"=Timeout")</f>
        <v>72</v>
      </c>
      <c r="BN991">
        <f t="shared" si="613"/>
        <v>1152</v>
      </c>
      <c r="BO991" s="19">
        <f t="shared" si="614"/>
        <v>1432</v>
      </c>
      <c r="BP991">
        <f t="shared" si="615"/>
        <v>1427</v>
      </c>
      <c r="BQ991" s="17">
        <f t="shared" si="616"/>
        <v>1432</v>
      </c>
      <c r="BR991" t="str">
        <f t="shared" si="617"/>
        <v>event_team_player_1</v>
      </c>
      <c r="BS991">
        <f>COUNTIFS(S$3:S991,"="&amp;S991,AI$3:AI991,"="&amp;AI991)</f>
        <v>1</v>
      </c>
      <c r="BT991" t="str">
        <f>IFERROR(VLOOKUP(BB991&amp;BU991&amp;X991,game_rosters!U:W,3,FALSE),"")</f>
        <v>P100079</v>
      </c>
      <c r="BU991" t="str">
        <f t="shared" si="618"/>
        <v>Nelson</v>
      </c>
    </row>
    <row r="992" spans="1:73" x14ac:dyDescent="0.2">
      <c r="A992">
        <f t="shared" si="604"/>
        <v>1</v>
      </c>
      <c r="J992" s="44" t="str">
        <f t="shared" si="619"/>
        <v/>
      </c>
      <c r="K992" t="s">
        <v>9</v>
      </c>
      <c r="L992" t="s">
        <v>173</v>
      </c>
      <c r="M992" t="s">
        <v>365</v>
      </c>
      <c r="S992">
        <v>538</v>
      </c>
      <c r="W992" t="str">
        <f t="shared" si="595"/>
        <v>a</v>
      </c>
      <c r="X992">
        <v>9</v>
      </c>
      <c r="Y992" t="e">
        <f>IF(X992&lt;&gt;"",VLOOKUP(X992,game_rosters!$C$43:$E$64,3,FALSE))</f>
        <v>#N/A</v>
      </c>
      <c r="Z992" cm="1">
        <f t="array" ref="Z992">IFERROR(IF(_xlfn._xlws.FILTER(game_rosters!$J:$J,(game_rosters!$G:$G=events!$AN992)*(game_rosters!$J:$J=events!$X992))&gt;0,1,""),"")</f>
        <v>1</v>
      </c>
      <c r="AA992">
        <f t="shared" si="643"/>
        <v>1538</v>
      </c>
      <c r="AB992" t="str">
        <f t="shared" si="644"/>
        <v/>
      </c>
      <c r="AC992">
        <f t="shared" si="592"/>
        <v>1538</v>
      </c>
      <c r="AD992" s="6">
        <v>2</v>
      </c>
      <c r="AE992" t="s">
        <v>926</v>
      </c>
      <c r="AF992" t="s">
        <v>743</v>
      </c>
      <c r="AG992" t="s">
        <v>756</v>
      </c>
      <c r="AH992" t="s">
        <v>756</v>
      </c>
      <c r="AI992" t="s">
        <v>367</v>
      </c>
      <c r="AJ992" t="str">
        <f t="shared" ref="AJ992:AK992" si="648">IF($J992&lt;&gt;"",$J992,IF($AC992=$AC991,AJ991,""))</f>
        <v/>
      </c>
      <c r="AK992" t="str">
        <f t="shared" si="648"/>
        <v/>
      </c>
      <c r="AL992" t="str">
        <f t="shared" si="597"/>
        <v/>
      </c>
      <c r="AN992" t="s">
        <v>862</v>
      </c>
      <c r="AO992" t="str">
        <f t="shared" si="598"/>
        <v>a</v>
      </c>
      <c r="AP992" t="str">
        <f t="shared" si="606"/>
        <v/>
      </c>
      <c r="AQ992" t="str">
        <f t="shared" si="607"/>
        <v/>
      </c>
      <c r="AR992" t="str">
        <f t="shared" si="608"/>
        <v>Away</v>
      </c>
      <c r="AS992" t="str">
        <f t="shared" si="609"/>
        <v>a</v>
      </c>
      <c r="AT992" t="str">
        <f t="shared" si="610"/>
        <v>Offensive</v>
      </c>
      <c r="BA992" s="6">
        <f t="shared" si="599"/>
        <v>265</v>
      </c>
      <c r="BB992">
        <f t="shared" si="600"/>
        <v>18981</v>
      </c>
      <c r="BC992" t="str">
        <f t="shared" si="601"/>
        <v>Nelson</v>
      </c>
      <c r="BD992" t="str">
        <f t="shared" si="602"/>
        <v>Velodrome</v>
      </c>
      <c r="BE992" t="s">
        <v>9</v>
      </c>
      <c r="BF992" t="s">
        <v>173</v>
      </c>
      <c r="BG992" t="s">
        <v>365</v>
      </c>
      <c r="BI992" cm="1">
        <f t="array" ref="BI992">IFERROR(_xlfn._xlws.FILTER(shifts!A:A,(shifts!B:B=events!AD992)*(shifts!AG:AG&gt;=events!BK992)*(shifts!AH:AH&lt;=events!BL992)),BI991)</f>
        <v>48</v>
      </c>
      <c r="BJ992" s="15">
        <f t="shared" si="603"/>
        <v>0</v>
      </c>
      <c r="BK992">
        <f t="shared" si="611"/>
        <v>798</v>
      </c>
      <c r="BL992">
        <f t="shared" si="612"/>
        <v>798</v>
      </c>
      <c r="BM992" s="15">
        <f>SUMIFS(BJ$2:BJ992,K$2:K992,"=Intermission")+SUMIFS(BJ$2:BJ992,K$2:K992,"=Timeout")</f>
        <v>72</v>
      </c>
      <c r="BN992">
        <f t="shared" si="613"/>
        <v>1152</v>
      </c>
      <c r="BO992" s="19">
        <f t="shared" si="614"/>
        <v>1434</v>
      </c>
      <c r="BP992">
        <f t="shared" si="615"/>
        <v>1429</v>
      </c>
      <c r="BQ992" s="17">
        <f t="shared" si="616"/>
        <v>1434</v>
      </c>
      <c r="BR992" t="str">
        <f t="shared" si="617"/>
        <v>event_team_player_1</v>
      </c>
      <c r="BS992">
        <f>COUNTIFS(S$3:S992,"="&amp;S992,AI$3:AI992,"="&amp;AI992)</f>
        <v>1</v>
      </c>
      <c r="BT992" t="str">
        <f>IFERROR(VLOOKUP(BB992&amp;BU992&amp;X992,game_rosters!U:W,3,FALSE),"")</f>
        <v>P100105</v>
      </c>
      <c r="BU992" t="str">
        <f t="shared" si="618"/>
        <v>Velodrome</v>
      </c>
    </row>
    <row r="993" spans="1:73" x14ac:dyDescent="0.2">
      <c r="A993">
        <f t="shared" si="604"/>
        <v>1</v>
      </c>
      <c r="J993" s="44" t="str">
        <f t="shared" si="619"/>
        <v/>
      </c>
      <c r="K993" t="s">
        <v>238</v>
      </c>
      <c r="L993" t="s">
        <v>193</v>
      </c>
      <c r="M993" t="s">
        <v>91</v>
      </c>
      <c r="S993">
        <v>539</v>
      </c>
      <c r="W993" t="str">
        <f t="shared" si="595"/>
        <v>h</v>
      </c>
      <c r="X993">
        <v>80</v>
      </c>
      <c r="Y993" t="b">
        <f>IF(X993&lt;&gt;"",VLOOKUP(X993,game_rosters!$C$43:$E$64,3,FALSE))</f>
        <v>0</v>
      </c>
      <c r="Z993" cm="1">
        <f t="array" ref="Z993">IFERROR(IF(_xlfn._xlws.FILTER(game_rosters!$J:$J,(game_rosters!$G:$G=events!$AN993)*(game_rosters!$J:$J=events!$X993))&gt;0,1,""),"")</f>
        <v>1</v>
      </c>
      <c r="AA993">
        <f t="shared" si="643"/>
        <v>1539</v>
      </c>
      <c r="AB993" t="str">
        <f t="shared" si="644"/>
        <v/>
      </c>
      <c r="AC993">
        <f t="shared" si="592"/>
        <v>1539</v>
      </c>
      <c r="AD993" s="6">
        <v>2</v>
      </c>
      <c r="AE993" t="s">
        <v>926</v>
      </c>
      <c r="AF993" t="s">
        <v>743</v>
      </c>
      <c r="AG993" t="s">
        <v>756</v>
      </c>
      <c r="AH993" t="s">
        <v>756</v>
      </c>
      <c r="AI993" t="s">
        <v>367</v>
      </c>
      <c r="AJ993" t="str">
        <f t="shared" ref="AJ993:AK993" si="649">IF($J993&lt;&gt;"",$J993,IF($AC993=$AC992,AJ992,""))</f>
        <v/>
      </c>
      <c r="AK993" t="str">
        <f t="shared" si="649"/>
        <v/>
      </c>
      <c r="AL993" t="str">
        <f t="shared" si="597"/>
        <v/>
      </c>
      <c r="AN993" t="s">
        <v>861</v>
      </c>
      <c r="AO993" t="str">
        <f t="shared" si="598"/>
        <v>h</v>
      </c>
      <c r="AP993" t="str">
        <f t="shared" si="606"/>
        <v/>
      </c>
      <c r="AQ993" t="str">
        <f t="shared" si="607"/>
        <v/>
      </c>
      <c r="AR993" t="str">
        <f t="shared" si="608"/>
        <v>Home</v>
      </c>
      <c r="AS993" t="str">
        <f t="shared" si="609"/>
        <v>h</v>
      </c>
      <c r="AT993" t="str">
        <f t="shared" si="610"/>
        <v>Offensive</v>
      </c>
      <c r="BA993" s="6">
        <f t="shared" si="599"/>
        <v>265</v>
      </c>
      <c r="BB993">
        <f t="shared" si="600"/>
        <v>18981</v>
      </c>
      <c r="BC993" t="str">
        <f t="shared" si="601"/>
        <v>Nelson</v>
      </c>
      <c r="BD993" t="str">
        <f t="shared" si="602"/>
        <v>Velodrome</v>
      </c>
      <c r="BE993" t="s">
        <v>238</v>
      </c>
      <c r="BF993" t="s">
        <v>193</v>
      </c>
      <c r="BG993" t="s">
        <v>91</v>
      </c>
      <c r="BI993" cm="1">
        <f t="array" ref="BI993">IFERROR(_xlfn._xlws.FILTER(shifts!A:A,(shifts!B:B=events!AD993)*(shifts!AG:AG&gt;=events!BK993)*(shifts!AH:AH&lt;=events!BL993)),BI992)</f>
        <v>48</v>
      </c>
      <c r="BJ993" s="15">
        <f t="shared" si="603"/>
        <v>0</v>
      </c>
      <c r="BK993">
        <f t="shared" si="611"/>
        <v>798</v>
      </c>
      <c r="BL993">
        <f t="shared" si="612"/>
        <v>798</v>
      </c>
      <c r="BM993" s="15">
        <f>SUMIFS(BJ$2:BJ993,K$2:K993,"=Intermission")+SUMIFS(BJ$2:BJ993,K$2:K993,"=Timeout")</f>
        <v>72</v>
      </c>
      <c r="BN993">
        <f t="shared" si="613"/>
        <v>1152</v>
      </c>
      <c r="BO993" s="19">
        <f t="shared" si="614"/>
        <v>1434</v>
      </c>
      <c r="BP993">
        <f t="shared" si="615"/>
        <v>1429</v>
      </c>
      <c r="BQ993" s="17">
        <f t="shared" si="616"/>
        <v>1434</v>
      </c>
      <c r="BR993" t="str">
        <f t="shared" si="617"/>
        <v>event_team_player_1</v>
      </c>
      <c r="BS993">
        <f>COUNTIFS(S$3:S993,"="&amp;S993,AI$3:AI993,"="&amp;AI993)</f>
        <v>1</v>
      </c>
      <c r="BT993" t="str">
        <f>IFERROR(VLOOKUP(BB993&amp;BU993&amp;X993,game_rosters!U:W,3,FALSE),"")</f>
        <v>P100197</v>
      </c>
      <c r="BU993" t="str">
        <f t="shared" si="618"/>
        <v>Nelson</v>
      </c>
    </row>
    <row r="994" spans="1:73" x14ac:dyDescent="0.2">
      <c r="A994">
        <f t="shared" si="604"/>
        <v>1</v>
      </c>
      <c r="J994" s="44" t="str">
        <f t="shared" si="619"/>
        <v/>
      </c>
      <c r="K994" t="s">
        <v>13</v>
      </c>
      <c r="L994" t="s">
        <v>756</v>
      </c>
      <c r="M994" t="s">
        <v>756</v>
      </c>
      <c r="S994">
        <v>540</v>
      </c>
      <c r="W994" t="str">
        <f t="shared" si="595"/>
        <v>h</v>
      </c>
      <c r="X994">
        <v>80</v>
      </c>
      <c r="Y994" t="b">
        <f>IF(X994&lt;&gt;"",VLOOKUP(X994,game_rosters!$C$43:$E$64,3,FALSE))</f>
        <v>0</v>
      </c>
      <c r="Z994" cm="1">
        <f t="array" ref="Z994">IFERROR(IF(_xlfn._xlws.FILTER(game_rosters!$J:$J,(game_rosters!$G:$G=events!$AN994)*(game_rosters!$J:$J=events!$X994))&gt;0,1,""),"")</f>
        <v>1</v>
      </c>
      <c r="AA994">
        <f t="shared" si="643"/>
        <v>1540</v>
      </c>
      <c r="AB994" t="str">
        <f t="shared" si="644"/>
        <v/>
      </c>
      <c r="AC994">
        <f t="shared" si="592"/>
        <v>1540</v>
      </c>
      <c r="AD994" s="6">
        <v>2</v>
      </c>
      <c r="AE994" t="s">
        <v>926</v>
      </c>
      <c r="AF994" t="s">
        <v>909</v>
      </c>
      <c r="AG994" t="s">
        <v>926</v>
      </c>
      <c r="AH994" t="s">
        <v>745</v>
      </c>
      <c r="AI994" t="s">
        <v>367</v>
      </c>
      <c r="AJ994" t="str">
        <f t="shared" ref="AJ994:AK994" si="650">IF($J994&lt;&gt;"",$J994,IF($AC994=$AC993,AJ993,""))</f>
        <v/>
      </c>
      <c r="AK994" t="str">
        <f t="shared" si="650"/>
        <v/>
      </c>
      <c r="AL994" t="str">
        <f t="shared" si="597"/>
        <v/>
      </c>
      <c r="AN994" t="s">
        <v>861</v>
      </c>
      <c r="AO994" t="str">
        <f t="shared" si="598"/>
        <v>h</v>
      </c>
      <c r="AP994" t="str">
        <f t="shared" si="606"/>
        <v/>
      </c>
      <c r="AQ994" t="str">
        <f t="shared" si="607"/>
        <v/>
      </c>
      <c r="AR994" t="str">
        <f t="shared" si="608"/>
        <v>Home</v>
      </c>
      <c r="AS994" t="str">
        <f t="shared" si="609"/>
        <v>h</v>
      </c>
      <c r="AT994" t="str">
        <f t="shared" si="610"/>
        <v>Offensive</v>
      </c>
      <c r="BA994" s="6">
        <f t="shared" si="599"/>
        <v>265</v>
      </c>
      <c r="BB994">
        <f t="shared" si="600"/>
        <v>18981</v>
      </c>
      <c r="BC994" t="str">
        <f t="shared" si="601"/>
        <v>Nelson</v>
      </c>
      <c r="BD994" t="str">
        <f t="shared" si="602"/>
        <v>Velodrome</v>
      </c>
      <c r="BE994" t="s">
        <v>13</v>
      </c>
      <c r="BF994" t="s">
        <v>756</v>
      </c>
      <c r="BG994" t="s">
        <v>756</v>
      </c>
      <c r="BI994" cm="1">
        <f t="array" ref="BI994">IFERROR(_xlfn._xlws.FILTER(shifts!A:A,(shifts!B:B=events!AD994)*(shifts!AG:AG&gt;=events!BK994)*(shifts!AH:AH&lt;=events!BL994)),BI993)</f>
        <v>48</v>
      </c>
      <c r="BJ994" s="15">
        <f t="shared" si="603"/>
        <v>2</v>
      </c>
      <c r="BK994">
        <f t="shared" si="611"/>
        <v>796</v>
      </c>
      <c r="BL994">
        <f t="shared" si="612"/>
        <v>794</v>
      </c>
      <c r="BM994" s="15">
        <f>SUMIFS(BJ$2:BJ994,K$2:K994,"=Intermission")+SUMIFS(BJ$2:BJ994,K$2:K994,"=Timeout")</f>
        <v>72</v>
      </c>
      <c r="BN994">
        <f t="shared" si="613"/>
        <v>1152</v>
      </c>
      <c r="BO994" s="19">
        <f t="shared" si="614"/>
        <v>1436</v>
      </c>
      <c r="BP994">
        <f t="shared" si="615"/>
        <v>1431</v>
      </c>
      <c r="BQ994" s="17">
        <f t="shared" si="616"/>
        <v>1438</v>
      </c>
      <c r="BR994" t="str">
        <f t="shared" si="617"/>
        <v>event_team_player_1</v>
      </c>
      <c r="BS994">
        <f>COUNTIFS(S$3:S994,"="&amp;S994,AI$3:AI994,"="&amp;AI994)</f>
        <v>1</v>
      </c>
      <c r="BT994" t="str">
        <f>IFERROR(VLOOKUP(BB994&amp;BU994&amp;X994,game_rosters!U:W,3,FALSE),"")</f>
        <v>P100197</v>
      </c>
      <c r="BU994" t="str">
        <f t="shared" si="618"/>
        <v>Nelson</v>
      </c>
    </row>
    <row r="995" spans="1:73" x14ac:dyDescent="0.2">
      <c r="A995">
        <f t="shared" si="604"/>
        <v>1</v>
      </c>
      <c r="J995" s="44" t="str">
        <f t="shared" si="619"/>
        <v>o</v>
      </c>
      <c r="K995" t="s">
        <v>6</v>
      </c>
      <c r="L995" t="s">
        <v>205</v>
      </c>
      <c r="M995" t="s">
        <v>51</v>
      </c>
      <c r="S995">
        <v>541</v>
      </c>
      <c r="W995" t="str">
        <f t="shared" si="595"/>
        <v>h</v>
      </c>
      <c r="X995">
        <v>80</v>
      </c>
      <c r="Y995" t="b">
        <f>IF(X995&lt;&gt;"",VLOOKUP(X995,game_rosters!$C$43:$E$64,3,FALSE))</f>
        <v>0</v>
      </c>
      <c r="Z995" cm="1">
        <f t="array" ref="Z995">IFERROR(IF(_xlfn._xlws.FILTER(game_rosters!$J:$J,(game_rosters!$G:$G=events!$AN995)*(game_rosters!$J:$J=events!$X995))&gt;0,1,""),"")</f>
        <v>1</v>
      </c>
      <c r="AA995">
        <f t="shared" si="643"/>
        <v>1541</v>
      </c>
      <c r="AB995" t="str">
        <f t="shared" si="644"/>
        <v/>
      </c>
      <c r="AC995">
        <f t="shared" si="592"/>
        <v>1541</v>
      </c>
      <c r="AD995" s="6">
        <v>2</v>
      </c>
      <c r="AE995" t="s">
        <v>926</v>
      </c>
      <c r="AF995" t="s">
        <v>745</v>
      </c>
      <c r="AG995" t="s">
        <v>756</v>
      </c>
      <c r="AH995" t="s">
        <v>756</v>
      </c>
      <c r="AI995" t="s">
        <v>367</v>
      </c>
      <c r="AJ995" t="str">
        <f t="shared" ref="AJ995:AK995" si="651">IF($J995&lt;&gt;"",$J995,IF($AC995=$AC994,AJ994,""))</f>
        <v>o</v>
      </c>
      <c r="AK995" t="str">
        <f t="shared" si="651"/>
        <v>o</v>
      </c>
      <c r="AL995" t="str">
        <f t="shared" si="597"/>
        <v>o</v>
      </c>
      <c r="AN995" t="s">
        <v>861</v>
      </c>
      <c r="AO995" t="str">
        <f t="shared" si="598"/>
        <v>h</v>
      </c>
      <c r="AP995" t="str">
        <f t="shared" si="606"/>
        <v>o</v>
      </c>
      <c r="AQ995" t="str">
        <f t="shared" si="607"/>
        <v/>
      </c>
      <c r="AR995" t="str">
        <f t="shared" si="608"/>
        <v>Home</v>
      </c>
      <c r="AS995" t="str">
        <f t="shared" si="609"/>
        <v>h</v>
      </c>
      <c r="AT995" t="str">
        <f t="shared" si="610"/>
        <v>Offensive</v>
      </c>
      <c r="BA995" s="6">
        <f t="shared" si="599"/>
        <v>265</v>
      </c>
      <c r="BB995">
        <f t="shared" si="600"/>
        <v>18981</v>
      </c>
      <c r="BC995" t="str">
        <f t="shared" si="601"/>
        <v>Nelson</v>
      </c>
      <c r="BD995" t="str">
        <f t="shared" si="602"/>
        <v>Velodrome</v>
      </c>
      <c r="BE995" t="s">
        <v>6</v>
      </c>
      <c r="BF995" t="s">
        <v>205</v>
      </c>
      <c r="BG995" t="s">
        <v>51</v>
      </c>
      <c r="BI995" cm="1">
        <f t="array" ref="BI995">IFERROR(_xlfn._xlws.FILTER(shifts!A:A,(shifts!B:B=events!AD995)*(shifts!AG:AG&gt;=events!BK995)*(shifts!AH:AH&lt;=events!BL995)),BI994)</f>
        <v>48</v>
      </c>
      <c r="BJ995" s="15">
        <f t="shared" si="603"/>
        <v>0</v>
      </c>
      <c r="BK995">
        <f t="shared" si="611"/>
        <v>794</v>
      </c>
      <c r="BL995">
        <f t="shared" si="612"/>
        <v>794</v>
      </c>
      <c r="BM995" s="15">
        <f>SUMIFS(BJ$2:BJ995,K$2:K995,"=Intermission")+SUMIFS(BJ$2:BJ995,K$2:K995,"=Timeout")</f>
        <v>72</v>
      </c>
      <c r="BN995">
        <f t="shared" si="613"/>
        <v>1152</v>
      </c>
      <c r="BO995" s="19">
        <f t="shared" si="614"/>
        <v>1438</v>
      </c>
      <c r="BP995">
        <f t="shared" si="615"/>
        <v>1433</v>
      </c>
      <c r="BQ995" s="17">
        <f t="shared" si="616"/>
        <v>1438</v>
      </c>
      <c r="BR995" t="str">
        <f t="shared" si="617"/>
        <v>event_team_player_1</v>
      </c>
      <c r="BS995">
        <f>COUNTIFS(S$3:S995,"="&amp;S995,AI$3:AI995,"="&amp;AI995)</f>
        <v>1</v>
      </c>
      <c r="BT995" t="str">
        <f>IFERROR(VLOOKUP(BB995&amp;BU995&amp;X995,game_rosters!U:W,3,FALSE),"")</f>
        <v>P100197</v>
      </c>
      <c r="BU995" t="str">
        <f t="shared" si="618"/>
        <v>Nelson</v>
      </c>
    </row>
    <row r="996" spans="1:73" x14ac:dyDescent="0.2">
      <c r="A996">
        <f t="shared" si="604"/>
        <v>1</v>
      </c>
      <c r="J996" s="44" t="str">
        <f t="shared" si="619"/>
        <v>o</v>
      </c>
      <c r="K996" t="s">
        <v>6</v>
      </c>
      <c r="L996" t="s">
        <v>205</v>
      </c>
      <c r="M996" t="s">
        <v>51</v>
      </c>
      <c r="S996">
        <v>541</v>
      </c>
      <c r="W996" t="str">
        <f t="shared" si="595"/>
        <v>h</v>
      </c>
      <c r="X996">
        <v>10</v>
      </c>
      <c r="Y996" t="b">
        <f>IF(X996&lt;&gt;"",VLOOKUP(X996,game_rosters!$C$43:$E$64,3,FALSE))</f>
        <v>0</v>
      </c>
      <c r="Z996" cm="1">
        <f t="array" ref="Z996">IFERROR(IF(_xlfn._xlws.FILTER(game_rosters!$J:$J,(game_rosters!$G:$G=events!$AN996)*(game_rosters!$J:$J=events!$X996))&gt;0,1,""),"")</f>
        <v>1</v>
      </c>
      <c r="AA996">
        <f t="shared" si="643"/>
        <v>1541</v>
      </c>
      <c r="AB996" t="str">
        <f t="shared" si="644"/>
        <v/>
      </c>
      <c r="AC996">
        <f t="shared" si="592"/>
        <v>1541</v>
      </c>
      <c r="AD996" s="6">
        <v>2</v>
      </c>
      <c r="AE996" t="s">
        <v>926</v>
      </c>
      <c r="AF996" t="s">
        <v>745</v>
      </c>
      <c r="AG996" t="s">
        <v>756</v>
      </c>
      <c r="AH996" t="s">
        <v>756</v>
      </c>
      <c r="AI996" t="s">
        <v>367</v>
      </c>
      <c r="AJ996" t="str">
        <f t="shared" ref="AJ996:AK996" si="652">IF($J996&lt;&gt;"",$J996,IF($AC996=$AC995,AJ995,""))</f>
        <v>o</v>
      </c>
      <c r="AK996" t="str">
        <f t="shared" si="652"/>
        <v>o</v>
      </c>
      <c r="AL996" t="str">
        <f t="shared" si="597"/>
        <v>o</v>
      </c>
      <c r="AN996" t="s">
        <v>861</v>
      </c>
      <c r="AO996" t="str">
        <f t="shared" si="598"/>
        <v>h</v>
      </c>
      <c r="AP996" t="str">
        <f t="shared" si="606"/>
        <v>o</v>
      </c>
      <c r="AQ996" t="str">
        <f t="shared" si="607"/>
        <v/>
      </c>
      <c r="AR996" t="str">
        <f t="shared" si="608"/>
        <v>Home</v>
      </c>
      <c r="AS996" t="str">
        <f t="shared" si="609"/>
        <v>h</v>
      </c>
      <c r="AT996" t="str">
        <f t="shared" si="610"/>
        <v>Offensive</v>
      </c>
      <c r="BA996" s="6">
        <f t="shared" si="599"/>
        <v>265</v>
      </c>
      <c r="BB996">
        <f t="shared" si="600"/>
        <v>18981</v>
      </c>
      <c r="BC996" t="str">
        <f t="shared" si="601"/>
        <v>Nelson</v>
      </c>
      <c r="BD996" t="str">
        <f t="shared" si="602"/>
        <v>Velodrome</v>
      </c>
      <c r="BE996" t="s">
        <v>6</v>
      </c>
      <c r="BF996" t="s">
        <v>205</v>
      </c>
      <c r="BG996" t="s">
        <v>51</v>
      </c>
      <c r="BI996" cm="1">
        <f t="array" ref="BI996">IFERROR(_xlfn._xlws.FILTER(shifts!A:A,(shifts!B:B=events!AD996)*(shifts!AG:AG&gt;=events!BK996)*(shifts!AH:AH&lt;=events!BL996)),BI995)</f>
        <v>48</v>
      </c>
      <c r="BJ996" s="15">
        <f t="shared" si="603"/>
        <v>0</v>
      </c>
      <c r="BK996">
        <f t="shared" si="611"/>
        <v>794</v>
      </c>
      <c r="BL996">
        <f t="shared" si="612"/>
        <v>794</v>
      </c>
      <c r="BM996" s="15">
        <f>SUMIFS(BJ$2:BJ996,K$2:K996,"=Intermission")+SUMIFS(BJ$2:BJ996,K$2:K996,"=Timeout")</f>
        <v>72</v>
      </c>
      <c r="BN996">
        <f t="shared" si="613"/>
        <v>1152</v>
      </c>
      <c r="BO996" s="19">
        <f t="shared" si="614"/>
        <v>1438</v>
      </c>
      <c r="BP996">
        <f t="shared" si="615"/>
        <v>1433</v>
      </c>
      <c r="BQ996" s="17">
        <f t="shared" si="616"/>
        <v>1438</v>
      </c>
      <c r="BR996" t="str">
        <f t="shared" si="617"/>
        <v>event_team_player_2</v>
      </c>
      <c r="BS996">
        <f>COUNTIFS(S$3:S996,"="&amp;S996,AI$3:AI996,"="&amp;AI996)</f>
        <v>2</v>
      </c>
      <c r="BT996" t="str">
        <f>IFERROR(VLOOKUP(BB996&amp;BU996&amp;X996,game_rosters!U:W,3,FALSE),"")</f>
        <v>P100078</v>
      </c>
      <c r="BU996" t="str">
        <f t="shared" si="618"/>
        <v>Nelson</v>
      </c>
    </row>
    <row r="997" spans="1:73" x14ac:dyDescent="0.2">
      <c r="A997">
        <f t="shared" si="604"/>
        <v>1</v>
      </c>
      <c r="J997" s="44" t="str">
        <f t="shared" si="619"/>
        <v>o</v>
      </c>
      <c r="K997" t="s">
        <v>6</v>
      </c>
      <c r="L997" t="s">
        <v>205</v>
      </c>
      <c r="M997" t="s">
        <v>51</v>
      </c>
      <c r="S997">
        <v>541</v>
      </c>
      <c r="W997" t="str">
        <f t="shared" si="595"/>
        <v>h</v>
      </c>
      <c r="X997">
        <v>42</v>
      </c>
      <c r="Y997" t="e">
        <f>IF(X997&lt;&gt;"",VLOOKUP(X997,game_rosters!$C$43:$E$64,3,FALSE))</f>
        <v>#N/A</v>
      </c>
      <c r="Z997" t="str" cm="1">
        <f t="array" ref="Z997">IFERROR(IF(_xlfn._xlws.FILTER(game_rosters!$J:$J,(game_rosters!$G:$G=events!$AN997)*(game_rosters!$J:$J=events!$X997))&gt;0,1,""),"")</f>
        <v/>
      </c>
      <c r="AA997">
        <f t="shared" si="643"/>
        <v>1541</v>
      </c>
      <c r="AB997" t="str">
        <f t="shared" si="644"/>
        <v/>
      </c>
      <c r="AC997">
        <f t="shared" si="592"/>
        <v>1541</v>
      </c>
      <c r="AD997" s="6">
        <v>2</v>
      </c>
      <c r="AE997" t="s">
        <v>926</v>
      </c>
      <c r="AF997" t="s">
        <v>745</v>
      </c>
      <c r="AG997" t="s">
        <v>756</v>
      </c>
      <c r="AH997" t="s">
        <v>756</v>
      </c>
      <c r="AI997" t="s">
        <v>368</v>
      </c>
      <c r="AJ997" t="str">
        <f t="shared" ref="AJ997:AK997" si="653">IF($J997&lt;&gt;"",$J997,IF($AC997=$AC996,AJ996,""))</f>
        <v>o</v>
      </c>
      <c r="AK997" t="str">
        <f t="shared" si="653"/>
        <v>o</v>
      </c>
      <c r="AL997" t="str">
        <f t="shared" si="597"/>
        <v>o</v>
      </c>
      <c r="AN997" t="s">
        <v>861</v>
      </c>
      <c r="AO997" t="str">
        <f t="shared" si="598"/>
        <v>h</v>
      </c>
      <c r="AP997" t="str">
        <f t="shared" si="606"/>
        <v>o</v>
      </c>
      <c r="AQ997" t="str">
        <f t="shared" si="607"/>
        <v/>
      </c>
      <c r="AR997" t="str">
        <f t="shared" si="608"/>
        <v>Home</v>
      </c>
      <c r="AS997" t="str">
        <f t="shared" si="609"/>
        <v>h</v>
      </c>
      <c r="AT997" t="str">
        <f t="shared" si="610"/>
        <v>Defensive</v>
      </c>
      <c r="BA997" s="6">
        <f t="shared" si="599"/>
        <v>265</v>
      </c>
      <c r="BB997">
        <f t="shared" si="600"/>
        <v>18981</v>
      </c>
      <c r="BC997" t="str">
        <f t="shared" si="601"/>
        <v>Nelson</v>
      </c>
      <c r="BD997" t="str">
        <f t="shared" si="602"/>
        <v>Velodrome</v>
      </c>
      <c r="BE997" t="s">
        <v>6</v>
      </c>
      <c r="BF997" t="s">
        <v>205</v>
      </c>
      <c r="BG997" t="s">
        <v>51</v>
      </c>
      <c r="BI997" cm="1">
        <f t="array" ref="BI997">IFERROR(_xlfn._xlws.FILTER(shifts!A:A,(shifts!B:B=events!AD997)*(shifts!AG:AG&gt;=events!BK997)*(shifts!AH:AH&lt;=events!BL997)),BI996)</f>
        <v>48</v>
      </c>
      <c r="BJ997" s="15">
        <f t="shared" si="603"/>
        <v>0</v>
      </c>
      <c r="BK997">
        <f t="shared" si="611"/>
        <v>794</v>
      </c>
      <c r="BL997">
        <f t="shared" si="612"/>
        <v>794</v>
      </c>
      <c r="BM997" s="15">
        <f>SUMIFS(BJ$2:BJ997,K$2:K997,"=Intermission")+SUMIFS(BJ$2:BJ997,K$2:K997,"=Timeout")</f>
        <v>72</v>
      </c>
      <c r="BN997">
        <f t="shared" si="613"/>
        <v>1152</v>
      </c>
      <c r="BO997" s="19">
        <f t="shared" si="614"/>
        <v>1438</v>
      </c>
      <c r="BP997">
        <f t="shared" si="615"/>
        <v>1433</v>
      </c>
      <c r="BQ997" s="17">
        <f t="shared" si="616"/>
        <v>1438</v>
      </c>
      <c r="BR997" t="str">
        <f t="shared" si="617"/>
        <v>opp_team_player_1</v>
      </c>
      <c r="BS997">
        <f>COUNTIFS(S$3:S997,"="&amp;S997,AI$3:AI997,"="&amp;AI997)</f>
        <v>1</v>
      </c>
      <c r="BT997" t="str">
        <f>IFERROR(VLOOKUP(BB997&amp;BU997&amp;X997,game_rosters!U:W,3,FALSE),"")</f>
        <v>P100201</v>
      </c>
      <c r="BU997" t="str">
        <f t="shared" si="618"/>
        <v>Velodrome</v>
      </c>
    </row>
    <row r="998" spans="1:73" x14ac:dyDescent="0.2">
      <c r="A998">
        <f t="shared" si="604"/>
        <v>1</v>
      </c>
      <c r="J998" s="44" t="str">
        <f t="shared" si="619"/>
        <v>o</v>
      </c>
      <c r="K998" t="s">
        <v>6</v>
      </c>
      <c r="L998" t="s">
        <v>205</v>
      </c>
      <c r="M998" t="s">
        <v>51</v>
      </c>
      <c r="S998">
        <v>541</v>
      </c>
      <c r="W998" t="str">
        <f t="shared" si="595"/>
        <v>h</v>
      </c>
      <c r="X998">
        <v>39</v>
      </c>
      <c r="Y998" t="e">
        <f>IF(X998&lt;&gt;"",VLOOKUP(X998,game_rosters!$C$43:$E$64,3,FALSE))</f>
        <v>#N/A</v>
      </c>
      <c r="Z998" t="str" cm="1">
        <f t="array" ref="Z998">IFERROR(IF(_xlfn._xlws.FILTER(game_rosters!$J:$J,(game_rosters!$G:$G=events!$AN998)*(game_rosters!$J:$J=events!$X998))&gt;0,1,""),"")</f>
        <v/>
      </c>
      <c r="AA998">
        <f t="shared" si="643"/>
        <v>1541</v>
      </c>
      <c r="AB998" t="str">
        <f t="shared" si="644"/>
        <v/>
      </c>
      <c r="AC998">
        <f t="shared" si="592"/>
        <v>1541</v>
      </c>
      <c r="AD998" s="6">
        <v>2</v>
      </c>
      <c r="AE998" t="s">
        <v>926</v>
      </c>
      <c r="AF998" t="s">
        <v>745</v>
      </c>
      <c r="AG998" t="s">
        <v>756</v>
      </c>
      <c r="AH998" t="s">
        <v>756</v>
      </c>
      <c r="AI998" t="s">
        <v>368</v>
      </c>
      <c r="AJ998" t="str">
        <f t="shared" ref="AJ998:AK998" si="654">IF($J998&lt;&gt;"",$J998,IF($AC998=$AC997,AJ997,""))</f>
        <v>o</v>
      </c>
      <c r="AK998" t="str">
        <f t="shared" si="654"/>
        <v>o</v>
      </c>
      <c r="AL998" t="str">
        <f t="shared" si="597"/>
        <v>o</v>
      </c>
      <c r="AN998" t="s">
        <v>861</v>
      </c>
      <c r="AO998" t="str">
        <f t="shared" si="598"/>
        <v>h</v>
      </c>
      <c r="AP998" t="str">
        <f t="shared" si="606"/>
        <v>o</v>
      </c>
      <c r="AQ998" t="str">
        <f t="shared" si="607"/>
        <v/>
      </c>
      <c r="AR998" t="str">
        <f t="shared" si="608"/>
        <v>Home</v>
      </c>
      <c r="AS998" t="str">
        <f t="shared" si="609"/>
        <v>h</v>
      </c>
      <c r="AT998" t="str">
        <f t="shared" si="610"/>
        <v>Defensive</v>
      </c>
      <c r="BA998" s="6">
        <f t="shared" si="599"/>
        <v>265</v>
      </c>
      <c r="BB998">
        <f t="shared" si="600"/>
        <v>18981</v>
      </c>
      <c r="BC998" t="str">
        <f t="shared" si="601"/>
        <v>Nelson</v>
      </c>
      <c r="BD998" t="str">
        <f t="shared" si="602"/>
        <v>Velodrome</v>
      </c>
      <c r="BE998" t="s">
        <v>6</v>
      </c>
      <c r="BF998" t="s">
        <v>205</v>
      </c>
      <c r="BG998" t="s">
        <v>51</v>
      </c>
      <c r="BI998" cm="1">
        <f t="array" ref="BI998">IFERROR(_xlfn._xlws.FILTER(shifts!A:A,(shifts!B:B=events!AD998)*(shifts!AG:AG&gt;=events!BK998)*(shifts!AH:AH&lt;=events!BL998)),BI997)</f>
        <v>48</v>
      </c>
      <c r="BJ998" s="15">
        <f t="shared" si="603"/>
        <v>0</v>
      </c>
      <c r="BK998">
        <f t="shared" si="611"/>
        <v>794</v>
      </c>
      <c r="BL998">
        <f t="shared" si="612"/>
        <v>794</v>
      </c>
      <c r="BM998" s="15">
        <f>SUMIFS(BJ$2:BJ998,K$2:K998,"=Intermission")+SUMIFS(BJ$2:BJ998,K$2:K998,"=Timeout")</f>
        <v>72</v>
      </c>
      <c r="BN998">
        <f t="shared" si="613"/>
        <v>1152</v>
      </c>
      <c r="BO998" s="19">
        <f t="shared" si="614"/>
        <v>1438</v>
      </c>
      <c r="BP998">
        <f t="shared" si="615"/>
        <v>1433</v>
      </c>
      <c r="BQ998" s="17">
        <f t="shared" si="616"/>
        <v>1438</v>
      </c>
      <c r="BR998" t="str">
        <f t="shared" si="617"/>
        <v>opp_team_player_2</v>
      </c>
      <c r="BS998">
        <f>COUNTIFS(S$3:S998,"="&amp;S998,AI$3:AI998,"="&amp;AI998)</f>
        <v>2</v>
      </c>
      <c r="BT998" t="str">
        <f>IFERROR(VLOOKUP(BB998&amp;BU998&amp;X998,game_rosters!U:W,3,FALSE),"")</f>
        <v>P100016</v>
      </c>
      <c r="BU998" t="str">
        <f t="shared" si="618"/>
        <v>Velodrome</v>
      </c>
    </row>
    <row r="999" spans="1:73" x14ac:dyDescent="0.2">
      <c r="A999">
        <f t="shared" si="604"/>
        <v>1</v>
      </c>
      <c r="J999" s="44" t="str">
        <f t="shared" si="619"/>
        <v>d</v>
      </c>
      <c r="K999" t="s">
        <v>15</v>
      </c>
      <c r="L999" t="s">
        <v>179</v>
      </c>
      <c r="M999" t="s">
        <v>96</v>
      </c>
      <c r="S999">
        <v>542</v>
      </c>
      <c r="W999" t="str">
        <f t="shared" si="595"/>
        <v>a</v>
      </c>
      <c r="X999">
        <v>39</v>
      </c>
      <c r="Y999" t="e">
        <f>IF(X999&lt;&gt;"",VLOOKUP(X999,game_rosters!$C$43:$E$64,3,FALSE))</f>
        <v>#N/A</v>
      </c>
      <c r="Z999" cm="1">
        <f t="array" ref="Z999">IFERROR(IF(_xlfn._xlws.FILTER(game_rosters!$J:$J,(game_rosters!$G:$G=events!$AN999)*(game_rosters!$J:$J=events!$X999))&gt;0,1,""),"")</f>
        <v>1</v>
      </c>
      <c r="AA999">
        <f t="shared" si="643"/>
        <v>1542</v>
      </c>
      <c r="AB999" t="str">
        <f t="shared" si="644"/>
        <v/>
      </c>
      <c r="AC999">
        <f t="shared" si="592"/>
        <v>1542</v>
      </c>
      <c r="AD999" s="6">
        <v>2</v>
      </c>
      <c r="AE999" t="s">
        <v>926</v>
      </c>
      <c r="AF999" t="s">
        <v>745</v>
      </c>
      <c r="AG999" t="s">
        <v>756</v>
      </c>
      <c r="AH999" t="s">
        <v>756</v>
      </c>
      <c r="AI999" t="s">
        <v>367</v>
      </c>
      <c r="AJ999" t="str">
        <f t="shared" ref="AJ999:AK999" si="655">IF($J999&lt;&gt;"",$J999,IF($AC999=$AC998,AJ998,""))</f>
        <v>d</v>
      </c>
      <c r="AK999" t="str">
        <f t="shared" si="655"/>
        <v>d</v>
      </c>
      <c r="AL999" t="str">
        <f t="shared" si="597"/>
        <v>o</v>
      </c>
      <c r="AN999" t="s">
        <v>862</v>
      </c>
      <c r="AO999" t="str">
        <f t="shared" si="598"/>
        <v>a</v>
      </c>
      <c r="AP999" t="str">
        <f t="shared" si="606"/>
        <v>o</v>
      </c>
      <c r="AQ999" t="str">
        <f t="shared" si="607"/>
        <v/>
      </c>
      <c r="AR999" t="str">
        <f t="shared" si="608"/>
        <v>Away</v>
      </c>
      <c r="AS999" t="str">
        <f t="shared" si="609"/>
        <v>a</v>
      </c>
      <c r="AT999" t="str">
        <f t="shared" si="610"/>
        <v>Defensive</v>
      </c>
      <c r="BA999" s="6">
        <f t="shared" si="599"/>
        <v>265</v>
      </c>
      <c r="BB999">
        <f t="shared" si="600"/>
        <v>18981</v>
      </c>
      <c r="BC999" t="str">
        <f t="shared" si="601"/>
        <v>Nelson</v>
      </c>
      <c r="BD999" t="str">
        <f t="shared" si="602"/>
        <v>Velodrome</v>
      </c>
      <c r="BE999" t="s">
        <v>15</v>
      </c>
      <c r="BF999" t="s">
        <v>179</v>
      </c>
      <c r="BG999" t="s">
        <v>96</v>
      </c>
      <c r="BI999" cm="1">
        <f t="array" ref="BI999">IFERROR(_xlfn._xlws.FILTER(shifts!A:A,(shifts!B:B=events!AD999)*(shifts!AG:AG&gt;=events!BK999)*(shifts!AH:AH&lt;=events!BL999)),BI998)</f>
        <v>48</v>
      </c>
      <c r="BJ999" s="15">
        <f t="shared" si="603"/>
        <v>0</v>
      </c>
      <c r="BK999">
        <f t="shared" si="611"/>
        <v>794</v>
      </c>
      <c r="BL999">
        <f t="shared" si="612"/>
        <v>794</v>
      </c>
      <c r="BM999" s="15">
        <f>SUMIFS(BJ$2:BJ999,K$2:K999,"=Intermission")+SUMIFS(BJ$2:BJ999,K$2:K999,"=Timeout")</f>
        <v>72</v>
      </c>
      <c r="BN999">
        <f t="shared" si="613"/>
        <v>1152</v>
      </c>
      <c r="BO999" s="19">
        <f t="shared" si="614"/>
        <v>1438</v>
      </c>
      <c r="BP999">
        <f t="shared" si="615"/>
        <v>1433</v>
      </c>
      <c r="BQ999" s="17">
        <f t="shared" si="616"/>
        <v>1438</v>
      </c>
      <c r="BR999" t="str">
        <f t="shared" si="617"/>
        <v>event_team_player_1</v>
      </c>
      <c r="BS999">
        <f>COUNTIFS(S$3:S999,"="&amp;S999,AI$3:AI999,"="&amp;AI999)</f>
        <v>1</v>
      </c>
      <c r="BT999" t="str">
        <f>IFERROR(VLOOKUP(BB999&amp;BU999&amp;X999,game_rosters!U:W,3,FALSE),"")</f>
        <v>P100016</v>
      </c>
      <c r="BU999" t="str">
        <f t="shared" si="618"/>
        <v>Velodrome</v>
      </c>
    </row>
    <row r="1000" spans="1:73" x14ac:dyDescent="0.2">
      <c r="A1000">
        <f t="shared" si="604"/>
        <v>1</v>
      </c>
      <c r="J1000" s="44" t="str">
        <f t="shared" si="619"/>
        <v>d</v>
      </c>
      <c r="K1000" t="s">
        <v>15</v>
      </c>
      <c r="L1000" t="s">
        <v>179</v>
      </c>
      <c r="M1000" t="s">
        <v>96</v>
      </c>
      <c r="S1000">
        <v>542</v>
      </c>
      <c r="W1000" t="str">
        <f t="shared" si="595"/>
        <v>a</v>
      </c>
      <c r="X1000">
        <v>42</v>
      </c>
      <c r="Y1000" t="e">
        <f>IF(X1000&lt;&gt;"",VLOOKUP(X1000,game_rosters!$C$43:$E$64,3,FALSE))</f>
        <v>#N/A</v>
      </c>
      <c r="Z1000" cm="1">
        <f t="array" ref="Z1000">IFERROR(IF(_xlfn._xlws.FILTER(game_rosters!$J:$J,(game_rosters!$G:$G=events!$AN1000)*(game_rosters!$J:$J=events!$X1000))&gt;0,1,""),"")</f>
        <v>1</v>
      </c>
      <c r="AA1000">
        <f t="shared" si="643"/>
        <v>1542</v>
      </c>
      <c r="AB1000" t="str">
        <f t="shared" si="644"/>
        <v/>
      </c>
      <c r="AC1000">
        <f t="shared" si="592"/>
        <v>1542</v>
      </c>
      <c r="AD1000" s="6">
        <v>2</v>
      </c>
      <c r="AE1000" t="s">
        <v>926</v>
      </c>
      <c r="AF1000" t="s">
        <v>745</v>
      </c>
      <c r="AG1000" t="s">
        <v>756</v>
      </c>
      <c r="AH1000" t="s">
        <v>756</v>
      </c>
      <c r="AI1000" t="s">
        <v>367</v>
      </c>
      <c r="AJ1000" t="str">
        <f t="shared" ref="AJ1000:AK1000" si="656">IF($J1000&lt;&gt;"",$J1000,IF($AC1000=$AC999,AJ999,""))</f>
        <v>d</v>
      </c>
      <c r="AK1000" t="str">
        <f t="shared" si="656"/>
        <v>d</v>
      </c>
      <c r="AL1000" t="str">
        <f t="shared" si="597"/>
        <v>o</v>
      </c>
      <c r="AN1000" t="s">
        <v>862</v>
      </c>
      <c r="AO1000" t="str">
        <f t="shared" si="598"/>
        <v>a</v>
      </c>
      <c r="AP1000" t="str">
        <f t="shared" si="606"/>
        <v>o</v>
      </c>
      <c r="AQ1000" t="str">
        <f t="shared" si="607"/>
        <v/>
      </c>
      <c r="AR1000" t="str">
        <f t="shared" si="608"/>
        <v>Away</v>
      </c>
      <c r="AS1000" t="str">
        <f t="shared" si="609"/>
        <v>a</v>
      </c>
      <c r="AT1000" t="str">
        <f t="shared" si="610"/>
        <v>Defensive</v>
      </c>
      <c r="BA1000" s="6">
        <f t="shared" si="599"/>
        <v>265</v>
      </c>
      <c r="BB1000">
        <f t="shared" si="600"/>
        <v>18981</v>
      </c>
      <c r="BC1000" t="str">
        <f t="shared" si="601"/>
        <v>Nelson</v>
      </c>
      <c r="BD1000" t="str">
        <f t="shared" si="602"/>
        <v>Velodrome</v>
      </c>
      <c r="BE1000" t="s">
        <v>15</v>
      </c>
      <c r="BF1000" t="s">
        <v>179</v>
      </c>
      <c r="BG1000" t="s">
        <v>96</v>
      </c>
      <c r="BI1000" cm="1">
        <f t="array" ref="BI1000">IFERROR(_xlfn._xlws.FILTER(shifts!A:A,(shifts!B:B=events!AD1000)*(shifts!AG:AG&gt;=events!BK1000)*(shifts!AH:AH&lt;=events!BL1000)),BI999)</f>
        <v>48</v>
      </c>
      <c r="BJ1000" s="15">
        <f t="shared" si="603"/>
        <v>0</v>
      </c>
      <c r="BK1000">
        <f t="shared" si="611"/>
        <v>794</v>
      </c>
      <c r="BL1000">
        <f t="shared" si="612"/>
        <v>794</v>
      </c>
      <c r="BM1000" s="15">
        <f>SUMIFS(BJ$2:BJ1000,K$2:K1000,"=Intermission")+SUMIFS(BJ$2:BJ1000,K$2:K1000,"=Timeout")</f>
        <v>72</v>
      </c>
      <c r="BN1000">
        <f t="shared" si="613"/>
        <v>1152</v>
      </c>
      <c r="BO1000" s="19">
        <f t="shared" si="614"/>
        <v>1438</v>
      </c>
      <c r="BP1000">
        <f t="shared" si="615"/>
        <v>1433</v>
      </c>
      <c r="BQ1000" s="17">
        <f t="shared" si="616"/>
        <v>1438</v>
      </c>
      <c r="BR1000" t="str">
        <f t="shared" si="617"/>
        <v>event_team_player_2</v>
      </c>
      <c r="BS1000">
        <f>COUNTIFS(S$3:S1000,"="&amp;S1000,AI$3:AI1000,"="&amp;AI1000)</f>
        <v>2</v>
      </c>
      <c r="BT1000" t="str">
        <f>IFERROR(VLOOKUP(BB1000&amp;BU1000&amp;X1000,game_rosters!U:W,3,FALSE),"")</f>
        <v>P100201</v>
      </c>
      <c r="BU1000" t="str">
        <f t="shared" si="618"/>
        <v>Velodrome</v>
      </c>
    </row>
    <row r="1001" spans="1:73" x14ac:dyDescent="0.2">
      <c r="A1001">
        <f t="shared" si="604"/>
        <v>1</v>
      </c>
      <c r="J1001" s="44" t="str">
        <f t="shared" si="619"/>
        <v>d</v>
      </c>
      <c r="K1001" t="s">
        <v>15</v>
      </c>
      <c r="L1001" t="s">
        <v>179</v>
      </c>
      <c r="M1001" t="s">
        <v>96</v>
      </c>
      <c r="S1001">
        <v>542</v>
      </c>
      <c r="W1001" t="str">
        <f t="shared" si="595"/>
        <v>a</v>
      </c>
      <c r="X1001">
        <v>80</v>
      </c>
      <c r="Y1001" t="b">
        <f>IF(X1001&lt;&gt;"",VLOOKUP(X1001,game_rosters!$C$43:$E$64,3,FALSE))</f>
        <v>0</v>
      </c>
      <c r="Z1001" t="str" cm="1">
        <f t="array" ref="Z1001">IFERROR(IF(_xlfn._xlws.FILTER(game_rosters!$J:$J,(game_rosters!$G:$G=events!$AN1001)*(game_rosters!$J:$J=events!$X1001))&gt;0,1,""),"")</f>
        <v/>
      </c>
      <c r="AA1001">
        <f t="shared" si="643"/>
        <v>1542</v>
      </c>
      <c r="AB1001" t="str">
        <f t="shared" si="644"/>
        <v/>
      </c>
      <c r="AC1001">
        <f t="shared" si="592"/>
        <v>1542</v>
      </c>
      <c r="AD1001" s="6">
        <v>2</v>
      </c>
      <c r="AE1001" t="s">
        <v>926</v>
      </c>
      <c r="AF1001" t="s">
        <v>745</v>
      </c>
      <c r="AG1001" t="s">
        <v>756</v>
      </c>
      <c r="AH1001" t="s">
        <v>756</v>
      </c>
      <c r="AI1001" t="s">
        <v>368</v>
      </c>
      <c r="AJ1001" t="str">
        <f t="shared" ref="AJ1001:AK1001" si="657">IF($J1001&lt;&gt;"",$J1001,IF($AC1001=$AC1000,AJ1000,""))</f>
        <v>d</v>
      </c>
      <c r="AK1001" t="str">
        <f t="shared" si="657"/>
        <v>d</v>
      </c>
      <c r="AL1001" t="str">
        <f t="shared" si="597"/>
        <v>o</v>
      </c>
      <c r="AN1001" t="s">
        <v>862</v>
      </c>
      <c r="AO1001" t="str">
        <f t="shared" si="598"/>
        <v>a</v>
      </c>
      <c r="AP1001" t="str">
        <f t="shared" si="606"/>
        <v>o</v>
      </c>
      <c r="AQ1001" t="str">
        <f t="shared" si="607"/>
        <v/>
      </c>
      <c r="AR1001" t="str">
        <f t="shared" si="608"/>
        <v>Away</v>
      </c>
      <c r="AS1001" t="str">
        <f t="shared" si="609"/>
        <v>a</v>
      </c>
      <c r="AT1001" t="str">
        <f t="shared" si="610"/>
        <v>Offensive</v>
      </c>
      <c r="BA1001" s="6">
        <f t="shared" si="599"/>
        <v>265</v>
      </c>
      <c r="BB1001">
        <f t="shared" si="600"/>
        <v>18981</v>
      </c>
      <c r="BC1001" t="str">
        <f t="shared" si="601"/>
        <v>Nelson</v>
      </c>
      <c r="BD1001" t="str">
        <f t="shared" si="602"/>
        <v>Velodrome</v>
      </c>
      <c r="BE1001" t="s">
        <v>15</v>
      </c>
      <c r="BF1001" t="s">
        <v>179</v>
      </c>
      <c r="BG1001" t="s">
        <v>96</v>
      </c>
      <c r="BI1001" cm="1">
        <f t="array" ref="BI1001">IFERROR(_xlfn._xlws.FILTER(shifts!A:A,(shifts!B:B=events!AD1001)*(shifts!AG:AG&gt;=events!BK1001)*(shifts!AH:AH&lt;=events!BL1001)),BI1000)</f>
        <v>48</v>
      </c>
      <c r="BJ1001" s="15">
        <f t="shared" si="603"/>
        <v>0</v>
      </c>
      <c r="BK1001">
        <f t="shared" si="611"/>
        <v>794</v>
      </c>
      <c r="BL1001">
        <f t="shared" si="612"/>
        <v>794</v>
      </c>
      <c r="BM1001" s="15">
        <f>SUMIFS(BJ$2:BJ1001,K$2:K1001,"=Intermission")+SUMIFS(BJ$2:BJ1001,K$2:K1001,"=Timeout")</f>
        <v>72</v>
      </c>
      <c r="BN1001">
        <f t="shared" si="613"/>
        <v>1152</v>
      </c>
      <c r="BO1001" s="19">
        <f t="shared" si="614"/>
        <v>1438</v>
      </c>
      <c r="BP1001">
        <f t="shared" si="615"/>
        <v>1433</v>
      </c>
      <c r="BQ1001" s="17">
        <f t="shared" si="616"/>
        <v>1438</v>
      </c>
      <c r="BR1001" t="str">
        <f t="shared" si="617"/>
        <v>opp_team_player_1</v>
      </c>
      <c r="BS1001">
        <f>COUNTIFS(S$3:S1001,"="&amp;S1001,AI$3:AI1001,"="&amp;AI1001)</f>
        <v>1</v>
      </c>
      <c r="BT1001" t="str">
        <f>IFERROR(VLOOKUP(BB1001&amp;BU1001&amp;X1001,game_rosters!U:W,3,FALSE),"")</f>
        <v>P100197</v>
      </c>
      <c r="BU1001" t="str">
        <f t="shared" si="618"/>
        <v>Nelson</v>
      </c>
    </row>
    <row r="1002" spans="1:73" x14ac:dyDescent="0.2">
      <c r="A1002">
        <f t="shared" si="604"/>
        <v>1</v>
      </c>
      <c r="J1002" s="44" t="str">
        <f t="shared" si="619"/>
        <v>d</v>
      </c>
      <c r="K1002" t="s">
        <v>15</v>
      </c>
      <c r="L1002" t="s">
        <v>179</v>
      </c>
      <c r="M1002" t="s">
        <v>96</v>
      </c>
      <c r="S1002">
        <v>542</v>
      </c>
      <c r="W1002" t="str">
        <f t="shared" si="595"/>
        <v>a</v>
      </c>
      <c r="X1002">
        <v>10</v>
      </c>
      <c r="Y1002" t="b">
        <f>IF(X1002&lt;&gt;"",VLOOKUP(X1002,game_rosters!$C$43:$E$64,3,FALSE))</f>
        <v>0</v>
      </c>
      <c r="Z1002" t="str" cm="1">
        <f t="array" ref="Z1002">IFERROR(IF(_xlfn._xlws.FILTER(game_rosters!$J:$J,(game_rosters!$G:$G=events!$AN1002)*(game_rosters!$J:$J=events!$X1002))&gt;0,1,""),"")</f>
        <v/>
      </c>
      <c r="AA1002">
        <f t="shared" si="643"/>
        <v>1542</v>
      </c>
      <c r="AB1002" t="str">
        <f t="shared" si="644"/>
        <v/>
      </c>
      <c r="AC1002">
        <f t="shared" si="592"/>
        <v>1542</v>
      </c>
      <c r="AD1002" s="6">
        <v>2</v>
      </c>
      <c r="AE1002" t="s">
        <v>926</v>
      </c>
      <c r="AF1002" t="s">
        <v>745</v>
      </c>
      <c r="AG1002" t="s">
        <v>756</v>
      </c>
      <c r="AH1002" t="s">
        <v>756</v>
      </c>
      <c r="AI1002" t="s">
        <v>368</v>
      </c>
      <c r="AJ1002" t="str">
        <f t="shared" ref="AJ1002:AK1002" si="658">IF($J1002&lt;&gt;"",$J1002,IF($AC1002=$AC1001,AJ1001,""))</f>
        <v>d</v>
      </c>
      <c r="AK1002" t="str">
        <f t="shared" si="658"/>
        <v>d</v>
      </c>
      <c r="AL1002" t="str">
        <f t="shared" si="597"/>
        <v>o</v>
      </c>
      <c r="AN1002" t="s">
        <v>862</v>
      </c>
      <c r="AO1002" t="str">
        <f t="shared" si="598"/>
        <v>a</v>
      </c>
      <c r="AP1002" t="str">
        <f t="shared" si="606"/>
        <v>o</v>
      </c>
      <c r="AQ1002" t="str">
        <f t="shared" si="607"/>
        <v/>
      </c>
      <c r="AR1002" t="str">
        <f t="shared" si="608"/>
        <v>Away</v>
      </c>
      <c r="AS1002" t="str">
        <f t="shared" si="609"/>
        <v>a</v>
      </c>
      <c r="AT1002" t="str">
        <f t="shared" si="610"/>
        <v>Offensive</v>
      </c>
      <c r="BA1002" s="6">
        <f t="shared" si="599"/>
        <v>265</v>
      </c>
      <c r="BB1002">
        <f t="shared" si="600"/>
        <v>18981</v>
      </c>
      <c r="BC1002" t="str">
        <f t="shared" si="601"/>
        <v>Nelson</v>
      </c>
      <c r="BD1002" t="str">
        <f t="shared" si="602"/>
        <v>Velodrome</v>
      </c>
      <c r="BE1002" t="s">
        <v>15</v>
      </c>
      <c r="BF1002" t="s">
        <v>179</v>
      </c>
      <c r="BG1002" t="s">
        <v>96</v>
      </c>
      <c r="BI1002" cm="1">
        <f t="array" ref="BI1002">IFERROR(_xlfn._xlws.FILTER(shifts!A:A,(shifts!B:B=events!AD1002)*(shifts!AG:AG&gt;=events!BK1002)*(shifts!AH:AH&lt;=events!BL1002)),BI1001)</f>
        <v>48</v>
      </c>
      <c r="BJ1002" s="15">
        <f t="shared" si="603"/>
        <v>0</v>
      </c>
      <c r="BK1002">
        <f t="shared" si="611"/>
        <v>794</v>
      </c>
      <c r="BL1002">
        <f t="shared" si="612"/>
        <v>794</v>
      </c>
      <c r="BM1002" s="15">
        <f>SUMIFS(BJ$2:BJ1002,K$2:K1002,"=Intermission")+SUMIFS(BJ$2:BJ1002,K$2:K1002,"=Timeout")</f>
        <v>72</v>
      </c>
      <c r="BN1002">
        <f t="shared" si="613"/>
        <v>1152</v>
      </c>
      <c r="BO1002" s="19">
        <f t="shared" si="614"/>
        <v>1438</v>
      </c>
      <c r="BP1002">
        <f t="shared" si="615"/>
        <v>1433</v>
      </c>
      <c r="BQ1002" s="17">
        <f t="shared" si="616"/>
        <v>1438</v>
      </c>
      <c r="BR1002" t="str">
        <f t="shared" si="617"/>
        <v>opp_team_player_2</v>
      </c>
      <c r="BS1002">
        <f>COUNTIFS(S$3:S1002,"="&amp;S1002,AI$3:AI1002,"="&amp;AI1002)</f>
        <v>2</v>
      </c>
      <c r="BT1002" t="str">
        <f>IFERROR(VLOOKUP(BB1002&amp;BU1002&amp;X1002,game_rosters!U:W,3,FALSE),"")</f>
        <v>P100078</v>
      </c>
      <c r="BU1002" t="str">
        <f t="shared" si="618"/>
        <v>Nelson</v>
      </c>
    </row>
    <row r="1003" spans="1:73" x14ac:dyDescent="0.2">
      <c r="A1003">
        <f t="shared" si="604"/>
        <v>1</v>
      </c>
      <c r="J1003" s="44" t="str">
        <f t="shared" si="619"/>
        <v>d</v>
      </c>
      <c r="K1003" t="s">
        <v>231</v>
      </c>
      <c r="L1003" t="s">
        <v>233</v>
      </c>
      <c r="M1003" t="s">
        <v>756</v>
      </c>
      <c r="S1003">
        <v>543</v>
      </c>
      <c r="W1003" t="str">
        <f t="shared" si="595"/>
        <v>a</v>
      </c>
      <c r="X1003">
        <v>39</v>
      </c>
      <c r="Y1003" t="e">
        <f>IF(X1003&lt;&gt;"",VLOOKUP(X1003,game_rosters!$C$43:$E$64,3,FALSE))</f>
        <v>#N/A</v>
      </c>
      <c r="Z1003" cm="1">
        <f t="array" ref="Z1003">IFERROR(IF(_xlfn._xlws.FILTER(game_rosters!$J:$J,(game_rosters!$G:$G=events!$AN1003)*(game_rosters!$J:$J=events!$X1003))&gt;0,1,""),"")</f>
        <v>1</v>
      </c>
      <c r="AA1003">
        <f t="shared" si="643"/>
        <v>1543</v>
      </c>
      <c r="AB1003" t="str">
        <f t="shared" si="644"/>
        <v/>
      </c>
      <c r="AC1003">
        <f t="shared" si="592"/>
        <v>1543</v>
      </c>
      <c r="AD1003" s="6">
        <v>2</v>
      </c>
      <c r="AE1003" t="s">
        <v>926</v>
      </c>
      <c r="AF1003" t="s">
        <v>926</v>
      </c>
      <c r="AG1003" t="s">
        <v>756</v>
      </c>
      <c r="AH1003" t="s">
        <v>756</v>
      </c>
      <c r="AI1003" t="s">
        <v>367</v>
      </c>
      <c r="AJ1003" t="str">
        <f t="shared" ref="AJ1003:AK1003" si="659">IF($J1003&lt;&gt;"",$J1003,IF($AC1003=$AC1002,AJ1002,""))</f>
        <v>d</v>
      </c>
      <c r="AK1003" t="str">
        <f t="shared" si="659"/>
        <v>d</v>
      </c>
      <c r="AL1003" t="str">
        <f t="shared" si="597"/>
        <v>o</v>
      </c>
      <c r="AN1003" t="s">
        <v>862</v>
      </c>
      <c r="AO1003" t="str">
        <f t="shared" si="598"/>
        <v>a</v>
      </c>
      <c r="AP1003" t="str">
        <f t="shared" si="606"/>
        <v>o</v>
      </c>
      <c r="AQ1003" t="str">
        <f t="shared" si="607"/>
        <v/>
      </c>
      <c r="AR1003" t="str">
        <f t="shared" si="608"/>
        <v>Away</v>
      </c>
      <c r="AS1003" t="str">
        <f t="shared" si="609"/>
        <v>a</v>
      </c>
      <c r="AT1003" t="str">
        <f t="shared" si="610"/>
        <v>Offensive</v>
      </c>
      <c r="BA1003" s="6">
        <f t="shared" si="599"/>
        <v>265</v>
      </c>
      <c r="BB1003">
        <f t="shared" si="600"/>
        <v>18981</v>
      </c>
      <c r="BC1003" t="str">
        <f t="shared" si="601"/>
        <v>Nelson</v>
      </c>
      <c r="BD1003" t="str">
        <f t="shared" si="602"/>
        <v>Velodrome</v>
      </c>
      <c r="BE1003" t="s">
        <v>231</v>
      </c>
      <c r="BF1003" t="s">
        <v>233</v>
      </c>
      <c r="BG1003" t="s">
        <v>756</v>
      </c>
      <c r="BI1003" cm="1">
        <f t="array" ref="BI1003">IFERROR(_xlfn._xlws.FILTER(shifts!A:A,(shifts!B:B=events!AD1003)*(shifts!AG:AG&gt;=events!BK1003)*(shifts!AH:AH&lt;=events!BL1003)),BI1002)</f>
        <v>48</v>
      </c>
      <c r="BJ1003" s="15">
        <f t="shared" si="603"/>
        <v>0</v>
      </c>
      <c r="BK1003">
        <f t="shared" si="611"/>
        <v>793</v>
      </c>
      <c r="BL1003">
        <f t="shared" si="612"/>
        <v>793</v>
      </c>
      <c r="BM1003" s="15">
        <f>SUMIFS(BJ$2:BJ1003,K$2:K1003,"=Intermission")+SUMIFS(BJ$2:BJ1003,K$2:K1003,"=Timeout")</f>
        <v>72</v>
      </c>
      <c r="BN1003">
        <f t="shared" si="613"/>
        <v>1152</v>
      </c>
      <c r="BO1003" s="19">
        <f t="shared" si="614"/>
        <v>1439</v>
      </c>
      <c r="BP1003">
        <f t="shared" si="615"/>
        <v>1434</v>
      </c>
      <c r="BQ1003" s="17">
        <f t="shared" si="616"/>
        <v>1439</v>
      </c>
      <c r="BR1003" t="str">
        <f t="shared" si="617"/>
        <v>event_team_player_1</v>
      </c>
      <c r="BS1003">
        <f>COUNTIFS(S$3:S1003,"="&amp;S1003,AI$3:AI1003,"="&amp;AI1003)</f>
        <v>1</v>
      </c>
      <c r="BT1003" t="str">
        <f>IFERROR(VLOOKUP(BB1003&amp;BU1003&amp;X1003,game_rosters!U:W,3,FALSE),"")</f>
        <v>P100016</v>
      </c>
      <c r="BU1003" t="str">
        <f t="shared" si="618"/>
        <v>Velodrome</v>
      </c>
    </row>
    <row r="1004" spans="1:73" x14ac:dyDescent="0.2">
      <c r="A1004">
        <f t="shared" si="604"/>
        <v>1</v>
      </c>
      <c r="J1004" s="44" t="str">
        <f t="shared" si="619"/>
        <v/>
      </c>
      <c r="K1004" t="s">
        <v>13</v>
      </c>
      <c r="L1004" t="s">
        <v>756</v>
      </c>
      <c r="M1004" t="s">
        <v>756</v>
      </c>
      <c r="S1004">
        <v>544</v>
      </c>
      <c r="W1004" t="str">
        <f t="shared" si="595"/>
        <v>a</v>
      </c>
      <c r="X1004">
        <v>37</v>
      </c>
      <c r="Y1004" t="b">
        <f>IF(X1004&lt;&gt;"",VLOOKUP(X1004,game_rosters!$C$43:$E$64,3,FALSE))</f>
        <v>0</v>
      </c>
      <c r="Z1004" t="str" cm="1">
        <f t="array" ref="Z1004">IFERROR(IF(_xlfn._xlws.FILTER(game_rosters!$J:$J,(game_rosters!$G:$G=events!$AN1004)*(game_rosters!$J:$J=events!$X1004))&gt;0,1,""),"")</f>
        <v/>
      </c>
      <c r="AA1004">
        <f t="shared" si="643"/>
        <v>1544</v>
      </c>
      <c r="AB1004" t="str">
        <f t="shared" si="644"/>
        <v/>
      </c>
      <c r="AC1004">
        <f t="shared" si="592"/>
        <v>1544</v>
      </c>
      <c r="AD1004" s="6">
        <v>2</v>
      </c>
      <c r="AE1004" t="s">
        <v>926</v>
      </c>
      <c r="AF1004" t="s">
        <v>746</v>
      </c>
      <c r="AG1004" t="s">
        <v>926</v>
      </c>
      <c r="AH1004" t="s">
        <v>910</v>
      </c>
      <c r="AI1004" t="s">
        <v>367</v>
      </c>
      <c r="AJ1004" t="str">
        <f t="shared" ref="AJ1004:AK1004" si="660">IF($J1004&lt;&gt;"",$J1004,IF($AC1004=$AC1003,AJ1003,""))</f>
        <v/>
      </c>
      <c r="AK1004" t="str">
        <f t="shared" si="660"/>
        <v/>
      </c>
      <c r="AL1004" t="str">
        <f t="shared" si="597"/>
        <v/>
      </c>
      <c r="AN1004" t="s">
        <v>862</v>
      </c>
      <c r="AO1004" t="str">
        <f t="shared" si="598"/>
        <v>a</v>
      </c>
      <c r="AP1004" t="str">
        <f t="shared" si="606"/>
        <v/>
      </c>
      <c r="AQ1004" t="str">
        <f t="shared" si="607"/>
        <v/>
      </c>
      <c r="AR1004" t="str">
        <f t="shared" si="608"/>
        <v>Away</v>
      </c>
      <c r="AS1004" t="str">
        <f t="shared" si="609"/>
        <v>a</v>
      </c>
      <c r="AT1004" t="str">
        <f t="shared" si="610"/>
        <v>Offensive</v>
      </c>
      <c r="BA1004" s="6">
        <f t="shared" si="599"/>
        <v>265</v>
      </c>
      <c r="BB1004">
        <f t="shared" si="600"/>
        <v>18981</v>
      </c>
      <c r="BC1004" t="str">
        <f t="shared" si="601"/>
        <v>Nelson</v>
      </c>
      <c r="BD1004" t="str">
        <f t="shared" si="602"/>
        <v>Velodrome</v>
      </c>
      <c r="BE1004" t="s">
        <v>13</v>
      </c>
      <c r="BF1004" t="s">
        <v>756</v>
      </c>
      <c r="BG1004" t="s">
        <v>756</v>
      </c>
      <c r="BI1004" cm="1">
        <f t="array" ref="BI1004">IFERROR(_xlfn._xlws.FILTER(shifts!A:A,(shifts!B:B=events!AD1004)*(shifts!AG:AG&gt;=events!BK1004)*(shifts!AH:AH&lt;=events!BL1004)),BI1003)</f>
        <v>48</v>
      </c>
      <c r="BJ1004" s="15">
        <f t="shared" si="603"/>
        <v>2</v>
      </c>
      <c r="BK1004">
        <f t="shared" si="611"/>
        <v>792</v>
      </c>
      <c r="BL1004">
        <f t="shared" si="612"/>
        <v>790</v>
      </c>
      <c r="BM1004" s="15">
        <f>SUMIFS(BJ$2:BJ1004,K$2:K1004,"=Intermission")+SUMIFS(BJ$2:BJ1004,K$2:K1004,"=Timeout")</f>
        <v>72</v>
      </c>
      <c r="BN1004">
        <f t="shared" si="613"/>
        <v>1152</v>
      </c>
      <c r="BO1004" s="19">
        <f t="shared" si="614"/>
        <v>1440</v>
      </c>
      <c r="BP1004">
        <f t="shared" si="615"/>
        <v>1435</v>
      </c>
      <c r="BQ1004" s="17">
        <f t="shared" si="616"/>
        <v>1442</v>
      </c>
      <c r="BR1004" t="str">
        <f t="shared" si="617"/>
        <v>event_team_player_1</v>
      </c>
      <c r="BS1004">
        <f>COUNTIFS(S$3:S1004,"="&amp;S1004,AI$3:AI1004,"="&amp;AI1004)</f>
        <v>1</v>
      </c>
      <c r="BT1004" t="str">
        <f>IFERROR(VLOOKUP(BB1004&amp;BU1004&amp;X1004,game_rosters!U:W,3,FALSE),"")</f>
        <v>P100119</v>
      </c>
      <c r="BU1004" t="s">
        <v>944</v>
      </c>
    </row>
    <row r="1005" spans="1:73" x14ac:dyDescent="0.2">
      <c r="A1005">
        <f t="shared" si="604"/>
        <v>1</v>
      </c>
      <c r="J1005" s="44" t="str">
        <f t="shared" si="619"/>
        <v/>
      </c>
      <c r="K1005" t="s">
        <v>7</v>
      </c>
      <c r="L1005" t="s">
        <v>172</v>
      </c>
      <c r="M1005" t="s">
        <v>68</v>
      </c>
      <c r="S1005">
        <v>545</v>
      </c>
      <c r="W1005" t="str">
        <f t="shared" si="595"/>
        <v>h</v>
      </c>
      <c r="X1005">
        <v>37</v>
      </c>
      <c r="Y1005" t="b">
        <f>IF(X1005&lt;&gt;"",VLOOKUP(X1005,game_rosters!$C$43:$E$64,3,FALSE))</f>
        <v>0</v>
      </c>
      <c r="Z1005" cm="1">
        <f t="array" ref="Z1005">IFERROR(IF(_xlfn._xlws.FILTER(game_rosters!$J:$J,(game_rosters!$G:$G=events!$AN1005)*(game_rosters!$J:$J=events!$X1005))&gt;0,1,""),"")</f>
        <v>1</v>
      </c>
      <c r="AA1005">
        <f t="shared" si="643"/>
        <v>1545</v>
      </c>
      <c r="AB1005" t="str">
        <f t="shared" si="644"/>
        <v/>
      </c>
      <c r="AC1005">
        <f t="shared" si="592"/>
        <v>1545</v>
      </c>
      <c r="AD1005" s="6">
        <v>2</v>
      </c>
      <c r="AE1005" t="s">
        <v>926</v>
      </c>
      <c r="AF1005" t="s">
        <v>920</v>
      </c>
      <c r="AG1005" t="s">
        <v>756</v>
      </c>
      <c r="AH1005" t="s">
        <v>756</v>
      </c>
      <c r="AI1005" t="s">
        <v>367</v>
      </c>
      <c r="AJ1005" t="str">
        <f t="shared" ref="AJ1005:AK1005" si="661">IF($J1005&lt;&gt;"",$J1005,IF($AC1005=$AC1004,AJ1004,""))</f>
        <v/>
      </c>
      <c r="AK1005" t="str">
        <f t="shared" si="661"/>
        <v/>
      </c>
      <c r="AL1005" t="str">
        <f t="shared" si="597"/>
        <v/>
      </c>
      <c r="AN1005" t="s">
        <v>861</v>
      </c>
      <c r="AO1005" t="str">
        <f t="shared" si="598"/>
        <v>h</v>
      </c>
      <c r="AP1005" t="str">
        <f t="shared" si="606"/>
        <v/>
      </c>
      <c r="AQ1005" t="str">
        <f t="shared" si="607"/>
        <v/>
      </c>
      <c r="AR1005" t="str">
        <f t="shared" si="608"/>
        <v>Home</v>
      </c>
      <c r="AS1005" t="str">
        <f t="shared" si="609"/>
        <v>h</v>
      </c>
      <c r="AT1005" t="str">
        <f t="shared" si="610"/>
        <v>Offensive</v>
      </c>
      <c r="BA1005" s="6">
        <f t="shared" si="599"/>
        <v>265</v>
      </c>
      <c r="BB1005">
        <f t="shared" si="600"/>
        <v>18981</v>
      </c>
      <c r="BC1005" t="str">
        <f t="shared" si="601"/>
        <v>Nelson</v>
      </c>
      <c r="BD1005" t="str">
        <f t="shared" si="602"/>
        <v>Velodrome</v>
      </c>
      <c r="BE1005" t="s">
        <v>7</v>
      </c>
      <c r="BF1005" t="s">
        <v>172</v>
      </c>
      <c r="BG1005" t="s">
        <v>68</v>
      </c>
      <c r="BI1005" cm="1">
        <f t="array" ref="BI1005">IFERROR(_xlfn._xlws.FILTER(shifts!A:A,(shifts!B:B=events!AD1005)*(shifts!AG:AG&gt;=events!BK1005)*(shifts!AH:AH&lt;=events!BL1005)),BI1004)</f>
        <v>48</v>
      </c>
      <c r="BJ1005" s="15">
        <f t="shared" si="603"/>
        <v>0</v>
      </c>
      <c r="BK1005">
        <f t="shared" si="611"/>
        <v>789</v>
      </c>
      <c r="BL1005">
        <f t="shared" si="612"/>
        <v>789</v>
      </c>
      <c r="BM1005" s="15">
        <f>SUMIFS(BJ$2:BJ1005,K$2:K1005,"=Intermission")+SUMIFS(BJ$2:BJ1005,K$2:K1005,"=Timeout")</f>
        <v>72</v>
      </c>
      <c r="BN1005">
        <f t="shared" si="613"/>
        <v>1152</v>
      </c>
      <c r="BO1005" s="19">
        <f t="shared" si="614"/>
        <v>1443</v>
      </c>
      <c r="BP1005">
        <f t="shared" si="615"/>
        <v>1438</v>
      </c>
      <c r="BQ1005" s="17">
        <f t="shared" si="616"/>
        <v>1443</v>
      </c>
      <c r="BR1005" t="str">
        <f t="shared" si="617"/>
        <v>event_team_player_1</v>
      </c>
      <c r="BS1005">
        <f>COUNTIFS(S$3:S1005,"="&amp;S1005,AI$3:AI1005,"="&amp;AI1005)</f>
        <v>1</v>
      </c>
      <c r="BT1005" t="str">
        <f>IFERROR(VLOOKUP(BB1005&amp;BU1005&amp;X1005,game_rosters!U:W,3,FALSE),"")</f>
        <v>P100119</v>
      </c>
      <c r="BU1005" t="str">
        <f t="shared" si="618"/>
        <v>Nelson</v>
      </c>
    </row>
    <row r="1006" spans="1:73" x14ac:dyDescent="0.2">
      <c r="A1006">
        <f t="shared" si="604"/>
        <v>1</v>
      </c>
      <c r="J1006" s="44" t="str">
        <f t="shared" si="619"/>
        <v/>
      </c>
      <c r="K1006" t="s">
        <v>7</v>
      </c>
      <c r="L1006" t="s">
        <v>172</v>
      </c>
      <c r="M1006" t="s">
        <v>68</v>
      </c>
      <c r="S1006">
        <v>545</v>
      </c>
      <c r="W1006" t="str">
        <f t="shared" si="595"/>
        <v>h</v>
      </c>
      <c r="X1006">
        <v>44</v>
      </c>
      <c r="Y1006" t="b">
        <f>IF(X1006&lt;&gt;"",VLOOKUP(X1006,game_rosters!$C$43:$E$64,3,FALSE))</f>
        <v>0</v>
      </c>
      <c r="Z1006" cm="1">
        <f t="array" ref="Z1006">IFERROR(IF(_xlfn._xlws.FILTER(game_rosters!$J:$J,(game_rosters!$G:$G=events!$AN1006)*(game_rosters!$J:$J=events!$X1006))&gt;0,1,""),"")</f>
        <v>1</v>
      </c>
      <c r="AA1006">
        <f t="shared" si="643"/>
        <v>1545</v>
      </c>
      <c r="AB1006" t="str">
        <f t="shared" si="644"/>
        <v/>
      </c>
      <c r="AC1006">
        <f t="shared" si="592"/>
        <v>1545</v>
      </c>
      <c r="AD1006" s="6">
        <v>2</v>
      </c>
      <c r="AE1006" t="s">
        <v>926</v>
      </c>
      <c r="AF1006" t="s">
        <v>920</v>
      </c>
      <c r="AG1006" t="s">
        <v>756</v>
      </c>
      <c r="AH1006" t="s">
        <v>756</v>
      </c>
      <c r="AI1006" t="s">
        <v>367</v>
      </c>
      <c r="AJ1006" t="str">
        <f t="shared" ref="AJ1006:AK1006" si="662">IF($J1006&lt;&gt;"",$J1006,IF($AC1006=$AC1005,AJ1005,""))</f>
        <v/>
      </c>
      <c r="AK1006" t="str">
        <f t="shared" si="662"/>
        <v/>
      </c>
      <c r="AL1006" t="str">
        <f t="shared" si="597"/>
        <v/>
      </c>
      <c r="AN1006" t="s">
        <v>861</v>
      </c>
      <c r="AO1006" t="str">
        <f t="shared" si="598"/>
        <v>h</v>
      </c>
      <c r="AP1006" t="str">
        <f t="shared" si="606"/>
        <v/>
      </c>
      <c r="AQ1006" t="str">
        <f t="shared" si="607"/>
        <v/>
      </c>
      <c r="AR1006" t="str">
        <f t="shared" si="608"/>
        <v>Home</v>
      </c>
      <c r="AS1006" t="str">
        <f t="shared" si="609"/>
        <v>h</v>
      </c>
      <c r="AT1006" t="str">
        <f t="shared" si="610"/>
        <v>Offensive</v>
      </c>
      <c r="BA1006" s="6">
        <f t="shared" si="599"/>
        <v>265</v>
      </c>
      <c r="BB1006">
        <f t="shared" si="600"/>
        <v>18981</v>
      </c>
      <c r="BC1006" t="str">
        <f t="shared" si="601"/>
        <v>Nelson</v>
      </c>
      <c r="BD1006" t="str">
        <f t="shared" si="602"/>
        <v>Velodrome</v>
      </c>
      <c r="BE1006" t="s">
        <v>7</v>
      </c>
      <c r="BF1006" t="s">
        <v>172</v>
      </c>
      <c r="BG1006" t="s">
        <v>68</v>
      </c>
      <c r="BI1006" cm="1">
        <f t="array" ref="BI1006">IFERROR(_xlfn._xlws.FILTER(shifts!A:A,(shifts!B:B=events!AD1006)*(shifts!AG:AG&gt;=events!BK1006)*(shifts!AH:AH&lt;=events!BL1006)),BI1005)</f>
        <v>48</v>
      </c>
      <c r="BJ1006" s="15">
        <f t="shared" si="603"/>
        <v>0</v>
      </c>
      <c r="BK1006">
        <f t="shared" si="611"/>
        <v>789</v>
      </c>
      <c r="BL1006">
        <f t="shared" si="612"/>
        <v>789</v>
      </c>
      <c r="BM1006" s="15">
        <f>SUMIFS(BJ$2:BJ1006,K$2:K1006,"=Intermission")+SUMIFS(BJ$2:BJ1006,K$2:K1006,"=Timeout")</f>
        <v>72</v>
      </c>
      <c r="BN1006">
        <f t="shared" si="613"/>
        <v>1152</v>
      </c>
      <c r="BO1006" s="19">
        <f t="shared" si="614"/>
        <v>1443</v>
      </c>
      <c r="BP1006">
        <f t="shared" si="615"/>
        <v>1438</v>
      </c>
      <c r="BQ1006" s="17">
        <f t="shared" si="616"/>
        <v>1443</v>
      </c>
      <c r="BR1006" t="str">
        <f t="shared" si="617"/>
        <v>event_team_player_2</v>
      </c>
      <c r="BS1006">
        <f>COUNTIFS(S$3:S1006,"="&amp;S1006,AI$3:AI1006,"="&amp;AI1006)</f>
        <v>2</v>
      </c>
      <c r="BT1006" t="str">
        <f>IFERROR(VLOOKUP(BB1006&amp;BU1006&amp;X1006,game_rosters!U:W,3,FALSE),"")</f>
        <v>P100079</v>
      </c>
      <c r="BU1006" t="str">
        <f t="shared" si="618"/>
        <v>Nelson</v>
      </c>
    </row>
    <row r="1007" spans="1:73" x14ac:dyDescent="0.2">
      <c r="A1007">
        <f t="shared" si="604"/>
        <v>1</v>
      </c>
      <c r="J1007" s="44" t="str">
        <f t="shared" si="619"/>
        <v>o</v>
      </c>
      <c r="K1007" t="s">
        <v>6</v>
      </c>
      <c r="L1007" t="s">
        <v>205</v>
      </c>
      <c r="M1007" t="s">
        <v>51</v>
      </c>
      <c r="S1007">
        <v>546</v>
      </c>
      <c r="W1007" t="str">
        <f t="shared" si="595"/>
        <v>h</v>
      </c>
      <c r="X1007">
        <v>44</v>
      </c>
      <c r="Y1007" t="b">
        <f>IF(X1007&lt;&gt;"",VLOOKUP(X1007,game_rosters!$C$43:$E$64,3,FALSE))</f>
        <v>0</v>
      </c>
      <c r="Z1007" cm="1">
        <f t="array" ref="Z1007">IFERROR(IF(_xlfn._xlws.FILTER(game_rosters!$J:$J,(game_rosters!$G:$G=events!$AN1007)*(game_rosters!$J:$J=events!$X1007))&gt;0,1,""),"")</f>
        <v>1</v>
      </c>
      <c r="AA1007">
        <f t="shared" si="643"/>
        <v>1546</v>
      </c>
      <c r="AB1007" t="str">
        <f t="shared" si="644"/>
        <v/>
      </c>
      <c r="AC1007">
        <f t="shared" si="592"/>
        <v>1546</v>
      </c>
      <c r="AD1007" s="6">
        <v>2</v>
      </c>
      <c r="AE1007" t="s">
        <v>926</v>
      </c>
      <c r="AF1007" t="s">
        <v>939</v>
      </c>
      <c r="AG1007" t="s">
        <v>756</v>
      </c>
      <c r="AH1007" t="s">
        <v>756</v>
      </c>
      <c r="AI1007" t="s">
        <v>367</v>
      </c>
      <c r="AJ1007" t="str">
        <f t="shared" ref="AJ1007:AK1007" si="663">IF($J1007&lt;&gt;"",$J1007,IF($AC1007=$AC1006,AJ1006,""))</f>
        <v>o</v>
      </c>
      <c r="AK1007" t="str">
        <f t="shared" si="663"/>
        <v>o</v>
      </c>
      <c r="AL1007" t="str">
        <f t="shared" si="597"/>
        <v>o</v>
      </c>
      <c r="AN1007" t="s">
        <v>861</v>
      </c>
      <c r="AO1007" t="str">
        <f t="shared" si="598"/>
        <v>h</v>
      </c>
      <c r="AP1007" t="str">
        <f t="shared" si="606"/>
        <v>o</v>
      </c>
      <c r="AQ1007" t="str">
        <f t="shared" si="607"/>
        <v/>
      </c>
      <c r="AR1007" t="str">
        <f t="shared" si="608"/>
        <v>Home</v>
      </c>
      <c r="AS1007" t="str">
        <f t="shared" si="609"/>
        <v>h</v>
      </c>
      <c r="AT1007" t="str">
        <f t="shared" si="610"/>
        <v>Offensive</v>
      </c>
      <c r="BA1007" s="6">
        <f t="shared" si="599"/>
        <v>265</v>
      </c>
      <c r="BB1007">
        <f t="shared" si="600"/>
        <v>18981</v>
      </c>
      <c r="BC1007" t="str">
        <f t="shared" si="601"/>
        <v>Nelson</v>
      </c>
      <c r="BD1007" t="str">
        <f t="shared" si="602"/>
        <v>Velodrome</v>
      </c>
      <c r="BE1007" t="s">
        <v>6</v>
      </c>
      <c r="BF1007" t="s">
        <v>205</v>
      </c>
      <c r="BG1007" t="s">
        <v>51</v>
      </c>
      <c r="BI1007" cm="1">
        <f t="array" ref="BI1007">IFERROR(_xlfn._xlws.FILTER(shifts!A:A,(shifts!B:B=events!AD1007)*(shifts!AG:AG&gt;=events!BK1007)*(shifts!AH:AH&lt;=events!BL1007)),BI1006)</f>
        <v>48</v>
      </c>
      <c r="BJ1007" s="15">
        <f t="shared" si="603"/>
        <v>0</v>
      </c>
      <c r="BK1007">
        <f t="shared" si="611"/>
        <v>788</v>
      </c>
      <c r="BL1007">
        <f t="shared" si="612"/>
        <v>788</v>
      </c>
      <c r="BM1007" s="15">
        <f>SUMIFS(BJ$2:BJ1007,K$2:K1007,"=Intermission")+SUMIFS(BJ$2:BJ1007,K$2:K1007,"=Timeout")</f>
        <v>72</v>
      </c>
      <c r="BN1007">
        <f t="shared" si="613"/>
        <v>1152</v>
      </c>
      <c r="BO1007" s="19">
        <f t="shared" si="614"/>
        <v>1444</v>
      </c>
      <c r="BP1007">
        <f t="shared" si="615"/>
        <v>1439</v>
      </c>
      <c r="BQ1007" s="17">
        <f t="shared" si="616"/>
        <v>1444</v>
      </c>
      <c r="BR1007" t="str">
        <f t="shared" si="617"/>
        <v>event_team_player_1</v>
      </c>
      <c r="BS1007">
        <f>COUNTIFS(S$3:S1007,"="&amp;S1007,AI$3:AI1007,"="&amp;AI1007)</f>
        <v>1</v>
      </c>
      <c r="BT1007" t="str">
        <f>IFERROR(VLOOKUP(BB1007&amp;BU1007&amp;X1007,game_rosters!U:W,3,FALSE),"")</f>
        <v>P100079</v>
      </c>
      <c r="BU1007" t="str">
        <f t="shared" si="618"/>
        <v>Nelson</v>
      </c>
    </row>
    <row r="1008" spans="1:73" x14ac:dyDescent="0.2">
      <c r="A1008">
        <f t="shared" si="604"/>
        <v>1</v>
      </c>
      <c r="J1008" s="44" t="str">
        <f t="shared" si="619"/>
        <v>o</v>
      </c>
      <c r="K1008" t="s">
        <v>6</v>
      </c>
      <c r="L1008" t="s">
        <v>205</v>
      </c>
      <c r="M1008" t="s">
        <v>51</v>
      </c>
      <c r="S1008">
        <v>546</v>
      </c>
      <c r="W1008" t="str">
        <f t="shared" si="595"/>
        <v>h</v>
      </c>
      <c r="X1008">
        <v>39</v>
      </c>
      <c r="Y1008" t="e">
        <f>IF(X1008&lt;&gt;"",VLOOKUP(X1008,game_rosters!$C$43:$E$64,3,FALSE))</f>
        <v>#N/A</v>
      </c>
      <c r="Z1008" t="str" cm="1">
        <f t="array" ref="Z1008">IFERROR(IF(_xlfn._xlws.FILTER(game_rosters!$J:$J,(game_rosters!$G:$G=events!$AN1008)*(game_rosters!$J:$J=events!$X1008))&gt;0,1,""),"")</f>
        <v/>
      </c>
      <c r="AA1008">
        <f t="shared" si="643"/>
        <v>1546</v>
      </c>
      <c r="AB1008" t="str">
        <f t="shared" si="644"/>
        <v/>
      </c>
      <c r="AC1008">
        <f t="shared" si="592"/>
        <v>1546</v>
      </c>
      <c r="AD1008" s="6">
        <v>2</v>
      </c>
      <c r="AE1008" t="s">
        <v>926</v>
      </c>
      <c r="AF1008" t="s">
        <v>939</v>
      </c>
      <c r="AG1008" t="s">
        <v>756</v>
      </c>
      <c r="AH1008" t="s">
        <v>756</v>
      </c>
      <c r="AI1008" t="s">
        <v>368</v>
      </c>
      <c r="AJ1008" t="str">
        <f t="shared" ref="AJ1008:AK1008" si="664">IF($J1008&lt;&gt;"",$J1008,IF($AC1008=$AC1007,AJ1007,""))</f>
        <v>o</v>
      </c>
      <c r="AK1008" t="str">
        <f t="shared" si="664"/>
        <v>o</v>
      </c>
      <c r="AL1008" t="str">
        <f t="shared" si="597"/>
        <v>o</v>
      </c>
      <c r="AN1008" t="s">
        <v>861</v>
      </c>
      <c r="AO1008" t="str">
        <f t="shared" si="598"/>
        <v>h</v>
      </c>
      <c r="AP1008" t="str">
        <f t="shared" si="606"/>
        <v>o</v>
      </c>
      <c r="AQ1008" t="str">
        <f t="shared" si="607"/>
        <v/>
      </c>
      <c r="AR1008" t="str">
        <f t="shared" si="608"/>
        <v>Home</v>
      </c>
      <c r="AS1008" t="str">
        <f t="shared" si="609"/>
        <v>h</v>
      </c>
      <c r="AT1008" t="str">
        <f t="shared" si="610"/>
        <v>Defensive</v>
      </c>
      <c r="BA1008" s="6">
        <f t="shared" si="599"/>
        <v>265</v>
      </c>
      <c r="BB1008">
        <f t="shared" si="600"/>
        <v>18981</v>
      </c>
      <c r="BC1008" t="str">
        <f t="shared" si="601"/>
        <v>Nelson</v>
      </c>
      <c r="BD1008" t="str">
        <f t="shared" si="602"/>
        <v>Velodrome</v>
      </c>
      <c r="BE1008" t="s">
        <v>6</v>
      </c>
      <c r="BF1008" t="s">
        <v>205</v>
      </c>
      <c r="BG1008" t="s">
        <v>51</v>
      </c>
      <c r="BI1008" cm="1">
        <f t="array" ref="BI1008">IFERROR(_xlfn._xlws.FILTER(shifts!A:A,(shifts!B:B=events!AD1008)*(shifts!AG:AG&gt;=events!BK1008)*(shifts!AH:AH&lt;=events!BL1008)),BI1007)</f>
        <v>48</v>
      </c>
      <c r="BJ1008" s="15">
        <f t="shared" si="603"/>
        <v>0</v>
      </c>
      <c r="BK1008">
        <f t="shared" si="611"/>
        <v>788</v>
      </c>
      <c r="BL1008">
        <f t="shared" si="612"/>
        <v>788</v>
      </c>
      <c r="BM1008" s="15">
        <f>SUMIFS(BJ$2:BJ1008,K$2:K1008,"=Intermission")+SUMIFS(BJ$2:BJ1008,K$2:K1008,"=Timeout")</f>
        <v>72</v>
      </c>
      <c r="BN1008">
        <f t="shared" si="613"/>
        <v>1152</v>
      </c>
      <c r="BO1008" s="19">
        <f t="shared" si="614"/>
        <v>1444</v>
      </c>
      <c r="BP1008">
        <f t="shared" si="615"/>
        <v>1439</v>
      </c>
      <c r="BQ1008" s="17">
        <f t="shared" si="616"/>
        <v>1444</v>
      </c>
      <c r="BR1008" t="str">
        <f t="shared" si="617"/>
        <v>opp_team_player_1</v>
      </c>
      <c r="BS1008">
        <f>COUNTIFS(S$3:S1008,"="&amp;S1008,AI$3:AI1008,"="&amp;AI1008)</f>
        <v>1</v>
      </c>
      <c r="BT1008" t="str">
        <f>IFERROR(VLOOKUP(BB1008&amp;BU1008&amp;X1008,game_rosters!U:W,3,FALSE),"")</f>
        <v>P100016</v>
      </c>
      <c r="BU1008" t="str">
        <f t="shared" si="618"/>
        <v>Velodrome</v>
      </c>
    </row>
    <row r="1009" spans="1:73" x14ac:dyDescent="0.2">
      <c r="A1009">
        <f t="shared" si="604"/>
        <v>1</v>
      </c>
      <c r="J1009" s="44" t="str">
        <f t="shared" si="619"/>
        <v>o</v>
      </c>
      <c r="K1009" t="s">
        <v>6</v>
      </c>
      <c r="L1009" t="s">
        <v>205</v>
      </c>
      <c r="M1009" t="s">
        <v>51</v>
      </c>
      <c r="S1009">
        <v>546</v>
      </c>
      <c r="W1009" t="str">
        <f t="shared" si="595"/>
        <v>h</v>
      </c>
      <c r="X1009">
        <v>9</v>
      </c>
      <c r="Y1009" t="e">
        <f>IF(X1009&lt;&gt;"",VLOOKUP(X1009,game_rosters!$C$43:$E$64,3,FALSE))</f>
        <v>#N/A</v>
      </c>
      <c r="Z1009" t="str" cm="1">
        <f t="array" ref="Z1009">IFERROR(IF(_xlfn._xlws.FILTER(game_rosters!$J:$J,(game_rosters!$G:$G=events!$AN1009)*(game_rosters!$J:$J=events!$X1009))&gt;0,1,""),"")</f>
        <v/>
      </c>
      <c r="AA1009">
        <f t="shared" si="643"/>
        <v>1546</v>
      </c>
      <c r="AB1009" t="str">
        <f t="shared" si="644"/>
        <v/>
      </c>
      <c r="AC1009">
        <f t="shared" si="592"/>
        <v>1546</v>
      </c>
      <c r="AD1009" s="6">
        <v>2</v>
      </c>
      <c r="AE1009" t="s">
        <v>926</v>
      </c>
      <c r="AF1009" t="s">
        <v>939</v>
      </c>
      <c r="AG1009" t="s">
        <v>756</v>
      </c>
      <c r="AH1009" t="s">
        <v>756</v>
      </c>
      <c r="AI1009" t="s">
        <v>368</v>
      </c>
      <c r="AJ1009" t="str">
        <f t="shared" ref="AJ1009:AK1009" si="665">IF($J1009&lt;&gt;"",$J1009,IF($AC1009=$AC1008,AJ1008,""))</f>
        <v>o</v>
      </c>
      <c r="AK1009" t="str">
        <f t="shared" si="665"/>
        <v>o</v>
      </c>
      <c r="AL1009" t="str">
        <f t="shared" si="597"/>
        <v>o</v>
      </c>
      <c r="AN1009" t="s">
        <v>861</v>
      </c>
      <c r="AO1009" t="str">
        <f t="shared" si="598"/>
        <v>h</v>
      </c>
      <c r="AP1009" t="str">
        <f t="shared" si="606"/>
        <v>o</v>
      </c>
      <c r="AQ1009" t="str">
        <f t="shared" si="607"/>
        <v/>
      </c>
      <c r="AR1009" t="str">
        <f t="shared" si="608"/>
        <v>Home</v>
      </c>
      <c r="AS1009" t="str">
        <f t="shared" si="609"/>
        <v>h</v>
      </c>
      <c r="AT1009" t="str">
        <f t="shared" si="610"/>
        <v>Defensive</v>
      </c>
      <c r="BA1009" s="6">
        <f t="shared" si="599"/>
        <v>265</v>
      </c>
      <c r="BB1009">
        <f t="shared" si="600"/>
        <v>18981</v>
      </c>
      <c r="BC1009" t="str">
        <f t="shared" si="601"/>
        <v>Nelson</v>
      </c>
      <c r="BD1009" t="str">
        <f t="shared" si="602"/>
        <v>Velodrome</v>
      </c>
      <c r="BE1009" t="s">
        <v>6</v>
      </c>
      <c r="BF1009" t="s">
        <v>205</v>
      </c>
      <c r="BG1009" t="s">
        <v>51</v>
      </c>
      <c r="BI1009" cm="1">
        <f t="array" ref="BI1009">IFERROR(_xlfn._xlws.FILTER(shifts!A:A,(shifts!B:B=events!AD1009)*(shifts!AG:AG&gt;=events!BK1009)*(shifts!AH:AH&lt;=events!BL1009)),BI1008)</f>
        <v>48</v>
      </c>
      <c r="BJ1009" s="15">
        <f t="shared" si="603"/>
        <v>0</v>
      </c>
      <c r="BK1009">
        <f t="shared" si="611"/>
        <v>788</v>
      </c>
      <c r="BL1009">
        <f t="shared" si="612"/>
        <v>788</v>
      </c>
      <c r="BM1009" s="15">
        <f>SUMIFS(BJ$2:BJ1009,K$2:K1009,"=Intermission")+SUMIFS(BJ$2:BJ1009,K$2:K1009,"=Timeout")</f>
        <v>72</v>
      </c>
      <c r="BN1009">
        <f t="shared" si="613"/>
        <v>1152</v>
      </c>
      <c r="BO1009" s="19">
        <f t="shared" si="614"/>
        <v>1444</v>
      </c>
      <c r="BP1009">
        <f t="shared" si="615"/>
        <v>1439</v>
      </c>
      <c r="BQ1009" s="17">
        <f t="shared" si="616"/>
        <v>1444</v>
      </c>
      <c r="BR1009" t="str">
        <f t="shared" si="617"/>
        <v>opp_team_player_2</v>
      </c>
      <c r="BS1009">
        <f>COUNTIFS(S$3:S1009,"="&amp;S1009,AI$3:AI1009,"="&amp;AI1009)</f>
        <v>2</v>
      </c>
      <c r="BT1009" t="str">
        <f>IFERROR(VLOOKUP(BB1009&amp;BU1009&amp;X1009,game_rosters!U:W,3,FALSE),"")</f>
        <v>P100105</v>
      </c>
      <c r="BU1009" t="str">
        <f t="shared" si="618"/>
        <v>Velodrome</v>
      </c>
    </row>
    <row r="1010" spans="1:73" x14ac:dyDescent="0.2">
      <c r="A1010">
        <f t="shared" si="604"/>
        <v>1</v>
      </c>
      <c r="J1010" s="44" t="str">
        <f t="shared" si="619"/>
        <v>d</v>
      </c>
      <c r="K1010" t="s">
        <v>15</v>
      </c>
      <c r="L1010" t="s">
        <v>179</v>
      </c>
      <c r="M1010" t="s">
        <v>101</v>
      </c>
      <c r="S1010">
        <v>547</v>
      </c>
      <c r="W1010" t="str">
        <f t="shared" si="595"/>
        <v>a</v>
      </c>
      <c r="X1010">
        <v>39</v>
      </c>
      <c r="Y1010" t="e">
        <f>IF(X1010&lt;&gt;"",VLOOKUP(X1010,game_rosters!$C$43:$E$64,3,FALSE))</f>
        <v>#N/A</v>
      </c>
      <c r="Z1010" cm="1">
        <f t="array" ref="Z1010">IFERROR(IF(_xlfn._xlws.FILTER(game_rosters!$J:$J,(game_rosters!$G:$G=events!$AN1010)*(game_rosters!$J:$J=events!$X1010))&gt;0,1,""),"")</f>
        <v>1</v>
      </c>
      <c r="AA1010">
        <f t="shared" si="643"/>
        <v>1547</v>
      </c>
      <c r="AB1010" t="str">
        <f t="shared" si="644"/>
        <v/>
      </c>
      <c r="AC1010">
        <f t="shared" si="592"/>
        <v>1547</v>
      </c>
      <c r="AD1010" s="6">
        <v>2</v>
      </c>
      <c r="AE1010" t="s">
        <v>926</v>
      </c>
      <c r="AF1010" t="s">
        <v>939</v>
      </c>
      <c r="AG1010" t="s">
        <v>756</v>
      </c>
      <c r="AH1010" t="s">
        <v>756</v>
      </c>
      <c r="AI1010" t="s">
        <v>367</v>
      </c>
      <c r="AJ1010" t="str">
        <f t="shared" ref="AJ1010:AK1010" si="666">IF($J1010&lt;&gt;"",$J1010,IF($AC1010=$AC1009,AJ1009,""))</f>
        <v>d</v>
      </c>
      <c r="AK1010" t="str">
        <f t="shared" si="666"/>
        <v>d</v>
      </c>
      <c r="AL1010" t="str">
        <f t="shared" si="597"/>
        <v>o</v>
      </c>
      <c r="AN1010" t="s">
        <v>862</v>
      </c>
      <c r="AO1010" t="str">
        <f t="shared" si="598"/>
        <v>a</v>
      </c>
      <c r="AP1010" t="str">
        <f t="shared" si="606"/>
        <v>o</v>
      </c>
      <c r="AQ1010" t="str">
        <f t="shared" si="607"/>
        <v/>
      </c>
      <c r="AR1010" t="str">
        <f t="shared" si="608"/>
        <v>Away</v>
      </c>
      <c r="AS1010" t="str">
        <f t="shared" si="609"/>
        <v>a</v>
      </c>
      <c r="AT1010" t="str">
        <f t="shared" si="610"/>
        <v>Defensive</v>
      </c>
      <c r="BA1010" s="6">
        <f t="shared" si="599"/>
        <v>265</v>
      </c>
      <c r="BB1010">
        <f t="shared" si="600"/>
        <v>18981</v>
      </c>
      <c r="BC1010" t="str">
        <f t="shared" si="601"/>
        <v>Nelson</v>
      </c>
      <c r="BD1010" t="str">
        <f t="shared" si="602"/>
        <v>Velodrome</v>
      </c>
      <c r="BE1010" t="s">
        <v>15</v>
      </c>
      <c r="BF1010" t="s">
        <v>179</v>
      </c>
      <c r="BG1010" t="s">
        <v>101</v>
      </c>
      <c r="BI1010" cm="1">
        <f t="array" ref="BI1010">IFERROR(_xlfn._xlws.FILTER(shifts!A:A,(shifts!B:B=events!AD1010)*(shifts!AG:AG&gt;=events!BK1010)*(shifts!AH:AH&lt;=events!BL1010)),BI1009)</f>
        <v>48</v>
      </c>
      <c r="BJ1010" s="15">
        <f t="shared" si="603"/>
        <v>0</v>
      </c>
      <c r="BK1010">
        <f t="shared" si="611"/>
        <v>788</v>
      </c>
      <c r="BL1010">
        <f t="shared" si="612"/>
        <v>788</v>
      </c>
      <c r="BM1010" s="15">
        <f>SUMIFS(BJ$2:BJ1010,K$2:K1010,"=Intermission")+SUMIFS(BJ$2:BJ1010,K$2:K1010,"=Timeout")</f>
        <v>72</v>
      </c>
      <c r="BN1010">
        <f t="shared" si="613"/>
        <v>1152</v>
      </c>
      <c r="BO1010" s="19">
        <f t="shared" si="614"/>
        <v>1444</v>
      </c>
      <c r="BP1010">
        <f t="shared" si="615"/>
        <v>1439</v>
      </c>
      <c r="BQ1010" s="17">
        <f t="shared" si="616"/>
        <v>1444</v>
      </c>
      <c r="BR1010" t="str">
        <f t="shared" si="617"/>
        <v>event_team_player_1</v>
      </c>
      <c r="BS1010">
        <f>COUNTIFS(S$3:S1010,"="&amp;S1010,AI$3:AI1010,"="&amp;AI1010)</f>
        <v>1</v>
      </c>
      <c r="BT1010" t="str">
        <f>IFERROR(VLOOKUP(BB1010&amp;BU1010&amp;X1010,game_rosters!U:W,3,FALSE),"")</f>
        <v>P100016</v>
      </c>
      <c r="BU1010" t="str">
        <f t="shared" si="618"/>
        <v>Velodrome</v>
      </c>
    </row>
    <row r="1011" spans="1:73" x14ac:dyDescent="0.2">
      <c r="A1011">
        <f t="shared" si="604"/>
        <v>1</v>
      </c>
      <c r="J1011" s="44" t="str">
        <f t="shared" si="619"/>
        <v>d</v>
      </c>
      <c r="K1011" t="s">
        <v>15</v>
      </c>
      <c r="L1011" t="s">
        <v>179</v>
      </c>
      <c r="M1011" t="s">
        <v>101</v>
      </c>
      <c r="S1011">
        <v>547</v>
      </c>
      <c r="W1011" t="str">
        <f t="shared" si="595"/>
        <v>a</v>
      </c>
      <c r="X1011">
        <v>9</v>
      </c>
      <c r="Y1011" t="e">
        <f>IF(X1011&lt;&gt;"",VLOOKUP(X1011,game_rosters!$C$43:$E$64,3,FALSE))</f>
        <v>#N/A</v>
      </c>
      <c r="Z1011" cm="1">
        <f t="array" ref="Z1011">IFERROR(IF(_xlfn._xlws.FILTER(game_rosters!$J:$J,(game_rosters!$G:$G=events!$AN1011)*(game_rosters!$J:$J=events!$X1011))&gt;0,1,""),"")</f>
        <v>1</v>
      </c>
      <c r="AA1011">
        <f t="shared" si="643"/>
        <v>1547</v>
      </c>
      <c r="AB1011" t="str">
        <f t="shared" si="644"/>
        <v/>
      </c>
      <c r="AC1011">
        <f t="shared" si="592"/>
        <v>1547</v>
      </c>
      <c r="AD1011" s="6">
        <v>2</v>
      </c>
      <c r="AE1011" t="s">
        <v>926</v>
      </c>
      <c r="AF1011" t="s">
        <v>939</v>
      </c>
      <c r="AG1011" t="s">
        <v>756</v>
      </c>
      <c r="AH1011" t="s">
        <v>756</v>
      </c>
      <c r="AI1011" t="s">
        <v>367</v>
      </c>
      <c r="AJ1011" t="str">
        <f t="shared" ref="AJ1011:AK1011" si="667">IF($J1011&lt;&gt;"",$J1011,IF($AC1011=$AC1010,AJ1010,""))</f>
        <v>d</v>
      </c>
      <c r="AK1011" t="str">
        <f t="shared" si="667"/>
        <v>d</v>
      </c>
      <c r="AL1011" t="str">
        <f t="shared" si="597"/>
        <v>o</v>
      </c>
      <c r="AN1011" t="s">
        <v>862</v>
      </c>
      <c r="AO1011" t="str">
        <f t="shared" si="598"/>
        <v>a</v>
      </c>
      <c r="AP1011" t="str">
        <f t="shared" si="606"/>
        <v>o</v>
      </c>
      <c r="AQ1011" t="str">
        <f t="shared" si="607"/>
        <v/>
      </c>
      <c r="AR1011" t="str">
        <f t="shared" si="608"/>
        <v>Away</v>
      </c>
      <c r="AS1011" t="str">
        <f t="shared" si="609"/>
        <v>a</v>
      </c>
      <c r="AT1011" t="str">
        <f t="shared" si="610"/>
        <v>Defensive</v>
      </c>
      <c r="BA1011" s="6">
        <f t="shared" si="599"/>
        <v>265</v>
      </c>
      <c r="BB1011">
        <f t="shared" si="600"/>
        <v>18981</v>
      </c>
      <c r="BC1011" t="str">
        <f t="shared" si="601"/>
        <v>Nelson</v>
      </c>
      <c r="BD1011" t="str">
        <f t="shared" si="602"/>
        <v>Velodrome</v>
      </c>
      <c r="BE1011" t="s">
        <v>15</v>
      </c>
      <c r="BF1011" t="s">
        <v>179</v>
      </c>
      <c r="BG1011" t="s">
        <v>101</v>
      </c>
      <c r="BI1011" cm="1">
        <f t="array" ref="BI1011">IFERROR(_xlfn._xlws.FILTER(shifts!A:A,(shifts!B:B=events!AD1011)*(shifts!AG:AG&gt;=events!BK1011)*(shifts!AH:AH&lt;=events!BL1011)),BI1010)</f>
        <v>48</v>
      </c>
      <c r="BJ1011" s="15">
        <f t="shared" si="603"/>
        <v>0</v>
      </c>
      <c r="BK1011">
        <f t="shared" si="611"/>
        <v>788</v>
      </c>
      <c r="BL1011">
        <f t="shared" si="612"/>
        <v>788</v>
      </c>
      <c r="BM1011" s="15">
        <f>SUMIFS(BJ$2:BJ1011,K$2:K1011,"=Intermission")+SUMIFS(BJ$2:BJ1011,K$2:K1011,"=Timeout")</f>
        <v>72</v>
      </c>
      <c r="BN1011">
        <f t="shared" si="613"/>
        <v>1152</v>
      </c>
      <c r="BO1011" s="19">
        <f t="shared" si="614"/>
        <v>1444</v>
      </c>
      <c r="BP1011">
        <f t="shared" si="615"/>
        <v>1439</v>
      </c>
      <c r="BQ1011" s="17">
        <f t="shared" si="616"/>
        <v>1444</v>
      </c>
      <c r="BR1011" t="str">
        <f t="shared" si="617"/>
        <v>event_team_player_2</v>
      </c>
      <c r="BS1011">
        <f>COUNTIFS(S$3:S1011,"="&amp;S1011,AI$3:AI1011,"="&amp;AI1011)</f>
        <v>2</v>
      </c>
      <c r="BT1011" t="str">
        <f>IFERROR(VLOOKUP(BB1011&amp;BU1011&amp;X1011,game_rosters!U:W,3,FALSE),"")</f>
        <v>P100105</v>
      </c>
      <c r="BU1011" t="str">
        <f t="shared" si="618"/>
        <v>Velodrome</v>
      </c>
    </row>
    <row r="1012" spans="1:73" x14ac:dyDescent="0.2">
      <c r="A1012">
        <f t="shared" si="604"/>
        <v>1</v>
      </c>
      <c r="J1012" s="44" t="str">
        <f t="shared" si="619"/>
        <v>d</v>
      </c>
      <c r="K1012" t="s">
        <v>15</v>
      </c>
      <c r="L1012" t="s">
        <v>179</v>
      </c>
      <c r="M1012" t="s">
        <v>101</v>
      </c>
      <c r="S1012">
        <v>547</v>
      </c>
      <c r="W1012" t="str">
        <f t="shared" si="595"/>
        <v>a</v>
      </c>
      <c r="X1012">
        <v>44</v>
      </c>
      <c r="Y1012" t="b">
        <f>IF(X1012&lt;&gt;"",VLOOKUP(X1012,game_rosters!$C$43:$E$64,3,FALSE))</f>
        <v>0</v>
      </c>
      <c r="Z1012" t="str" cm="1">
        <f t="array" ref="Z1012">IFERROR(IF(_xlfn._xlws.FILTER(game_rosters!$J:$J,(game_rosters!$G:$G=events!$AN1012)*(game_rosters!$J:$J=events!$X1012))&gt;0,1,""),"")</f>
        <v/>
      </c>
      <c r="AA1012">
        <f t="shared" si="643"/>
        <v>1547</v>
      </c>
      <c r="AB1012" t="str">
        <f t="shared" si="644"/>
        <v/>
      </c>
      <c r="AC1012">
        <f t="shared" si="592"/>
        <v>1547</v>
      </c>
      <c r="AD1012" s="6">
        <v>2</v>
      </c>
      <c r="AE1012" t="s">
        <v>926</v>
      </c>
      <c r="AF1012" t="s">
        <v>939</v>
      </c>
      <c r="AG1012" t="s">
        <v>756</v>
      </c>
      <c r="AH1012" t="s">
        <v>756</v>
      </c>
      <c r="AI1012" t="s">
        <v>368</v>
      </c>
      <c r="AJ1012" t="str">
        <f t="shared" ref="AJ1012:AK1012" si="668">IF($J1012&lt;&gt;"",$J1012,IF($AC1012=$AC1011,AJ1011,""))</f>
        <v>d</v>
      </c>
      <c r="AK1012" t="str">
        <f t="shared" si="668"/>
        <v>d</v>
      </c>
      <c r="AL1012" t="str">
        <f t="shared" si="597"/>
        <v>o</v>
      </c>
      <c r="AN1012" t="s">
        <v>862</v>
      </c>
      <c r="AO1012" t="str">
        <f t="shared" si="598"/>
        <v>a</v>
      </c>
      <c r="AP1012" t="str">
        <f t="shared" si="606"/>
        <v>o</v>
      </c>
      <c r="AQ1012" t="str">
        <f t="shared" si="607"/>
        <v/>
      </c>
      <c r="AR1012" t="str">
        <f t="shared" si="608"/>
        <v>Away</v>
      </c>
      <c r="AS1012" t="str">
        <f t="shared" si="609"/>
        <v>a</v>
      </c>
      <c r="AT1012" t="str">
        <f t="shared" si="610"/>
        <v>Offensive</v>
      </c>
      <c r="BA1012" s="6">
        <f t="shared" si="599"/>
        <v>265</v>
      </c>
      <c r="BB1012">
        <f t="shared" si="600"/>
        <v>18981</v>
      </c>
      <c r="BC1012" t="str">
        <f t="shared" si="601"/>
        <v>Nelson</v>
      </c>
      <c r="BD1012" t="str">
        <f t="shared" si="602"/>
        <v>Velodrome</v>
      </c>
      <c r="BE1012" t="s">
        <v>15</v>
      </c>
      <c r="BF1012" t="s">
        <v>179</v>
      </c>
      <c r="BG1012" t="s">
        <v>101</v>
      </c>
      <c r="BI1012" cm="1">
        <f t="array" ref="BI1012">IFERROR(_xlfn._xlws.FILTER(shifts!A:A,(shifts!B:B=events!AD1012)*(shifts!AG:AG&gt;=events!BK1012)*(shifts!AH:AH&lt;=events!BL1012)),BI1011)</f>
        <v>48</v>
      </c>
      <c r="BJ1012" s="15">
        <f t="shared" si="603"/>
        <v>0</v>
      </c>
      <c r="BK1012">
        <f t="shared" si="611"/>
        <v>788</v>
      </c>
      <c r="BL1012">
        <f t="shared" si="612"/>
        <v>788</v>
      </c>
      <c r="BM1012" s="15">
        <f>SUMIFS(BJ$2:BJ1012,K$2:K1012,"=Intermission")+SUMIFS(BJ$2:BJ1012,K$2:K1012,"=Timeout")</f>
        <v>72</v>
      </c>
      <c r="BN1012">
        <f t="shared" si="613"/>
        <v>1152</v>
      </c>
      <c r="BO1012" s="19">
        <f t="shared" si="614"/>
        <v>1444</v>
      </c>
      <c r="BP1012">
        <f t="shared" si="615"/>
        <v>1439</v>
      </c>
      <c r="BQ1012" s="17">
        <f t="shared" si="616"/>
        <v>1444</v>
      </c>
      <c r="BR1012" t="str">
        <f t="shared" si="617"/>
        <v>opp_team_player_1</v>
      </c>
      <c r="BS1012">
        <f>COUNTIFS(S$3:S1012,"="&amp;S1012,AI$3:AI1012,"="&amp;AI1012)</f>
        <v>1</v>
      </c>
      <c r="BT1012" t="str">
        <f>IFERROR(VLOOKUP(BB1012&amp;BU1012&amp;X1012,game_rosters!U:W,3,FALSE),"")</f>
        <v>P100079</v>
      </c>
      <c r="BU1012" t="str">
        <f t="shared" si="618"/>
        <v>Nelson</v>
      </c>
    </row>
    <row r="1013" spans="1:73" x14ac:dyDescent="0.2">
      <c r="A1013">
        <f t="shared" si="604"/>
        <v>1</v>
      </c>
      <c r="J1013" s="44" t="str">
        <f t="shared" si="619"/>
        <v>d</v>
      </c>
      <c r="K1013" t="s">
        <v>231</v>
      </c>
      <c r="L1013" t="s">
        <v>233</v>
      </c>
      <c r="M1013" t="s">
        <v>756</v>
      </c>
      <c r="S1013">
        <v>548</v>
      </c>
      <c r="W1013" t="str">
        <f t="shared" si="595"/>
        <v>a</v>
      </c>
      <c r="X1013">
        <v>39</v>
      </c>
      <c r="Y1013" t="e">
        <f>IF(X1013&lt;&gt;"",VLOOKUP(X1013,game_rosters!$C$43:$E$64,3,FALSE))</f>
        <v>#N/A</v>
      </c>
      <c r="Z1013" cm="1">
        <f t="array" ref="Z1013">IFERROR(IF(_xlfn._xlws.FILTER(game_rosters!$J:$J,(game_rosters!$G:$G=events!$AN1013)*(game_rosters!$J:$J=events!$X1013))&gt;0,1,""),"")</f>
        <v>1</v>
      </c>
      <c r="AA1013">
        <f t="shared" si="643"/>
        <v>1548</v>
      </c>
      <c r="AB1013" t="str">
        <f t="shared" si="644"/>
        <v/>
      </c>
      <c r="AC1013">
        <f t="shared" si="592"/>
        <v>1548</v>
      </c>
      <c r="AD1013" s="6">
        <v>2</v>
      </c>
      <c r="AE1013" t="s">
        <v>926</v>
      </c>
      <c r="AF1013" t="s">
        <v>939</v>
      </c>
      <c r="AG1013" t="s">
        <v>756</v>
      </c>
      <c r="AH1013" t="s">
        <v>756</v>
      </c>
      <c r="AI1013" t="s">
        <v>367</v>
      </c>
      <c r="AJ1013" t="str">
        <f t="shared" ref="AJ1013:AK1013" si="669">IF($J1013&lt;&gt;"",$J1013,IF($AC1013=$AC1012,AJ1012,""))</f>
        <v>d</v>
      </c>
      <c r="AK1013" t="str">
        <f t="shared" si="669"/>
        <v>d</v>
      </c>
      <c r="AL1013" t="str">
        <f t="shared" si="597"/>
        <v>o</v>
      </c>
      <c r="AN1013" t="s">
        <v>862</v>
      </c>
      <c r="AO1013" t="str">
        <f t="shared" si="598"/>
        <v>a</v>
      </c>
      <c r="AP1013" t="str">
        <f t="shared" si="606"/>
        <v>o</v>
      </c>
      <c r="AQ1013" t="str">
        <f t="shared" si="607"/>
        <v/>
      </c>
      <c r="AR1013" t="str">
        <f t="shared" si="608"/>
        <v>Away</v>
      </c>
      <c r="AS1013" t="str">
        <f t="shared" si="609"/>
        <v>a</v>
      </c>
      <c r="AT1013" t="str">
        <f t="shared" si="610"/>
        <v>Offensive</v>
      </c>
      <c r="BA1013" s="6">
        <f t="shared" si="599"/>
        <v>265</v>
      </c>
      <c r="BB1013">
        <f t="shared" si="600"/>
        <v>18981</v>
      </c>
      <c r="BC1013" t="str">
        <f t="shared" si="601"/>
        <v>Nelson</v>
      </c>
      <c r="BD1013" t="str">
        <f t="shared" si="602"/>
        <v>Velodrome</v>
      </c>
      <c r="BE1013" t="s">
        <v>231</v>
      </c>
      <c r="BF1013" t="s">
        <v>233</v>
      </c>
      <c r="BG1013" t="s">
        <v>756</v>
      </c>
      <c r="BI1013" cm="1">
        <f t="array" ref="BI1013">IFERROR(_xlfn._xlws.FILTER(shifts!A:A,(shifts!B:B=events!AD1013)*(shifts!AG:AG&gt;=events!BK1013)*(shifts!AH:AH&lt;=events!BL1013)),BI1012)</f>
        <v>48</v>
      </c>
      <c r="BJ1013" s="15">
        <f t="shared" si="603"/>
        <v>0</v>
      </c>
      <c r="BK1013">
        <f t="shared" si="611"/>
        <v>788</v>
      </c>
      <c r="BL1013">
        <f t="shared" si="612"/>
        <v>788</v>
      </c>
      <c r="BM1013" s="15">
        <f>SUMIFS(BJ$2:BJ1013,K$2:K1013,"=Intermission")+SUMIFS(BJ$2:BJ1013,K$2:K1013,"=Timeout")</f>
        <v>72</v>
      </c>
      <c r="BN1013">
        <f t="shared" si="613"/>
        <v>1152</v>
      </c>
      <c r="BO1013" s="19">
        <f t="shared" si="614"/>
        <v>1444</v>
      </c>
      <c r="BP1013">
        <f t="shared" si="615"/>
        <v>1439</v>
      </c>
      <c r="BQ1013" s="17">
        <f t="shared" si="616"/>
        <v>1444</v>
      </c>
      <c r="BR1013" t="str">
        <f t="shared" si="617"/>
        <v>event_team_player_1</v>
      </c>
      <c r="BS1013">
        <f>COUNTIFS(S$3:S1013,"="&amp;S1013,AI$3:AI1013,"="&amp;AI1013)</f>
        <v>1</v>
      </c>
      <c r="BT1013" t="str">
        <f>IFERROR(VLOOKUP(BB1013&amp;BU1013&amp;X1013,game_rosters!U:W,3,FALSE),"")</f>
        <v>P100016</v>
      </c>
      <c r="BU1013" t="str">
        <f t="shared" si="618"/>
        <v>Velodrome</v>
      </c>
    </row>
    <row r="1014" spans="1:73" x14ac:dyDescent="0.2">
      <c r="A1014">
        <f t="shared" si="604"/>
        <v>1</v>
      </c>
      <c r="J1014" s="44" t="str">
        <f t="shared" si="619"/>
        <v>o</v>
      </c>
      <c r="K1014" t="s">
        <v>6</v>
      </c>
      <c r="L1014" t="s">
        <v>205</v>
      </c>
      <c r="M1014" t="s">
        <v>51</v>
      </c>
      <c r="S1014">
        <v>549</v>
      </c>
      <c r="W1014" t="str">
        <f t="shared" si="595"/>
        <v>h</v>
      </c>
      <c r="X1014">
        <v>80</v>
      </c>
      <c r="Y1014" t="b">
        <f>IF(X1014&lt;&gt;"",VLOOKUP(X1014,game_rosters!$C$43:$E$64,3,FALSE))</f>
        <v>0</v>
      </c>
      <c r="Z1014" cm="1">
        <f t="array" ref="Z1014">IFERROR(IF(_xlfn._xlws.FILTER(game_rosters!$J:$J,(game_rosters!$G:$G=events!$AN1014)*(game_rosters!$J:$J=events!$X1014))&gt;0,1,""),"")</f>
        <v>1</v>
      </c>
      <c r="AA1014">
        <f t="shared" si="643"/>
        <v>1549</v>
      </c>
      <c r="AB1014" t="str">
        <f t="shared" si="644"/>
        <v/>
      </c>
      <c r="AC1014">
        <f t="shared" si="592"/>
        <v>1549</v>
      </c>
      <c r="AD1014" s="6">
        <v>2</v>
      </c>
      <c r="AE1014" t="s">
        <v>926</v>
      </c>
      <c r="AF1014" t="s">
        <v>912</v>
      </c>
      <c r="AG1014" t="s">
        <v>756</v>
      </c>
      <c r="AH1014" t="s">
        <v>756</v>
      </c>
      <c r="AI1014" t="s">
        <v>367</v>
      </c>
      <c r="AJ1014" t="str">
        <f t="shared" ref="AJ1014:AK1014" si="670">IF($J1014&lt;&gt;"",$J1014,IF($AC1014=$AC1013,AJ1013,""))</f>
        <v>o</v>
      </c>
      <c r="AK1014" t="str">
        <f t="shared" si="670"/>
        <v>o</v>
      </c>
      <c r="AL1014" t="str">
        <f t="shared" si="597"/>
        <v>o</v>
      </c>
      <c r="AN1014" t="s">
        <v>861</v>
      </c>
      <c r="AO1014" t="str">
        <f t="shared" si="598"/>
        <v>h</v>
      </c>
      <c r="AP1014" t="str">
        <f t="shared" si="606"/>
        <v>o</v>
      </c>
      <c r="AQ1014" t="str">
        <f t="shared" si="607"/>
        <v/>
      </c>
      <c r="AR1014" t="str">
        <f t="shared" si="608"/>
        <v>Home</v>
      </c>
      <c r="AS1014" t="str">
        <f t="shared" si="609"/>
        <v>h</v>
      </c>
      <c r="AT1014" t="str">
        <f t="shared" si="610"/>
        <v>Offensive</v>
      </c>
      <c r="BA1014" s="6">
        <f t="shared" si="599"/>
        <v>265</v>
      </c>
      <c r="BB1014">
        <f t="shared" si="600"/>
        <v>18981</v>
      </c>
      <c r="BC1014" t="str">
        <f t="shared" si="601"/>
        <v>Nelson</v>
      </c>
      <c r="BD1014" t="str">
        <f t="shared" si="602"/>
        <v>Velodrome</v>
      </c>
      <c r="BE1014" t="s">
        <v>6</v>
      </c>
      <c r="BF1014" t="s">
        <v>205</v>
      </c>
      <c r="BG1014" t="s">
        <v>51</v>
      </c>
      <c r="BI1014" cm="1">
        <f t="array" ref="BI1014">IFERROR(_xlfn._xlws.FILTER(shifts!A:A,(shifts!B:B=events!AD1014)*(shifts!AG:AG&gt;=events!BK1014)*(shifts!AH:AH&lt;=events!BL1014)),BI1013)</f>
        <v>48</v>
      </c>
      <c r="BJ1014" s="15">
        <f t="shared" si="603"/>
        <v>0</v>
      </c>
      <c r="BK1014">
        <f t="shared" si="611"/>
        <v>785</v>
      </c>
      <c r="BL1014">
        <f t="shared" si="612"/>
        <v>785</v>
      </c>
      <c r="BM1014" s="15">
        <f>SUMIFS(BJ$2:BJ1014,K$2:K1014,"=Intermission")+SUMIFS(BJ$2:BJ1014,K$2:K1014,"=Timeout")</f>
        <v>72</v>
      </c>
      <c r="BN1014">
        <f t="shared" si="613"/>
        <v>1152</v>
      </c>
      <c r="BO1014" s="19">
        <f t="shared" si="614"/>
        <v>1447</v>
      </c>
      <c r="BP1014">
        <f t="shared" si="615"/>
        <v>1442</v>
      </c>
      <c r="BQ1014" s="17">
        <f t="shared" si="616"/>
        <v>1447</v>
      </c>
      <c r="BR1014" t="str">
        <f t="shared" si="617"/>
        <v>event_team_player_1</v>
      </c>
      <c r="BS1014">
        <f>COUNTIFS(S$3:S1014,"="&amp;S1014,AI$3:AI1014,"="&amp;AI1014)</f>
        <v>1</v>
      </c>
      <c r="BT1014" t="str">
        <f>IFERROR(VLOOKUP(BB1014&amp;BU1014&amp;X1014,game_rosters!U:W,3,FALSE),"")</f>
        <v>P100197</v>
      </c>
      <c r="BU1014" t="str">
        <f t="shared" si="618"/>
        <v>Nelson</v>
      </c>
    </row>
    <row r="1015" spans="1:73" x14ac:dyDescent="0.2">
      <c r="A1015">
        <f t="shared" si="604"/>
        <v>1</v>
      </c>
      <c r="J1015" s="44" t="str">
        <f t="shared" si="619"/>
        <v>o</v>
      </c>
      <c r="K1015" t="s">
        <v>6</v>
      </c>
      <c r="L1015" t="s">
        <v>205</v>
      </c>
      <c r="M1015" t="s">
        <v>51</v>
      </c>
      <c r="S1015">
        <v>549</v>
      </c>
      <c r="W1015" t="str">
        <f t="shared" si="595"/>
        <v>h</v>
      </c>
      <c r="X1015">
        <v>39</v>
      </c>
      <c r="Y1015" t="e">
        <f>IF(X1015&lt;&gt;"",VLOOKUP(X1015,game_rosters!$C$43:$E$64,3,FALSE))</f>
        <v>#N/A</v>
      </c>
      <c r="Z1015" t="str" cm="1">
        <f t="array" ref="Z1015">IFERROR(IF(_xlfn._xlws.FILTER(game_rosters!$J:$J,(game_rosters!$G:$G=events!$AN1015)*(game_rosters!$J:$J=events!$X1015))&gt;0,1,""),"")</f>
        <v/>
      </c>
      <c r="AA1015">
        <f t="shared" si="643"/>
        <v>1549</v>
      </c>
      <c r="AB1015" t="str">
        <f t="shared" si="644"/>
        <v/>
      </c>
      <c r="AC1015">
        <f t="shared" si="592"/>
        <v>1549</v>
      </c>
      <c r="AD1015" s="6">
        <v>2</v>
      </c>
      <c r="AE1015" t="s">
        <v>926</v>
      </c>
      <c r="AF1015" t="s">
        <v>912</v>
      </c>
      <c r="AG1015" t="s">
        <v>756</v>
      </c>
      <c r="AH1015" t="s">
        <v>756</v>
      </c>
      <c r="AI1015" t="s">
        <v>368</v>
      </c>
      <c r="AJ1015" t="str">
        <f t="shared" ref="AJ1015:AK1015" si="671">IF($J1015&lt;&gt;"",$J1015,IF($AC1015=$AC1014,AJ1014,""))</f>
        <v>o</v>
      </c>
      <c r="AK1015" t="str">
        <f t="shared" si="671"/>
        <v>o</v>
      </c>
      <c r="AL1015" t="str">
        <f t="shared" si="597"/>
        <v>o</v>
      </c>
      <c r="AN1015" t="s">
        <v>861</v>
      </c>
      <c r="AO1015" t="str">
        <f t="shared" si="598"/>
        <v>h</v>
      </c>
      <c r="AP1015" t="str">
        <f t="shared" si="606"/>
        <v>o</v>
      </c>
      <c r="AQ1015" t="str">
        <f t="shared" si="607"/>
        <v/>
      </c>
      <c r="AR1015" t="str">
        <f t="shared" si="608"/>
        <v>Home</v>
      </c>
      <c r="AS1015" t="str">
        <f t="shared" si="609"/>
        <v>h</v>
      </c>
      <c r="AT1015" t="str">
        <f t="shared" si="610"/>
        <v>Defensive</v>
      </c>
      <c r="BA1015" s="6">
        <f t="shared" si="599"/>
        <v>265</v>
      </c>
      <c r="BB1015">
        <f t="shared" si="600"/>
        <v>18981</v>
      </c>
      <c r="BC1015" t="str">
        <f t="shared" si="601"/>
        <v>Nelson</v>
      </c>
      <c r="BD1015" t="str">
        <f t="shared" si="602"/>
        <v>Velodrome</v>
      </c>
      <c r="BE1015" t="s">
        <v>6</v>
      </c>
      <c r="BF1015" t="s">
        <v>205</v>
      </c>
      <c r="BG1015" t="s">
        <v>51</v>
      </c>
      <c r="BI1015" cm="1">
        <f t="array" ref="BI1015">IFERROR(_xlfn._xlws.FILTER(shifts!A:A,(shifts!B:B=events!AD1015)*(shifts!AG:AG&gt;=events!BK1015)*(shifts!AH:AH&lt;=events!BL1015)),BI1014)</f>
        <v>48</v>
      </c>
      <c r="BJ1015" s="15">
        <f t="shared" si="603"/>
        <v>0</v>
      </c>
      <c r="BK1015">
        <f t="shared" si="611"/>
        <v>785</v>
      </c>
      <c r="BL1015">
        <f t="shared" si="612"/>
        <v>785</v>
      </c>
      <c r="BM1015" s="15">
        <f>SUMIFS(BJ$2:BJ1015,K$2:K1015,"=Intermission")+SUMIFS(BJ$2:BJ1015,K$2:K1015,"=Timeout")</f>
        <v>72</v>
      </c>
      <c r="BN1015">
        <f t="shared" si="613"/>
        <v>1152</v>
      </c>
      <c r="BO1015" s="19">
        <f t="shared" si="614"/>
        <v>1447</v>
      </c>
      <c r="BP1015">
        <f t="shared" si="615"/>
        <v>1442</v>
      </c>
      <c r="BQ1015" s="17">
        <f t="shared" si="616"/>
        <v>1447</v>
      </c>
      <c r="BR1015" t="str">
        <f t="shared" si="617"/>
        <v>opp_team_player_1</v>
      </c>
      <c r="BS1015">
        <f>COUNTIFS(S$3:S1015,"="&amp;S1015,AI$3:AI1015,"="&amp;AI1015)</f>
        <v>1</v>
      </c>
      <c r="BT1015" t="str">
        <f>IFERROR(VLOOKUP(BB1015&amp;BU1015&amp;X1015,game_rosters!U:W,3,FALSE),"")</f>
        <v>P100016</v>
      </c>
      <c r="BU1015" t="str">
        <f t="shared" si="618"/>
        <v>Velodrome</v>
      </c>
    </row>
    <row r="1016" spans="1:73" x14ac:dyDescent="0.2">
      <c r="A1016">
        <f t="shared" si="604"/>
        <v>1</v>
      </c>
      <c r="J1016" s="44" t="str">
        <f t="shared" si="619"/>
        <v>d</v>
      </c>
      <c r="K1016" t="s">
        <v>15</v>
      </c>
      <c r="L1016" t="s">
        <v>179</v>
      </c>
      <c r="M1016" t="s">
        <v>96</v>
      </c>
      <c r="S1016">
        <v>550</v>
      </c>
      <c r="W1016" t="str">
        <f t="shared" si="595"/>
        <v>a</v>
      </c>
      <c r="X1016">
        <v>39</v>
      </c>
      <c r="Y1016" t="e">
        <f>IF(X1016&lt;&gt;"",VLOOKUP(X1016,game_rosters!$C$43:$E$64,3,FALSE))</f>
        <v>#N/A</v>
      </c>
      <c r="Z1016" cm="1">
        <f t="array" ref="Z1016">IFERROR(IF(_xlfn._xlws.FILTER(game_rosters!$J:$J,(game_rosters!$G:$G=events!$AN1016)*(game_rosters!$J:$J=events!$X1016))&gt;0,1,""),"")</f>
        <v>1</v>
      </c>
      <c r="AA1016">
        <f t="shared" si="643"/>
        <v>1550</v>
      </c>
      <c r="AB1016" t="str">
        <f t="shared" si="644"/>
        <v/>
      </c>
      <c r="AC1016">
        <f t="shared" si="592"/>
        <v>1550</v>
      </c>
      <c r="AD1016" s="6">
        <v>2</v>
      </c>
      <c r="AE1016" t="s">
        <v>926</v>
      </c>
      <c r="AF1016" t="s">
        <v>912</v>
      </c>
      <c r="AG1016" t="s">
        <v>756</v>
      </c>
      <c r="AH1016" t="s">
        <v>756</v>
      </c>
      <c r="AI1016" t="s">
        <v>367</v>
      </c>
      <c r="AJ1016" t="str">
        <f t="shared" ref="AJ1016:AK1016" si="672">IF($J1016&lt;&gt;"",$J1016,IF($AC1016=$AC1015,AJ1015,""))</f>
        <v>d</v>
      </c>
      <c r="AK1016" t="str">
        <f t="shared" si="672"/>
        <v>d</v>
      </c>
      <c r="AL1016" t="str">
        <f t="shared" si="597"/>
        <v>o</v>
      </c>
      <c r="AN1016" t="s">
        <v>862</v>
      </c>
      <c r="AO1016" t="str">
        <f t="shared" si="598"/>
        <v>a</v>
      </c>
      <c r="AP1016" t="str">
        <f t="shared" si="606"/>
        <v>o</v>
      </c>
      <c r="AQ1016" t="str">
        <f t="shared" si="607"/>
        <v/>
      </c>
      <c r="AR1016" t="str">
        <f t="shared" si="608"/>
        <v>Away</v>
      </c>
      <c r="AS1016" t="str">
        <f t="shared" si="609"/>
        <v>a</v>
      </c>
      <c r="AT1016" t="str">
        <f t="shared" si="610"/>
        <v>Defensive</v>
      </c>
      <c r="BA1016" s="6">
        <f t="shared" si="599"/>
        <v>265</v>
      </c>
      <c r="BB1016">
        <f t="shared" si="600"/>
        <v>18981</v>
      </c>
      <c r="BC1016" t="str">
        <f t="shared" si="601"/>
        <v>Nelson</v>
      </c>
      <c r="BD1016" t="str">
        <f t="shared" si="602"/>
        <v>Velodrome</v>
      </c>
      <c r="BE1016" t="s">
        <v>15</v>
      </c>
      <c r="BF1016" t="s">
        <v>179</v>
      </c>
      <c r="BG1016" t="s">
        <v>96</v>
      </c>
      <c r="BI1016" cm="1">
        <f t="array" ref="BI1016">IFERROR(_xlfn._xlws.FILTER(shifts!A:A,(shifts!B:B=events!AD1016)*(shifts!AG:AG&gt;=events!BK1016)*(shifts!AH:AH&lt;=events!BL1016)),BI1015)</f>
        <v>48</v>
      </c>
      <c r="BJ1016" s="15">
        <f t="shared" si="603"/>
        <v>0</v>
      </c>
      <c r="BK1016">
        <f t="shared" si="611"/>
        <v>785</v>
      </c>
      <c r="BL1016">
        <f t="shared" si="612"/>
        <v>785</v>
      </c>
      <c r="BM1016" s="15">
        <f>SUMIFS(BJ$2:BJ1016,K$2:K1016,"=Intermission")+SUMIFS(BJ$2:BJ1016,K$2:K1016,"=Timeout")</f>
        <v>72</v>
      </c>
      <c r="BN1016">
        <f t="shared" si="613"/>
        <v>1152</v>
      </c>
      <c r="BO1016" s="19">
        <f t="shared" si="614"/>
        <v>1447</v>
      </c>
      <c r="BP1016">
        <f t="shared" si="615"/>
        <v>1442</v>
      </c>
      <c r="BQ1016" s="17">
        <f t="shared" si="616"/>
        <v>1447</v>
      </c>
      <c r="BR1016" t="str">
        <f t="shared" si="617"/>
        <v>event_team_player_1</v>
      </c>
      <c r="BS1016">
        <f>COUNTIFS(S$3:S1016,"="&amp;S1016,AI$3:AI1016,"="&amp;AI1016)</f>
        <v>1</v>
      </c>
      <c r="BT1016" t="str">
        <f>IFERROR(VLOOKUP(BB1016&amp;BU1016&amp;X1016,game_rosters!U:W,3,FALSE),"")</f>
        <v>P100016</v>
      </c>
      <c r="BU1016" t="str">
        <f t="shared" si="618"/>
        <v>Velodrome</v>
      </c>
    </row>
    <row r="1017" spans="1:73" x14ac:dyDescent="0.2">
      <c r="A1017">
        <f t="shared" si="604"/>
        <v>1</v>
      </c>
      <c r="J1017" s="44" t="str">
        <f t="shared" si="619"/>
        <v>d</v>
      </c>
      <c r="K1017" t="s">
        <v>15</v>
      </c>
      <c r="L1017" t="s">
        <v>179</v>
      </c>
      <c r="M1017" t="s">
        <v>96</v>
      </c>
      <c r="S1017">
        <v>550</v>
      </c>
      <c r="W1017" t="str">
        <f t="shared" si="595"/>
        <v>a</v>
      </c>
      <c r="X1017">
        <v>80</v>
      </c>
      <c r="Y1017" t="b">
        <f>IF(X1017&lt;&gt;"",VLOOKUP(X1017,game_rosters!$C$43:$E$64,3,FALSE))</f>
        <v>0</v>
      </c>
      <c r="Z1017" t="str" cm="1">
        <f t="array" ref="Z1017">IFERROR(IF(_xlfn._xlws.FILTER(game_rosters!$J:$J,(game_rosters!$G:$G=events!$AN1017)*(game_rosters!$J:$J=events!$X1017))&gt;0,1,""),"")</f>
        <v/>
      </c>
      <c r="AA1017">
        <f t="shared" si="643"/>
        <v>1550</v>
      </c>
      <c r="AB1017" t="str">
        <f t="shared" si="644"/>
        <v/>
      </c>
      <c r="AC1017">
        <f t="shared" si="592"/>
        <v>1550</v>
      </c>
      <c r="AD1017" s="6">
        <v>2</v>
      </c>
      <c r="AE1017" t="s">
        <v>926</v>
      </c>
      <c r="AF1017" t="s">
        <v>912</v>
      </c>
      <c r="AG1017" t="s">
        <v>756</v>
      </c>
      <c r="AH1017" t="s">
        <v>756</v>
      </c>
      <c r="AI1017" t="s">
        <v>368</v>
      </c>
      <c r="AJ1017" t="str">
        <f t="shared" ref="AJ1017:AK1017" si="673">IF($J1017&lt;&gt;"",$J1017,IF($AC1017=$AC1016,AJ1016,""))</f>
        <v>d</v>
      </c>
      <c r="AK1017" t="str">
        <f t="shared" si="673"/>
        <v>d</v>
      </c>
      <c r="AL1017" t="str">
        <f t="shared" si="597"/>
        <v>o</v>
      </c>
      <c r="AN1017" t="s">
        <v>862</v>
      </c>
      <c r="AO1017" t="str">
        <f t="shared" si="598"/>
        <v>a</v>
      </c>
      <c r="AP1017" t="str">
        <f t="shared" si="606"/>
        <v>o</v>
      </c>
      <c r="AQ1017" t="str">
        <f t="shared" si="607"/>
        <v/>
      </c>
      <c r="AR1017" t="str">
        <f t="shared" si="608"/>
        <v>Away</v>
      </c>
      <c r="AS1017" t="str">
        <f t="shared" si="609"/>
        <v>a</v>
      </c>
      <c r="AT1017" t="str">
        <f t="shared" si="610"/>
        <v>Offensive</v>
      </c>
      <c r="BA1017" s="6">
        <f t="shared" si="599"/>
        <v>265</v>
      </c>
      <c r="BB1017">
        <f t="shared" si="600"/>
        <v>18981</v>
      </c>
      <c r="BC1017" t="str">
        <f t="shared" si="601"/>
        <v>Nelson</v>
      </c>
      <c r="BD1017" t="str">
        <f t="shared" si="602"/>
        <v>Velodrome</v>
      </c>
      <c r="BE1017" t="s">
        <v>15</v>
      </c>
      <c r="BF1017" t="s">
        <v>179</v>
      </c>
      <c r="BG1017" t="s">
        <v>96</v>
      </c>
      <c r="BI1017" cm="1">
        <f t="array" ref="BI1017">IFERROR(_xlfn._xlws.FILTER(shifts!A:A,(shifts!B:B=events!AD1017)*(shifts!AG:AG&gt;=events!BK1017)*(shifts!AH:AH&lt;=events!BL1017)),BI1016)</f>
        <v>48</v>
      </c>
      <c r="BJ1017" s="15">
        <f t="shared" si="603"/>
        <v>0</v>
      </c>
      <c r="BK1017">
        <f t="shared" si="611"/>
        <v>785</v>
      </c>
      <c r="BL1017">
        <f t="shared" si="612"/>
        <v>785</v>
      </c>
      <c r="BM1017" s="15">
        <f>SUMIFS(BJ$2:BJ1017,K$2:K1017,"=Intermission")+SUMIFS(BJ$2:BJ1017,K$2:K1017,"=Timeout")</f>
        <v>72</v>
      </c>
      <c r="BN1017">
        <f t="shared" si="613"/>
        <v>1152</v>
      </c>
      <c r="BO1017" s="19">
        <f t="shared" si="614"/>
        <v>1447</v>
      </c>
      <c r="BP1017">
        <f t="shared" si="615"/>
        <v>1442</v>
      </c>
      <c r="BQ1017" s="17">
        <f t="shared" si="616"/>
        <v>1447</v>
      </c>
      <c r="BR1017" t="str">
        <f t="shared" si="617"/>
        <v>opp_team_player_1</v>
      </c>
      <c r="BS1017">
        <f>COUNTIFS(S$3:S1017,"="&amp;S1017,AI$3:AI1017,"="&amp;AI1017)</f>
        <v>1</v>
      </c>
      <c r="BT1017" t="str">
        <f>IFERROR(VLOOKUP(BB1017&amp;BU1017&amp;X1017,game_rosters!U:W,3,FALSE),"")</f>
        <v>P100197</v>
      </c>
      <c r="BU1017" t="str">
        <f t="shared" si="618"/>
        <v>Nelson</v>
      </c>
    </row>
    <row r="1018" spans="1:73" x14ac:dyDescent="0.2">
      <c r="A1018">
        <f t="shared" si="604"/>
        <v>1</v>
      </c>
      <c r="J1018" s="44" t="str">
        <f t="shared" si="619"/>
        <v>d</v>
      </c>
      <c r="K1018" t="s">
        <v>231</v>
      </c>
      <c r="L1018" t="s">
        <v>232</v>
      </c>
      <c r="M1018" t="s">
        <v>756</v>
      </c>
      <c r="S1018">
        <v>551</v>
      </c>
      <c r="W1018" t="str">
        <f t="shared" si="595"/>
        <v>a</v>
      </c>
      <c r="X1018">
        <v>39</v>
      </c>
      <c r="Y1018" t="e">
        <f>IF(X1018&lt;&gt;"",VLOOKUP(X1018,game_rosters!$C$43:$E$64,3,FALSE))</f>
        <v>#N/A</v>
      </c>
      <c r="Z1018" cm="1">
        <f t="array" ref="Z1018">IFERROR(IF(_xlfn._xlws.FILTER(game_rosters!$J:$J,(game_rosters!$G:$G=events!$AN1018)*(game_rosters!$J:$J=events!$X1018))&gt;0,1,""),"")</f>
        <v>1</v>
      </c>
      <c r="AA1018">
        <f t="shared" si="643"/>
        <v>1551</v>
      </c>
      <c r="AB1018" t="str">
        <f t="shared" si="644"/>
        <v/>
      </c>
      <c r="AC1018">
        <f t="shared" si="592"/>
        <v>1551</v>
      </c>
      <c r="AD1018" s="6">
        <v>2</v>
      </c>
      <c r="AE1018" t="s">
        <v>926</v>
      </c>
      <c r="AF1018" t="s">
        <v>912</v>
      </c>
      <c r="AG1018" t="s">
        <v>756</v>
      </c>
      <c r="AH1018" t="s">
        <v>756</v>
      </c>
      <c r="AI1018" t="s">
        <v>367</v>
      </c>
      <c r="AJ1018" t="str">
        <f t="shared" ref="AJ1018:AK1018" si="674">IF($J1018&lt;&gt;"",$J1018,IF($AC1018=$AC1017,AJ1017,""))</f>
        <v>d</v>
      </c>
      <c r="AK1018" t="str">
        <f t="shared" si="674"/>
        <v>d</v>
      </c>
      <c r="AL1018" t="str">
        <f t="shared" si="597"/>
        <v>o</v>
      </c>
      <c r="AN1018" t="s">
        <v>862</v>
      </c>
      <c r="AO1018" t="str">
        <f t="shared" si="598"/>
        <v>a</v>
      </c>
      <c r="AP1018" t="str">
        <f t="shared" si="606"/>
        <v>o</v>
      </c>
      <c r="AQ1018" t="str">
        <f t="shared" si="607"/>
        <v/>
      </c>
      <c r="AR1018" t="str">
        <f t="shared" si="608"/>
        <v>Away</v>
      </c>
      <c r="AS1018" t="str">
        <f t="shared" si="609"/>
        <v>a</v>
      </c>
      <c r="AT1018" t="str">
        <f t="shared" si="610"/>
        <v>Offensive</v>
      </c>
      <c r="BA1018" s="6">
        <f t="shared" si="599"/>
        <v>265</v>
      </c>
      <c r="BB1018">
        <f t="shared" si="600"/>
        <v>18981</v>
      </c>
      <c r="BC1018" t="str">
        <f t="shared" si="601"/>
        <v>Nelson</v>
      </c>
      <c r="BD1018" t="str">
        <f t="shared" si="602"/>
        <v>Velodrome</v>
      </c>
      <c r="BE1018" t="s">
        <v>231</v>
      </c>
      <c r="BF1018" t="s">
        <v>232</v>
      </c>
      <c r="BG1018" t="s">
        <v>756</v>
      </c>
      <c r="BI1018" cm="1">
        <f t="array" ref="BI1018">IFERROR(_xlfn._xlws.FILTER(shifts!A:A,(shifts!B:B=events!AD1018)*(shifts!AG:AG&gt;=events!BK1018)*(shifts!AH:AH&lt;=events!BL1018)),BI1017)</f>
        <v>48</v>
      </c>
      <c r="BJ1018" s="15">
        <f t="shared" si="603"/>
        <v>0</v>
      </c>
      <c r="BK1018">
        <f t="shared" si="611"/>
        <v>785</v>
      </c>
      <c r="BL1018">
        <f t="shared" si="612"/>
        <v>785</v>
      </c>
      <c r="BM1018" s="15">
        <f>SUMIFS(BJ$2:BJ1018,K$2:K1018,"=Intermission")+SUMIFS(BJ$2:BJ1018,K$2:K1018,"=Timeout")</f>
        <v>72</v>
      </c>
      <c r="BN1018">
        <f t="shared" si="613"/>
        <v>1152</v>
      </c>
      <c r="BO1018" s="19">
        <f t="shared" si="614"/>
        <v>1447</v>
      </c>
      <c r="BP1018">
        <f t="shared" si="615"/>
        <v>1442</v>
      </c>
      <c r="BQ1018" s="17">
        <f t="shared" si="616"/>
        <v>1447</v>
      </c>
      <c r="BR1018" t="str">
        <f t="shared" si="617"/>
        <v>event_team_player_1</v>
      </c>
      <c r="BS1018">
        <f>COUNTIFS(S$3:S1018,"="&amp;S1018,AI$3:AI1018,"="&amp;AI1018)</f>
        <v>1</v>
      </c>
      <c r="BT1018" t="str">
        <f>IFERROR(VLOOKUP(BB1018&amp;BU1018&amp;X1018,game_rosters!U:W,3,FALSE),"")</f>
        <v>P100016</v>
      </c>
      <c r="BU1018" t="str">
        <f t="shared" si="618"/>
        <v>Velodrome</v>
      </c>
    </row>
    <row r="1019" spans="1:73" x14ac:dyDescent="0.2">
      <c r="A1019">
        <f t="shared" si="604"/>
        <v>1</v>
      </c>
      <c r="J1019" s="44" t="str">
        <f t="shared" si="619"/>
        <v/>
      </c>
      <c r="K1019" t="s">
        <v>13</v>
      </c>
      <c r="L1019" t="s">
        <v>756</v>
      </c>
      <c r="M1019" t="s">
        <v>756</v>
      </c>
      <c r="S1019">
        <v>552</v>
      </c>
      <c r="W1019" t="str">
        <f t="shared" si="595"/>
        <v>a</v>
      </c>
      <c r="X1019">
        <v>42</v>
      </c>
      <c r="Y1019" t="e">
        <f>IF(X1019&lt;&gt;"",VLOOKUP(X1019,game_rosters!$C$43:$E$64,3,FALSE))</f>
        <v>#N/A</v>
      </c>
      <c r="Z1019" cm="1">
        <f t="array" ref="Z1019">IFERROR(IF(_xlfn._xlws.FILTER(game_rosters!$J:$J,(game_rosters!$G:$G=events!$AN1019)*(game_rosters!$J:$J=events!$X1019))&gt;0,1,""),"")</f>
        <v>1</v>
      </c>
      <c r="AA1019">
        <f t="shared" si="643"/>
        <v>1552</v>
      </c>
      <c r="AB1019" t="str">
        <f t="shared" si="644"/>
        <v/>
      </c>
      <c r="AC1019">
        <f t="shared" si="592"/>
        <v>1552</v>
      </c>
      <c r="AD1019" s="6">
        <v>2</v>
      </c>
      <c r="AE1019" t="s">
        <v>926</v>
      </c>
      <c r="AF1019" t="s">
        <v>748</v>
      </c>
      <c r="AG1019" t="s">
        <v>926</v>
      </c>
      <c r="AH1019" t="s">
        <v>413</v>
      </c>
      <c r="AI1019" t="s">
        <v>367</v>
      </c>
      <c r="AJ1019" t="str">
        <f t="shared" ref="AJ1019:AK1019" si="675">IF($J1019&lt;&gt;"",$J1019,IF($AC1019=$AC1018,AJ1018,""))</f>
        <v/>
      </c>
      <c r="AK1019" t="str">
        <f t="shared" si="675"/>
        <v/>
      </c>
      <c r="AL1019" t="str">
        <f t="shared" si="597"/>
        <v/>
      </c>
      <c r="AN1019" t="s">
        <v>862</v>
      </c>
      <c r="AO1019" t="str">
        <f t="shared" si="598"/>
        <v>a</v>
      </c>
      <c r="AP1019" t="str">
        <f t="shared" si="606"/>
        <v/>
      </c>
      <c r="AQ1019" t="str">
        <f t="shared" si="607"/>
        <v/>
      </c>
      <c r="AR1019" t="str">
        <f t="shared" si="608"/>
        <v>Away</v>
      </c>
      <c r="AS1019" t="str">
        <f t="shared" si="609"/>
        <v>a</v>
      </c>
      <c r="AT1019" t="str">
        <f t="shared" si="610"/>
        <v>Offensive</v>
      </c>
      <c r="BA1019" s="6">
        <f t="shared" si="599"/>
        <v>265</v>
      </c>
      <c r="BB1019">
        <f t="shared" si="600"/>
        <v>18981</v>
      </c>
      <c r="BC1019" t="str">
        <f t="shared" si="601"/>
        <v>Nelson</v>
      </c>
      <c r="BD1019" t="str">
        <f t="shared" si="602"/>
        <v>Velodrome</v>
      </c>
      <c r="BE1019" t="s">
        <v>13</v>
      </c>
      <c r="BF1019" t="s">
        <v>756</v>
      </c>
      <c r="BG1019" t="s">
        <v>756</v>
      </c>
      <c r="BI1019" cm="1">
        <f t="array" ref="BI1019">IFERROR(_xlfn._xlws.FILTER(shifts!A:A,(shifts!B:B=events!AD1019)*(shifts!AG:AG&gt;=events!BK1019)*(shifts!AH:AH&lt;=events!BL1019)),BI1018)</f>
        <v>48</v>
      </c>
      <c r="BJ1019" s="15">
        <f t="shared" si="603"/>
        <v>1</v>
      </c>
      <c r="BK1019">
        <f t="shared" si="611"/>
        <v>781</v>
      </c>
      <c r="BL1019">
        <f t="shared" si="612"/>
        <v>780</v>
      </c>
      <c r="BM1019" s="15">
        <f>SUMIFS(BJ$2:BJ1019,K$2:K1019,"=Intermission")+SUMIFS(BJ$2:BJ1019,K$2:K1019,"=Timeout")</f>
        <v>72</v>
      </c>
      <c r="BN1019">
        <f t="shared" si="613"/>
        <v>1152</v>
      </c>
      <c r="BO1019" s="19">
        <f t="shared" si="614"/>
        <v>1451</v>
      </c>
      <c r="BP1019">
        <f t="shared" si="615"/>
        <v>1446</v>
      </c>
      <c r="BQ1019" s="17">
        <f t="shared" si="616"/>
        <v>1452</v>
      </c>
      <c r="BR1019" t="str">
        <f t="shared" si="617"/>
        <v>event_team_player_1</v>
      </c>
      <c r="BS1019">
        <f>COUNTIFS(S$3:S1019,"="&amp;S1019,AI$3:AI1019,"="&amp;AI1019)</f>
        <v>1</v>
      </c>
      <c r="BT1019" t="str">
        <f>IFERROR(VLOOKUP(BB1019&amp;BU1019&amp;X1019,game_rosters!U:W,3,FALSE),"")</f>
        <v>P100201</v>
      </c>
      <c r="BU1019" t="str">
        <f t="shared" si="618"/>
        <v>Velodrome</v>
      </c>
    </row>
    <row r="1020" spans="1:73" x14ac:dyDescent="0.2">
      <c r="A1020">
        <f t="shared" si="604"/>
        <v>1</v>
      </c>
      <c r="J1020" s="44" t="str">
        <f t="shared" si="619"/>
        <v/>
      </c>
      <c r="K1020" t="s">
        <v>9</v>
      </c>
      <c r="L1020" t="s">
        <v>183</v>
      </c>
      <c r="M1020" t="s">
        <v>80</v>
      </c>
      <c r="S1020">
        <v>553</v>
      </c>
      <c r="W1020" t="str">
        <f t="shared" si="595"/>
        <v>h</v>
      </c>
      <c r="X1020">
        <v>10</v>
      </c>
      <c r="Y1020" t="b">
        <f>IF(X1020&lt;&gt;"",VLOOKUP(X1020,game_rosters!$C$43:$E$64,3,FALSE))</f>
        <v>0</v>
      </c>
      <c r="Z1020" cm="1">
        <f t="array" ref="Z1020">IFERROR(IF(_xlfn._xlws.FILTER(game_rosters!$J:$J,(game_rosters!$G:$G=events!$AN1020)*(game_rosters!$J:$J=events!$X1020))&gt;0,1,""),"")</f>
        <v>1</v>
      </c>
      <c r="AA1020">
        <f t="shared" si="643"/>
        <v>1553</v>
      </c>
      <c r="AB1020" t="str">
        <f t="shared" si="644"/>
        <v/>
      </c>
      <c r="AC1020">
        <f t="shared" si="592"/>
        <v>1553</v>
      </c>
      <c r="AD1020" s="6">
        <v>2</v>
      </c>
      <c r="AE1020" t="s">
        <v>926</v>
      </c>
      <c r="AF1020" t="s">
        <v>413</v>
      </c>
      <c r="AG1020" t="s">
        <v>756</v>
      </c>
      <c r="AH1020" t="s">
        <v>756</v>
      </c>
      <c r="AI1020" t="s">
        <v>367</v>
      </c>
      <c r="AJ1020" t="str">
        <f t="shared" ref="AJ1020:AK1020" si="676">IF($J1020&lt;&gt;"",$J1020,IF($AC1020=$AC1019,AJ1019,""))</f>
        <v/>
      </c>
      <c r="AK1020" t="str">
        <f t="shared" si="676"/>
        <v/>
      </c>
      <c r="AL1020" t="str">
        <f t="shared" si="597"/>
        <v/>
      </c>
      <c r="AN1020" t="s">
        <v>861</v>
      </c>
      <c r="AO1020" t="str">
        <f t="shared" si="598"/>
        <v>h</v>
      </c>
      <c r="AP1020" t="str">
        <f t="shared" si="606"/>
        <v/>
      </c>
      <c r="AQ1020" t="str">
        <f t="shared" si="607"/>
        <v/>
      </c>
      <c r="AR1020" t="str">
        <f t="shared" si="608"/>
        <v>Home</v>
      </c>
      <c r="AS1020" t="str">
        <f t="shared" si="609"/>
        <v>h</v>
      </c>
      <c r="AT1020" t="str">
        <f t="shared" si="610"/>
        <v>Defensive</v>
      </c>
      <c r="BA1020" s="6">
        <f t="shared" si="599"/>
        <v>265</v>
      </c>
      <c r="BB1020">
        <f t="shared" si="600"/>
        <v>18981</v>
      </c>
      <c r="BC1020" t="str">
        <f t="shared" si="601"/>
        <v>Nelson</v>
      </c>
      <c r="BD1020" t="str">
        <f t="shared" si="602"/>
        <v>Velodrome</v>
      </c>
      <c r="BE1020" t="s">
        <v>9</v>
      </c>
      <c r="BF1020" t="s">
        <v>183</v>
      </c>
      <c r="BG1020" t="s">
        <v>80</v>
      </c>
      <c r="BI1020" cm="1">
        <f t="array" ref="BI1020">IFERROR(_xlfn._xlws.FILTER(shifts!A:A,(shifts!B:B=events!AD1020)*(shifts!AG:AG&gt;=events!BK1020)*(shifts!AH:AH&lt;=events!BL1020)),BI1019)</f>
        <v>48</v>
      </c>
      <c r="BJ1020" s="15">
        <f t="shared" si="603"/>
        <v>0</v>
      </c>
      <c r="BK1020">
        <f t="shared" si="611"/>
        <v>780</v>
      </c>
      <c r="BL1020">
        <f t="shared" si="612"/>
        <v>780</v>
      </c>
      <c r="BM1020" s="15">
        <f>SUMIFS(BJ$2:BJ1020,K$2:K1020,"=Intermission")+SUMIFS(BJ$2:BJ1020,K$2:K1020,"=Timeout")</f>
        <v>72</v>
      </c>
      <c r="BN1020">
        <f t="shared" si="613"/>
        <v>1152</v>
      </c>
      <c r="BO1020" s="19">
        <f t="shared" si="614"/>
        <v>1452</v>
      </c>
      <c r="BP1020">
        <f t="shared" si="615"/>
        <v>1447</v>
      </c>
      <c r="BQ1020" s="17">
        <f t="shared" si="616"/>
        <v>1452</v>
      </c>
      <c r="BR1020" t="str">
        <f t="shared" si="617"/>
        <v>event_team_player_1</v>
      </c>
      <c r="BS1020">
        <f>COUNTIFS(S$3:S1020,"="&amp;S1020,AI$3:AI1020,"="&amp;AI1020)</f>
        <v>1</v>
      </c>
      <c r="BT1020" t="str">
        <f>IFERROR(VLOOKUP(BB1020&amp;BU1020&amp;X1020,game_rosters!U:W,3,FALSE),"")</f>
        <v>P100078</v>
      </c>
      <c r="BU1020" t="str">
        <f t="shared" si="618"/>
        <v>Nelson</v>
      </c>
    </row>
    <row r="1021" spans="1:73" x14ac:dyDescent="0.2">
      <c r="A1021">
        <f t="shared" si="604"/>
        <v>1</v>
      </c>
      <c r="J1021" s="44" t="str">
        <f t="shared" si="619"/>
        <v/>
      </c>
      <c r="K1021" t="s">
        <v>9</v>
      </c>
      <c r="L1021" t="s">
        <v>183</v>
      </c>
      <c r="M1021" t="s">
        <v>80</v>
      </c>
      <c r="S1021">
        <v>553</v>
      </c>
      <c r="W1021" t="str">
        <f t="shared" si="595"/>
        <v>h</v>
      </c>
      <c r="X1021">
        <v>42</v>
      </c>
      <c r="Y1021" t="e">
        <f>IF(X1021&lt;&gt;"",VLOOKUP(X1021,game_rosters!$C$43:$E$64,3,FALSE))</f>
        <v>#N/A</v>
      </c>
      <c r="Z1021" t="str" cm="1">
        <f t="array" ref="Z1021">IFERROR(IF(_xlfn._xlws.FILTER(game_rosters!$J:$J,(game_rosters!$G:$G=events!$AN1021)*(game_rosters!$J:$J=events!$X1021))&gt;0,1,""),"")</f>
        <v/>
      </c>
      <c r="AA1021">
        <f t="shared" si="643"/>
        <v>1553</v>
      </c>
      <c r="AB1021" t="str">
        <f t="shared" si="644"/>
        <v/>
      </c>
      <c r="AC1021">
        <f t="shared" si="592"/>
        <v>1553</v>
      </c>
      <c r="AD1021" s="6">
        <v>2</v>
      </c>
      <c r="AE1021" t="s">
        <v>926</v>
      </c>
      <c r="AF1021" t="s">
        <v>413</v>
      </c>
      <c r="AG1021" t="s">
        <v>756</v>
      </c>
      <c r="AH1021" t="s">
        <v>756</v>
      </c>
      <c r="AI1021" t="s">
        <v>368</v>
      </c>
      <c r="AJ1021" t="str">
        <f t="shared" ref="AJ1021:AK1021" si="677">IF($J1021&lt;&gt;"",$J1021,IF($AC1021=$AC1020,AJ1020,""))</f>
        <v/>
      </c>
      <c r="AK1021" t="str">
        <f t="shared" si="677"/>
        <v/>
      </c>
      <c r="AL1021" t="str">
        <f t="shared" si="597"/>
        <v/>
      </c>
      <c r="AN1021" t="s">
        <v>861</v>
      </c>
      <c r="AO1021" t="str">
        <f t="shared" si="598"/>
        <v>h</v>
      </c>
      <c r="AP1021" t="str">
        <f t="shared" si="606"/>
        <v/>
      </c>
      <c r="AQ1021" t="str">
        <f t="shared" si="607"/>
        <v/>
      </c>
      <c r="AR1021" t="str">
        <f t="shared" si="608"/>
        <v>Home</v>
      </c>
      <c r="AS1021" t="str">
        <f t="shared" si="609"/>
        <v>h</v>
      </c>
      <c r="AT1021" t="str">
        <f t="shared" si="610"/>
        <v>Offensive</v>
      </c>
      <c r="BA1021" s="6">
        <f t="shared" si="599"/>
        <v>265</v>
      </c>
      <c r="BB1021">
        <f t="shared" si="600"/>
        <v>18981</v>
      </c>
      <c r="BC1021" t="str">
        <f t="shared" si="601"/>
        <v>Nelson</v>
      </c>
      <c r="BD1021" t="str">
        <f t="shared" si="602"/>
        <v>Velodrome</v>
      </c>
      <c r="BE1021" t="s">
        <v>9</v>
      </c>
      <c r="BF1021" t="s">
        <v>183</v>
      </c>
      <c r="BG1021" t="s">
        <v>80</v>
      </c>
      <c r="BI1021" cm="1">
        <f t="array" ref="BI1021">IFERROR(_xlfn._xlws.FILTER(shifts!A:A,(shifts!B:B=events!AD1021)*(shifts!AG:AG&gt;=events!BK1021)*(shifts!AH:AH&lt;=events!BL1021)),BI1020)</f>
        <v>48</v>
      </c>
      <c r="BJ1021" s="15">
        <f t="shared" si="603"/>
        <v>0</v>
      </c>
      <c r="BK1021">
        <f t="shared" si="611"/>
        <v>780</v>
      </c>
      <c r="BL1021">
        <f t="shared" si="612"/>
        <v>780</v>
      </c>
      <c r="BM1021" s="15">
        <f>SUMIFS(BJ$2:BJ1021,K$2:K1021,"=Intermission")+SUMIFS(BJ$2:BJ1021,K$2:K1021,"=Timeout")</f>
        <v>72</v>
      </c>
      <c r="BN1021">
        <f t="shared" si="613"/>
        <v>1152</v>
      </c>
      <c r="BO1021" s="19">
        <f t="shared" si="614"/>
        <v>1452</v>
      </c>
      <c r="BP1021">
        <f t="shared" si="615"/>
        <v>1447</v>
      </c>
      <c r="BQ1021" s="17">
        <f t="shared" si="616"/>
        <v>1452</v>
      </c>
      <c r="BR1021" t="str">
        <f t="shared" si="617"/>
        <v>opp_team_player_1</v>
      </c>
      <c r="BS1021">
        <f>COUNTIFS(S$3:S1021,"="&amp;S1021,AI$3:AI1021,"="&amp;AI1021)</f>
        <v>1</v>
      </c>
      <c r="BT1021" t="str">
        <f>IFERROR(VLOOKUP(BB1021&amp;BU1021&amp;X1021,game_rosters!U:W,3,FALSE),"")</f>
        <v>P100201</v>
      </c>
      <c r="BU1021" t="str">
        <f t="shared" si="618"/>
        <v>Velodrome</v>
      </c>
    </row>
    <row r="1022" spans="1:73" x14ac:dyDescent="0.2">
      <c r="A1022">
        <f t="shared" si="604"/>
        <v>1</v>
      </c>
      <c r="J1022" s="44" t="str">
        <f t="shared" si="619"/>
        <v/>
      </c>
      <c r="K1022" t="s">
        <v>7</v>
      </c>
      <c r="L1022" t="s">
        <v>172</v>
      </c>
      <c r="M1022" t="s">
        <v>66</v>
      </c>
      <c r="S1022">
        <v>554</v>
      </c>
      <c r="W1022" t="str">
        <f t="shared" si="595"/>
        <v>h</v>
      </c>
      <c r="X1022">
        <v>10</v>
      </c>
      <c r="Y1022" t="b">
        <f>IF(X1022&lt;&gt;"",VLOOKUP(X1022,game_rosters!$C$43:$E$64,3,FALSE))</f>
        <v>0</v>
      </c>
      <c r="Z1022" cm="1">
        <f t="array" ref="Z1022">IFERROR(IF(_xlfn._xlws.FILTER(game_rosters!$J:$J,(game_rosters!$G:$G=events!$AN1022)*(game_rosters!$J:$J=events!$X1022))&gt;0,1,""),"")</f>
        <v>1</v>
      </c>
      <c r="AA1022">
        <f t="shared" si="643"/>
        <v>1554</v>
      </c>
      <c r="AB1022" t="str">
        <f t="shared" si="644"/>
        <v/>
      </c>
      <c r="AC1022">
        <f t="shared" si="592"/>
        <v>1554</v>
      </c>
      <c r="AD1022" s="6">
        <v>2</v>
      </c>
      <c r="AE1022" t="s">
        <v>746</v>
      </c>
      <c r="AF1022" t="s">
        <v>896</v>
      </c>
      <c r="AG1022" t="s">
        <v>756</v>
      </c>
      <c r="AH1022" t="s">
        <v>756</v>
      </c>
      <c r="AI1022" t="s">
        <v>367</v>
      </c>
      <c r="AJ1022" t="str">
        <f t="shared" ref="AJ1022:AK1022" si="678">IF($J1022&lt;&gt;"",$J1022,IF($AC1022=$AC1021,AJ1021,""))</f>
        <v/>
      </c>
      <c r="AK1022" t="str">
        <f t="shared" si="678"/>
        <v/>
      </c>
      <c r="AL1022" t="str">
        <f t="shared" si="597"/>
        <v/>
      </c>
      <c r="AN1022" t="s">
        <v>861</v>
      </c>
      <c r="AO1022" t="str">
        <f t="shared" si="598"/>
        <v>h</v>
      </c>
      <c r="AP1022" t="str">
        <f t="shared" si="606"/>
        <v/>
      </c>
      <c r="AQ1022" t="str">
        <f t="shared" si="607"/>
        <v/>
      </c>
      <c r="AR1022" t="str">
        <f t="shared" si="608"/>
        <v>Home</v>
      </c>
      <c r="AS1022" t="str">
        <f t="shared" si="609"/>
        <v>h</v>
      </c>
      <c r="AT1022" t="str">
        <f t="shared" si="610"/>
        <v>Offensive</v>
      </c>
      <c r="BA1022" s="6">
        <f t="shared" si="599"/>
        <v>265</v>
      </c>
      <c r="BB1022">
        <f t="shared" si="600"/>
        <v>18981</v>
      </c>
      <c r="BC1022" t="str">
        <f t="shared" si="601"/>
        <v>Nelson</v>
      </c>
      <c r="BD1022" t="str">
        <f t="shared" si="602"/>
        <v>Velodrome</v>
      </c>
      <c r="BE1022" t="s">
        <v>7</v>
      </c>
      <c r="BF1022" t="s">
        <v>172</v>
      </c>
      <c r="BG1022" t="s">
        <v>66</v>
      </c>
      <c r="BI1022" cm="1">
        <f t="array" ref="BI1022">IFERROR(_xlfn._xlws.FILTER(shifts!A:A,(shifts!B:B=events!AD1022)*(shifts!AG:AG&gt;=events!BK1022)*(shifts!AH:AH&lt;=events!BL1022)),BI1021)</f>
        <v>48</v>
      </c>
      <c r="BJ1022" s="15">
        <f t="shared" si="603"/>
        <v>0</v>
      </c>
      <c r="BK1022">
        <f t="shared" si="611"/>
        <v>779</v>
      </c>
      <c r="BL1022">
        <f t="shared" si="612"/>
        <v>779</v>
      </c>
      <c r="BM1022" s="15">
        <f>SUMIFS(BJ$2:BJ1022,K$2:K1022,"=Intermission")+SUMIFS(BJ$2:BJ1022,K$2:K1022,"=Timeout")</f>
        <v>72</v>
      </c>
      <c r="BN1022">
        <f t="shared" si="613"/>
        <v>1152</v>
      </c>
      <c r="BO1022" s="19">
        <f t="shared" si="614"/>
        <v>1453</v>
      </c>
      <c r="BP1022">
        <f t="shared" si="615"/>
        <v>1448</v>
      </c>
      <c r="BQ1022" s="17">
        <f t="shared" si="616"/>
        <v>1453</v>
      </c>
      <c r="BR1022" t="str">
        <f t="shared" si="617"/>
        <v>event_team_player_1</v>
      </c>
      <c r="BS1022">
        <f>COUNTIFS(S$3:S1022,"="&amp;S1022,AI$3:AI1022,"="&amp;AI1022)</f>
        <v>1</v>
      </c>
      <c r="BT1022" t="str">
        <f>IFERROR(VLOOKUP(BB1022&amp;BU1022&amp;X1022,game_rosters!U:W,3,FALSE),"")</f>
        <v>P100078</v>
      </c>
      <c r="BU1022" t="str">
        <f t="shared" si="618"/>
        <v>Nelson</v>
      </c>
    </row>
    <row r="1023" spans="1:73" x14ac:dyDescent="0.2">
      <c r="A1023">
        <f t="shared" si="604"/>
        <v>1</v>
      </c>
      <c r="J1023" s="44" t="str">
        <f t="shared" si="619"/>
        <v/>
      </c>
      <c r="K1023" t="s">
        <v>7</v>
      </c>
      <c r="L1023" t="s">
        <v>172</v>
      </c>
      <c r="M1023" t="s">
        <v>66</v>
      </c>
      <c r="S1023">
        <v>554</v>
      </c>
      <c r="W1023" t="str">
        <f t="shared" si="595"/>
        <v>h</v>
      </c>
      <c r="X1023">
        <v>80</v>
      </c>
      <c r="Y1023" t="b">
        <f>IF(X1023&lt;&gt;"",VLOOKUP(X1023,game_rosters!$C$43:$E$64,3,FALSE))</f>
        <v>0</v>
      </c>
      <c r="Z1023" cm="1">
        <f t="array" ref="Z1023">IFERROR(IF(_xlfn._xlws.FILTER(game_rosters!$J:$J,(game_rosters!$G:$G=events!$AN1023)*(game_rosters!$J:$J=events!$X1023))&gt;0,1,""),"")</f>
        <v>1</v>
      </c>
      <c r="AA1023">
        <f t="shared" si="643"/>
        <v>1554</v>
      </c>
      <c r="AB1023" t="str">
        <f t="shared" si="644"/>
        <v/>
      </c>
      <c r="AC1023">
        <f t="shared" si="592"/>
        <v>1554</v>
      </c>
      <c r="AD1023" s="6">
        <v>2</v>
      </c>
      <c r="AE1023" t="s">
        <v>746</v>
      </c>
      <c r="AF1023" t="s">
        <v>896</v>
      </c>
      <c r="AG1023" t="s">
        <v>756</v>
      </c>
      <c r="AH1023" t="s">
        <v>756</v>
      </c>
      <c r="AI1023" t="s">
        <v>367</v>
      </c>
      <c r="AJ1023" t="str">
        <f t="shared" ref="AJ1023:AK1023" si="679">IF($J1023&lt;&gt;"",$J1023,IF($AC1023=$AC1022,AJ1022,""))</f>
        <v/>
      </c>
      <c r="AK1023" t="str">
        <f t="shared" si="679"/>
        <v/>
      </c>
      <c r="AL1023" t="str">
        <f t="shared" si="597"/>
        <v/>
      </c>
      <c r="AN1023" t="s">
        <v>861</v>
      </c>
      <c r="AO1023" t="str">
        <f t="shared" si="598"/>
        <v>h</v>
      </c>
      <c r="AP1023" t="str">
        <f t="shared" si="606"/>
        <v/>
      </c>
      <c r="AQ1023" t="str">
        <f t="shared" si="607"/>
        <v/>
      </c>
      <c r="AR1023" t="str">
        <f t="shared" si="608"/>
        <v>Home</v>
      </c>
      <c r="AS1023" t="str">
        <f t="shared" si="609"/>
        <v>h</v>
      </c>
      <c r="AT1023" t="str">
        <f t="shared" si="610"/>
        <v>Offensive</v>
      </c>
      <c r="BA1023" s="6">
        <f t="shared" si="599"/>
        <v>265</v>
      </c>
      <c r="BB1023">
        <f t="shared" si="600"/>
        <v>18981</v>
      </c>
      <c r="BC1023" t="str">
        <f t="shared" si="601"/>
        <v>Nelson</v>
      </c>
      <c r="BD1023" t="str">
        <f t="shared" si="602"/>
        <v>Velodrome</v>
      </c>
      <c r="BE1023" t="s">
        <v>7</v>
      </c>
      <c r="BF1023" t="s">
        <v>172</v>
      </c>
      <c r="BG1023" t="s">
        <v>66</v>
      </c>
      <c r="BI1023" cm="1">
        <f t="array" ref="BI1023">IFERROR(_xlfn._xlws.FILTER(shifts!A:A,(shifts!B:B=events!AD1023)*(shifts!AG:AG&gt;=events!BK1023)*(shifts!AH:AH&lt;=events!BL1023)),BI1022)</f>
        <v>48</v>
      </c>
      <c r="BJ1023" s="15">
        <f t="shared" si="603"/>
        <v>0</v>
      </c>
      <c r="BK1023">
        <f t="shared" si="611"/>
        <v>779</v>
      </c>
      <c r="BL1023">
        <f t="shared" si="612"/>
        <v>779</v>
      </c>
      <c r="BM1023" s="15">
        <f>SUMIFS(BJ$2:BJ1023,K$2:K1023,"=Intermission")+SUMIFS(BJ$2:BJ1023,K$2:K1023,"=Timeout")</f>
        <v>72</v>
      </c>
      <c r="BN1023">
        <f t="shared" si="613"/>
        <v>1152</v>
      </c>
      <c r="BO1023" s="19">
        <f t="shared" si="614"/>
        <v>1453</v>
      </c>
      <c r="BP1023">
        <f t="shared" si="615"/>
        <v>1448</v>
      </c>
      <c r="BQ1023" s="17">
        <f t="shared" si="616"/>
        <v>1453</v>
      </c>
      <c r="BR1023" t="str">
        <f t="shared" si="617"/>
        <v>event_team_player_2</v>
      </c>
      <c r="BS1023">
        <f>COUNTIFS(S$3:S1023,"="&amp;S1023,AI$3:AI1023,"="&amp;AI1023)</f>
        <v>2</v>
      </c>
      <c r="BT1023" t="str">
        <f>IFERROR(VLOOKUP(BB1023&amp;BU1023&amp;X1023,game_rosters!U:W,3,FALSE),"")</f>
        <v>P100197</v>
      </c>
      <c r="BU1023" t="str">
        <f t="shared" si="618"/>
        <v>Nelson</v>
      </c>
    </row>
    <row r="1024" spans="1:73" x14ac:dyDescent="0.2">
      <c r="A1024">
        <f t="shared" si="604"/>
        <v>1</v>
      </c>
      <c r="J1024" s="44" t="str">
        <f t="shared" si="619"/>
        <v>o</v>
      </c>
      <c r="K1024" t="s">
        <v>6</v>
      </c>
      <c r="L1024" t="s">
        <v>205</v>
      </c>
      <c r="M1024" t="s">
        <v>63</v>
      </c>
      <c r="S1024">
        <v>555</v>
      </c>
      <c r="W1024" t="str">
        <f t="shared" si="595"/>
        <v>h</v>
      </c>
      <c r="X1024">
        <v>10</v>
      </c>
      <c r="Y1024" t="b">
        <f>IF(X1024&lt;&gt;"",VLOOKUP(X1024,game_rosters!$C$43:$E$64,3,FALSE))</f>
        <v>0</v>
      </c>
      <c r="Z1024" cm="1">
        <f t="array" ref="Z1024">IFERROR(IF(_xlfn._xlws.FILTER(game_rosters!$J:$J,(game_rosters!$G:$G=events!$AN1024)*(game_rosters!$J:$J=events!$X1024))&gt;0,1,""),"")</f>
        <v>1</v>
      </c>
      <c r="AA1024">
        <f t="shared" si="643"/>
        <v>1555</v>
      </c>
      <c r="AB1024" t="str">
        <f t="shared" si="644"/>
        <v/>
      </c>
      <c r="AC1024">
        <f t="shared" si="592"/>
        <v>1555</v>
      </c>
      <c r="AD1024" s="6">
        <v>2</v>
      </c>
      <c r="AE1024" t="s">
        <v>746</v>
      </c>
      <c r="AF1024" t="s">
        <v>932</v>
      </c>
      <c r="AG1024" t="s">
        <v>756</v>
      </c>
      <c r="AH1024" t="s">
        <v>756</v>
      </c>
      <c r="AI1024" t="s">
        <v>367</v>
      </c>
      <c r="AJ1024" t="str">
        <f t="shared" ref="AJ1024:AK1024" si="680">IF($J1024&lt;&gt;"",$J1024,IF($AC1024=$AC1023,AJ1023,""))</f>
        <v>o</v>
      </c>
      <c r="AK1024" t="str">
        <f t="shared" si="680"/>
        <v>o</v>
      </c>
      <c r="AL1024" t="str">
        <f t="shared" si="597"/>
        <v>o</v>
      </c>
      <c r="AN1024" t="s">
        <v>861</v>
      </c>
      <c r="AO1024" t="str">
        <f t="shared" si="598"/>
        <v>h</v>
      </c>
      <c r="AP1024" t="str">
        <f t="shared" si="606"/>
        <v>o</v>
      </c>
      <c r="AQ1024" t="str">
        <f t="shared" si="607"/>
        <v/>
      </c>
      <c r="AR1024" t="str">
        <f t="shared" si="608"/>
        <v>Home</v>
      </c>
      <c r="AS1024" t="str">
        <f t="shared" si="609"/>
        <v>h</v>
      </c>
      <c r="AT1024" t="str">
        <f t="shared" si="610"/>
        <v>Offensive</v>
      </c>
      <c r="BA1024" s="6">
        <f t="shared" si="599"/>
        <v>265</v>
      </c>
      <c r="BB1024">
        <f t="shared" si="600"/>
        <v>18981</v>
      </c>
      <c r="BC1024" t="str">
        <f t="shared" si="601"/>
        <v>Nelson</v>
      </c>
      <c r="BD1024" t="str">
        <f t="shared" si="602"/>
        <v>Velodrome</v>
      </c>
      <c r="BE1024" t="s">
        <v>6</v>
      </c>
      <c r="BF1024" t="s">
        <v>205</v>
      </c>
      <c r="BG1024" t="s">
        <v>63</v>
      </c>
      <c r="BI1024" cm="1">
        <f t="array" ref="BI1024">IFERROR(_xlfn._xlws.FILTER(shifts!A:A,(shifts!B:B=events!AD1024)*(shifts!AG:AG&gt;=events!BK1024)*(shifts!AH:AH&lt;=events!BL1024)),BI1023)</f>
        <v>48</v>
      </c>
      <c r="BJ1024" s="15">
        <f t="shared" si="603"/>
        <v>0</v>
      </c>
      <c r="BK1024">
        <f t="shared" si="611"/>
        <v>778</v>
      </c>
      <c r="BL1024">
        <f t="shared" si="612"/>
        <v>778</v>
      </c>
      <c r="BM1024" s="15">
        <f>SUMIFS(BJ$2:BJ1024,K$2:K1024,"=Intermission")+SUMIFS(BJ$2:BJ1024,K$2:K1024,"=Timeout")</f>
        <v>72</v>
      </c>
      <c r="BN1024">
        <f t="shared" si="613"/>
        <v>1152</v>
      </c>
      <c r="BO1024" s="19">
        <f t="shared" si="614"/>
        <v>1454</v>
      </c>
      <c r="BP1024">
        <f t="shared" si="615"/>
        <v>1449</v>
      </c>
      <c r="BQ1024" s="17">
        <f t="shared" si="616"/>
        <v>1454</v>
      </c>
      <c r="BR1024" t="str">
        <f t="shared" si="617"/>
        <v>event_team_player_1</v>
      </c>
      <c r="BS1024">
        <f>COUNTIFS(S$3:S1024,"="&amp;S1024,AI$3:AI1024,"="&amp;AI1024)</f>
        <v>1</v>
      </c>
      <c r="BT1024" t="str">
        <f>IFERROR(VLOOKUP(BB1024&amp;BU1024&amp;X1024,game_rosters!U:W,3,FALSE),"")</f>
        <v>P100078</v>
      </c>
      <c r="BU1024" t="str">
        <f t="shared" si="618"/>
        <v>Nelson</v>
      </c>
    </row>
    <row r="1025" spans="1:73" x14ac:dyDescent="0.2">
      <c r="A1025">
        <f t="shared" si="604"/>
        <v>1</v>
      </c>
      <c r="J1025" s="44" t="str">
        <f t="shared" si="619"/>
        <v>o</v>
      </c>
      <c r="K1025" t="s">
        <v>6</v>
      </c>
      <c r="L1025" t="s">
        <v>205</v>
      </c>
      <c r="M1025" t="s">
        <v>63</v>
      </c>
      <c r="S1025">
        <v>555</v>
      </c>
      <c r="W1025" t="str">
        <f t="shared" si="595"/>
        <v>h</v>
      </c>
      <c r="X1025">
        <v>39</v>
      </c>
      <c r="Y1025" t="e">
        <f>IF(X1025&lt;&gt;"",VLOOKUP(X1025,game_rosters!$C$43:$E$64,3,FALSE))</f>
        <v>#N/A</v>
      </c>
      <c r="Z1025" t="str" cm="1">
        <f t="array" ref="Z1025">IFERROR(IF(_xlfn._xlws.FILTER(game_rosters!$J:$J,(game_rosters!$G:$G=events!$AN1025)*(game_rosters!$J:$J=events!$X1025))&gt;0,1,""),"")</f>
        <v/>
      </c>
      <c r="AA1025">
        <f t="shared" si="643"/>
        <v>1555</v>
      </c>
      <c r="AB1025" t="str">
        <f t="shared" si="644"/>
        <v/>
      </c>
      <c r="AC1025">
        <f t="shared" si="592"/>
        <v>1555</v>
      </c>
      <c r="AD1025" s="6">
        <v>2</v>
      </c>
      <c r="AE1025" t="s">
        <v>746</v>
      </c>
      <c r="AF1025" t="s">
        <v>932</v>
      </c>
      <c r="AG1025" t="s">
        <v>756</v>
      </c>
      <c r="AH1025" t="s">
        <v>756</v>
      </c>
      <c r="AI1025" t="s">
        <v>368</v>
      </c>
      <c r="AJ1025" t="str">
        <f t="shared" ref="AJ1025:AK1025" si="681">IF($J1025&lt;&gt;"",$J1025,IF($AC1025=$AC1024,AJ1024,""))</f>
        <v>o</v>
      </c>
      <c r="AK1025" t="str">
        <f t="shared" si="681"/>
        <v>o</v>
      </c>
      <c r="AL1025" t="str">
        <f t="shared" si="597"/>
        <v>o</v>
      </c>
      <c r="AN1025" t="s">
        <v>861</v>
      </c>
      <c r="AO1025" t="str">
        <f t="shared" si="598"/>
        <v>h</v>
      </c>
      <c r="AP1025" t="str">
        <f t="shared" si="606"/>
        <v>o</v>
      </c>
      <c r="AQ1025" t="str">
        <f t="shared" si="607"/>
        <v/>
      </c>
      <c r="AR1025" t="str">
        <f t="shared" si="608"/>
        <v>Home</v>
      </c>
      <c r="AS1025" t="str">
        <f t="shared" si="609"/>
        <v>h</v>
      </c>
      <c r="AT1025" t="str">
        <f t="shared" si="610"/>
        <v>Defensive</v>
      </c>
      <c r="BA1025" s="6">
        <f t="shared" si="599"/>
        <v>265</v>
      </c>
      <c r="BB1025">
        <f t="shared" si="600"/>
        <v>18981</v>
      </c>
      <c r="BC1025" t="str">
        <f t="shared" si="601"/>
        <v>Nelson</v>
      </c>
      <c r="BD1025" t="str">
        <f t="shared" si="602"/>
        <v>Velodrome</v>
      </c>
      <c r="BE1025" t="s">
        <v>6</v>
      </c>
      <c r="BF1025" t="s">
        <v>205</v>
      </c>
      <c r="BG1025" t="s">
        <v>63</v>
      </c>
      <c r="BI1025" cm="1">
        <f t="array" ref="BI1025">IFERROR(_xlfn._xlws.FILTER(shifts!A:A,(shifts!B:B=events!AD1025)*(shifts!AG:AG&gt;=events!BK1025)*(shifts!AH:AH&lt;=events!BL1025)),BI1024)</f>
        <v>48</v>
      </c>
      <c r="BJ1025" s="15">
        <f t="shared" si="603"/>
        <v>0</v>
      </c>
      <c r="BK1025">
        <f t="shared" si="611"/>
        <v>778</v>
      </c>
      <c r="BL1025">
        <f t="shared" si="612"/>
        <v>778</v>
      </c>
      <c r="BM1025" s="15">
        <f>SUMIFS(BJ$2:BJ1025,K$2:K1025,"=Intermission")+SUMIFS(BJ$2:BJ1025,K$2:K1025,"=Timeout")</f>
        <v>72</v>
      </c>
      <c r="BN1025">
        <f t="shared" si="613"/>
        <v>1152</v>
      </c>
      <c r="BO1025" s="19">
        <f t="shared" si="614"/>
        <v>1454</v>
      </c>
      <c r="BP1025">
        <f t="shared" si="615"/>
        <v>1449</v>
      </c>
      <c r="BQ1025" s="17">
        <f t="shared" si="616"/>
        <v>1454</v>
      </c>
      <c r="BR1025" t="str">
        <f t="shared" si="617"/>
        <v>opp_team_player_1</v>
      </c>
      <c r="BS1025">
        <f>COUNTIFS(S$3:S1025,"="&amp;S1025,AI$3:AI1025,"="&amp;AI1025)</f>
        <v>1</v>
      </c>
      <c r="BT1025" t="str">
        <f>IFERROR(VLOOKUP(BB1025&amp;BU1025&amp;X1025,game_rosters!U:W,3,FALSE),"")</f>
        <v>P100016</v>
      </c>
      <c r="BU1025" t="str">
        <f t="shared" si="618"/>
        <v>Velodrome</v>
      </c>
    </row>
    <row r="1026" spans="1:73" x14ac:dyDescent="0.2">
      <c r="A1026">
        <f t="shared" si="604"/>
        <v>1</v>
      </c>
      <c r="J1026" s="44" t="str">
        <f t="shared" si="619"/>
        <v>d</v>
      </c>
      <c r="K1026" t="s">
        <v>15</v>
      </c>
      <c r="L1026" t="s">
        <v>179</v>
      </c>
      <c r="M1026" t="s">
        <v>96</v>
      </c>
      <c r="S1026">
        <v>556</v>
      </c>
      <c r="W1026" t="str">
        <f t="shared" si="595"/>
        <v>a</v>
      </c>
      <c r="X1026">
        <v>39</v>
      </c>
      <c r="Y1026" t="e">
        <f>IF(X1026&lt;&gt;"",VLOOKUP(X1026,game_rosters!$C$43:$E$64,3,FALSE))</f>
        <v>#N/A</v>
      </c>
      <c r="Z1026" cm="1">
        <f t="array" ref="Z1026">IFERROR(IF(_xlfn._xlws.FILTER(game_rosters!$J:$J,(game_rosters!$G:$G=events!$AN1026)*(game_rosters!$J:$J=events!$X1026))&gt;0,1,""),"")</f>
        <v>1</v>
      </c>
      <c r="AA1026">
        <f t="shared" si="643"/>
        <v>1556</v>
      </c>
      <c r="AB1026" t="str">
        <f t="shared" si="644"/>
        <v/>
      </c>
      <c r="AC1026">
        <f t="shared" ref="AC1026:AC1089" si="682">IF(AB1026&lt;&gt;"",AB1026,S1026+1000)</f>
        <v>1556</v>
      </c>
      <c r="AD1026" s="6">
        <v>2</v>
      </c>
      <c r="AE1026" t="s">
        <v>746</v>
      </c>
      <c r="AF1026" t="s">
        <v>932</v>
      </c>
      <c r="AG1026" t="s">
        <v>756</v>
      </c>
      <c r="AH1026" t="s">
        <v>756</v>
      </c>
      <c r="AI1026" t="s">
        <v>367</v>
      </c>
      <c r="AJ1026" t="str">
        <f t="shared" ref="AJ1026:AK1026" si="683">IF($J1026&lt;&gt;"",$J1026,IF($AC1026=$AC1025,AJ1025,""))</f>
        <v>d</v>
      </c>
      <c r="AK1026" t="str">
        <f t="shared" si="683"/>
        <v>d</v>
      </c>
      <c r="AL1026" t="str">
        <f t="shared" si="597"/>
        <v>o</v>
      </c>
      <c r="AN1026" t="s">
        <v>862</v>
      </c>
      <c r="AO1026" t="str">
        <f t="shared" si="598"/>
        <v>a</v>
      </c>
      <c r="AP1026" t="str">
        <f t="shared" si="606"/>
        <v>o</v>
      </c>
      <c r="AQ1026" t="str">
        <f t="shared" si="607"/>
        <v/>
      </c>
      <c r="AR1026" t="str">
        <f t="shared" si="608"/>
        <v>Away</v>
      </c>
      <c r="AS1026" t="str">
        <f t="shared" si="609"/>
        <v>a</v>
      </c>
      <c r="AT1026" t="str">
        <f t="shared" si="610"/>
        <v>Defensive</v>
      </c>
      <c r="BA1026" s="6">
        <f t="shared" si="599"/>
        <v>265</v>
      </c>
      <c r="BB1026">
        <f t="shared" si="600"/>
        <v>18981</v>
      </c>
      <c r="BC1026" t="str">
        <f t="shared" si="601"/>
        <v>Nelson</v>
      </c>
      <c r="BD1026" t="str">
        <f t="shared" si="602"/>
        <v>Velodrome</v>
      </c>
      <c r="BE1026" t="s">
        <v>15</v>
      </c>
      <c r="BF1026" t="s">
        <v>179</v>
      </c>
      <c r="BG1026" t="s">
        <v>96</v>
      </c>
      <c r="BI1026" cm="1">
        <f t="array" ref="BI1026">IFERROR(_xlfn._xlws.FILTER(shifts!A:A,(shifts!B:B=events!AD1026)*(shifts!AG:AG&gt;=events!BK1026)*(shifts!AH:AH&lt;=events!BL1026)),BI1025)</f>
        <v>48</v>
      </c>
      <c r="BJ1026" s="15">
        <f t="shared" si="603"/>
        <v>0</v>
      </c>
      <c r="BK1026">
        <f t="shared" si="611"/>
        <v>778</v>
      </c>
      <c r="BL1026">
        <f t="shared" si="612"/>
        <v>778</v>
      </c>
      <c r="BM1026" s="15">
        <f>SUMIFS(BJ$2:BJ1026,K$2:K1026,"=Intermission")+SUMIFS(BJ$2:BJ1026,K$2:K1026,"=Timeout")</f>
        <v>72</v>
      </c>
      <c r="BN1026">
        <f t="shared" si="613"/>
        <v>1152</v>
      </c>
      <c r="BO1026" s="19">
        <f t="shared" si="614"/>
        <v>1454</v>
      </c>
      <c r="BP1026">
        <f t="shared" si="615"/>
        <v>1449</v>
      </c>
      <c r="BQ1026" s="17">
        <f t="shared" si="616"/>
        <v>1454</v>
      </c>
      <c r="BR1026" t="str">
        <f t="shared" si="617"/>
        <v>event_team_player_1</v>
      </c>
      <c r="BS1026">
        <f>COUNTIFS(S$3:S1026,"="&amp;S1026,AI$3:AI1026,"="&amp;AI1026)</f>
        <v>1</v>
      </c>
      <c r="BT1026" t="str">
        <f>IFERROR(VLOOKUP(BB1026&amp;BU1026&amp;X1026,game_rosters!U:W,3,FALSE),"")</f>
        <v>P100016</v>
      </c>
      <c r="BU1026" t="str">
        <f t="shared" si="618"/>
        <v>Velodrome</v>
      </c>
    </row>
    <row r="1027" spans="1:73" x14ac:dyDescent="0.2">
      <c r="A1027">
        <f t="shared" si="604"/>
        <v>1</v>
      </c>
      <c r="J1027" s="44" t="str">
        <f t="shared" si="619"/>
        <v>d</v>
      </c>
      <c r="K1027" t="s">
        <v>15</v>
      </c>
      <c r="L1027" t="s">
        <v>179</v>
      </c>
      <c r="M1027" t="s">
        <v>96</v>
      </c>
      <c r="S1027">
        <v>556</v>
      </c>
      <c r="W1027" t="str">
        <f t="shared" si="595"/>
        <v>a</v>
      </c>
      <c r="X1027">
        <v>10</v>
      </c>
      <c r="Y1027" t="b">
        <f>IF(X1027&lt;&gt;"",VLOOKUP(X1027,game_rosters!$C$43:$E$64,3,FALSE))</f>
        <v>0</v>
      </c>
      <c r="Z1027" t="str" cm="1">
        <f t="array" ref="Z1027">IFERROR(IF(_xlfn._xlws.FILTER(game_rosters!$J:$J,(game_rosters!$G:$G=events!$AN1027)*(game_rosters!$J:$J=events!$X1027))&gt;0,1,""),"")</f>
        <v/>
      </c>
      <c r="AA1027">
        <f t="shared" si="643"/>
        <v>1556</v>
      </c>
      <c r="AB1027" t="str">
        <f t="shared" si="644"/>
        <v/>
      </c>
      <c r="AC1027">
        <f t="shared" si="682"/>
        <v>1556</v>
      </c>
      <c r="AD1027" s="6">
        <v>2</v>
      </c>
      <c r="AE1027" t="s">
        <v>746</v>
      </c>
      <c r="AF1027" t="s">
        <v>932</v>
      </c>
      <c r="AG1027" t="s">
        <v>756</v>
      </c>
      <c r="AH1027" t="s">
        <v>756</v>
      </c>
      <c r="AI1027" t="s">
        <v>368</v>
      </c>
      <c r="AJ1027" t="str">
        <f t="shared" ref="AJ1027:AK1027" si="684">IF($J1027&lt;&gt;"",$J1027,IF($AC1027=$AC1026,AJ1026,""))</f>
        <v>d</v>
      </c>
      <c r="AK1027" t="str">
        <f t="shared" si="684"/>
        <v>d</v>
      </c>
      <c r="AL1027" t="str">
        <f t="shared" si="597"/>
        <v>o</v>
      </c>
      <c r="AN1027" t="s">
        <v>862</v>
      </c>
      <c r="AO1027" t="str">
        <f t="shared" si="598"/>
        <v>a</v>
      </c>
      <c r="AP1027" t="str">
        <f t="shared" si="606"/>
        <v>o</v>
      </c>
      <c r="AQ1027" t="str">
        <f t="shared" si="607"/>
        <v/>
      </c>
      <c r="AR1027" t="str">
        <f t="shared" si="608"/>
        <v>Away</v>
      </c>
      <c r="AS1027" t="str">
        <f t="shared" si="609"/>
        <v>a</v>
      </c>
      <c r="AT1027" t="str">
        <f t="shared" si="610"/>
        <v>Offensive</v>
      </c>
      <c r="BA1027" s="6">
        <f t="shared" si="599"/>
        <v>265</v>
      </c>
      <c r="BB1027">
        <f t="shared" si="600"/>
        <v>18981</v>
      </c>
      <c r="BC1027" t="str">
        <f t="shared" si="601"/>
        <v>Nelson</v>
      </c>
      <c r="BD1027" t="str">
        <f t="shared" si="602"/>
        <v>Velodrome</v>
      </c>
      <c r="BE1027" t="s">
        <v>15</v>
      </c>
      <c r="BF1027" t="s">
        <v>179</v>
      </c>
      <c r="BG1027" t="s">
        <v>96</v>
      </c>
      <c r="BI1027" cm="1">
        <f t="array" ref="BI1027">IFERROR(_xlfn._xlws.FILTER(shifts!A:A,(shifts!B:B=events!AD1027)*(shifts!AG:AG&gt;=events!BK1027)*(shifts!AH:AH&lt;=events!BL1027)),BI1026)</f>
        <v>48</v>
      </c>
      <c r="BJ1027" s="15">
        <f t="shared" si="603"/>
        <v>0</v>
      </c>
      <c r="BK1027">
        <f t="shared" si="611"/>
        <v>778</v>
      </c>
      <c r="BL1027">
        <f t="shared" si="612"/>
        <v>778</v>
      </c>
      <c r="BM1027" s="15">
        <f>SUMIFS(BJ$2:BJ1027,K$2:K1027,"=Intermission")+SUMIFS(BJ$2:BJ1027,K$2:K1027,"=Timeout")</f>
        <v>72</v>
      </c>
      <c r="BN1027">
        <f t="shared" si="613"/>
        <v>1152</v>
      </c>
      <c r="BO1027" s="19">
        <f t="shared" si="614"/>
        <v>1454</v>
      </c>
      <c r="BP1027">
        <f t="shared" si="615"/>
        <v>1449</v>
      </c>
      <c r="BQ1027" s="17">
        <f t="shared" si="616"/>
        <v>1454</v>
      </c>
      <c r="BR1027" t="str">
        <f t="shared" si="617"/>
        <v>opp_team_player_1</v>
      </c>
      <c r="BS1027">
        <f>COUNTIFS(S$3:S1027,"="&amp;S1027,AI$3:AI1027,"="&amp;AI1027)</f>
        <v>1</v>
      </c>
      <c r="BT1027" t="str">
        <f>IFERROR(VLOOKUP(BB1027&amp;BU1027&amp;X1027,game_rosters!U:W,3,FALSE),"")</f>
        <v>P100078</v>
      </c>
      <c r="BU1027" t="str">
        <f t="shared" si="618"/>
        <v>Nelson</v>
      </c>
    </row>
    <row r="1028" spans="1:73" x14ac:dyDescent="0.2">
      <c r="A1028">
        <f t="shared" si="604"/>
        <v>1</v>
      </c>
      <c r="J1028" s="44" t="str">
        <f t="shared" si="619"/>
        <v>d</v>
      </c>
      <c r="K1028" t="s">
        <v>231</v>
      </c>
      <c r="L1028" t="s">
        <v>233</v>
      </c>
      <c r="M1028" t="s">
        <v>756</v>
      </c>
      <c r="S1028">
        <v>557</v>
      </c>
      <c r="W1028" t="str">
        <f t="shared" ref="W1028:W1091" si="685">IF(AN1028="Away","a",IF(AN1028="Home","h",""))</f>
        <v>a</v>
      </c>
      <c r="X1028">
        <v>39</v>
      </c>
      <c r="Y1028" t="e">
        <f>IF(X1028&lt;&gt;"",VLOOKUP(X1028,game_rosters!$C$43:$E$64,3,FALSE))</f>
        <v>#N/A</v>
      </c>
      <c r="Z1028" cm="1">
        <f t="array" ref="Z1028">IFERROR(IF(_xlfn._xlws.FILTER(game_rosters!$J:$J,(game_rosters!$G:$G=events!$AN1028)*(game_rosters!$J:$J=events!$X1028))&gt;0,1,""),"")</f>
        <v>1</v>
      </c>
      <c r="AA1028">
        <f t="shared" si="643"/>
        <v>1557</v>
      </c>
      <c r="AB1028" t="str">
        <f t="shared" si="644"/>
        <v/>
      </c>
      <c r="AC1028">
        <f t="shared" si="682"/>
        <v>1557</v>
      </c>
      <c r="AD1028" s="6">
        <v>2</v>
      </c>
      <c r="AE1028" t="s">
        <v>746</v>
      </c>
      <c r="AF1028" t="s">
        <v>927</v>
      </c>
      <c r="AG1028" t="s">
        <v>756</v>
      </c>
      <c r="AH1028" t="s">
        <v>756</v>
      </c>
      <c r="AI1028" t="s">
        <v>367</v>
      </c>
      <c r="AJ1028" t="str">
        <f t="shared" ref="AJ1028:AK1028" si="686">IF($J1028&lt;&gt;"",$J1028,IF($AC1028=$AC1027,AJ1027,""))</f>
        <v>d</v>
      </c>
      <c r="AK1028" t="str">
        <f t="shared" si="686"/>
        <v>d</v>
      </c>
      <c r="AL1028" t="str">
        <f t="shared" ref="AL1028:AL1091" si="687">IF($W1028="","",IF($AJ1028="","",IF($W1028="h",$AJ1028,IF($AJ1028="n","n",IF(AND($W1028="a",$AJ1028="d"),"o",IF(AND($W1028="a",$AJ1028="o"),"d"))))))</f>
        <v>o</v>
      </c>
      <c r="AN1028" t="s">
        <v>862</v>
      </c>
      <c r="AO1028" t="str">
        <f t="shared" ref="AO1028:AO1091" si="688">IF($W1028&lt;&gt;"",$W1028,IF($AC1028=$AC1027,AO1027,""))</f>
        <v>a</v>
      </c>
      <c r="AP1028" t="str">
        <f t="shared" si="606"/>
        <v>o</v>
      </c>
      <c r="AQ1028" t="str">
        <f t="shared" si="607"/>
        <v/>
      </c>
      <c r="AR1028" t="str">
        <f t="shared" si="608"/>
        <v>Away</v>
      </c>
      <c r="AS1028" t="str">
        <f t="shared" si="609"/>
        <v>a</v>
      </c>
      <c r="AT1028" t="str">
        <f t="shared" si="610"/>
        <v>Offensive</v>
      </c>
      <c r="BA1028" s="6">
        <f t="shared" ref="BA1028:BA1091" si="689">IF(OR(L1028="Zone_Entry",L1028="Zone_Exit"),BA1027+1,BA1027)</f>
        <v>265</v>
      </c>
      <c r="BB1028">
        <f t="shared" ref="BB1028:BB1091" si="690">BB1027</f>
        <v>18981</v>
      </c>
      <c r="BC1028" t="str">
        <f t="shared" ref="BC1028:BC1091" si="691">BC1027</f>
        <v>Nelson</v>
      </c>
      <c r="BD1028" t="str">
        <f t="shared" ref="BD1028:BD1091" si="692">BD1027</f>
        <v>Velodrome</v>
      </c>
      <c r="BE1028" t="s">
        <v>231</v>
      </c>
      <c r="BF1028" t="s">
        <v>233</v>
      </c>
      <c r="BG1028" t="s">
        <v>756</v>
      </c>
      <c r="BI1028" cm="1">
        <f t="array" ref="BI1028">IFERROR(_xlfn._xlws.FILTER(shifts!A:A,(shifts!B:B=events!AD1028)*(shifts!AG:AG&gt;=events!BK1028)*(shifts!AH:AH&lt;=events!BL1028)),BI1027)</f>
        <v>48</v>
      </c>
      <c r="BJ1028" s="15">
        <f t="shared" ref="BJ1028:BJ1091" si="693">IF(AND(AG1028="",AH1028=""),0,((AE1028*60)+AF1028)-((AG1028*60)+AH1028))</f>
        <v>0</v>
      </c>
      <c r="BK1028">
        <f t="shared" si="611"/>
        <v>777</v>
      </c>
      <c r="BL1028">
        <f t="shared" si="612"/>
        <v>777</v>
      </c>
      <c r="BM1028" s="15">
        <f>SUMIFS(BJ$2:BJ1028,K$2:K1028,"=Intermission")+SUMIFS(BJ$2:BJ1028,K$2:K1028,"=Timeout")</f>
        <v>72</v>
      </c>
      <c r="BN1028">
        <f t="shared" si="613"/>
        <v>1152</v>
      </c>
      <c r="BO1028" s="19">
        <f t="shared" si="614"/>
        <v>1455</v>
      </c>
      <c r="BP1028">
        <f t="shared" si="615"/>
        <v>1450</v>
      </c>
      <c r="BQ1028" s="17">
        <f t="shared" si="616"/>
        <v>1455</v>
      </c>
      <c r="BR1028" t="str">
        <f t="shared" si="617"/>
        <v>event_team_player_1</v>
      </c>
      <c r="BS1028">
        <f>COUNTIFS(S$3:S1028,"="&amp;S1028,AI$3:AI1028,"="&amp;AI1028)</f>
        <v>1</v>
      </c>
      <c r="BT1028" t="str">
        <f>IFERROR(VLOOKUP(BB1028&amp;BU1028&amp;X1028,game_rosters!U:W,3,FALSE),"")</f>
        <v>P100016</v>
      </c>
      <c r="BU1028" t="str">
        <f t="shared" si="618"/>
        <v>Velodrome</v>
      </c>
    </row>
    <row r="1029" spans="1:73" x14ac:dyDescent="0.2">
      <c r="A1029">
        <f t="shared" ref="A1029:A1092" si="694">IF(K1029&lt;&gt;"",1,IF(D1029="x","x",""))</f>
        <v>1</v>
      </c>
      <c r="J1029" s="44" t="str">
        <f t="shared" si="619"/>
        <v/>
      </c>
      <c r="K1029" t="s">
        <v>7</v>
      </c>
      <c r="L1029" t="s">
        <v>172</v>
      </c>
      <c r="M1029" t="s">
        <v>66</v>
      </c>
      <c r="S1029">
        <v>558</v>
      </c>
      <c r="W1029" t="str">
        <f t="shared" si="685"/>
        <v>h</v>
      </c>
      <c r="X1029">
        <v>10</v>
      </c>
      <c r="Y1029" t="b">
        <f>IF(X1029&lt;&gt;"",VLOOKUP(X1029,game_rosters!$C$43:$E$64,3,FALSE))</f>
        <v>0</v>
      </c>
      <c r="Z1029" cm="1">
        <f t="array" ref="Z1029">IFERROR(IF(_xlfn._xlws.FILTER(game_rosters!$J:$J,(game_rosters!$G:$G=events!$AN1029)*(game_rosters!$J:$J=events!$X1029))&gt;0,1,""),"")</f>
        <v>1</v>
      </c>
      <c r="AA1029">
        <f t="shared" si="643"/>
        <v>1558</v>
      </c>
      <c r="AB1029" t="str">
        <f t="shared" si="644"/>
        <v/>
      </c>
      <c r="AC1029">
        <f t="shared" si="682"/>
        <v>1558</v>
      </c>
      <c r="AD1029" s="6">
        <v>2</v>
      </c>
      <c r="AE1029" t="s">
        <v>746</v>
      </c>
      <c r="AF1029" t="s">
        <v>753</v>
      </c>
      <c r="AG1029" t="s">
        <v>756</v>
      </c>
      <c r="AH1029" t="s">
        <v>756</v>
      </c>
      <c r="AI1029" t="s">
        <v>367</v>
      </c>
      <c r="AJ1029" t="str">
        <f t="shared" ref="AJ1029:AK1029" si="695">IF($J1029&lt;&gt;"",$J1029,IF($AC1029=$AC1028,AJ1028,""))</f>
        <v/>
      </c>
      <c r="AK1029" t="str">
        <f t="shared" si="695"/>
        <v/>
      </c>
      <c r="AL1029" t="str">
        <f t="shared" si="687"/>
        <v/>
      </c>
      <c r="AN1029" t="s">
        <v>861</v>
      </c>
      <c r="AO1029" t="str">
        <f t="shared" si="688"/>
        <v>h</v>
      </c>
      <c r="AP1029" t="str">
        <f t="shared" ref="AP1029:AP1092" si="696">IF(AL1029&lt;&gt;"",AL1029,IF($AC1029=$AC1028,AP1028,""))</f>
        <v/>
      </c>
      <c r="AQ1029" t="str">
        <f t="shared" ref="AQ1029:AQ1092" si="697">IF(AM1029&lt;&gt;"",AM1029,IF($AC1029=$AC1028,AQ1028,""))</f>
        <v/>
      </c>
      <c r="AR1029" t="str">
        <f t="shared" ref="AR1029:AR1092" si="698">IF(AN1029&lt;&gt;"",AN1029,IF($AC1029=$AC1028,AR1028,""))</f>
        <v>Home</v>
      </c>
      <c r="AS1029" t="str">
        <f t="shared" ref="AS1029:AS1092" si="699">IF(AO1029&lt;&gt;"",AO1029,IF($AC1029=$AC1028,AS1028,""))</f>
        <v>h</v>
      </c>
      <c r="AT1029" t="str">
        <f t="shared" ref="AT1029:AT1092" si="700">IF(AND(AI1029="e",OR(BE1029="Save",BF1029="Turnover_Takeaway",BF1029="Play_Defensive")),"Defensive",IF(AND(AI1029="o",OR(BE1029="Save",BF1029="Turnover_Takeaway",BF1029="Play_Defensive")),"Offensive",IF(OR(BE1029="Deadice",BE1029="Stoppage",BE1029="Intermission"),"",IF(AI1029="e","Offensive",IF(AI1029="o","Defensive","")))))</f>
        <v>Offensive</v>
      </c>
      <c r="BA1029" s="6">
        <f t="shared" si="689"/>
        <v>265</v>
      </c>
      <c r="BB1029">
        <f t="shared" si="690"/>
        <v>18981</v>
      </c>
      <c r="BC1029" t="str">
        <f t="shared" si="691"/>
        <v>Nelson</v>
      </c>
      <c r="BD1029" t="str">
        <f t="shared" si="692"/>
        <v>Velodrome</v>
      </c>
      <c r="BE1029" t="s">
        <v>7</v>
      </c>
      <c r="BF1029" t="s">
        <v>172</v>
      </c>
      <c r="BG1029" t="s">
        <v>66</v>
      </c>
      <c r="BI1029" cm="1">
        <f t="array" ref="BI1029">IFERROR(_xlfn._xlws.FILTER(shifts!A:A,(shifts!B:B=events!AD1029)*(shifts!AG:AG&gt;=events!BK1029)*(shifts!AH:AH&lt;=events!BL1029)),BI1028)</f>
        <v>48</v>
      </c>
      <c r="BJ1029" s="15">
        <f t="shared" si="693"/>
        <v>0</v>
      </c>
      <c r="BK1029">
        <f t="shared" ref="BK1029:BK1092" si="701">(AE1029*60)+AF1029</f>
        <v>775</v>
      </c>
      <c r="BL1029">
        <f t="shared" ref="BL1029:BL1092" si="702">IF(AND(AG1029="",AH1029=""),BK1029,((AG1029*60)+AH1029))</f>
        <v>775</v>
      </c>
      <c r="BM1029" s="15">
        <f>SUMIFS(BJ$2:BJ1029,K$2:K1029,"=Intermission")+SUMIFS(BJ$2:BJ1029,K$2:K1029,"=Timeout")</f>
        <v>72</v>
      </c>
      <c r="BN1029">
        <f t="shared" ref="BN1029:BN1092" si="703">IF(AD1029=1,0,IF(AD1029=2,1080+BM1029,IF(AD1029=3,(1080*2)+BM1029,0)))</f>
        <v>1152</v>
      </c>
      <c r="BO1029" s="19">
        <f t="shared" ref="BO1029:BO1092" si="704">IF(K1029="Intermission",BO1028,((1080)-((AE1029*60)+AF1029))+BN1029)</f>
        <v>1457</v>
      </c>
      <c r="BP1029">
        <f t="shared" ref="BP1029:BP1092" si="705">IF(BO1029&lt;5,0,BO1029-5)</f>
        <v>1452</v>
      </c>
      <c r="BQ1029" s="17">
        <f t="shared" ref="BQ1029:BQ1092" si="706">BP1029+BJ1029+5</f>
        <v>1457</v>
      </c>
      <c r="BR1029" t="str">
        <f t="shared" ref="BR1029:BR1092" si="707">IF(AI1029="e","event_team_player_"&amp;BS1029,IF(AI1029="o","opp_team_player_"&amp;BS1029,""))</f>
        <v>event_team_player_1</v>
      </c>
      <c r="BS1029">
        <f>COUNTIFS(S$3:S1029,"="&amp;S1029,AI$3:AI1029,"="&amp;AI1029)</f>
        <v>1</v>
      </c>
      <c r="BT1029" t="str">
        <f>IFERROR(VLOOKUP(BB1029&amp;BU1029&amp;X1029,game_rosters!U:W,3,FALSE),"")</f>
        <v>P100078</v>
      </c>
      <c r="BU1029" t="str">
        <f t="shared" ref="BU1029:BU1092" si="708">IF(AR1029="","",IF(AND(AR1029="Away",AI1029="e"),BD1029,IF(AND(AR1029="Home",AI1029="e"),BC1029,IF(AND(AR1029="Away",AI1029="o"),BC1029,IF(AND(AR1029="Home",AI1029="o"),BD1029)))))</f>
        <v>Nelson</v>
      </c>
    </row>
    <row r="1030" spans="1:73" x14ac:dyDescent="0.2">
      <c r="A1030">
        <f t="shared" si="694"/>
        <v>1</v>
      </c>
      <c r="J1030" s="44" t="str">
        <f t="shared" ref="J1030:J1093" si="709">IF(OR(K1030="Goal",K1030="Shot",L1030="Zone_Entry",M1030="Stoppage-Goal",M1029="Stoppage-Goal"),"o",IF(OR(K1030="Save",K1030="Rebound",L1030="Zone_Exit",M1030="Stoppage-GoalieStoppage",M1029="Stoppage-GoalieStoppage"),"d",IF(OR(L1030="Faceoff_AfterGoal",L1030="Faceoff_PeriodStart",698="Faceoff_GameStart",M1029="Stoppage-Goal"),"n","")))</f>
        <v/>
      </c>
      <c r="K1030" t="s">
        <v>7</v>
      </c>
      <c r="L1030" t="s">
        <v>172</v>
      </c>
      <c r="M1030" t="s">
        <v>66</v>
      </c>
      <c r="S1030">
        <v>558</v>
      </c>
      <c r="W1030" t="str">
        <f t="shared" si="685"/>
        <v>h</v>
      </c>
      <c r="X1030">
        <v>80</v>
      </c>
      <c r="Y1030" t="b">
        <f>IF(X1030&lt;&gt;"",VLOOKUP(X1030,game_rosters!$C$43:$E$64,3,FALSE))</f>
        <v>0</v>
      </c>
      <c r="Z1030" cm="1">
        <f t="array" ref="Z1030">IFERROR(IF(_xlfn._xlws.FILTER(game_rosters!$J:$J,(game_rosters!$G:$G=events!$AN1030)*(game_rosters!$J:$J=events!$X1030))&gt;0,1,""),"")</f>
        <v>1</v>
      </c>
      <c r="AA1030">
        <f t="shared" si="643"/>
        <v>1558</v>
      </c>
      <c r="AB1030" t="str">
        <f t="shared" si="644"/>
        <v/>
      </c>
      <c r="AC1030">
        <f t="shared" si="682"/>
        <v>1558</v>
      </c>
      <c r="AD1030" s="6">
        <v>2</v>
      </c>
      <c r="AE1030" t="s">
        <v>746</v>
      </c>
      <c r="AF1030" t="s">
        <v>753</v>
      </c>
      <c r="AG1030" t="s">
        <v>756</v>
      </c>
      <c r="AH1030" t="s">
        <v>756</v>
      </c>
      <c r="AI1030" t="s">
        <v>367</v>
      </c>
      <c r="AJ1030" t="str">
        <f t="shared" ref="AJ1030:AK1030" si="710">IF($J1030&lt;&gt;"",$J1030,IF($AC1030=$AC1029,AJ1029,""))</f>
        <v/>
      </c>
      <c r="AK1030" t="str">
        <f t="shared" si="710"/>
        <v/>
      </c>
      <c r="AL1030" t="str">
        <f t="shared" si="687"/>
        <v/>
      </c>
      <c r="AN1030" t="s">
        <v>861</v>
      </c>
      <c r="AO1030" t="str">
        <f t="shared" si="688"/>
        <v>h</v>
      </c>
      <c r="AP1030" t="str">
        <f t="shared" si="696"/>
        <v/>
      </c>
      <c r="AQ1030" t="str">
        <f t="shared" si="697"/>
        <v/>
      </c>
      <c r="AR1030" t="str">
        <f t="shared" si="698"/>
        <v>Home</v>
      </c>
      <c r="AS1030" t="str">
        <f t="shared" si="699"/>
        <v>h</v>
      </c>
      <c r="AT1030" t="str">
        <f t="shared" si="700"/>
        <v>Offensive</v>
      </c>
      <c r="BA1030" s="6">
        <f t="shared" si="689"/>
        <v>265</v>
      </c>
      <c r="BB1030">
        <f t="shared" si="690"/>
        <v>18981</v>
      </c>
      <c r="BC1030" t="str">
        <f t="shared" si="691"/>
        <v>Nelson</v>
      </c>
      <c r="BD1030" t="str">
        <f t="shared" si="692"/>
        <v>Velodrome</v>
      </c>
      <c r="BE1030" t="s">
        <v>7</v>
      </c>
      <c r="BF1030" t="s">
        <v>172</v>
      </c>
      <c r="BG1030" t="s">
        <v>66</v>
      </c>
      <c r="BI1030" cm="1">
        <f t="array" ref="BI1030">IFERROR(_xlfn._xlws.FILTER(shifts!A:A,(shifts!B:B=events!AD1030)*(shifts!AG:AG&gt;=events!BK1030)*(shifts!AH:AH&lt;=events!BL1030)),BI1029)</f>
        <v>48</v>
      </c>
      <c r="BJ1030" s="15">
        <f t="shared" si="693"/>
        <v>0</v>
      </c>
      <c r="BK1030">
        <f t="shared" si="701"/>
        <v>775</v>
      </c>
      <c r="BL1030">
        <f t="shared" si="702"/>
        <v>775</v>
      </c>
      <c r="BM1030" s="15">
        <f>SUMIFS(BJ$2:BJ1030,K$2:K1030,"=Intermission")+SUMIFS(BJ$2:BJ1030,K$2:K1030,"=Timeout")</f>
        <v>72</v>
      </c>
      <c r="BN1030">
        <f t="shared" si="703"/>
        <v>1152</v>
      </c>
      <c r="BO1030" s="19">
        <f t="shared" si="704"/>
        <v>1457</v>
      </c>
      <c r="BP1030">
        <f t="shared" si="705"/>
        <v>1452</v>
      </c>
      <c r="BQ1030" s="17">
        <f t="shared" si="706"/>
        <v>1457</v>
      </c>
      <c r="BR1030" t="str">
        <f t="shared" si="707"/>
        <v>event_team_player_2</v>
      </c>
      <c r="BS1030">
        <f>COUNTIFS(S$3:S1030,"="&amp;S1030,AI$3:AI1030,"="&amp;AI1030)</f>
        <v>2</v>
      </c>
      <c r="BT1030" t="str">
        <f>IFERROR(VLOOKUP(BB1030&amp;BU1030&amp;X1030,game_rosters!U:W,3,FALSE),"")</f>
        <v>P100197</v>
      </c>
      <c r="BU1030" t="str">
        <f t="shared" si="708"/>
        <v>Nelson</v>
      </c>
    </row>
    <row r="1031" spans="1:73" x14ac:dyDescent="0.2">
      <c r="A1031">
        <f t="shared" si="694"/>
        <v>1</v>
      </c>
      <c r="J1031" s="44" t="str">
        <f t="shared" si="709"/>
        <v/>
      </c>
      <c r="K1031" t="s">
        <v>13</v>
      </c>
      <c r="L1031" t="s">
        <v>756</v>
      </c>
      <c r="M1031" t="s">
        <v>756</v>
      </c>
      <c r="S1031">
        <v>559</v>
      </c>
      <c r="W1031" t="str">
        <f t="shared" si="685"/>
        <v>h</v>
      </c>
      <c r="X1031">
        <v>80</v>
      </c>
      <c r="Y1031" t="b">
        <f>IF(X1031&lt;&gt;"",VLOOKUP(X1031,game_rosters!$C$43:$E$64,3,FALSE))</f>
        <v>0</v>
      </c>
      <c r="Z1031" cm="1">
        <f t="array" ref="Z1031">IFERROR(IF(_xlfn._xlws.FILTER(game_rosters!$J:$J,(game_rosters!$G:$G=events!$AN1031)*(game_rosters!$J:$J=events!$X1031))&gt;0,1,""),"")</f>
        <v>1</v>
      </c>
      <c r="AA1031">
        <f t="shared" si="643"/>
        <v>1559</v>
      </c>
      <c r="AB1031" t="str">
        <f t="shared" si="644"/>
        <v/>
      </c>
      <c r="AC1031">
        <f t="shared" si="682"/>
        <v>1559</v>
      </c>
      <c r="AD1031" s="6">
        <v>2</v>
      </c>
      <c r="AE1031" t="s">
        <v>746</v>
      </c>
      <c r="AF1031" t="s">
        <v>897</v>
      </c>
      <c r="AG1031" t="s">
        <v>746</v>
      </c>
      <c r="AH1031" t="s">
        <v>900</v>
      </c>
      <c r="AI1031" t="s">
        <v>367</v>
      </c>
      <c r="AJ1031" t="str">
        <f t="shared" ref="AJ1031:AK1031" si="711">IF($J1031&lt;&gt;"",$J1031,IF($AC1031=$AC1030,AJ1030,""))</f>
        <v/>
      </c>
      <c r="AK1031" t="str">
        <f t="shared" si="711"/>
        <v/>
      </c>
      <c r="AL1031" t="str">
        <f t="shared" si="687"/>
        <v/>
      </c>
      <c r="AN1031" t="s">
        <v>861</v>
      </c>
      <c r="AO1031" t="str">
        <f t="shared" si="688"/>
        <v>h</v>
      </c>
      <c r="AP1031" t="str">
        <f t="shared" si="696"/>
        <v/>
      </c>
      <c r="AQ1031" t="str">
        <f t="shared" si="697"/>
        <v/>
      </c>
      <c r="AR1031" t="str">
        <f t="shared" si="698"/>
        <v>Home</v>
      </c>
      <c r="AS1031" t="str">
        <f t="shared" si="699"/>
        <v>h</v>
      </c>
      <c r="AT1031" t="str">
        <f t="shared" si="700"/>
        <v>Offensive</v>
      </c>
      <c r="BA1031" s="6">
        <f t="shared" si="689"/>
        <v>265</v>
      </c>
      <c r="BB1031">
        <f t="shared" si="690"/>
        <v>18981</v>
      </c>
      <c r="BC1031" t="str">
        <f t="shared" si="691"/>
        <v>Nelson</v>
      </c>
      <c r="BD1031" t="str">
        <f t="shared" si="692"/>
        <v>Velodrome</v>
      </c>
      <c r="BE1031" t="s">
        <v>13</v>
      </c>
      <c r="BF1031" t="s">
        <v>756</v>
      </c>
      <c r="BG1031" t="s">
        <v>756</v>
      </c>
      <c r="BI1031" cm="1">
        <f t="array" ref="BI1031">IFERROR(_xlfn._xlws.FILTER(shifts!A:A,(shifts!B:B=events!AD1031)*(shifts!AG:AG&gt;=events!BK1031)*(shifts!AH:AH&lt;=events!BL1031)),BI1030)</f>
        <v>48</v>
      </c>
      <c r="BJ1031" s="15">
        <f t="shared" si="693"/>
        <v>5</v>
      </c>
      <c r="BK1031">
        <f t="shared" si="701"/>
        <v>772</v>
      </c>
      <c r="BL1031">
        <f t="shared" si="702"/>
        <v>767</v>
      </c>
      <c r="BM1031" s="15">
        <f>SUMIFS(BJ$2:BJ1031,K$2:K1031,"=Intermission")+SUMIFS(BJ$2:BJ1031,K$2:K1031,"=Timeout")</f>
        <v>72</v>
      </c>
      <c r="BN1031">
        <f t="shared" si="703"/>
        <v>1152</v>
      </c>
      <c r="BO1031" s="19">
        <f t="shared" si="704"/>
        <v>1460</v>
      </c>
      <c r="BP1031">
        <f t="shared" si="705"/>
        <v>1455</v>
      </c>
      <c r="BQ1031" s="17">
        <f t="shared" si="706"/>
        <v>1465</v>
      </c>
      <c r="BR1031" t="str">
        <f t="shared" si="707"/>
        <v>event_team_player_1</v>
      </c>
      <c r="BS1031">
        <f>COUNTIFS(S$3:S1031,"="&amp;S1031,AI$3:AI1031,"="&amp;AI1031)</f>
        <v>1</v>
      </c>
      <c r="BT1031" t="str">
        <f>IFERROR(VLOOKUP(BB1031&amp;BU1031&amp;X1031,game_rosters!U:W,3,FALSE),"")</f>
        <v>P100197</v>
      </c>
      <c r="BU1031" t="str">
        <f t="shared" si="708"/>
        <v>Nelson</v>
      </c>
    </row>
    <row r="1032" spans="1:73" x14ac:dyDescent="0.2">
      <c r="A1032">
        <f t="shared" si="694"/>
        <v>1</v>
      </c>
      <c r="J1032" s="44" t="str">
        <f t="shared" si="709"/>
        <v/>
      </c>
      <c r="K1032" t="s">
        <v>13</v>
      </c>
      <c r="L1032" t="s">
        <v>756</v>
      </c>
      <c r="M1032" t="s">
        <v>756</v>
      </c>
      <c r="S1032">
        <v>559</v>
      </c>
      <c r="W1032" t="str">
        <f t="shared" si="685"/>
        <v>h</v>
      </c>
      <c r="X1032">
        <v>49</v>
      </c>
      <c r="Y1032" t="e">
        <f>IF(X1032&lt;&gt;"",VLOOKUP(X1032,game_rosters!$C$43:$E$64,3,FALSE))</f>
        <v>#N/A</v>
      </c>
      <c r="Z1032" t="str" cm="1">
        <f t="array" ref="Z1032">IFERROR(IF(_xlfn._xlws.FILTER(game_rosters!$J:$J,(game_rosters!$G:$G=events!$AN1032)*(game_rosters!$J:$J=events!$X1032))&gt;0,1,""),"")</f>
        <v/>
      </c>
      <c r="AA1032">
        <f t="shared" si="643"/>
        <v>1559</v>
      </c>
      <c r="AB1032" t="str">
        <f t="shared" si="644"/>
        <v/>
      </c>
      <c r="AC1032">
        <f t="shared" si="682"/>
        <v>1559</v>
      </c>
      <c r="AD1032" s="6">
        <v>2</v>
      </c>
      <c r="AE1032" t="s">
        <v>746</v>
      </c>
      <c r="AF1032" t="s">
        <v>897</v>
      </c>
      <c r="AG1032" t="s">
        <v>746</v>
      </c>
      <c r="AH1032" t="s">
        <v>900</v>
      </c>
      <c r="AI1032" t="s">
        <v>368</v>
      </c>
      <c r="AJ1032" t="str">
        <f t="shared" ref="AJ1032:AK1032" si="712">IF($J1032&lt;&gt;"",$J1032,IF($AC1032=$AC1031,AJ1031,""))</f>
        <v/>
      </c>
      <c r="AK1032" t="str">
        <f t="shared" si="712"/>
        <v/>
      </c>
      <c r="AL1032" t="str">
        <f t="shared" si="687"/>
        <v/>
      </c>
      <c r="AN1032" t="s">
        <v>861</v>
      </c>
      <c r="AO1032" t="str">
        <f t="shared" si="688"/>
        <v>h</v>
      </c>
      <c r="AP1032" t="str">
        <f t="shared" si="696"/>
        <v/>
      </c>
      <c r="AQ1032" t="str">
        <f t="shared" si="697"/>
        <v/>
      </c>
      <c r="AR1032" t="str">
        <f t="shared" si="698"/>
        <v>Home</v>
      </c>
      <c r="AS1032" t="str">
        <f t="shared" si="699"/>
        <v>h</v>
      </c>
      <c r="AT1032" t="str">
        <f t="shared" si="700"/>
        <v>Defensive</v>
      </c>
      <c r="BA1032" s="6">
        <f t="shared" si="689"/>
        <v>265</v>
      </c>
      <c r="BB1032">
        <f t="shared" si="690"/>
        <v>18981</v>
      </c>
      <c r="BC1032" t="str">
        <f t="shared" si="691"/>
        <v>Nelson</v>
      </c>
      <c r="BD1032" t="str">
        <f t="shared" si="692"/>
        <v>Velodrome</v>
      </c>
      <c r="BE1032" t="s">
        <v>13</v>
      </c>
      <c r="BF1032" t="s">
        <v>756</v>
      </c>
      <c r="BG1032" t="s">
        <v>756</v>
      </c>
      <c r="BI1032" cm="1">
        <f t="array" ref="BI1032">IFERROR(_xlfn._xlws.FILTER(shifts!A:A,(shifts!B:B=events!AD1032)*(shifts!AG:AG&gt;=events!BK1032)*(shifts!AH:AH&lt;=events!BL1032)),BI1031)</f>
        <v>48</v>
      </c>
      <c r="BJ1032" s="15">
        <f t="shared" si="693"/>
        <v>5</v>
      </c>
      <c r="BK1032">
        <f t="shared" si="701"/>
        <v>772</v>
      </c>
      <c r="BL1032">
        <f t="shared" si="702"/>
        <v>767</v>
      </c>
      <c r="BM1032" s="15">
        <f>SUMIFS(BJ$2:BJ1032,K$2:K1032,"=Intermission")+SUMIFS(BJ$2:BJ1032,K$2:K1032,"=Timeout")</f>
        <v>72</v>
      </c>
      <c r="BN1032">
        <f t="shared" si="703"/>
        <v>1152</v>
      </c>
      <c r="BO1032" s="19">
        <f t="shared" si="704"/>
        <v>1460</v>
      </c>
      <c r="BP1032">
        <f t="shared" si="705"/>
        <v>1455</v>
      </c>
      <c r="BQ1032" s="17">
        <f t="shared" si="706"/>
        <v>1465</v>
      </c>
      <c r="BR1032" t="str">
        <f t="shared" si="707"/>
        <v>opp_team_player_1</v>
      </c>
      <c r="BS1032">
        <f>COUNTIFS(S$3:S1032,"="&amp;S1032,AI$3:AI1032,"="&amp;AI1032)</f>
        <v>1</v>
      </c>
      <c r="BT1032" t="str">
        <f>IFERROR(VLOOKUP(BB1032&amp;BU1032&amp;X1032,game_rosters!U:W,3,FALSE),"")</f>
        <v>P100161</v>
      </c>
      <c r="BU1032" t="str">
        <f t="shared" si="708"/>
        <v>Velodrome</v>
      </c>
    </row>
    <row r="1033" spans="1:73" x14ac:dyDescent="0.2">
      <c r="A1033">
        <f t="shared" si="694"/>
        <v>1</v>
      </c>
      <c r="J1033" s="44" t="str">
        <f t="shared" si="709"/>
        <v>o</v>
      </c>
      <c r="K1033" t="s">
        <v>6</v>
      </c>
      <c r="L1033" t="s">
        <v>191</v>
      </c>
      <c r="M1033" t="s">
        <v>51</v>
      </c>
      <c r="S1033">
        <v>560</v>
      </c>
      <c r="W1033" t="str">
        <f t="shared" si="685"/>
        <v>h</v>
      </c>
      <c r="X1033">
        <v>80</v>
      </c>
      <c r="Y1033" t="b">
        <f>IF(X1033&lt;&gt;"",VLOOKUP(X1033,game_rosters!$C$43:$E$64,3,FALSE))</f>
        <v>0</v>
      </c>
      <c r="Z1033" cm="1">
        <f t="array" ref="Z1033">IFERROR(IF(_xlfn._xlws.FILTER(game_rosters!$J:$J,(game_rosters!$G:$G=events!$AN1033)*(game_rosters!$J:$J=events!$X1033))&gt;0,1,""),"")</f>
        <v>1</v>
      </c>
      <c r="AA1033">
        <f t="shared" si="643"/>
        <v>1560</v>
      </c>
      <c r="AB1033" t="str">
        <f t="shared" si="644"/>
        <v/>
      </c>
      <c r="AC1033">
        <f t="shared" si="682"/>
        <v>1560</v>
      </c>
      <c r="AD1033" s="6">
        <v>2</v>
      </c>
      <c r="AE1033" t="s">
        <v>746</v>
      </c>
      <c r="AF1033" t="s">
        <v>900</v>
      </c>
      <c r="AG1033" t="s">
        <v>756</v>
      </c>
      <c r="AH1033" t="s">
        <v>756</v>
      </c>
      <c r="AI1033" t="s">
        <v>367</v>
      </c>
      <c r="AJ1033" t="str">
        <f t="shared" ref="AJ1033:AK1033" si="713">IF($J1033&lt;&gt;"",$J1033,IF($AC1033=$AC1032,AJ1032,""))</f>
        <v>o</v>
      </c>
      <c r="AK1033" t="str">
        <f t="shared" si="713"/>
        <v>o</v>
      </c>
      <c r="AL1033" t="str">
        <f t="shared" si="687"/>
        <v>o</v>
      </c>
      <c r="AN1033" t="s">
        <v>861</v>
      </c>
      <c r="AO1033" t="str">
        <f t="shared" si="688"/>
        <v>h</v>
      </c>
      <c r="AP1033" t="str">
        <f t="shared" si="696"/>
        <v>o</v>
      </c>
      <c r="AQ1033" t="str">
        <f t="shared" si="697"/>
        <v/>
      </c>
      <c r="AR1033" t="str">
        <f t="shared" si="698"/>
        <v>Home</v>
      </c>
      <c r="AS1033" t="str">
        <f t="shared" si="699"/>
        <v>h</v>
      </c>
      <c r="AT1033" t="str">
        <f t="shared" si="700"/>
        <v>Offensive</v>
      </c>
      <c r="BA1033" s="6">
        <f t="shared" si="689"/>
        <v>265</v>
      </c>
      <c r="BB1033">
        <f t="shared" si="690"/>
        <v>18981</v>
      </c>
      <c r="BC1033" t="str">
        <f t="shared" si="691"/>
        <v>Nelson</v>
      </c>
      <c r="BD1033" t="str">
        <f t="shared" si="692"/>
        <v>Velodrome</v>
      </c>
      <c r="BE1033" t="s">
        <v>6</v>
      </c>
      <c r="BF1033" t="s">
        <v>191</v>
      </c>
      <c r="BG1033" t="s">
        <v>51</v>
      </c>
      <c r="BI1033" cm="1">
        <f t="array" ref="BI1033">IFERROR(_xlfn._xlws.FILTER(shifts!A:A,(shifts!B:B=events!AD1033)*(shifts!AG:AG&gt;=events!BK1033)*(shifts!AH:AH&lt;=events!BL1033)),BI1032)</f>
        <v>48</v>
      </c>
      <c r="BJ1033" s="15">
        <f t="shared" si="693"/>
        <v>0</v>
      </c>
      <c r="BK1033">
        <f t="shared" si="701"/>
        <v>767</v>
      </c>
      <c r="BL1033">
        <f t="shared" si="702"/>
        <v>767</v>
      </c>
      <c r="BM1033" s="15">
        <f>SUMIFS(BJ$2:BJ1033,K$2:K1033,"=Intermission")+SUMIFS(BJ$2:BJ1033,K$2:K1033,"=Timeout")</f>
        <v>72</v>
      </c>
      <c r="BN1033">
        <f t="shared" si="703"/>
        <v>1152</v>
      </c>
      <c r="BO1033" s="19">
        <f t="shared" si="704"/>
        <v>1465</v>
      </c>
      <c r="BP1033">
        <f t="shared" si="705"/>
        <v>1460</v>
      </c>
      <c r="BQ1033" s="17">
        <f t="shared" si="706"/>
        <v>1465</v>
      </c>
      <c r="BR1033" t="str">
        <f t="shared" si="707"/>
        <v>event_team_player_1</v>
      </c>
      <c r="BS1033">
        <f>COUNTIFS(S$3:S1033,"="&amp;S1033,AI$3:AI1033,"="&amp;AI1033)</f>
        <v>1</v>
      </c>
      <c r="BT1033" t="str">
        <f>IFERROR(VLOOKUP(BB1033&amp;BU1033&amp;X1033,game_rosters!U:W,3,FALSE),"")</f>
        <v>P100197</v>
      </c>
      <c r="BU1033" t="str">
        <f t="shared" si="708"/>
        <v>Nelson</v>
      </c>
    </row>
    <row r="1034" spans="1:73" x14ac:dyDescent="0.2">
      <c r="A1034">
        <f t="shared" si="694"/>
        <v>1</v>
      </c>
      <c r="J1034" s="44" t="str">
        <f t="shared" si="709"/>
        <v>o</v>
      </c>
      <c r="K1034" t="s">
        <v>6</v>
      </c>
      <c r="L1034" t="s">
        <v>191</v>
      </c>
      <c r="M1034" t="s">
        <v>51</v>
      </c>
      <c r="S1034">
        <v>560</v>
      </c>
      <c r="W1034" t="str">
        <f t="shared" si="685"/>
        <v>h</v>
      </c>
      <c r="X1034">
        <v>93</v>
      </c>
      <c r="Y1034" t="e">
        <f>IF(X1034&lt;&gt;"",VLOOKUP(X1034,game_rosters!$C$43:$E$64,3,FALSE))</f>
        <v>#N/A</v>
      </c>
      <c r="Z1034" t="str" cm="1">
        <f t="array" ref="Z1034">IFERROR(IF(_xlfn._xlws.FILTER(game_rosters!$J:$J,(game_rosters!$G:$G=events!$AN1034)*(game_rosters!$J:$J=events!$X1034))&gt;0,1,""),"")</f>
        <v/>
      </c>
      <c r="AA1034">
        <f t="shared" si="643"/>
        <v>1560</v>
      </c>
      <c r="AB1034" t="str">
        <f t="shared" si="644"/>
        <v/>
      </c>
      <c r="AC1034">
        <f t="shared" si="682"/>
        <v>1560</v>
      </c>
      <c r="AD1034" s="6">
        <v>2</v>
      </c>
      <c r="AE1034" t="s">
        <v>746</v>
      </c>
      <c r="AF1034" t="s">
        <v>900</v>
      </c>
      <c r="AG1034" t="s">
        <v>756</v>
      </c>
      <c r="AH1034" t="s">
        <v>756</v>
      </c>
      <c r="AI1034" t="s">
        <v>367</v>
      </c>
      <c r="AJ1034" t="str">
        <f t="shared" ref="AJ1034:AK1034" si="714">IF($J1034&lt;&gt;"",$J1034,IF($AC1034=$AC1033,AJ1033,""))</f>
        <v>o</v>
      </c>
      <c r="AK1034" t="str">
        <f t="shared" si="714"/>
        <v>o</v>
      </c>
      <c r="AL1034" t="str">
        <f t="shared" si="687"/>
        <v>o</v>
      </c>
      <c r="AN1034" t="s">
        <v>861</v>
      </c>
      <c r="AO1034" t="str">
        <f t="shared" si="688"/>
        <v>h</v>
      </c>
      <c r="AP1034" t="str">
        <f t="shared" si="696"/>
        <v>o</v>
      </c>
      <c r="AQ1034" t="str">
        <f t="shared" si="697"/>
        <v/>
      </c>
      <c r="AR1034" t="str">
        <f t="shared" si="698"/>
        <v>Home</v>
      </c>
      <c r="AS1034" t="str">
        <f t="shared" si="699"/>
        <v>h</v>
      </c>
      <c r="AT1034" t="str">
        <f t="shared" si="700"/>
        <v>Offensive</v>
      </c>
      <c r="BA1034" s="6">
        <f t="shared" si="689"/>
        <v>265</v>
      </c>
      <c r="BB1034">
        <f t="shared" si="690"/>
        <v>18981</v>
      </c>
      <c r="BC1034" t="str">
        <f t="shared" si="691"/>
        <v>Nelson</v>
      </c>
      <c r="BD1034" t="str">
        <f t="shared" si="692"/>
        <v>Velodrome</v>
      </c>
      <c r="BE1034" t="s">
        <v>6</v>
      </c>
      <c r="BF1034" t="s">
        <v>191</v>
      </c>
      <c r="BG1034" t="s">
        <v>51</v>
      </c>
      <c r="BI1034" cm="1">
        <f t="array" ref="BI1034">IFERROR(_xlfn._xlws.FILTER(shifts!A:A,(shifts!B:B=events!AD1034)*(shifts!AG:AG&gt;=events!BK1034)*(shifts!AH:AH&lt;=events!BL1034)),BI1033)</f>
        <v>48</v>
      </c>
      <c r="BJ1034" s="15">
        <f t="shared" si="693"/>
        <v>0</v>
      </c>
      <c r="BK1034">
        <f t="shared" si="701"/>
        <v>767</v>
      </c>
      <c r="BL1034">
        <f t="shared" si="702"/>
        <v>767</v>
      </c>
      <c r="BM1034" s="15">
        <f>SUMIFS(BJ$2:BJ1034,K$2:K1034,"=Intermission")+SUMIFS(BJ$2:BJ1034,K$2:K1034,"=Timeout")</f>
        <v>72</v>
      </c>
      <c r="BN1034">
        <f t="shared" si="703"/>
        <v>1152</v>
      </c>
      <c r="BO1034" s="19">
        <f t="shared" si="704"/>
        <v>1465</v>
      </c>
      <c r="BP1034">
        <f t="shared" si="705"/>
        <v>1460</v>
      </c>
      <c r="BQ1034" s="17">
        <f t="shared" si="706"/>
        <v>1465</v>
      </c>
      <c r="BR1034" t="str">
        <f t="shared" si="707"/>
        <v>event_team_player_2</v>
      </c>
      <c r="BS1034">
        <f>COUNTIFS(S$3:S1034,"="&amp;S1034,AI$3:AI1034,"="&amp;AI1034)</f>
        <v>2</v>
      </c>
      <c r="BT1034" t="str">
        <f>IFERROR(VLOOKUP(BB1034&amp;BU1034&amp;X1034,game_rosters!U:W,3,FALSE),"")</f>
        <v>P100093</v>
      </c>
      <c r="BU1034" t="s">
        <v>521</v>
      </c>
    </row>
    <row r="1035" spans="1:73" x14ac:dyDescent="0.2">
      <c r="A1035">
        <f t="shared" si="694"/>
        <v>1</v>
      </c>
      <c r="J1035" s="44" t="str">
        <f t="shared" si="709"/>
        <v>o</v>
      </c>
      <c r="K1035" t="s">
        <v>6</v>
      </c>
      <c r="L1035" t="s">
        <v>181</v>
      </c>
      <c r="M1035" t="s">
        <v>51</v>
      </c>
      <c r="S1035">
        <v>561</v>
      </c>
      <c r="W1035" t="str">
        <f t="shared" si="685"/>
        <v>h</v>
      </c>
      <c r="X1035">
        <v>44</v>
      </c>
      <c r="Y1035" t="b">
        <f>IF(X1035&lt;&gt;"",VLOOKUP(X1035,game_rosters!$C$43:$E$64,3,FALSE))</f>
        <v>0</v>
      </c>
      <c r="Z1035" cm="1">
        <f t="array" ref="Z1035">IFERROR(IF(_xlfn._xlws.FILTER(game_rosters!$J:$J,(game_rosters!$G:$G=events!$AN1035)*(game_rosters!$J:$J=events!$X1035))&gt;0,1,""),"")</f>
        <v>1</v>
      </c>
      <c r="AA1035">
        <f t="shared" si="643"/>
        <v>1561</v>
      </c>
      <c r="AB1035" t="str">
        <f t="shared" si="644"/>
        <v/>
      </c>
      <c r="AC1035">
        <f t="shared" si="682"/>
        <v>1561</v>
      </c>
      <c r="AD1035" s="6">
        <v>2</v>
      </c>
      <c r="AE1035" t="s">
        <v>746</v>
      </c>
      <c r="AF1035" t="s">
        <v>935</v>
      </c>
      <c r="AG1035" t="s">
        <v>756</v>
      </c>
      <c r="AH1035" t="s">
        <v>756</v>
      </c>
      <c r="AI1035" t="s">
        <v>367</v>
      </c>
      <c r="AJ1035" t="str">
        <f t="shared" ref="AJ1035:AK1035" si="715">IF($J1035&lt;&gt;"",$J1035,IF($AC1035=$AC1034,AJ1034,""))</f>
        <v>o</v>
      </c>
      <c r="AK1035" t="str">
        <f t="shared" si="715"/>
        <v>o</v>
      </c>
      <c r="AL1035" t="str">
        <f t="shared" si="687"/>
        <v>o</v>
      </c>
      <c r="AN1035" t="s">
        <v>861</v>
      </c>
      <c r="AO1035" t="str">
        <f t="shared" si="688"/>
        <v>h</v>
      </c>
      <c r="AP1035" t="str">
        <f t="shared" si="696"/>
        <v>o</v>
      </c>
      <c r="AQ1035" t="str">
        <f t="shared" si="697"/>
        <v/>
      </c>
      <c r="AR1035" t="str">
        <f t="shared" si="698"/>
        <v>Home</v>
      </c>
      <c r="AS1035" t="str">
        <f t="shared" si="699"/>
        <v>h</v>
      </c>
      <c r="AT1035" t="str">
        <f t="shared" si="700"/>
        <v>Offensive</v>
      </c>
      <c r="BA1035" s="6">
        <f t="shared" si="689"/>
        <v>265</v>
      </c>
      <c r="BB1035">
        <f t="shared" si="690"/>
        <v>18981</v>
      </c>
      <c r="BC1035" t="str">
        <f t="shared" si="691"/>
        <v>Nelson</v>
      </c>
      <c r="BD1035" t="str">
        <f t="shared" si="692"/>
        <v>Velodrome</v>
      </c>
      <c r="BE1035" t="s">
        <v>6</v>
      </c>
      <c r="BF1035" t="s">
        <v>181</v>
      </c>
      <c r="BG1035" t="s">
        <v>51</v>
      </c>
      <c r="BI1035" cm="1">
        <f t="array" ref="BI1035">IFERROR(_xlfn._xlws.FILTER(shifts!A:A,(shifts!B:B=events!AD1035)*(shifts!AG:AG&gt;=events!BK1035)*(shifts!AH:AH&lt;=events!BL1035)),BI1034)</f>
        <v>48</v>
      </c>
      <c r="BJ1035" s="15">
        <f t="shared" si="693"/>
        <v>0</v>
      </c>
      <c r="BK1035">
        <f t="shared" si="701"/>
        <v>765</v>
      </c>
      <c r="BL1035">
        <f t="shared" si="702"/>
        <v>765</v>
      </c>
      <c r="BM1035" s="15">
        <f>SUMIFS(BJ$2:BJ1035,K$2:K1035,"=Intermission")+SUMIFS(BJ$2:BJ1035,K$2:K1035,"=Timeout")</f>
        <v>72</v>
      </c>
      <c r="BN1035">
        <f t="shared" si="703"/>
        <v>1152</v>
      </c>
      <c r="BO1035" s="19">
        <f t="shared" si="704"/>
        <v>1467</v>
      </c>
      <c r="BP1035">
        <f t="shared" si="705"/>
        <v>1462</v>
      </c>
      <c r="BQ1035" s="17">
        <f t="shared" si="706"/>
        <v>1467</v>
      </c>
      <c r="BR1035" t="str">
        <f t="shared" si="707"/>
        <v>event_team_player_1</v>
      </c>
      <c r="BS1035">
        <f>COUNTIFS(S$3:S1035,"="&amp;S1035,AI$3:AI1035,"="&amp;AI1035)</f>
        <v>1</v>
      </c>
      <c r="BT1035" t="str">
        <f>IFERROR(VLOOKUP(BB1035&amp;BU1035&amp;X1035,game_rosters!U:W,3,FALSE),"")</f>
        <v>P100079</v>
      </c>
      <c r="BU1035" t="str">
        <f t="shared" si="708"/>
        <v>Nelson</v>
      </c>
    </row>
    <row r="1036" spans="1:73" x14ac:dyDescent="0.2">
      <c r="A1036">
        <f t="shared" si="694"/>
        <v>1</v>
      </c>
      <c r="J1036" s="44" t="str">
        <f t="shared" si="709"/>
        <v>o</v>
      </c>
      <c r="K1036" t="s">
        <v>6</v>
      </c>
      <c r="L1036" t="s">
        <v>181</v>
      </c>
      <c r="M1036" t="s">
        <v>51</v>
      </c>
      <c r="S1036">
        <v>561</v>
      </c>
      <c r="W1036" t="str">
        <f t="shared" si="685"/>
        <v>h</v>
      </c>
      <c r="X1036">
        <v>9</v>
      </c>
      <c r="Y1036" t="e">
        <f>IF(X1036&lt;&gt;"",VLOOKUP(X1036,game_rosters!$C$43:$E$64,3,FALSE))</f>
        <v>#N/A</v>
      </c>
      <c r="Z1036" t="str" cm="1">
        <f t="array" ref="Z1036">IFERROR(IF(_xlfn._xlws.FILTER(game_rosters!$J:$J,(game_rosters!$G:$G=events!$AN1036)*(game_rosters!$J:$J=events!$X1036))&gt;0,1,""),"")</f>
        <v/>
      </c>
      <c r="AA1036">
        <f t="shared" si="643"/>
        <v>1561</v>
      </c>
      <c r="AB1036" t="str">
        <f t="shared" si="644"/>
        <v/>
      </c>
      <c r="AC1036">
        <f t="shared" si="682"/>
        <v>1561</v>
      </c>
      <c r="AD1036" s="6">
        <v>2</v>
      </c>
      <c r="AE1036" t="s">
        <v>746</v>
      </c>
      <c r="AF1036" t="s">
        <v>935</v>
      </c>
      <c r="AG1036" t="s">
        <v>756</v>
      </c>
      <c r="AH1036" t="s">
        <v>756</v>
      </c>
      <c r="AI1036" t="s">
        <v>368</v>
      </c>
      <c r="AJ1036" t="str">
        <f t="shared" ref="AJ1036:AK1036" si="716">IF($J1036&lt;&gt;"",$J1036,IF($AC1036=$AC1035,AJ1035,""))</f>
        <v>o</v>
      </c>
      <c r="AK1036" t="str">
        <f t="shared" si="716"/>
        <v>o</v>
      </c>
      <c r="AL1036" t="str">
        <f t="shared" si="687"/>
        <v>o</v>
      </c>
      <c r="AN1036" t="s">
        <v>861</v>
      </c>
      <c r="AO1036" t="str">
        <f t="shared" si="688"/>
        <v>h</v>
      </c>
      <c r="AP1036" t="str">
        <f t="shared" si="696"/>
        <v>o</v>
      </c>
      <c r="AQ1036" t="str">
        <f t="shared" si="697"/>
        <v/>
      </c>
      <c r="AR1036" t="str">
        <f t="shared" si="698"/>
        <v>Home</v>
      </c>
      <c r="AS1036" t="str">
        <f t="shared" si="699"/>
        <v>h</v>
      </c>
      <c r="AT1036" t="str">
        <f t="shared" si="700"/>
        <v>Defensive</v>
      </c>
      <c r="BA1036" s="6">
        <f t="shared" si="689"/>
        <v>265</v>
      </c>
      <c r="BB1036">
        <f t="shared" si="690"/>
        <v>18981</v>
      </c>
      <c r="BC1036" t="str">
        <f t="shared" si="691"/>
        <v>Nelson</v>
      </c>
      <c r="BD1036" t="str">
        <f t="shared" si="692"/>
        <v>Velodrome</v>
      </c>
      <c r="BE1036" t="s">
        <v>6</v>
      </c>
      <c r="BF1036" t="s">
        <v>181</v>
      </c>
      <c r="BG1036" t="s">
        <v>51</v>
      </c>
      <c r="BI1036" cm="1">
        <f t="array" ref="BI1036">IFERROR(_xlfn._xlws.FILTER(shifts!A:A,(shifts!B:B=events!AD1036)*(shifts!AG:AG&gt;=events!BK1036)*(shifts!AH:AH&lt;=events!BL1036)),BI1035)</f>
        <v>48</v>
      </c>
      <c r="BJ1036" s="15">
        <f t="shared" si="693"/>
        <v>0</v>
      </c>
      <c r="BK1036">
        <f t="shared" si="701"/>
        <v>765</v>
      </c>
      <c r="BL1036">
        <f t="shared" si="702"/>
        <v>765</v>
      </c>
      <c r="BM1036" s="15">
        <f>SUMIFS(BJ$2:BJ1036,K$2:K1036,"=Intermission")+SUMIFS(BJ$2:BJ1036,K$2:K1036,"=Timeout")</f>
        <v>72</v>
      </c>
      <c r="BN1036">
        <f t="shared" si="703"/>
        <v>1152</v>
      </c>
      <c r="BO1036" s="19">
        <f t="shared" si="704"/>
        <v>1467</v>
      </c>
      <c r="BP1036">
        <f t="shared" si="705"/>
        <v>1462</v>
      </c>
      <c r="BQ1036" s="17">
        <f t="shared" si="706"/>
        <v>1467</v>
      </c>
      <c r="BR1036" t="str">
        <f t="shared" si="707"/>
        <v>opp_team_player_1</v>
      </c>
      <c r="BS1036">
        <f>COUNTIFS(S$3:S1036,"="&amp;S1036,AI$3:AI1036,"="&amp;AI1036)</f>
        <v>1</v>
      </c>
      <c r="BT1036" t="str">
        <f>IFERROR(VLOOKUP(BB1036&amp;BU1036&amp;X1036,game_rosters!U:W,3,FALSE),"")</f>
        <v>P100105</v>
      </c>
      <c r="BU1036" t="str">
        <f t="shared" si="708"/>
        <v>Velodrome</v>
      </c>
    </row>
    <row r="1037" spans="1:73" x14ac:dyDescent="0.2">
      <c r="A1037">
        <f t="shared" si="694"/>
        <v>1</v>
      </c>
      <c r="J1037" s="44" t="str">
        <f t="shared" si="709"/>
        <v/>
      </c>
      <c r="K1037" t="s">
        <v>13</v>
      </c>
      <c r="L1037" t="s">
        <v>756</v>
      </c>
      <c r="M1037" t="s">
        <v>756</v>
      </c>
      <c r="S1037">
        <v>562</v>
      </c>
      <c r="W1037" t="str">
        <f t="shared" si="685"/>
        <v>a</v>
      </c>
      <c r="X1037">
        <v>93</v>
      </c>
      <c r="Y1037" t="e">
        <f>IF(X1037&lt;&gt;"",VLOOKUP(X1037,game_rosters!$C$43:$E$64,3,FALSE))</f>
        <v>#N/A</v>
      </c>
      <c r="Z1037" cm="1">
        <f t="array" ref="Z1037">IFERROR(IF(_xlfn._xlws.FILTER(game_rosters!$J:$J,(game_rosters!$G:$G=events!$AN1037)*(game_rosters!$J:$J=events!$X1037))&gt;0,1,""),"")</f>
        <v>1</v>
      </c>
      <c r="AA1037">
        <f t="shared" si="643"/>
        <v>1562</v>
      </c>
      <c r="AB1037" t="str">
        <f t="shared" si="644"/>
        <v/>
      </c>
      <c r="AC1037">
        <f t="shared" si="682"/>
        <v>1562</v>
      </c>
      <c r="AD1037" s="6">
        <v>2</v>
      </c>
      <c r="AE1037" t="s">
        <v>746</v>
      </c>
      <c r="AF1037" t="s">
        <v>902</v>
      </c>
      <c r="AG1037" t="s">
        <v>746</v>
      </c>
      <c r="AH1037" t="s">
        <v>903</v>
      </c>
      <c r="AI1037" t="s">
        <v>367</v>
      </c>
      <c r="AJ1037" t="str">
        <f t="shared" ref="AJ1037:AK1037" si="717">IF($J1037&lt;&gt;"",$J1037,IF($AC1037=$AC1036,AJ1036,""))</f>
        <v/>
      </c>
      <c r="AK1037" t="str">
        <f t="shared" si="717"/>
        <v/>
      </c>
      <c r="AL1037" t="str">
        <f t="shared" si="687"/>
        <v/>
      </c>
      <c r="AN1037" t="s">
        <v>862</v>
      </c>
      <c r="AO1037" t="str">
        <f t="shared" si="688"/>
        <v>a</v>
      </c>
      <c r="AP1037" t="str">
        <f t="shared" si="696"/>
        <v/>
      </c>
      <c r="AQ1037" t="str">
        <f t="shared" si="697"/>
        <v/>
      </c>
      <c r="AR1037" t="str">
        <f t="shared" si="698"/>
        <v>Away</v>
      </c>
      <c r="AS1037" t="str">
        <f t="shared" si="699"/>
        <v>a</v>
      </c>
      <c r="AT1037" t="str">
        <f t="shared" si="700"/>
        <v>Offensive</v>
      </c>
      <c r="BA1037" s="6">
        <f t="shared" si="689"/>
        <v>265</v>
      </c>
      <c r="BB1037">
        <f t="shared" si="690"/>
        <v>18981</v>
      </c>
      <c r="BC1037" t="str">
        <f t="shared" si="691"/>
        <v>Nelson</v>
      </c>
      <c r="BD1037" t="str">
        <f t="shared" si="692"/>
        <v>Velodrome</v>
      </c>
      <c r="BE1037" t="s">
        <v>13</v>
      </c>
      <c r="BF1037" t="s">
        <v>756</v>
      </c>
      <c r="BG1037" t="s">
        <v>756</v>
      </c>
      <c r="BI1037" cm="1">
        <f t="array" ref="BI1037">IFERROR(_xlfn._xlws.FILTER(shifts!A:A,(shifts!B:B=events!AD1037)*(shifts!AG:AG&gt;=events!BK1037)*(shifts!AH:AH&lt;=events!BL1037)),BI1036)</f>
        <v>48</v>
      </c>
      <c r="BJ1037" s="15">
        <f t="shared" si="693"/>
        <v>2</v>
      </c>
      <c r="BK1037">
        <f t="shared" si="701"/>
        <v>762</v>
      </c>
      <c r="BL1037">
        <f t="shared" si="702"/>
        <v>760</v>
      </c>
      <c r="BM1037" s="15">
        <f>SUMIFS(BJ$2:BJ1037,K$2:K1037,"=Intermission")+SUMIFS(BJ$2:BJ1037,K$2:K1037,"=Timeout")</f>
        <v>72</v>
      </c>
      <c r="BN1037">
        <f t="shared" si="703"/>
        <v>1152</v>
      </c>
      <c r="BO1037" s="19">
        <f t="shared" si="704"/>
        <v>1470</v>
      </c>
      <c r="BP1037">
        <f t="shared" si="705"/>
        <v>1465</v>
      </c>
      <c r="BQ1037" s="17">
        <f t="shared" si="706"/>
        <v>1472</v>
      </c>
      <c r="BR1037" t="str">
        <f t="shared" si="707"/>
        <v>event_team_player_1</v>
      </c>
      <c r="BS1037">
        <f>COUNTIFS(S$3:S1037,"="&amp;S1037,AI$3:AI1037,"="&amp;AI1037)</f>
        <v>1</v>
      </c>
      <c r="BT1037" t="str">
        <f>IFERROR(VLOOKUP(BB1037&amp;BU1037&amp;X1037,game_rosters!U:W,3,FALSE),"")</f>
        <v>P100093</v>
      </c>
      <c r="BU1037" t="str">
        <f t="shared" si="708"/>
        <v>Velodrome</v>
      </c>
    </row>
    <row r="1038" spans="1:73" x14ac:dyDescent="0.2">
      <c r="A1038">
        <f t="shared" si="694"/>
        <v>1</v>
      </c>
      <c r="J1038" s="44" t="str">
        <f t="shared" si="709"/>
        <v>d</v>
      </c>
      <c r="K1038" t="s">
        <v>238</v>
      </c>
      <c r="L1038" t="s">
        <v>184</v>
      </c>
      <c r="M1038" t="s">
        <v>90</v>
      </c>
      <c r="S1038">
        <v>563</v>
      </c>
      <c r="W1038" t="str">
        <f t="shared" si="685"/>
        <v>a</v>
      </c>
      <c r="X1038">
        <v>93</v>
      </c>
      <c r="Y1038" t="e">
        <f>IF(X1038&lt;&gt;"",VLOOKUP(X1038,game_rosters!$C$43:$E$64,3,FALSE))</f>
        <v>#N/A</v>
      </c>
      <c r="Z1038" cm="1">
        <f t="array" ref="Z1038">IFERROR(IF(_xlfn._xlws.FILTER(game_rosters!$J:$J,(game_rosters!$G:$G=events!$AN1038)*(game_rosters!$J:$J=events!$X1038))&gt;0,1,""),"")</f>
        <v>1</v>
      </c>
      <c r="AA1038">
        <f t="shared" si="643"/>
        <v>1563</v>
      </c>
      <c r="AB1038" t="str">
        <f t="shared" si="644"/>
        <v/>
      </c>
      <c r="AC1038">
        <f t="shared" si="682"/>
        <v>1563</v>
      </c>
      <c r="AD1038" s="6">
        <v>2</v>
      </c>
      <c r="AE1038" t="s">
        <v>746</v>
      </c>
      <c r="AF1038" t="s">
        <v>903</v>
      </c>
      <c r="AG1038" t="s">
        <v>756</v>
      </c>
      <c r="AH1038" t="s">
        <v>756</v>
      </c>
      <c r="AI1038" t="s">
        <v>367</v>
      </c>
      <c r="AJ1038" t="str">
        <f t="shared" ref="AJ1038:AK1038" si="718">IF($J1038&lt;&gt;"",$J1038,IF($AC1038=$AC1037,AJ1037,""))</f>
        <v>d</v>
      </c>
      <c r="AK1038" t="str">
        <f t="shared" si="718"/>
        <v>d</v>
      </c>
      <c r="AL1038" t="str">
        <f t="shared" si="687"/>
        <v>o</v>
      </c>
      <c r="AN1038" t="s">
        <v>862</v>
      </c>
      <c r="AO1038" t="str">
        <f t="shared" si="688"/>
        <v>a</v>
      </c>
      <c r="AP1038" t="str">
        <f t="shared" si="696"/>
        <v>o</v>
      </c>
      <c r="AQ1038" t="str">
        <f t="shared" si="697"/>
        <v/>
      </c>
      <c r="AR1038" t="str">
        <f t="shared" si="698"/>
        <v>Away</v>
      </c>
      <c r="AS1038" t="str">
        <f t="shared" si="699"/>
        <v>a</v>
      </c>
      <c r="AT1038" t="str">
        <f t="shared" si="700"/>
        <v>Offensive</v>
      </c>
      <c r="BA1038" s="6">
        <f t="shared" si="689"/>
        <v>266</v>
      </c>
      <c r="BB1038">
        <f t="shared" si="690"/>
        <v>18981</v>
      </c>
      <c r="BC1038" t="str">
        <f t="shared" si="691"/>
        <v>Nelson</v>
      </c>
      <c r="BD1038" t="str">
        <f t="shared" si="692"/>
        <v>Velodrome</v>
      </c>
      <c r="BE1038" t="s">
        <v>238</v>
      </c>
      <c r="BF1038" t="s">
        <v>184</v>
      </c>
      <c r="BG1038" t="s">
        <v>90</v>
      </c>
      <c r="BI1038" cm="1">
        <f t="array" ref="BI1038">IFERROR(_xlfn._xlws.FILTER(shifts!A:A,(shifts!B:B=events!AD1038)*(shifts!AG:AG&gt;=events!BK1038)*(shifts!AH:AH&lt;=events!BL1038)),BI1037)</f>
        <v>48</v>
      </c>
      <c r="BJ1038" s="15">
        <f t="shared" si="693"/>
        <v>0</v>
      </c>
      <c r="BK1038">
        <f t="shared" si="701"/>
        <v>760</v>
      </c>
      <c r="BL1038">
        <f t="shared" si="702"/>
        <v>760</v>
      </c>
      <c r="BM1038" s="15">
        <f>SUMIFS(BJ$2:BJ1038,K$2:K1038,"=Intermission")+SUMIFS(BJ$2:BJ1038,K$2:K1038,"=Timeout")</f>
        <v>72</v>
      </c>
      <c r="BN1038">
        <f t="shared" si="703"/>
        <v>1152</v>
      </c>
      <c r="BO1038" s="19">
        <f t="shared" si="704"/>
        <v>1472</v>
      </c>
      <c r="BP1038">
        <f t="shared" si="705"/>
        <v>1467</v>
      </c>
      <c r="BQ1038" s="17">
        <f t="shared" si="706"/>
        <v>1472</v>
      </c>
      <c r="BR1038" t="str">
        <f t="shared" si="707"/>
        <v>event_team_player_1</v>
      </c>
      <c r="BS1038">
        <f>COUNTIFS(S$3:S1038,"="&amp;S1038,AI$3:AI1038,"="&amp;AI1038)</f>
        <v>1</v>
      </c>
      <c r="BT1038" t="str">
        <f>IFERROR(VLOOKUP(BB1038&amp;BU1038&amp;X1038,game_rosters!U:W,3,FALSE),"")</f>
        <v>P100093</v>
      </c>
      <c r="BU1038" t="str">
        <f t="shared" si="708"/>
        <v>Velodrome</v>
      </c>
    </row>
    <row r="1039" spans="1:73" x14ac:dyDescent="0.2">
      <c r="A1039">
        <f t="shared" si="694"/>
        <v>1</v>
      </c>
      <c r="J1039" s="44" t="str">
        <f t="shared" si="709"/>
        <v>o</v>
      </c>
      <c r="K1039" t="s">
        <v>238</v>
      </c>
      <c r="L1039" t="s">
        <v>174</v>
      </c>
      <c r="M1039" t="s">
        <v>375</v>
      </c>
      <c r="S1039">
        <v>564</v>
      </c>
      <c r="W1039" t="str">
        <f t="shared" si="685"/>
        <v>a</v>
      </c>
      <c r="X1039">
        <v>93</v>
      </c>
      <c r="Y1039" t="e">
        <f>IF(X1039&lt;&gt;"",VLOOKUP(X1039,game_rosters!$C$43:$E$64,3,FALSE))</f>
        <v>#N/A</v>
      </c>
      <c r="Z1039" cm="1">
        <f t="array" ref="Z1039">IFERROR(IF(_xlfn._xlws.FILTER(game_rosters!$J:$J,(game_rosters!$G:$G=events!$AN1039)*(game_rosters!$J:$J=events!$X1039))&gt;0,1,""),"")</f>
        <v>1</v>
      </c>
      <c r="AA1039">
        <f t="shared" si="643"/>
        <v>1564</v>
      </c>
      <c r="AB1039" t="str">
        <f t="shared" si="644"/>
        <v/>
      </c>
      <c r="AC1039">
        <f t="shared" si="682"/>
        <v>1564</v>
      </c>
      <c r="AD1039" s="6">
        <v>2</v>
      </c>
      <c r="AE1039" t="s">
        <v>746</v>
      </c>
      <c r="AF1039" t="s">
        <v>903</v>
      </c>
      <c r="AG1039" t="s">
        <v>756</v>
      </c>
      <c r="AH1039" t="s">
        <v>756</v>
      </c>
      <c r="AI1039" t="s">
        <v>367</v>
      </c>
      <c r="AJ1039" t="str">
        <f t="shared" ref="AJ1039:AK1039" si="719">IF($J1039&lt;&gt;"",$J1039,IF($AC1039=$AC1038,AJ1038,""))</f>
        <v>o</v>
      </c>
      <c r="AK1039" t="str">
        <f t="shared" si="719"/>
        <v>o</v>
      </c>
      <c r="AL1039" t="str">
        <f t="shared" si="687"/>
        <v>d</v>
      </c>
      <c r="AN1039" t="s">
        <v>862</v>
      </c>
      <c r="AO1039" t="str">
        <f t="shared" si="688"/>
        <v>a</v>
      </c>
      <c r="AP1039" t="str">
        <f t="shared" si="696"/>
        <v>d</v>
      </c>
      <c r="AQ1039" t="str">
        <f t="shared" si="697"/>
        <v/>
      </c>
      <c r="AR1039" t="str">
        <f t="shared" si="698"/>
        <v>Away</v>
      </c>
      <c r="AS1039" t="str">
        <f t="shared" si="699"/>
        <v>a</v>
      </c>
      <c r="AT1039" t="str">
        <f t="shared" si="700"/>
        <v>Offensive</v>
      </c>
      <c r="BA1039" s="6">
        <f t="shared" si="689"/>
        <v>267</v>
      </c>
      <c r="BB1039">
        <f t="shared" si="690"/>
        <v>18981</v>
      </c>
      <c r="BC1039" t="str">
        <f t="shared" si="691"/>
        <v>Nelson</v>
      </c>
      <c r="BD1039" t="str">
        <f t="shared" si="692"/>
        <v>Velodrome</v>
      </c>
      <c r="BE1039" t="s">
        <v>238</v>
      </c>
      <c r="BF1039" t="s">
        <v>174</v>
      </c>
      <c r="BG1039" t="s">
        <v>375</v>
      </c>
      <c r="BI1039" cm="1">
        <f t="array" ref="BI1039">IFERROR(_xlfn._xlws.FILTER(shifts!A:A,(shifts!B:B=events!AD1039)*(shifts!AG:AG&gt;=events!BK1039)*(shifts!AH:AH&lt;=events!BL1039)),BI1038)</f>
        <v>48</v>
      </c>
      <c r="BJ1039" s="15">
        <f t="shared" si="693"/>
        <v>0</v>
      </c>
      <c r="BK1039">
        <f t="shared" si="701"/>
        <v>760</v>
      </c>
      <c r="BL1039">
        <f t="shared" si="702"/>
        <v>760</v>
      </c>
      <c r="BM1039" s="15">
        <f>SUMIFS(BJ$2:BJ1039,K$2:K1039,"=Intermission")+SUMIFS(BJ$2:BJ1039,K$2:K1039,"=Timeout")</f>
        <v>72</v>
      </c>
      <c r="BN1039">
        <f t="shared" si="703"/>
        <v>1152</v>
      </c>
      <c r="BO1039" s="19">
        <f t="shared" si="704"/>
        <v>1472</v>
      </c>
      <c r="BP1039">
        <f t="shared" si="705"/>
        <v>1467</v>
      </c>
      <c r="BQ1039" s="17">
        <f t="shared" si="706"/>
        <v>1472</v>
      </c>
      <c r="BR1039" t="str">
        <f t="shared" si="707"/>
        <v>event_team_player_1</v>
      </c>
      <c r="BS1039">
        <f>COUNTIFS(S$3:S1039,"="&amp;S1039,AI$3:AI1039,"="&amp;AI1039)</f>
        <v>1</v>
      </c>
      <c r="BT1039" t="str">
        <f>IFERROR(VLOOKUP(BB1039&amp;BU1039&amp;X1039,game_rosters!U:W,3,FALSE),"")</f>
        <v>P100093</v>
      </c>
      <c r="BU1039" t="str">
        <f t="shared" si="708"/>
        <v>Velodrome</v>
      </c>
    </row>
    <row r="1040" spans="1:73" x14ac:dyDescent="0.2">
      <c r="A1040">
        <f t="shared" si="694"/>
        <v>1</v>
      </c>
      <c r="J1040" s="44" t="str">
        <f t="shared" si="709"/>
        <v>d</v>
      </c>
      <c r="K1040" t="s">
        <v>238</v>
      </c>
      <c r="L1040" t="s">
        <v>184</v>
      </c>
      <c r="M1040" t="s">
        <v>88</v>
      </c>
      <c r="S1040">
        <v>565</v>
      </c>
      <c r="W1040" t="str">
        <f t="shared" si="685"/>
        <v>h</v>
      </c>
      <c r="X1040">
        <v>80</v>
      </c>
      <c r="Y1040" t="b">
        <f>IF(X1040&lt;&gt;"",VLOOKUP(X1040,game_rosters!$C$43:$E$64,3,FALSE))</f>
        <v>0</v>
      </c>
      <c r="Z1040" cm="1">
        <f t="array" ref="Z1040">IFERROR(IF(_xlfn._xlws.FILTER(game_rosters!$J:$J,(game_rosters!$G:$G=events!$AN1040)*(game_rosters!$J:$J=events!$X1040))&gt;0,1,""),"")</f>
        <v>1</v>
      </c>
      <c r="AA1040">
        <f t="shared" si="643"/>
        <v>1565</v>
      </c>
      <c r="AB1040" t="str">
        <f t="shared" si="644"/>
        <v/>
      </c>
      <c r="AC1040">
        <f t="shared" si="682"/>
        <v>1565</v>
      </c>
      <c r="AD1040" s="6">
        <v>2</v>
      </c>
      <c r="AE1040" t="s">
        <v>746</v>
      </c>
      <c r="AF1040" t="s">
        <v>914</v>
      </c>
      <c r="AG1040" t="s">
        <v>746</v>
      </c>
      <c r="AH1040" t="s">
        <v>906</v>
      </c>
      <c r="AI1040" t="s">
        <v>367</v>
      </c>
      <c r="AJ1040" t="str">
        <f t="shared" ref="AJ1040:AK1040" si="720">IF($J1040&lt;&gt;"",$J1040,IF($AC1040=$AC1039,AJ1039,""))</f>
        <v>d</v>
      </c>
      <c r="AK1040" t="str">
        <f t="shared" si="720"/>
        <v>d</v>
      </c>
      <c r="AL1040" t="str">
        <f t="shared" si="687"/>
        <v>d</v>
      </c>
      <c r="AN1040" t="s">
        <v>861</v>
      </c>
      <c r="AO1040" t="str">
        <f t="shared" si="688"/>
        <v>h</v>
      </c>
      <c r="AP1040" t="str">
        <f t="shared" si="696"/>
        <v>d</v>
      </c>
      <c r="AQ1040" t="str">
        <f t="shared" si="697"/>
        <v/>
      </c>
      <c r="AR1040" t="str">
        <f t="shared" si="698"/>
        <v>Home</v>
      </c>
      <c r="AS1040" t="str">
        <f t="shared" si="699"/>
        <v>h</v>
      </c>
      <c r="AT1040" t="str">
        <f t="shared" si="700"/>
        <v>Offensive</v>
      </c>
      <c r="BA1040" s="6">
        <f t="shared" si="689"/>
        <v>268</v>
      </c>
      <c r="BB1040">
        <f t="shared" si="690"/>
        <v>18981</v>
      </c>
      <c r="BC1040" t="str">
        <f t="shared" si="691"/>
        <v>Nelson</v>
      </c>
      <c r="BD1040" t="str">
        <f t="shared" si="692"/>
        <v>Velodrome</v>
      </c>
      <c r="BE1040" t="s">
        <v>238</v>
      </c>
      <c r="BF1040" t="s">
        <v>184</v>
      </c>
      <c r="BG1040" t="s">
        <v>88</v>
      </c>
      <c r="BI1040" cm="1">
        <f t="array" ref="BI1040">IFERROR(_xlfn._xlws.FILTER(shifts!A:A,(shifts!B:B=events!AD1040)*(shifts!AG:AG&gt;=events!BK1040)*(shifts!AH:AH&lt;=events!BL1040)),BI1039)</f>
        <v>49</v>
      </c>
      <c r="BJ1040" s="15">
        <f t="shared" si="693"/>
        <v>4</v>
      </c>
      <c r="BK1040">
        <f t="shared" si="701"/>
        <v>753</v>
      </c>
      <c r="BL1040">
        <f t="shared" si="702"/>
        <v>749</v>
      </c>
      <c r="BM1040" s="15">
        <f>SUMIFS(BJ$2:BJ1040,K$2:K1040,"=Intermission")+SUMIFS(BJ$2:BJ1040,K$2:K1040,"=Timeout")</f>
        <v>72</v>
      </c>
      <c r="BN1040">
        <f t="shared" si="703"/>
        <v>1152</v>
      </c>
      <c r="BO1040" s="19">
        <f t="shared" si="704"/>
        <v>1479</v>
      </c>
      <c r="BP1040">
        <f t="shared" si="705"/>
        <v>1474</v>
      </c>
      <c r="BQ1040" s="17">
        <f t="shared" si="706"/>
        <v>1483</v>
      </c>
      <c r="BR1040" t="str">
        <f t="shared" si="707"/>
        <v>event_team_player_1</v>
      </c>
      <c r="BS1040">
        <f>COUNTIFS(S$3:S1040,"="&amp;S1040,AI$3:AI1040,"="&amp;AI1040)</f>
        <v>1</v>
      </c>
      <c r="BT1040" t="str">
        <f>IFERROR(VLOOKUP(BB1040&amp;BU1040&amp;X1040,game_rosters!U:W,3,FALSE),"")</f>
        <v>P100197</v>
      </c>
      <c r="BU1040" t="str">
        <f t="shared" si="708"/>
        <v>Nelson</v>
      </c>
    </row>
    <row r="1041" spans="1:73" x14ac:dyDescent="0.2">
      <c r="A1041">
        <f t="shared" si="694"/>
        <v>1</v>
      </c>
      <c r="J1041" s="44" t="str">
        <f t="shared" si="709"/>
        <v/>
      </c>
      <c r="K1041" t="s">
        <v>13</v>
      </c>
      <c r="L1041" t="s">
        <v>756</v>
      </c>
      <c r="M1041" t="s">
        <v>756</v>
      </c>
      <c r="S1041">
        <v>566</v>
      </c>
      <c r="W1041" t="str">
        <f t="shared" si="685"/>
        <v>h</v>
      </c>
      <c r="X1041">
        <v>80</v>
      </c>
      <c r="Y1041" t="b">
        <f>IF(X1041&lt;&gt;"",VLOOKUP(X1041,game_rosters!$C$43:$E$64,3,FALSE))</f>
        <v>0</v>
      </c>
      <c r="Z1041" cm="1">
        <f t="array" ref="Z1041">IFERROR(IF(_xlfn._xlws.FILTER(game_rosters!$J:$J,(game_rosters!$G:$G=events!$AN1041)*(game_rosters!$J:$J=events!$X1041))&gt;0,1,""),"")</f>
        <v>1</v>
      </c>
      <c r="AA1041">
        <f t="shared" si="643"/>
        <v>1566</v>
      </c>
      <c r="AB1041" t="str">
        <f t="shared" si="644"/>
        <v/>
      </c>
      <c r="AC1041">
        <f t="shared" si="682"/>
        <v>1566</v>
      </c>
      <c r="AD1041" s="6">
        <v>2</v>
      </c>
      <c r="AE1041" t="s">
        <v>746</v>
      </c>
      <c r="AF1041" t="s">
        <v>906</v>
      </c>
      <c r="AG1041" t="s">
        <v>746</v>
      </c>
      <c r="AH1041" t="s">
        <v>916</v>
      </c>
      <c r="AI1041" t="s">
        <v>367</v>
      </c>
      <c r="AJ1041" t="str">
        <f t="shared" ref="AJ1041:AK1041" si="721">IF($J1041&lt;&gt;"",$J1041,IF($AC1041=$AC1040,AJ1040,""))</f>
        <v/>
      </c>
      <c r="AK1041" t="str">
        <f t="shared" si="721"/>
        <v/>
      </c>
      <c r="AL1041" t="str">
        <f t="shared" si="687"/>
        <v/>
      </c>
      <c r="AN1041" t="s">
        <v>861</v>
      </c>
      <c r="AO1041" t="str">
        <f t="shared" si="688"/>
        <v>h</v>
      </c>
      <c r="AP1041" t="str">
        <f t="shared" si="696"/>
        <v/>
      </c>
      <c r="AQ1041" t="str">
        <f t="shared" si="697"/>
        <v/>
      </c>
      <c r="AR1041" t="str">
        <f t="shared" si="698"/>
        <v>Home</v>
      </c>
      <c r="AS1041" t="str">
        <f t="shared" si="699"/>
        <v>h</v>
      </c>
      <c r="AT1041" t="str">
        <f t="shared" si="700"/>
        <v>Offensive</v>
      </c>
      <c r="BA1041" s="6">
        <f t="shared" si="689"/>
        <v>268</v>
      </c>
      <c r="BB1041">
        <f t="shared" si="690"/>
        <v>18981</v>
      </c>
      <c r="BC1041" t="str">
        <f t="shared" si="691"/>
        <v>Nelson</v>
      </c>
      <c r="BD1041" t="str">
        <f t="shared" si="692"/>
        <v>Velodrome</v>
      </c>
      <c r="BE1041" t="s">
        <v>13</v>
      </c>
      <c r="BF1041" t="s">
        <v>756</v>
      </c>
      <c r="BG1041" t="s">
        <v>756</v>
      </c>
      <c r="BI1041" cm="1">
        <f t="array" ref="BI1041">IFERROR(_xlfn._xlws.FILTER(shifts!A:A,(shifts!B:B=events!AD1041)*(shifts!AG:AG&gt;=events!BK1041)*(shifts!AH:AH&lt;=events!BL1041)),BI1040)</f>
        <v>49</v>
      </c>
      <c r="BJ1041" s="15">
        <f t="shared" si="693"/>
        <v>2</v>
      </c>
      <c r="BK1041">
        <f t="shared" si="701"/>
        <v>749</v>
      </c>
      <c r="BL1041">
        <f t="shared" si="702"/>
        <v>747</v>
      </c>
      <c r="BM1041" s="15">
        <f>SUMIFS(BJ$2:BJ1041,K$2:K1041,"=Intermission")+SUMIFS(BJ$2:BJ1041,K$2:K1041,"=Timeout")</f>
        <v>72</v>
      </c>
      <c r="BN1041">
        <f t="shared" si="703"/>
        <v>1152</v>
      </c>
      <c r="BO1041" s="19">
        <f t="shared" si="704"/>
        <v>1483</v>
      </c>
      <c r="BP1041">
        <f t="shared" si="705"/>
        <v>1478</v>
      </c>
      <c r="BQ1041" s="17">
        <f t="shared" si="706"/>
        <v>1485</v>
      </c>
      <c r="BR1041" t="str">
        <f t="shared" si="707"/>
        <v>event_team_player_1</v>
      </c>
      <c r="BS1041">
        <f>COUNTIFS(S$3:S1041,"="&amp;S1041,AI$3:AI1041,"="&amp;AI1041)</f>
        <v>1</v>
      </c>
      <c r="BT1041" t="str">
        <f>IFERROR(VLOOKUP(BB1041&amp;BU1041&amp;X1041,game_rosters!U:W,3,FALSE),"")</f>
        <v>P100197</v>
      </c>
      <c r="BU1041" t="str">
        <f t="shared" si="708"/>
        <v>Nelson</v>
      </c>
    </row>
    <row r="1042" spans="1:73" x14ac:dyDescent="0.2">
      <c r="A1042">
        <f t="shared" si="694"/>
        <v>1</v>
      </c>
      <c r="J1042" s="44" t="str">
        <f t="shared" si="709"/>
        <v>o</v>
      </c>
      <c r="K1042" t="s">
        <v>238</v>
      </c>
      <c r="L1042" t="s">
        <v>174</v>
      </c>
      <c r="M1042" t="s">
        <v>85</v>
      </c>
      <c r="S1042">
        <v>567</v>
      </c>
      <c r="W1042" t="str">
        <f t="shared" si="685"/>
        <v>h</v>
      </c>
      <c r="X1042">
        <v>80</v>
      </c>
      <c r="Y1042" t="b">
        <f>IF(X1042&lt;&gt;"",VLOOKUP(X1042,game_rosters!$C$43:$E$64,3,FALSE))</f>
        <v>0</v>
      </c>
      <c r="Z1042" cm="1">
        <f t="array" ref="Z1042">IFERROR(IF(_xlfn._xlws.FILTER(game_rosters!$J:$J,(game_rosters!$G:$G=events!$AN1042)*(game_rosters!$J:$J=events!$X1042))&gt;0,1,""),"")</f>
        <v>1</v>
      </c>
      <c r="AA1042">
        <f t="shared" si="643"/>
        <v>1567</v>
      </c>
      <c r="AB1042" t="str">
        <f t="shared" si="644"/>
        <v/>
      </c>
      <c r="AC1042">
        <f t="shared" si="682"/>
        <v>1567</v>
      </c>
      <c r="AD1042" s="6">
        <v>2</v>
      </c>
      <c r="AE1042" t="s">
        <v>746</v>
      </c>
      <c r="AF1042" t="s">
        <v>916</v>
      </c>
      <c r="AG1042" t="s">
        <v>746</v>
      </c>
      <c r="AH1042" t="s">
        <v>740</v>
      </c>
      <c r="AI1042" t="s">
        <v>367</v>
      </c>
      <c r="AJ1042" t="str">
        <f t="shared" ref="AJ1042:AK1042" si="722">IF($J1042&lt;&gt;"",$J1042,IF($AC1042=$AC1041,AJ1041,""))</f>
        <v>o</v>
      </c>
      <c r="AK1042" t="str">
        <f t="shared" si="722"/>
        <v>o</v>
      </c>
      <c r="AL1042" t="str">
        <f t="shared" si="687"/>
        <v>o</v>
      </c>
      <c r="AN1042" t="s">
        <v>861</v>
      </c>
      <c r="AO1042" t="str">
        <f t="shared" si="688"/>
        <v>h</v>
      </c>
      <c r="AP1042" t="str">
        <f t="shared" si="696"/>
        <v>o</v>
      </c>
      <c r="AQ1042" t="str">
        <f t="shared" si="697"/>
        <v/>
      </c>
      <c r="AR1042" t="str">
        <f t="shared" si="698"/>
        <v>Home</v>
      </c>
      <c r="AS1042" t="str">
        <f t="shared" si="699"/>
        <v>h</v>
      </c>
      <c r="AT1042" t="str">
        <f t="shared" si="700"/>
        <v>Offensive</v>
      </c>
      <c r="BA1042" s="6">
        <f t="shared" si="689"/>
        <v>269</v>
      </c>
      <c r="BB1042">
        <f t="shared" si="690"/>
        <v>18981</v>
      </c>
      <c r="BC1042" t="str">
        <f t="shared" si="691"/>
        <v>Nelson</v>
      </c>
      <c r="BD1042" t="str">
        <f t="shared" si="692"/>
        <v>Velodrome</v>
      </c>
      <c r="BE1042" t="s">
        <v>238</v>
      </c>
      <c r="BF1042" t="s">
        <v>174</v>
      </c>
      <c r="BG1042" t="s">
        <v>85</v>
      </c>
      <c r="BI1042" cm="1">
        <f t="array" ref="BI1042">IFERROR(_xlfn._xlws.FILTER(shifts!A:A,(shifts!B:B=events!AD1042)*(shifts!AG:AG&gt;=events!BK1042)*(shifts!AH:AH&lt;=events!BL1042)),BI1041)</f>
        <v>49</v>
      </c>
      <c r="BJ1042" s="15">
        <f t="shared" si="693"/>
        <v>2</v>
      </c>
      <c r="BK1042">
        <f t="shared" si="701"/>
        <v>747</v>
      </c>
      <c r="BL1042">
        <f t="shared" si="702"/>
        <v>745</v>
      </c>
      <c r="BM1042" s="15">
        <f>SUMIFS(BJ$2:BJ1042,K$2:K1042,"=Intermission")+SUMIFS(BJ$2:BJ1042,K$2:K1042,"=Timeout")</f>
        <v>72</v>
      </c>
      <c r="BN1042">
        <f t="shared" si="703"/>
        <v>1152</v>
      </c>
      <c r="BO1042" s="19">
        <f t="shared" si="704"/>
        <v>1485</v>
      </c>
      <c r="BP1042">
        <f t="shared" si="705"/>
        <v>1480</v>
      </c>
      <c r="BQ1042" s="17">
        <f t="shared" si="706"/>
        <v>1487</v>
      </c>
      <c r="BR1042" t="str">
        <f t="shared" si="707"/>
        <v>event_team_player_1</v>
      </c>
      <c r="BS1042">
        <f>COUNTIFS(S$3:S1042,"="&amp;S1042,AI$3:AI1042,"="&amp;AI1042)</f>
        <v>1</v>
      </c>
      <c r="BT1042" t="str">
        <f>IFERROR(VLOOKUP(BB1042&amp;BU1042&amp;X1042,game_rosters!U:W,3,FALSE),"")</f>
        <v>P100197</v>
      </c>
      <c r="BU1042" t="str">
        <f t="shared" si="708"/>
        <v>Nelson</v>
      </c>
    </row>
    <row r="1043" spans="1:73" x14ac:dyDescent="0.2">
      <c r="A1043">
        <f t="shared" si="694"/>
        <v>1</v>
      </c>
      <c r="J1043" s="44" t="str">
        <f t="shared" si="709"/>
        <v>o</v>
      </c>
      <c r="K1043" t="s">
        <v>238</v>
      </c>
      <c r="L1043" t="s">
        <v>174</v>
      </c>
      <c r="M1043" t="s">
        <v>85</v>
      </c>
      <c r="S1043">
        <v>567</v>
      </c>
      <c r="W1043" t="str">
        <f t="shared" si="685"/>
        <v>h</v>
      </c>
      <c r="X1043">
        <v>24</v>
      </c>
      <c r="Y1043" t="e">
        <f>IF(X1043&lt;&gt;"",VLOOKUP(X1043,game_rosters!$C$43:$E$64,3,FALSE))</f>
        <v>#N/A</v>
      </c>
      <c r="Z1043" t="str" cm="1">
        <f t="array" ref="Z1043">IFERROR(IF(_xlfn._xlws.FILTER(game_rosters!$J:$J,(game_rosters!$G:$G=events!$AN1043)*(game_rosters!$J:$J=events!$X1043))&gt;0,1,""),"")</f>
        <v/>
      </c>
      <c r="AA1043">
        <f t="shared" si="643"/>
        <v>1567</v>
      </c>
      <c r="AB1043" t="str">
        <f t="shared" si="644"/>
        <v/>
      </c>
      <c r="AC1043">
        <f t="shared" si="682"/>
        <v>1567</v>
      </c>
      <c r="AD1043" s="6">
        <v>2</v>
      </c>
      <c r="AE1043" t="s">
        <v>746</v>
      </c>
      <c r="AF1043" t="s">
        <v>916</v>
      </c>
      <c r="AG1043" t="s">
        <v>746</v>
      </c>
      <c r="AH1043" t="s">
        <v>740</v>
      </c>
      <c r="AI1043" t="s">
        <v>368</v>
      </c>
      <c r="AJ1043" t="str">
        <f t="shared" ref="AJ1043:AK1043" si="723">IF($J1043&lt;&gt;"",$J1043,IF($AC1043=$AC1042,AJ1042,""))</f>
        <v>o</v>
      </c>
      <c r="AK1043" t="str">
        <f t="shared" si="723"/>
        <v>o</v>
      </c>
      <c r="AL1043" t="str">
        <f t="shared" si="687"/>
        <v>o</v>
      </c>
      <c r="AN1043" t="s">
        <v>861</v>
      </c>
      <c r="AO1043" t="str">
        <f t="shared" si="688"/>
        <v>h</v>
      </c>
      <c r="AP1043" t="str">
        <f t="shared" si="696"/>
        <v>o</v>
      </c>
      <c r="AQ1043" t="str">
        <f t="shared" si="697"/>
        <v/>
      </c>
      <c r="AR1043" t="str">
        <f t="shared" si="698"/>
        <v>Home</v>
      </c>
      <c r="AS1043" t="str">
        <f t="shared" si="699"/>
        <v>h</v>
      </c>
      <c r="AT1043" t="str">
        <f t="shared" si="700"/>
        <v>Defensive</v>
      </c>
      <c r="BA1043" s="6">
        <f t="shared" si="689"/>
        <v>270</v>
      </c>
      <c r="BB1043">
        <f t="shared" si="690"/>
        <v>18981</v>
      </c>
      <c r="BC1043" t="str">
        <f t="shared" si="691"/>
        <v>Nelson</v>
      </c>
      <c r="BD1043" t="str">
        <f t="shared" si="692"/>
        <v>Velodrome</v>
      </c>
      <c r="BE1043" t="s">
        <v>238</v>
      </c>
      <c r="BF1043" t="s">
        <v>174</v>
      </c>
      <c r="BG1043" t="s">
        <v>85</v>
      </c>
      <c r="BI1043" cm="1">
        <f t="array" ref="BI1043">IFERROR(_xlfn._xlws.FILTER(shifts!A:A,(shifts!B:B=events!AD1043)*(shifts!AG:AG&gt;=events!BK1043)*(shifts!AH:AH&lt;=events!BL1043)),BI1042)</f>
        <v>49</v>
      </c>
      <c r="BJ1043" s="15">
        <f t="shared" si="693"/>
        <v>2</v>
      </c>
      <c r="BK1043">
        <f t="shared" si="701"/>
        <v>747</v>
      </c>
      <c r="BL1043">
        <f t="shared" si="702"/>
        <v>745</v>
      </c>
      <c r="BM1043" s="15">
        <f>SUMIFS(BJ$2:BJ1043,K$2:K1043,"=Intermission")+SUMIFS(BJ$2:BJ1043,K$2:K1043,"=Timeout")</f>
        <v>72</v>
      </c>
      <c r="BN1043">
        <f t="shared" si="703"/>
        <v>1152</v>
      </c>
      <c r="BO1043" s="19">
        <f t="shared" si="704"/>
        <v>1485</v>
      </c>
      <c r="BP1043">
        <f t="shared" si="705"/>
        <v>1480</v>
      </c>
      <c r="BQ1043" s="17">
        <f t="shared" si="706"/>
        <v>1487</v>
      </c>
      <c r="BR1043" t="str">
        <f t="shared" si="707"/>
        <v>opp_team_player_1</v>
      </c>
      <c r="BS1043">
        <f>COUNTIFS(S$3:S1043,"="&amp;S1043,AI$3:AI1043,"="&amp;AI1043)</f>
        <v>1</v>
      </c>
      <c r="BT1043" t="str">
        <f>IFERROR(VLOOKUP(BB1043&amp;BU1043&amp;X1043,game_rosters!U:W,3,FALSE),"")</f>
        <v>P100230</v>
      </c>
      <c r="BU1043" t="str">
        <f t="shared" si="708"/>
        <v>Velodrome</v>
      </c>
    </row>
    <row r="1044" spans="1:73" x14ac:dyDescent="0.2">
      <c r="A1044">
        <f t="shared" si="694"/>
        <v>1</v>
      </c>
      <c r="J1044" s="44" t="str">
        <f t="shared" si="709"/>
        <v>o</v>
      </c>
      <c r="K1044" t="s">
        <v>238</v>
      </c>
      <c r="L1044" t="s">
        <v>174</v>
      </c>
      <c r="M1044" t="s">
        <v>85</v>
      </c>
      <c r="S1044">
        <v>567</v>
      </c>
      <c r="W1044" t="str">
        <f t="shared" si="685"/>
        <v>h</v>
      </c>
      <c r="X1044">
        <v>93</v>
      </c>
      <c r="Y1044" t="e">
        <f>IF(X1044&lt;&gt;"",VLOOKUP(X1044,game_rosters!$C$43:$E$64,3,FALSE))</f>
        <v>#N/A</v>
      </c>
      <c r="Z1044" t="str" cm="1">
        <f t="array" ref="Z1044">IFERROR(IF(_xlfn._xlws.FILTER(game_rosters!$J:$J,(game_rosters!$G:$G=events!$AN1044)*(game_rosters!$J:$J=events!$X1044))&gt;0,1,""),"")</f>
        <v/>
      </c>
      <c r="AA1044">
        <f t="shared" si="643"/>
        <v>1567</v>
      </c>
      <c r="AB1044" t="str">
        <f t="shared" si="644"/>
        <v/>
      </c>
      <c r="AC1044">
        <f t="shared" si="682"/>
        <v>1567</v>
      </c>
      <c r="AD1044" s="6">
        <v>2</v>
      </c>
      <c r="AE1044" t="s">
        <v>746</v>
      </c>
      <c r="AF1044" t="s">
        <v>916</v>
      </c>
      <c r="AG1044" t="s">
        <v>746</v>
      </c>
      <c r="AH1044" t="s">
        <v>740</v>
      </c>
      <c r="AI1044" t="s">
        <v>368</v>
      </c>
      <c r="AJ1044" t="str">
        <f t="shared" ref="AJ1044:AK1044" si="724">IF($J1044&lt;&gt;"",$J1044,IF($AC1044=$AC1043,AJ1043,""))</f>
        <v>o</v>
      </c>
      <c r="AK1044" t="str">
        <f t="shared" si="724"/>
        <v>o</v>
      </c>
      <c r="AL1044" t="str">
        <f t="shared" si="687"/>
        <v>o</v>
      </c>
      <c r="AN1044" t="s">
        <v>861</v>
      </c>
      <c r="AO1044" t="str">
        <f t="shared" si="688"/>
        <v>h</v>
      </c>
      <c r="AP1044" t="str">
        <f t="shared" si="696"/>
        <v>o</v>
      </c>
      <c r="AQ1044" t="str">
        <f t="shared" si="697"/>
        <v/>
      </c>
      <c r="AR1044" t="str">
        <f t="shared" si="698"/>
        <v>Home</v>
      </c>
      <c r="AS1044" t="str">
        <f t="shared" si="699"/>
        <v>h</v>
      </c>
      <c r="AT1044" t="str">
        <f t="shared" si="700"/>
        <v>Defensive</v>
      </c>
      <c r="BA1044" s="6">
        <f t="shared" si="689"/>
        <v>271</v>
      </c>
      <c r="BB1044">
        <f t="shared" si="690"/>
        <v>18981</v>
      </c>
      <c r="BC1044" t="str">
        <f t="shared" si="691"/>
        <v>Nelson</v>
      </c>
      <c r="BD1044" t="str">
        <f t="shared" si="692"/>
        <v>Velodrome</v>
      </c>
      <c r="BE1044" t="s">
        <v>238</v>
      </c>
      <c r="BF1044" t="s">
        <v>174</v>
      </c>
      <c r="BG1044" t="s">
        <v>85</v>
      </c>
      <c r="BI1044" cm="1">
        <f t="array" ref="BI1044">IFERROR(_xlfn._xlws.FILTER(shifts!A:A,(shifts!B:B=events!AD1044)*(shifts!AG:AG&gt;=events!BK1044)*(shifts!AH:AH&lt;=events!BL1044)),BI1043)</f>
        <v>49</v>
      </c>
      <c r="BJ1044" s="15">
        <f t="shared" si="693"/>
        <v>2</v>
      </c>
      <c r="BK1044">
        <f t="shared" si="701"/>
        <v>747</v>
      </c>
      <c r="BL1044">
        <f t="shared" si="702"/>
        <v>745</v>
      </c>
      <c r="BM1044" s="15">
        <f>SUMIFS(BJ$2:BJ1044,K$2:K1044,"=Intermission")+SUMIFS(BJ$2:BJ1044,K$2:K1044,"=Timeout")</f>
        <v>72</v>
      </c>
      <c r="BN1044">
        <f t="shared" si="703"/>
        <v>1152</v>
      </c>
      <c r="BO1044" s="19">
        <f t="shared" si="704"/>
        <v>1485</v>
      </c>
      <c r="BP1044">
        <f t="shared" si="705"/>
        <v>1480</v>
      </c>
      <c r="BQ1044" s="17">
        <f t="shared" si="706"/>
        <v>1487</v>
      </c>
      <c r="BR1044" t="str">
        <f t="shared" si="707"/>
        <v>opp_team_player_2</v>
      </c>
      <c r="BS1044">
        <f>COUNTIFS(S$3:S1044,"="&amp;S1044,AI$3:AI1044,"="&amp;AI1044)</f>
        <v>2</v>
      </c>
      <c r="BT1044" t="str">
        <f>IFERROR(VLOOKUP(BB1044&amp;BU1044&amp;X1044,game_rosters!U:W,3,FALSE),"")</f>
        <v>P100093</v>
      </c>
      <c r="BU1044" t="str">
        <f t="shared" si="708"/>
        <v>Velodrome</v>
      </c>
    </row>
    <row r="1045" spans="1:73" x14ac:dyDescent="0.2">
      <c r="A1045">
        <f t="shared" si="694"/>
        <v>1</v>
      </c>
      <c r="J1045" s="44" t="str">
        <f t="shared" si="709"/>
        <v>o</v>
      </c>
      <c r="K1045" t="s">
        <v>238</v>
      </c>
      <c r="L1045" t="s">
        <v>174</v>
      </c>
      <c r="M1045" t="s">
        <v>85</v>
      </c>
      <c r="S1045">
        <v>567</v>
      </c>
      <c r="W1045" t="str">
        <f t="shared" si="685"/>
        <v>h</v>
      </c>
      <c r="X1045">
        <v>9</v>
      </c>
      <c r="Y1045" t="e">
        <f>IF(X1045&lt;&gt;"",VLOOKUP(X1045,game_rosters!$C$43:$E$64,3,FALSE))</f>
        <v>#N/A</v>
      </c>
      <c r="Z1045" t="str" cm="1">
        <f t="array" ref="Z1045">IFERROR(IF(_xlfn._xlws.FILTER(game_rosters!$J:$J,(game_rosters!$G:$G=events!$AN1045)*(game_rosters!$J:$J=events!$X1045))&gt;0,1,""),"")</f>
        <v/>
      </c>
      <c r="AA1045">
        <f t="shared" si="643"/>
        <v>1567</v>
      </c>
      <c r="AB1045" t="str">
        <f t="shared" si="644"/>
        <v/>
      </c>
      <c r="AC1045">
        <f t="shared" si="682"/>
        <v>1567</v>
      </c>
      <c r="AD1045" s="6">
        <v>2</v>
      </c>
      <c r="AE1045" t="s">
        <v>746</v>
      </c>
      <c r="AF1045" t="s">
        <v>916</v>
      </c>
      <c r="AG1045" t="s">
        <v>746</v>
      </c>
      <c r="AH1045" t="s">
        <v>740</v>
      </c>
      <c r="AI1045" t="s">
        <v>368</v>
      </c>
      <c r="AJ1045" t="str">
        <f t="shared" ref="AJ1045:AK1045" si="725">IF($J1045&lt;&gt;"",$J1045,IF($AC1045=$AC1044,AJ1044,""))</f>
        <v>o</v>
      </c>
      <c r="AK1045" t="str">
        <f t="shared" si="725"/>
        <v>o</v>
      </c>
      <c r="AL1045" t="str">
        <f t="shared" si="687"/>
        <v>o</v>
      </c>
      <c r="AN1045" t="s">
        <v>861</v>
      </c>
      <c r="AO1045" t="str">
        <f t="shared" si="688"/>
        <v>h</v>
      </c>
      <c r="AP1045" t="str">
        <f t="shared" si="696"/>
        <v>o</v>
      </c>
      <c r="AQ1045" t="str">
        <f t="shared" si="697"/>
        <v/>
      </c>
      <c r="AR1045" t="str">
        <f t="shared" si="698"/>
        <v>Home</v>
      </c>
      <c r="AS1045" t="str">
        <f t="shared" si="699"/>
        <v>h</v>
      </c>
      <c r="AT1045" t="str">
        <f t="shared" si="700"/>
        <v>Defensive</v>
      </c>
      <c r="BA1045" s="6">
        <f t="shared" si="689"/>
        <v>272</v>
      </c>
      <c r="BB1045">
        <f t="shared" si="690"/>
        <v>18981</v>
      </c>
      <c r="BC1045" t="str">
        <f t="shared" si="691"/>
        <v>Nelson</v>
      </c>
      <c r="BD1045" t="str">
        <f t="shared" si="692"/>
        <v>Velodrome</v>
      </c>
      <c r="BE1045" t="s">
        <v>238</v>
      </c>
      <c r="BF1045" t="s">
        <v>174</v>
      </c>
      <c r="BG1045" t="s">
        <v>85</v>
      </c>
      <c r="BI1045" cm="1">
        <f t="array" ref="BI1045">IFERROR(_xlfn._xlws.FILTER(shifts!A:A,(shifts!B:B=events!AD1045)*(shifts!AG:AG&gt;=events!BK1045)*(shifts!AH:AH&lt;=events!BL1045)),BI1044)</f>
        <v>49</v>
      </c>
      <c r="BJ1045" s="15">
        <f t="shared" si="693"/>
        <v>2</v>
      </c>
      <c r="BK1045">
        <f t="shared" si="701"/>
        <v>747</v>
      </c>
      <c r="BL1045">
        <f t="shared" si="702"/>
        <v>745</v>
      </c>
      <c r="BM1045" s="15">
        <f>SUMIFS(BJ$2:BJ1045,K$2:K1045,"=Intermission")+SUMIFS(BJ$2:BJ1045,K$2:K1045,"=Timeout")</f>
        <v>72</v>
      </c>
      <c r="BN1045">
        <f t="shared" si="703"/>
        <v>1152</v>
      </c>
      <c r="BO1045" s="19">
        <f t="shared" si="704"/>
        <v>1485</v>
      </c>
      <c r="BP1045">
        <f t="shared" si="705"/>
        <v>1480</v>
      </c>
      <c r="BQ1045" s="17">
        <f t="shared" si="706"/>
        <v>1487</v>
      </c>
      <c r="BR1045" t="str">
        <f t="shared" si="707"/>
        <v>opp_team_player_3</v>
      </c>
      <c r="BS1045">
        <f>COUNTIFS(S$3:S1045,"="&amp;S1045,AI$3:AI1045,"="&amp;AI1045)</f>
        <v>3</v>
      </c>
      <c r="BT1045" t="str">
        <f>IFERROR(VLOOKUP(BB1045&amp;BU1045&amp;X1045,game_rosters!U:W,3,FALSE),"")</f>
        <v>P100105</v>
      </c>
      <c r="BU1045" t="str">
        <f t="shared" si="708"/>
        <v>Velodrome</v>
      </c>
    </row>
    <row r="1046" spans="1:73" x14ac:dyDescent="0.2">
      <c r="A1046">
        <f t="shared" si="694"/>
        <v>1</v>
      </c>
      <c r="J1046" s="44" t="str">
        <f t="shared" si="709"/>
        <v>o</v>
      </c>
      <c r="K1046" t="s">
        <v>6</v>
      </c>
      <c r="L1046" t="s">
        <v>205</v>
      </c>
      <c r="M1046" t="s">
        <v>51</v>
      </c>
      <c r="S1046">
        <v>568</v>
      </c>
      <c r="W1046" t="str">
        <f t="shared" si="685"/>
        <v>h</v>
      </c>
      <c r="X1046">
        <v>80</v>
      </c>
      <c r="Y1046" t="b">
        <f>IF(X1046&lt;&gt;"",VLOOKUP(X1046,game_rosters!$C$43:$E$64,3,FALSE))</f>
        <v>0</v>
      </c>
      <c r="Z1046" cm="1">
        <f t="array" ref="Z1046">IFERROR(IF(_xlfn._xlws.FILTER(game_rosters!$J:$J,(game_rosters!$G:$G=events!$AN1046)*(game_rosters!$J:$J=events!$X1046))&gt;0,1,""),"")</f>
        <v>1</v>
      </c>
      <c r="AA1046">
        <f t="shared" si="643"/>
        <v>1568</v>
      </c>
      <c r="AB1046" t="str">
        <f t="shared" si="644"/>
        <v/>
      </c>
      <c r="AC1046">
        <f t="shared" si="682"/>
        <v>1568</v>
      </c>
      <c r="AD1046" s="6">
        <v>2</v>
      </c>
      <c r="AE1046" t="s">
        <v>746</v>
      </c>
      <c r="AF1046" t="s">
        <v>740</v>
      </c>
      <c r="AG1046" t="s">
        <v>756</v>
      </c>
      <c r="AH1046" t="s">
        <v>756</v>
      </c>
      <c r="AI1046" t="s">
        <v>367</v>
      </c>
      <c r="AJ1046" t="str">
        <f t="shared" ref="AJ1046:AK1046" si="726">IF($J1046&lt;&gt;"",$J1046,IF($AC1046=$AC1045,AJ1045,""))</f>
        <v>o</v>
      </c>
      <c r="AK1046" t="str">
        <f t="shared" si="726"/>
        <v>o</v>
      </c>
      <c r="AL1046" t="str">
        <f t="shared" si="687"/>
        <v>o</v>
      </c>
      <c r="AN1046" t="s">
        <v>861</v>
      </c>
      <c r="AO1046" t="str">
        <f t="shared" si="688"/>
        <v>h</v>
      </c>
      <c r="AP1046" t="str">
        <f t="shared" si="696"/>
        <v>o</v>
      </c>
      <c r="AQ1046" t="str">
        <f t="shared" si="697"/>
        <v/>
      </c>
      <c r="AR1046" t="str">
        <f t="shared" si="698"/>
        <v>Home</v>
      </c>
      <c r="AS1046" t="str">
        <f t="shared" si="699"/>
        <v>h</v>
      </c>
      <c r="AT1046" t="str">
        <f t="shared" si="700"/>
        <v>Offensive</v>
      </c>
      <c r="BA1046" s="6">
        <f t="shared" si="689"/>
        <v>272</v>
      </c>
      <c r="BB1046">
        <f t="shared" si="690"/>
        <v>18981</v>
      </c>
      <c r="BC1046" t="str">
        <f t="shared" si="691"/>
        <v>Nelson</v>
      </c>
      <c r="BD1046" t="str">
        <f t="shared" si="692"/>
        <v>Velodrome</v>
      </c>
      <c r="BE1046" t="s">
        <v>6</v>
      </c>
      <c r="BF1046" t="s">
        <v>205</v>
      </c>
      <c r="BG1046" t="s">
        <v>51</v>
      </c>
      <c r="BI1046" cm="1">
        <f t="array" ref="BI1046">IFERROR(_xlfn._xlws.FILTER(shifts!A:A,(shifts!B:B=events!AD1046)*(shifts!AG:AG&gt;=events!BK1046)*(shifts!AH:AH&lt;=events!BL1046)),BI1045)</f>
        <v>49</v>
      </c>
      <c r="BJ1046" s="15">
        <f t="shared" si="693"/>
        <v>0</v>
      </c>
      <c r="BK1046">
        <f t="shared" si="701"/>
        <v>745</v>
      </c>
      <c r="BL1046">
        <f t="shared" si="702"/>
        <v>745</v>
      </c>
      <c r="BM1046" s="15">
        <f>SUMIFS(BJ$2:BJ1046,K$2:K1046,"=Intermission")+SUMIFS(BJ$2:BJ1046,K$2:K1046,"=Timeout")</f>
        <v>72</v>
      </c>
      <c r="BN1046">
        <f t="shared" si="703"/>
        <v>1152</v>
      </c>
      <c r="BO1046" s="19">
        <f t="shared" si="704"/>
        <v>1487</v>
      </c>
      <c r="BP1046">
        <f t="shared" si="705"/>
        <v>1482</v>
      </c>
      <c r="BQ1046" s="17">
        <f t="shared" si="706"/>
        <v>1487</v>
      </c>
      <c r="BR1046" t="str">
        <f t="shared" si="707"/>
        <v>event_team_player_1</v>
      </c>
      <c r="BS1046">
        <f>COUNTIFS(S$3:S1046,"="&amp;S1046,AI$3:AI1046,"="&amp;AI1046)</f>
        <v>1</v>
      </c>
      <c r="BT1046" t="str">
        <f>IFERROR(VLOOKUP(BB1046&amp;BU1046&amp;X1046,game_rosters!U:W,3,FALSE),"")</f>
        <v>P100197</v>
      </c>
      <c r="BU1046" t="str">
        <f t="shared" si="708"/>
        <v>Nelson</v>
      </c>
    </row>
    <row r="1047" spans="1:73" x14ac:dyDescent="0.2">
      <c r="A1047">
        <f t="shared" si="694"/>
        <v>1</v>
      </c>
      <c r="J1047" s="44" t="str">
        <f t="shared" si="709"/>
        <v>o</v>
      </c>
      <c r="K1047" t="s">
        <v>6</v>
      </c>
      <c r="L1047" t="s">
        <v>205</v>
      </c>
      <c r="M1047" t="s">
        <v>51</v>
      </c>
      <c r="S1047">
        <v>568</v>
      </c>
      <c r="W1047" t="str">
        <f t="shared" si="685"/>
        <v>h</v>
      </c>
      <c r="X1047">
        <v>39</v>
      </c>
      <c r="Y1047" t="e">
        <f>IF(X1047&lt;&gt;"",VLOOKUP(X1047,game_rosters!$C$43:$E$64,3,FALSE))</f>
        <v>#N/A</v>
      </c>
      <c r="Z1047" t="str" cm="1">
        <f t="array" ref="Z1047">IFERROR(IF(_xlfn._xlws.FILTER(game_rosters!$J:$J,(game_rosters!$G:$G=events!$AN1047)*(game_rosters!$J:$J=events!$X1047))&gt;0,1,""),"")</f>
        <v/>
      </c>
      <c r="AA1047">
        <f t="shared" si="643"/>
        <v>1568</v>
      </c>
      <c r="AB1047" t="str">
        <f t="shared" si="644"/>
        <v/>
      </c>
      <c r="AC1047">
        <f t="shared" si="682"/>
        <v>1568</v>
      </c>
      <c r="AD1047" s="6">
        <v>2</v>
      </c>
      <c r="AE1047" t="s">
        <v>746</v>
      </c>
      <c r="AF1047" t="s">
        <v>740</v>
      </c>
      <c r="AG1047" t="s">
        <v>756</v>
      </c>
      <c r="AH1047" t="s">
        <v>756</v>
      </c>
      <c r="AI1047" t="s">
        <v>368</v>
      </c>
      <c r="AJ1047" t="str">
        <f t="shared" ref="AJ1047:AK1047" si="727">IF($J1047&lt;&gt;"",$J1047,IF($AC1047=$AC1046,AJ1046,""))</f>
        <v>o</v>
      </c>
      <c r="AK1047" t="str">
        <f t="shared" si="727"/>
        <v>o</v>
      </c>
      <c r="AL1047" t="str">
        <f t="shared" si="687"/>
        <v>o</v>
      </c>
      <c r="AN1047" t="s">
        <v>861</v>
      </c>
      <c r="AO1047" t="str">
        <f t="shared" si="688"/>
        <v>h</v>
      </c>
      <c r="AP1047" t="str">
        <f t="shared" si="696"/>
        <v>o</v>
      </c>
      <c r="AQ1047" t="str">
        <f t="shared" si="697"/>
        <v/>
      </c>
      <c r="AR1047" t="str">
        <f t="shared" si="698"/>
        <v>Home</v>
      </c>
      <c r="AS1047" t="str">
        <f t="shared" si="699"/>
        <v>h</v>
      </c>
      <c r="AT1047" t="str">
        <f t="shared" si="700"/>
        <v>Defensive</v>
      </c>
      <c r="BA1047" s="6">
        <f t="shared" si="689"/>
        <v>272</v>
      </c>
      <c r="BB1047">
        <f t="shared" si="690"/>
        <v>18981</v>
      </c>
      <c r="BC1047" t="str">
        <f t="shared" si="691"/>
        <v>Nelson</v>
      </c>
      <c r="BD1047" t="str">
        <f t="shared" si="692"/>
        <v>Velodrome</v>
      </c>
      <c r="BE1047" t="s">
        <v>6</v>
      </c>
      <c r="BF1047" t="s">
        <v>205</v>
      </c>
      <c r="BG1047" t="s">
        <v>51</v>
      </c>
      <c r="BI1047" cm="1">
        <f t="array" ref="BI1047">IFERROR(_xlfn._xlws.FILTER(shifts!A:A,(shifts!B:B=events!AD1047)*(shifts!AG:AG&gt;=events!BK1047)*(shifts!AH:AH&lt;=events!BL1047)),BI1046)</f>
        <v>49</v>
      </c>
      <c r="BJ1047" s="15">
        <f t="shared" si="693"/>
        <v>0</v>
      </c>
      <c r="BK1047">
        <f t="shared" si="701"/>
        <v>745</v>
      </c>
      <c r="BL1047">
        <f t="shared" si="702"/>
        <v>745</v>
      </c>
      <c r="BM1047" s="15">
        <f>SUMIFS(BJ$2:BJ1047,K$2:K1047,"=Intermission")+SUMIFS(BJ$2:BJ1047,K$2:K1047,"=Timeout")</f>
        <v>72</v>
      </c>
      <c r="BN1047">
        <f t="shared" si="703"/>
        <v>1152</v>
      </c>
      <c r="BO1047" s="19">
        <f t="shared" si="704"/>
        <v>1487</v>
      </c>
      <c r="BP1047">
        <f t="shared" si="705"/>
        <v>1482</v>
      </c>
      <c r="BQ1047" s="17">
        <f t="shared" si="706"/>
        <v>1487</v>
      </c>
      <c r="BR1047" t="str">
        <f t="shared" si="707"/>
        <v>opp_team_player_1</v>
      </c>
      <c r="BS1047">
        <f>COUNTIFS(S$3:S1047,"="&amp;S1047,AI$3:AI1047,"="&amp;AI1047)</f>
        <v>1</v>
      </c>
      <c r="BT1047" t="str">
        <f>IFERROR(VLOOKUP(BB1047&amp;BU1047&amp;X1047,game_rosters!U:W,3,FALSE),"")</f>
        <v>P100016</v>
      </c>
      <c r="BU1047" t="str">
        <f t="shared" si="708"/>
        <v>Velodrome</v>
      </c>
    </row>
    <row r="1048" spans="1:73" x14ac:dyDescent="0.2">
      <c r="A1048">
        <f t="shared" si="694"/>
        <v>1</v>
      </c>
      <c r="J1048" s="44" t="str">
        <f t="shared" si="709"/>
        <v>d</v>
      </c>
      <c r="K1048" t="s">
        <v>15</v>
      </c>
      <c r="L1048" t="s">
        <v>179</v>
      </c>
      <c r="M1048" t="s">
        <v>100</v>
      </c>
      <c r="S1048">
        <v>569</v>
      </c>
      <c r="W1048" t="str">
        <f t="shared" si="685"/>
        <v>a</v>
      </c>
      <c r="X1048">
        <v>39</v>
      </c>
      <c r="Y1048" t="e">
        <f>IF(X1048&lt;&gt;"",VLOOKUP(X1048,game_rosters!$C$43:$E$64,3,FALSE))</f>
        <v>#N/A</v>
      </c>
      <c r="Z1048" cm="1">
        <f t="array" ref="Z1048">IFERROR(IF(_xlfn._xlws.FILTER(game_rosters!$J:$J,(game_rosters!$G:$G=events!$AN1048)*(game_rosters!$J:$J=events!$X1048))&gt;0,1,""),"")</f>
        <v>1</v>
      </c>
      <c r="AA1048">
        <f t="shared" si="643"/>
        <v>1569</v>
      </c>
      <c r="AB1048" t="str">
        <f t="shared" si="644"/>
        <v/>
      </c>
      <c r="AC1048">
        <f t="shared" si="682"/>
        <v>1569</v>
      </c>
      <c r="AD1048" s="6">
        <v>2</v>
      </c>
      <c r="AE1048" t="s">
        <v>746</v>
      </c>
      <c r="AF1048" t="s">
        <v>740</v>
      </c>
      <c r="AG1048" t="s">
        <v>756</v>
      </c>
      <c r="AH1048" t="s">
        <v>756</v>
      </c>
      <c r="AI1048" t="s">
        <v>367</v>
      </c>
      <c r="AJ1048" t="str">
        <f t="shared" ref="AJ1048:AK1048" si="728">IF($J1048&lt;&gt;"",$J1048,IF($AC1048=$AC1047,AJ1047,""))</f>
        <v>d</v>
      </c>
      <c r="AK1048" t="str">
        <f t="shared" si="728"/>
        <v>d</v>
      </c>
      <c r="AL1048" t="str">
        <f t="shared" si="687"/>
        <v>o</v>
      </c>
      <c r="AN1048" t="s">
        <v>862</v>
      </c>
      <c r="AO1048" t="str">
        <f t="shared" si="688"/>
        <v>a</v>
      </c>
      <c r="AP1048" t="str">
        <f t="shared" si="696"/>
        <v>o</v>
      </c>
      <c r="AQ1048" t="str">
        <f t="shared" si="697"/>
        <v/>
      </c>
      <c r="AR1048" t="str">
        <f t="shared" si="698"/>
        <v>Away</v>
      </c>
      <c r="AS1048" t="str">
        <f t="shared" si="699"/>
        <v>a</v>
      </c>
      <c r="AT1048" t="str">
        <f t="shared" si="700"/>
        <v>Defensive</v>
      </c>
      <c r="BA1048" s="6">
        <f t="shared" si="689"/>
        <v>272</v>
      </c>
      <c r="BB1048">
        <f t="shared" si="690"/>
        <v>18981</v>
      </c>
      <c r="BC1048" t="str">
        <f t="shared" si="691"/>
        <v>Nelson</v>
      </c>
      <c r="BD1048" t="str">
        <f t="shared" si="692"/>
        <v>Velodrome</v>
      </c>
      <c r="BE1048" t="s">
        <v>15</v>
      </c>
      <c r="BF1048" t="s">
        <v>179</v>
      </c>
      <c r="BG1048" t="s">
        <v>100</v>
      </c>
      <c r="BI1048" cm="1">
        <f t="array" ref="BI1048">IFERROR(_xlfn._xlws.FILTER(shifts!A:A,(shifts!B:B=events!AD1048)*(shifts!AG:AG&gt;=events!BK1048)*(shifts!AH:AH&lt;=events!BL1048)),BI1047)</f>
        <v>49</v>
      </c>
      <c r="BJ1048" s="15">
        <f t="shared" si="693"/>
        <v>0</v>
      </c>
      <c r="BK1048">
        <f t="shared" si="701"/>
        <v>745</v>
      </c>
      <c r="BL1048">
        <f t="shared" si="702"/>
        <v>745</v>
      </c>
      <c r="BM1048" s="15">
        <f>SUMIFS(BJ$2:BJ1048,K$2:K1048,"=Intermission")+SUMIFS(BJ$2:BJ1048,K$2:K1048,"=Timeout")</f>
        <v>72</v>
      </c>
      <c r="BN1048">
        <f t="shared" si="703"/>
        <v>1152</v>
      </c>
      <c r="BO1048" s="19">
        <f t="shared" si="704"/>
        <v>1487</v>
      </c>
      <c r="BP1048">
        <f t="shared" si="705"/>
        <v>1482</v>
      </c>
      <c r="BQ1048" s="17">
        <f t="shared" si="706"/>
        <v>1487</v>
      </c>
      <c r="BR1048" t="str">
        <f t="shared" si="707"/>
        <v>event_team_player_1</v>
      </c>
      <c r="BS1048">
        <f>COUNTIFS(S$3:S1048,"="&amp;S1048,AI$3:AI1048,"="&amp;AI1048)</f>
        <v>1</v>
      </c>
      <c r="BT1048" t="str">
        <f>IFERROR(VLOOKUP(BB1048&amp;BU1048&amp;X1048,game_rosters!U:W,3,FALSE),"")</f>
        <v>P100016</v>
      </c>
      <c r="BU1048" t="str">
        <f t="shared" si="708"/>
        <v>Velodrome</v>
      </c>
    </row>
    <row r="1049" spans="1:73" x14ac:dyDescent="0.2">
      <c r="A1049">
        <f t="shared" si="694"/>
        <v>1</v>
      </c>
      <c r="J1049" s="44" t="str">
        <f t="shared" si="709"/>
        <v>d</v>
      </c>
      <c r="K1049" t="s">
        <v>15</v>
      </c>
      <c r="L1049" t="s">
        <v>179</v>
      </c>
      <c r="M1049" t="s">
        <v>100</v>
      </c>
      <c r="S1049">
        <v>569</v>
      </c>
      <c r="W1049" t="str">
        <f t="shared" si="685"/>
        <v>a</v>
      </c>
      <c r="X1049">
        <v>80</v>
      </c>
      <c r="Y1049" t="b">
        <f>IF(X1049&lt;&gt;"",VLOOKUP(X1049,game_rosters!$C$43:$E$64,3,FALSE))</f>
        <v>0</v>
      </c>
      <c r="Z1049" t="str" cm="1">
        <f t="array" ref="Z1049">IFERROR(IF(_xlfn._xlws.FILTER(game_rosters!$J:$J,(game_rosters!$G:$G=events!$AN1049)*(game_rosters!$J:$J=events!$X1049))&gt;0,1,""),"")</f>
        <v/>
      </c>
      <c r="AA1049">
        <f t="shared" si="643"/>
        <v>1569</v>
      </c>
      <c r="AB1049" t="str">
        <f t="shared" si="644"/>
        <v/>
      </c>
      <c r="AC1049">
        <f t="shared" si="682"/>
        <v>1569</v>
      </c>
      <c r="AD1049" s="6">
        <v>2</v>
      </c>
      <c r="AE1049" t="s">
        <v>746</v>
      </c>
      <c r="AF1049" t="s">
        <v>740</v>
      </c>
      <c r="AG1049" t="s">
        <v>756</v>
      </c>
      <c r="AH1049" t="s">
        <v>756</v>
      </c>
      <c r="AI1049" t="s">
        <v>368</v>
      </c>
      <c r="AJ1049" t="str">
        <f t="shared" ref="AJ1049:AK1049" si="729">IF($J1049&lt;&gt;"",$J1049,IF($AC1049=$AC1048,AJ1048,""))</f>
        <v>d</v>
      </c>
      <c r="AK1049" t="str">
        <f t="shared" si="729"/>
        <v>d</v>
      </c>
      <c r="AL1049" t="str">
        <f t="shared" si="687"/>
        <v>o</v>
      </c>
      <c r="AN1049" t="s">
        <v>862</v>
      </c>
      <c r="AO1049" t="str">
        <f t="shared" si="688"/>
        <v>a</v>
      </c>
      <c r="AP1049" t="str">
        <f t="shared" si="696"/>
        <v>o</v>
      </c>
      <c r="AQ1049" t="str">
        <f t="shared" si="697"/>
        <v/>
      </c>
      <c r="AR1049" t="str">
        <f t="shared" si="698"/>
        <v>Away</v>
      </c>
      <c r="AS1049" t="str">
        <f t="shared" si="699"/>
        <v>a</v>
      </c>
      <c r="AT1049" t="str">
        <f t="shared" si="700"/>
        <v>Offensive</v>
      </c>
      <c r="BA1049" s="6">
        <f t="shared" si="689"/>
        <v>272</v>
      </c>
      <c r="BB1049">
        <f t="shared" si="690"/>
        <v>18981</v>
      </c>
      <c r="BC1049" t="str">
        <f t="shared" si="691"/>
        <v>Nelson</v>
      </c>
      <c r="BD1049" t="str">
        <f t="shared" si="692"/>
        <v>Velodrome</v>
      </c>
      <c r="BE1049" t="s">
        <v>15</v>
      </c>
      <c r="BF1049" t="s">
        <v>179</v>
      </c>
      <c r="BG1049" t="s">
        <v>100</v>
      </c>
      <c r="BI1049" cm="1">
        <f t="array" ref="BI1049">IFERROR(_xlfn._xlws.FILTER(shifts!A:A,(shifts!B:B=events!AD1049)*(shifts!AG:AG&gt;=events!BK1049)*(shifts!AH:AH&lt;=events!BL1049)),BI1048)</f>
        <v>49</v>
      </c>
      <c r="BJ1049" s="15">
        <f t="shared" si="693"/>
        <v>0</v>
      </c>
      <c r="BK1049">
        <f t="shared" si="701"/>
        <v>745</v>
      </c>
      <c r="BL1049">
        <f t="shared" si="702"/>
        <v>745</v>
      </c>
      <c r="BM1049" s="15">
        <f>SUMIFS(BJ$2:BJ1049,K$2:K1049,"=Intermission")+SUMIFS(BJ$2:BJ1049,K$2:K1049,"=Timeout")</f>
        <v>72</v>
      </c>
      <c r="BN1049">
        <f t="shared" si="703"/>
        <v>1152</v>
      </c>
      <c r="BO1049" s="19">
        <f t="shared" si="704"/>
        <v>1487</v>
      </c>
      <c r="BP1049">
        <f t="shared" si="705"/>
        <v>1482</v>
      </c>
      <c r="BQ1049" s="17">
        <f t="shared" si="706"/>
        <v>1487</v>
      </c>
      <c r="BR1049" t="str">
        <f t="shared" si="707"/>
        <v>opp_team_player_1</v>
      </c>
      <c r="BS1049">
        <f>COUNTIFS(S$3:S1049,"="&amp;S1049,AI$3:AI1049,"="&amp;AI1049)</f>
        <v>1</v>
      </c>
      <c r="BT1049" t="str">
        <f>IFERROR(VLOOKUP(BB1049&amp;BU1049&amp;X1049,game_rosters!U:W,3,FALSE),"")</f>
        <v>P100197</v>
      </c>
      <c r="BU1049" t="str">
        <f t="shared" si="708"/>
        <v>Nelson</v>
      </c>
    </row>
    <row r="1050" spans="1:73" x14ac:dyDescent="0.2">
      <c r="A1050">
        <f t="shared" si="694"/>
        <v>1</v>
      </c>
      <c r="J1050" s="44" t="str">
        <f t="shared" si="709"/>
        <v>d</v>
      </c>
      <c r="K1050" t="s">
        <v>231</v>
      </c>
      <c r="L1050" t="s">
        <v>233</v>
      </c>
      <c r="M1050" t="s">
        <v>756</v>
      </c>
      <c r="S1050">
        <v>570</v>
      </c>
      <c r="W1050" t="str">
        <f t="shared" si="685"/>
        <v>a</v>
      </c>
      <c r="X1050">
        <v>39</v>
      </c>
      <c r="Y1050" t="e">
        <f>IF(X1050&lt;&gt;"",VLOOKUP(X1050,game_rosters!$C$43:$E$64,3,FALSE))</f>
        <v>#N/A</v>
      </c>
      <c r="Z1050" cm="1">
        <f t="array" ref="Z1050">IFERROR(IF(_xlfn._xlws.FILTER(game_rosters!$J:$J,(game_rosters!$G:$G=events!$AN1050)*(game_rosters!$J:$J=events!$X1050))&gt;0,1,""),"")</f>
        <v>1</v>
      </c>
      <c r="AA1050">
        <f t="shared" si="643"/>
        <v>1570</v>
      </c>
      <c r="AB1050" t="str">
        <f t="shared" si="644"/>
        <v/>
      </c>
      <c r="AC1050">
        <f t="shared" si="682"/>
        <v>1570</v>
      </c>
      <c r="AD1050" s="6">
        <v>2</v>
      </c>
      <c r="AE1050" t="s">
        <v>746</v>
      </c>
      <c r="AF1050" t="s">
        <v>740</v>
      </c>
      <c r="AG1050" t="s">
        <v>756</v>
      </c>
      <c r="AH1050" t="s">
        <v>756</v>
      </c>
      <c r="AI1050" t="s">
        <v>367</v>
      </c>
      <c r="AJ1050" t="str">
        <f t="shared" ref="AJ1050:AK1050" si="730">IF($J1050&lt;&gt;"",$J1050,IF($AC1050=$AC1049,AJ1049,""))</f>
        <v>d</v>
      </c>
      <c r="AK1050" t="str">
        <f t="shared" si="730"/>
        <v>d</v>
      </c>
      <c r="AL1050" t="str">
        <f t="shared" si="687"/>
        <v>o</v>
      </c>
      <c r="AN1050" t="s">
        <v>862</v>
      </c>
      <c r="AO1050" t="str">
        <f t="shared" si="688"/>
        <v>a</v>
      </c>
      <c r="AP1050" t="str">
        <f t="shared" si="696"/>
        <v>o</v>
      </c>
      <c r="AQ1050" t="str">
        <f t="shared" si="697"/>
        <v/>
      </c>
      <c r="AR1050" t="str">
        <f t="shared" si="698"/>
        <v>Away</v>
      </c>
      <c r="AS1050" t="str">
        <f t="shared" si="699"/>
        <v>a</v>
      </c>
      <c r="AT1050" t="str">
        <f t="shared" si="700"/>
        <v>Offensive</v>
      </c>
      <c r="BA1050" s="6">
        <f t="shared" si="689"/>
        <v>272</v>
      </c>
      <c r="BB1050">
        <f t="shared" si="690"/>
        <v>18981</v>
      </c>
      <c r="BC1050" t="str">
        <f t="shared" si="691"/>
        <v>Nelson</v>
      </c>
      <c r="BD1050" t="str">
        <f t="shared" si="692"/>
        <v>Velodrome</v>
      </c>
      <c r="BE1050" t="s">
        <v>231</v>
      </c>
      <c r="BF1050" t="s">
        <v>233</v>
      </c>
      <c r="BG1050" t="s">
        <v>756</v>
      </c>
      <c r="BI1050" cm="1">
        <f t="array" ref="BI1050">IFERROR(_xlfn._xlws.FILTER(shifts!A:A,(shifts!B:B=events!AD1050)*(shifts!AG:AG&gt;=events!BK1050)*(shifts!AH:AH&lt;=events!BL1050)),BI1049)</f>
        <v>49</v>
      </c>
      <c r="BJ1050" s="15">
        <f t="shared" si="693"/>
        <v>0</v>
      </c>
      <c r="BK1050">
        <f t="shared" si="701"/>
        <v>745</v>
      </c>
      <c r="BL1050">
        <f t="shared" si="702"/>
        <v>745</v>
      </c>
      <c r="BM1050" s="15">
        <f>SUMIFS(BJ$2:BJ1050,K$2:K1050,"=Intermission")+SUMIFS(BJ$2:BJ1050,K$2:K1050,"=Timeout")</f>
        <v>72</v>
      </c>
      <c r="BN1050">
        <f t="shared" si="703"/>
        <v>1152</v>
      </c>
      <c r="BO1050" s="19">
        <f t="shared" si="704"/>
        <v>1487</v>
      </c>
      <c r="BP1050">
        <f t="shared" si="705"/>
        <v>1482</v>
      </c>
      <c r="BQ1050" s="17">
        <f t="shared" si="706"/>
        <v>1487</v>
      </c>
      <c r="BR1050" t="str">
        <f t="shared" si="707"/>
        <v>event_team_player_1</v>
      </c>
      <c r="BS1050">
        <f>COUNTIFS(S$3:S1050,"="&amp;S1050,AI$3:AI1050,"="&amp;AI1050)</f>
        <v>1</v>
      </c>
      <c r="BT1050" t="str">
        <f>IFERROR(VLOOKUP(BB1050&amp;BU1050&amp;X1050,game_rosters!U:W,3,FALSE),"")</f>
        <v>P100016</v>
      </c>
      <c r="BU1050" t="str">
        <f t="shared" si="708"/>
        <v>Velodrome</v>
      </c>
    </row>
    <row r="1051" spans="1:73" x14ac:dyDescent="0.2">
      <c r="A1051">
        <f t="shared" si="694"/>
        <v>1</v>
      </c>
      <c r="J1051" s="44" t="str">
        <f t="shared" si="709"/>
        <v/>
      </c>
      <c r="K1051" t="s">
        <v>7</v>
      </c>
      <c r="L1051" t="s">
        <v>172</v>
      </c>
      <c r="M1051" t="s">
        <v>385</v>
      </c>
      <c r="S1051">
        <v>571</v>
      </c>
      <c r="W1051" t="str">
        <f t="shared" si="685"/>
        <v>h</v>
      </c>
      <c r="X1051">
        <v>80</v>
      </c>
      <c r="Y1051" t="b">
        <f>IF(X1051&lt;&gt;"",VLOOKUP(X1051,game_rosters!$C$43:$E$64,3,FALSE))</f>
        <v>0</v>
      </c>
      <c r="Z1051" cm="1">
        <f t="array" ref="Z1051">IFERROR(IF(_xlfn._xlws.FILTER(game_rosters!$J:$J,(game_rosters!$G:$G=events!$AN1051)*(game_rosters!$J:$J=events!$X1051))&gt;0,1,""),"")</f>
        <v>1</v>
      </c>
      <c r="AA1051">
        <f t="shared" si="643"/>
        <v>1571</v>
      </c>
      <c r="AB1051" t="str">
        <f t="shared" si="644"/>
        <v/>
      </c>
      <c r="AC1051">
        <f t="shared" si="682"/>
        <v>1571</v>
      </c>
      <c r="AD1051" s="6">
        <v>2</v>
      </c>
      <c r="AE1051" t="s">
        <v>746</v>
      </c>
      <c r="AF1051" t="s">
        <v>741</v>
      </c>
      <c r="AG1051" t="s">
        <v>756</v>
      </c>
      <c r="AH1051" t="s">
        <v>756</v>
      </c>
      <c r="AI1051" t="s">
        <v>367</v>
      </c>
      <c r="AJ1051" t="str">
        <f t="shared" ref="AJ1051:AK1051" si="731">IF($J1051&lt;&gt;"",$J1051,IF($AC1051=$AC1050,AJ1050,""))</f>
        <v/>
      </c>
      <c r="AK1051" t="str">
        <f t="shared" si="731"/>
        <v/>
      </c>
      <c r="AL1051" t="str">
        <f t="shared" si="687"/>
        <v/>
      </c>
      <c r="AN1051" t="s">
        <v>861</v>
      </c>
      <c r="AO1051" t="str">
        <f t="shared" si="688"/>
        <v>h</v>
      </c>
      <c r="AP1051" t="str">
        <f t="shared" si="696"/>
        <v/>
      </c>
      <c r="AQ1051" t="str">
        <f t="shared" si="697"/>
        <v/>
      </c>
      <c r="AR1051" t="str">
        <f t="shared" si="698"/>
        <v>Home</v>
      </c>
      <c r="AS1051" t="str">
        <f t="shared" si="699"/>
        <v>h</v>
      </c>
      <c r="AT1051" t="str">
        <f t="shared" si="700"/>
        <v>Offensive</v>
      </c>
      <c r="BA1051" s="6">
        <f t="shared" si="689"/>
        <v>272</v>
      </c>
      <c r="BB1051">
        <f t="shared" si="690"/>
        <v>18981</v>
      </c>
      <c r="BC1051" t="str">
        <f t="shared" si="691"/>
        <v>Nelson</v>
      </c>
      <c r="BD1051" t="str">
        <f t="shared" si="692"/>
        <v>Velodrome</v>
      </c>
      <c r="BE1051" t="s">
        <v>7</v>
      </c>
      <c r="BF1051" t="s">
        <v>172</v>
      </c>
      <c r="BG1051" t="s">
        <v>385</v>
      </c>
      <c r="BI1051" cm="1">
        <f t="array" ref="BI1051">IFERROR(_xlfn._xlws.FILTER(shifts!A:A,(shifts!B:B=events!AD1051)*(shifts!AG:AG&gt;=events!BK1051)*(shifts!AH:AH&lt;=events!BL1051)),BI1050)</f>
        <v>50</v>
      </c>
      <c r="BJ1051" s="15">
        <f t="shared" si="693"/>
        <v>0</v>
      </c>
      <c r="BK1051">
        <f t="shared" si="701"/>
        <v>741</v>
      </c>
      <c r="BL1051">
        <f t="shared" si="702"/>
        <v>741</v>
      </c>
      <c r="BM1051" s="15">
        <f>SUMIFS(BJ$2:BJ1051,K$2:K1051,"=Intermission")+SUMIFS(BJ$2:BJ1051,K$2:K1051,"=Timeout")</f>
        <v>72</v>
      </c>
      <c r="BN1051">
        <f t="shared" si="703"/>
        <v>1152</v>
      </c>
      <c r="BO1051" s="19">
        <f t="shared" si="704"/>
        <v>1491</v>
      </c>
      <c r="BP1051">
        <f t="shared" si="705"/>
        <v>1486</v>
      </c>
      <c r="BQ1051" s="17">
        <f t="shared" si="706"/>
        <v>1491</v>
      </c>
      <c r="BR1051" t="str">
        <f t="shared" si="707"/>
        <v>event_team_player_1</v>
      </c>
      <c r="BS1051">
        <f>COUNTIFS(S$3:S1051,"="&amp;S1051,AI$3:AI1051,"="&amp;AI1051)</f>
        <v>1</v>
      </c>
      <c r="BT1051" t="str">
        <f>IFERROR(VLOOKUP(BB1051&amp;BU1051&amp;X1051,game_rosters!U:W,3,FALSE),"")</f>
        <v>P100197</v>
      </c>
      <c r="BU1051" t="str">
        <f t="shared" si="708"/>
        <v>Nelson</v>
      </c>
    </row>
    <row r="1052" spans="1:73" x14ac:dyDescent="0.2">
      <c r="A1052">
        <f t="shared" si="694"/>
        <v>1</v>
      </c>
      <c r="J1052" s="44" t="str">
        <f t="shared" si="709"/>
        <v/>
      </c>
      <c r="K1052" t="s">
        <v>7</v>
      </c>
      <c r="L1052" t="s">
        <v>172</v>
      </c>
      <c r="M1052" t="s">
        <v>385</v>
      </c>
      <c r="S1052">
        <v>571</v>
      </c>
      <c r="W1052" t="str">
        <f t="shared" si="685"/>
        <v>h</v>
      </c>
      <c r="X1052">
        <v>44</v>
      </c>
      <c r="Y1052" t="b">
        <f>IF(X1052&lt;&gt;"",VLOOKUP(X1052,game_rosters!$C$43:$E$64,3,FALSE))</f>
        <v>0</v>
      </c>
      <c r="Z1052" cm="1">
        <f t="array" ref="Z1052">IFERROR(IF(_xlfn._xlws.FILTER(game_rosters!$J:$J,(game_rosters!$G:$G=events!$AN1052)*(game_rosters!$J:$J=events!$X1052))&gt;0,1,""),"")</f>
        <v>1</v>
      </c>
      <c r="AA1052">
        <f t="shared" si="643"/>
        <v>1571</v>
      </c>
      <c r="AB1052" t="str">
        <f t="shared" si="644"/>
        <v/>
      </c>
      <c r="AC1052">
        <f t="shared" si="682"/>
        <v>1571</v>
      </c>
      <c r="AD1052" s="6">
        <v>2</v>
      </c>
      <c r="AE1052" t="s">
        <v>746</v>
      </c>
      <c r="AF1052" t="s">
        <v>741</v>
      </c>
      <c r="AG1052" t="s">
        <v>756</v>
      </c>
      <c r="AH1052" t="s">
        <v>756</v>
      </c>
      <c r="AI1052" t="s">
        <v>367</v>
      </c>
      <c r="AJ1052" t="str">
        <f t="shared" ref="AJ1052:AK1052" si="732">IF($J1052&lt;&gt;"",$J1052,IF($AC1052=$AC1051,AJ1051,""))</f>
        <v/>
      </c>
      <c r="AK1052" t="str">
        <f t="shared" si="732"/>
        <v/>
      </c>
      <c r="AL1052" t="str">
        <f t="shared" si="687"/>
        <v/>
      </c>
      <c r="AN1052" t="s">
        <v>861</v>
      </c>
      <c r="AO1052" t="str">
        <f t="shared" si="688"/>
        <v>h</v>
      </c>
      <c r="AP1052" t="str">
        <f t="shared" si="696"/>
        <v/>
      </c>
      <c r="AQ1052" t="str">
        <f t="shared" si="697"/>
        <v/>
      </c>
      <c r="AR1052" t="str">
        <f t="shared" si="698"/>
        <v>Home</v>
      </c>
      <c r="AS1052" t="str">
        <f t="shared" si="699"/>
        <v>h</v>
      </c>
      <c r="AT1052" t="str">
        <f t="shared" si="700"/>
        <v>Offensive</v>
      </c>
      <c r="BA1052" s="6">
        <f t="shared" si="689"/>
        <v>272</v>
      </c>
      <c r="BB1052">
        <f t="shared" si="690"/>
        <v>18981</v>
      </c>
      <c r="BC1052" t="str">
        <f t="shared" si="691"/>
        <v>Nelson</v>
      </c>
      <c r="BD1052" t="str">
        <f t="shared" si="692"/>
        <v>Velodrome</v>
      </c>
      <c r="BE1052" t="s">
        <v>7</v>
      </c>
      <c r="BF1052" t="s">
        <v>172</v>
      </c>
      <c r="BG1052" t="s">
        <v>385</v>
      </c>
      <c r="BI1052" cm="1">
        <f t="array" ref="BI1052">IFERROR(_xlfn._xlws.FILTER(shifts!A:A,(shifts!B:B=events!AD1052)*(shifts!AG:AG&gt;=events!BK1052)*(shifts!AH:AH&lt;=events!BL1052)),BI1051)</f>
        <v>50</v>
      </c>
      <c r="BJ1052" s="15">
        <f t="shared" si="693"/>
        <v>0</v>
      </c>
      <c r="BK1052">
        <f t="shared" si="701"/>
        <v>741</v>
      </c>
      <c r="BL1052">
        <f t="shared" si="702"/>
        <v>741</v>
      </c>
      <c r="BM1052" s="15">
        <f>SUMIFS(BJ$2:BJ1052,K$2:K1052,"=Intermission")+SUMIFS(BJ$2:BJ1052,K$2:K1052,"=Timeout")</f>
        <v>72</v>
      </c>
      <c r="BN1052">
        <f t="shared" si="703"/>
        <v>1152</v>
      </c>
      <c r="BO1052" s="19">
        <f t="shared" si="704"/>
        <v>1491</v>
      </c>
      <c r="BP1052">
        <f t="shared" si="705"/>
        <v>1486</v>
      </c>
      <c r="BQ1052" s="17">
        <f t="shared" si="706"/>
        <v>1491</v>
      </c>
      <c r="BR1052" t="str">
        <f t="shared" si="707"/>
        <v>event_team_player_2</v>
      </c>
      <c r="BS1052">
        <f>COUNTIFS(S$3:S1052,"="&amp;S1052,AI$3:AI1052,"="&amp;AI1052)</f>
        <v>2</v>
      </c>
      <c r="BT1052" t="str">
        <f>IFERROR(VLOOKUP(BB1052&amp;BU1052&amp;X1052,game_rosters!U:W,3,FALSE),"")</f>
        <v>P100079</v>
      </c>
      <c r="BU1052" t="str">
        <f t="shared" si="708"/>
        <v>Nelson</v>
      </c>
    </row>
    <row r="1053" spans="1:73" x14ac:dyDescent="0.2">
      <c r="A1053">
        <f t="shared" si="694"/>
        <v>1</v>
      </c>
      <c r="J1053" s="44" t="str">
        <f t="shared" si="709"/>
        <v/>
      </c>
      <c r="K1053" t="s">
        <v>7</v>
      </c>
      <c r="L1053" t="s">
        <v>172</v>
      </c>
      <c r="M1053" t="s">
        <v>385</v>
      </c>
      <c r="S1053">
        <v>571</v>
      </c>
      <c r="W1053" t="str">
        <f t="shared" si="685"/>
        <v>h</v>
      </c>
      <c r="X1053">
        <v>93</v>
      </c>
      <c r="Y1053" t="e">
        <f>IF(X1053&lt;&gt;"",VLOOKUP(X1053,game_rosters!$C$43:$E$64,3,FALSE))</f>
        <v>#N/A</v>
      </c>
      <c r="Z1053" t="str" cm="1">
        <f t="array" ref="Z1053">IFERROR(IF(_xlfn._xlws.FILTER(game_rosters!$J:$J,(game_rosters!$G:$G=events!$AN1053)*(game_rosters!$J:$J=events!$X1053))&gt;0,1,""),"")</f>
        <v/>
      </c>
      <c r="AA1053">
        <f t="shared" ref="AA1053:AA1116" si="733">S1053+1000</f>
        <v>1571</v>
      </c>
      <c r="AB1053" t="str">
        <f t="shared" ref="AB1053:AB1116" si="734">IF(T1053&lt;&gt;"",9000+T1053,"")</f>
        <v/>
      </c>
      <c r="AC1053">
        <f t="shared" si="682"/>
        <v>1571</v>
      </c>
      <c r="AD1053" s="6">
        <v>2</v>
      </c>
      <c r="AE1053" t="s">
        <v>746</v>
      </c>
      <c r="AF1053" t="s">
        <v>741</v>
      </c>
      <c r="AG1053" t="s">
        <v>756</v>
      </c>
      <c r="AH1053" t="s">
        <v>756</v>
      </c>
      <c r="AI1053" t="s">
        <v>368</v>
      </c>
      <c r="AJ1053" t="str">
        <f t="shared" ref="AJ1053:AK1053" si="735">IF($J1053&lt;&gt;"",$J1053,IF($AC1053=$AC1052,AJ1052,""))</f>
        <v/>
      </c>
      <c r="AK1053" t="str">
        <f t="shared" si="735"/>
        <v/>
      </c>
      <c r="AL1053" t="str">
        <f t="shared" si="687"/>
        <v/>
      </c>
      <c r="AN1053" t="s">
        <v>861</v>
      </c>
      <c r="AO1053" t="str">
        <f t="shared" si="688"/>
        <v>h</v>
      </c>
      <c r="AP1053" t="str">
        <f t="shared" si="696"/>
        <v/>
      </c>
      <c r="AQ1053" t="str">
        <f t="shared" si="697"/>
        <v/>
      </c>
      <c r="AR1053" t="str">
        <f t="shared" si="698"/>
        <v>Home</v>
      </c>
      <c r="AS1053" t="str">
        <f t="shared" si="699"/>
        <v>h</v>
      </c>
      <c r="AT1053" t="str">
        <f t="shared" si="700"/>
        <v>Defensive</v>
      </c>
      <c r="BA1053" s="6">
        <f t="shared" si="689"/>
        <v>272</v>
      </c>
      <c r="BB1053">
        <f t="shared" si="690"/>
        <v>18981</v>
      </c>
      <c r="BC1053" t="str">
        <f t="shared" si="691"/>
        <v>Nelson</v>
      </c>
      <c r="BD1053" t="str">
        <f t="shared" si="692"/>
        <v>Velodrome</v>
      </c>
      <c r="BE1053" t="s">
        <v>7</v>
      </c>
      <c r="BF1053" t="s">
        <v>172</v>
      </c>
      <c r="BG1053" t="s">
        <v>385</v>
      </c>
      <c r="BI1053" cm="1">
        <f t="array" ref="BI1053">IFERROR(_xlfn._xlws.FILTER(shifts!A:A,(shifts!B:B=events!AD1053)*(shifts!AG:AG&gt;=events!BK1053)*(shifts!AH:AH&lt;=events!BL1053)),BI1052)</f>
        <v>50</v>
      </c>
      <c r="BJ1053" s="15">
        <f t="shared" si="693"/>
        <v>0</v>
      </c>
      <c r="BK1053">
        <f t="shared" si="701"/>
        <v>741</v>
      </c>
      <c r="BL1053">
        <f t="shared" si="702"/>
        <v>741</v>
      </c>
      <c r="BM1053" s="15">
        <f>SUMIFS(BJ$2:BJ1053,K$2:K1053,"=Intermission")+SUMIFS(BJ$2:BJ1053,K$2:K1053,"=Timeout")</f>
        <v>72</v>
      </c>
      <c r="BN1053">
        <f t="shared" si="703"/>
        <v>1152</v>
      </c>
      <c r="BO1053" s="19">
        <f t="shared" si="704"/>
        <v>1491</v>
      </c>
      <c r="BP1053">
        <f t="shared" si="705"/>
        <v>1486</v>
      </c>
      <c r="BQ1053" s="17">
        <f t="shared" si="706"/>
        <v>1491</v>
      </c>
      <c r="BR1053" t="str">
        <f t="shared" si="707"/>
        <v>opp_team_player_1</v>
      </c>
      <c r="BS1053">
        <f>COUNTIFS(S$3:S1053,"="&amp;S1053,AI$3:AI1053,"="&amp;AI1053)</f>
        <v>1</v>
      </c>
      <c r="BT1053" t="str">
        <f>IFERROR(VLOOKUP(BB1053&amp;BU1053&amp;X1053,game_rosters!U:W,3,FALSE),"")</f>
        <v>P100093</v>
      </c>
      <c r="BU1053" t="str">
        <f t="shared" si="708"/>
        <v>Velodrome</v>
      </c>
    </row>
    <row r="1054" spans="1:73" x14ac:dyDescent="0.2">
      <c r="A1054">
        <f t="shared" si="694"/>
        <v>1</v>
      </c>
      <c r="J1054" s="44" t="str">
        <f t="shared" si="709"/>
        <v/>
      </c>
      <c r="K1054" t="s">
        <v>13</v>
      </c>
      <c r="L1054" t="s">
        <v>756</v>
      </c>
      <c r="M1054" t="s">
        <v>756</v>
      </c>
      <c r="S1054">
        <v>572</v>
      </c>
      <c r="W1054" t="str">
        <f t="shared" si="685"/>
        <v>h</v>
      </c>
      <c r="X1054">
        <v>44</v>
      </c>
      <c r="Y1054" t="b">
        <f>IF(X1054&lt;&gt;"",VLOOKUP(X1054,game_rosters!$C$43:$E$64,3,FALSE))</f>
        <v>0</v>
      </c>
      <c r="Z1054" cm="1">
        <f t="array" ref="Z1054">IFERROR(IF(_xlfn._xlws.FILTER(game_rosters!$J:$J,(game_rosters!$G:$G=events!$AN1054)*(game_rosters!$J:$J=events!$X1054))&gt;0,1,""),"")</f>
        <v>1</v>
      </c>
      <c r="AA1054">
        <f t="shared" si="733"/>
        <v>1572</v>
      </c>
      <c r="AB1054" t="str">
        <f t="shared" si="734"/>
        <v/>
      </c>
      <c r="AC1054">
        <f t="shared" si="682"/>
        <v>1572</v>
      </c>
      <c r="AD1054" s="6">
        <v>2</v>
      </c>
      <c r="AE1054" t="s">
        <v>746</v>
      </c>
      <c r="AF1054" t="s">
        <v>741</v>
      </c>
      <c r="AG1054" t="s">
        <v>746</v>
      </c>
      <c r="AH1054" t="s">
        <v>908</v>
      </c>
      <c r="AI1054" t="s">
        <v>367</v>
      </c>
      <c r="AJ1054" t="str">
        <f t="shared" ref="AJ1054:AK1054" si="736">IF($J1054&lt;&gt;"",$J1054,IF($AC1054=$AC1053,AJ1053,""))</f>
        <v/>
      </c>
      <c r="AK1054" t="str">
        <f t="shared" si="736"/>
        <v/>
      </c>
      <c r="AL1054" t="str">
        <f t="shared" si="687"/>
        <v/>
      </c>
      <c r="AN1054" t="s">
        <v>861</v>
      </c>
      <c r="AO1054" t="str">
        <f t="shared" si="688"/>
        <v>h</v>
      </c>
      <c r="AP1054" t="str">
        <f t="shared" si="696"/>
        <v/>
      </c>
      <c r="AQ1054" t="str">
        <f t="shared" si="697"/>
        <v/>
      </c>
      <c r="AR1054" t="str">
        <f t="shared" si="698"/>
        <v>Home</v>
      </c>
      <c r="AS1054" t="str">
        <f t="shared" si="699"/>
        <v>h</v>
      </c>
      <c r="AT1054" t="str">
        <f t="shared" si="700"/>
        <v>Offensive</v>
      </c>
      <c r="BA1054" s="6">
        <f t="shared" si="689"/>
        <v>272</v>
      </c>
      <c r="BB1054">
        <f t="shared" si="690"/>
        <v>18981</v>
      </c>
      <c r="BC1054" t="str">
        <f t="shared" si="691"/>
        <v>Nelson</v>
      </c>
      <c r="BD1054" t="str">
        <f t="shared" si="692"/>
        <v>Velodrome</v>
      </c>
      <c r="BE1054" t="s">
        <v>13</v>
      </c>
      <c r="BF1054" t="s">
        <v>756</v>
      </c>
      <c r="BG1054" t="s">
        <v>756</v>
      </c>
      <c r="BI1054" cm="1">
        <f t="array" ref="BI1054">IFERROR(_xlfn._xlws.FILTER(shifts!A:A,(shifts!B:B=events!AD1054)*(shifts!AG:AG&gt;=events!BK1054)*(shifts!AH:AH&lt;=events!BL1054)),BI1053)</f>
        <v>50</v>
      </c>
      <c r="BJ1054" s="15">
        <f t="shared" si="693"/>
        <v>2</v>
      </c>
      <c r="BK1054">
        <f t="shared" si="701"/>
        <v>741</v>
      </c>
      <c r="BL1054">
        <f t="shared" si="702"/>
        <v>739</v>
      </c>
      <c r="BM1054" s="15">
        <f>SUMIFS(BJ$2:BJ1054,K$2:K1054,"=Intermission")+SUMIFS(BJ$2:BJ1054,K$2:K1054,"=Timeout")</f>
        <v>72</v>
      </c>
      <c r="BN1054">
        <f t="shared" si="703"/>
        <v>1152</v>
      </c>
      <c r="BO1054" s="19">
        <f t="shared" si="704"/>
        <v>1491</v>
      </c>
      <c r="BP1054">
        <f t="shared" si="705"/>
        <v>1486</v>
      </c>
      <c r="BQ1054" s="17">
        <f t="shared" si="706"/>
        <v>1493</v>
      </c>
      <c r="BR1054" t="str">
        <f t="shared" si="707"/>
        <v>event_team_player_1</v>
      </c>
      <c r="BS1054">
        <f>COUNTIFS(S$3:S1054,"="&amp;S1054,AI$3:AI1054,"="&amp;AI1054)</f>
        <v>1</v>
      </c>
      <c r="BT1054" t="str">
        <f>IFERROR(VLOOKUP(BB1054&amp;BU1054&amp;X1054,game_rosters!U:W,3,FALSE),"")</f>
        <v>P100079</v>
      </c>
      <c r="BU1054" t="str">
        <f t="shared" si="708"/>
        <v>Nelson</v>
      </c>
    </row>
    <row r="1055" spans="1:73" x14ac:dyDescent="0.2">
      <c r="A1055">
        <f t="shared" si="694"/>
        <v>1</v>
      </c>
      <c r="J1055" s="44" t="str">
        <f t="shared" si="709"/>
        <v/>
      </c>
      <c r="K1055" t="s">
        <v>13</v>
      </c>
      <c r="L1055" t="s">
        <v>756</v>
      </c>
      <c r="M1055" t="s">
        <v>756</v>
      </c>
      <c r="S1055">
        <v>572</v>
      </c>
      <c r="W1055" t="str">
        <f t="shared" si="685"/>
        <v>h</v>
      </c>
      <c r="X1055">
        <v>42</v>
      </c>
      <c r="Y1055" t="e">
        <f>IF(X1055&lt;&gt;"",VLOOKUP(X1055,game_rosters!$C$43:$E$64,3,FALSE))</f>
        <v>#N/A</v>
      </c>
      <c r="Z1055" t="str" cm="1">
        <f t="array" ref="Z1055">IFERROR(IF(_xlfn._xlws.FILTER(game_rosters!$J:$J,(game_rosters!$G:$G=events!$AN1055)*(game_rosters!$J:$J=events!$X1055))&gt;0,1,""),"")</f>
        <v/>
      </c>
      <c r="AA1055">
        <f t="shared" si="733"/>
        <v>1572</v>
      </c>
      <c r="AB1055" t="str">
        <f t="shared" si="734"/>
        <v/>
      </c>
      <c r="AC1055">
        <f t="shared" si="682"/>
        <v>1572</v>
      </c>
      <c r="AD1055" s="6">
        <v>2</v>
      </c>
      <c r="AE1055" t="s">
        <v>746</v>
      </c>
      <c r="AF1055" t="s">
        <v>741</v>
      </c>
      <c r="AG1055" t="s">
        <v>746</v>
      </c>
      <c r="AH1055" t="s">
        <v>908</v>
      </c>
      <c r="AI1055" t="s">
        <v>368</v>
      </c>
      <c r="AJ1055" t="str">
        <f t="shared" ref="AJ1055:AK1055" si="737">IF($J1055&lt;&gt;"",$J1055,IF($AC1055=$AC1054,AJ1054,""))</f>
        <v/>
      </c>
      <c r="AK1055" t="str">
        <f t="shared" si="737"/>
        <v/>
      </c>
      <c r="AL1055" t="str">
        <f t="shared" si="687"/>
        <v/>
      </c>
      <c r="AN1055" t="s">
        <v>861</v>
      </c>
      <c r="AO1055" t="str">
        <f t="shared" si="688"/>
        <v>h</v>
      </c>
      <c r="AP1055" t="str">
        <f t="shared" si="696"/>
        <v/>
      </c>
      <c r="AQ1055" t="str">
        <f t="shared" si="697"/>
        <v/>
      </c>
      <c r="AR1055" t="str">
        <f t="shared" si="698"/>
        <v>Home</v>
      </c>
      <c r="AS1055" t="str">
        <f t="shared" si="699"/>
        <v>h</v>
      </c>
      <c r="AT1055" t="str">
        <f t="shared" si="700"/>
        <v>Defensive</v>
      </c>
      <c r="BA1055" s="6">
        <f t="shared" si="689"/>
        <v>272</v>
      </c>
      <c r="BB1055">
        <f t="shared" si="690"/>
        <v>18981</v>
      </c>
      <c r="BC1055" t="str">
        <f t="shared" si="691"/>
        <v>Nelson</v>
      </c>
      <c r="BD1055" t="str">
        <f t="shared" si="692"/>
        <v>Velodrome</v>
      </c>
      <c r="BE1055" t="s">
        <v>13</v>
      </c>
      <c r="BF1055" t="s">
        <v>756</v>
      </c>
      <c r="BG1055" t="s">
        <v>756</v>
      </c>
      <c r="BI1055" cm="1">
        <f t="array" ref="BI1055">IFERROR(_xlfn._xlws.FILTER(shifts!A:A,(shifts!B:B=events!AD1055)*(shifts!AG:AG&gt;=events!BK1055)*(shifts!AH:AH&lt;=events!BL1055)),BI1054)</f>
        <v>50</v>
      </c>
      <c r="BJ1055" s="15">
        <f t="shared" si="693"/>
        <v>2</v>
      </c>
      <c r="BK1055">
        <f t="shared" si="701"/>
        <v>741</v>
      </c>
      <c r="BL1055">
        <f t="shared" si="702"/>
        <v>739</v>
      </c>
      <c r="BM1055" s="15">
        <f>SUMIFS(BJ$2:BJ1055,K$2:K1055,"=Intermission")+SUMIFS(BJ$2:BJ1055,K$2:K1055,"=Timeout")</f>
        <v>72</v>
      </c>
      <c r="BN1055">
        <f t="shared" si="703"/>
        <v>1152</v>
      </c>
      <c r="BO1055" s="19">
        <f t="shared" si="704"/>
        <v>1491</v>
      </c>
      <c r="BP1055">
        <f t="shared" si="705"/>
        <v>1486</v>
      </c>
      <c r="BQ1055" s="17">
        <f t="shared" si="706"/>
        <v>1493</v>
      </c>
      <c r="BR1055" t="str">
        <f t="shared" si="707"/>
        <v>opp_team_player_1</v>
      </c>
      <c r="BS1055">
        <f>COUNTIFS(S$3:S1055,"="&amp;S1055,AI$3:AI1055,"="&amp;AI1055)</f>
        <v>1</v>
      </c>
      <c r="BT1055" t="str">
        <f>IFERROR(VLOOKUP(BB1055&amp;BU1055&amp;X1055,game_rosters!U:W,3,FALSE),"")</f>
        <v>P100201</v>
      </c>
      <c r="BU1055" t="str">
        <f t="shared" si="708"/>
        <v>Velodrome</v>
      </c>
    </row>
    <row r="1056" spans="1:73" x14ac:dyDescent="0.2">
      <c r="A1056">
        <f t="shared" si="694"/>
        <v>1</v>
      </c>
      <c r="J1056" s="44" t="str">
        <f t="shared" si="709"/>
        <v/>
      </c>
      <c r="K1056" t="s">
        <v>7</v>
      </c>
      <c r="L1056" t="s">
        <v>172</v>
      </c>
      <c r="M1056" t="s">
        <v>66</v>
      </c>
      <c r="S1056">
        <v>573</v>
      </c>
      <c r="W1056" t="str">
        <f t="shared" si="685"/>
        <v>h</v>
      </c>
      <c r="X1056">
        <v>44</v>
      </c>
      <c r="Y1056" t="b">
        <f>IF(X1056&lt;&gt;"",VLOOKUP(X1056,game_rosters!$C$43:$E$64,3,FALSE))</f>
        <v>0</v>
      </c>
      <c r="Z1056" cm="1">
        <f t="array" ref="Z1056">IFERROR(IF(_xlfn._xlws.FILTER(game_rosters!$J:$J,(game_rosters!$G:$G=events!$AN1056)*(game_rosters!$J:$J=events!$X1056))&gt;0,1,""),"")</f>
        <v>1</v>
      </c>
      <c r="AA1056">
        <f t="shared" si="733"/>
        <v>1573</v>
      </c>
      <c r="AB1056" t="str">
        <f t="shared" si="734"/>
        <v/>
      </c>
      <c r="AC1056">
        <f t="shared" si="682"/>
        <v>1573</v>
      </c>
      <c r="AD1056" s="6">
        <v>2</v>
      </c>
      <c r="AE1056" t="s">
        <v>746</v>
      </c>
      <c r="AF1056" t="s">
        <v>743</v>
      </c>
      <c r="AG1056" t="s">
        <v>756</v>
      </c>
      <c r="AH1056" t="s">
        <v>756</v>
      </c>
      <c r="AI1056" t="s">
        <v>367</v>
      </c>
      <c r="AJ1056" t="str">
        <f t="shared" ref="AJ1056:AK1056" si="738">IF($J1056&lt;&gt;"",$J1056,IF($AC1056=$AC1055,AJ1055,""))</f>
        <v/>
      </c>
      <c r="AK1056" t="str">
        <f t="shared" si="738"/>
        <v/>
      </c>
      <c r="AL1056" t="str">
        <f t="shared" si="687"/>
        <v/>
      </c>
      <c r="AN1056" t="s">
        <v>861</v>
      </c>
      <c r="AO1056" t="str">
        <f t="shared" si="688"/>
        <v>h</v>
      </c>
      <c r="AP1056" t="str">
        <f t="shared" si="696"/>
        <v/>
      </c>
      <c r="AQ1056" t="str">
        <f t="shared" si="697"/>
        <v/>
      </c>
      <c r="AR1056" t="str">
        <f t="shared" si="698"/>
        <v>Home</v>
      </c>
      <c r="AS1056" t="str">
        <f t="shared" si="699"/>
        <v>h</v>
      </c>
      <c r="AT1056" t="str">
        <f t="shared" si="700"/>
        <v>Offensive</v>
      </c>
      <c r="BA1056" s="6">
        <f t="shared" si="689"/>
        <v>272</v>
      </c>
      <c r="BB1056">
        <f t="shared" si="690"/>
        <v>18981</v>
      </c>
      <c r="BC1056" t="str">
        <f t="shared" si="691"/>
        <v>Nelson</v>
      </c>
      <c r="BD1056" t="str">
        <f t="shared" si="692"/>
        <v>Velodrome</v>
      </c>
      <c r="BE1056" t="s">
        <v>7</v>
      </c>
      <c r="BF1056" t="s">
        <v>172</v>
      </c>
      <c r="BG1056" t="s">
        <v>66</v>
      </c>
      <c r="BI1056" cm="1">
        <f t="array" ref="BI1056">IFERROR(_xlfn._xlws.FILTER(shifts!A:A,(shifts!B:B=events!AD1056)*(shifts!AG:AG&gt;=events!BK1056)*(shifts!AH:AH&lt;=events!BL1056)),BI1055)</f>
        <v>50</v>
      </c>
      <c r="BJ1056" s="15">
        <f t="shared" si="693"/>
        <v>0</v>
      </c>
      <c r="BK1056">
        <f t="shared" si="701"/>
        <v>738</v>
      </c>
      <c r="BL1056">
        <f t="shared" si="702"/>
        <v>738</v>
      </c>
      <c r="BM1056" s="15">
        <f>SUMIFS(BJ$2:BJ1056,K$2:K1056,"=Intermission")+SUMIFS(BJ$2:BJ1056,K$2:K1056,"=Timeout")</f>
        <v>72</v>
      </c>
      <c r="BN1056">
        <f t="shared" si="703"/>
        <v>1152</v>
      </c>
      <c r="BO1056" s="19">
        <f t="shared" si="704"/>
        <v>1494</v>
      </c>
      <c r="BP1056">
        <f t="shared" si="705"/>
        <v>1489</v>
      </c>
      <c r="BQ1056" s="17">
        <f t="shared" si="706"/>
        <v>1494</v>
      </c>
      <c r="BR1056" t="str">
        <f t="shared" si="707"/>
        <v>event_team_player_1</v>
      </c>
      <c r="BS1056">
        <f>COUNTIFS(S$3:S1056,"="&amp;S1056,AI$3:AI1056,"="&amp;AI1056)</f>
        <v>1</v>
      </c>
      <c r="BT1056" t="str">
        <f>IFERROR(VLOOKUP(BB1056&amp;BU1056&amp;X1056,game_rosters!U:W,3,FALSE),"")</f>
        <v>P100079</v>
      </c>
      <c r="BU1056" t="str">
        <f t="shared" si="708"/>
        <v>Nelson</v>
      </c>
    </row>
    <row r="1057" spans="1:73" x14ac:dyDescent="0.2">
      <c r="A1057">
        <f t="shared" si="694"/>
        <v>1</v>
      </c>
      <c r="J1057" s="44" t="str">
        <f t="shared" si="709"/>
        <v/>
      </c>
      <c r="K1057" t="s">
        <v>7</v>
      </c>
      <c r="L1057" t="s">
        <v>172</v>
      </c>
      <c r="M1057" t="s">
        <v>66</v>
      </c>
      <c r="S1057">
        <v>573</v>
      </c>
      <c r="W1057" t="str">
        <f t="shared" si="685"/>
        <v>h</v>
      </c>
      <c r="X1057">
        <v>80</v>
      </c>
      <c r="Y1057" t="b">
        <f>IF(X1057&lt;&gt;"",VLOOKUP(X1057,game_rosters!$C$43:$E$64,3,FALSE))</f>
        <v>0</v>
      </c>
      <c r="Z1057" cm="1">
        <f t="array" ref="Z1057">IFERROR(IF(_xlfn._xlws.FILTER(game_rosters!$J:$J,(game_rosters!$G:$G=events!$AN1057)*(game_rosters!$J:$J=events!$X1057))&gt;0,1,""),"")</f>
        <v>1</v>
      </c>
      <c r="AA1057">
        <f t="shared" si="733"/>
        <v>1573</v>
      </c>
      <c r="AB1057" t="str">
        <f t="shared" si="734"/>
        <v/>
      </c>
      <c r="AC1057">
        <f t="shared" si="682"/>
        <v>1573</v>
      </c>
      <c r="AD1057" s="6">
        <v>2</v>
      </c>
      <c r="AE1057" t="s">
        <v>746</v>
      </c>
      <c r="AF1057" t="s">
        <v>743</v>
      </c>
      <c r="AG1057" t="s">
        <v>756</v>
      </c>
      <c r="AH1057" t="s">
        <v>756</v>
      </c>
      <c r="AI1057" t="s">
        <v>367</v>
      </c>
      <c r="AJ1057" t="str">
        <f t="shared" ref="AJ1057:AK1057" si="739">IF($J1057&lt;&gt;"",$J1057,IF($AC1057=$AC1056,AJ1056,""))</f>
        <v/>
      </c>
      <c r="AK1057" t="str">
        <f t="shared" si="739"/>
        <v/>
      </c>
      <c r="AL1057" t="str">
        <f t="shared" si="687"/>
        <v/>
      </c>
      <c r="AN1057" t="s">
        <v>861</v>
      </c>
      <c r="AO1057" t="str">
        <f t="shared" si="688"/>
        <v>h</v>
      </c>
      <c r="AP1057" t="str">
        <f t="shared" si="696"/>
        <v/>
      </c>
      <c r="AQ1057" t="str">
        <f t="shared" si="697"/>
        <v/>
      </c>
      <c r="AR1057" t="str">
        <f t="shared" si="698"/>
        <v>Home</v>
      </c>
      <c r="AS1057" t="str">
        <f t="shared" si="699"/>
        <v>h</v>
      </c>
      <c r="AT1057" t="str">
        <f t="shared" si="700"/>
        <v>Offensive</v>
      </c>
      <c r="BA1057" s="6">
        <f t="shared" si="689"/>
        <v>272</v>
      </c>
      <c r="BB1057">
        <f t="shared" si="690"/>
        <v>18981</v>
      </c>
      <c r="BC1057" t="str">
        <f t="shared" si="691"/>
        <v>Nelson</v>
      </c>
      <c r="BD1057" t="str">
        <f t="shared" si="692"/>
        <v>Velodrome</v>
      </c>
      <c r="BE1057" t="s">
        <v>7</v>
      </c>
      <c r="BF1057" t="s">
        <v>172</v>
      </c>
      <c r="BG1057" t="s">
        <v>66</v>
      </c>
      <c r="BI1057" cm="1">
        <f t="array" ref="BI1057">IFERROR(_xlfn._xlws.FILTER(shifts!A:A,(shifts!B:B=events!AD1057)*(shifts!AG:AG&gt;=events!BK1057)*(shifts!AH:AH&lt;=events!BL1057)),BI1056)</f>
        <v>50</v>
      </c>
      <c r="BJ1057" s="15">
        <f t="shared" si="693"/>
        <v>0</v>
      </c>
      <c r="BK1057">
        <f t="shared" si="701"/>
        <v>738</v>
      </c>
      <c r="BL1057">
        <f t="shared" si="702"/>
        <v>738</v>
      </c>
      <c r="BM1057" s="15">
        <f>SUMIFS(BJ$2:BJ1057,K$2:K1057,"=Intermission")+SUMIFS(BJ$2:BJ1057,K$2:K1057,"=Timeout")</f>
        <v>72</v>
      </c>
      <c r="BN1057">
        <f t="shared" si="703"/>
        <v>1152</v>
      </c>
      <c r="BO1057" s="19">
        <f t="shared" si="704"/>
        <v>1494</v>
      </c>
      <c r="BP1057">
        <f t="shared" si="705"/>
        <v>1489</v>
      </c>
      <c r="BQ1057" s="17">
        <f t="shared" si="706"/>
        <v>1494</v>
      </c>
      <c r="BR1057" t="str">
        <f t="shared" si="707"/>
        <v>event_team_player_2</v>
      </c>
      <c r="BS1057">
        <f>COUNTIFS(S$3:S1057,"="&amp;S1057,AI$3:AI1057,"="&amp;AI1057)</f>
        <v>2</v>
      </c>
      <c r="BT1057" t="str">
        <f>IFERROR(VLOOKUP(BB1057&amp;BU1057&amp;X1057,game_rosters!U:W,3,FALSE),"")</f>
        <v>P100197</v>
      </c>
      <c r="BU1057" t="str">
        <f t="shared" si="708"/>
        <v>Nelson</v>
      </c>
    </row>
    <row r="1058" spans="1:73" x14ac:dyDescent="0.2">
      <c r="A1058">
        <f t="shared" si="694"/>
        <v>1</v>
      </c>
      <c r="J1058" s="44" t="str">
        <f t="shared" si="709"/>
        <v/>
      </c>
      <c r="K1058" t="s">
        <v>7</v>
      </c>
      <c r="L1058" t="s">
        <v>172</v>
      </c>
      <c r="M1058" t="s">
        <v>66</v>
      </c>
      <c r="S1058">
        <v>573</v>
      </c>
      <c r="W1058" t="str">
        <f t="shared" si="685"/>
        <v>h</v>
      </c>
      <c r="X1058">
        <v>93</v>
      </c>
      <c r="Y1058" t="e">
        <f>IF(X1058&lt;&gt;"",VLOOKUP(X1058,game_rosters!$C$43:$E$64,3,FALSE))</f>
        <v>#N/A</v>
      </c>
      <c r="Z1058" t="str" cm="1">
        <f t="array" ref="Z1058">IFERROR(IF(_xlfn._xlws.FILTER(game_rosters!$J:$J,(game_rosters!$G:$G=events!$AN1058)*(game_rosters!$J:$J=events!$X1058))&gt;0,1,""),"")</f>
        <v/>
      </c>
      <c r="AA1058">
        <f t="shared" si="733"/>
        <v>1573</v>
      </c>
      <c r="AB1058" t="str">
        <f t="shared" si="734"/>
        <v/>
      </c>
      <c r="AC1058">
        <f t="shared" si="682"/>
        <v>1573</v>
      </c>
      <c r="AD1058" s="6">
        <v>2</v>
      </c>
      <c r="AE1058" t="s">
        <v>746</v>
      </c>
      <c r="AF1058" t="s">
        <v>743</v>
      </c>
      <c r="AG1058" t="s">
        <v>756</v>
      </c>
      <c r="AH1058" t="s">
        <v>756</v>
      </c>
      <c r="AI1058" t="s">
        <v>368</v>
      </c>
      <c r="AJ1058" t="str">
        <f t="shared" ref="AJ1058:AK1058" si="740">IF($J1058&lt;&gt;"",$J1058,IF($AC1058=$AC1057,AJ1057,""))</f>
        <v/>
      </c>
      <c r="AK1058" t="str">
        <f t="shared" si="740"/>
        <v/>
      </c>
      <c r="AL1058" t="str">
        <f t="shared" si="687"/>
        <v/>
      </c>
      <c r="AN1058" t="s">
        <v>861</v>
      </c>
      <c r="AO1058" t="str">
        <f t="shared" si="688"/>
        <v>h</v>
      </c>
      <c r="AP1058" t="str">
        <f t="shared" si="696"/>
        <v/>
      </c>
      <c r="AQ1058" t="str">
        <f t="shared" si="697"/>
        <v/>
      </c>
      <c r="AR1058" t="str">
        <f t="shared" si="698"/>
        <v>Home</v>
      </c>
      <c r="AS1058" t="str">
        <f t="shared" si="699"/>
        <v>h</v>
      </c>
      <c r="AT1058" t="str">
        <f t="shared" si="700"/>
        <v>Defensive</v>
      </c>
      <c r="BA1058" s="6">
        <f t="shared" si="689"/>
        <v>272</v>
      </c>
      <c r="BB1058">
        <f t="shared" si="690"/>
        <v>18981</v>
      </c>
      <c r="BC1058" t="str">
        <f t="shared" si="691"/>
        <v>Nelson</v>
      </c>
      <c r="BD1058" t="str">
        <f t="shared" si="692"/>
        <v>Velodrome</v>
      </c>
      <c r="BE1058" t="s">
        <v>7</v>
      </c>
      <c r="BF1058" t="s">
        <v>172</v>
      </c>
      <c r="BG1058" t="s">
        <v>66</v>
      </c>
      <c r="BI1058" cm="1">
        <f t="array" ref="BI1058">IFERROR(_xlfn._xlws.FILTER(shifts!A:A,(shifts!B:B=events!AD1058)*(shifts!AG:AG&gt;=events!BK1058)*(shifts!AH:AH&lt;=events!BL1058)),BI1057)</f>
        <v>50</v>
      </c>
      <c r="BJ1058" s="15">
        <f t="shared" si="693"/>
        <v>0</v>
      </c>
      <c r="BK1058">
        <f t="shared" si="701"/>
        <v>738</v>
      </c>
      <c r="BL1058">
        <f t="shared" si="702"/>
        <v>738</v>
      </c>
      <c r="BM1058" s="15">
        <f>SUMIFS(BJ$2:BJ1058,K$2:K1058,"=Intermission")+SUMIFS(BJ$2:BJ1058,K$2:K1058,"=Timeout")</f>
        <v>72</v>
      </c>
      <c r="BN1058">
        <f t="shared" si="703"/>
        <v>1152</v>
      </c>
      <c r="BO1058" s="19">
        <f t="shared" si="704"/>
        <v>1494</v>
      </c>
      <c r="BP1058">
        <f t="shared" si="705"/>
        <v>1489</v>
      </c>
      <c r="BQ1058" s="17">
        <f t="shared" si="706"/>
        <v>1494</v>
      </c>
      <c r="BR1058" t="str">
        <f t="shared" si="707"/>
        <v>opp_team_player_1</v>
      </c>
      <c r="BS1058">
        <f>COUNTIFS(S$3:S1058,"="&amp;S1058,AI$3:AI1058,"="&amp;AI1058)</f>
        <v>1</v>
      </c>
      <c r="BT1058" t="str">
        <f>IFERROR(VLOOKUP(BB1058&amp;BU1058&amp;X1058,game_rosters!U:W,3,FALSE),"")</f>
        <v>P100093</v>
      </c>
      <c r="BU1058" t="str">
        <f t="shared" si="708"/>
        <v>Velodrome</v>
      </c>
    </row>
    <row r="1059" spans="1:73" x14ac:dyDescent="0.2">
      <c r="A1059">
        <f t="shared" si="694"/>
        <v>1</v>
      </c>
      <c r="J1059" s="44" t="str">
        <f t="shared" si="709"/>
        <v/>
      </c>
      <c r="K1059" t="s">
        <v>13</v>
      </c>
      <c r="L1059" t="s">
        <v>756</v>
      </c>
      <c r="M1059" t="s">
        <v>756</v>
      </c>
      <c r="S1059">
        <v>574</v>
      </c>
      <c r="W1059" t="str">
        <f t="shared" si="685"/>
        <v>h</v>
      </c>
      <c r="X1059">
        <v>80</v>
      </c>
      <c r="Y1059" t="b">
        <f>IF(X1059&lt;&gt;"",VLOOKUP(X1059,game_rosters!$C$43:$E$64,3,FALSE))</f>
        <v>0</v>
      </c>
      <c r="Z1059" cm="1">
        <f t="array" ref="Z1059">IFERROR(IF(_xlfn._xlws.FILTER(game_rosters!$J:$J,(game_rosters!$G:$G=events!$AN1059)*(game_rosters!$J:$J=events!$X1059))&gt;0,1,""),"")</f>
        <v>1</v>
      </c>
      <c r="AA1059">
        <f t="shared" si="733"/>
        <v>1574</v>
      </c>
      <c r="AB1059" t="str">
        <f t="shared" si="734"/>
        <v/>
      </c>
      <c r="AC1059">
        <f t="shared" si="682"/>
        <v>1574</v>
      </c>
      <c r="AD1059" s="6">
        <v>2</v>
      </c>
      <c r="AE1059" t="s">
        <v>746</v>
      </c>
      <c r="AF1059" t="s">
        <v>909</v>
      </c>
      <c r="AG1059" t="s">
        <v>746</v>
      </c>
      <c r="AH1059" t="s">
        <v>926</v>
      </c>
      <c r="AI1059" t="s">
        <v>367</v>
      </c>
      <c r="AJ1059" t="str">
        <f t="shared" ref="AJ1059:AK1059" si="741">IF($J1059&lt;&gt;"",$J1059,IF($AC1059=$AC1058,AJ1058,""))</f>
        <v/>
      </c>
      <c r="AK1059" t="str">
        <f t="shared" si="741"/>
        <v/>
      </c>
      <c r="AL1059" t="str">
        <f t="shared" si="687"/>
        <v/>
      </c>
      <c r="AN1059" t="s">
        <v>861</v>
      </c>
      <c r="AO1059" t="str">
        <f t="shared" si="688"/>
        <v>h</v>
      </c>
      <c r="AP1059" t="str">
        <f t="shared" si="696"/>
        <v/>
      </c>
      <c r="AQ1059" t="str">
        <f t="shared" si="697"/>
        <v/>
      </c>
      <c r="AR1059" t="str">
        <f t="shared" si="698"/>
        <v>Home</v>
      </c>
      <c r="AS1059" t="str">
        <f t="shared" si="699"/>
        <v>h</v>
      </c>
      <c r="AT1059" t="str">
        <f t="shared" si="700"/>
        <v>Offensive</v>
      </c>
      <c r="BA1059" s="6">
        <f t="shared" si="689"/>
        <v>272</v>
      </c>
      <c r="BB1059">
        <f t="shared" si="690"/>
        <v>18981</v>
      </c>
      <c r="BC1059" t="str">
        <f t="shared" si="691"/>
        <v>Nelson</v>
      </c>
      <c r="BD1059" t="str">
        <f t="shared" si="692"/>
        <v>Velodrome</v>
      </c>
      <c r="BE1059" t="s">
        <v>13</v>
      </c>
      <c r="BF1059" t="s">
        <v>756</v>
      </c>
      <c r="BG1059" t="s">
        <v>756</v>
      </c>
      <c r="BI1059" cm="1">
        <f t="array" ref="BI1059">IFERROR(_xlfn._xlws.FILTER(shifts!A:A,(shifts!B:B=events!AD1059)*(shifts!AG:AG&gt;=events!BK1059)*(shifts!AH:AH&lt;=events!BL1059)),BI1058)</f>
        <v>50</v>
      </c>
      <c r="BJ1059" s="15">
        <f t="shared" si="693"/>
        <v>3</v>
      </c>
      <c r="BK1059">
        <f t="shared" si="701"/>
        <v>736</v>
      </c>
      <c r="BL1059">
        <f t="shared" si="702"/>
        <v>733</v>
      </c>
      <c r="BM1059" s="15">
        <f>SUMIFS(BJ$2:BJ1059,K$2:K1059,"=Intermission")+SUMIFS(BJ$2:BJ1059,K$2:K1059,"=Timeout")</f>
        <v>72</v>
      </c>
      <c r="BN1059">
        <f t="shared" si="703"/>
        <v>1152</v>
      </c>
      <c r="BO1059" s="19">
        <f t="shared" si="704"/>
        <v>1496</v>
      </c>
      <c r="BP1059">
        <f t="shared" si="705"/>
        <v>1491</v>
      </c>
      <c r="BQ1059" s="17">
        <f t="shared" si="706"/>
        <v>1499</v>
      </c>
      <c r="BR1059" t="str">
        <f t="shared" si="707"/>
        <v>event_team_player_1</v>
      </c>
      <c r="BS1059">
        <f>COUNTIFS(S$3:S1059,"="&amp;S1059,AI$3:AI1059,"="&amp;AI1059)</f>
        <v>1</v>
      </c>
      <c r="BT1059" t="str">
        <f>IFERROR(VLOOKUP(BB1059&amp;BU1059&amp;X1059,game_rosters!U:W,3,FALSE),"")</f>
        <v>P100197</v>
      </c>
      <c r="BU1059" t="str">
        <f t="shared" si="708"/>
        <v>Nelson</v>
      </c>
    </row>
    <row r="1060" spans="1:73" x14ac:dyDescent="0.2">
      <c r="A1060">
        <f t="shared" si="694"/>
        <v>1</v>
      </c>
      <c r="J1060" s="44" t="str">
        <f t="shared" si="709"/>
        <v>o</v>
      </c>
      <c r="K1060" t="s">
        <v>6</v>
      </c>
      <c r="L1060" t="s">
        <v>191</v>
      </c>
      <c r="M1060" t="s">
        <v>51</v>
      </c>
      <c r="S1060">
        <v>575</v>
      </c>
      <c r="W1060" t="str">
        <f t="shared" si="685"/>
        <v>h</v>
      </c>
      <c r="X1060">
        <v>80</v>
      </c>
      <c r="Y1060" t="b">
        <f>IF(X1060&lt;&gt;"",VLOOKUP(X1060,game_rosters!$C$43:$E$64,3,FALSE))</f>
        <v>0</v>
      </c>
      <c r="Z1060" cm="1">
        <f t="array" ref="Z1060">IFERROR(IF(_xlfn._xlws.FILTER(game_rosters!$J:$J,(game_rosters!$G:$G=events!$AN1060)*(game_rosters!$J:$J=events!$X1060))&gt;0,1,""),"")</f>
        <v>1</v>
      </c>
      <c r="AA1060">
        <f t="shared" si="733"/>
        <v>1575</v>
      </c>
      <c r="AB1060" t="str">
        <f t="shared" si="734"/>
        <v/>
      </c>
      <c r="AC1060">
        <f t="shared" si="682"/>
        <v>1575</v>
      </c>
      <c r="AD1060" s="6">
        <v>2</v>
      </c>
      <c r="AE1060" t="s">
        <v>746</v>
      </c>
      <c r="AF1060" t="s">
        <v>926</v>
      </c>
      <c r="AG1060" t="s">
        <v>756</v>
      </c>
      <c r="AH1060" t="s">
        <v>756</v>
      </c>
      <c r="AI1060" t="s">
        <v>367</v>
      </c>
      <c r="AJ1060" t="str">
        <f t="shared" ref="AJ1060:AK1060" si="742">IF($J1060&lt;&gt;"",$J1060,IF($AC1060=$AC1059,AJ1059,""))</f>
        <v>o</v>
      </c>
      <c r="AK1060" t="str">
        <f t="shared" si="742"/>
        <v>o</v>
      </c>
      <c r="AL1060" t="str">
        <f t="shared" si="687"/>
        <v>o</v>
      </c>
      <c r="AN1060" t="s">
        <v>861</v>
      </c>
      <c r="AO1060" t="str">
        <f t="shared" si="688"/>
        <v>h</v>
      </c>
      <c r="AP1060" t="str">
        <f t="shared" si="696"/>
        <v>o</v>
      </c>
      <c r="AQ1060" t="str">
        <f t="shared" si="697"/>
        <v/>
      </c>
      <c r="AR1060" t="str">
        <f t="shared" si="698"/>
        <v>Home</v>
      </c>
      <c r="AS1060" t="str">
        <f t="shared" si="699"/>
        <v>h</v>
      </c>
      <c r="AT1060" t="str">
        <f t="shared" si="700"/>
        <v>Offensive</v>
      </c>
      <c r="BA1060" s="6">
        <f t="shared" si="689"/>
        <v>272</v>
      </c>
      <c r="BB1060">
        <f t="shared" si="690"/>
        <v>18981</v>
      </c>
      <c r="BC1060" t="str">
        <f t="shared" si="691"/>
        <v>Nelson</v>
      </c>
      <c r="BD1060" t="str">
        <f t="shared" si="692"/>
        <v>Velodrome</v>
      </c>
      <c r="BE1060" t="s">
        <v>6</v>
      </c>
      <c r="BF1060" t="s">
        <v>191</v>
      </c>
      <c r="BG1060" t="s">
        <v>51</v>
      </c>
      <c r="BI1060" cm="1">
        <f t="array" ref="BI1060">IFERROR(_xlfn._xlws.FILTER(shifts!A:A,(shifts!B:B=events!AD1060)*(shifts!AG:AG&gt;=events!BK1060)*(shifts!AH:AH&lt;=events!BL1060)),BI1059)</f>
        <v>50</v>
      </c>
      <c r="BJ1060" s="15">
        <f t="shared" si="693"/>
        <v>0</v>
      </c>
      <c r="BK1060">
        <f t="shared" si="701"/>
        <v>733</v>
      </c>
      <c r="BL1060">
        <f t="shared" si="702"/>
        <v>733</v>
      </c>
      <c r="BM1060" s="15">
        <f>SUMIFS(BJ$2:BJ1060,K$2:K1060,"=Intermission")+SUMIFS(BJ$2:BJ1060,K$2:K1060,"=Timeout")</f>
        <v>72</v>
      </c>
      <c r="BN1060">
        <f t="shared" si="703"/>
        <v>1152</v>
      </c>
      <c r="BO1060" s="19">
        <f t="shared" si="704"/>
        <v>1499</v>
      </c>
      <c r="BP1060">
        <f t="shared" si="705"/>
        <v>1494</v>
      </c>
      <c r="BQ1060" s="17">
        <f t="shared" si="706"/>
        <v>1499</v>
      </c>
      <c r="BR1060" t="str">
        <f t="shared" si="707"/>
        <v>event_team_player_1</v>
      </c>
      <c r="BS1060">
        <f>COUNTIFS(S$3:S1060,"="&amp;S1060,AI$3:AI1060,"="&amp;AI1060)</f>
        <v>1</v>
      </c>
      <c r="BT1060" t="str">
        <f>IFERROR(VLOOKUP(BB1060&amp;BU1060&amp;X1060,game_rosters!U:W,3,FALSE),"")</f>
        <v>P100197</v>
      </c>
      <c r="BU1060" t="str">
        <f t="shared" si="708"/>
        <v>Nelson</v>
      </c>
    </row>
    <row r="1061" spans="1:73" x14ac:dyDescent="0.2">
      <c r="A1061">
        <f t="shared" si="694"/>
        <v>1</v>
      </c>
      <c r="J1061" s="44" t="str">
        <f t="shared" si="709"/>
        <v>o</v>
      </c>
      <c r="K1061" t="s">
        <v>6</v>
      </c>
      <c r="L1061" t="s">
        <v>191</v>
      </c>
      <c r="M1061" t="s">
        <v>51</v>
      </c>
      <c r="S1061">
        <v>575</v>
      </c>
      <c r="W1061" t="str">
        <f t="shared" si="685"/>
        <v>h</v>
      </c>
      <c r="X1061">
        <v>24</v>
      </c>
      <c r="Y1061" t="e">
        <f>IF(X1061&lt;&gt;"",VLOOKUP(X1061,game_rosters!$C$43:$E$64,3,FALSE))</f>
        <v>#N/A</v>
      </c>
      <c r="Z1061" t="str" cm="1">
        <f t="array" ref="Z1061">IFERROR(IF(_xlfn._xlws.FILTER(game_rosters!$J:$J,(game_rosters!$G:$G=events!$AN1061)*(game_rosters!$J:$J=events!$X1061))&gt;0,1,""),"")</f>
        <v/>
      </c>
      <c r="AA1061">
        <f t="shared" si="733"/>
        <v>1575</v>
      </c>
      <c r="AB1061" t="str">
        <f t="shared" si="734"/>
        <v/>
      </c>
      <c r="AC1061">
        <f t="shared" si="682"/>
        <v>1575</v>
      </c>
      <c r="AD1061" s="6">
        <v>2</v>
      </c>
      <c r="AE1061" t="s">
        <v>746</v>
      </c>
      <c r="AF1061" t="s">
        <v>926</v>
      </c>
      <c r="AG1061" t="s">
        <v>756</v>
      </c>
      <c r="AH1061" t="s">
        <v>756</v>
      </c>
      <c r="AI1061" t="s">
        <v>368</v>
      </c>
      <c r="AJ1061" t="str">
        <f t="shared" ref="AJ1061:AK1061" si="743">IF($J1061&lt;&gt;"",$J1061,IF($AC1061=$AC1060,AJ1060,""))</f>
        <v>o</v>
      </c>
      <c r="AK1061" t="str">
        <f t="shared" si="743"/>
        <v>o</v>
      </c>
      <c r="AL1061" t="str">
        <f t="shared" si="687"/>
        <v>o</v>
      </c>
      <c r="AN1061" t="s">
        <v>861</v>
      </c>
      <c r="AO1061" t="str">
        <f t="shared" si="688"/>
        <v>h</v>
      </c>
      <c r="AP1061" t="str">
        <f t="shared" si="696"/>
        <v>o</v>
      </c>
      <c r="AQ1061" t="str">
        <f t="shared" si="697"/>
        <v/>
      </c>
      <c r="AR1061" t="str">
        <f t="shared" si="698"/>
        <v>Home</v>
      </c>
      <c r="AS1061" t="str">
        <f t="shared" si="699"/>
        <v>h</v>
      </c>
      <c r="AT1061" t="str">
        <f t="shared" si="700"/>
        <v>Defensive</v>
      </c>
      <c r="BA1061" s="6">
        <f t="shared" si="689"/>
        <v>272</v>
      </c>
      <c r="BB1061">
        <f t="shared" si="690"/>
        <v>18981</v>
      </c>
      <c r="BC1061" t="str">
        <f t="shared" si="691"/>
        <v>Nelson</v>
      </c>
      <c r="BD1061" t="str">
        <f t="shared" si="692"/>
        <v>Velodrome</v>
      </c>
      <c r="BE1061" t="s">
        <v>6</v>
      </c>
      <c r="BF1061" t="s">
        <v>191</v>
      </c>
      <c r="BG1061" t="s">
        <v>51</v>
      </c>
      <c r="BI1061" cm="1">
        <f t="array" ref="BI1061">IFERROR(_xlfn._xlws.FILTER(shifts!A:A,(shifts!B:B=events!AD1061)*(shifts!AG:AG&gt;=events!BK1061)*(shifts!AH:AH&lt;=events!BL1061)),BI1060)</f>
        <v>50</v>
      </c>
      <c r="BJ1061" s="15">
        <f t="shared" si="693"/>
        <v>0</v>
      </c>
      <c r="BK1061">
        <f t="shared" si="701"/>
        <v>733</v>
      </c>
      <c r="BL1061">
        <f t="shared" si="702"/>
        <v>733</v>
      </c>
      <c r="BM1061" s="15">
        <f>SUMIFS(BJ$2:BJ1061,K$2:K1061,"=Intermission")+SUMIFS(BJ$2:BJ1061,K$2:K1061,"=Timeout")</f>
        <v>72</v>
      </c>
      <c r="BN1061">
        <f t="shared" si="703"/>
        <v>1152</v>
      </c>
      <c r="BO1061" s="19">
        <f t="shared" si="704"/>
        <v>1499</v>
      </c>
      <c r="BP1061">
        <f t="shared" si="705"/>
        <v>1494</v>
      </c>
      <c r="BQ1061" s="17">
        <f t="shared" si="706"/>
        <v>1499</v>
      </c>
      <c r="BR1061" t="str">
        <f t="shared" si="707"/>
        <v>opp_team_player_1</v>
      </c>
      <c r="BS1061">
        <f>COUNTIFS(S$3:S1061,"="&amp;S1061,AI$3:AI1061,"="&amp;AI1061)</f>
        <v>1</v>
      </c>
      <c r="BT1061" t="str">
        <f>IFERROR(VLOOKUP(BB1061&amp;BU1061&amp;X1061,game_rosters!U:W,3,FALSE),"")</f>
        <v>P100230</v>
      </c>
      <c r="BU1061" t="str">
        <f t="shared" si="708"/>
        <v>Velodrome</v>
      </c>
    </row>
    <row r="1062" spans="1:73" x14ac:dyDescent="0.2">
      <c r="A1062">
        <f t="shared" si="694"/>
        <v>1</v>
      </c>
      <c r="J1062" s="44" t="str">
        <f t="shared" si="709"/>
        <v/>
      </c>
      <c r="K1062" t="s">
        <v>9</v>
      </c>
      <c r="L1062" t="s">
        <v>173</v>
      </c>
      <c r="M1062" t="s">
        <v>76</v>
      </c>
      <c r="S1062">
        <v>576</v>
      </c>
      <c r="W1062" t="str">
        <f t="shared" si="685"/>
        <v>h</v>
      </c>
      <c r="X1062">
        <v>80</v>
      </c>
      <c r="Y1062" t="b">
        <f>IF(X1062&lt;&gt;"",VLOOKUP(X1062,game_rosters!$C$43:$E$64,3,FALSE))</f>
        <v>0</v>
      </c>
      <c r="Z1062" cm="1">
        <f t="array" ref="Z1062">IFERROR(IF(_xlfn._xlws.FILTER(game_rosters!$J:$J,(game_rosters!$G:$G=events!$AN1062)*(game_rosters!$J:$J=events!$X1062))&gt;0,1,""),"")</f>
        <v>1</v>
      </c>
      <c r="AA1062">
        <f t="shared" si="733"/>
        <v>1576</v>
      </c>
      <c r="AB1062" t="str">
        <f t="shared" si="734"/>
        <v/>
      </c>
      <c r="AC1062">
        <f t="shared" si="682"/>
        <v>1576</v>
      </c>
      <c r="AD1062" s="6">
        <v>2</v>
      </c>
      <c r="AE1062" t="s">
        <v>746</v>
      </c>
      <c r="AF1062" t="s">
        <v>746</v>
      </c>
      <c r="AG1062" t="s">
        <v>756</v>
      </c>
      <c r="AH1062" t="s">
        <v>756</v>
      </c>
      <c r="AI1062" t="s">
        <v>367</v>
      </c>
      <c r="AJ1062" t="str">
        <f t="shared" ref="AJ1062:AK1062" si="744">IF($J1062&lt;&gt;"",$J1062,IF($AC1062=$AC1061,AJ1061,""))</f>
        <v/>
      </c>
      <c r="AK1062" t="str">
        <f t="shared" si="744"/>
        <v/>
      </c>
      <c r="AL1062" t="str">
        <f t="shared" si="687"/>
        <v/>
      </c>
      <c r="AN1062" t="s">
        <v>861</v>
      </c>
      <c r="AO1062" t="str">
        <f t="shared" si="688"/>
        <v>h</v>
      </c>
      <c r="AP1062" t="str">
        <f t="shared" si="696"/>
        <v/>
      </c>
      <c r="AQ1062" t="str">
        <f t="shared" si="697"/>
        <v/>
      </c>
      <c r="AR1062" t="str">
        <f t="shared" si="698"/>
        <v>Home</v>
      </c>
      <c r="AS1062" t="str">
        <f t="shared" si="699"/>
        <v>h</v>
      </c>
      <c r="AT1062" t="str">
        <f t="shared" si="700"/>
        <v>Offensive</v>
      </c>
      <c r="BA1062" s="6">
        <f t="shared" si="689"/>
        <v>272</v>
      </c>
      <c r="BB1062">
        <f t="shared" si="690"/>
        <v>18981</v>
      </c>
      <c r="BC1062" t="str">
        <f t="shared" si="691"/>
        <v>Nelson</v>
      </c>
      <c r="BD1062" t="str">
        <f t="shared" si="692"/>
        <v>Velodrome</v>
      </c>
      <c r="BE1062" t="s">
        <v>9</v>
      </c>
      <c r="BF1062" t="s">
        <v>173</v>
      </c>
      <c r="BG1062" t="s">
        <v>76</v>
      </c>
      <c r="BI1062" cm="1">
        <f t="array" ref="BI1062">IFERROR(_xlfn._xlws.FILTER(shifts!A:A,(shifts!B:B=events!AD1062)*(shifts!AG:AG&gt;=events!BK1062)*(shifts!AH:AH&lt;=events!BL1062)),BI1061)</f>
        <v>50</v>
      </c>
      <c r="BJ1062" s="15">
        <f t="shared" si="693"/>
        <v>0</v>
      </c>
      <c r="BK1062">
        <f t="shared" si="701"/>
        <v>732</v>
      </c>
      <c r="BL1062">
        <f t="shared" si="702"/>
        <v>732</v>
      </c>
      <c r="BM1062" s="15">
        <f>SUMIFS(BJ$2:BJ1062,K$2:K1062,"=Intermission")+SUMIFS(BJ$2:BJ1062,K$2:K1062,"=Timeout")</f>
        <v>72</v>
      </c>
      <c r="BN1062">
        <f t="shared" si="703"/>
        <v>1152</v>
      </c>
      <c r="BO1062" s="19">
        <f t="shared" si="704"/>
        <v>1500</v>
      </c>
      <c r="BP1062">
        <f t="shared" si="705"/>
        <v>1495</v>
      </c>
      <c r="BQ1062" s="17">
        <f t="shared" si="706"/>
        <v>1500</v>
      </c>
      <c r="BR1062" t="str">
        <f t="shared" si="707"/>
        <v>event_team_player_1</v>
      </c>
      <c r="BS1062">
        <f>COUNTIFS(S$3:S1062,"="&amp;S1062,AI$3:AI1062,"="&amp;AI1062)</f>
        <v>1</v>
      </c>
      <c r="BT1062" t="str">
        <f>IFERROR(VLOOKUP(BB1062&amp;BU1062&amp;X1062,game_rosters!U:W,3,FALSE),"")</f>
        <v>P100197</v>
      </c>
      <c r="BU1062" t="str">
        <f t="shared" si="708"/>
        <v>Nelson</v>
      </c>
    </row>
    <row r="1063" spans="1:73" x14ac:dyDescent="0.2">
      <c r="A1063">
        <f t="shared" si="694"/>
        <v>1</v>
      </c>
      <c r="J1063" s="44" t="str">
        <f t="shared" si="709"/>
        <v/>
      </c>
      <c r="K1063" t="s">
        <v>9</v>
      </c>
      <c r="L1063" t="s">
        <v>173</v>
      </c>
      <c r="M1063" t="s">
        <v>76</v>
      </c>
      <c r="S1063">
        <v>576</v>
      </c>
      <c r="W1063" t="str">
        <f t="shared" si="685"/>
        <v>h</v>
      </c>
      <c r="X1063">
        <v>24</v>
      </c>
      <c r="Y1063" t="e">
        <f>IF(X1063&lt;&gt;"",VLOOKUP(X1063,game_rosters!$C$43:$E$64,3,FALSE))</f>
        <v>#N/A</v>
      </c>
      <c r="Z1063" t="str" cm="1">
        <f t="array" ref="Z1063">IFERROR(IF(_xlfn._xlws.FILTER(game_rosters!$J:$J,(game_rosters!$G:$G=events!$AN1063)*(game_rosters!$J:$J=events!$X1063))&gt;0,1,""),"")</f>
        <v/>
      </c>
      <c r="AA1063">
        <f t="shared" si="733"/>
        <v>1576</v>
      </c>
      <c r="AB1063" t="str">
        <f t="shared" si="734"/>
        <v/>
      </c>
      <c r="AC1063">
        <f t="shared" si="682"/>
        <v>1576</v>
      </c>
      <c r="AD1063" s="6">
        <v>2</v>
      </c>
      <c r="AE1063" t="s">
        <v>746</v>
      </c>
      <c r="AF1063" t="s">
        <v>746</v>
      </c>
      <c r="AG1063" t="s">
        <v>756</v>
      </c>
      <c r="AH1063" t="s">
        <v>756</v>
      </c>
      <c r="AI1063" t="s">
        <v>368</v>
      </c>
      <c r="AJ1063" t="str">
        <f t="shared" ref="AJ1063:AK1063" si="745">IF($J1063&lt;&gt;"",$J1063,IF($AC1063=$AC1062,AJ1062,""))</f>
        <v/>
      </c>
      <c r="AK1063" t="str">
        <f t="shared" si="745"/>
        <v/>
      </c>
      <c r="AL1063" t="str">
        <f t="shared" si="687"/>
        <v/>
      </c>
      <c r="AN1063" t="s">
        <v>861</v>
      </c>
      <c r="AO1063" t="str">
        <f t="shared" si="688"/>
        <v>h</v>
      </c>
      <c r="AP1063" t="str">
        <f t="shared" si="696"/>
        <v/>
      </c>
      <c r="AQ1063" t="str">
        <f t="shared" si="697"/>
        <v/>
      </c>
      <c r="AR1063" t="str">
        <f t="shared" si="698"/>
        <v>Home</v>
      </c>
      <c r="AS1063" t="str">
        <f t="shared" si="699"/>
        <v>h</v>
      </c>
      <c r="AT1063" t="str">
        <f t="shared" si="700"/>
        <v>Defensive</v>
      </c>
      <c r="BA1063" s="6">
        <f t="shared" si="689"/>
        <v>272</v>
      </c>
      <c r="BB1063">
        <f t="shared" si="690"/>
        <v>18981</v>
      </c>
      <c r="BC1063" t="str">
        <f t="shared" si="691"/>
        <v>Nelson</v>
      </c>
      <c r="BD1063" t="str">
        <f t="shared" si="692"/>
        <v>Velodrome</v>
      </c>
      <c r="BE1063" t="s">
        <v>9</v>
      </c>
      <c r="BF1063" t="s">
        <v>173</v>
      </c>
      <c r="BG1063" t="s">
        <v>76</v>
      </c>
      <c r="BI1063" cm="1">
        <f t="array" ref="BI1063">IFERROR(_xlfn._xlws.FILTER(shifts!A:A,(shifts!B:B=events!AD1063)*(shifts!AG:AG&gt;=events!BK1063)*(shifts!AH:AH&lt;=events!BL1063)),BI1062)</f>
        <v>50</v>
      </c>
      <c r="BJ1063" s="15">
        <f t="shared" si="693"/>
        <v>0</v>
      </c>
      <c r="BK1063">
        <f t="shared" si="701"/>
        <v>732</v>
      </c>
      <c r="BL1063">
        <f t="shared" si="702"/>
        <v>732</v>
      </c>
      <c r="BM1063" s="15">
        <f>SUMIFS(BJ$2:BJ1063,K$2:K1063,"=Intermission")+SUMIFS(BJ$2:BJ1063,K$2:K1063,"=Timeout")</f>
        <v>72</v>
      </c>
      <c r="BN1063">
        <f t="shared" si="703"/>
        <v>1152</v>
      </c>
      <c r="BO1063" s="19">
        <f t="shared" si="704"/>
        <v>1500</v>
      </c>
      <c r="BP1063">
        <f t="shared" si="705"/>
        <v>1495</v>
      </c>
      <c r="BQ1063" s="17">
        <f t="shared" si="706"/>
        <v>1500</v>
      </c>
      <c r="BR1063" t="str">
        <f t="shared" si="707"/>
        <v>opp_team_player_1</v>
      </c>
      <c r="BS1063">
        <f>COUNTIFS(S$3:S1063,"="&amp;S1063,AI$3:AI1063,"="&amp;AI1063)</f>
        <v>1</v>
      </c>
      <c r="BT1063" t="str">
        <f>IFERROR(VLOOKUP(BB1063&amp;BU1063&amp;X1063,game_rosters!U:W,3,FALSE),"")</f>
        <v>P100230</v>
      </c>
      <c r="BU1063" t="str">
        <f t="shared" si="708"/>
        <v>Velodrome</v>
      </c>
    </row>
    <row r="1064" spans="1:73" x14ac:dyDescent="0.2">
      <c r="A1064">
        <f t="shared" si="694"/>
        <v>1</v>
      </c>
      <c r="J1064" s="44" t="str">
        <f t="shared" si="709"/>
        <v>d</v>
      </c>
      <c r="K1064" t="s">
        <v>238</v>
      </c>
      <c r="L1064" t="s">
        <v>184</v>
      </c>
      <c r="M1064" t="s">
        <v>90</v>
      </c>
      <c r="S1064">
        <v>577</v>
      </c>
      <c r="W1064" t="str">
        <f t="shared" si="685"/>
        <v>a</v>
      </c>
      <c r="X1064">
        <v>93</v>
      </c>
      <c r="Y1064" t="e">
        <f>IF(X1064&lt;&gt;"",VLOOKUP(X1064,game_rosters!$C$43:$E$64,3,FALSE))</f>
        <v>#N/A</v>
      </c>
      <c r="Z1064" cm="1">
        <f t="array" ref="Z1064">IFERROR(IF(_xlfn._xlws.FILTER(game_rosters!$J:$J,(game_rosters!$G:$G=events!$AN1064)*(game_rosters!$J:$J=events!$X1064))&gt;0,1,""),"")</f>
        <v>1</v>
      </c>
      <c r="AA1064">
        <f t="shared" si="733"/>
        <v>1577</v>
      </c>
      <c r="AB1064" t="str">
        <f t="shared" si="734"/>
        <v/>
      </c>
      <c r="AC1064">
        <f t="shared" si="682"/>
        <v>1577</v>
      </c>
      <c r="AD1064" s="6">
        <v>2</v>
      </c>
      <c r="AE1064" t="s">
        <v>746</v>
      </c>
      <c r="AF1064" t="s">
        <v>754</v>
      </c>
      <c r="AG1064" t="s">
        <v>756</v>
      </c>
      <c r="AH1064" t="s">
        <v>756</v>
      </c>
      <c r="AI1064" t="s">
        <v>367</v>
      </c>
      <c r="AJ1064" t="str">
        <f t="shared" ref="AJ1064:AK1064" si="746">IF($J1064&lt;&gt;"",$J1064,IF($AC1064=$AC1063,AJ1063,""))</f>
        <v>d</v>
      </c>
      <c r="AK1064" t="str">
        <f t="shared" si="746"/>
        <v>d</v>
      </c>
      <c r="AL1064" t="str">
        <f t="shared" si="687"/>
        <v>o</v>
      </c>
      <c r="AN1064" t="s">
        <v>862</v>
      </c>
      <c r="AO1064" t="str">
        <f t="shared" si="688"/>
        <v>a</v>
      </c>
      <c r="AP1064" t="str">
        <f t="shared" si="696"/>
        <v>o</v>
      </c>
      <c r="AQ1064" t="str">
        <f t="shared" si="697"/>
        <v/>
      </c>
      <c r="AR1064" t="str">
        <f t="shared" si="698"/>
        <v>Away</v>
      </c>
      <c r="AS1064" t="str">
        <f t="shared" si="699"/>
        <v>a</v>
      </c>
      <c r="AT1064" t="str">
        <f t="shared" si="700"/>
        <v>Offensive</v>
      </c>
      <c r="BA1064" s="6">
        <f t="shared" si="689"/>
        <v>273</v>
      </c>
      <c r="BB1064">
        <f t="shared" si="690"/>
        <v>18981</v>
      </c>
      <c r="BC1064" t="str">
        <f t="shared" si="691"/>
        <v>Nelson</v>
      </c>
      <c r="BD1064" t="str">
        <f t="shared" si="692"/>
        <v>Velodrome</v>
      </c>
      <c r="BE1064" t="s">
        <v>238</v>
      </c>
      <c r="BF1064" t="s">
        <v>184</v>
      </c>
      <c r="BG1064" t="s">
        <v>90</v>
      </c>
      <c r="BI1064" cm="1">
        <f t="array" ref="BI1064">IFERROR(_xlfn._xlws.FILTER(shifts!A:A,(shifts!B:B=events!AD1064)*(shifts!AG:AG&gt;=events!BK1064)*(shifts!AH:AH&lt;=events!BL1064)),BI1063)</f>
        <v>50</v>
      </c>
      <c r="BJ1064" s="15">
        <f t="shared" si="693"/>
        <v>0</v>
      </c>
      <c r="BK1064">
        <f t="shared" si="701"/>
        <v>731</v>
      </c>
      <c r="BL1064">
        <f t="shared" si="702"/>
        <v>731</v>
      </c>
      <c r="BM1064" s="15">
        <f>SUMIFS(BJ$2:BJ1064,K$2:K1064,"=Intermission")+SUMIFS(BJ$2:BJ1064,K$2:K1064,"=Timeout")</f>
        <v>72</v>
      </c>
      <c r="BN1064">
        <f t="shared" si="703"/>
        <v>1152</v>
      </c>
      <c r="BO1064" s="19">
        <f t="shared" si="704"/>
        <v>1501</v>
      </c>
      <c r="BP1064">
        <f t="shared" si="705"/>
        <v>1496</v>
      </c>
      <c r="BQ1064" s="17">
        <f t="shared" si="706"/>
        <v>1501</v>
      </c>
      <c r="BR1064" t="str">
        <f t="shared" si="707"/>
        <v>event_team_player_1</v>
      </c>
      <c r="BS1064">
        <f>COUNTIFS(S$3:S1064,"="&amp;S1064,AI$3:AI1064,"="&amp;AI1064)</f>
        <v>1</v>
      </c>
      <c r="BT1064" t="str">
        <f>IFERROR(VLOOKUP(BB1064&amp;BU1064&amp;X1064,game_rosters!U:W,3,FALSE),"")</f>
        <v>P100093</v>
      </c>
      <c r="BU1064" t="str">
        <f t="shared" si="708"/>
        <v>Velodrome</v>
      </c>
    </row>
    <row r="1065" spans="1:73" x14ac:dyDescent="0.2">
      <c r="A1065">
        <f t="shared" si="694"/>
        <v>1</v>
      </c>
      <c r="J1065" s="44" t="str">
        <f t="shared" si="709"/>
        <v>o</v>
      </c>
      <c r="K1065" t="s">
        <v>238</v>
      </c>
      <c r="L1065" t="s">
        <v>174</v>
      </c>
      <c r="M1065" t="s">
        <v>375</v>
      </c>
      <c r="S1065">
        <v>578</v>
      </c>
      <c r="W1065" t="str">
        <f t="shared" si="685"/>
        <v>a</v>
      </c>
      <c r="X1065">
        <v>93</v>
      </c>
      <c r="Y1065" t="e">
        <f>IF(X1065&lt;&gt;"",VLOOKUP(X1065,game_rosters!$C$43:$E$64,3,FALSE))</f>
        <v>#N/A</v>
      </c>
      <c r="Z1065" cm="1">
        <f t="array" ref="Z1065">IFERROR(IF(_xlfn._xlws.FILTER(game_rosters!$J:$J,(game_rosters!$G:$G=events!$AN1065)*(game_rosters!$J:$J=events!$X1065))&gt;0,1,""),"")</f>
        <v>1</v>
      </c>
      <c r="AA1065">
        <f t="shared" si="733"/>
        <v>1578</v>
      </c>
      <c r="AB1065" t="str">
        <f t="shared" si="734"/>
        <v/>
      </c>
      <c r="AC1065">
        <f t="shared" si="682"/>
        <v>1578</v>
      </c>
      <c r="AD1065" s="6">
        <v>2</v>
      </c>
      <c r="AE1065" t="s">
        <v>746</v>
      </c>
      <c r="AF1065" t="s">
        <v>754</v>
      </c>
      <c r="AG1065" t="s">
        <v>756</v>
      </c>
      <c r="AH1065" t="s">
        <v>756</v>
      </c>
      <c r="AI1065" t="s">
        <v>367</v>
      </c>
      <c r="AJ1065" t="str">
        <f t="shared" ref="AJ1065:AK1065" si="747">IF($J1065&lt;&gt;"",$J1065,IF($AC1065=$AC1064,AJ1064,""))</f>
        <v>o</v>
      </c>
      <c r="AK1065" t="str">
        <f t="shared" si="747"/>
        <v>o</v>
      </c>
      <c r="AL1065" t="str">
        <f t="shared" si="687"/>
        <v>d</v>
      </c>
      <c r="AN1065" t="s">
        <v>862</v>
      </c>
      <c r="AO1065" t="str">
        <f t="shared" si="688"/>
        <v>a</v>
      </c>
      <c r="AP1065" t="str">
        <f t="shared" si="696"/>
        <v>d</v>
      </c>
      <c r="AQ1065" t="str">
        <f t="shared" si="697"/>
        <v/>
      </c>
      <c r="AR1065" t="str">
        <f t="shared" si="698"/>
        <v>Away</v>
      </c>
      <c r="AS1065" t="str">
        <f t="shared" si="699"/>
        <v>a</v>
      </c>
      <c r="AT1065" t="str">
        <f t="shared" si="700"/>
        <v>Offensive</v>
      </c>
      <c r="BA1065" s="6">
        <f t="shared" si="689"/>
        <v>274</v>
      </c>
      <c r="BB1065">
        <f t="shared" si="690"/>
        <v>18981</v>
      </c>
      <c r="BC1065" t="str">
        <f t="shared" si="691"/>
        <v>Nelson</v>
      </c>
      <c r="BD1065" t="str">
        <f t="shared" si="692"/>
        <v>Velodrome</v>
      </c>
      <c r="BE1065" t="s">
        <v>238</v>
      </c>
      <c r="BF1065" t="s">
        <v>174</v>
      </c>
      <c r="BG1065" t="s">
        <v>375</v>
      </c>
      <c r="BI1065" cm="1">
        <f t="array" ref="BI1065">IFERROR(_xlfn._xlws.FILTER(shifts!A:A,(shifts!B:B=events!AD1065)*(shifts!AG:AG&gt;=events!BK1065)*(shifts!AH:AH&lt;=events!BL1065)),BI1064)</f>
        <v>50</v>
      </c>
      <c r="BJ1065" s="15">
        <f t="shared" si="693"/>
        <v>0</v>
      </c>
      <c r="BK1065">
        <f t="shared" si="701"/>
        <v>731</v>
      </c>
      <c r="BL1065">
        <f t="shared" si="702"/>
        <v>731</v>
      </c>
      <c r="BM1065" s="15">
        <f>SUMIFS(BJ$2:BJ1065,K$2:K1065,"=Intermission")+SUMIFS(BJ$2:BJ1065,K$2:K1065,"=Timeout")</f>
        <v>72</v>
      </c>
      <c r="BN1065">
        <f t="shared" si="703"/>
        <v>1152</v>
      </c>
      <c r="BO1065" s="19">
        <f t="shared" si="704"/>
        <v>1501</v>
      </c>
      <c r="BP1065">
        <f t="shared" si="705"/>
        <v>1496</v>
      </c>
      <c r="BQ1065" s="17">
        <f t="shared" si="706"/>
        <v>1501</v>
      </c>
      <c r="BR1065" t="str">
        <f t="shared" si="707"/>
        <v>event_team_player_1</v>
      </c>
      <c r="BS1065">
        <f>COUNTIFS(S$3:S1065,"="&amp;S1065,AI$3:AI1065,"="&amp;AI1065)</f>
        <v>1</v>
      </c>
      <c r="BT1065" t="str">
        <f>IFERROR(VLOOKUP(BB1065&amp;BU1065&amp;X1065,game_rosters!U:W,3,FALSE),"")</f>
        <v>P100093</v>
      </c>
      <c r="BU1065" t="str">
        <f t="shared" si="708"/>
        <v>Velodrome</v>
      </c>
    </row>
    <row r="1066" spans="1:73" x14ac:dyDescent="0.2">
      <c r="A1066">
        <f t="shared" si="694"/>
        <v>1</v>
      </c>
      <c r="J1066" s="44" t="str">
        <f t="shared" si="709"/>
        <v/>
      </c>
      <c r="K1066" t="s">
        <v>13</v>
      </c>
      <c r="L1066" t="s">
        <v>756</v>
      </c>
      <c r="M1066" t="s">
        <v>756</v>
      </c>
      <c r="S1066">
        <v>579</v>
      </c>
      <c r="W1066" t="str">
        <f t="shared" si="685"/>
        <v>h</v>
      </c>
      <c r="X1066">
        <v>8</v>
      </c>
      <c r="Y1066" t="b">
        <f>IF(X1066&lt;&gt;"",VLOOKUP(X1066,game_rosters!$C$43:$E$64,3,FALSE))</f>
        <v>0</v>
      </c>
      <c r="Z1066" cm="1">
        <f t="array" ref="Z1066">IFERROR(IF(_xlfn._xlws.FILTER(game_rosters!$J:$J,(game_rosters!$G:$G=events!$AN1066)*(game_rosters!$J:$J=events!$X1066))&gt;0,1,""),"")</f>
        <v>1</v>
      </c>
      <c r="AA1066">
        <f t="shared" si="733"/>
        <v>1579</v>
      </c>
      <c r="AB1066" t="str">
        <f t="shared" si="734"/>
        <v/>
      </c>
      <c r="AC1066">
        <f t="shared" si="682"/>
        <v>1579</v>
      </c>
      <c r="AD1066" s="6">
        <v>2</v>
      </c>
      <c r="AE1066" t="s">
        <v>746</v>
      </c>
      <c r="AF1066" t="s">
        <v>912</v>
      </c>
      <c r="AG1066" t="s">
        <v>746</v>
      </c>
      <c r="AH1066" t="s">
        <v>925</v>
      </c>
      <c r="AI1066" t="s">
        <v>367</v>
      </c>
      <c r="AJ1066" t="str">
        <f t="shared" ref="AJ1066:AK1066" si="748">IF($J1066&lt;&gt;"",$J1066,IF($AC1066=$AC1065,AJ1065,""))</f>
        <v/>
      </c>
      <c r="AK1066" t="str">
        <f t="shared" si="748"/>
        <v/>
      </c>
      <c r="AL1066" t="str">
        <f t="shared" si="687"/>
        <v/>
      </c>
      <c r="AN1066" t="s">
        <v>861</v>
      </c>
      <c r="AO1066" t="str">
        <f t="shared" si="688"/>
        <v>h</v>
      </c>
      <c r="AP1066" t="str">
        <f t="shared" si="696"/>
        <v/>
      </c>
      <c r="AQ1066" t="str">
        <f t="shared" si="697"/>
        <v/>
      </c>
      <c r="AR1066" t="str">
        <f t="shared" si="698"/>
        <v>Home</v>
      </c>
      <c r="AS1066" t="str">
        <f t="shared" si="699"/>
        <v>h</v>
      </c>
      <c r="AT1066" t="str">
        <f t="shared" si="700"/>
        <v>Offensive</v>
      </c>
      <c r="BA1066" s="6">
        <f t="shared" si="689"/>
        <v>274</v>
      </c>
      <c r="BB1066">
        <f t="shared" si="690"/>
        <v>18981</v>
      </c>
      <c r="BC1066" t="str">
        <f t="shared" si="691"/>
        <v>Nelson</v>
      </c>
      <c r="BD1066" t="str">
        <f t="shared" si="692"/>
        <v>Velodrome</v>
      </c>
      <c r="BE1066" t="s">
        <v>13</v>
      </c>
      <c r="BF1066" t="s">
        <v>756</v>
      </c>
      <c r="BG1066" t="s">
        <v>756</v>
      </c>
      <c r="BI1066" cm="1">
        <f t="array" ref="BI1066">IFERROR(_xlfn._xlws.FILTER(shifts!A:A,(shifts!B:B=events!AD1066)*(shifts!AG:AG&gt;=events!BK1066)*(shifts!AH:AH&lt;=events!BL1066)),BI1065)</f>
        <v>51</v>
      </c>
      <c r="BJ1066" s="15">
        <f t="shared" si="693"/>
        <v>2</v>
      </c>
      <c r="BK1066">
        <f t="shared" si="701"/>
        <v>725</v>
      </c>
      <c r="BL1066">
        <f t="shared" si="702"/>
        <v>723</v>
      </c>
      <c r="BM1066" s="15">
        <f>SUMIFS(BJ$2:BJ1066,K$2:K1066,"=Intermission")+SUMIFS(BJ$2:BJ1066,K$2:K1066,"=Timeout")</f>
        <v>72</v>
      </c>
      <c r="BN1066">
        <f t="shared" si="703"/>
        <v>1152</v>
      </c>
      <c r="BO1066" s="19">
        <f t="shared" si="704"/>
        <v>1507</v>
      </c>
      <c r="BP1066">
        <f t="shared" si="705"/>
        <v>1502</v>
      </c>
      <c r="BQ1066" s="17">
        <f t="shared" si="706"/>
        <v>1509</v>
      </c>
      <c r="BR1066" t="str">
        <f t="shared" si="707"/>
        <v>event_team_player_1</v>
      </c>
      <c r="BS1066">
        <f>COUNTIFS(S$3:S1066,"="&amp;S1066,AI$3:AI1066,"="&amp;AI1066)</f>
        <v>1</v>
      </c>
      <c r="BT1066" t="str">
        <f>IFERROR(VLOOKUP(BB1066&amp;BU1066&amp;X1066,game_rosters!U:W,3,FALSE),"")</f>
        <v>P100074</v>
      </c>
      <c r="BU1066" t="str">
        <f t="shared" si="708"/>
        <v>Nelson</v>
      </c>
    </row>
    <row r="1067" spans="1:73" x14ac:dyDescent="0.2">
      <c r="A1067">
        <f t="shared" si="694"/>
        <v>1</v>
      </c>
      <c r="J1067" s="44" t="str">
        <f t="shared" si="709"/>
        <v>d</v>
      </c>
      <c r="K1067" t="s">
        <v>238</v>
      </c>
      <c r="L1067" t="s">
        <v>184</v>
      </c>
      <c r="M1067" t="s">
        <v>88</v>
      </c>
      <c r="S1067">
        <v>580</v>
      </c>
      <c r="W1067" t="str">
        <f t="shared" si="685"/>
        <v>h</v>
      </c>
      <c r="X1067">
        <v>8</v>
      </c>
      <c r="Y1067" t="b">
        <f>IF(X1067&lt;&gt;"",VLOOKUP(X1067,game_rosters!$C$43:$E$64,3,FALSE))</f>
        <v>0</v>
      </c>
      <c r="Z1067" cm="1">
        <f t="array" ref="Z1067">IFERROR(IF(_xlfn._xlws.FILTER(game_rosters!$J:$J,(game_rosters!$G:$G=events!$AN1067)*(game_rosters!$J:$J=events!$X1067))&gt;0,1,""),"")</f>
        <v>1</v>
      </c>
      <c r="AA1067">
        <f t="shared" si="733"/>
        <v>1580</v>
      </c>
      <c r="AB1067" t="str">
        <f t="shared" si="734"/>
        <v/>
      </c>
      <c r="AC1067">
        <f t="shared" si="682"/>
        <v>1580</v>
      </c>
      <c r="AD1067" s="6">
        <v>2</v>
      </c>
      <c r="AE1067" t="s">
        <v>746</v>
      </c>
      <c r="AF1067" t="s">
        <v>925</v>
      </c>
      <c r="AG1067" t="s">
        <v>754</v>
      </c>
      <c r="AH1067" t="s">
        <v>896</v>
      </c>
      <c r="AI1067" t="s">
        <v>367</v>
      </c>
      <c r="AJ1067" t="str">
        <f t="shared" ref="AJ1067:AK1067" si="749">IF($J1067&lt;&gt;"",$J1067,IF($AC1067=$AC1066,AJ1066,""))</f>
        <v>d</v>
      </c>
      <c r="AK1067" t="str">
        <f t="shared" si="749"/>
        <v>d</v>
      </c>
      <c r="AL1067" t="str">
        <f t="shared" si="687"/>
        <v>d</v>
      </c>
      <c r="AN1067" t="s">
        <v>861</v>
      </c>
      <c r="AO1067" t="str">
        <f t="shared" si="688"/>
        <v>h</v>
      </c>
      <c r="AP1067" t="str">
        <f t="shared" si="696"/>
        <v>d</v>
      </c>
      <c r="AQ1067" t="str">
        <f t="shared" si="697"/>
        <v/>
      </c>
      <c r="AR1067" t="str">
        <f t="shared" si="698"/>
        <v>Home</v>
      </c>
      <c r="AS1067" t="str">
        <f t="shared" si="699"/>
        <v>h</v>
      </c>
      <c r="AT1067" t="str">
        <f t="shared" si="700"/>
        <v>Offensive</v>
      </c>
      <c r="BA1067" s="6">
        <f t="shared" si="689"/>
        <v>275</v>
      </c>
      <c r="BB1067">
        <f t="shared" si="690"/>
        <v>18981</v>
      </c>
      <c r="BC1067" t="str">
        <f t="shared" si="691"/>
        <v>Nelson</v>
      </c>
      <c r="BD1067" t="str">
        <f t="shared" si="692"/>
        <v>Velodrome</v>
      </c>
      <c r="BE1067" t="s">
        <v>238</v>
      </c>
      <c r="BF1067" t="s">
        <v>184</v>
      </c>
      <c r="BG1067" t="s">
        <v>88</v>
      </c>
      <c r="BI1067" cm="1">
        <f t="array" ref="BI1067">IFERROR(_xlfn._xlws.FILTER(shifts!A:A,(shifts!B:B=events!AD1067)*(shifts!AG:AG&gt;=events!BK1067)*(shifts!AH:AH&lt;=events!BL1067)),BI1066)</f>
        <v>51</v>
      </c>
      <c r="BJ1067" s="15">
        <f t="shared" si="693"/>
        <v>4</v>
      </c>
      <c r="BK1067">
        <f t="shared" si="701"/>
        <v>723</v>
      </c>
      <c r="BL1067">
        <f t="shared" si="702"/>
        <v>719</v>
      </c>
      <c r="BM1067" s="15">
        <f>SUMIFS(BJ$2:BJ1067,K$2:K1067,"=Intermission")+SUMIFS(BJ$2:BJ1067,K$2:K1067,"=Timeout")</f>
        <v>72</v>
      </c>
      <c r="BN1067">
        <f t="shared" si="703"/>
        <v>1152</v>
      </c>
      <c r="BO1067" s="19">
        <f t="shared" si="704"/>
        <v>1509</v>
      </c>
      <c r="BP1067">
        <f t="shared" si="705"/>
        <v>1504</v>
      </c>
      <c r="BQ1067" s="17">
        <f t="shared" si="706"/>
        <v>1513</v>
      </c>
      <c r="BR1067" t="str">
        <f t="shared" si="707"/>
        <v>event_team_player_1</v>
      </c>
      <c r="BS1067">
        <f>COUNTIFS(S$3:S1067,"="&amp;S1067,AI$3:AI1067,"="&amp;AI1067)</f>
        <v>1</v>
      </c>
      <c r="BT1067" t="str">
        <f>IFERROR(VLOOKUP(BB1067&amp;BU1067&amp;X1067,game_rosters!U:W,3,FALSE),"")</f>
        <v>P100074</v>
      </c>
      <c r="BU1067" t="str">
        <f t="shared" si="708"/>
        <v>Nelson</v>
      </c>
    </row>
    <row r="1068" spans="1:73" x14ac:dyDescent="0.2">
      <c r="A1068">
        <f t="shared" si="694"/>
        <v>1</v>
      </c>
      <c r="J1068" s="44" t="str">
        <f t="shared" si="709"/>
        <v>o</v>
      </c>
      <c r="K1068" t="s">
        <v>238</v>
      </c>
      <c r="L1068" t="s">
        <v>174</v>
      </c>
      <c r="M1068" t="s">
        <v>87</v>
      </c>
      <c r="S1068">
        <v>581</v>
      </c>
      <c r="W1068" t="str">
        <f t="shared" si="685"/>
        <v>h</v>
      </c>
      <c r="X1068">
        <v>8</v>
      </c>
      <c r="Y1068" t="b">
        <f>IF(X1068&lt;&gt;"",VLOOKUP(X1068,game_rosters!$C$43:$E$64,3,FALSE))</f>
        <v>0</v>
      </c>
      <c r="Z1068" cm="1">
        <f t="array" ref="Z1068">IFERROR(IF(_xlfn._xlws.FILTER(game_rosters!$J:$J,(game_rosters!$G:$G=events!$AN1068)*(game_rosters!$J:$J=events!$X1068))&gt;0,1,""),"")</f>
        <v>1</v>
      </c>
      <c r="AA1068">
        <f t="shared" si="733"/>
        <v>1581</v>
      </c>
      <c r="AB1068" t="str">
        <f t="shared" si="734"/>
        <v/>
      </c>
      <c r="AC1068">
        <f t="shared" si="682"/>
        <v>1581</v>
      </c>
      <c r="AD1068" s="6">
        <v>2</v>
      </c>
      <c r="AE1068" t="s">
        <v>754</v>
      </c>
      <c r="AF1068" t="s">
        <v>896</v>
      </c>
      <c r="AG1068" t="s">
        <v>754</v>
      </c>
      <c r="AH1068" t="s">
        <v>927</v>
      </c>
      <c r="AI1068" t="s">
        <v>367</v>
      </c>
      <c r="AJ1068" t="str">
        <f t="shared" ref="AJ1068:AK1068" si="750">IF($J1068&lt;&gt;"",$J1068,IF($AC1068=$AC1067,AJ1067,""))</f>
        <v>o</v>
      </c>
      <c r="AK1068" t="str">
        <f t="shared" si="750"/>
        <v>o</v>
      </c>
      <c r="AL1068" t="str">
        <f t="shared" si="687"/>
        <v>o</v>
      </c>
      <c r="AN1068" t="s">
        <v>861</v>
      </c>
      <c r="AO1068" t="str">
        <f t="shared" si="688"/>
        <v>h</v>
      </c>
      <c r="AP1068" t="str">
        <f t="shared" si="696"/>
        <v>o</v>
      </c>
      <c r="AQ1068" t="str">
        <f t="shared" si="697"/>
        <v/>
      </c>
      <c r="AR1068" t="str">
        <f t="shared" si="698"/>
        <v>Home</v>
      </c>
      <c r="AS1068" t="str">
        <f t="shared" si="699"/>
        <v>h</v>
      </c>
      <c r="AT1068" t="str">
        <f t="shared" si="700"/>
        <v>Offensive</v>
      </c>
      <c r="BA1068" s="6">
        <f t="shared" si="689"/>
        <v>276</v>
      </c>
      <c r="BB1068">
        <f t="shared" si="690"/>
        <v>18981</v>
      </c>
      <c r="BC1068" t="str">
        <f t="shared" si="691"/>
        <v>Nelson</v>
      </c>
      <c r="BD1068" t="str">
        <f t="shared" si="692"/>
        <v>Velodrome</v>
      </c>
      <c r="BE1068" t="s">
        <v>238</v>
      </c>
      <c r="BF1068" t="s">
        <v>174</v>
      </c>
      <c r="BG1068" t="s">
        <v>87</v>
      </c>
      <c r="BI1068" cm="1">
        <f t="array" ref="BI1068">IFERROR(_xlfn._xlws.FILTER(shifts!A:A,(shifts!B:B=events!AD1068)*(shifts!AG:AG&gt;=events!BK1068)*(shifts!AH:AH&lt;=events!BL1068)),BI1067)</f>
        <v>51</v>
      </c>
      <c r="BJ1068" s="15">
        <f t="shared" si="693"/>
        <v>2</v>
      </c>
      <c r="BK1068">
        <f t="shared" si="701"/>
        <v>719</v>
      </c>
      <c r="BL1068">
        <f t="shared" si="702"/>
        <v>717</v>
      </c>
      <c r="BM1068" s="15">
        <f>SUMIFS(BJ$2:BJ1068,K$2:K1068,"=Intermission")+SUMIFS(BJ$2:BJ1068,K$2:K1068,"=Timeout")</f>
        <v>72</v>
      </c>
      <c r="BN1068">
        <f t="shared" si="703"/>
        <v>1152</v>
      </c>
      <c r="BO1068" s="19">
        <f t="shared" si="704"/>
        <v>1513</v>
      </c>
      <c r="BP1068">
        <f t="shared" si="705"/>
        <v>1508</v>
      </c>
      <c r="BQ1068" s="17">
        <f t="shared" si="706"/>
        <v>1515</v>
      </c>
      <c r="BR1068" t="str">
        <f t="shared" si="707"/>
        <v>event_team_player_1</v>
      </c>
      <c r="BS1068">
        <f>COUNTIFS(S$3:S1068,"="&amp;S1068,AI$3:AI1068,"="&amp;AI1068)</f>
        <v>1</v>
      </c>
      <c r="BT1068" t="str">
        <f>IFERROR(VLOOKUP(BB1068&amp;BU1068&amp;X1068,game_rosters!U:W,3,FALSE),"")</f>
        <v>P100074</v>
      </c>
      <c r="BU1068" t="str">
        <f t="shared" si="708"/>
        <v>Nelson</v>
      </c>
    </row>
    <row r="1069" spans="1:73" x14ac:dyDescent="0.2">
      <c r="A1069">
        <f t="shared" si="694"/>
        <v>1</v>
      </c>
      <c r="J1069" s="44" t="str">
        <f t="shared" si="709"/>
        <v/>
      </c>
      <c r="K1069" t="s">
        <v>9</v>
      </c>
      <c r="L1069" t="s">
        <v>173</v>
      </c>
      <c r="M1069" t="s">
        <v>354</v>
      </c>
      <c r="S1069">
        <v>582</v>
      </c>
      <c r="W1069" t="str">
        <f t="shared" si="685"/>
        <v>h</v>
      </c>
      <c r="X1069">
        <v>8</v>
      </c>
      <c r="Y1069" t="b">
        <f>IF(X1069&lt;&gt;"",VLOOKUP(X1069,game_rosters!$C$43:$E$64,3,FALSE))</f>
        <v>0</v>
      </c>
      <c r="Z1069" cm="1">
        <f t="array" ref="Z1069">IFERROR(IF(_xlfn._xlws.FILTER(game_rosters!$J:$J,(game_rosters!$G:$G=events!$AN1069)*(game_rosters!$J:$J=events!$X1069))&gt;0,1,""),"")</f>
        <v>1</v>
      </c>
      <c r="AA1069">
        <f t="shared" si="733"/>
        <v>1582</v>
      </c>
      <c r="AB1069" t="str">
        <f t="shared" si="734"/>
        <v/>
      </c>
      <c r="AC1069">
        <f t="shared" si="682"/>
        <v>1582</v>
      </c>
      <c r="AD1069" s="6">
        <v>2</v>
      </c>
      <c r="AE1069" t="s">
        <v>754</v>
      </c>
      <c r="AF1069" t="s">
        <v>927</v>
      </c>
      <c r="AG1069" t="s">
        <v>756</v>
      </c>
      <c r="AH1069" t="s">
        <v>756</v>
      </c>
      <c r="AI1069" t="s">
        <v>367</v>
      </c>
      <c r="AJ1069" t="str">
        <f t="shared" ref="AJ1069:AK1069" si="751">IF($J1069&lt;&gt;"",$J1069,IF($AC1069=$AC1068,AJ1068,""))</f>
        <v/>
      </c>
      <c r="AK1069" t="str">
        <f t="shared" si="751"/>
        <v/>
      </c>
      <c r="AL1069" t="str">
        <f t="shared" si="687"/>
        <v/>
      </c>
      <c r="AN1069" t="s">
        <v>861</v>
      </c>
      <c r="AO1069" t="str">
        <f t="shared" si="688"/>
        <v>h</v>
      </c>
      <c r="AP1069" t="str">
        <f t="shared" si="696"/>
        <v/>
      </c>
      <c r="AQ1069" t="str">
        <f t="shared" si="697"/>
        <v/>
      </c>
      <c r="AR1069" t="str">
        <f t="shared" si="698"/>
        <v>Home</v>
      </c>
      <c r="AS1069" t="str">
        <f t="shared" si="699"/>
        <v>h</v>
      </c>
      <c r="AT1069" t="str">
        <f t="shared" si="700"/>
        <v>Offensive</v>
      </c>
      <c r="BA1069" s="6">
        <f t="shared" si="689"/>
        <v>276</v>
      </c>
      <c r="BB1069">
        <f t="shared" si="690"/>
        <v>18981</v>
      </c>
      <c r="BC1069" t="str">
        <f t="shared" si="691"/>
        <v>Nelson</v>
      </c>
      <c r="BD1069" t="str">
        <f t="shared" si="692"/>
        <v>Velodrome</v>
      </c>
      <c r="BE1069" t="s">
        <v>9</v>
      </c>
      <c r="BF1069" t="s">
        <v>173</v>
      </c>
      <c r="BG1069" t="s">
        <v>354</v>
      </c>
      <c r="BI1069" cm="1">
        <f t="array" ref="BI1069">IFERROR(_xlfn._xlws.FILTER(shifts!A:A,(shifts!B:B=events!AD1069)*(shifts!AG:AG&gt;=events!BK1069)*(shifts!AH:AH&lt;=events!BL1069)),BI1068)</f>
        <v>51</v>
      </c>
      <c r="BJ1069" s="15">
        <f t="shared" si="693"/>
        <v>0</v>
      </c>
      <c r="BK1069">
        <f t="shared" si="701"/>
        <v>717</v>
      </c>
      <c r="BL1069">
        <f t="shared" si="702"/>
        <v>717</v>
      </c>
      <c r="BM1069" s="15">
        <f>SUMIFS(BJ$2:BJ1069,K$2:K1069,"=Intermission")+SUMIFS(BJ$2:BJ1069,K$2:K1069,"=Timeout")</f>
        <v>72</v>
      </c>
      <c r="BN1069">
        <f t="shared" si="703"/>
        <v>1152</v>
      </c>
      <c r="BO1069" s="19">
        <f t="shared" si="704"/>
        <v>1515</v>
      </c>
      <c r="BP1069">
        <f t="shared" si="705"/>
        <v>1510</v>
      </c>
      <c r="BQ1069" s="17">
        <f t="shared" si="706"/>
        <v>1515</v>
      </c>
      <c r="BR1069" t="str">
        <f t="shared" si="707"/>
        <v>event_team_player_1</v>
      </c>
      <c r="BS1069">
        <f>COUNTIFS(S$3:S1069,"="&amp;S1069,AI$3:AI1069,"="&amp;AI1069)</f>
        <v>1</v>
      </c>
      <c r="BT1069" t="str">
        <f>IFERROR(VLOOKUP(BB1069&amp;BU1069&amp;X1069,game_rosters!U:W,3,FALSE),"")</f>
        <v>P100074</v>
      </c>
      <c r="BU1069" t="str">
        <f t="shared" si="708"/>
        <v>Nelson</v>
      </c>
    </row>
    <row r="1070" spans="1:73" x14ac:dyDescent="0.2">
      <c r="A1070">
        <f t="shared" si="694"/>
        <v>1</v>
      </c>
      <c r="J1070" s="44" t="str">
        <f t="shared" si="709"/>
        <v/>
      </c>
      <c r="K1070" t="s">
        <v>7</v>
      </c>
      <c r="L1070" t="s">
        <v>172</v>
      </c>
      <c r="M1070" t="s">
        <v>66</v>
      </c>
      <c r="S1070">
        <v>583</v>
      </c>
      <c r="W1070" t="str">
        <f t="shared" si="685"/>
        <v>a</v>
      </c>
      <c r="X1070">
        <v>52</v>
      </c>
      <c r="Y1070" t="e">
        <f>IF(X1070&lt;&gt;"",VLOOKUP(X1070,game_rosters!$C$43:$E$64,3,FALSE))</f>
        <v>#N/A</v>
      </c>
      <c r="Z1070" cm="1">
        <f t="array" ref="Z1070">IFERROR(IF(_xlfn._xlws.FILTER(game_rosters!$J:$J,(game_rosters!$G:$G=events!$AN1070)*(game_rosters!$J:$J=events!$X1070))&gt;0,1,""),"")</f>
        <v>1</v>
      </c>
      <c r="AA1070">
        <f t="shared" si="733"/>
        <v>1583</v>
      </c>
      <c r="AB1070" t="str">
        <f t="shared" si="734"/>
        <v/>
      </c>
      <c r="AC1070">
        <f t="shared" si="682"/>
        <v>1583</v>
      </c>
      <c r="AD1070" s="6">
        <v>2</v>
      </c>
      <c r="AE1070" t="s">
        <v>754</v>
      </c>
      <c r="AF1070" t="s">
        <v>898</v>
      </c>
      <c r="AG1070" t="s">
        <v>756</v>
      </c>
      <c r="AH1070" t="s">
        <v>756</v>
      </c>
      <c r="AI1070" t="s">
        <v>367</v>
      </c>
      <c r="AJ1070" t="str">
        <f t="shared" ref="AJ1070:AK1070" si="752">IF($J1070&lt;&gt;"",$J1070,IF($AC1070=$AC1069,AJ1069,""))</f>
        <v/>
      </c>
      <c r="AK1070" t="str">
        <f t="shared" si="752"/>
        <v/>
      </c>
      <c r="AL1070" t="str">
        <f t="shared" si="687"/>
        <v/>
      </c>
      <c r="AN1070" t="s">
        <v>862</v>
      </c>
      <c r="AO1070" t="str">
        <f t="shared" si="688"/>
        <v>a</v>
      </c>
      <c r="AP1070" t="str">
        <f t="shared" si="696"/>
        <v/>
      </c>
      <c r="AQ1070" t="str">
        <f t="shared" si="697"/>
        <v/>
      </c>
      <c r="AR1070" t="str">
        <f t="shared" si="698"/>
        <v>Away</v>
      </c>
      <c r="AS1070" t="str">
        <f t="shared" si="699"/>
        <v>a</v>
      </c>
      <c r="AT1070" t="str">
        <f t="shared" si="700"/>
        <v>Offensive</v>
      </c>
      <c r="BA1070" s="6">
        <f t="shared" si="689"/>
        <v>276</v>
      </c>
      <c r="BB1070">
        <f t="shared" si="690"/>
        <v>18981</v>
      </c>
      <c r="BC1070" t="str">
        <f t="shared" si="691"/>
        <v>Nelson</v>
      </c>
      <c r="BD1070" t="str">
        <f t="shared" si="692"/>
        <v>Velodrome</v>
      </c>
      <c r="BE1070" t="s">
        <v>7</v>
      </c>
      <c r="BF1070" t="s">
        <v>172</v>
      </c>
      <c r="BG1070" t="s">
        <v>66</v>
      </c>
      <c r="BI1070" cm="1">
        <f t="array" ref="BI1070">IFERROR(_xlfn._xlws.FILTER(shifts!A:A,(shifts!B:B=events!AD1070)*(shifts!AG:AG&gt;=events!BK1070)*(shifts!AH:AH&lt;=events!BL1070)),BI1069)</f>
        <v>51</v>
      </c>
      <c r="BJ1070" s="15">
        <f t="shared" si="693"/>
        <v>0</v>
      </c>
      <c r="BK1070">
        <f t="shared" si="701"/>
        <v>711</v>
      </c>
      <c r="BL1070">
        <f t="shared" si="702"/>
        <v>711</v>
      </c>
      <c r="BM1070" s="15">
        <f>SUMIFS(BJ$2:BJ1070,K$2:K1070,"=Intermission")+SUMIFS(BJ$2:BJ1070,K$2:K1070,"=Timeout")</f>
        <v>72</v>
      </c>
      <c r="BN1070">
        <f t="shared" si="703"/>
        <v>1152</v>
      </c>
      <c r="BO1070" s="19">
        <f t="shared" si="704"/>
        <v>1521</v>
      </c>
      <c r="BP1070">
        <f t="shared" si="705"/>
        <v>1516</v>
      </c>
      <c r="BQ1070" s="17">
        <f t="shared" si="706"/>
        <v>1521</v>
      </c>
      <c r="BR1070" t="str">
        <f t="shared" si="707"/>
        <v>event_team_player_1</v>
      </c>
      <c r="BS1070">
        <f>COUNTIFS(S$3:S1070,"="&amp;S1070,AI$3:AI1070,"="&amp;AI1070)</f>
        <v>1</v>
      </c>
      <c r="BT1070" t="str">
        <f>IFERROR(VLOOKUP(BB1070&amp;BU1070&amp;X1070,game_rosters!U:W,3,FALSE),"")</f>
        <v>P100070</v>
      </c>
      <c r="BU1070" t="str">
        <f t="shared" si="708"/>
        <v>Velodrome</v>
      </c>
    </row>
    <row r="1071" spans="1:73" x14ac:dyDescent="0.2">
      <c r="A1071">
        <f t="shared" si="694"/>
        <v>1</v>
      </c>
      <c r="J1071" s="44" t="str">
        <f t="shared" si="709"/>
        <v/>
      </c>
      <c r="K1071" t="s">
        <v>7</v>
      </c>
      <c r="L1071" t="s">
        <v>172</v>
      </c>
      <c r="M1071" t="s">
        <v>66</v>
      </c>
      <c r="S1071">
        <v>583</v>
      </c>
      <c r="W1071" t="str">
        <f t="shared" si="685"/>
        <v>a</v>
      </c>
      <c r="X1071">
        <v>70</v>
      </c>
      <c r="Y1071" t="e">
        <f>IF(X1071&lt;&gt;"",VLOOKUP(X1071,game_rosters!$C$43:$E$64,3,FALSE))</f>
        <v>#N/A</v>
      </c>
      <c r="Z1071" cm="1">
        <f t="array" ref="Z1071">IFERROR(IF(_xlfn._xlws.FILTER(game_rosters!$J:$J,(game_rosters!$G:$G=events!$AN1071)*(game_rosters!$J:$J=events!$X1071))&gt;0,1,""),"")</f>
        <v>1</v>
      </c>
      <c r="AA1071">
        <f t="shared" si="733"/>
        <v>1583</v>
      </c>
      <c r="AB1071" t="str">
        <f t="shared" si="734"/>
        <v/>
      </c>
      <c r="AC1071">
        <f t="shared" si="682"/>
        <v>1583</v>
      </c>
      <c r="AD1071" s="6">
        <v>2</v>
      </c>
      <c r="AE1071" t="s">
        <v>754</v>
      </c>
      <c r="AF1071" t="s">
        <v>898</v>
      </c>
      <c r="AG1071" t="s">
        <v>756</v>
      </c>
      <c r="AH1071" t="s">
        <v>756</v>
      </c>
      <c r="AI1071" t="s">
        <v>367</v>
      </c>
      <c r="AJ1071" t="str">
        <f t="shared" ref="AJ1071:AK1071" si="753">IF($J1071&lt;&gt;"",$J1071,IF($AC1071=$AC1070,AJ1070,""))</f>
        <v/>
      </c>
      <c r="AK1071" t="str">
        <f t="shared" si="753"/>
        <v/>
      </c>
      <c r="AL1071" t="str">
        <f t="shared" si="687"/>
        <v/>
      </c>
      <c r="AN1071" t="s">
        <v>862</v>
      </c>
      <c r="AO1071" t="str">
        <f t="shared" si="688"/>
        <v>a</v>
      </c>
      <c r="AP1071" t="str">
        <f t="shared" si="696"/>
        <v/>
      </c>
      <c r="AQ1071" t="str">
        <f t="shared" si="697"/>
        <v/>
      </c>
      <c r="AR1071" t="str">
        <f t="shared" si="698"/>
        <v>Away</v>
      </c>
      <c r="AS1071" t="str">
        <f t="shared" si="699"/>
        <v>a</v>
      </c>
      <c r="AT1071" t="str">
        <f t="shared" si="700"/>
        <v>Offensive</v>
      </c>
      <c r="BA1071" s="6">
        <f t="shared" si="689"/>
        <v>276</v>
      </c>
      <c r="BB1071">
        <f t="shared" si="690"/>
        <v>18981</v>
      </c>
      <c r="BC1071" t="str">
        <f t="shared" si="691"/>
        <v>Nelson</v>
      </c>
      <c r="BD1071" t="str">
        <f t="shared" si="692"/>
        <v>Velodrome</v>
      </c>
      <c r="BE1071" t="s">
        <v>7</v>
      </c>
      <c r="BF1071" t="s">
        <v>172</v>
      </c>
      <c r="BG1071" t="s">
        <v>66</v>
      </c>
      <c r="BI1071" cm="1">
        <f t="array" ref="BI1071">IFERROR(_xlfn._xlws.FILTER(shifts!A:A,(shifts!B:B=events!AD1071)*(shifts!AG:AG&gt;=events!BK1071)*(shifts!AH:AH&lt;=events!BL1071)),BI1070)</f>
        <v>51</v>
      </c>
      <c r="BJ1071" s="15">
        <f t="shared" si="693"/>
        <v>0</v>
      </c>
      <c r="BK1071">
        <f t="shared" si="701"/>
        <v>711</v>
      </c>
      <c r="BL1071">
        <f t="shared" si="702"/>
        <v>711</v>
      </c>
      <c r="BM1071" s="15">
        <f>SUMIFS(BJ$2:BJ1071,K$2:K1071,"=Intermission")+SUMIFS(BJ$2:BJ1071,K$2:K1071,"=Timeout")</f>
        <v>72</v>
      </c>
      <c r="BN1071">
        <f t="shared" si="703"/>
        <v>1152</v>
      </c>
      <c r="BO1071" s="19">
        <f t="shared" si="704"/>
        <v>1521</v>
      </c>
      <c r="BP1071">
        <f t="shared" si="705"/>
        <v>1516</v>
      </c>
      <c r="BQ1071" s="17">
        <f t="shared" si="706"/>
        <v>1521</v>
      </c>
      <c r="BR1071" t="str">
        <f t="shared" si="707"/>
        <v>event_team_player_2</v>
      </c>
      <c r="BS1071">
        <f>COUNTIFS(S$3:S1071,"="&amp;S1071,AI$3:AI1071,"="&amp;AI1071)</f>
        <v>2</v>
      </c>
      <c r="BT1071" t="str">
        <f>IFERROR(VLOOKUP(BB1071&amp;BU1071&amp;X1071,game_rosters!U:W,3,FALSE),"")</f>
        <v>P100001</v>
      </c>
      <c r="BU1071" t="str">
        <f t="shared" si="708"/>
        <v>Velodrome</v>
      </c>
    </row>
    <row r="1072" spans="1:73" x14ac:dyDescent="0.2">
      <c r="A1072">
        <f t="shared" si="694"/>
        <v>1</v>
      </c>
      <c r="J1072" s="44" t="str">
        <f t="shared" si="709"/>
        <v/>
      </c>
      <c r="K1072" t="s">
        <v>9</v>
      </c>
      <c r="L1072" t="s">
        <v>173</v>
      </c>
      <c r="M1072" t="s">
        <v>365</v>
      </c>
      <c r="S1072">
        <v>584</v>
      </c>
      <c r="W1072" t="str">
        <f t="shared" si="685"/>
        <v>a</v>
      </c>
      <c r="X1072">
        <v>70</v>
      </c>
      <c r="Y1072" t="e">
        <f>IF(X1072&lt;&gt;"",VLOOKUP(X1072,game_rosters!$C$43:$E$64,3,FALSE))</f>
        <v>#N/A</v>
      </c>
      <c r="Z1072" cm="1">
        <f t="array" ref="Z1072">IFERROR(IF(_xlfn._xlws.FILTER(game_rosters!$J:$J,(game_rosters!$G:$G=events!$AN1072)*(game_rosters!$J:$J=events!$X1072))&gt;0,1,""),"")</f>
        <v>1</v>
      </c>
      <c r="AA1072">
        <f t="shared" si="733"/>
        <v>1584</v>
      </c>
      <c r="AB1072" t="str">
        <f t="shared" si="734"/>
        <v/>
      </c>
      <c r="AC1072">
        <f t="shared" si="682"/>
        <v>1584</v>
      </c>
      <c r="AD1072" s="6">
        <v>2</v>
      </c>
      <c r="AE1072" t="s">
        <v>754</v>
      </c>
      <c r="AF1072" t="s">
        <v>751</v>
      </c>
      <c r="AG1072" t="s">
        <v>756</v>
      </c>
      <c r="AH1072" t="s">
        <v>756</v>
      </c>
      <c r="AI1072" t="s">
        <v>367</v>
      </c>
      <c r="AJ1072" t="str">
        <f t="shared" ref="AJ1072:AK1072" si="754">IF($J1072&lt;&gt;"",$J1072,IF($AC1072=$AC1071,AJ1071,""))</f>
        <v/>
      </c>
      <c r="AK1072" t="str">
        <f t="shared" si="754"/>
        <v/>
      </c>
      <c r="AL1072" t="str">
        <f t="shared" si="687"/>
        <v/>
      </c>
      <c r="AN1072" t="s">
        <v>862</v>
      </c>
      <c r="AO1072" t="str">
        <f t="shared" si="688"/>
        <v>a</v>
      </c>
      <c r="AP1072" t="str">
        <f t="shared" si="696"/>
        <v/>
      </c>
      <c r="AQ1072" t="str">
        <f t="shared" si="697"/>
        <v/>
      </c>
      <c r="AR1072" t="str">
        <f t="shared" si="698"/>
        <v>Away</v>
      </c>
      <c r="AS1072" t="str">
        <f t="shared" si="699"/>
        <v>a</v>
      </c>
      <c r="AT1072" t="str">
        <f t="shared" si="700"/>
        <v>Offensive</v>
      </c>
      <c r="BA1072" s="6">
        <f t="shared" si="689"/>
        <v>276</v>
      </c>
      <c r="BB1072">
        <f t="shared" si="690"/>
        <v>18981</v>
      </c>
      <c r="BC1072" t="str">
        <f t="shared" si="691"/>
        <v>Nelson</v>
      </c>
      <c r="BD1072" t="str">
        <f t="shared" si="692"/>
        <v>Velodrome</v>
      </c>
      <c r="BE1072" t="s">
        <v>9</v>
      </c>
      <c r="BF1072" t="s">
        <v>173</v>
      </c>
      <c r="BG1072" t="s">
        <v>365</v>
      </c>
      <c r="BI1072" cm="1">
        <f t="array" ref="BI1072">IFERROR(_xlfn._xlws.FILTER(shifts!A:A,(shifts!B:B=events!AD1072)*(shifts!AG:AG&gt;=events!BK1072)*(shifts!AH:AH&lt;=events!BL1072)),BI1071)</f>
        <v>51</v>
      </c>
      <c r="BJ1072" s="15">
        <f t="shared" si="693"/>
        <v>0</v>
      </c>
      <c r="BK1072">
        <f t="shared" si="701"/>
        <v>709</v>
      </c>
      <c r="BL1072">
        <f t="shared" si="702"/>
        <v>709</v>
      </c>
      <c r="BM1072" s="15">
        <f>SUMIFS(BJ$2:BJ1072,K$2:K1072,"=Intermission")+SUMIFS(BJ$2:BJ1072,K$2:K1072,"=Timeout")</f>
        <v>72</v>
      </c>
      <c r="BN1072">
        <f t="shared" si="703"/>
        <v>1152</v>
      </c>
      <c r="BO1072" s="19">
        <f t="shared" si="704"/>
        <v>1523</v>
      </c>
      <c r="BP1072">
        <f t="shared" si="705"/>
        <v>1518</v>
      </c>
      <c r="BQ1072" s="17">
        <f t="shared" si="706"/>
        <v>1523</v>
      </c>
      <c r="BR1072" t="str">
        <f t="shared" si="707"/>
        <v>event_team_player_1</v>
      </c>
      <c r="BS1072">
        <f>COUNTIFS(S$3:S1072,"="&amp;S1072,AI$3:AI1072,"="&amp;AI1072)</f>
        <v>1</v>
      </c>
      <c r="BT1072" t="str">
        <f>IFERROR(VLOOKUP(BB1072&amp;BU1072&amp;X1072,game_rosters!U:W,3,FALSE),"")</f>
        <v>P100001</v>
      </c>
      <c r="BU1072" t="str">
        <f t="shared" si="708"/>
        <v>Velodrome</v>
      </c>
    </row>
    <row r="1073" spans="1:73" x14ac:dyDescent="0.2">
      <c r="A1073">
        <f t="shared" si="694"/>
        <v>1</v>
      </c>
      <c r="J1073" s="44" t="str">
        <f t="shared" si="709"/>
        <v/>
      </c>
      <c r="K1073" t="s">
        <v>238</v>
      </c>
      <c r="L1073" t="s">
        <v>193</v>
      </c>
      <c r="M1073" t="s">
        <v>91</v>
      </c>
      <c r="S1073">
        <v>585</v>
      </c>
      <c r="W1073" t="str">
        <f t="shared" si="685"/>
        <v>h</v>
      </c>
      <c r="X1073">
        <v>80</v>
      </c>
      <c r="Y1073" t="b">
        <f>IF(X1073&lt;&gt;"",VLOOKUP(X1073,game_rosters!$C$43:$E$64,3,FALSE))</f>
        <v>0</v>
      </c>
      <c r="Z1073" cm="1">
        <f t="array" ref="Z1073">IFERROR(IF(_xlfn._xlws.FILTER(game_rosters!$J:$J,(game_rosters!$G:$G=events!$AN1073)*(game_rosters!$J:$J=events!$X1073))&gt;0,1,""),"")</f>
        <v>1</v>
      </c>
      <c r="AA1073">
        <f t="shared" si="733"/>
        <v>1585</v>
      </c>
      <c r="AB1073" t="str">
        <f t="shared" si="734"/>
        <v/>
      </c>
      <c r="AC1073">
        <f t="shared" si="682"/>
        <v>1585</v>
      </c>
      <c r="AD1073" s="6">
        <v>2</v>
      </c>
      <c r="AE1073" t="s">
        <v>754</v>
      </c>
      <c r="AF1073" t="s">
        <v>923</v>
      </c>
      <c r="AG1073" t="s">
        <v>756</v>
      </c>
      <c r="AH1073" t="s">
        <v>756</v>
      </c>
      <c r="AI1073" t="s">
        <v>367</v>
      </c>
      <c r="AJ1073" t="str">
        <f t="shared" ref="AJ1073:AK1073" si="755">IF($J1073&lt;&gt;"",$J1073,IF($AC1073=$AC1072,AJ1072,""))</f>
        <v/>
      </c>
      <c r="AK1073" t="str">
        <f t="shared" si="755"/>
        <v/>
      </c>
      <c r="AL1073" t="str">
        <f t="shared" si="687"/>
        <v/>
      </c>
      <c r="AN1073" t="s">
        <v>861</v>
      </c>
      <c r="AO1073" t="str">
        <f t="shared" si="688"/>
        <v>h</v>
      </c>
      <c r="AP1073" t="str">
        <f t="shared" si="696"/>
        <v/>
      </c>
      <c r="AQ1073" t="str">
        <f t="shared" si="697"/>
        <v/>
      </c>
      <c r="AR1073" t="str">
        <f t="shared" si="698"/>
        <v>Home</v>
      </c>
      <c r="AS1073" t="str">
        <f t="shared" si="699"/>
        <v>h</v>
      </c>
      <c r="AT1073" t="str">
        <f t="shared" si="700"/>
        <v>Offensive</v>
      </c>
      <c r="BA1073" s="6">
        <f t="shared" si="689"/>
        <v>276</v>
      </c>
      <c r="BB1073">
        <f t="shared" si="690"/>
        <v>18981</v>
      </c>
      <c r="BC1073" t="str">
        <f t="shared" si="691"/>
        <v>Nelson</v>
      </c>
      <c r="BD1073" t="str">
        <f t="shared" si="692"/>
        <v>Velodrome</v>
      </c>
      <c r="BE1073" t="s">
        <v>238</v>
      </c>
      <c r="BF1073" t="s">
        <v>193</v>
      </c>
      <c r="BG1073" t="s">
        <v>91</v>
      </c>
      <c r="BI1073" cm="1">
        <f t="array" ref="BI1073">IFERROR(_xlfn._xlws.FILTER(shifts!A:A,(shifts!B:B=events!AD1073)*(shifts!AG:AG&gt;=events!BK1073)*(shifts!AH:AH&lt;=events!BL1073)),BI1072)</f>
        <v>51</v>
      </c>
      <c r="BJ1073" s="15">
        <f t="shared" si="693"/>
        <v>0</v>
      </c>
      <c r="BK1073">
        <f t="shared" si="701"/>
        <v>704</v>
      </c>
      <c r="BL1073">
        <f t="shared" si="702"/>
        <v>704</v>
      </c>
      <c r="BM1073" s="15">
        <f>SUMIFS(BJ$2:BJ1073,K$2:K1073,"=Intermission")+SUMIFS(BJ$2:BJ1073,K$2:K1073,"=Timeout")</f>
        <v>72</v>
      </c>
      <c r="BN1073">
        <f t="shared" si="703"/>
        <v>1152</v>
      </c>
      <c r="BO1073" s="19">
        <f t="shared" si="704"/>
        <v>1528</v>
      </c>
      <c r="BP1073">
        <f t="shared" si="705"/>
        <v>1523</v>
      </c>
      <c r="BQ1073" s="17">
        <f t="shared" si="706"/>
        <v>1528</v>
      </c>
      <c r="BR1073" t="str">
        <f t="shared" si="707"/>
        <v>event_team_player_1</v>
      </c>
      <c r="BS1073">
        <f>COUNTIFS(S$3:S1073,"="&amp;S1073,AI$3:AI1073,"="&amp;AI1073)</f>
        <v>1</v>
      </c>
      <c r="BT1073" t="str">
        <f>IFERROR(VLOOKUP(BB1073&amp;BU1073&amp;X1073,game_rosters!U:W,3,FALSE),"")</f>
        <v>P100197</v>
      </c>
      <c r="BU1073" t="str">
        <f t="shared" si="708"/>
        <v>Nelson</v>
      </c>
    </row>
    <row r="1074" spans="1:73" x14ac:dyDescent="0.2">
      <c r="A1074">
        <f t="shared" si="694"/>
        <v>1</v>
      </c>
      <c r="J1074" s="44" t="str">
        <f t="shared" si="709"/>
        <v/>
      </c>
      <c r="K1074" t="s">
        <v>238</v>
      </c>
      <c r="L1074" t="s">
        <v>193</v>
      </c>
      <c r="M1074" t="s">
        <v>91</v>
      </c>
      <c r="S1074">
        <v>585</v>
      </c>
      <c r="W1074" t="str">
        <f t="shared" si="685"/>
        <v>h</v>
      </c>
      <c r="X1074">
        <v>24</v>
      </c>
      <c r="Y1074" t="e">
        <f>IF(X1074&lt;&gt;"",VLOOKUP(X1074,game_rosters!$C$43:$E$64,3,FALSE))</f>
        <v>#N/A</v>
      </c>
      <c r="Z1074" t="str" cm="1">
        <f t="array" ref="Z1074">IFERROR(IF(_xlfn._xlws.FILTER(game_rosters!$J:$J,(game_rosters!$G:$G=events!$AN1074)*(game_rosters!$J:$J=events!$X1074))&gt;0,1,""),"")</f>
        <v/>
      </c>
      <c r="AA1074">
        <f t="shared" si="733"/>
        <v>1585</v>
      </c>
      <c r="AB1074" t="str">
        <f t="shared" si="734"/>
        <v/>
      </c>
      <c r="AC1074">
        <f t="shared" si="682"/>
        <v>1585</v>
      </c>
      <c r="AD1074" s="6">
        <v>2</v>
      </c>
      <c r="AE1074" t="s">
        <v>754</v>
      </c>
      <c r="AF1074" t="s">
        <v>923</v>
      </c>
      <c r="AG1074" t="s">
        <v>756</v>
      </c>
      <c r="AH1074" t="s">
        <v>756</v>
      </c>
      <c r="AI1074" t="s">
        <v>368</v>
      </c>
      <c r="AJ1074" t="str">
        <f t="shared" ref="AJ1074:AK1074" si="756">IF($J1074&lt;&gt;"",$J1074,IF($AC1074=$AC1073,AJ1073,""))</f>
        <v/>
      </c>
      <c r="AK1074" t="str">
        <f t="shared" si="756"/>
        <v/>
      </c>
      <c r="AL1074" t="str">
        <f t="shared" si="687"/>
        <v/>
      </c>
      <c r="AN1074" t="s">
        <v>861</v>
      </c>
      <c r="AO1074" t="str">
        <f t="shared" si="688"/>
        <v>h</v>
      </c>
      <c r="AP1074" t="str">
        <f t="shared" si="696"/>
        <v/>
      </c>
      <c r="AQ1074" t="str">
        <f t="shared" si="697"/>
        <v/>
      </c>
      <c r="AR1074" t="str">
        <f t="shared" si="698"/>
        <v>Home</v>
      </c>
      <c r="AS1074" t="str">
        <f t="shared" si="699"/>
        <v>h</v>
      </c>
      <c r="AT1074" t="str">
        <f t="shared" si="700"/>
        <v>Defensive</v>
      </c>
      <c r="BA1074" s="6">
        <f t="shared" si="689"/>
        <v>276</v>
      </c>
      <c r="BB1074">
        <f t="shared" si="690"/>
        <v>18981</v>
      </c>
      <c r="BC1074" t="str">
        <f t="shared" si="691"/>
        <v>Nelson</v>
      </c>
      <c r="BD1074" t="str">
        <f t="shared" si="692"/>
        <v>Velodrome</v>
      </c>
      <c r="BE1074" t="s">
        <v>238</v>
      </c>
      <c r="BF1074" t="s">
        <v>193</v>
      </c>
      <c r="BG1074" t="s">
        <v>91</v>
      </c>
      <c r="BI1074" cm="1">
        <f t="array" ref="BI1074">IFERROR(_xlfn._xlws.FILTER(shifts!A:A,(shifts!B:B=events!AD1074)*(shifts!AG:AG&gt;=events!BK1074)*(shifts!AH:AH&lt;=events!BL1074)),BI1073)</f>
        <v>51</v>
      </c>
      <c r="BJ1074" s="15">
        <f t="shared" si="693"/>
        <v>0</v>
      </c>
      <c r="BK1074">
        <f t="shared" si="701"/>
        <v>704</v>
      </c>
      <c r="BL1074">
        <f t="shared" si="702"/>
        <v>704</v>
      </c>
      <c r="BM1074" s="15">
        <f>SUMIFS(BJ$2:BJ1074,K$2:K1074,"=Intermission")+SUMIFS(BJ$2:BJ1074,K$2:K1074,"=Timeout")</f>
        <v>72</v>
      </c>
      <c r="BN1074">
        <f t="shared" si="703"/>
        <v>1152</v>
      </c>
      <c r="BO1074" s="19">
        <f t="shared" si="704"/>
        <v>1528</v>
      </c>
      <c r="BP1074">
        <f t="shared" si="705"/>
        <v>1523</v>
      </c>
      <c r="BQ1074" s="17">
        <f t="shared" si="706"/>
        <v>1528</v>
      </c>
      <c r="BR1074" t="str">
        <f t="shared" si="707"/>
        <v>opp_team_player_1</v>
      </c>
      <c r="BS1074">
        <f>COUNTIFS(S$3:S1074,"="&amp;S1074,AI$3:AI1074,"="&amp;AI1074)</f>
        <v>1</v>
      </c>
      <c r="BT1074" t="str">
        <f>IFERROR(VLOOKUP(BB1074&amp;BU1074&amp;X1074,game_rosters!U:W,3,FALSE),"")</f>
        <v>P100230</v>
      </c>
      <c r="BU1074" t="str">
        <f t="shared" si="708"/>
        <v>Velodrome</v>
      </c>
    </row>
    <row r="1075" spans="1:73" x14ac:dyDescent="0.2">
      <c r="A1075">
        <f t="shared" si="694"/>
        <v>1</v>
      </c>
      <c r="J1075" s="44" t="str">
        <f t="shared" si="709"/>
        <v/>
      </c>
      <c r="K1075" t="s">
        <v>9</v>
      </c>
      <c r="L1075" t="s">
        <v>173</v>
      </c>
      <c r="M1075" t="s">
        <v>391</v>
      </c>
      <c r="S1075">
        <v>586</v>
      </c>
      <c r="W1075" t="str">
        <f t="shared" si="685"/>
        <v>h</v>
      </c>
      <c r="X1075">
        <v>80</v>
      </c>
      <c r="Y1075" t="b">
        <f>IF(X1075&lt;&gt;"",VLOOKUP(X1075,game_rosters!$C$43:$E$64,3,FALSE))</f>
        <v>0</v>
      </c>
      <c r="Z1075" cm="1">
        <f t="array" ref="Z1075">IFERROR(IF(_xlfn._xlws.FILTER(game_rosters!$J:$J,(game_rosters!$G:$G=events!$AN1075)*(game_rosters!$J:$J=events!$X1075))&gt;0,1,""),"")</f>
        <v>1</v>
      </c>
      <c r="AA1075">
        <f t="shared" si="733"/>
        <v>1586</v>
      </c>
      <c r="AB1075" t="str">
        <f t="shared" si="734"/>
        <v/>
      </c>
      <c r="AC1075">
        <f t="shared" si="682"/>
        <v>1586</v>
      </c>
      <c r="AD1075" s="6">
        <v>2</v>
      </c>
      <c r="AE1075" t="s">
        <v>754</v>
      </c>
      <c r="AF1075" t="s">
        <v>901</v>
      </c>
      <c r="AG1075" t="s">
        <v>756</v>
      </c>
      <c r="AH1075" t="s">
        <v>756</v>
      </c>
      <c r="AI1075" t="s">
        <v>367</v>
      </c>
      <c r="AJ1075" t="str">
        <f t="shared" ref="AJ1075:AK1075" si="757">IF($J1075&lt;&gt;"",$J1075,IF($AC1075=$AC1074,AJ1074,""))</f>
        <v/>
      </c>
      <c r="AK1075" t="str">
        <f t="shared" si="757"/>
        <v/>
      </c>
      <c r="AL1075" t="str">
        <f t="shared" si="687"/>
        <v/>
      </c>
      <c r="AN1075" t="s">
        <v>861</v>
      </c>
      <c r="AO1075" t="str">
        <f t="shared" si="688"/>
        <v>h</v>
      </c>
      <c r="AP1075" t="str">
        <f t="shared" si="696"/>
        <v/>
      </c>
      <c r="AQ1075" t="str">
        <f t="shared" si="697"/>
        <v/>
      </c>
      <c r="AR1075" t="str">
        <f t="shared" si="698"/>
        <v>Home</v>
      </c>
      <c r="AS1075" t="str">
        <f t="shared" si="699"/>
        <v>h</v>
      </c>
      <c r="AT1075" t="str">
        <f t="shared" si="700"/>
        <v>Offensive</v>
      </c>
      <c r="BA1075" s="6">
        <f t="shared" si="689"/>
        <v>276</v>
      </c>
      <c r="BB1075">
        <f t="shared" si="690"/>
        <v>18981</v>
      </c>
      <c r="BC1075" t="str">
        <f t="shared" si="691"/>
        <v>Nelson</v>
      </c>
      <c r="BD1075" t="str">
        <f t="shared" si="692"/>
        <v>Velodrome</v>
      </c>
      <c r="BE1075" t="s">
        <v>9</v>
      </c>
      <c r="BF1075" t="s">
        <v>173</v>
      </c>
      <c r="BG1075" t="s">
        <v>391</v>
      </c>
      <c r="BI1075" cm="1">
        <f t="array" ref="BI1075">IFERROR(_xlfn._xlws.FILTER(shifts!A:A,(shifts!B:B=events!AD1075)*(shifts!AG:AG&gt;=events!BK1075)*(shifts!AH:AH&lt;=events!BL1075)),BI1074)</f>
        <v>51</v>
      </c>
      <c r="BJ1075" s="15">
        <f t="shared" si="693"/>
        <v>0</v>
      </c>
      <c r="BK1075">
        <f t="shared" si="701"/>
        <v>703</v>
      </c>
      <c r="BL1075">
        <f t="shared" si="702"/>
        <v>703</v>
      </c>
      <c r="BM1075" s="15">
        <f>SUMIFS(BJ$2:BJ1075,K$2:K1075,"=Intermission")+SUMIFS(BJ$2:BJ1075,K$2:K1075,"=Timeout")</f>
        <v>72</v>
      </c>
      <c r="BN1075">
        <f t="shared" si="703"/>
        <v>1152</v>
      </c>
      <c r="BO1075" s="19">
        <f t="shared" si="704"/>
        <v>1529</v>
      </c>
      <c r="BP1075">
        <f t="shared" si="705"/>
        <v>1524</v>
      </c>
      <c r="BQ1075" s="17">
        <f t="shared" si="706"/>
        <v>1529</v>
      </c>
      <c r="BR1075" t="str">
        <f t="shared" si="707"/>
        <v>event_team_player_1</v>
      </c>
      <c r="BS1075">
        <f>COUNTIFS(S$3:S1075,"="&amp;S1075,AI$3:AI1075,"="&amp;AI1075)</f>
        <v>1</v>
      </c>
      <c r="BT1075" t="str">
        <f>IFERROR(VLOOKUP(BB1075&amp;BU1075&amp;X1075,game_rosters!U:W,3,FALSE),"")</f>
        <v>P100197</v>
      </c>
      <c r="BU1075" t="str">
        <f t="shared" si="708"/>
        <v>Nelson</v>
      </c>
    </row>
    <row r="1076" spans="1:73" x14ac:dyDescent="0.2">
      <c r="A1076">
        <f t="shared" si="694"/>
        <v>1</v>
      </c>
      <c r="J1076" s="44" t="str">
        <f t="shared" si="709"/>
        <v/>
      </c>
      <c r="K1076" t="s">
        <v>9</v>
      </c>
      <c r="L1076" t="s">
        <v>173</v>
      </c>
      <c r="M1076" t="s">
        <v>391</v>
      </c>
      <c r="S1076">
        <v>586</v>
      </c>
      <c r="W1076" t="str">
        <f t="shared" si="685"/>
        <v>h</v>
      </c>
      <c r="X1076">
        <v>24</v>
      </c>
      <c r="Y1076" t="e">
        <f>IF(X1076&lt;&gt;"",VLOOKUP(X1076,game_rosters!$C$43:$E$64,3,FALSE))</f>
        <v>#N/A</v>
      </c>
      <c r="Z1076" t="str" cm="1">
        <f t="array" ref="Z1076">IFERROR(IF(_xlfn._xlws.FILTER(game_rosters!$J:$J,(game_rosters!$G:$G=events!$AN1076)*(game_rosters!$J:$J=events!$X1076))&gt;0,1,""),"")</f>
        <v/>
      </c>
      <c r="AA1076">
        <f t="shared" si="733"/>
        <v>1586</v>
      </c>
      <c r="AB1076" t="str">
        <f t="shared" si="734"/>
        <v/>
      </c>
      <c r="AC1076">
        <f t="shared" si="682"/>
        <v>1586</v>
      </c>
      <c r="AD1076" s="6">
        <v>2</v>
      </c>
      <c r="AE1076" t="s">
        <v>754</v>
      </c>
      <c r="AF1076" t="s">
        <v>901</v>
      </c>
      <c r="AG1076" t="s">
        <v>756</v>
      </c>
      <c r="AH1076" t="s">
        <v>756</v>
      </c>
      <c r="AI1076" t="s">
        <v>368</v>
      </c>
      <c r="AJ1076" t="str">
        <f t="shared" ref="AJ1076:AK1076" si="758">IF($J1076&lt;&gt;"",$J1076,IF($AC1076=$AC1075,AJ1075,""))</f>
        <v/>
      </c>
      <c r="AK1076" t="str">
        <f t="shared" si="758"/>
        <v/>
      </c>
      <c r="AL1076" t="str">
        <f t="shared" si="687"/>
        <v/>
      </c>
      <c r="AN1076" t="s">
        <v>861</v>
      </c>
      <c r="AO1076" t="str">
        <f t="shared" si="688"/>
        <v>h</v>
      </c>
      <c r="AP1076" t="str">
        <f t="shared" si="696"/>
        <v/>
      </c>
      <c r="AQ1076" t="str">
        <f t="shared" si="697"/>
        <v/>
      </c>
      <c r="AR1076" t="str">
        <f t="shared" si="698"/>
        <v>Home</v>
      </c>
      <c r="AS1076" t="str">
        <f t="shared" si="699"/>
        <v>h</v>
      </c>
      <c r="AT1076" t="str">
        <f t="shared" si="700"/>
        <v>Defensive</v>
      </c>
      <c r="BA1076" s="6">
        <f t="shared" si="689"/>
        <v>276</v>
      </c>
      <c r="BB1076">
        <f t="shared" si="690"/>
        <v>18981</v>
      </c>
      <c r="BC1076" t="str">
        <f t="shared" si="691"/>
        <v>Nelson</v>
      </c>
      <c r="BD1076" t="str">
        <f t="shared" si="692"/>
        <v>Velodrome</v>
      </c>
      <c r="BE1076" t="s">
        <v>9</v>
      </c>
      <c r="BF1076" t="s">
        <v>173</v>
      </c>
      <c r="BG1076" t="s">
        <v>391</v>
      </c>
      <c r="BI1076" cm="1">
        <f t="array" ref="BI1076">IFERROR(_xlfn._xlws.FILTER(shifts!A:A,(shifts!B:B=events!AD1076)*(shifts!AG:AG&gt;=events!BK1076)*(shifts!AH:AH&lt;=events!BL1076)),BI1075)</f>
        <v>51</v>
      </c>
      <c r="BJ1076" s="15">
        <f t="shared" si="693"/>
        <v>0</v>
      </c>
      <c r="BK1076">
        <f t="shared" si="701"/>
        <v>703</v>
      </c>
      <c r="BL1076">
        <f t="shared" si="702"/>
        <v>703</v>
      </c>
      <c r="BM1076" s="15">
        <f>SUMIFS(BJ$2:BJ1076,K$2:K1076,"=Intermission")+SUMIFS(BJ$2:BJ1076,K$2:K1076,"=Timeout")</f>
        <v>72</v>
      </c>
      <c r="BN1076">
        <f t="shared" si="703"/>
        <v>1152</v>
      </c>
      <c r="BO1076" s="19">
        <f t="shared" si="704"/>
        <v>1529</v>
      </c>
      <c r="BP1076">
        <f t="shared" si="705"/>
        <v>1524</v>
      </c>
      <c r="BQ1076" s="17">
        <f t="shared" si="706"/>
        <v>1529</v>
      </c>
      <c r="BR1076" t="str">
        <f t="shared" si="707"/>
        <v>opp_team_player_1</v>
      </c>
      <c r="BS1076">
        <f>COUNTIFS(S$3:S1076,"="&amp;S1076,AI$3:AI1076,"="&amp;AI1076)</f>
        <v>1</v>
      </c>
      <c r="BT1076" t="str">
        <f>IFERROR(VLOOKUP(BB1076&amp;BU1076&amp;X1076,game_rosters!U:W,3,FALSE),"")</f>
        <v>P100230</v>
      </c>
      <c r="BU1076" t="str">
        <f t="shared" si="708"/>
        <v>Velodrome</v>
      </c>
    </row>
    <row r="1077" spans="1:73" x14ac:dyDescent="0.2">
      <c r="A1077">
        <f t="shared" si="694"/>
        <v>1</v>
      </c>
      <c r="J1077" s="44" t="str">
        <f t="shared" si="709"/>
        <v/>
      </c>
      <c r="K1077" t="s">
        <v>13</v>
      </c>
      <c r="L1077" t="s">
        <v>756</v>
      </c>
      <c r="M1077" t="s">
        <v>756</v>
      </c>
      <c r="S1077">
        <v>587</v>
      </c>
      <c r="W1077" t="str">
        <f t="shared" si="685"/>
        <v>a</v>
      </c>
      <c r="X1077">
        <v>52</v>
      </c>
      <c r="Y1077" t="e">
        <f>IF(X1077&lt;&gt;"",VLOOKUP(X1077,game_rosters!$C$43:$E$64,3,FALSE))</f>
        <v>#N/A</v>
      </c>
      <c r="Z1077" cm="1">
        <f t="array" ref="Z1077">IFERROR(IF(_xlfn._xlws.FILTER(game_rosters!$J:$J,(game_rosters!$G:$G=events!$AN1077)*(game_rosters!$J:$J=events!$X1077))&gt;0,1,""),"")</f>
        <v>1</v>
      </c>
      <c r="AA1077">
        <f t="shared" si="733"/>
        <v>1587</v>
      </c>
      <c r="AB1077" t="str">
        <f t="shared" si="734"/>
        <v/>
      </c>
      <c r="AC1077">
        <f t="shared" si="682"/>
        <v>1587</v>
      </c>
      <c r="AD1077" s="6">
        <v>2</v>
      </c>
      <c r="AE1077" t="s">
        <v>754</v>
      </c>
      <c r="AF1077" t="s">
        <v>901</v>
      </c>
      <c r="AG1077" t="s">
        <v>754</v>
      </c>
      <c r="AH1077" t="s">
        <v>924</v>
      </c>
      <c r="AI1077" t="s">
        <v>367</v>
      </c>
      <c r="AJ1077" t="str">
        <f t="shared" ref="AJ1077:AK1077" si="759">IF($J1077&lt;&gt;"",$J1077,IF($AC1077=$AC1076,AJ1076,""))</f>
        <v/>
      </c>
      <c r="AK1077" t="str">
        <f t="shared" si="759"/>
        <v/>
      </c>
      <c r="AL1077" t="str">
        <f t="shared" si="687"/>
        <v/>
      </c>
      <c r="AN1077" t="s">
        <v>862</v>
      </c>
      <c r="AO1077" t="str">
        <f t="shared" si="688"/>
        <v>a</v>
      </c>
      <c r="AP1077" t="str">
        <f t="shared" si="696"/>
        <v/>
      </c>
      <c r="AQ1077" t="str">
        <f t="shared" si="697"/>
        <v/>
      </c>
      <c r="AR1077" t="str">
        <f t="shared" si="698"/>
        <v>Away</v>
      </c>
      <c r="AS1077" t="str">
        <f t="shared" si="699"/>
        <v>a</v>
      </c>
      <c r="AT1077" t="str">
        <f t="shared" si="700"/>
        <v>Offensive</v>
      </c>
      <c r="BA1077" s="6">
        <f t="shared" si="689"/>
        <v>276</v>
      </c>
      <c r="BB1077">
        <f t="shared" si="690"/>
        <v>18981</v>
      </c>
      <c r="BC1077" t="str">
        <f t="shared" si="691"/>
        <v>Nelson</v>
      </c>
      <c r="BD1077" t="str">
        <f t="shared" si="692"/>
        <v>Velodrome</v>
      </c>
      <c r="BE1077" t="s">
        <v>13</v>
      </c>
      <c r="BF1077" t="s">
        <v>756</v>
      </c>
      <c r="BG1077" t="s">
        <v>756</v>
      </c>
      <c r="BI1077" cm="1">
        <f t="array" ref="BI1077">IFERROR(_xlfn._xlws.FILTER(shifts!A:A,(shifts!B:B=events!AD1077)*(shifts!AG:AG&gt;=events!BK1077)*(shifts!AH:AH&lt;=events!BL1077)),BI1076)</f>
        <v>51</v>
      </c>
      <c r="BJ1077" s="15">
        <f t="shared" si="693"/>
        <v>2</v>
      </c>
      <c r="BK1077">
        <f t="shared" si="701"/>
        <v>703</v>
      </c>
      <c r="BL1077">
        <f t="shared" si="702"/>
        <v>701</v>
      </c>
      <c r="BM1077" s="15">
        <f>SUMIFS(BJ$2:BJ1077,K$2:K1077,"=Intermission")+SUMIFS(BJ$2:BJ1077,K$2:K1077,"=Timeout")</f>
        <v>72</v>
      </c>
      <c r="BN1077">
        <f t="shared" si="703"/>
        <v>1152</v>
      </c>
      <c r="BO1077" s="19">
        <f t="shared" si="704"/>
        <v>1529</v>
      </c>
      <c r="BP1077">
        <f t="shared" si="705"/>
        <v>1524</v>
      </c>
      <c r="BQ1077" s="17">
        <f t="shared" si="706"/>
        <v>1531</v>
      </c>
      <c r="BR1077" t="str">
        <f t="shared" si="707"/>
        <v>event_team_player_1</v>
      </c>
      <c r="BS1077">
        <f>COUNTIFS(S$3:S1077,"="&amp;S1077,AI$3:AI1077,"="&amp;AI1077)</f>
        <v>1</v>
      </c>
      <c r="BT1077" t="str">
        <f>IFERROR(VLOOKUP(BB1077&amp;BU1077&amp;X1077,game_rosters!U:W,3,FALSE),"")</f>
        <v>P100070</v>
      </c>
      <c r="BU1077" t="str">
        <f t="shared" si="708"/>
        <v>Velodrome</v>
      </c>
    </row>
    <row r="1078" spans="1:73" x14ac:dyDescent="0.2">
      <c r="A1078">
        <f t="shared" si="694"/>
        <v>1</v>
      </c>
      <c r="J1078" s="44" t="str">
        <f t="shared" si="709"/>
        <v/>
      </c>
      <c r="K1078" t="s">
        <v>7</v>
      </c>
      <c r="L1078" t="s">
        <v>172</v>
      </c>
      <c r="M1078" t="s">
        <v>68</v>
      </c>
      <c r="S1078">
        <v>588</v>
      </c>
      <c r="W1078" t="str">
        <f t="shared" si="685"/>
        <v>a</v>
      </c>
      <c r="X1078">
        <v>52</v>
      </c>
      <c r="Y1078" t="e">
        <f>IF(X1078&lt;&gt;"",VLOOKUP(X1078,game_rosters!$C$43:$E$64,3,FALSE))</f>
        <v>#N/A</v>
      </c>
      <c r="Z1078" cm="1">
        <f t="array" ref="Z1078">IFERROR(IF(_xlfn._xlws.FILTER(game_rosters!$J:$J,(game_rosters!$G:$G=events!$AN1078)*(game_rosters!$J:$J=events!$X1078))&gt;0,1,""),"")</f>
        <v>1</v>
      </c>
      <c r="AA1078">
        <f t="shared" si="733"/>
        <v>1588</v>
      </c>
      <c r="AB1078" t="str">
        <f t="shared" si="734"/>
        <v/>
      </c>
      <c r="AC1078">
        <f t="shared" si="682"/>
        <v>1588</v>
      </c>
      <c r="AD1078" s="6">
        <v>2</v>
      </c>
      <c r="AE1078" t="s">
        <v>754</v>
      </c>
      <c r="AF1078" t="s">
        <v>924</v>
      </c>
      <c r="AG1078" t="s">
        <v>756</v>
      </c>
      <c r="AH1078" t="s">
        <v>756</v>
      </c>
      <c r="AI1078" t="s">
        <v>367</v>
      </c>
      <c r="AJ1078" t="str">
        <f t="shared" ref="AJ1078:AK1078" si="760">IF($J1078&lt;&gt;"",$J1078,IF($AC1078=$AC1077,AJ1077,""))</f>
        <v/>
      </c>
      <c r="AK1078" t="str">
        <f t="shared" si="760"/>
        <v/>
      </c>
      <c r="AL1078" t="str">
        <f t="shared" si="687"/>
        <v/>
      </c>
      <c r="AN1078" t="s">
        <v>862</v>
      </c>
      <c r="AO1078" t="str">
        <f t="shared" si="688"/>
        <v>a</v>
      </c>
      <c r="AP1078" t="str">
        <f t="shared" si="696"/>
        <v/>
      </c>
      <c r="AQ1078" t="str">
        <f t="shared" si="697"/>
        <v/>
      </c>
      <c r="AR1078" t="str">
        <f t="shared" si="698"/>
        <v>Away</v>
      </c>
      <c r="AS1078" t="str">
        <f t="shared" si="699"/>
        <v>a</v>
      </c>
      <c r="AT1078" t="str">
        <f t="shared" si="700"/>
        <v>Offensive</v>
      </c>
      <c r="BA1078" s="6">
        <f t="shared" si="689"/>
        <v>276</v>
      </c>
      <c r="BB1078">
        <f t="shared" si="690"/>
        <v>18981</v>
      </c>
      <c r="BC1078" t="str">
        <f t="shared" si="691"/>
        <v>Nelson</v>
      </c>
      <c r="BD1078" t="str">
        <f t="shared" si="692"/>
        <v>Velodrome</v>
      </c>
      <c r="BE1078" t="s">
        <v>7</v>
      </c>
      <c r="BF1078" t="s">
        <v>172</v>
      </c>
      <c r="BG1078" t="s">
        <v>68</v>
      </c>
      <c r="BI1078" cm="1">
        <f t="array" ref="BI1078">IFERROR(_xlfn._xlws.FILTER(shifts!A:A,(shifts!B:B=events!AD1078)*(shifts!AG:AG&gt;=events!BK1078)*(shifts!AH:AH&lt;=events!BL1078)),BI1077)</f>
        <v>51</v>
      </c>
      <c r="BJ1078" s="15">
        <f t="shared" si="693"/>
        <v>0</v>
      </c>
      <c r="BK1078">
        <f t="shared" si="701"/>
        <v>701</v>
      </c>
      <c r="BL1078">
        <f t="shared" si="702"/>
        <v>701</v>
      </c>
      <c r="BM1078" s="15">
        <f>SUMIFS(BJ$2:BJ1078,K$2:K1078,"=Intermission")+SUMIFS(BJ$2:BJ1078,K$2:K1078,"=Timeout")</f>
        <v>72</v>
      </c>
      <c r="BN1078">
        <f t="shared" si="703"/>
        <v>1152</v>
      </c>
      <c r="BO1078" s="19">
        <f t="shared" si="704"/>
        <v>1531</v>
      </c>
      <c r="BP1078">
        <f t="shared" si="705"/>
        <v>1526</v>
      </c>
      <c r="BQ1078" s="17">
        <f t="shared" si="706"/>
        <v>1531</v>
      </c>
      <c r="BR1078" t="str">
        <f t="shared" si="707"/>
        <v>event_team_player_1</v>
      </c>
      <c r="BS1078">
        <f>COUNTIFS(S$3:S1078,"="&amp;S1078,AI$3:AI1078,"="&amp;AI1078)</f>
        <v>1</v>
      </c>
      <c r="BT1078" t="str">
        <f>IFERROR(VLOOKUP(BB1078&amp;BU1078&amp;X1078,game_rosters!U:W,3,FALSE),"")</f>
        <v>P100070</v>
      </c>
      <c r="BU1078" t="str">
        <f t="shared" si="708"/>
        <v>Velodrome</v>
      </c>
    </row>
    <row r="1079" spans="1:73" x14ac:dyDescent="0.2">
      <c r="A1079">
        <f t="shared" si="694"/>
        <v>1</v>
      </c>
      <c r="J1079" s="44" t="str">
        <f t="shared" si="709"/>
        <v/>
      </c>
      <c r="K1079" t="s">
        <v>7</v>
      </c>
      <c r="L1079" t="s">
        <v>172</v>
      </c>
      <c r="M1079" t="s">
        <v>68</v>
      </c>
      <c r="S1079">
        <v>588</v>
      </c>
      <c r="W1079" t="str">
        <f t="shared" si="685"/>
        <v>a</v>
      </c>
      <c r="X1079">
        <v>84</v>
      </c>
      <c r="Y1079" t="e">
        <f>IF(X1079&lt;&gt;"",VLOOKUP(X1079,game_rosters!$C$43:$E$64,3,FALSE))</f>
        <v>#N/A</v>
      </c>
      <c r="Z1079" cm="1">
        <f t="array" ref="Z1079">IFERROR(IF(_xlfn._xlws.FILTER(game_rosters!$J:$J,(game_rosters!$G:$G=events!$AN1079)*(game_rosters!$J:$J=events!$X1079))&gt;0,1,""),"")</f>
        <v>1</v>
      </c>
      <c r="AA1079">
        <f t="shared" si="733"/>
        <v>1588</v>
      </c>
      <c r="AB1079" t="str">
        <f t="shared" si="734"/>
        <v/>
      </c>
      <c r="AC1079">
        <f t="shared" si="682"/>
        <v>1588</v>
      </c>
      <c r="AD1079" s="6">
        <v>2</v>
      </c>
      <c r="AE1079" t="s">
        <v>754</v>
      </c>
      <c r="AF1079" t="s">
        <v>924</v>
      </c>
      <c r="AG1079" t="s">
        <v>756</v>
      </c>
      <c r="AH1079" t="s">
        <v>756</v>
      </c>
      <c r="AI1079" t="s">
        <v>367</v>
      </c>
      <c r="AJ1079" t="str">
        <f t="shared" ref="AJ1079:AK1079" si="761">IF($J1079&lt;&gt;"",$J1079,IF($AC1079=$AC1078,AJ1078,""))</f>
        <v/>
      </c>
      <c r="AK1079" t="str">
        <f t="shared" si="761"/>
        <v/>
      </c>
      <c r="AL1079" t="str">
        <f t="shared" si="687"/>
        <v/>
      </c>
      <c r="AN1079" t="s">
        <v>862</v>
      </c>
      <c r="AO1079" t="str">
        <f t="shared" si="688"/>
        <v>a</v>
      </c>
      <c r="AP1079" t="str">
        <f t="shared" si="696"/>
        <v/>
      </c>
      <c r="AQ1079" t="str">
        <f t="shared" si="697"/>
        <v/>
      </c>
      <c r="AR1079" t="str">
        <f t="shared" si="698"/>
        <v>Away</v>
      </c>
      <c r="AS1079" t="str">
        <f t="shared" si="699"/>
        <v>a</v>
      </c>
      <c r="AT1079" t="str">
        <f t="shared" si="700"/>
        <v>Offensive</v>
      </c>
      <c r="BA1079" s="6">
        <f t="shared" si="689"/>
        <v>276</v>
      </c>
      <c r="BB1079">
        <f t="shared" si="690"/>
        <v>18981</v>
      </c>
      <c r="BC1079" t="str">
        <f t="shared" si="691"/>
        <v>Nelson</v>
      </c>
      <c r="BD1079" t="str">
        <f t="shared" si="692"/>
        <v>Velodrome</v>
      </c>
      <c r="BE1079" t="s">
        <v>7</v>
      </c>
      <c r="BF1079" t="s">
        <v>172</v>
      </c>
      <c r="BG1079" t="s">
        <v>68</v>
      </c>
      <c r="BI1079" cm="1">
        <f t="array" ref="BI1079">IFERROR(_xlfn._xlws.FILTER(shifts!A:A,(shifts!B:B=events!AD1079)*(shifts!AG:AG&gt;=events!BK1079)*(shifts!AH:AH&lt;=events!BL1079)),BI1078)</f>
        <v>51</v>
      </c>
      <c r="BJ1079" s="15">
        <f t="shared" si="693"/>
        <v>0</v>
      </c>
      <c r="BK1079">
        <f t="shared" si="701"/>
        <v>701</v>
      </c>
      <c r="BL1079">
        <f t="shared" si="702"/>
        <v>701</v>
      </c>
      <c r="BM1079" s="15">
        <f>SUMIFS(BJ$2:BJ1079,K$2:K1079,"=Intermission")+SUMIFS(BJ$2:BJ1079,K$2:K1079,"=Timeout")</f>
        <v>72</v>
      </c>
      <c r="BN1079">
        <f t="shared" si="703"/>
        <v>1152</v>
      </c>
      <c r="BO1079" s="19">
        <f t="shared" si="704"/>
        <v>1531</v>
      </c>
      <c r="BP1079">
        <f t="shared" si="705"/>
        <v>1526</v>
      </c>
      <c r="BQ1079" s="17">
        <f t="shared" si="706"/>
        <v>1531</v>
      </c>
      <c r="BR1079" t="str">
        <f t="shared" si="707"/>
        <v>event_team_player_2</v>
      </c>
      <c r="BS1079">
        <f>COUNTIFS(S$3:S1079,"="&amp;S1079,AI$3:AI1079,"="&amp;AI1079)</f>
        <v>2</v>
      </c>
      <c r="BT1079" t="str">
        <f>IFERROR(VLOOKUP(BB1079&amp;BU1079&amp;X1079,game_rosters!U:W,3,FALSE),"")</f>
        <v>P100198</v>
      </c>
      <c r="BU1079" t="str">
        <f t="shared" si="708"/>
        <v>Velodrome</v>
      </c>
    </row>
    <row r="1080" spans="1:73" x14ac:dyDescent="0.2">
      <c r="A1080">
        <f t="shared" si="694"/>
        <v>1</v>
      </c>
      <c r="J1080" s="44" t="str">
        <f t="shared" si="709"/>
        <v>d</v>
      </c>
      <c r="K1080" t="s">
        <v>238</v>
      </c>
      <c r="L1080" t="s">
        <v>184</v>
      </c>
      <c r="M1080" t="s">
        <v>88</v>
      </c>
      <c r="S1080">
        <v>589</v>
      </c>
      <c r="W1080" t="str">
        <f t="shared" si="685"/>
        <v>a</v>
      </c>
      <c r="X1080">
        <v>84</v>
      </c>
      <c r="Y1080" t="e">
        <f>IF(X1080&lt;&gt;"",VLOOKUP(X1080,game_rosters!$C$43:$E$64,3,FALSE))</f>
        <v>#N/A</v>
      </c>
      <c r="Z1080" cm="1">
        <f t="array" ref="Z1080">IFERROR(IF(_xlfn._xlws.FILTER(game_rosters!$J:$J,(game_rosters!$G:$G=events!$AN1080)*(game_rosters!$J:$J=events!$X1080))&gt;0,1,""),"")</f>
        <v>1</v>
      </c>
      <c r="AA1080">
        <f t="shared" si="733"/>
        <v>1589</v>
      </c>
      <c r="AB1080" t="str">
        <f t="shared" si="734"/>
        <v/>
      </c>
      <c r="AC1080">
        <f t="shared" si="682"/>
        <v>1589</v>
      </c>
      <c r="AD1080" s="6">
        <v>2</v>
      </c>
      <c r="AE1080" t="s">
        <v>754</v>
      </c>
      <c r="AF1080" t="s">
        <v>924</v>
      </c>
      <c r="AG1080" t="s">
        <v>754</v>
      </c>
      <c r="AH1080" t="s">
        <v>749</v>
      </c>
      <c r="AI1080" t="s">
        <v>367</v>
      </c>
      <c r="AJ1080" t="str">
        <f t="shared" ref="AJ1080:AK1080" si="762">IF($J1080&lt;&gt;"",$J1080,IF($AC1080=$AC1079,AJ1079,""))</f>
        <v>d</v>
      </c>
      <c r="AK1080" t="str">
        <f t="shared" si="762"/>
        <v>d</v>
      </c>
      <c r="AL1080" t="str">
        <f t="shared" si="687"/>
        <v>o</v>
      </c>
      <c r="AN1080" t="s">
        <v>862</v>
      </c>
      <c r="AO1080" t="str">
        <f t="shared" si="688"/>
        <v>a</v>
      </c>
      <c r="AP1080" t="str">
        <f t="shared" si="696"/>
        <v>o</v>
      </c>
      <c r="AQ1080" t="str">
        <f t="shared" si="697"/>
        <v/>
      </c>
      <c r="AR1080" t="str">
        <f t="shared" si="698"/>
        <v>Away</v>
      </c>
      <c r="AS1080" t="str">
        <f t="shared" si="699"/>
        <v>a</v>
      </c>
      <c r="AT1080" t="str">
        <f t="shared" si="700"/>
        <v>Offensive</v>
      </c>
      <c r="BA1080" s="6">
        <f t="shared" si="689"/>
        <v>277</v>
      </c>
      <c r="BB1080">
        <f t="shared" si="690"/>
        <v>18981</v>
      </c>
      <c r="BC1080" t="str">
        <f t="shared" si="691"/>
        <v>Nelson</v>
      </c>
      <c r="BD1080" t="str">
        <f t="shared" si="692"/>
        <v>Velodrome</v>
      </c>
      <c r="BE1080" t="s">
        <v>238</v>
      </c>
      <c r="BF1080" t="s">
        <v>184</v>
      </c>
      <c r="BG1080" t="s">
        <v>88</v>
      </c>
      <c r="BI1080" cm="1">
        <f t="array" ref="BI1080">IFERROR(_xlfn._xlws.FILTER(shifts!A:A,(shifts!B:B=events!AD1080)*(shifts!AG:AG&gt;=events!BK1080)*(shifts!AH:AH&lt;=events!BL1080)),BI1079)</f>
        <v>51</v>
      </c>
      <c r="BJ1080" s="15">
        <f t="shared" si="693"/>
        <v>2</v>
      </c>
      <c r="BK1080">
        <f t="shared" si="701"/>
        <v>701</v>
      </c>
      <c r="BL1080">
        <f t="shared" si="702"/>
        <v>699</v>
      </c>
      <c r="BM1080" s="15">
        <f>SUMIFS(BJ$2:BJ1080,K$2:K1080,"=Intermission")+SUMIFS(BJ$2:BJ1080,K$2:K1080,"=Timeout")</f>
        <v>72</v>
      </c>
      <c r="BN1080">
        <f t="shared" si="703"/>
        <v>1152</v>
      </c>
      <c r="BO1080" s="19">
        <f t="shared" si="704"/>
        <v>1531</v>
      </c>
      <c r="BP1080">
        <f t="shared" si="705"/>
        <v>1526</v>
      </c>
      <c r="BQ1080" s="17">
        <f t="shared" si="706"/>
        <v>1533</v>
      </c>
      <c r="BR1080" t="str">
        <f t="shared" si="707"/>
        <v>event_team_player_1</v>
      </c>
      <c r="BS1080">
        <f>COUNTIFS(S$3:S1080,"="&amp;S1080,AI$3:AI1080,"="&amp;AI1080)</f>
        <v>1</v>
      </c>
      <c r="BT1080" t="str">
        <f>IFERROR(VLOOKUP(BB1080&amp;BU1080&amp;X1080,game_rosters!U:W,3,FALSE),"")</f>
        <v>P100198</v>
      </c>
      <c r="BU1080" t="str">
        <f t="shared" si="708"/>
        <v>Velodrome</v>
      </c>
    </row>
    <row r="1081" spans="1:73" x14ac:dyDescent="0.2">
      <c r="A1081">
        <f t="shared" si="694"/>
        <v>1</v>
      </c>
      <c r="J1081" s="44" t="str">
        <f t="shared" si="709"/>
        <v/>
      </c>
      <c r="K1081" t="s">
        <v>13</v>
      </c>
      <c r="L1081" t="s">
        <v>756</v>
      </c>
      <c r="M1081" t="s">
        <v>756</v>
      </c>
      <c r="S1081">
        <v>590</v>
      </c>
      <c r="W1081" t="str">
        <f t="shared" si="685"/>
        <v>a</v>
      </c>
      <c r="X1081">
        <v>84</v>
      </c>
      <c r="Y1081" t="e">
        <f>IF(X1081&lt;&gt;"",VLOOKUP(X1081,game_rosters!$C$43:$E$64,3,FALSE))</f>
        <v>#N/A</v>
      </c>
      <c r="Z1081" cm="1">
        <f t="array" ref="Z1081">IFERROR(IF(_xlfn._xlws.FILTER(game_rosters!$J:$J,(game_rosters!$G:$G=events!$AN1081)*(game_rosters!$J:$J=events!$X1081))&gt;0,1,""),"")</f>
        <v>1</v>
      </c>
      <c r="AA1081">
        <f t="shared" si="733"/>
        <v>1590</v>
      </c>
      <c r="AB1081" t="str">
        <f t="shared" si="734"/>
        <v/>
      </c>
      <c r="AC1081">
        <f t="shared" si="682"/>
        <v>1590</v>
      </c>
      <c r="AD1081" s="6">
        <v>2</v>
      </c>
      <c r="AE1081" t="s">
        <v>754</v>
      </c>
      <c r="AF1081" t="s">
        <v>749</v>
      </c>
      <c r="AG1081" t="s">
        <v>754</v>
      </c>
      <c r="AH1081" t="s">
        <v>865</v>
      </c>
      <c r="AI1081" t="s">
        <v>367</v>
      </c>
      <c r="AJ1081" t="str">
        <f t="shared" ref="AJ1081:AK1081" si="763">IF($J1081&lt;&gt;"",$J1081,IF($AC1081=$AC1080,AJ1080,""))</f>
        <v/>
      </c>
      <c r="AK1081" t="str">
        <f t="shared" si="763"/>
        <v/>
      </c>
      <c r="AL1081" t="str">
        <f t="shared" si="687"/>
        <v/>
      </c>
      <c r="AN1081" t="s">
        <v>862</v>
      </c>
      <c r="AO1081" t="str">
        <f t="shared" si="688"/>
        <v>a</v>
      </c>
      <c r="AP1081" t="str">
        <f t="shared" si="696"/>
        <v/>
      </c>
      <c r="AQ1081" t="str">
        <f t="shared" si="697"/>
        <v/>
      </c>
      <c r="AR1081" t="str">
        <f t="shared" si="698"/>
        <v>Away</v>
      </c>
      <c r="AS1081" t="str">
        <f t="shared" si="699"/>
        <v>a</v>
      </c>
      <c r="AT1081" t="str">
        <f t="shared" si="700"/>
        <v>Offensive</v>
      </c>
      <c r="BA1081" s="6">
        <f t="shared" si="689"/>
        <v>277</v>
      </c>
      <c r="BB1081">
        <f t="shared" si="690"/>
        <v>18981</v>
      </c>
      <c r="BC1081" t="str">
        <f t="shared" si="691"/>
        <v>Nelson</v>
      </c>
      <c r="BD1081" t="str">
        <f t="shared" si="692"/>
        <v>Velodrome</v>
      </c>
      <c r="BE1081" t="s">
        <v>13</v>
      </c>
      <c r="BF1081" t="s">
        <v>756</v>
      </c>
      <c r="BG1081" t="s">
        <v>756</v>
      </c>
      <c r="BI1081" cm="1">
        <f t="array" ref="BI1081">IFERROR(_xlfn._xlws.FILTER(shifts!A:A,(shifts!B:B=events!AD1081)*(shifts!AG:AG&gt;=events!BK1081)*(shifts!AH:AH&lt;=events!BL1081)),BI1080)</f>
        <v>51</v>
      </c>
      <c r="BJ1081" s="15">
        <f t="shared" si="693"/>
        <v>1</v>
      </c>
      <c r="BK1081">
        <f t="shared" si="701"/>
        <v>699</v>
      </c>
      <c r="BL1081">
        <f t="shared" si="702"/>
        <v>698</v>
      </c>
      <c r="BM1081" s="15">
        <f>SUMIFS(BJ$2:BJ1081,K$2:K1081,"=Intermission")+SUMIFS(BJ$2:BJ1081,K$2:K1081,"=Timeout")</f>
        <v>72</v>
      </c>
      <c r="BN1081">
        <f t="shared" si="703"/>
        <v>1152</v>
      </c>
      <c r="BO1081" s="19">
        <f t="shared" si="704"/>
        <v>1533</v>
      </c>
      <c r="BP1081">
        <f t="shared" si="705"/>
        <v>1528</v>
      </c>
      <c r="BQ1081" s="17">
        <f t="shared" si="706"/>
        <v>1534</v>
      </c>
      <c r="BR1081" t="str">
        <f t="shared" si="707"/>
        <v>event_team_player_1</v>
      </c>
      <c r="BS1081">
        <f>COUNTIFS(S$3:S1081,"="&amp;S1081,AI$3:AI1081,"="&amp;AI1081)</f>
        <v>1</v>
      </c>
      <c r="BT1081" t="str">
        <f>IFERROR(VLOOKUP(BB1081&amp;BU1081&amp;X1081,game_rosters!U:W,3,FALSE),"")</f>
        <v>P100198</v>
      </c>
      <c r="BU1081" t="str">
        <f t="shared" si="708"/>
        <v>Velodrome</v>
      </c>
    </row>
    <row r="1082" spans="1:73" x14ac:dyDescent="0.2">
      <c r="A1082">
        <f t="shared" si="694"/>
        <v>1</v>
      </c>
      <c r="J1082" s="44" t="str">
        <f t="shared" si="709"/>
        <v/>
      </c>
      <c r="K1082" t="s">
        <v>7</v>
      </c>
      <c r="L1082" t="s">
        <v>172</v>
      </c>
      <c r="M1082" t="s">
        <v>68</v>
      </c>
      <c r="S1082">
        <v>591</v>
      </c>
      <c r="W1082" t="str">
        <f t="shared" si="685"/>
        <v>a</v>
      </c>
      <c r="X1082">
        <v>84</v>
      </c>
      <c r="Y1082" t="e">
        <f>IF(X1082&lt;&gt;"",VLOOKUP(X1082,game_rosters!$C$43:$E$64,3,FALSE))</f>
        <v>#N/A</v>
      </c>
      <c r="Z1082" cm="1">
        <f t="array" ref="Z1082">IFERROR(IF(_xlfn._xlws.FILTER(game_rosters!$J:$J,(game_rosters!$G:$G=events!$AN1082)*(game_rosters!$J:$J=events!$X1082))&gt;0,1,""),"")</f>
        <v>1</v>
      </c>
      <c r="AA1082">
        <f t="shared" si="733"/>
        <v>1591</v>
      </c>
      <c r="AB1082" t="str">
        <f t="shared" si="734"/>
        <v/>
      </c>
      <c r="AC1082">
        <f t="shared" si="682"/>
        <v>1591</v>
      </c>
      <c r="AD1082" s="6">
        <v>2</v>
      </c>
      <c r="AE1082" t="s">
        <v>754</v>
      </c>
      <c r="AF1082" t="s">
        <v>865</v>
      </c>
      <c r="AG1082" t="s">
        <v>756</v>
      </c>
      <c r="AH1082" t="s">
        <v>756</v>
      </c>
      <c r="AI1082" t="s">
        <v>367</v>
      </c>
      <c r="AJ1082" t="str">
        <f t="shared" ref="AJ1082:AK1082" si="764">IF($J1082&lt;&gt;"",$J1082,IF($AC1082=$AC1081,AJ1081,""))</f>
        <v/>
      </c>
      <c r="AK1082" t="str">
        <f t="shared" si="764"/>
        <v/>
      </c>
      <c r="AL1082" t="str">
        <f t="shared" si="687"/>
        <v/>
      </c>
      <c r="AN1082" t="s">
        <v>862</v>
      </c>
      <c r="AO1082" t="str">
        <f t="shared" si="688"/>
        <v>a</v>
      </c>
      <c r="AP1082" t="str">
        <f t="shared" si="696"/>
        <v/>
      </c>
      <c r="AQ1082" t="str">
        <f t="shared" si="697"/>
        <v/>
      </c>
      <c r="AR1082" t="str">
        <f t="shared" si="698"/>
        <v>Away</v>
      </c>
      <c r="AS1082" t="str">
        <f t="shared" si="699"/>
        <v>a</v>
      </c>
      <c r="AT1082" t="str">
        <f t="shared" si="700"/>
        <v>Offensive</v>
      </c>
      <c r="BA1082" s="6">
        <f t="shared" si="689"/>
        <v>277</v>
      </c>
      <c r="BB1082">
        <f t="shared" si="690"/>
        <v>18981</v>
      </c>
      <c r="BC1082" t="str">
        <f t="shared" si="691"/>
        <v>Nelson</v>
      </c>
      <c r="BD1082" t="str">
        <f t="shared" si="692"/>
        <v>Velodrome</v>
      </c>
      <c r="BE1082" t="s">
        <v>7</v>
      </c>
      <c r="BF1082" t="s">
        <v>172</v>
      </c>
      <c r="BG1082" t="s">
        <v>68</v>
      </c>
      <c r="BI1082" cm="1">
        <f t="array" ref="BI1082">IFERROR(_xlfn._xlws.FILTER(shifts!A:A,(shifts!B:B=events!AD1082)*(shifts!AG:AG&gt;=events!BK1082)*(shifts!AH:AH&lt;=events!BL1082)),BI1081)</f>
        <v>51</v>
      </c>
      <c r="BJ1082" s="15">
        <f t="shared" si="693"/>
        <v>0</v>
      </c>
      <c r="BK1082">
        <f t="shared" si="701"/>
        <v>698</v>
      </c>
      <c r="BL1082">
        <f t="shared" si="702"/>
        <v>698</v>
      </c>
      <c r="BM1082" s="15">
        <f>SUMIFS(BJ$2:BJ1082,K$2:K1082,"=Intermission")+SUMIFS(BJ$2:BJ1082,K$2:K1082,"=Timeout")</f>
        <v>72</v>
      </c>
      <c r="BN1082">
        <f t="shared" si="703"/>
        <v>1152</v>
      </c>
      <c r="BO1082" s="19">
        <f t="shared" si="704"/>
        <v>1534</v>
      </c>
      <c r="BP1082">
        <f t="shared" si="705"/>
        <v>1529</v>
      </c>
      <c r="BQ1082" s="17">
        <f t="shared" si="706"/>
        <v>1534</v>
      </c>
      <c r="BR1082" t="str">
        <f t="shared" si="707"/>
        <v>event_team_player_1</v>
      </c>
      <c r="BS1082">
        <f>COUNTIFS(S$3:S1082,"="&amp;S1082,AI$3:AI1082,"="&amp;AI1082)</f>
        <v>1</v>
      </c>
      <c r="BT1082" t="str">
        <f>IFERROR(VLOOKUP(BB1082&amp;BU1082&amp;X1082,game_rosters!U:W,3,FALSE),"")</f>
        <v>P100198</v>
      </c>
      <c r="BU1082" t="str">
        <f t="shared" si="708"/>
        <v>Velodrome</v>
      </c>
    </row>
    <row r="1083" spans="1:73" x14ac:dyDescent="0.2">
      <c r="A1083">
        <f t="shared" si="694"/>
        <v>1</v>
      </c>
      <c r="J1083" s="44" t="str">
        <f t="shared" si="709"/>
        <v/>
      </c>
      <c r="K1083" t="s">
        <v>7</v>
      </c>
      <c r="L1083" t="s">
        <v>172</v>
      </c>
      <c r="M1083" t="s">
        <v>68</v>
      </c>
      <c r="S1083">
        <v>591</v>
      </c>
      <c r="W1083" t="str">
        <f t="shared" si="685"/>
        <v>a</v>
      </c>
      <c r="X1083">
        <v>70</v>
      </c>
      <c r="Y1083" t="e">
        <f>IF(X1083&lt;&gt;"",VLOOKUP(X1083,game_rosters!$C$43:$E$64,3,FALSE))</f>
        <v>#N/A</v>
      </c>
      <c r="Z1083" cm="1">
        <f t="array" ref="Z1083">IFERROR(IF(_xlfn._xlws.FILTER(game_rosters!$J:$J,(game_rosters!$G:$G=events!$AN1083)*(game_rosters!$J:$J=events!$X1083))&gt;0,1,""),"")</f>
        <v>1</v>
      </c>
      <c r="AA1083">
        <f t="shared" si="733"/>
        <v>1591</v>
      </c>
      <c r="AB1083" t="str">
        <f t="shared" si="734"/>
        <v/>
      </c>
      <c r="AC1083">
        <f t="shared" si="682"/>
        <v>1591</v>
      </c>
      <c r="AD1083" s="6">
        <v>2</v>
      </c>
      <c r="AE1083" t="s">
        <v>754</v>
      </c>
      <c r="AF1083" t="s">
        <v>865</v>
      </c>
      <c r="AG1083" t="s">
        <v>756</v>
      </c>
      <c r="AH1083" t="s">
        <v>756</v>
      </c>
      <c r="AI1083" t="s">
        <v>367</v>
      </c>
      <c r="AJ1083" t="str">
        <f t="shared" ref="AJ1083:AK1083" si="765">IF($J1083&lt;&gt;"",$J1083,IF($AC1083=$AC1082,AJ1082,""))</f>
        <v/>
      </c>
      <c r="AK1083" t="str">
        <f t="shared" si="765"/>
        <v/>
      </c>
      <c r="AL1083" t="str">
        <f t="shared" si="687"/>
        <v/>
      </c>
      <c r="AN1083" t="s">
        <v>862</v>
      </c>
      <c r="AO1083" t="str">
        <f t="shared" si="688"/>
        <v>a</v>
      </c>
      <c r="AP1083" t="str">
        <f t="shared" si="696"/>
        <v/>
      </c>
      <c r="AQ1083" t="str">
        <f t="shared" si="697"/>
        <v/>
      </c>
      <c r="AR1083" t="str">
        <f t="shared" si="698"/>
        <v>Away</v>
      </c>
      <c r="AS1083" t="str">
        <f t="shared" si="699"/>
        <v>a</v>
      </c>
      <c r="AT1083" t="str">
        <f t="shared" si="700"/>
        <v>Offensive</v>
      </c>
      <c r="BA1083" s="6">
        <f t="shared" si="689"/>
        <v>277</v>
      </c>
      <c r="BB1083">
        <f t="shared" si="690"/>
        <v>18981</v>
      </c>
      <c r="BC1083" t="str">
        <f t="shared" si="691"/>
        <v>Nelson</v>
      </c>
      <c r="BD1083" t="str">
        <f t="shared" si="692"/>
        <v>Velodrome</v>
      </c>
      <c r="BE1083" t="s">
        <v>7</v>
      </c>
      <c r="BF1083" t="s">
        <v>172</v>
      </c>
      <c r="BG1083" t="s">
        <v>68</v>
      </c>
      <c r="BI1083" cm="1">
        <f t="array" ref="BI1083">IFERROR(_xlfn._xlws.FILTER(shifts!A:A,(shifts!B:B=events!AD1083)*(shifts!AG:AG&gt;=events!BK1083)*(shifts!AH:AH&lt;=events!BL1083)),BI1082)</f>
        <v>51</v>
      </c>
      <c r="BJ1083" s="15">
        <f t="shared" si="693"/>
        <v>0</v>
      </c>
      <c r="BK1083">
        <f t="shared" si="701"/>
        <v>698</v>
      </c>
      <c r="BL1083">
        <f t="shared" si="702"/>
        <v>698</v>
      </c>
      <c r="BM1083" s="15">
        <f>SUMIFS(BJ$2:BJ1083,K$2:K1083,"=Intermission")+SUMIFS(BJ$2:BJ1083,K$2:K1083,"=Timeout")</f>
        <v>72</v>
      </c>
      <c r="BN1083">
        <f t="shared" si="703"/>
        <v>1152</v>
      </c>
      <c r="BO1083" s="19">
        <f t="shared" si="704"/>
        <v>1534</v>
      </c>
      <c r="BP1083">
        <f t="shared" si="705"/>
        <v>1529</v>
      </c>
      <c r="BQ1083" s="17">
        <f t="shared" si="706"/>
        <v>1534</v>
      </c>
      <c r="BR1083" t="str">
        <f t="shared" si="707"/>
        <v>event_team_player_2</v>
      </c>
      <c r="BS1083">
        <f>COUNTIFS(S$3:S1083,"="&amp;S1083,AI$3:AI1083,"="&amp;AI1083)</f>
        <v>2</v>
      </c>
      <c r="BT1083" t="str">
        <f>IFERROR(VLOOKUP(BB1083&amp;BU1083&amp;X1083,game_rosters!U:W,3,FALSE),"")</f>
        <v>P100001</v>
      </c>
      <c r="BU1083" t="str">
        <f t="shared" si="708"/>
        <v>Velodrome</v>
      </c>
    </row>
    <row r="1084" spans="1:73" x14ac:dyDescent="0.2">
      <c r="A1084">
        <f t="shared" si="694"/>
        <v>1</v>
      </c>
      <c r="J1084" s="44" t="str">
        <f t="shared" si="709"/>
        <v/>
      </c>
      <c r="K1084" t="s">
        <v>7</v>
      </c>
      <c r="L1084" t="s">
        <v>172</v>
      </c>
      <c r="M1084" t="s">
        <v>385</v>
      </c>
      <c r="S1084">
        <v>592</v>
      </c>
      <c r="W1084" t="str">
        <f t="shared" si="685"/>
        <v>a</v>
      </c>
      <c r="X1084">
        <v>70</v>
      </c>
      <c r="Y1084" t="e">
        <f>IF(X1084&lt;&gt;"",VLOOKUP(X1084,game_rosters!$C$43:$E$64,3,FALSE))</f>
        <v>#N/A</v>
      </c>
      <c r="Z1084" cm="1">
        <f t="array" ref="Z1084">IFERROR(IF(_xlfn._xlws.FILTER(game_rosters!$J:$J,(game_rosters!$G:$G=events!$AN1084)*(game_rosters!$J:$J=events!$X1084))&gt;0,1,""),"")</f>
        <v>1</v>
      </c>
      <c r="AA1084">
        <f t="shared" si="733"/>
        <v>1592</v>
      </c>
      <c r="AB1084" t="str">
        <f t="shared" si="734"/>
        <v/>
      </c>
      <c r="AC1084">
        <f t="shared" si="682"/>
        <v>1592</v>
      </c>
      <c r="AD1084" s="6">
        <v>2</v>
      </c>
      <c r="AE1084" t="s">
        <v>754</v>
      </c>
      <c r="AF1084" t="s">
        <v>928</v>
      </c>
      <c r="AG1084" t="s">
        <v>756</v>
      </c>
      <c r="AH1084" t="s">
        <v>756</v>
      </c>
      <c r="AI1084" t="s">
        <v>367</v>
      </c>
      <c r="AJ1084" t="str">
        <f t="shared" ref="AJ1084:AK1084" si="766">IF($J1084&lt;&gt;"",$J1084,IF($AC1084=$AC1083,AJ1083,""))</f>
        <v/>
      </c>
      <c r="AK1084" t="str">
        <f t="shared" si="766"/>
        <v/>
      </c>
      <c r="AL1084" t="str">
        <f t="shared" si="687"/>
        <v/>
      </c>
      <c r="AN1084" t="s">
        <v>862</v>
      </c>
      <c r="AO1084" t="str">
        <f t="shared" si="688"/>
        <v>a</v>
      </c>
      <c r="AP1084" t="str">
        <f t="shared" si="696"/>
        <v/>
      </c>
      <c r="AQ1084" t="str">
        <f t="shared" si="697"/>
        <v/>
      </c>
      <c r="AR1084" t="str">
        <f t="shared" si="698"/>
        <v>Away</v>
      </c>
      <c r="AS1084" t="str">
        <f t="shared" si="699"/>
        <v>a</v>
      </c>
      <c r="AT1084" t="str">
        <f t="shared" si="700"/>
        <v>Offensive</v>
      </c>
      <c r="BA1084" s="6">
        <f t="shared" si="689"/>
        <v>277</v>
      </c>
      <c r="BB1084">
        <f t="shared" si="690"/>
        <v>18981</v>
      </c>
      <c r="BC1084" t="str">
        <f t="shared" si="691"/>
        <v>Nelson</v>
      </c>
      <c r="BD1084" t="str">
        <f t="shared" si="692"/>
        <v>Velodrome</v>
      </c>
      <c r="BE1084" t="s">
        <v>7</v>
      </c>
      <c r="BF1084" t="s">
        <v>172</v>
      </c>
      <c r="BG1084" t="s">
        <v>385</v>
      </c>
      <c r="BI1084" cm="1">
        <f t="array" ref="BI1084">IFERROR(_xlfn._xlws.FILTER(shifts!A:A,(shifts!B:B=events!AD1084)*(shifts!AG:AG&gt;=events!BK1084)*(shifts!AH:AH&lt;=events!BL1084)),BI1083)</f>
        <v>51</v>
      </c>
      <c r="BJ1084" s="15">
        <f t="shared" si="693"/>
        <v>0</v>
      </c>
      <c r="BK1084">
        <f t="shared" si="701"/>
        <v>697</v>
      </c>
      <c r="BL1084">
        <f t="shared" si="702"/>
        <v>697</v>
      </c>
      <c r="BM1084" s="15">
        <f>SUMIFS(BJ$2:BJ1084,K$2:K1084,"=Intermission")+SUMIFS(BJ$2:BJ1084,K$2:K1084,"=Timeout")</f>
        <v>72</v>
      </c>
      <c r="BN1084">
        <f t="shared" si="703"/>
        <v>1152</v>
      </c>
      <c r="BO1084" s="19">
        <f t="shared" si="704"/>
        <v>1535</v>
      </c>
      <c r="BP1084">
        <f t="shared" si="705"/>
        <v>1530</v>
      </c>
      <c r="BQ1084" s="17">
        <f t="shared" si="706"/>
        <v>1535</v>
      </c>
      <c r="BR1084" t="str">
        <f t="shared" si="707"/>
        <v>event_team_player_1</v>
      </c>
      <c r="BS1084">
        <f>COUNTIFS(S$3:S1084,"="&amp;S1084,AI$3:AI1084,"="&amp;AI1084)</f>
        <v>1</v>
      </c>
      <c r="BT1084" t="str">
        <f>IFERROR(VLOOKUP(BB1084&amp;BU1084&amp;X1084,game_rosters!U:W,3,FALSE),"")</f>
        <v>P100001</v>
      </c>
      <c r="BU1084" t="str">
        <f t="shared" si="708"/>
        <v>Velodrome</v>
      </c>
    </row>
    <row r="1085" spans="1:73" x14ac:dyDescent="0.2">
      <c r="A1085">
        <f t="shared" si="694"/>
        <v>1</v>
      </c>
      <c r="J1085" s="44" t="str">
        <f t="shared" si="709"/>
        <v/>
      </c>
      <c r="K1085" t="s">
        <v>7</v>
      </c>
      <c r="L1085" t="s">
        <v>172</v>
      </c>
      <c r="M1085" t="s">
        <v>385</v>
      </c>
      <c r="S1085">
        <v>592</v>
      </c>
      <c r="W1085" t="str">
        <f t="shared" si="685"/>
        <v>a</v>
      </c>
      <c r="X1085">
        <v>91</v>
      </c>
      <c r="Y1085" t="e">
        <f>IF(X1085&lt;&gt;"",VLOOKUP(X1085,game_rosters!$C$43:$E$64,3,FALSE))</f>
        <v>#N/A</v>
      </c>
      <c r="Z1085" cm="1">
        <f t="array" ref="Z1085">IFERROR(IF(_xlfn._xlws.FILTER(game_rosters!$J:$J,(game_rosters!$G:$G=events!$AN1085)*(game_rosters!$J:$J=events!$X1085))&gt;0,1,""),"")</f>
        <v>1</v>
      </c>
      <c r="AA1085">
        <f t="shared" si="733"/>
        <v>1592</v>
      </c>
      <c r="AB1085" t="str">
        <f t="shared" si="734"/>
        <v/>
      </c>
      <c r="AC1085">
        <f t="shared" si="682"/>
        <v>1592</v>
      </c>
      <c r="AD1085" s="6">
        <v>2</v>
      </c>
      <c r="AE1085" t="s">
        <v>754</v>
      </c>
      <c r="AF1085" t="s">
        <v>928</v>
      </c>
      <c r="AG1085" t="s">
        <v>756</v>
      </c>
      <c r="AH1085" t="s">
        <v>756</v>
      </c>
      <c r="AI1085" t="s">
        <v>367</v>
      </c>
      <c r="AJ1085" t="str">
        <f t="shared" ref="AJ1085:AK1085" si="767">IF($J1085&lt;&gt;"",$J1085,IF($AC1085=$AC1084,AJ1084,""))</f>
        <v/>
      </c>
      <c r="AK1085" t="str">
        <f t="shared" si="767"/>
        <v/>
      </c>
      <c r="AL1085" t="str">
        <f t="shared" si="687"/>
        <v/>
      </c>
      <c r="AN1085" t="s">
        <v>862</v>
      </c>
      <c r="AO1085" t="str">
        <f t="shared" si="688"/>
        <v>a</v>
      </c>
      <c r="AP1085" t="str">
        <f t="shared" si="696"/>
        <v/>
      </c>
      <c r="AQ1085" t="str">
        <f t="shared" si="697"/>
        <v/>
      </c>
      <c r="AR1085" t="str">
        <f t="shared" si="698"/>
        <v>Away</v>
      </c>
      <c r="AS1085" t="str">
        <f t="shared" si="699"/>
        <v>a</v>
      </c>
      <c r="AT1085" t="str">
        <f t="shared" si="700"/>
        <v>Offensive</v>
      </c>
      <c r="BA1085" s="6">
        <f t="shared" si="689"/>
        <v>277</v>
      </c>
      <c r="BB1085">
        <f t="shared" si="690"/>
        <v>18981</v>
      </c>
      <c r="BC1085" t="str">
        <f t="shared" si="691"/>
        <v>Nelson</v>
      </c>
      <c r="BD1085" t="str">
        <f t="shared" si="692"/>
        <v>Velodrome</v>
      </c>
      <c r="BE1085" t="s">
        <v>7</v>
      </c>
      <c r="BF1085" t="s">
        <v>172</v>
      </c>
      <c r="BG1085" t="s">
        <v>385</v>
      </c>
      <c r="BI1085" cm="1">
        <f t="array" ref="BI1085">IFERROR(_xlfn._xlws.FILTER(shifts!A:A,(shifts!B:B=events!AD1085)*(shifts!AG:AG&gt;=events!BK1085)*(shifts!AH:AH&lt;=events!BL1085)),BI1084)</f>
        <v>51</v>
      </c>
      <c r="BJ1085" s="15">
        <f t="shared" si="693"/>
        <v>0</v>
      </c>
      <c r="BK1085">
        <f t="shared" si="701"/>
        <v>697</v>
      </c>
      <c r="BL1085">
        <f t="shared" si="702"/>
        <v>697</v>
      </c>
      <c r="BM1085" s="15">
        <f>SUMIFS(BJ$2:BJ1085,K$2:K1085,"=Intermission")+SUMIFS(BJ$2:BJ1085,K$2:K1085,"=Timeout")</f>
        <v>72</v>
      </c>
      <c r="BN1085">
        <f t="shared" si="703"/>
        <v>1152</v>
      </c>
      <c r="BO1085" s="19">
        <f t="shared" si="704"/>
        <v>1535</v>
      </c>
      <c r="BP1085">
        <f t="shared" si="705"/>
        <v>1530</v>
      </c>
      <c r="BQ1085" s="17">
        <f t="shared" si="706"/>
        <v>1535</v>
      </c>
      <c r="BR1085" t="str">
        <f t="shared" si="707"/>
        <v>event_team_player_2</v>
      </c>
      <c r="BS1085">
        <f>COUNTIFS(S$3:S1085,"="&amp;S1085,AI$3:AI1085,"="&amp;AI1085)</f>
        <v>2</v>
      </c>
      <c r="BT1085" t="str">
        <f>IFERROR(VLOOKUP(BB1085&amp;BU1085&amp;X1085,game_rosters!U:W,3,FALSE),"")</f>
        <v>P100002</v>
      </c>
      <c r="BU1085" t="str">
        <f t="shared" si="708"/>
        <v>Velodrome</v>
      </c>
    </row>
    <row r="1086" spans="1:73" x14ac:dyDescent="0.2">
      <c r="A1086">
        <f t="shared" si="694"/>
        <v>1</v>
      </c>
      <c r="J1086" s="44" t="str">
        <f t="shared" si="709"/>
        <v>o</v>
      </c>
      <c r="K1086" t="s">
        <v>238</v>
      </c>
      <c r="L1086" t="s">
        <v>174</v>
      </c>
      <c r="M1086" t="s">
        <v>86</v>
      </c>
      <c r="S1086">
        <v>593</v>
      </c>
      <c r="W1086" t="str">
        <f t="shared" si="685"/>
        <v>a</v>
      </c>
      <c r="X1086">
        <v>70</v>
      </c>
      <c r="Y1086" t="e">
        <f>IF(X1086&lt;&gt;"",VLOOKUP(X1086,game_rosters!$C$43:$E$64,3,FALSE))</f>
        <v>#N/A</v>
      </c>
      <c r="Z1086" cm="1">
        <f t="array" ref="Z1086">IFERROR(IF(_xlfn._xlws.FILTER(game_rosters!$J:$J,(game_rosters!$G:$G=events!$AN1086)*(game_rosters!$J:$J=events!$X1086))&gt;0,1,""),"")</f>
        <v>1</v>
      </c>
      <c r="AA1086">
        <f t="shared" si="733"/>
        <v>1593</v>
      </c>
      <c r="AB1086" t="str">
        <f t="shared" si="734"/>
        <v/>
      </c>
      <c r="AC1086">
        <f t="shared" si="682"/>
        <v>1593</v>
      </c>
      <c r="AD1086" s="6">
        <v>2</v>
      </c>
      <c r="AE1086" t="s">
        <v>754</v>
      </c>
      <c r="AF1086" t="s">
        <v>928</v>
      </c>
      <c r="AG1086" t="s">
        <v>756</v>
      </c>
      <c r="AH1086" t="s">
        <v>756</v>
      </c>
      <c r="AI1086" t="s">
        <v>367</v>
      </c>
      <c r="AJ1086" t="str">
        <f t="shared" ref="AJ1086:AK1086" si="768">IF($J1086&lt;&gt;"",$J1086,IF($AC1086=$AC1085,AJ1085,""))</f>
        <v>o</v>
      </c>
      <c r="AK1086" t="str">
        <f t="shared" si="768"/>
        <v>o</v>
      </c>
      <c r="AL1086" t="str">
        <f t="shared" si="687"/>
        <v>d</v>
      </c>
      <c r="AN1086" t="s">
        <v>862</v>
      </c>
      <c r="AO1086" t="str">
        <f t="shared" si="688"/>
        <v>a</v>
      </c>
      <c r="AP1086" t="str">
        <f t="shared" si="696"/>
        <v>d</v>
      </c>
      <c r="AQ1086" t="str">
        <f t="shared" si="697"/>
        <v/>
      </c>
      <c r="AR1086" t="str">
        <f t="shared" si="698"/>
        <v>Away</v>
      </c>
      <c r="AS1086" t="str">
        <f t="shared" si="699"/>
        <v>a</v>
      </c>
      <c r="AT1086" t="str">
        <f t="shared" si="700"/>
        <v>Offensive</v>
      </c>
      <c r="BA1086" s="6">
        <f t="shared" si="689"/>
        <v>278</v>
      </c>
      <c r="BB1086">
        <f t="shared" si="690"/>
        <v>18981</v>
      </c>
      <c r="BC1086" t="str">
        <f t="shared" si="691"/>
        <v>Nelson</v>
      </c>
      <c r="BD1086" t="str">
        <f t="shared" si="692"/>
        <v>Velodrome</v>
      </c>
      <c r="BE1086" t="s">
        <v>238</v>
      </c>
      <c r="BF1086" t="s">
        <v>174</v>
      </c>
      <c r="BG1086" t="s">
        <v>86</v>
      </c>
      <c r="BI1086" cm="1">
        <f t="array" ref="BI1086">IFERROR(_xlfn._xlws.FILTER(shifts!A:A,(shifts!B:B=events!AD1086)*(shifts!AG:AG&gt;=events!BK1086)*(shifts!AH:AH&lt;=events!BL1086)),BI1085)</f>
        <v>51</v>
      </c>
      <c r="BJ1086" s="15">
        <f t="shared" si="693"/>
        <v>0</v>
      </c>
      <c r="BK1086">
        <f t="shared" si="701"/>
        <v>697</v>
      </c>
      <c r="BL1086">
        <f t="shared" si="702"/>
        <v>697</v>
      </c>
      <c r="BM1086" s="15">
        <f>SUMIFS(BJ$2:BJ1086,K$2:K1086,"=Intermission")+SUMIFS(BJ$2:BJ1086,K$2:K1086,"=Timeout")</f>
        <v>72</v>
      </c>
      <c r="BN1086">
        <f t="shared" si="703"/>
        <v>1152</v>
      </c>
      <c r="BO1086" s="19">
        <f t="shared" si="704"/>
        <v>1535</v>
      </c>
      <c r="BP1086">
        <f t="shared" si="705"/>
        <v>1530</v>
      </c>
      <c r="BQ1086" s="17">
        <f t="shared" si="706"/>
        <v>1535</v>
      </c>
      <c r="BR1086" t="str">
        <f t="shared" si="707"/>
        <v>event_team_player_1</v>
      </c>
      <c r="BS1086">
        <f>COUNTIFS(S$3:S1086,"="&amp;S1086,AI$3:AI1086,"="&amp;AI1086)</f>
        <v>1</v>
      </c>
      <c r="BT1086" t="str">
        <f>IFERROR(VLOOKUP(BB1086&amp;BU1086&amp;X1086,game_rosters!U:W,3,FALSE),"")</f>
        <v>P100001</v>
      </c>
      <c r="BU1086" t="str">
        <f t="shared" si="708"/>
        <v>Velodrome</v>
      </c>
    </row>
    <row r="1087" spans="1:73" x14ac:dyDescent="0.2">
      <c r="A1087">
        <f t="shared" si="694"/>
        <v>1</v>
      </c>
      <c r="J1087" s="44" t="str">
        <f t="shared" si="709"/>
        <v>o</v>
      </c>
      <c r="K1087" t="s">
        <v>238</v>
      </c>
      <c r="L1087" t="s">
        <v>174</v>
      </c>
      <c r="M1087" t="s">
        <v>86</v>
      </c>
      <c r="S1087">
        <v>593</v>
      </c>
      <c r="W1087" t="str">
        <f t="shared" si="685"/>
        <v>a</v>
      </c>
      <c r="X1087">
        <v>91</v>
      </c>
      <c r="Y1087" t="e">
        <f>IF(X1087&lt;&gt;"",VLOOKUP(X1087,game_rosters!$C$43:$E$64,3,FALSE))</f>
        <v>#N/A</v>
      </c>
      <c r="Z1087" cm="1">
        <f t="array" ref="Z1087">IFERROR(IF(_xlfn._xlws.FILTER(game_rosters!$J:$J,(game_rosters!$G:$G=events!$AN1087)*(game_rosters!$J:$J=events!$X1087))&gt;0,1,""),"")</f>
        <v>1</v>
      </c>
      <c r="AA1087">
        <f t="shared" si="733"/>
        <v>1593</v>
      </c>
      <c r="AB1087" t="str">
        <f t="shared" si="734"/>
        <v/>
      </c>
      <c r="AC1087">
        <f t="shared" si="682"/>
        <v>1593</v>
      </c>
      <c r="AD1087" s="6">
        <v>2</v>
      </c>
      <c r="AE1087" t="s">
        <v>754</v>
      </c>
      <c r="AF1087" t="s">
        <v>928</v>
      </c>
      <c r="AG1087" t="s">
        <v>756</v>
      </c>
      <c r="AH1087" t="s">
        <v>756</v>
      </c>
      <c r="AI1087" t="s">
        <v>367</v>
      </c>
      <c r="AJ1087" t="str">
        <f t="shared" ref="AJ1087:AK1087" si="769">IF($J1087&lt;&gt;"",$J1087,IF($AC1087=$AC1086,AJ1086,""))</f>
        <v>o</v>
      </c>
      <c r="AK1087" t="str">
        <f t="shared" si="769"/>
        <v>o</v>
      </c>
      <c r="AL1087" t="str">
        <f t="shared" si="687"/>
        <v>d</v>
      </c>
      <c r="AN1087" t="s">
        <v>862</v>
      </c>
      <c r="AO1087" t="str">
        <f t="shared" si="688"/>
        <v>a</v>
      </c>
      <c r="AP1087" t="str">
        <f t="shared" si="696"/>
        <v>d</v>
      </c>
      <c r="AQ1087" t="str">
        <f t="shared" si="697"/>
        <v/>
      </c>
      <c r="AR1087" t="str">
        <f t="shared" si="698"/>
        <v>Away</v>
      </c>
      <c r="AS1087" t="str">
        <f t="shared" si="699"/>
        <v>a</v>
      </c>
      <c r="AT1087" t="str">
        <f t="shared" si="700"/>
        <v>Offensive</v>
      </c>
      <c r="BA1087" s="6">
        <f t="shared" si="689"/>
        <v>279</v>
      </c>
      <c r="BB1087">
        <f t="shared" si="690"/>
        <v>18981</v>
      </c>
      <c r="BC1087" t="str">
        <f t="shared" si="691"/>
        <v>Nelson</v>
      </c>
      <c r="BD1087" t="str">
        <f t="shared" si="692"/>
        <v>Velodrome</v>
      </c>
      <c r="BE1087" t="s">
        <v>238</v>
      </c>
      <c r="BF1087" t="s">
        <v>174</v>
      </c>
      <c r="BG1087" t="s">
        <v>86</v>
      </c>
      <c r="BI1087" cm="1">
        <f t="array" ref="BI1087">IFERROR(_xlfn._xlws.FILTER(shifts!A:A,(shifts!B:B=events!AD1087)*(shifts!AG:AG&gt;=events!BK1087)*(shifts!AH:AH&lt;=events!BL1087)),BI1086)</f>
        <v>51</v>
      </c>
      <c r="BJ1087" s="15">
        <f t="shared" si="693"/>
        <v>0</v>
      </c>
      <c r="BK1087">
        <f t="shared" si="701"/>
        <v>697</v>
      </c>
      <c r="BL1087">
        <f t="shared" si="702"/>
        <v>697</v>
      </c>
      <c r="BM1087" s="15">
        <f>SUMIFS(BJ$2:BJ1087,K$2:K1087,"=Intermission")+SUMIFS(BJ$2:BJ1087,K$2:K1087,"=Timeout")</f>
        <v>72</v>
      </c>
      <c r="BN1087">
        <f t="shared" si="703"/>
        <v>1152</v>
      </c>
      <c r="BO1087" s="19">
        <f t="shared" si="704"/>
        <v>1535</v>
      </c>
      <c r="BP1087">
        <f t="shared" si="705"/>
        <v>1530</v>
      </c>
      <c r="BQ1087" s="17">
        <f t="shared" si="706"/>
        <v>1535</v>
      </c>
      <c r="BR1087" t="str">
        <f t="shared" si="707"/>
        <v>event_team_player_2</v>
      </c>
      <c r="BS1087">
        <f>COUNTIFS(S$3:S1087,"="&amp;S1087,AI$3:AI1087,"="&amp;AI1087)</f>
        <v>2</v>
      </c>
      <c r="BT1087" t="str">
        <f>IFERROR(VLOOKUP(BB1087&amp;BU1087&amp;X1087,game_rosters!U:W,3,FALSE),"")</f>
        <v>P100002</v>
      </c>
      <c r="BU1087" t="str">
        <f t="shared" si="708"/>
        <v>Velodrome</v>
      </c>
    </row>
    <row r="1088" spans="1:73" x14ac:dyDescent="0.2">
      <c r="A1088">
        <f t="shared" si="694"/>
        <v>1</v>
      </c>
      <c r="J1088" s="44" t="str">
        <f t="shared" si="709"/>
        <v>o</v>
      </c>
      <c r="K1088" t="s">
        <v>238</v>
      </c>
      <c r="L1088" t="s">
        <v>174</v>
      </c>
      <c r="M1088" t="s">
        <v>86</v>
      </c>
      <c r="S1088">
        <v>593</v>
      </c>
      <c r="W1088" t="str">
        <f t="shared" si="685"/>
        <v>a</v>
      </c>
      <c r="X1088">
        <v>24</v>
      </c>
      <c r="Y1088" t="e">
        <f>IF(X1088&lt;&gt;"",VLOOKUP(X1088,game_rosters!$C$43:$E$64,3,FALSE))</f>
        <v>#N/A</v>
      </c>
      <c r="Z1088" cm="1">
        <f t="array" ref="Z1088">IFERROR(IF(_xlfn._xlws.FILTER(game_rosters!$J:$J,(game_rosters!$G:$G=events!$AN1088)*(game_rosters!$J:$J=events!$X1088))&gt;0,1,""),"")</f>
        <v>1</v>
      </c>
      <c r="AA1088">
        <f t="shared" si="733"/>
        <v>1593</v>
      </c>
      <c r="AB1088" t="str">
        <f t="shared" si="734"/>
        <v/>
      </c>
      <c r="AC1088">
        <f t="shared" si="682"/>
        <v>1593</v>
      </c>
      <c r="AD1088" s="6">
        <v>2</v>
      </c>
      <c r="AE1088" t="s">
        <v>754</v>
      </c>
      <c r="AF1088" t="s">
        <v>928</v>
      </c>
      <c r="AG1088" t="s">
        <v>756</v>
      </c>
      <c r="AH1088" t="s">
        <v>756</v>
      </c>
      <c r="AI1088" t="s">
        <v>367</v>
      </c>
      <c r="AJ1088" t="str">
        <f t="shared" ref="AJ1088:AK1088" si="770">IF($J1088&lt;&gt;"",$J1088,IF($AC1088=$AC1087,AJ1087,""))</f>
        <v>o</v>
      </c>
      <c r="AK1088" t="str">
        <f t="shared" si="770"/>
        <v>o</v>
      </c>
      <c r="AL1088" t="str">
        <f t="shared" si="687"/>
        <v>d</v>
      </c>
      <c r="AN1088" t="s">
        <v>862</v>
      </c>
      <c r="AO1088" t="str">
        <f t="shared" si="688"/>
        <v>a</v>
      </c>
      <c r="AP1088" t="str">
        <f t="shared" si="696"/>
        <v>d</v>
      </c>
      <c r="AQ1088" t="str">
        <f t="shared" si="697"/>
        <v/>
      </c>
      <c r="AR1088" t="str">
        <f t="shared" si="698"/>
        <v>Away</v>
      </c>
      <c r="AS1088" t="str">
        <f t="shared" si="699"/>
        <v>a</v>
      </c>
      <c r="AT1088" t="str">
        <f t="shared" si="700"/>
        <v>Offensive</v>
      </c>
      <c r="BA1088" s="6">
        <f t="shared" si="689"/>
        <v>280</v>
      </c>
      <c r="BB1088">
        <f t="shared" si="690"/>
        <v>18981</v>
      </c>
      <c r="BC1088" t="str">
        <f t="shared" si="691"/>
        <v>Nelson</v>
      </c>
      <c r="BD1088" t="str">
        <f t="shared" si="692"/>
        <v>Velodrome</v>
      </c>
      <c r="BE1088" t="s">
        <v>238</v>
      </c>
      <c r="BF1088" t="s">
        <v>174</v>
      </c>
      <c r="BG1088" t="s">
        <v>86</v>
      </c>
      <c r="BI1088" cm="1">
        <f t="array" ref="BI1088">IFERROR(_xlfn._xlws.FILTER(shifts!A:A,(shifts!B:B=events!AD1088)*(shifts!AG:AG&gt;=events!BK1088)*(shifts!AH:AH&lt;=events!BL1088)),BI1087)</f>
        <v>51</v>
      </c>
      <c r="BJ1088" s="15">
        <f t="shared" si="693"/>
        <v>0</v>
      </c>
      <c r="BK1088">
        <f t="shared" si="701"/>
        <v>697</v>
      </c>
      <c r="BL1088">
        <f t="shared" si="702"/>
        <v>697</v>
      </c>
      <c r="BM1088" s="15">
        <f>SUMIFS(BJ$2:BJ1088,K$2:K1088,"=Intermission")+SUMIFS(BJ$2:BJ1088,K$2:K1088,"=Timeout")</f>
        <v>72</v>
      </c>
      <c r="BN1088">
        <f t="shared" si="703"/>
        <v>1152</v>
      </c>
      <c r="BO1088" s="19">
        <f t="shared" si="704"/>
        <v>1535</v>
      </c>
      <c r="BP1088">
        <f t="shared" si="705"/>
        <v>1530</v>
      </c>
      <c r="BQ1088" s="17">
        <f t="shared" si="706"/>
        <v>1535</v>
      </c>
      <c r="BR1088" t="str">
        <f t="shared" si="707"/>
        <v>event_team_player_3</v>
      </c>
      <c r="BS1088">
        <f>COUNTIFS(S$3:S1088,"="&amp;S1088,AI$3:AI1088,"="&amp;AI1088)</f>
        <v>3</v>
      </c>
      <c r="BT1088" t="str">
        <f>IFERROR(VLOOKUP(BB1088&amp;BU1088&amp;X1088,game_rosters!U:W,3,FALSE),"")</f>
        <v>P100230</v>
      </c>
      <c r="BU1088" t="str">
        <f t="shared" si="708"/>
        <v>Velodrome</v>
      </c>
    </row>
    <row r="1089" spans="1:73" x14ac:dyDescent="0.2">
      <c r="A1089">
        <f t="shared" si="694"/>
        <v>1</v>
      </c>
      <c r="J1089" s="44" t="str">
        <f t="shared" si="709"/>
        <v>o</v>
      </c>
      <c r="K1089" t="s">
        <v>238</v>
      </c>
      <c r="L1089" t="s">
        <v>174</v>
      </c>
      <c r="M1089" t="s">
        <v>86</v>
      </c>
      <c r="S1089">
        <v>593</v>
      </c>
      <c r="W1089" t="str">
        <f t="shared" si="685"/>
        <v>a</v>
      </c>
      <c r="X1089">
        <v>80</v>
      </c>
      <c r="Y1089" t="b">
        <f>IF(X1089&lt;&gt;"",VLOOKUP(X1089,game_rosters!$C$43:$E$64,3,FALSE))</f>
        <v>0</v>
      </c>
      <c r="Z1089" t="str" cm="1">
        <f t="array" ref="Z1089">IFERROR(IF(_xlfn._xlws.FILTER(game_rosters!$J:$J,(game_rosters!$G:$G=events!$AN1089)*(game_rosters!$J:$J=events!$X1089))&gt;0,1,""),"")</f>
        <v/>
      </c>
      <c r="AA1089">
        <f t="shared" si="733"/>
        <v>1593</v>
      </c>
      <c r="AB1089" t="str">
        <f t="shared" si="734"/>
        <v/>
      </c>
      <c r="AC1089">
        <f t="shared" si="682"/>
        <v>1593</v>
      </c>
      <c r="AD1089" s="6">
        <v>2</v>
      </c>
      <c r="AE1089" t="s">
        <v>754</v>
      </c>
      <c r="AF1089" t="s">
        <v>928</v>
      </c>
      <c r="AG1089" t="s">
        <v>756</v>
      </c>
      <c r="AH1089" t="s">
        <v>756</v>
      </c>
      <c r="AI1089" t="s">
        <v>368</v>
      </c>
      <c r="AJ1089" t="str">
        <f t="shared" ref="AJ1089:AK1089" si="771">IF($J1089&lt;&gt;"",$J1089,IF($AC1089=$AC1088,AJ1088,""))</f>
        <v>o</v>
      </c>
      <c r="AK1089" t="str">
        <f t="shared" si="771"/>
        <v>o</v>
      </c>
      <c r="AL1089" t="str">
        <f t="shared" si="687"/>
        <v>d</v>
      </c>
      <c r="AN1089" t="s">
        <v>862</v>
      </c>
      <c r="AO1089" t="str">
        <f t="shared" si="688"/>
        <v>a</v>
      </c>
      <c r="AP1089" t="str">
        <f t="shared" si="696"/>
        <v>d</v>
      </c>
      <c r="AQ1089" t="str">
        <f t="shared" si="697"/>
        <v/>
      </c>
      <c r="AR1089" t="str">
        <f t="shared" si="698"/>
        <v>Away</v>
      </c>
      <c r="AS1089" t="str">
        <f t="shared" si="699"/>
        <v>a</v>
      </c>
      <c r="AT1089" t="str">
        <f t="shared" si="700"/>
        <v>Defensive</v>
      </c>
      <c r="BA1089" s="6">
        <f t="shared" si="689"/>
        <v>281</v>
      </c>
      <c r="BB1089">
        <f t="shared" si="690"/>
        <v>18981</v>
      </c>
      <c r="BC1089" t="str">
        <f t="shared" si="691"/>
        <v>Nelson</v>
      </c>
      <c r="BD1089" t="str">
        <f t="shared" si="692"/>
        <v>Velodrome</v>
      </c>
      <c r="BE1089" t="s">
        <v>238</v>
      </c>
      <c r="BF1089" t="s">
        <v>174</v>
      </c>
      <c r="BG1089" t="s">
        <v>86</v>
      </c>
      <c r="BI1089" cm="1">
        <f t="array" ref="BI1089">IFERROR(_xlfn._xlws.FILTER(shifts!A:A,(shifts!B:B=events!AD1089)*(shifts!AG:AG&gt;=events!BK1089)*(shifts!AH:AH&lt;=events!BL1089)),BI1088)</f>
        <v>51</v>
      </c>
      <c r="BJ1089" s="15">
        <f t="shared" si="693"/>
        <v>0</v>
      </c>
      <c r="BK1089">
        <f t="shared" si="701"/>
        <v>697</v>
      </c>
      <c r="BL1089">
        <f t="shared" si="702"/>
        <v>697</v>
      </c>
      <c r="BM1089" s="15">
        <f>SUMIFS(BJ$2:BJ1089,K$2:K1089,"=Intermission")+SUMIFS(BJ$2:BJ1089,K$2:K1089,"=Timeout")</f>
        <v>72</v>
      </c>
      <c r="BN1089">
        <f t="shared" si="703"/>
        <v>1152</v>
      </c>
      <c r="BO1089" s="19">
        <f t="shared" si="704"/>
        <v>1535</v>
      </c>
      <c r="BP1089">
        <f t="shared" si="705"/>
        <v>1530</v>
      </c>
      <c r="BQ1089" s="17">
        <f t="shared" si="706"/>
        <v>1535</v>
      </c>
      <c r="BR1089" t="str">
        <f t="shared" si="707"/>
        <v>opp_team_player_1</v>
      </c>
      <c r="BS1089">
        <f>COUNTIFS(S$3:S1089,"="&amp;S1089,AI$3:AI1089,"="&amp;AI1089)</f>
        <v>1</v>
      </c>
      <c r="BT1089" t="str">
        <f>IFERROR(VLOOKUP(BB1089&amp;BU1089&amp;X1089,game_rosters!U:W,3,FALSE),"")</f>
        <v>P100197</v>
      </c>
      <c r="BU1089" t="str">
        <f t="shared" si="708"/>
        <v>Nelson</v>
      </c>
    </row>
    <row r="1090" spans="1:73" x14ac:dyDescent="0.2">
      <c r="A1090">
        <f t="shared" si="694"/>
        <v>1</v>
      </c>
      <c r="J1090" s="44" t="str">
        <f t="shared" si="709"/>
        <v>o</v>
      </c>
      <c r="K1090" t="s">
        <v>238</v>
      </c>
      <c r="L1090" t="s">
        <v>174</v>
      </c>
      <c r="M1090" t="s">
        <v>86</v>
      </c>
      <c r="S1090">
        <v>593</v>
      </c>
      <c r="W1090" t="str">
        <f t="shared" si="685"/>
        <v>a</v>
      </c>
      <c r="X1090">
        <v>8</v>
      </c>
      <c r="Y1090" t="b">
        <f>IF(X1090&lt;&gt;"",VLOOKUP(X1090,game_rosters!$C$43:$E$64,3,FALSE))</f>
        <v>0</v>
      </c>
      <c r="Z1090" t="str" cm="1">
        <f t="array" ref="Z1090">IFERROR(IF(_xlfn._xlws.FILTER(game_rosters!$J:$J,(game_rosters!$G:$G=events!$AN1090)*(game_rosters!$J:$J=events!$X1090))&gt;0,1,""),"")</f>
        <v/>
      </c>
      <c r="AA1090">
        <f t="shared" si="733"/>
        <v>1593</v>
      </c>
      <c r="AB1090" t="str">
        <f t="shared" si="734"/>
        <v/>
      </c>
      <c r="AC1090">
        <f t="shared" ref="AC1090:AC1153" si="772">IF(AB1090&lt;&gt;"",AB1090,S1090+1000)</f>
        <v>1593</v>
      </c>
      <c r="AD1090" s="6">
        <v>2</v>
      </c>
      <c r="AE1090" t="s">
        <v>754</v>
      </c>
      <c r="AF1090" t="s">
        <v>928</v>
      </c>
      <c r="AG1090" t="s">
        <v>756</v>
      </c>
      <c r="AH1090" t="s">
        <v>756</v>
      </c>
      <c r="AI1090" t="s">
        <v>368</v>
      </c>
      <c r="AJ1090" t="str">
        <f t="shared" ref="AJ1090:AK1090" si="773">IF($J1090&lt;&gt;"",$J1090,IF($AC1090=$AC1089,AJ1089,""))</f>
        <v>o</v>
      </c>
      <c r="AK1090" t="str">
        <f t="shared" si="773"/>
        <v>o</v>
      </c>
      <c r="AL1090" t="str">
        <f t="shared" si="687"/>
        <v>d</v>
      </c>
      <c r="AN1090" t="s">
        <v>862</v>
      </c>
      <c r="AO1090" t="str">
        <f t="shared" si="688"/>
        <v>a</v>
      </c>
      <c r="AP1090" t="str">
        <f t="shared" si="696"/>
        <v>d</v>
      </c>
      <c r="AQ1090" t="str">
        <f t="shared" si="697"/>
        <v/>
      </c>
      <c r="AR1090" t="str">
        <f t="shared" si="698"/>
        <v>Away</v>
      </c>
      <c r="AS1090" t="str">
        <f t="shared" si="699"/>
        <v>a</v>
      </c>
      <c r="AT1090" t="str">
        <f t="shared" si="700"/>
        <v>Defensive</v>
      </c>
      <c r="BA1090" s="6">
        <f t="shared" si="689"/>
        <v>282</v>
      </c>
      <c r="BB1090">
        <f t="shared" si="690"/>
        <v>18981</v>
      </c>
      <c r="BC1090" t="str">
        <f t="shared" si="691"/>
        <v>Nelson</v>
      </c>
      <c r="BD1090" t="str">
        <f t="shared" si="692"/>
        <v>Velodrome</v>
      </c>
      <c r="BE1090" t="s">
        <v>238</v>
      </c>
      <c r="BF1090" t="s">
        <v>174</v>
      </c>
      <c r="BG1090" t="s">
        <v>86</v>
      </c>
      <c r="BI1090" cm="1">
        <f t="array" ref="BI1090">IFERROR(_xlfn._xlws.FILTER(shifts!A:A,(shifts!B:B=events!AD1090)*(shifts!AG:AG&gt;=events!BK1090)*(shifts!AH:AH&lt;=events!BL1090)),BI1089)</f>
        <v>51</v>
      </c>
      <c r="BJ1090" s="15">
        <f t="shared" si="693"/>
        <v>0</v>
      </c>
      <c r="BK1090">
        <f t="shared" si="701"/>
        <v>697</v>
      </c>
      <c r="BL1090">
        <f t="shared" si="702"/>
        <v>697</v>
      </c>
      <c r="BM1090" s="15">
        <f>SUMIFS(BJ$2:BJ1090,K$2:K1090,"=Intermission")+SUMIFS(BJ$2:BJ1090,K$2:K1090,"=Timeout")</f>
        <v>72</v>
      </c>
      <c r="BN1090">
        <f t="shared" si="703"/>
        <v>1152</v>
      </c>
      <c r="BO1090" s="19">
        <f t="shared" si="704"/>
        <v>1535</v>
      </c>
      <c r="BP1090">
        <f t="shared" si="705"/>
        <v>1530</v>
      </c>
      <c r="BQ1090" s="17">
        <f t="shared" si="706"/>
        <v>1535</v>
      </c>
      <c r="BR1090" t="str">
        <f t="shared" si="707"/>
        <v>opp_team_player_2</v>
      </c>
      <c r="BS1090">
        <f>COUNTIFS(S$3:S1090,"="&amp;S1090,AI$3:AI1090,"="&amp;AI1090)</f>
        <v>2</v>
      </c>
      <c r="BT1090" t="str">
        <f>IFERROR(VLOOKUP(BB1090&amp;BU1090&amp;X1090,game_rosters!U:W,3,FALSE),"")</f>
        <v>P100074</v>
      </c>
      <c r="BU1090" t="str">
        <f t="shared" si="708"/>
        <v>Nelson</v>
      </c>
    </row>
    <row r="1091" spans="1:73" x14ac:dyDescent="0.2">
      <c r="A1091">
        <f t="shared" si="694"/>
        <v>1</v>
      </c>
      <c r="J1091" s="44" t="str">
        <f t="shared" si="709"/>
        <v/>
      </c>
      <c r="K1091" t="s">
        <v>13</v>
      </c>
      <c r="L1091" t="s">
        <v>756</v>
      </c>
      <c r="M1091" t="s">
        <v>756</v>
      </c>
      <c r="S1091">
        <v>594</v>
      </c>
      <c r="W1091" t="str">
        <f t="shared" si="685"/>
        <v>a</v>
      </c>
      <c r="X1091">
        <v>91</v>
      </c>
      <c r="Y1091" t="e">
        <f>IF(X1091&lt;&gt;"",VLOOKUP(X1091,game_rosters!$C$43:$E$64,3,FALSE))</f>
        <v>#N/A</v>
      </c>
      <c r="Z1091" cm="1">
        <f t="array" ref="Z1091">IFERROR(IF(_xlfn._xlws.FILTER(game_rosters!$J:$J,(game_rosters!$G:$G=events!$AN1091)*(game_rosters!$J:$J=events!$X1091))&gt;0,1,""),"")</f>
        <v>1</v>
      </c>
      <c r="AA1091">
        <f t="shared" si="733"/>
        <v>1594</v>
      </c>
      <c r="AB1091" t="str">
        <f t="shared" si="734"/>
        <v/>
      </c>
      <c r="AC1091">
        <f t="shared" si="772"/>
        <v>1594</v>
      </c>
      <c r="AD1091" s="6">
        <v>2</v>
      </c>
      <c r="AE1091" t="s">
        <v>754</v>
      </c>
      <c r="AF1091" t="s">
        <v>928</v>
      </c>
      <c r="AG1091" t="s">
        <v>754</v>
      </c>
      <c r="AH1091" t="s">
        <v>750</v>
      </c>
      <c r="AI1091" t="s">
        <v>367</v>
      </c>
      <c r="AJ1091" t="str">
        <f t="shared" ref="AJ1091:AK1091" si="774">IF($J1091&lt;&gt;"",$J1091,IF($AC1091=$AC1090,AJ1090,""))</f>
        <v/>
      </c>
      <c r="AK1091" t="str">
        <f t="shared" si="774"/>
        <v/>
      </c>
      <c r="AL1091" t="str">
        <f t="shared" si="687"/>
        <v/>
      </c>
      <c r="AN1091" t="s">
        <v>862</v>
      </c>
      <c r="AO1091" t="str">
        <f t="shared" si="688"/>
        <v>a</v>
      </c>
      <c r="AP1091" t="str">
        <f t="shared" si="696"/>
        <v/>
      </c>
      <c r="AQ1091" t="str">
        <f t="shared" si="697"/>
        <v/>
      </c>
      <c r="AR1091" t="str">
        <f t="shared" si="698"/>
        <v>Away</v>
      </c>
      <c r="AS1091" t="str">
        <f t="shared" si="699"/>
        <v>a</v>
      </c>
      <c r="AT1091" t="str">
        <f t="shared" si="700"/>
        <v>Offensive</v>
      </c>
      <c r="BA1091" s="6">
        <f t="shared" si="689"/>
        <v>282</v>
      </c>
      <c r="BB1091">
        <f t="shared" si="690"/>
        <v>18981</v>
      </c>
      <c r="BC1091" t="str">
        <f t="shared" si="691"/>
        <v>Nelson</v>
      </c>
      <c r="BD1091" t="str">
        <f t="shared" si="692"/>
        <v>Velodrome</v>
      </c>
      <c r="BE1091" t="s">
        <v>13</v>
      </c>
      <c r="BF1091" t="s">
        <v>756</v>
      </c>
      <c r="BG1091" t="s">
        <v>756</v>
      </c>
      <c r="BI1091" cm="1">
        <f t="array" ref="BI1091">IFERROR(_xlfn._xlws.FILTER(shifts!A:A,(shifts!B:B=events!AD1091)*(shifts!AG:AG&gt;=events!BK1091)*(shifts!AH:AH&lt;=events!BL1091)),BI1090)</f>
        <v>51</v>
      </c>
      <c r="BJ1091" s="15">
        <f t="shared" si="693"/>
        <v>2</v>
      </c>
      <c r="BK1091">
        <f t="shared" si="701"/>
        <v>697</v>
      </c>
      <c r="BL1091">
        <f t="shared" si="702"/>
        <v>695</v>
      </c>
      <c r="BM1091" s="15">
        <f>SUMIFS(BJ$2:BJ1091,K$2:K1091,"=Intermission")+SUMIFS(BJ$2:BJ1091,K$2:K1091,"=Timeout")</f>
        <v>72</v>
      </c>
      <c r="BN1091">
        <f t="shared" si="703"/>
        <v>1152</v>
      </c>
      <c r="BO1091" s="19">
        <f t="shared" si="704"/>
        <v>1535</v>
      </c>
      <c r="BP1091">
        <f t="shared" si="705"/>
        <v>1530</v>
      </c>
      <c r="BQ1091" s="17">
        <f t="shared" si="706"/>
        <v>1537</v>
      </c>
      <c r="BR1091" t="str">
        <f t="shared" si="707"/>
        <v>event_team_player_1</v>
      </c>
      <c r="BS1091">
        <f>COUNTIFS(S$3:S1091,"="&amp;S1091,AI$3:AI1091,"="&amp;AI1091)</f>
        <v>1</v>
      </c>
      <c r="BT1091" t="str">
        <f>IFERROR(VLOOKUP(BB1091&amp;BU1091&amp;X1091,game_rosters!U:W,3,FALSE),"")</f>
        <v>P100002</v>
      </c>
      <c r="BU1091" t="str">
        <f t="shared" si="708"/>
        <v>Velodrome</v>
      </c>
    </row>
    <row r="1092" spans="1:73" x14ac:dyDescent="0.2">
      <c r="A1092">
        <f t="shared" si="694"/>
        <v>1</v>
      </c>
      <c r="J1092" s="44" t="str">
        <f t="shared" si="709"/>
        <v/>
      </c>
      <c r="K1092" t="s">
        <v>13</v>
      </c>
      <c r="L1092" t="s">
        <v>756</v>
      </c>
      <c r="M1092" t="s">
        <v>756</v>
      </c>
      <c r="S1092">
        <v>594</v>
      </c>
      <c r="W1092" t="str">
        <f t="shared" ref="W1092:W1155" si="775">IF(AN1092="Away","a",IF(AN1092="Home","h",""))</f>
        <v>a</v>
      </c>
      <c r="X1092">
        <v>80</v>
      </c>
      <c r="Y1092" t="b">
        <f>IF(X1092&lt;&gt;"",VLOOKUP(X1092,game_rosters!$C$43:$E$64,3,FALSE))</f>
        <v>0</v>
      </c>
      <c r="Z1092" t="str" cm="1">
        <f t="array" ref="Z1092">IFERROR(IF(_xlfn._xlws.FILTER(game_rosters!$J:$J,(game_rosters!$G:$G=events!$AN1092)*(game_rosters!$J:$J=events!$X1092))&gt;0,1,""),"")</f>
        <v/>
      </c>
      <c r="AA1092">
        <f t="shared" si="733"/>
        <v>1594</v>
      </c>
      <c r="AB1092" t="str">
        <f t="shared" si="734"/>
        <v/>
      </c>
      <c r="AC1092">
        <f t="shared" si="772"/>
        <v>1594</v>
      </c>
      <c r="AD1092" s="6">
        <v>2</v>
      </c>
      <c r="AE1092" t="s">
        <v>754</v>
      </c>
      <c r="AF1092" t="s">
        <v>928</v>
      </c>
      <c r="AG1092" t="s">
        <v>754</v>
      </c>
      <c r="AH1092" t="s">
        <v>750</v>
      </c>
      <c r="AI1092" t="s">
        <v>368</v>
      </c>
      <c r="AJ1092" t="str">
        <f t="shared" ref="AJ1092:AK1092" si="776">IF($J1092&lt;&gt;"",$J1092,IF($AC1092=$AC1091,AJ1091,""))</f>
        <v/>
      </c>
      <c r="AK1092" t="str">
        <f t="shared" si="776"/>
        <v/>
      </c>
      <c r="AL1092" t="str">
        <f t="shared" ref="AL1092:AL1155" si="777">IF($W1092="","",IF($AJ1092="","",IF($W1092="h",$AJ1092,IF($AJ1092="n","n",IF(AND($W1092="a",$AJ1092="d"),"o",IF(AND($W1092="a",$AJ1092="o"),"d"))))))</f>
        <v/>
      </c>
      <c r="AN1092" t="s">
        <v>862</v>
      </c>
      <c r="AO1092" t="str">
        <f t="shared" ref="AO1092:AO1155" si="778">IF($W1092&lt;&gt;"",$W1092,IF($AC1092=$AC1091,AO1091,""))</f>
        <v>a</v>
      </c>
      <c r="AP1092" t="str">
        <f t="shared" si="696"/>
        <v/>
      </c>
      <c r="AQ1092" t="str">
        <f t="shared" si="697"/>
        <v/>
      </c>
      <c r="AR1092" t="str">
        <f t="shared" si="698"/>
        <v>Away</v>
      </c>
      <c r="AS1092" t="str">
        <f t="shared" si="699"/>
        <v>a</v>
      </c>
      <c r="AT1092" t="str">
        <f t="shared" si="700"/>
        <v>Defensive</v>
      </c>
      <c r="BA1092" s="6">
        <f t="shared" ref="BA1092:BA1155" si="779">IF(OR(L1092="Zone_Entry",L1092="Zone_Exit"),BA1091+1,BA1091)</f>
        <v>282</v>
      </c>
      <c r="BB1092">
        <f t="shared" ref="BB1092:BB1155" si="780">BB1091</f>
        <v>18981</v>
      </c>
      <c r="BC1092" t="str">
        <f t="shared" ref="BC1092:BC1155" si="781">BC1091</f>
        <v>Nelson</v>
      </c>
      <c r="BD1092" t="str">
        <f t="shared" ref="BD1092:BD1155" si="782">BD1091</f>
        <v>Velodrome</v>
      </c>
      <c r="BE1092" t="s">
        <v>13</v>
      </c>
      <c r="BF1092" t="s">
        <v>756</v>
      </c>
      <c r="BG1092" t="s">
        <v>756</v>
      </c>
      <c r="BI1092" cm="1">
        <f t="array" ref="BI1092">IFERROR(_xlfn._xlws.FILTER(shifts!A:A,(shifts!B:B=events!AD1092)*(shifts!AG:AG&gt;=events!BK1092)*(shifts!AH:AH&lt;=events!BL1092)),BI1091)</f>
        <v>51</v>
      </c>
      <c r="BJ1092" s="15">
        <f t="shared" ref="BJ1092:BJ1155" si="783">IF(AND(AG1092="",AH1092=""),0,((AE1092*60)+AF1092)-((AG1092*60)+AH1092))</f>
        <v>2</v>
      </c>
      <c r="BK1092">
        <f t="shared" si="701"/>
        <v>697</v>
      </c>
      <c r="BL1092">
        <f t="shared" si="702"/>
        <v>695</v>
      </c>
      <c r="BM1092" s="15">
        <f>SUMIFS(BJ$2:BJ1092,K$2:K1092,"=Intermission")+SUMIFS(BJ$2:BJ1092,K$2:K1092,"=Timeout")</f>
        <v>72</v>
      </c>
      <c r="BN1092">
        <f t="shared" si="703"/>
        <v>1152</v>
      </c>
      <c r="BO1092" s="19">
        <f t="shared" si="704"/>
        <v>1535</v>
      </c>
      <c r="BP1092">
        <f t="shared" si="705"/>
        <v>1530</v>
      </c>
      <c r="BQ1092" s="17">
        <f t="shared" si="706"/>
        <v>1537</v>
      </c>
      <c r="BR1092" t="str">
        <f t="shared" si="707"/>
        <v>opp_team_player_1</v>
      </c>
      <c r="BS1092">
        <f>COUNTIFS(S$3:S1092,"="&amp;S1092,AI$3:AI1092,"="&amp;AI1092)</f>
        <v>1</v>
      </c>
      <c r="BT1092" t="str">
        <f>IFERROR(VLOOKUP(BB1092&amp;BU1092&amp;X1092,game_rosters!U:W,3,FALSE),"")</f>
        <v>P100197</v>
      </c>
      <c r="BU1092" t="str">
        <f t="shared" si="708"/>
        <v>Nelson</v>
      </c>
    </row>
    <row r="1093" spans="1:73" x14ac:dyDescent="0.2">
      <c r="A1093">
        <f t="shared" ref="A1093:A1156" si="784">IF(K1093&lt;&gt;"",1,IF(D1093="x","x",""))</f>
        <v>1</v>
      </c>
      <c r="J1093" s="44" t="str">
        <f t="shared" si="709"/>
        <v/>
      </c>
      <c r="K1093" t="s">
        <v>7</v>
      </c>
      <c r="L1093" t="s">
        <v>182</v>
      </c>
      <c r="M1093" t="s">
        <v>67</v>
      </c>
      <c r="S1093">
        <v>595</v>
      </c>
      <c r="W1093" t="str">
        <f t="shared" si="775"/>
        <v>a</v>
      </c>
      <c r="X1093">
        <v>91</v>
      </c>
      <c r="Y1093" t="e">
        <f>IF(X1093&lt;&gt;"",VLOOKUP(X1093,game_rosters!$C$43:$E$64,3,FALSE))</f>
        <v>#N/A</v>
      </c>
      <c r="Z1093" cm="1">
        <f t="array" ref="Z1093">IFERROR(IF(_xlfn._xlws.FILTER(game_rosters!$J:$J,(game_rosters!$G:$G=events!$AN1093)*(game_rosters!$J:$J=events!$X1093))&gt;0,1,""),"")</f>
        <v>1</v>
      </c>
      <c r="AA1093">
        <f t="shared" si="733"/>
        <v>1595</v>
      </c>
      <c r="AB1093" t="str">
        <f t="shared" si="734"/>
        <v/>
      </c>
      <c r="AC1093">
        <f t="shared" si="772"/>
        <v>1595</v>
      </c>
      <c r="AD1093" s="6">
        <v>2</v>
      </c>
      <c r="AE1093" t="s">
        <v>754</v>
      </c>
      <c r="AF1093" t="s">
        <v>750</v>
      </c>
      <c r="AG1093" t="s">
        <v>756</v>
      </c>
      <c r="AH1093" t="s">
        <v>756</v>
      </c>
      <c r="AI1093" t="s">
        <v>367</v>
      </c>
      <c r="AJ1093" t="str">
        <f t="shared" ref="AJ1093:AK1093" si="785">IF($J1093&lt;&gt;"",$J1093,IF($AC1093=$AC1092,AJ1092,""))</f>
        <v/>
      </c>
      <c r="AK1093" t="str">
        <f t="shared" si="785"/>
        <v/>
      </c>
      <c r="AL1093" t="str">
        <f t="shared" si="777"/>
        <v/>
      </c>
      <c r="AN1093" t="s">
        <v>862</v>
      </c>
      <c r="AO1093" t="str">
        <f t="shared" si="778"/>
        <v>a</v>
      </c>
      <c r="AP1093" t="str">
        <f t="shared" ref="AP1093:AP1156" si="786">IF(AL1093&lt;&gt;"",AL1093,IF($AC1093=$AC1092,AP1092,""))</f>
        <v/>
      </c>
      <c r="AQ1093" t="str">
        <f t="shared" ref="AQ1093:AQ1156" si="787">IF(AM1093&lt;&gt;"",AM1093,IF($AC1093=$AC1092,AQ1092,""))</f>
        <v/>
      </c>
      <c r="AR1093" t="str">
        <f t="shared" ref="AR1093:AR1156" si="788">IF(AN1093&lt;&gt;"",AN1093,IF($AC1093=$AC1092,AR1092,""))</f>
        <v>Away</v>
      </c>
      <c r="AS1093" t="str">
        <f t="shared" ref="AS1093:AS1156" si="789">IF(AO1093&lt;&gt;"",AO1093,IF($AC1093=$AC1092,AS1092,""))</f>
        <v>a</v>
      </c>
      <c r="AT1093" t="str">
        <f t="shared" ref="AT1093:AT1156" si="790">IF(AND(AI1093="e",OR(BE1093="Save",BF1093="Turnover_Takeaway",BF1093="Play_Defensive")),"Defensive",IF(AND(AI1093="o",OR(BE1093="Save",BF1093="Turnover_Takeaway",BF1093="Play_Defensive")),"Offensive",IF(OR(BE1093="Deadice",BE1093="Stoppage",BE1093="Intermission"),"",IF(AI1093="e","Offensive",IF(AI1093="o","Defensive","")))))</f>
        <v>Offensive</v>
      </c>
      <c r="BA1093" s="6">
        <f t="shared" si="779"/>
        <v>282</v>
      </c>
      <c r="BB1093">
        <f t="shared" si="780"/>
        <v>18981</v>
      </c>
      <c r="BC1093" t="str">
        <f t="shared" si="781"/>
        <v>Nelson</v>
      </c>
      <c r="BD1093" t="str">
        <f t="shared" si="782"/>
        <v>Velodrome</v>
      </c>
      <c r="BE1093" t="s">
        <v>7</v>
      </c>
      <c r="BF1093" t="s">
        <v>182</v>
      </c>
      <c r="BG1093" t="s">
        <v>67</v>
      </c>
      <c r="BI1093" cm="1">
        <f t="array" ref="BI1093">IFERROR(_xlfn._xlws.FILTER(shifts!A:A,(shifts!B:B=events!AD1093)*(shifts!AG:AG&gt;=events!BK1093)*(shifts!AH:AH&lt;=events!BL1093)),BI1092)</f>
        <v>51</v>
      </c>
      <c r="BJ1093" s="15">
        <f t="shared" si="783"/>
        <v>0</v>
      </c>
      <c r="BK1093">
        <f t="shared" ref="BK1093:BK1156" si="791">(AE1093*60)+AF1093</f>
        <v>695</v>
      </c>
      <c r="BL1093">
        <f t="shared" ref="BL1093:BL1156" si="792">IF(AND(AG1093="",AH1093=""),BK1093,((AG1093*60)+AH1093))</f>
        <v>695</v>
      </c>
      <c r="BM1093" s="15">
        <f>SUMIFS(BJ$2:BJ1093,K$2:K1093,"=Intermission")+SUMIFS(BJ$2:BJ1093,K$2:K1093,"=Timeout")</f>
        <v>72</v>
      </c>
      <c r="BN1093">
        <f t="shared" ref="BN1093:BN1156" si="793">IF(AD1093=1,0,IF(AD1093=2,1080+BM1093,IF(AD1093=3,(1080*2)+BM1093,0)))</f>
        <v>1152</v>
      </c>
      <c r="BO1093" s="19">
        <f t="shared" ref="BO1093:BO1156" si="794">IF(K1093="Intermission",BO1092,((1080)-((AE1093*60)+AF1093))+BN1093)</f>
        <v>1537</v>
      </c>
      <c r="BP1093">
        <f t="shared" ref="BP1093:BP1156" si="795">IF(BO1093&lt;5,0,BO1093-5)</f>
        <v>1532</v>
      </c>
      <c r="BQ1093" s="17">
        <f t="shared" ref="BQ1093:BQ1156" si="796">BP1093+BJ1093+5</f>
        <v>1537</v>
      </c>
      <c r="BR1093" t="str">
        <f t="shared" ref="BR1093:BR1156" si="797">IF(AI1093="e","event_team_player_"&amp;BS1093,IF(AI1093="o","opp_team_player_"&amp;BS1093,""))</f>
        <v>event_team_player_1</v>
      </c>
      <c r="BS1093">
        <f>COUNTIFS(S$3:S1093,"="&amp;S1093,AI$3:AI1093,"="&amp;AI1093)</f>
        <v>1</v>
      </c>
      <c r="BT1093" t="str">
        <f>IFERROR(VLOOKUP(BB1093&amp;BU1093&amp;X1093,game_rosters!U:W,3,FALSE),"")</f>
        <v>P100002</v>
      </c>
      <c r="BU1093" t="str">
        <f t="shared" ref="BU1093:BU1156" si="798">IF(AR1093="","",IF(AND(AR1093="Away",AI1093="e"),BD1093,IF(AND(AR1093="Home",AI1093="e"),BC1093,IF(AND(AR1093="Away",AI1093="o"),BC1093,IF(AND(AR1093="Home",AI1093="o"),BD1093)))))</f>
        <v>Velodrome</v>
      </c>
    </row>
    <row r="1094" spans="1:73" x14ac:dyDescent="0.2">
      <c r="A1094">
        <f t="shared" si="784"/>
        <v>1</v>
      </c>
      <c r="J1094" s="44" t="str">
        <f t="shared" ref="J1094:J1157" si="799">IF(OR(K1094="Goal",K1094="Shot",L1094="Zone_Entry",M1094="Stoppage-Goal",M1093="Stoppage-Goal"),"o",IF(OR(K1094="Save",K1094="Rebound",L1094="Zone_Exit",M1094="Stoppage-GoalieStoppage",M1093="Stoppage-GoalieStoppage"),"d",IF(OR(L1094="Faceoff_AfterGoal",L1094="Faceoff_PeriodStart",698="Faceoff_GameStart",M1093="Stoppage-Goal"),"n","")))</f>
        <v/>
      </c>
      <c r="K1094" t="s">
        <v>7</v>
      </c>
      <c r="L1094" t="s">
        <v>182</v>
      </c>
      <c r="M1094" t="s">
        <v>67</v>
      </c>
      <c r="S1094">
        <v>595</v>
      </c>
      <c r="W1094" t="str">
        <f t="shared" si="775"/>
        <v>a</v>
      </c>
      <c r="X1094">
        <v>24</v>
      </c>
      <c r="Y1094" t="e">
        <f>IF(X1094&lt;&gt;"",VLOOKUP(X1094,game_rosters!$C$43:$E$64,3,FALSE))</f>
        <v>#N/A</v>
      </c>
      <c r="Z1094" cm="1">
        <f t="array" ref="Z1094">IFERROR(IF(_xlfn._xlws.FILTER(game_rosters!$J:$J,(game_rosters!$G:$G=events!$AN1094)*(game_rosters!$J:$J=events!$X1094))&gt;0,1,""),"")</f>
        <v>1</v>
      </c>
      <c r="AA1094">
        <f t="shared" si="733"/>
        <v>1595</v>
      </c>
      <c r="AB1094" t="str">
        <f t="shared" si="734"/>
        <v/>
      </c>
      <c r="AC1094">
        <f t="shared" si="772"/>
        <v>1595</v>
      </c>
      <c r="AD1094" s="6">
        <v>2</v>
      </c>
      <c r="AE1094" t="s">
        <v>754</v>
      </c>
      <c r="AF1094" t="s">
        <v>750</v>
      </c>
      <c r="AG1094" t="s">
        <v>756</v>
      </c>
      <c r="AH1094" t="s">
        <v>756</v>
      </c>
      <c r="AI1094" t="s">
        <v>367</v>
      </c>
      <c r="AJ1094" t="str">
        <f t="shared" ref="AJ1094:AK1094" si="800">IF($J1094&lt;&gt;"",$J1094,IF($AC1094=$AC1093,AJ1093,""))</f>
        <v/>
      </c>
      <c r="AK1094" t="str">
        <f t="shared" si="800"/>
        <v/>
      </c>
      <c r="AL1094" t="str">
        <f t="shared" si="777"/>
        <v/>
      </c>
      <c r="AN1094" t="s">
        <v>862</v>
      </c>
      <c r="AO1094" t="str">
        <f t="shared" si="778"/>
        <v>a</v>
      </c>
      <c r="AP1094" t="str">
        <f t="shared" si="786"/>
        <v/>
      </c>
      <c r="AQ1094" t="str">
        <f t="shared" si="787"/>
        <v/>
      </c>
      <c r="AR1094" t="str">
        <f t="shared" si="788"/>
        <v>Away</v>
      </c>
      <c r="AS1094" t="str">
        <f t="shared" si="789"/>
        <v>a</v>
      </c>
      <c r="AT1094" t="str">
        <f t="shared" si="790"/>
        <v>Offensive</v>
      </c>
      <c r="BA1094" s="6">
        <f t="shared" si="779"/>
        <v>282</v>
      </c>
      <c r="BB1094">
        <f t="shared" si="780"/>
        <v>18981</v>
      </c>
      <c r="BC1094" t="str">
        <f t="shared" si="781"/>
        <v>Nelson</v>
      </c>
      <c r="BD1094" t="str">
        <f t="shared" si="782"/>
        <v>Velodrome</v>
      </c>
      <c r="BE1094" t="s">
        <v>7</v>
      </c>
      <c r="BF1094" t="s">
        <v>182</v>
      </c>
      <c r="BG1094" t="s">
        <v>67</v>
      </c>
      <c r="BI1094" cm="1">
        <f t="array" ref="BI1094">IFERROR(_xlfn._xlws.FILTER(shifts!A:A,(shifts!B:B=events!AD1094)*(shifts!AG:AG&gt;=events!BK1094)*(shifts!AH:AH&lt;=events!BL1094)),BI1093)</f>
        <v>51</v>
      </c>
      <c r="BJ1094" s="15">
        <f t="shared" si="783"/>
        <v>0</v>
      </c>
      <c r="BK1094">
        <f t="shared" si="791"/>
        <v>695</v>
      </c>
      <c r="BL1094">
        <f t="shared" si="792"/>
        <v>695</v>
      </c>
      <c r="BM1094" s="15">
        <f>SUMIFS(BJ$2:BJ1094,K$2:K1094,"=Intermission")+SUMIFS(BJ$2:BJ1094,K$2:K1094,"=Timeout")</f>
        <v>72</v>
      </c>
      <c r="BN1094">
        <f t="shared" si="793"/>
        <v>1152</v>
      </c>
      <c r="BO1094" s="19">
        <f t="shared" si="794"/>
        <v>1537</v>
      </c>
      <c r="BP1094">
        <f t="shared" si="795"/>
        <v>1532</v>
      </c>
      <c r="BQ1094" s="17">
        <f t="shared" si="796"/>
        <v>1537</v>
      </c>
      <c r="BR1094" t="str">
        <f t="shared" si="797"/>
        <v>event_team_player_2</v>
      </c>
      <c r="BS1094">
        <f>COUNTIFS(S$3:S1094,"="&amp;S1094,AI$3:AI1094,"="&amp;AI1094)</f>
        <v>2</v>
      </c>
      <c r="BT1094" t="str">
        <f>IFERROR(VLOOKUP(BB1094&amp;BU1094&amp;X1094,game_rosters!U:W,3,FALSE),"")</f>
        <v>P100230</v>
      </c>
      <c r="BU1094" t="str">
        <f t="shared" si="798"/>
        <v>Velodrome</v>
      </c>
    </row>
    <row r="1095" spans="1:73" x14ac:dyDescent="0.2">
      <c r="A1095">
        <f t="shared" si="784"/>
        <v>1</v>
      </c>
      <c r="J1095" s="44" t="str">
        <f t="shared" si="799"/>
        <v/>
      </c>
      <c r="K1095" t="s">
        <v>7</v>
      </c>
      <c r="L1095" t="s">
        <v>182</v>
      </c>
      <c r="M1095" t="s">
        <v>67</v>
      </c>
      <c r="S1095">
        <v>596</v>
      </c>
      <c r="W1095" t="str">
        <f t="shared" si="775"/>
        <v>a</v>
      </c>
      <c r="X1095">
        <v>91</v>
      </c>
      <c r="Y1095" t="e">
        <f>IF(X1095&lt;&gt;"",VLOOKUP(X1095,game_rosters!$C$43:$E$64,3,FALSE))</f>
        <v>#N/A</v>
      </c>
      <c r="Z1095" cm="1">
        <f t="array" ref="Z1095">IFERROR(IF(_xlfn._xlws.FILTER(game_rosters!$J:$J,(game_rosters!$G:$G=events!$AN1095)*(game_rosters!$J:$J=events!$X1095))&gt;0,1,""),"")</f>
        <v>1</v>
      </c>
      <c r="AA1095">
        <f t="shared" si="733"/>
        <v>1596</v>
      </c>
      <c r="AB1095" t="str">
        <f t="shared" si="734"/>
        <v/>
      </c>
      <c r="AC1095">
        <f t="shared" si="772"/>
        <v>1596</v>
      </c>
      <c r="AD1095" s="6">
        <v>2</v>
      </c>
      <c r="AE1095" t="s">
        <v>754</v>
      </c>
      <c r="AF1095" t="s">
        <v>906</v>
      </c>
      <c r="AG1095" t="s">
        <v>756</v>
      </c>
      <c r="AH1095" t="s">
        <v>756</v>
      </c>
      <c r="AI1095" t="s">
        <v>367</v>
      </c>
      <c r="AJ1095" t="str">
        <f t="shared" ref="AJ1095:AK1095" si="801">IF($J1095&lt;&gt;"",$J1095,IF($AC1095=$AC1094,AJ1094,""))</f>
        <v/>
      </c>
      <c r="AK1095" t="str">
        <f t="shared" si="801"/>
        <v/>
      </c>
      <c r="AL1095" t="str">
        <f t="shared" si="777"/>
        <v/>
      </c>
      <c r="AN1095" t="s">
        <v>862</v>
      </c>
      <c r="AO1095" t="str">
        <f t="shared" si="778"/>
        <v>a</v>
      </c>
      <c r="AP1095" t="str">
        <f t="shared" si="786"/>
        <v/>
      </c>
      <c r="AQ1095" t="str">
        <f t="shared" si="787"/>
        <v/>
      </c>
      <c r="AR1095" t="str">
        <f t="shared" si="788"/>
        <v>Away</v>
      </c>
      <c r="AS1095" t="str">
        <f t="shared" si="789"/>
        <v>a</v>
      </c>
      <c r="AT1095" t="str">
        <f t="shared" si="790"/>
        <v>Offensive</v>
      </c>
      <c r="BA1095" s="6">
        <f t="shared" si="779"/>
        <v>282</v>
      </c>
      <c r="BB1095">
        <f t="shared" si="780"/>
        <v>18981</v>
      </c>
      <c r="BC1095" t="str">
        <f t="shared" si="781"/>
        <v>Nelson</v>
      </c>
      <c r="BD1095" t="str">
        <f t="shared" si="782"/>
        <v>Velodrome</v>
      </c>
      <c r="BE1095" t="s">
        <v>7</v>
      </c>
      <c r="BF1095" t="s">
        <v>182</v>
      </c>
      <c r="BG1095" t="s">
        <v>67</v>
      </c>
      <c r="BI1095" cm="1">
        <f t="array" ref="BI1095">IFERROR(_xlfn._xlws.FILTER(shifts!A:A,(shifts!B:B=events!AD1095)*(shifts!AG:AG&gt;=events!BK1095)*(shifts!AH:AH&lt;=events!BL1095)),BI1094)</f>
        <v>51</v>
      </c>
      <c r="BJ1095" s="15">
        <f t="shared" si="783"/>
        <v>0</v>
      </c>
      <c r="BK1095">
        <f t="shared" si="791"/>
        <v>689</v>
      </c>
      <c r="BL1095">
        <f t="shared" si="792"/>
        <v>689</v>
      </c>
      <c r="BM1095" s="15">
        <f>SUMIFS(BJ$2:BJ1095,K$2:K1095,"=Intermission")+SUMIFS(BJ$2:BJ1095,K$2:K1095,"=Timeout")</f>
        <v>72</v>
      </c>
      <c r="BN1095">
        <f t="shared" si="793"/>
        <v>1152</v>
      </c>
      <c r="BO1095" s="19">
        <f t="shared" si="794"/>
        <v>1543</v>
      </c>
      <c r="BP1095">
        <f t="shared" si="795"/>
        <v>1538</v>
      </c>
      <c r="BQ1095" s="17">
        <f t="shared" si="796"/>
        <v>1543</v>
      </c>
      <c r="BR1095" t="str">
        <f t="shared" si="797"/>
        <v>event_team_player_1</v>
      </c>
      <c r="BS1095">
        <f>COUNTIFS(S$3:S1095,"="&amp;S1095,AI$3:AI1095,"="&amp;AI1095)</f>
        <v>1</v>
      </c>
      <c r="BT1095" t="str">
        <f>IFERROR(VLOOKUP(BB1095&amp;BU1095&amp;X1095,game_rosters!U:W,3,FALSE),"")</f>
        <v>P100002</v>
      </c>
      <c r="BU1095" t="str">
        <f t="shared" si="798"/>
        <v>Velodrome</v>
      </c>
    </row>
    <row r="1096" spans="1:73" x14ac:dyDescent="0.2">
      <c r="A1096">
        <f t="shared" si="784"/>
        <v>1</v>
      </c>
      <c r="J1096" s="44" t="str">
        <f t="shared" si="799"/>
        <v/>
      </c>
      <c r="K1096" t="s">
        <v>7</v>
      </c>
      <c r="L1096" t="s">
        <v>182</v>
      </c>
      <c r="M1096" t="s">
        <v>67</v>
      </c>
      <c r="S1096">
        <v>596</v>
      </c>
      <c r="W1096" t="str">
        <f t="shared" si="775"/>
        <v>a</v>
      </c>
      <c r="X1096">
        <v>70</v>
      </c>
      <c r="Y1096" t="e">
        <f>IF(X1096&lt;&gt;"",VLOOKUP(X1096,game_rosters!$C$43:$E$64,3,FALSE))</f>
        <v>#N/A</v>
      </c>
      <c r="Z1096" cm="1">
        <f t="array" ref="Z1096">IFERROR(IF(_xlfn._xlws.FILTER(game_rosters!$J:$J,(game_rosters!$G:$G=events!$AN1096)*(game_rosters!$J:$J=events!$X1096))&gt;0,1,""),"")</f>
        <v>1</v>
      </c>
      <c r="AA1096">
        <f t="shared" si="733"/>
        <v>1596</v>
      </c>
      <c r="AB1096" t="str">
        <f t="shared" si="734"/>
        <v/>
      </c>
      <c r="AC1096">
        <f t="shared" si="772"/>
        <v>1596</v>
      </c>
      <c r="AD1096" s="6">
        <v>2</v>
      </c>
      <c r="AE1096" t="s">
        <v>754</v>
      </c>
      <c r="AF1096" t="s">
        <v>906</v>
      </c>
      <c r="AG1096" t="s">
        <v>756</v>
      </c>
      <c r="AH1096" t="s">
        <v>756</v>
      </c>
      <c r="AI1096" t="s">
        <v>367</v>
      </c>
      <c r="AJ1096" t="str">
        <f t="shared" ref="AJ1096:AK1096" si="802">IF($J1096&lt;&gt;"",$J1096,IF($AC1096=$AC1095,AJ1095,""))</f>
        <v/>
      </c>
      <c r="AK1096" t="str">
        <f t="shared" si="802"/>
        <v/>
      </c>
      <c r="AL1096" t="str">
        <f t="shared" si="777"/>
        <v/>
      </c>
      <c r="AN1096" t="s">
        <v>862</v>
      </c>
      <c r="AO1096" t="str">
        <f t="shared" si="778"/>
        <v>a</v>
      </c>
      <c r="AP1096" t="str">
        <f t="shared" si="786"/>
        <v/>
      </c>
      <c r="AQ1096" t="str">
        <f t="shared" si="787"/>
        <v/>
      </c>
      <c r="AR1096" t="str">
        <f t="shared" si="788"/>
        <v>Away</v>
      </c>
      <c r="AS1096" t="str">
        <f t="shared" si="789"/>
        <v>a</v>
      </c>
      <c r="AT1096" t="str">
        <f t="shared" si="790"/>
        <v>Offensive</v>
      </c>
      <c r="BA1096" s="6">
        <f t="shared" si="779"/>
        <v>282</v>
      </c>
      <c r="BB1096">
        <f t="shared" si="780"/>
        <v>18981</v>
      </c>
      <c r="BC1096" t="str">
        <f t="shared" si="781"/>
        <v>Nelson</v>
      </c>
      <c r="BD1096" t="str">
        <f t="shared" si="782"/>
        <v>Velodrome</v>
      </c>
      <c r="BE1096" t="s">
        <v>7</v>
      </c>
      <c r="BF1096" t="s">
        <v>182</v>
      </c>
      <c r="BG1096" t="s">
        <v>67</v>
      </c>
      <c r="BI1096" cm="1">
        <f t="array" ref="BI1096">IFERROR(_xlfn._xlws.FILTER(shifts!A:A,(shifts!B:B=events!AD1096)*(shifts!AG:AG&gt;=events!BK1096)*(shifts!AH:AH&lt;=events!BL1096)),BI1095)</f>
        <v>51</v>
      </c>
      <c r="BJ1096" s="15">
        <f t="shared" si="783"/>
        <v>0</v>
      </c>
      <c r="BK1096">
        <f t="shared" si="791"/>
        <v>689</v>
      </c>
      <c r="BL1096">
        <f t="shared" si="792"/>
        <v>689</v>
      </c>
      <c r="BM1096" s="15">
        <f>SUMIFS(BJ$2:BJ1096,K$2:K1096,"=Intermission")+SUMIFS(BJ$2:BJ1096,K$2:K1096,"=Timeout")</f>
        <v>72</v>
      </c>
      <c r="BN1096">
        <f t="shared" si="793"/>
        <v>1152</v>
      </c>
      <c r="BO1096" s="19">
        <f t="shared" si="794"/>
        <v>1543</v>
      </c>
      <c r="BP1096">
        <f t="shared" si="795"/>
        <v>1538</v>
      </c>
      <c r="BQ1096" s="17">
        <f t="shared" si="796"/>
        <v>1543</v>
      </c>
      <c r="BR1096" t="str">
        <f t="shared" si="797"/>
        <v>event_team_player_2</v>
      </c>
      <c r="BS1096">
        <f>COUNTIFS(S$3:S1096,"="&amp;S1096,AI$3:AI1096,"="&amp;AI1096)</f>
        <v>2</v>
      </c>
      <c r="BT1096" t="str">
        <f>IFERROR(VLOOKUP(BB1096&amp;BU1096&amp;X1096,game_rosters!U:W,3,FALSE),"")</f>
        <v>P100001</v>
      </c>
      <c r="BU1096" t="str">
        <f t="shared" si="798"/>
        <v>Velodrome</v>
      </c>
    </row>
    <row r="1097" spans="1:73" x14ac:dyDescent="0.2">
      <c r="A1097">
        <f t="shared" si="784"/>
        <v>1</v>
      </c>
      <c r="J1097" s="44" t="str">
        <f t="shared" si="799"/>
        <v/>
      </c>
      <c r="K1097" t="s">
        <v>7</v>
      </c>
      <c r="L1097" t="s">
        <v>182</v>
      </c>
      <c r="M1097" t="s">
        <v>67</v>
      </c>
      <c r="S1097">
        <v>596</v>
      </c>
      <c r="W1097" t="str">
        <f t="shared" si="775"/>
        <v>a</v>
      </c>
      <c r="X1097">
        <v>80</v>
      </c>
      <c r="Y1097" t="b">
        <f>IF(X1097&lt;&gt;"",VLOOKUP(X1097,game_rosters!$C$43:$E$64,3,FALSE))</f>
        <v>0</v>
      </c>
      <c r="Z1097" t="str" cm="1">
        <f t="array" ref="Z1097">IFERROR(IF(_xlfn._xlws.FILTER(game_rosters!$J:$J,(game_rosters!$G:$G=events!$AN1097)*(game_rosters!$J:$J=events!$X1097))&gt;0,1,""),"")</f>
        <v/>
      </c>
      <c r="AA1097">
        <f t="shared" si="733"/>
        <v>1596</v>
      </c>
      <c r="AB1097" t="str">
        <f t="shared" si="734"/>
        <v/>
      </c>
      <c r="AC1097">
        <f t="shared" si="772"/>
        <v>1596</v>
      </c>
      <c r="AD1097" s="6">
        <v>2</v>
      </c>
      <c r="AE1097" t="s">
        <v>754</v>
      </c>
      <c r="AF1097" t="s">
        <v>906</v>
      </c>
      <c r="AG1097" t="s">
        <v>756</v>
      </c>
      <c r="AH1097" t="s">
        <v>756</v>
      </c>
      <c r="AI1097" t="s">
        <v>368</v>
      </c>
      <c r="AJ1097" t="str">
        <f t="shared" ref="AJ1097:AK1097" si="803">IF($J1097&lt;&gt;"",$J1097,IF($AC1097=$AC1096,AJ1096,""))</f>
        <v/>
      </c>
      <c r="AK1097" t="str">
        <f t="shared" si="803"/>
        <v/>
      </c>
      <c r="AL1097" t="str">
        <f t="shared" si="777"/>
        <v/>
      </c>
      <c r="AN1097" t="s">
        <v>862</v>
      </c>
      <c r="AO1097" t="str">
        <f t="shared" si="778"/>
        <v>a</v>
      </c>
      <c r="AP1097" t="str">
        <f t="shared" si="786"/>
        <v/>
      </c>
      <c r="AQ1097" t="str">
        <f t="shared" si="787"/>
        <v/>
      </c>
      <c r="AR1097" t="str">
        <f t="shared" si="788"/>
        <v>Away</v>
      </c>
      <c r="AS1097" t="str">
        <f t="shared" si="789"/>
        <v>a</v>
      </c>
      <c r="AT1097" t="str">
        <f t="shared" si="790"/>
        <v>Defensive</v>
      </c>
      <c r="BA1097" s="6">
        <f t="shared" si="779"/>
        <v>282</v>
      </c>
      <c r="BB1097">
        <f t="shared" si="780"/>
        <v>18981</v>
      </c>
      <c r="BC1097" t="str">
        <f t="shared" si="781"/>
        <v>Nelson</v>
      </c>
      <c r="BD1097" t="str">
        <f t="shared" si="782"/>
        <v>Velodrome</v>
      </c>
      <c r="BE1097" t="s">
        <v>7</v>
      </c>
      <c r="BF1097" t="s">
        <v>182</v>
      </c>
      <c r="BG1097" t="s">
        <v>67</v>
      </c>
      <c r="BI1097" cm="1">
        <f t="array" ref="BI1097">IFERROR(_xlfn._xlws.FILTER(shifts!A:A,(shifts!B:B=events!AD1097)*(shifts!AG:AG&gt;=events!BK1097)*(shifts!AH:AH&lt;=events!BL1097)),BI1096)</f>
        <v>51</v>
      </c>
      <c r="BJ1097" s="15">
        <f t="shared" si="783"/>
        <v>0</v>
      </c>
      <c r="BK1097">
        <f t="shared" si="791"/>
        <v>689</v>
      </c>
      <c r="BL1097">
        <f t="shared" si="792"/>
        <v>689</v>
      </c>
      <c r="BM1097" s="15">
        <f>SUMIFS(BJ$2:BJ1097,K$2:K1097,"=Intermission")+SUMIFS(BJ$2:BJ1097,K$2:K1097,"=Timeout")</f>
        <v>72</v>
      </c>
      <c r="BN1097">
        <f t="shared" si="793"/>
        <v>1152</v>
      </c>
      <c r="BO1097" s="19">
        <f t="shared" si="794"/>
        <v>1543</v>
      </c>
      <c r="BP1097">
        <f t="shared" si="795"/>
        <v>1538</v>
      </c>
      <c r="BQ1097" s="17">
        <f t="shared" si="796"/>
        <v>1543</v>
      </c>
      <c r="BR1097" t="str">
        <f t="shared" si="797"/>
        <v>opp_team_player_1</v>
      </c>
      <c r="BS1097">
        <f>COUNTIFS(S$3:S1097,"="&amp;S1097,AI$3:AI1097,"="&amp;AI1097)</f>
        <v>1</v>
      </c>
      <c r="BT1097" t="str">
        <f>IFERROR(VLOOKUP(BB1097&amp;BU1097&amp;X1097,game_rosters!U:W,3,FALSE),"")</f>
        <v>P100197</v>
      </c>
      <c r="BU1097" t="str">
        <f t="shared" si="798"/>
        <v>Nelson</v>
      </c>
    </row>
    <row r="1098" spans="1:73" x14ac:dyDescent="0.2">
      <c r="A1098">
        <f t="shared" si="784"/>
        <v>1</v>
      </c>
      <c r="J1098" s="44" t="str">
        <f t="shared" si="799"/>
        <v/>
      </c>
      <c r="K1098" t="s">
        <v>13</v>
      </c>
      <c r="L1098" t="s">
        <v>756</v>
      </c>
      <c r="M1098" t="s">
        <v>756</v>
      </c>
      <c r="S1098">
        <v>597</v>
      </c>
      <c r="W1098" t="str">
        <f t="shared" si="775"/>
        <v>a</v>
      </c>
      <c r="X1098">
        <v>70</v>
      </c>
      <c r="Y1098" t="e">
        <f>IF(X1098&lt;&gt;"",VLOOKUP(X1098,game_rosters!$C$43:$E$64,3,FALSE))</f>
        <v>#N/A</v>
      </c>
      <c r="Z1098" cm="1">
        <f t="array" ref="Z1098">IFERROR(IF(_xlfn._xlws.FILTER(game_rosters!$J:$J,(game_rosters!$G:$G=events!$AN1098)*(game_rosters!$J:$J=events!$X1098))&gt;0,1,""),"")</f>
        <v>1</v>
      </c>
      <c r="AA1098">
        <f t="shared" si="733"/>
        <v>1597</v>
      </c>
      <c r="AB1098" t="str">
        <f t="shared" si="734"/>
        <v/>
      </c>
      <c r="AC1098">
        <f t="shared" si="772"/>
        <v>1597</v>
      </c>
      <c r="AD1098" s="6">
        <v>2</v>
      </c>
      <c r="AE1098" t="s">
        <v>754</v>
      </c>
      <c r="AF1098" t="s">
        <v>739</v>
      </c>
      <c r="AG1098" t="s">
        <v>754</v>
      </c>
      <c r="AH1098" t="s">
        <v>917</v>
      </c>
      <c r="AI1098" t="s">
        <v>367</v>
      </c>
      <c r="AJ1098" t="str">
        <f t="shared" ref="AJ1098:AK1098" si="804">IF($J1098&lt;&gt;"",$J1098,IF($AC1098=$AC1097,AJ1097,""))</f>
        <v/>
      </c>
      <c r="AK1098" t="str">
        <f t="shared" si="804"/>
        <v/>
      </c>
      <c r="AL1098" t="str">
        <f t="shared" si="777"/>
        <v/>
      </c>
      <c r="AN1098" t="s">
        <v>862</v>
      </c>
      <c r="AO1098" t="str">
        <f t="shared" si="778"/>
        <v>a</v>
      </c>
      <c r="AP1098" t="str">
        <f t="shared" si="786"/>
        <v/>
      </c>
      <c r="AQ1098" t="str">
        <f t="shared" si="787"/>
        <v/>
      </c>
      <c r="AR1098" t="str">
        <f t="shared" si="788"/>
        <v>Away</v>
      </c>
      <c r="AS1098" t="str">
        <f t="shared" si="789"/>
        <v>a</v>
      </c>
      <c r="AT1098" t="str">
        <f t="shared" si="790"/>
        <v>Offensive</v>
      </c>
      <c r="BA1098" s="6">
        <f t="shared" si="779"/>
        <v>282</v>
      </c>
      <c r="BB1098">
        <f t="shared" si="780"/>
        <v>18981</v>
      </c>
      <c r="BC1098" t="str">
        <f t="shared" si="781"/>
        <v>Nelson</v>
      </c>
      <c r="BD1098" t="str">
        <f t="shared" si="782"/>
        <v>Velodrome</v>
      </c>
      <c r="BE1098" t="s">
        <v>13</v>
      </c>
      <c r="BF1098" t="s">
        <v>756</v>
      </c>
      <c r="BG1098" t="s">
        <v>756</v>
      </c>
      <c r="BI1098" cm="1">
        <f t="array" ref="BI1098">IFERROR(_xlfn._xlws.FILTER(shifts!A:A,(shifts!B:B=events!AD1098)*(shifts!AG:AG&gt;=events!BK1098)*(shifts!AH:AH&lt;=events!BL1098)),BI1097)</f>
        <v>51</v>
      </c>
      <c r="BJ1098" s="15">
        <f t="shared" si="783"/>
        <v>3</v>
      </c>
      <c r="BK1098">
        <f t="shared" si="791"/>
        <v>686</v>
      </c>
      <c r="BL1098">
        <f t="shared" si="792"/>
        <v>683</v>
      </c>
      <c r="BM1098" s="15">
        <f>SUMIFS(BJ$2:BJ1098,K$2:K1098,"=Intermission")+SUMIFS(BJ$2:BJ1098,K$2:K1098,"=Timeout")</f>
        <v>72</v>
      </c>
      <c r="BN1098">
        <f t="shared" si="793"/>
        <v>1152</v>
      </c>
      <c r="BO1098" s="19">
        <f t="shared" si="794"/>
        <v>1546</v>
      </c>
      <c r="BP1098">
        <f t="shared" si="795"/>
        <v>1541</v>
      </c>
      <c r="BQ1098" s="17">
        <f t="shared" si="796"/>
        <v>1549</v>
      </c>
      <c r="BR1098" t="str">
        <f t="shared" si="797"/>
        <v>event_team_player_1</v>
      </c>
      <c r="BS1098">
        <f>COUNTIFS(S$3:S1098,"="&amp;S1098,AI$3:AI1098,"="&amp;AI1098)</f>
        <v>1</v>
      </c>
      <c r="BT1098" t="str">
        <f>IFERROR(VLOOKUP(BB1098&amp;BU1098&amp;X1098,game_rosters!U:W,3,FALSE),"")</f>
        <v>P100001</v>
      </c>
      <c r="BU1098" t="str">
        <f t="shared" si="798"/>
        <v>Velodrome</v>
      </c>
    </row>
    <row r="1099" spans="1:73" x14ac:dyDescent="0.2">
      <c r="A1099">
        <f t="shared" si="784"/>
        <v>1</v>
      </c>
      <c r="J1099" s="44" t="str">
        <f t="shared" si="799"/>
        <v/>
      </c>
      <c r="K1099" t="s">
        <v>13</v>
      </c>
      <c r="L1099" t="s">
        <v>756</v>
      </c>
      <c r="M1099" t="s">
        <v>756</v>
      </c>
      <c r="S1099">
        <v>597</v>
      </c>
      <c r="W1099" t="str">
        <f t="shared" si="775"/>
        <v>a</v>
      </c>
      <c r="X1099">
        <v>16</v>
      </c>
      <c r="Y1099" t="b">
        <f>IF(X1099&lt;&gt;"",VLOOKUP(X1099,game_rosters!$C$43:$E$64,3,FALSE))</f>
        <v>0</v>
      </c>
      <c r="Z1099" t="str" cm="1">
        <f t="array" ref="Z1099">IFERROR(IF(_xlfn._xlws.FILTER(game_rosters!$J:$J,(game_rosters!$G:$G=events!$AN1099)*(game_rosters!$J:$J=events!$X1099))&gt;0,1,""),"")</f>
        <v/>
      </c>
      <c r="AA1099">
        <f t="shared" si="733"/>
        <v>1597</v>
      </c>
      <c r="AB1099" t="str">
        <f t="shared" si="734"/>
        <v/>
      </c>
      <c r="AC1099">
        <f t="shared" si="772"/>
        <v>1597</v>
      </c>
      <c r="AD1099" s="6">
        <v>2</v>
      </c>
      <c r="AE1099" t="s">
        <v>754</v>
      </c>
      <c r="AF1099" t="s">
        <v>739</v>
      </c>
      <c r="AG1099" t="s">
        <v>754</v>
      </c>
      <c r="AH1099" t="s">
        <v>917</v>
      </c>
      <c r="AI1099" t="s">
        <v>368</v>
      </c>
      <c r="AJ1099" t="str">
        <f t="shared" ref="AJ1099:AK1099" si="805">IF($J1099&lt;&gt;"",$J1099,IF($AC1099=$AC1098,AJ1098,""))</f>
        <v/>
      </c>
      <c r="AK1099" t="str">
        <f t="shared" si="805"/>
        <v/>
      </c>
      <c r="AL1099" t="str">
        <f t="shared" si="777"/>
        <v/>
      </c>
      <c r="AN1099" t="s">
        <v>862</v>
      </c>
      <c r="AO1099" t="str">
        <f t="shared" si="778"/>
        <v>a</v>
      </c>
      <c r="AP1099" t="str">
        <f t="shared" si="786"/>
        <v/>
      </c>
      <c r="AQ1099" t="str">
        <f t="shared" si="787"/>
        <v/>
      </c>
      <c r="AR1099" t="str">
        <f t="shared" si="788"/>
        <v>Away</v>
      </c>
      <c r="AS1099" t="str">
        <f t="shared" si="789"/>
        <v>a</v>
      </c>
      <c r="AT1099" t="str">
        <f t="shared" si="790"/>
        <v>Defensive</v>
      </c>
      <c r="BA1099" s="6">
        <f t="shared" si="779"/>
        <v>282</v>
      </c>
      <c r="BB1099">
        <f t="shared" si="780"/>
        <v>18981</v>
      </c>
      <c r="BC1099" t="str">
        <f t="shared" si="781"/>
        <v>Nelson</v>
      </c>
      <c r="BD1099" t="str">
        <f t="shared" si="782"/>
        <v>Velodrome</v>
      </c>
      <c r="BE1099" t="s">
        <v>13</v>
      </c>
      <c r="BF1099" t="s">
        <v>756</v>
      </c>
      <c r="BG1099" t="s">
        <v>756</v>
      </c>
      <c r="BI1099" cm="1">
        <f t="array" ref="BI1099">IFERROR(_xlfn._xlws.FILTER(shifts!A:A,(shifts!B:B=events!AD1099)*(shifts!AG:AG&gt;=events!BK1099)*(shifts!AH:AH&lt;=events!BL1099)),BI1098)</f>
        <v>51</v>
      </c>
      <c r="BJ1099" s="15">
        <f t="shared" si="783"/>
        <v>3</v>
      </c>
      <c r="BK1099">
        <f t="shared" si="791"/>
        <v>686</v>
      </c>
      <c r="BL1099">
        <f t="shared" si="792"/>
        <v>683</v>
      </c>
      <c r="BM1099" s="15">
        <f>SUMIFS(BJ$2:BJ1099,K$2:K1099,"=Intermission")+SUMIFS(BJ$2:BJ1099,K$2:K1099,"=Timeout")</f>
        <v>72</v>
      </c>
      <c r="BN1099">
        <f t="shared" si="793"/>
        <v>1152</v>
      </c>
      <c r="BO1099" s="19">
        <f t="shared" si="794"/>
        <v>1546</v>
      </c>
      <c r="BP1099">
        <f t="shared" si="795"/>
        <v>1541</v>
      </c>
      <c r="BQ1099" s="17">
        <f t="shared" si="796"/>
        <v>1549</v>
      </c>
      <c r="BR1099" t="str">
        <f t="shared" si="797"/>
        <v>opp_team_player_1</v>
      </c>
      <c r="BS1099">
        <f>COUNTIFS(S$3:S1099,"="&amp;S1099,AI$3:AI1099,"="&amp;AI1099)</f>
        <v>1</v>
      </c>
      <c r="BT1099" t="str">
        <f>IFERROR(VLOOKUP(BB1099&amp;BU1099&amp;X1099,game_rosters!U:W,3,FALSE),"")</f>
        <v>P100164</v>
      </c>
      <c r="BU1099" t="str">
        <f t="shared" si="798"/>
        <v>Nelson</v>
      </c>
    </row>
    <row r="1100" spans="1:73" x14ac:dyDescent="0.2">
      <c r="A1100">
        <f t="shared" si="784"/>
        <v>1</v>
      </c>
      <c r="J1100" s="44" t="str">
        <f t="shared" si="799"/>
        <v/>
      </c>
      <c r="K1100" t="s">
        <v>13</v>
      </c>
      <c r="L1100" t="s">
        <v>756</v>
      </c>
      <c r="M1100" t="s">
        <v>756</v>
      </c>
      <c r="S1100">
        <v>597</v>
      </c>
      <c r="W1100" t="str">
        <f t="shared" si="775"/>
        <v>a</v>
      </c>
      <c r="X1100">
        <v>10</v>
      </c>
      <c r="Y1100" t="b">
        <f>IF(X1100&lt;&gt;"",VLOOKUP(X1100,game_rosters!$C$43:$E$64,3,FALSE))</f>
        <v>0</v>
      </c>
      <c r="Z1100" t="str" cm="1">
        <f t="array" ref="Z1100">IFERROR(IF(_xlfn._xlws.FILTER(game_rosters!$J:$J,(game_rosters!$G:$G=events!$AN1100)*(game_rosters!$J:$J=events!$X1100))&gt;0,1,""),"")</f>
        <v/>
      </c>
      <c r="AA1100">
        <f t="shared" si="733"/>
        <v>1597</v>
      </c>
      <c r="AB1100" t="str">
        <f t="shared" si="734"/>
        <v/>
      </c>
      <c r="AC1100">
        <f t="shared" si="772"/>
        <v>1597</v>
      </c>
      <c r="AD1100" s="6">
        <v>2</v>
      </c>
      <c r="AE1100" t="s">
        <v>754</v>
      </c>
      <c r="AF1100" t="s">
        <v>739</v>
      </c>
      <c r="AG1100" t="s">
        <v>754</v>
      </c>
      <c r="AH1100" t="s">
        <v>917</v>
      </c>
      <c r="AI1100" t="s">
        <v>368</v>
      </c>
      <c r="AJ1100" t="str">
        <f t="shared" ref="AJ1100:AK1100" si="806">IF($J1100&lt;&gt;"",$J1100,IF($AC1100=$AC1099,AJ1099,""))</f>
        <v/>
      </c>
      <c r="AK1100" t="str">
        <f t="shared" si="806"/>
        <v/>
      </c>
      <c r="AL1100" t="str">
        <f t="shared" si="777"/>
        <v/>
      </c>
      <c r="AN1100" t="s">
        <v>862</v>
      </c>
      <c r="AO1100" t="str">
        <f t="shared" si="778"/>
        <v>a</v>
      </c>
      <c r="AP1100" t="str">
        <f t="shared" si="786"/>
        <v/>
      </c>
      <c r="AQ1100" t="str">
        <f t="shared" si="787"/>
        <v/>
      </c>
      <c r="AR1100" t="str">
        <f t="shared" si="788"/>
        <v>Away</v>
      </c>
      <c r="AS1100" t="str">
        <f t="shared" si="789"/>
        <v>a</v>
      </c>
      <c r="AT1100" t="str">
        <f t="shared" si="790"/>
        <v>Defensive</v>
      </c>
      <c r="BA1100" s="6">
        <f t="shared" si="779"/>
        <v>282</v>
      </c>
      <c r="BB1100">
        <f t="shared" si="780"/>
        <v>18981</v>
      </c>
      <c r="BC1100" t="str">
        <f t="shared" si="781"/>
        <v>Nelson</v>
      </c>
      <c r="BD1100" t="str">
        <f t="shared" si="782"/>
        <v>Velodrome</v>
      </c>
      <c r="BE1100" t="s">
        <v>13</v>
      </c>
      <c r="BF1100" t="s">
        <v>756</v>
      </c>
      <c r="BG1100" t="s">
        <v>756</v>
      </c>
      <c r="BI1100" cm="1">
        <f t="array" ref="BI1100">IFERROR(_xlfn._xlws.FILTER(shifts!A:A,(shifts!B:B=events!AD1100)*(shifts!AG:AG&gt;=events!BK1100)*(shifts!AH:AH&lt;=events!BL1100)),BI1099)</f>
        <v>51</v>
      </c>
      <c r="BJ1100" s="15">
        <f t="shared" si="783"/>
        <v>3</v>
      </c>
      <c r="BK1100">
        <f t="shared" si="791"/>
        <v>686</v>
      </c>
      <c r="BL1100">
        <f t="shared" si="792"/>
        <v>683</v>
      </c>
      <c r="BM1100" s="15">
        <f>SUMIFS(BJ$2:BJ1100,K$2:K1100,"=Intermission")+SUMIFS(BJ$2:BJ1100,K$2:K1100,"=Timeout")</f>
        <v>72</v>
      </c>
      <c r="BN1100">
        <f t="shared" si="793"/>
        <v>1152</v>
      </c>
      <c r="BO1100" s="19">
        <f t="shared" si="794"/>
        <v>1546</v>
      </c>
      <c r="BP1100">
        <f t="shared" si="795"/>
        <v>1541</v>
      </c>
      <c r="BQ1100" s="17">
        <f t="shared" si="796"/>
        <v>1549</v>
      </c>
      <c r="BR1100" t="str">
        <f t="shared" si="797"/>
        <v>opp_team_player_2</v>
      </c>
      <c r="BS1100">
        <f>COUNTIFS(S$3:S1100,"="&amp;S1100,AI$3:AI1100,"="&amp;AI1100)</f>
        <v>2</v>
      </c>
      <c r="BT1100" t="str">
        <f>IFERROR(VLOOKUP(BB1100&amp;BU1100&amp;X1100,game_rosters!U:W,3,FALSE),"")</f>
        <v>P100078</v>
      </c>
      <c r="BU1100" t="str">
        <f t="shared" si="798"/>
        <v>Nelson</v>
      </c>
    </row>
    <row r="1101" spans="1:73" x14ac:dyDescent="0.2">
      <c r="A1101">
        <f t="shared" si="784"/>
        <v>1</v>
      </c>
      <c r="J1101" s="44" t="str">
        <f t="shared" si="799"/>
        <v/>
      </c>
      <c r="K1101" t="s">
        <v>7</v>
      </c>
      <c r="L1101" t="s">
        <v>172</v>
      </c>
      <c r="M1101" t="s">
        <v>67</v>
      </c>
      <c r="S1101">
        <v>598</v>
      </c>
      <c r="W1101" t="str">
        <f t="shared" si="775"/>
        <v>a</v>
      </c>
      <c r="X1101">
        <v>70</v>
      </c>
      <c r="Y1101" t="e">
        <f>IF(X1101&lt;&gt;"",VLOOKUP(X1101,game_rosters!$C$43:$E$64,3,FALSE))</f>
        <v>#N/A</v>
      </c>
      <c r="Z1101" cm="1">
        <f t="array" ref="Z1101">IFERROR(IF(_xlfn._xlws.FILTER(game_rosters!$J:$J,(game_rosters!$G:$G=events!$AN1101)*(game_rosters!$J:$J=events!$X1101))&gt;0,1,""),"")</f>
        <v>1</v>
      </c>
      <c r="AA1101">
        <f t="shared" si="733"/>
        <v>1598</v>
      </c>
      <c r="AB1101" t="str">
        <f t="shared" si="734"/>
        <v/>
      </c>
      <c r="AC1101">
        <f t="shared" si="772"/>
        <v>1598</v>
      </c>
      <c r="AD1101" s="6">
        <v>2</v>
      </c>
      <c r="AE1101" t="s">
        <v>754</v>
      </c>
      <c r="AF1101" t="s">
        <v>917</v>
      </c>
      <c r="AG1101" t="s">
        <v>756</v>
      </c>
      <c r="AH1101" t="s">
        <v>756</v>
      </c>
      <c r="AI1101" t="s">
        <v>367</v>
      </c>
      <c r="AJ1101" t="str">
        <f t="shared" ref="AJ1101:AK1101" si="807">IF($J1101&lt;&gt;"",$J1101,IF($AC1101=$AC1100,AJ1100,""))</f>
        <v/>
      </c>
      <c r="AK1101" t="str">
        <f t="shared" si="807"/>
        <v/>
      </c>
      <c r="AL1101" t="str">
        <f t="shared" si="777"/>
        <v/>
      </c>
      <c r="AN1101" t="s">
        <v>862</v>
      </c>
      <c r="AO1101" t="str">
        <f t="shared" si="778"/>
        <v>a</v>
      </c>
      <c r="AP1101" t="str">
        <f t="shared" si="786"/>
        <v/>
      </c>
      <c r="AQ1101" t="str">
        <f t="shared" si="787"/>
        <v/>
      </c>
      <c r="AR1101" t="str">
        <f t="shared" si="788"/>
        <v>Away</v>
      </c>
      <c r="AS1101" t="str">
        <f t="shared" si="789"/>
        <v>a</v>
      </c>
      <c r="AT1101" t="str">
        <f t="shared" si="790"/>
        <v>Offensive</v>
      </c>
      <c r="BA1101" s="6">
        <f t="shared" si="779"/>
        <v>282</v>
      </c>
      <c r="BB1101">
        <f t="shared" si="780"/>
        <v>18981</v>
      </c>
      <c r="BC1101" t="str">
        <f t="shared" si="781"/>
        <v>Nelson</v>
      </c>
      <c r="BD1101" t="str">
        <f t="shared" si="782"/>
        <v>Velodrome</v>
      </c>
      <c r="BE1101" t="s">
        <v>7</v>
      </c>
      <c r="BF1101" t="s">
        <v>172</v>
      </c>
      <c r="BG1101" t="s">
        <v>67</v>
      </c>
      <c r="BI1101" cm="1">
        <f t="array" ref="BI1101">IFERROR(_xlfn._xlws.FILTER(shifts!A:A,(shifts!B:B=events!AD1101)*(shifts!AG:AG&gt;=events!BK1101)*(shifts!AH:AH&lt;=events!BL1101)),BI1100)</f>
        <v>51</v>
      </c>
      <c r="BJ1101" s="15">
        <f t="shared" si="783"/>
        <v>0</v>
      </c>
      <c r="BK1101">
        <f t="shared" si="791"/>
        <v>683</v>
      </c>
      <c r="BL1101">
        <f t="shared" si="792"/>
        <v>683</v>
      </c>
      <c r="BM1101" s="15">
        <f>SUMIFS(BJ$2:BJ1101,K$2:K1101,"=Intermission")+SUMIFS(BJ$2:BJ1101,K$2:K1101,"=Timeout")</f>
        <v>72</v>
      </c>
      <c r="BN1101">
        <f t="shared" si="793"/>
        <v>1152</v>
      </c>
      <c r="BO1101" s="19">
        <f t="shared" si="794"/>
        <v>1549</v>
      </c>
      <c r="BP1101">
        <f t="shared" si="795"/>
        <v>1544</v>
      </c>
      <c r="BQ1101" s="17">
        <f t="shared" si="796"/>
        <v>1549</v>
      </c>
      <c r="BR1101" t="str">
        <f t="shared" si="797"/>
        <v>event_team_player_1</v>
      </c>
      <c r="BS1101">
        <f>COUNTIFS(S$3:S1101,"="&amp;S1101,AI$3:AI1101,"="&amp;AI1101)</f>
        <v>1</v>
      </c>
      <c r="BT1101" t="str">
        <f>IFERROR(VLOOKUP(BB1101&amp;BU1101&amp;X1101,game_rosters!U:W,3,FALSE),"")</f>
        <v>P100001</v>
      </c>
      <c r="BU1101" t="str">
        <f t="shared" si="798"/>
        <v>Velodrome</v>
      </c>
    </row>
    <row r="1102" spans="1:73" x14ac:dyDescent="0.2">
      <c r="A1102">
        <f t="shared" si="784"/>
        <v>1</v>
      </c>
      <c r="J1102" s="44" t="str">
        <f t="shared" si="799"/>
        <v/>
      </c>
      <c r="K1102" t="s">
        <v>7</v>
      </c>
      <c r="L1102" t="s">
        <v>172</v>
      </c>
      <c r="M1102" t="s">
        <v>67</v>
      </c>
      <c r="S1102">
        <v>598</v>
      </c>
      <c r="W1102" t="str">
        <f t="shared" si="775"/>
        <v>a</v>
      </c>
      <c r="X1102">
        <v>84</v>
      </c>
      <c r="Y1102" t="e">
        <f>IF(X1102&lt;&gt;"",VLOOKUP(X1102,game_rosters!$C$43:$E$64,3,FALSE))</f>
        <v>#N/A</v>
      </c>
      <c r="Z1102" cm="1">
        <f t="array" ref="Z1102">IFERROR(IF(_xlfn._xlws.FILTER(game_rosters!$J:$J,(game_rosters!$G:$G=events!$AN1102)*(game_rosters!$J:$J=events!$X1102))&gt;0,1,""),"")</f>
        <v>1</v>
      </c>
      <c r="AA1102">
        <f t="shared" si="733"/>
        <v>1598</v>
      </c>
      <c r="AB1102" t="str">
        <f t="shared" si="734"/>
        <v/>
      </c>
      <c r="AC1102">
        <f t="shared" si="772"/>
        <v>1598</v>
      </c>
      <c r="AD1102" s="6">
        <v>2</v>
      </c>
      <c r="AE1102" t="s">
        <v>754</v>
      </c>
      <c r="AF1102" t="s">
        <v>917</v>
      </c>
      <c r="AG1102" t="s">
        <v>756</v>
      </c>
      <c r="AH1102" t="s">
        <v>756</v>
      </c>
      <c r="AI1102" t="s">
        <v>367</v>
      </c>
      <c r="AJ1102" t="str">
        <f t="shared" ref="AJ1102:AK1102" si="808">IF($J1102&lt;&gt;"",$J1102,IF($AC1102=$AC1101,AJ1101,""))</f>
        <v/>
      </c>
      <c r="AK1102" t="str">
        <f t="shared" si="808"/>
        <v/>
      </c>
      <c r="AL1102" t="str">
        <f t="shared" si="777"/>
        <v/>
      </c>
      <c r="AN1102" t="s">
        <v>862</v>
      </c>
      <c r="AO1102" t="str">
        <f t="shared" si="778"/>
        <v>a</v>
      </c>
      <c r="AP1102" t="str">
        <f t="shared" si="786"/>
        <v/>
      </c>
      <c r="AQ1102" t="str">
        <f t="shared" si="787"/>
        <v/>
      </c>
      <c r="AR1102" t="str">
        <f t="shared" si="788"/>
        <v>Away</v>
      </c>
      <c r="AS1102" t="str">
        <f t="shared" si="789"/>
        <v>a</v>
      </c>
      <c r="AT1102" t="str">
        <f t="shared" si="790"/>
        <v>Offensive</v>
      </c>
      <c r="BA1102" s="6">
        <f t="shared" si="779"/>
        <v>282</v>
      </c>
      <c r="BB1102">
        <f t="shared" si="780"/>
        <v>18981</v>
      </c>
      <c r="BC1102" t="str">
        <f t="shared" si="781"/>
        <v>Nelson</v>
      </c>
      <c r="BD1102" t="str">
        <f t="shared" si="782"/>
        <v>Velodrome</v>
      </c>
      <c r="BE1102" t="s">
        <v>7</v>
      </c>
      <c r="BF1102" t="s">
        <v>172</v>
      </c>
      <c r="BG1102" t="s">
        <v>67</v>
      </c>
      <c r="BI1102" cm="1">
        <f t="array" ref="BI1102">IFERROR(_xlfn._xlws.FILTER(shifts!A:A,(shifts!B:B=events!AD1102)*(shifts!AG:AG&gt;=events!BK1102)*(shifts!AH:AH&lt;=events!BL1102)),BI1101)</f>
        <v>51</v>
      </c>
      <c r="BJ1102" s="15">
        <f t="shared" si="783"/>
        <v>0</v>
      </c>
      <c r="BK1102">
        <f t="shared" si="791"/>
        <v>683</v>
      </c>
      <c r="BL1102">
        <f t="shared" si="792"/>
        <v>683</v>
      </c>
      <c r="BM1102" s="15">
        <f>SUMIFS(BJ$2:BJ1102,K$2:K1102,"=Intermission")+SUMIFS(BJ$2:BJ1102,K$2:K1102,"=Timeout")</f>
        <v>72</v>
      </c>
      <c r="BN1102">
        <f t="shared" si="793"/>
        <v>1152</v>
      </c>
      <c r="BO1102" s="19">
        <f t="shared" si="794"/>
        <v>1549</v>
      </c>
      <c r="BP1102">
        <f t="shared" si="795"/>
        <v>1544</v>
      </c>
      <c r="BQ1102" s="17">
        <f t="shared" si="796"/>
        <v>1549</v>
      </c>
      <c r="BR1102" t="str">
        <f t="shared" si="797"/>
        <v>event_team_player_2</v>
      </c>
      <c r="BS1102">
        <f>COUNTIFS(S$3:S1102,"="&amp;S1102,AI$3:AI1102,"="&amp;AI1102)</f>
        <v>2</v>
      </c>
      <c r="BT1102" t="str">
        <f>IFERROR(VLOOKUP(BB1102&amp;BU1102&amp;X1102,game_rosters!U:W,3,FALSE),"")</f>
        <v>P100198</v>
      </c>
      <c r="BU1102" t="str">
        <f t="shared" si="798"/>
        <v>Velodrome</v>
      </c>
    </row>
    <row r="1103" spans="1:73" x14ac:dyDescent="0.2">
      <c r="A1103">
        <f t="shared" si="784"/>
        <v>1</v>
      </c>
      <c r="J1103" s="44" t="str">
        <f t="shared" si="799"/>
        <v/>
      </c>
      <c r="K1103" t="s">
        <v>7</v>
      </c>
      <c r="L1103" t="s">
        <v>172</v>
      </c>
      <c r="M1103" t="s">
        <v>67</v>
      </c>
      <c r="S1103">
        <v>598</v>
      </c>
      <c r="W1103" t="str">
        <f t="shared" si="775"/>
        <v>a</v>
      </c>
      <c r="X1103">
        <v>10</v>
      </c>
      <c r="Y1103" t="b">
        <f>IF(X1103&lt;&gt;"",VLOOKUP(X1103,game_rosters!$C$43:$E$64,3,FALSE))</f>
        <v>0</v>
      </c>
      <c r="Z1103" t="str" cm="1">
        <f t="array" ref="Z1103">IFERROR(IF(_xlfn._xlws.FILTER(game_rosters!$J:$J,(game_rosters!$G:$G=events!$AN1103)*(game_rosters!$J:$J=events!$X1103))&gt;0,1,""),"")</f>
        <v/>
      </c>
      <c r="AA1103">
        <f t="shared" si="733"/>
        <v>1598</v>
      </c>
      <c r="AB1103" t="str">
        <f t="shared" si="734"/>
        <v/>
      </c>
      <c r="AC1103">
        <f t="shared" si="772"/>
        <v>1598</v>
      </c>
      <c r="AD1103" s="6">
        <v>2</v>
      </c>
      <c r="AE1103" t="s">
        <v>754</v>
      </c>
      <c r="AF1103" t="s">
        <v>917</v>
      </c>
      <c r="AG1103" t="s">
        <v>756</v>
      </c>
      <c r="AH1103" t="s">
        <v>756</v>
      </c>
      <c r="AI1103" t="s">
        <v>368</v>
      </c>
      <c r="AJ1103" t="str">
        <f t="shared" ref="AJ1103:AK1103" si="809">IF($J1103&lt;&gt;"",$J1103,IF($AC1103=$AC1102,AJ1102,""))</f>
        <v/>
      </c>
      <c r="AK1103" t="str">
        <f t="shared" si="809"/>
        <v/>
      </c>
      <c r="AL1103" t="str">
        <f t="shared" si="777"/>
        <v/>
      </c>
      <c r="AN1103" t="s">
        <v>862</v>
      </c>
      <c r="AO1103" t="str">
        <f t="shared" si="778"/>
        <v>a</v>
      </c>
      <c r="AP1103" t="str">
        <f t="shared" si="786"/>
        <v/>
      </c>
      <c r="AQ1103" t="str">
        <f t="shared" si="787"/>
        <v/>
      </c>
      <c r="AR1103" t="str">
        <f t="shared" si="788"/>
        <v>Away</v>
      </c>
      <c r="AS1103" t="str">
        <f t="shared" si="789"/>
        <v>a</v>
      </c>
      <c r="AT1103" t="str">
        <f t="shared" si="790"/>
        <v>Defensive</v>
      </c>
      <c r="BA1103" s="6">
        <f t="shared" si="779"/>
        <v>282</v>
      </c>
      <c r="BB1103">
        <f t="shared" si="780"/>
        <v>18981</v>
      </c>
      <c r="BC1103" t="str">
        <f t="shared" si="781"/>
        <v>Nelson</v>
      </c>
      <c r="BD1103" t="str">
        <f t="shared" si="782"/>
        <v>Velodrome</v>
      </c>
      <c r="BE1103" t="s">
        <v>7</v>
      </c>
      <c r="BF1103" t="s">
        <v>172</v>
      </c>
      <c r="BG1103" t="s">
        <v>67</v>
      </c>
      <c r="BI1103" cm="1">
        <f t="array" ref="BI1103">IFERROR(_xlfn._xlws.FILTER(shifts!A:A,(shifts!B:B=events!AD1103)*(shifts!AG:AG&gt;=events!BK1103)*(shifts!AH:AH&lt;=events!BL1103)),BI1102)</f>
        <v>51</v>
      </c>
      <c r="BJ1103" s="15">
        <f t="shared" si="783"/>
        <v>0</v>
      </c>
      <c r="BK1103">
        <f t="shared" si="791"/>
        <v>683</v>
      </c>
      <c r="BL1103">
        <f t="shared" si="792"/>
        <v>683</v>
      </c>
      <c r="BM1103" s="15">
        <f>SUMIFS(BJ$2:BJ1103,K$2:K1103,"=Intermission")+SUMIFS(BJ$2:BJ1103,K$2:K1103,"=Timeout")</f>
        <v>72</v>
      </c>
      <c r="BN1103">
        <f t="shared" si="793"/>
        <v>1152</v>
      </c>
      <c r="BO1103" s="19">
        <f t="shared" si="794"/>
        <v>1549</v>
      </c>
      <c r="BP1103">
        <f t="shared" si="795"/>
        <v>1544</v>
      </c>
      <c r="BQ1103" s="17">
        <f t="shared" si="796"/>
        <v>1549</v>
      </c>
      <c r="BR1103" t="str">
        <f t="shared" si="797"/>
        <v>opp_team_player_1</v>
      </c>
      <c r="BS1103">
        <f>COUNTIFS(S$3:S1103,"="&amp;S1103,AI$3:AI1103,"="&amp;AI1103)</f>
        <v>1</v>
      </c>
      <c r="BT1103" t="str">
        <f>IFERROR(VLOOKUP(BB1103&amp;BU1103&amp;X1103,game_rosters!U:W,3,FALSE),"")</f>
        <v>P100078</v>
      </c>
      <c r="BU1103" t="str">
        <f t="shared" si="798"/>
        <v>Nelson</v>
      </c>
    </row>
    <row r="1104" spans="1:73" x14ac:dyDescent="0.2">
      <c r="A1104">
        <f t="shared" si="784"/>
        <v>1</v>
      </c>
      <c r="J1104" s="44" t="str">
        <f t="shared" si="799"/>
        <v/>
      </c>
      <c r="K1104" t="s">
        <v>7</v>
      </c>
      <c r="L1104" t="s">
        <v>172</v>
      </c>
      <c r="M1104" t="s">
        <v>66</v>
      </c>
      <c r="S1104">
        <v>599</v>
      </c>
      <c r="W1104" t="str">
        <f t="shared" si="775"/>
        <v>a</v>
      </c>
      <c r="X1104">
        <v>84</v>
      </c>
      <c r="Y1104" t="e">
        <f>IF(X1104&lt;&gt;"",VLOOKUP(X1104,game_rosters!$C$43:$E$64,3,FALSE))</f>
        <v>#N/A</v>
      </c>
      <c r="Z1104" cm="1">
        <f t="array" ref="Z1104">IFERROR(IF(_xlfn._xlws.FILTER(game_rosters!$J:$J,(game_rosters!$G:$G=events!$AN1104)*(game_rosters!$J:$J=events!$X1104))&gt;0,1,""),"")</f>
        <v>1</v>
      </c>
      <c r="AA1104">
        <f t="shared" si="733"/>
        <v>1599</v>
      </c>
      <c r="AB1104" t="str">
        <f t="shared" si="734"/>
        <v/>
      </c>
      <c r="AC1104">
        <f t="shared" si="772"/>
        <v>1599</v>
      </c>
      <c r="AD1104" s="6">
        <v>2</v>
      </c>
      <c r="AE1104" t="s">
        <v>754</v>
      </c>
      <c r="AF1104" t="s">
        <v>918</v>
      </c>
      <c r="AG1104" t="s">
        <v>756</v>
      </c>
      <c r="AH1104" t="s">
        <v>756</v>
      </c>
      <c r="AI1104" t="s">
        <v>367</v>
      </c>
      <c r="AJ1104" t="str">
        <f t="shared" ref="AJ1104:AK1104" si="810">IF($J1104&lt;&gt;"",$J1104,IF($AC1104=$AC1103,AJ1103,""))</f>
        <v/>
      </c>
      <c r="AK1104" t="str">
        <f t="shared" si="810"/>
        <v/>
      </c>
      <c r="AL1104" t="str">
        <f t="shared" si="777"/>
        <v/>
      </c>
      <c r="AN1104" t="s">
        <v>862</v>
      </c>
      <c r="AO1104" t="str">
        <f t="shared" si="778"/>
        <v>a</v>
      </c>
      <c r="AP1104" t="str">
        <f t="shared" si="786"/>
        <v/>
      </c>
      <c r="AQ1104" t="str">
        <f t="shared" si="787"/>
        <v/>
      </c>
      <c r="AR1104" t="str">
        <f t="shared" si="788"/>
        <v>Away</v>
      </c>
      <c r="AS1104" t="str">
        <f t="shared" si="789"/>
        <v>a</v>
      </c>
      <c r="AT1104" t="str">
        <f t="shared" si="790"/>
        <v>Offensive</v>
      </c>
      <c r="BA1104" s="6">
        <f t="shared" si="779"/>
        <v>282</v>
      </c>
      <c r="BB1104">
        <f t="shared" si="780"/>
        <v>18981</v>
      </c>
      <c r="BC1104" t="str">
        <f t="shared" si="781"/>
        <v>Nelson</v>
      </c>
      <c r="BD1104" t="str">
        <f t="shared" si="782"/>
        <v>Velodrome</v>
      </c>
      <c r="BE1104" t="s">
        <v>7</v>
      </c>
      <c r="BF1104" t="s">
        <v>172</v>
      </c>
      <c r="BG1104" t="s">
        <v>66</v>
      </c>
      <c r="BI1104" cm="1">
        <f t="array" ref="BI1104">IFERROR(_xlfn._xlws.FILTER(shifts!A:A,(shifts!B:B=events!AD1104)*(shifts!AG:AG&gt;=events!BK1104)*(shifts!AH:AH&lt;=events!BL1104)),BI1103)</f>
        <v>51</v>
      </c>
      <c r="BJ1104" s="15">
        <f t="shared" si="783"/>
        <v>0</v>
      </c>
      <c r="BK1104">
        <f t="shared" si="791"/>
        <v>682</v>
      </c>
      <c r="BL1104">
        <f t="shared" si="792"/>
        <v>682</v>
      </c>
      <c r="BM1104" s="15">
        <f>SUMIFS(BJ$2:BJ1104,K$2:K1104,"=Intermission")+SUMIFS(BJ$2:BJ1104,K$2:K1104,"=Timeout")</f>
        <v>72</v>
      </c>
      <c r="BN1104">
        <f t="shared" si="793"/>
        <v>1152</v>
      </c>
      <c r="BO1104" s="19">
        <f t="shared" si="794"/>
        <v>1550</v>
      </c>
      <c r="BP1104">
        <f t="shared" si="795"/>
        <v>1545</v>
      </c>
      <c r="BQ1104" s="17">
        <f t="shared" si="796"/>
        <v>1550</v>
      </c>
      <c r="BR1104" t="str">
        <f t="shared" si="797"/>
        <v>event_team_player_1</v>
      </c>
      <c r="BS1104">
        <f>COUNTIFS(S$3:S1104,"="&amp;S1104,AI$3:AI1104,"="&amp;AI1104)</f>
        <v>1</v>
      </c>
      <c r="BT1104" t="str">
        <f>IFERROR(VLOOKUP(BB1104&amp;BU1104&amp;X1104,game_rosters!U:W,3,FALSE),"")</f>
        <v>P100198</v>
      </c>
      <c r="BU1104" t="str">
        <f t="shared" si="798"/>
        <v>Velodrome</v>
      </c>
    </row>
    <row r="1105" spans="1:73" x14ac:dyDescent="0.2">
      <c r="A1105">
        <f t="shared" si="784"/>
        <v>1</v>
      </c>
      <c r="J1105" s="44" t="str">
        <f t="shared" si="799"/>
        <v/>
      </c>
      <c r="K1105" t="s">
        <v>7</v>
      </c>
      <c r="L1105" t="s">
        <v>172</v>
      </c>
      <c r="M1105" t="s">
        <v>66</v>
      </c>
      <c r="S1105">
        <v>599</v>
      </c>
      <c r="W1105" t="str">
        <f t="shared" si="775"/>
        <v>a</v>
      </c>
      <c r="X1105">
        <v>91</v>
      </c>
      <c r="Y1105" t="e">
        <f>IF(X1105&lt;&gt;"",VLOOKUP(X1105,game_rosters!$C$43:$E$64,3,FALSE))</f>
        <v>#N/A</v>
      </c>
      <c r="Z1105" cm="1">
        <f t="array" ref="Z1105">IFERROR(IF(_xlfn._xlws.FILTER(game_rosters!$J:$J,(game_rosters!$G:$G=events!$AN1105)*(game_rosters!$J:$J=events!$X1105))&gt;0,1,""),"")</f>
        <v>1</v>
      </c>
      <c r="AA1105">
        <f t="shared" si="733"/>
        <v>1599</v>
      </c>
      <c r="AB1105" t="str">
        <f t="shared" si="734"/>
        <v/>
      </c>
      <c r="AC1105">
        <f t="shared" si="772"/>
        <v>1599</v>
      </c>
      <c r="AD1105" s="6">
        <v>2</v>
      </c>
      <c r="AE1105" t="s">
        <v>754</v>
      </c>
      <c r="AF1105" t="s">
        <v>918</v>
      </c>
      <c r="AG1105" t="s">
        <v>756</v>
      </c>
      <c r="AH1105" t="s">
        <v>756</v>
      </c>
      <c r="AI1105" t="s">
        <v>367</v>
      </c>
      <c r="AJ1105" t="str">
        <f t="shared" ref="AJ1105:AK1105" si="811">IF($J1105&lt;&gt;"",$J1105,IF($AC1105=$AC1104,AJ1104,""))</f>
        <v/>
      </c>
      <c r="AK1105" t="str">
        <f t="shared" si="811"/>
        <v/>
      </c>
      <c r="AL1105" t="str">
        <f t="shared" si="777"/>
        <v/>
      </c>
      <c r="AN1105" t="s">
        <v>862</v>
      </c>
      <c r="AO1105" t="str">
        <f t="shared" si="778"/>
        <v>a</v>
      </c>
      <c r="AP1105" t="str">
        <f t="shared" si="786"/>
        <v/>
      </c>
      <c r="AQ1105" t="str">
        <f t="shared" si="787"/>
        <v/>
      </c>
      <c r="AR1105" t="str">
        <f t="shared" si="788"/>
        <v>Away</v>
      </c>
      <c r="AS1105" t="str">
        <f t="shared" si="789"/>
        <v>a</v>
      </c>
      <c r="AT1105" t="str">
        <f t="shared" si="790"/>
        <v>Offensive</v>
      </c>
      <c r="BA1105" s="6">
        <f t="shared" si="779"/>
        <v>282</v>
      </c>
      <c r="BB1105">
        <f t="shared" si="780"/>
        <v>18981</v>
      </c>
      <c r="BC1105" t="str">
        <f t="shared" si="781"/>
        <v>Nelson</v>
      </c>
      <c r="BD1105" t="str">
        <f t="shared" si="782"/>
        <v>Velodrome</v>
      </c>
      <c r="BE1105" t="s">
        <v>7</v>
      </c>
      <c r="BF1105" t="s">
        <v>172</v>
      </c>
      <c r="BG1105" t="s">
        <v>66</v>
      </c>
      <c r="BI1105" cm="1">
        <f t="array" ref="BI1105">IFERROR(_xlfn._xlws.FILTER(shifts!A:A,(shifts!B:B=events!AD1105)*(shifts!AG:AG&gt;=events!BK1105)*(shifts!AH:AH&lt;=events!BL1105)),BI1104)</f>
        <v>51</v>
      </c>
      <c r="BJ1105" s="15">
        <f t="shared" si="783"/>
        <v>0</v>
      </c>
      <c r="BK1105">
        <f t="shared" si="791"/>
        <v>682</v>
      </c>
      <c r="BL1105">
        <f t="shared" si="792"/>
        <v>682</v>
      </c>
      <c r="BM1105" s="15">
        <f>SUMIFS(BJ$2:BJ1105,K$2:K1105,"=Intermission")+SUMIFS(BJ$2:BJ1105,K$2:K1105,"=Timeout")</f>
        <v>72</v>
      </c>
      <c r="BN1105">
        <f t="shared" si="793"/>
        <v>1152</v>
      </c>
      <c r="BO1105" s="19">
        <f t="shared" si="794"/>
        <v>1550</v>
      </c>
      <c r="BP1105">
        <f t="shared" si="795"/>
        <v>1545</v>
      </c>
      <c r="BQ1105" s="17">
        <f t="shared" si="796"/>
        <v>1550</v>
      </c>
      <c r="BR1105" t="str">
        <f t="shared" si="797"/>
        <v>event_team_player_2</v>
      </c>
      <c r="BS1105">
        <f>COUNTIFS(S$3:S1105,"="&amp;S1105,AI$3:AI1105,"="&amp;AI1105)</f>
        <v>2</v>
      </c>
      <c r="BT1105" t="str">
        <f>IFERROR(VLOOKUP(BB1105&amp;BU1105&amp;X1105,game_rosters!U:W,3,FALSE),"")</f>
        <v>P100002</v>
      </c>
      <c r="BU1105" t="str">
        <f t="shared" si="798"/>
        <v>Velodrome</v>
      </c>
    </row>
    <row r="1106" spans="1:73" x14ac:dyDescent="0.2">
      <c r="A1106">
        <f t="shared" si="784"/>
        <v>1</v>
      </c>
      <c r="J1106" s="44" t="str">
        <f t="shared" si="799"/>
        <v/>
      </c>
      <c r="K1106" t="s">
        <v>7</v>
      </c>
      <c r="L1106" t="s">
        <v>172</v>
      </c>
      <c r="M1106" t="s">
        <v>66</v>
      </c>
      <c r="S1106">
        <v>599</v>
      </c>
      <c r="W1106" t="str">
        <f t="shared" si="775"/>
        <v>a</v>
      </c>
      <c r="X1106">
        <v>16</v>
      </c>
      <c r="Y1106" t="b">
        <f>IF(X1106&lt;&gt;"",VLOOKUP(X1106,game_rosters!$C$43:$E$64,3,FALSE))</f>
        <v>0</v>
      </c>
      <c r="Z1106" t="str" cm="1">
        <f t="array" ref="Z1106">IFERROR(IF(_xlfn._xlws.FILTER(game_rosters!$J:$J,(game_rosters!$G:$G=events!$AN1106)*(game_rosters!$J:$J=events!$X1106))&gt;0,1,""),"")</f>
        <v/>
      </c>
      <c r="AA1106">
        <f t="shared" si="733"/>
        <v>1599</v>
      </c>
      <c r="AB1106" t="str">
        <f t="shared" si="734"/>
        <v/>
      </c>
      <c r="AC1106">
        <f t="shared" si="772"/>
        <v>1599</v>
      </c>
      <c r="AD1106" s="6">
        <v>2</v>
      </c>
      <c r="AE1106" t="s">
        <v>754</v>
      </c>
      <c r="AF1106" t="s">
        <v>918</v>
      </c>
      <c r="AG1106" t="s">
        <v>756</v>
      </c>
      <c r="AH1106" t="s">
        <v>756</v>
      </c>
      <c r="AI1106" t="s">
        <v>368</v>
      </c>
      <c r="AJ1106" t="str">
        <f t="shared" ref="AJ1106:AK1106" si="812">IF($J1106&lt;&gt;"",$J1106,IF($AC1106=$AC1105,AJ1105,""))</f>
        <v/>
      </c>
      <c r="AK1106" t="str">
        <f t="shared" si="812"/>
        <v/>
      </c>
      <c r="AL1106" t="str">
        <f t="shared" si="777"/>
        <v/>
      </c>
      <c r="AN1106" t="s">
        <v>862</v>
      </c>
      <c r="AO1106" t="str">
        <f t="shared" si="778"/>
        <v>a</v>
      </c>
      <c r="AP1106" t="str">
        <f t="shared" si="786"/>
        <v/>
      </c>
      <c r="AQ1106" t="str">
        <f t="shared" si="787"/>
        <v/>
      </c>
      <c r="AR1106" t="str">
        <f t="shared" si="788"/>
        <v>Away</v>
      </c>
      <c r="AS1106" t="str">
        <f t="shared" si="789"/>
        <v>a</v>
      </c>
      <c r="AT1106" t="str">
        <f t="shared" si="790"/>
        <v>Defensive</v>
      </c>
      <c r="BA1106" s="6">
        <f t="shared" si="779"/>
        <v>282</v>
      </c>
      <c r="BB1106">
        <f t="shared" si="780"/>
        <v>18981</v>
      </c>
      <c r="BC1106" t="str">
        <f t="shared" si="781"/>
        <v>Nelson</v>
      </c>
      <c r="BD1106" t="str">
        <f t="shared" si="782"/>
        <v>Velodrome</v>
      </c>
      <c r="BE1106" t="s">
        <v>7</v>
      </c>
      <c r="BF1106" t="s">
        <v>172</v>
      </c>
      <c r="BG1106" t="s">
        <v>66</v>
      </c>
      <c r="BI1106" cm="1">
        <f t="array" ref="BI1106">IFERROR(_xlfn._xlws.FILTER(shifts!A:A,(shifts!B:B=events!AD1106)*(shifts!AG:AG&gt;=events!BK1106)*(shifts!AH:AH&lt;=events!BL1106)),BI1105)</f>
        <v>51</v>
      </c>
      <c r="BJ1106" s="15">
        <f t="shared" si="783"/>
        <v>0</v>
      </c>
      <c r="BK1106">
        <f t="shared" si="791"/>
        <v>682</v>
      </c>
      <c r="BL1106">
        <f t="shared" si="792"/>
        <v>682</v>
      </c>
      <c r="BM1106" s="15">
        <f>SUMIFS(BJ$2:BJ1106,K$2:K1106,"=Intermission")+SUMIFS(BJ$2:BJ1106,K$2:K1106,"=Timeout")</f>
        <v>72</v>
      </c>
      <c r="BN1106">
        <f t="shared" si="793"/>
        <v>1152</v>
      </c>
      <c r="BO1106" s="19">
        <f t="shared" si="794"/>
        <v>1550</v>
      </c>
      <c r="BP1106">
        <f t="shared" si="795"/>
        <v>1545</v>
      </c>
      <c r="BQ1106" s="17">
        <f t="shared" si="796"/>
        <v>1550</v>
      </c>
      <c r="BR1106" t="str">
        <f t="shared" si="797"/>
        <v>opp_team_player_1</v>
      </c>
      <c r="BS1106">
        <f>COUNTIFS(S$3:S1106,"="&amp;S1106,AI$3:AI1106,"="&amp;AI1106)</f>
        <v>1</v>
      </c>
      <c r="BT1106" t="str">
        <f>IFERROR(VLOOKUP(BB1106&amp;BU1106&amp;X1106,game_rosters!U:W,3,FALSE),"")</f>
        <v>P100164</v>
      </c>
      <c r="BU1106" t="str">
        <f t="shared" si="798"/>
        <v>Nelson</v>
      </c>
    </row>
    <row r="1107" spans="1:73" x14ac:dyDescent="0.2">
      <c r="A1107">
        <f t="shared" si="784"/>
        <v>1</v>
      </c>
      <c r="J1107" s="44" t="str">
        <f t="shared" si="799"/>
        <v/>
      </c>
      <c r="K1107" t="s">
        <v>13</v>
      </c>
      <c r="L1107" t="s">
        <v>756</v>
      </c>
      <c r="M1107" t="s">
        <v>756</v>
      </c>
      <c r="S1107">
        <v>600</v>
      </c>
      <c r="W1107" t="str">
        <f t="shared" si="775"/>
        <v>a</v>
      </c>
      <c r="X1107">
        <v>91</v>
      </c>
      <c r="Y1107" t="e">
        <f>IF(X1107&lt;&gt;"",VLOOKUP(X1107,game_rosters!$C$43:$E$64,3,FALSE))</f>
        <v>#N/A</v>
      </c>
      <c r="Z1107" cm="1">
        <f t="array" ref="Z1107">IFERROR(IF(_xlfn._xlws.FILTER(game_rosters!$J:$J,(game_rosters!$G:$G=events!$AN1107)*(game_rosters!$J:$J=events!$X1107))&gt;0,1,""),"")</f>
        <v>1</v>
      </c>
      <c r="AA1107">
        <f t="shared" si="733"/>
        <v>1600</v>
      </c>
      <c r="AB1107" t="str">
        <f t="shared" si="734"/>
        <v/>
      </c>
      <c r="AC1107">
        <f t="shared" si="772"/>
        <v>1600</v>
      </c>
      <c r="AD1107" s="6">
        <v>2</v>
      </c>
      <c r="AE1107" t="s">
        <v>754</v>
      </c>
      <c r="AF1107" t="s">
        <v>919</v>
      </c>
      <c r="AG1107" t="s">
        <v>754</v>
      </c>
      <c r="AH1107" t="s">
        <v>743</v>
      </c>
      <c r="AI1107" t="s">
        <v>367</v>
      </c>
      <c r="AJ1107" t="str">
        <f t="shared" ref="AJ1107:AK1107" si="813">IF($J1107&lt;&gt;"",$J1107,IF($AC1107=$AC1106,AJ1106,""))</f>
        <v/>
      </c>
      <c r="AK1107" t="str">
        <f t="shared" si="813"/>
        <v/>
      </c>
      <c r="AL1107" t="str">
        <f t="shared" si="777"/>
        <v/>
      </c>
      <c r="AN1107" t="s">
        <v>862</v>
      </c>
      <c r="AO1107" t="str">
        <f t="shared" si="778"/>
        <v>a</v>
      </c>
      <c r="AP1107" t="str">
        <f t="shared" si="786"/>
        <v/>
      </c>
      <c r="AQ1107" t="str">
        <f t="shared" si="787"/>
        <v/>
      </c>
      <c r="AR1107" t="str">
        <f t="shared" si="788"/>
        <v>Away</v>
      </c>
      <c r="AS1107" t="str">
        <f t="shared" si="789"/>
        <v>a</v>
      </c>
      <c r="AT1107" t="str">
        <f t="shared" si="790"/>
        <v>Offensive</v>
      </c>
      <c r="BA1107" s="6">
        <f t="shared" si="779"/>
        <v>282</v>
      </c>
      <c r="BB1107">
        <f t="shared" si="780"/>
        <v>18981</v>
      </c>
      <c r="BC1107" t="str">
        <f t="shared" si="781"/>
        <v>Nelson</v>
      </c>
      <c r="BD1107" t="str">
        <f t="shared" si="782"/>
        <v>Velodrome</v>
      </c>
      <c r="BE1107" t="s">
        <v>13</v>
      </c>
      <c r="BF1107" t="s">
        <v>756</v>
      </c>
      <c r="BG1107" t="s">
        <v>756</v>
      </c>
      <c r="BI1107" cm="1">
        <f t="array" ref="BI1107">IFERROR(_xlfn._xlws.FILTER(shifts!A:A,(shifts!B:B=events!AD1107)*(shifts!AG:AG&gt;=events!BK1107)*(shifts!AH:AH&lt;=events!BL1107)),BI1106)</f>
        <v>51</v>
      </c>
      <c r="BJ1107" s="15">
        <f t="shared" si="783"/>
        <v>2</v>
      </c>
      <c r="BK1107">
        <f t="shared" si="791"/>
        <v>680</v>
      </c>
      <c r="BL1107">
        <f t="shared" si="792"/>
        <v>678</v>
      </c>
      <c r="BM1107" s="15">
        <f>SUMIFS(BJ$2:BJ1107,K$2:K1107,"=Intermission")+SUMIFS(BJ$2:BJ1107,K$2:K1107,"=Timeout")</f>
        <v>72</v>
      </c>
      <c r="BN1107">
        <f t="shared" si="793"/>
        <v>1152</v>
      </c>
      <c r="BO1107" s="19">
        <f t="shared" si="794"/>
        <v>1552</v>
      </c>
      <c r="BP1107">
        <f t="shared" si="795"/>
        <v>1547</v>
      </c>
      <c r="BQ1107" s="17">
        <f t="shared" si="796"/>
        <v>1554</v>
      </c>
      <c r="BR1107" t="str">
        <f t="shared" si="797"/>
        <v>event_team_player_1</v>
      </c>
      <c r="BS1107">
        <f>COUNTIFS(S$3:S1107,"="&amp;S1107,AI$3:AI1107,"="&amp;AI1107)</f>
        <v>1</v>
      </c>
      <c r="BT1107" t="str">
        <f>IFERROR(VLOOKUP(BB1107&amp;BU1107&amp;X1107,game_rosters!U:W,3,FALSE),"")</f>
        <v>P100002</v>
      </c>
      <c r="BU1107" t="str">
        <f t="shared" si="798"/>
        <v>Velodrome</v>
      </c>
    </row>
    <row r="1108" spans="1:73" x14ac:dyDescent="0.2">
      <c r="A1108">
        <f t="shared" si="784"/>
        <v>1</v>
      </c>
      <c r="J1108" s="44" t="str">
        <f t="shared" si="799"/>
        <v/>
      </c>
      <c r="K1108" t="s">
        <v>13</v>
      </c>
      <c r="L1108" t="s">
        <v>756</v>
      </c>
      <c r="M1108" t="s">
        <v>756</v>
      </c>
      <c r="S1108">
        <v>600</v>
      </c>
      <c r="W1108" t="str">
        <f t="shared" si="775"/>
        <v>a</v>
      </c>
      <c r="X1108">
        <v>8</v>
      </c>
      <c r="Y1108" t="b">
        <f>IF(X1108&lt;&gt;"",VLOOKUP(X1108,game_rosters!$C$43:$E$64,3,FALSE))</f>
        <v>0</v>
      </c>
      <c r="Z1108" t="str" cm="1">
        <f t="array" ref="Z1108">IFERROR(IF(_xlfn._xlws.FILTER(game_rosters!$J:$J,(game_rosters!$G:$G=events!$AN1108)*(game_rosters!$J:$J=events!$X1108))&gt;0,1,""),"")</f>
        <v/>
      </c>
      <c r="AA1108">
        <f t="shared" si="733"/>
        <v>1600</v>
      </c>
      <c r="AB1108" t="str">
        <f t="shared" si="734"/>
        <v/>
      </c>
      <c r="AC1108">
        <f t="shared" si="772"/>
        <v>1600</v>
      </c>
      <c r="AD1108" s="6">
        <v>2</v>
      </c>
      <c r="AE1108" t="s">
        <v>754</v>
      </c>
      <c r="AF1108" t="s">
        <v>919</v>
      </c>
      <c r="AG1108" t="s">
        <v>754</v>
      </c>
      <c r="AH1108" t="s">
        <v>743</v>
      </c>
      <c r="AI1108" t="s">
        <v>368</v>
      </c>
      <c r="AJ1108" t="str">
        <f t="shared" ref="AJ1108:AK1108" si="814">IF($J1108&lt;&gt;"",$J1108,IF($AC1108=$AC1107,AJ1107,""))</f>
        <v/>
      </c>
      <c r="AK1108" t="str">
        <f t="shared" si="814"/>
        <v/>
      </c>
      <c r="AL1108" t="str">
        <f t="shared" si="777"/>
        <v/>
      </c>
      <c r="AN1108" t="s">
        <v>862</v>
      </c>
      <c r="AO1108" t="str">
        <f t="shared" si="778"/>
        <v>a</v>
      </c>
      <c r="AP1108" t="str">
        <f t="shared" si="786"/>
        <v/>
      </c>
      <c r="AQ1108" t="str">
        <f t="shared" si="787"/>
        <v/>
      </c>
      <c r="AR1108" t="str">
        <f t="shared" si="788"/>
        <v>Away</v>
      </c>
      <c r="AS1108" t="str">
        <f t="shared" si="789"/>
        <v>a</v>
      </c>
      <c r="AT1108" t="str">
        <f t="shared" si="790"/>
        <v>Defensive</v>
      </c>
      <c r="BA1108" s="6">
        <f t="shared" si="779"/>
        <v>282</v>
      </c>
      <c r="BB1108">
        <f t="shared" si="780"/>
        <v>18981</v>
      </c>
      <c r="BC1108" t="str">
        <f t="shared" si="781"/>
        <v>Nelson</v>
      </c>
      <c r="BD1108" t="str">
        <f t="shared" si="782"/>
        <v>Velodrome</v>
      </c>
      <c r="BE1108" t="s">
        <v>13</v>
      </c>
      <c r="BF1108" t="s">
        <v>756</v>
      </c>
      <c r="BG1108" t="s">
        <v>756</v>
      </c>
      <c r="BI1108" cm="1">
        <f t="array" ref="BI1108">IFERROR(_xlfn._xlws.FILTER(shifts!A:A,(shifts!B:B=events!AD1108)*(shifts!AG:AG&gt;=events!BK1108)*(shifts!AH:AH&lt;=events!BL1108)),BI1107)</f>
        <v>51</v>
      </c>
      <c r="BJ1108" s="15">
        <f t="shared" si="783"/>
        <v>2</v>
      </c>
      <c r="BK1108">
        <f t="shared" si="791"/>
        <v>680</v>
      </c>
      <c r="BL1108">
        <f t="shared" si="792"/>
        <v>678</v>
      </c>
      <c r="BM1108" s="15">
        <f>SUMIFS(BJ$2:BJ1108,K$2:K1108,"=Intermission")+SUMIFS(BJ$2:BJ1108,K$2:K1108,"=Timeout")</f>
        <v>72</v>
      </c>
      <c r="BN1108">
        <f t="shared" si="793"/>
        <v>1152</v>
      </c>
      <c r="BO1108" s="19">
        <f t="shared" si="794"/>
        <v>1552</v>
      </c>
      <c r="BP1108">
        <f t="shared" si="795"/>
        <v>1547</v>
      </c>
      <c r="BQ1108" s="17">
        <f t="shared" si="796"/>
        <v>1554</v>
      </c>
      <c r="BR1108" t="str">
        <f t="shared" si="797"/>
        <v>opp_team_player_1</v>
      </c>
      <c r="BS1108">
        <f>COUNTIFS(S$3:S1108,"="&amp;S1108,AI$3:AI1108,"="&amp;AI1108)</f>
        <v>1</v>
      </c>
      <c r="BT1108" t="str">
        <f>IFERROR(VLOOKUP(BB1108&amp;BU1108&amp;X1108,game_rosters!U:W,3,FALSE),"")</f>
        <v>P100074</v>
      </c>
      <c r="BU1108" t="str">
        <f t="shared" si="798"/>
        <v>Nelson</v>
      </c>
    </row>
    <row r="1109" spans="1:73" x14ac:dyDescent="0.2">
      <c r="A1109">
        <f t="shared" si="784"/>
        <v>1</v>
      </c>
      <c r="J1109" s="44" t="str">
        <f t="shared" si="799"/>
        <v>o</v>
      </c>
      <c r="K1109" t="s">
        <v>6</v>
      </c>
      <c r="L1109" t="s">
        <v>205</v>
      </c>
      <c r="M1109" t="s">
        <v>51</v>
      </c>
      <c r="S1109">
        <v>601</v>
      </c>
      <c r="W1109" t="str">
        <f t="shared" si="775"/>
        <v>a</v>
      </c>
      <c r="X1109">
        <v>91</v>
      </c>
      <c r="Y1109" t="e">
        <f>IF(X1109&lt;&gt;"",VLOOKUP(X1109,game_rosters!$C$43:$E$64,3,FALSE))</f>
        <v>#N/A</v>
      </c>
      <c r="Z1109" cm="1">
        <f t="array" ref="Z1109">IFERROR(IF(_xlfn._xlws.FILTER(game_rosters!$J:$J,(game_rosters!$G:$G=events!$AN1109)*(game_rosters!$J:$J=events!$X1109))&gt;0,1,""),"")</f>
        <v>1</v>
      </c>
      <c r="AA1109">
        <f t="shared" si="733"/>
        <v>1601</v>
      </c>
      <c r="AB1109" t="str">
        <f t="shared" si="734"/>
        <v/>
      </c>
      <c r="AC1109">
        <f t="shared" si="772"/>
        <v>1601</v>
      </c>
      <c r="AD1109" s="6">
        <v>2</v>
      </c>
      <c r="AE1109" t="s">
        <v>754</v>
      </c>
      <c r="AF1109" t="s">
        <v>743</v>
      </c>
      <c r="AG1109" t="s">
        <v>756</v>
      </c>
      <c r="AH1109" t="s">
        <v>756</v>
      </c>
      <c r="AI1109" t="s">
        <v>367</v>
      </c>
      <c r="AJ1109" t="str">
        <f t="shared" ref="AJ1109:AK1109" si="815">IF($J1109&lt;&gt;"",$J1109,IF($AC1109=$AC1108,AJ1108,""))</f>
        <v>o</v>
      </c>
      <c r="AK1109" t="str">
        <f t="shared" si="815"/>
        <v>o</v>
      </c>
      <c r="AL1109" t="str">
        <f t="shared" si="777"/>
        <v>d</v>
      </c>
      <c r="AN1109" t="s">
        <v>862</v>
      </c>
      <c r="AO1109" t="str">
        <f t="shared" si="778"/>
        <v>a</v>
      </c>
      <c r="AP1109" t="str">
        <f t="shared" si="786"/>
        <v>d</v>
      </c>
      <c r="AQ1109" t="str">
        <f t="shared" si="787"/>
        <v/>
      </c>
      <c r="AR1109" t="str">
        <f t="shared" si="788"/>
        <v>Away</v>
      </c>
      <c r="AS1109" t="str">
        <f t="shared" si="789"/>
        <v>a</v>
      </c>
      <c r="AT1109" t="str">
        <f t="shared" si="790"/>
        <v>Offensive</v>
      </c>
      <c r="BA1109" s="6">
        <f t="shared" si="779"/>
        <v>282</v>
      </c>
      <c r="BB1109">
        <f t="shared" si="780"/>
        <v>18981</v>
      </c>
      <c r="BC1109" t="str">
        <f t="shared" si="781"/>
        <v>Nelson</v>
      </c>
      <c r="BD1109" t="str">
        <f t="shared" si="782"/>
        <v>Velodrome</v>
      </c>
      <c r="BE1109" t="s">
        <v>6</v>
      </c>
      <c r="BF1109" t="s">
        <v>205</v>
      </c>
      <c r="BG1109" t="s">
        <v>51</v>
      </c>
      <c r="BI1109" cm="1">
        <f t="array" ref="BI1109">IFERROR(_xlfn._xlws.FILTER(shifts!A:A,(shifts!B:B=events!AD1109)*(shifts!AG:AG&gt;=events!BK1109)*(shifts!AH:AH&lt;=events!BL1109)),BI1108)</f>
        <v>51</v>
      </c>
      <c r="BJ1109" s="15">
        <f t="shared" si="783"/>
        <v>0</v>
      </c>
      <c r="BK1109">
        <f t="shared" si="791"/>
        <v>678</v>
      </c>
      <c r="BL1109">
        <f t="shared" si="792"/>
        <v>678</v>
      </c>
      <c r="BM1109" s="15">
        <f>SUMIFS(BJ$2:BJ1109,K$2:K1109,"=Intermission")+SUMIFS(BJ$2:BJ1109,K$2:K1109,"=Timeout")</f>
        <v>72</v>
      </c>
      <c r="BN1109">
        <f t="shared" si="793"/>
        <v>1152</v>
      </c>
      <c r="BO1109" s="19">
        <f t="shared" si="794"/>
        <v>1554</v>
      </c>
      <c r="BP1109">
        <f t="shared" si="795"/>
        <v>1549</v>
      </c>
      <c r="BQ1109" s="17">
        <f t="shared" si="796"/>
        <v>1554</v>
      </c>
      <c r="BR1109" t="str">
        <f t="shared" si="797"/>
        <v>event_team_player_1</v>
      </c>
      <c r="BS1109">
        <f>COUNTIFS(S$3:S1109,"="&amp;S1109,AI$3:AI1109,"="&amp;AI1109)</f>
        <v>1</v>
      </c>
      <c r="BT1109" t="str">
        <f>IFERROR(VLOOKUP(BB1109&amp;BU1109&amp;X1109,game_rosters!U:W,3,FALSE),"")</f>
        <v>P100002</v>
      </c>
      <c r="BU1109" t="str">
        <f t="shared" si="798"/>
        <v>Velodrome</v>
      </c>
    </row>
    <row r="1110" spans="1:73" x14ac:dyDescent="0.2">
      <c r="A1110">
        <f t="shared" si="784"/>
        <v>1</v>
      </c>
      <c r="J1110" s="44" t="str">
        <f t="shared" si="799"/>
        <v>o</v>
      </c>
      <c r="K1110" t="s">
        <v>6</v>
      </c>
      <c r="L1110" t="s">
        <v>205</v>
      </c>
      <c r="M1110" t="s">
        <v>51</v>
      </c>
      <c r="S1110">
        <v>601</v>
      </c>
      <c r="W1110" t="str">
        <f t="shared" si="775"/>
        <v>a</v>
      </c>
      <c r="X1110">
        <v>70</v>
      </c>
      <c r="Y1110" t="e">
        <f>IF(X1110&lt;&gt;"",VLOOKUP(X1110,game_rosters!$C$43:$E$64,3,FALSE))</f>
        <v>#N/A</v>
      </c>
      <c r="Z1110" cm="1">
        <f t="array" ref="Z1110">IFERROR(IF(_xlfn._xlws.FILTER(game_rosters!$J:$J,(game_rosters!$G:$G=events!$AN1110)*(game_rosters!$J:$J=events!$X1110))&gt;0,1,""),"")</f>
        <v>1</v>
      </c>
      <c r="AA1110">
        <f t="shared" si="733"/>
        <v>1601</v>
      </c>
      <c r="AB1110" t="str">
        <f t="shared" si="734"/>
        <v/>
      </c>
      <c r="AC1110">
        <f t="shared" si="772"/>
        <v>1601</v>
      </c>
      <c r="AD1110" s="6">
        <v>2</v>
      </c>
      <c r="AE1110" t="s">
        <v>754</v>
      </c>
      <c r="AF1110" t="s">
        <v>743</v>
      </c>
      <c r="AG1110" t="s">
        <v>756</v>
      </c>
      <c r="AH1110" t="s">
        <v>756</v>
      </c>
      <c r="AI1110" t="s">
        <v>367</v>
      </c>
      <c r="AJ1110" t="str">
        <f t="shared" ref="AJ1110:AK1110" si="816">IF($J1110&lt;&gt;"",$J1110,IF($AC1110=$AC1109,AJ1109,""))</f>
        <v>o</v>
      </c>
      <c r="AK1110" t="str">
        <f t="shared" si="816"/>
        <v>o</v>
      </c>
      <c r="AL1110" t="str">
        <f t="shared" si="777"/>
        <v>d</v>
      </c>
      <c r="AN1110" t="s">
        <v>862</v>
      </c>
      <c r="AO1110" t="str">
        <f t="shared" si="778"/>
        <v>a</v>
      </c>
      <c r="AP1110" t="str">
        <f t="shared" si="786"/>
        <v>d</v>
      </c>
      <c r="AQ1110" t="str">
        <f t="shared" si="787"/>
        <v/>
      </c>
      <c r="AR1110" t="str">
        <f t="shared" si="788"/>
        <v>Away</v>
      </c>
      <c r="AS1110" t="str">
        <f t="shared" si="789"/>
        <v>a</v>
      </c>
      <c r="AT1110" t="str">
        <f t="shared" si="790"/>
        <v>Offensive</v>
      </c>
      <c r="BA1110" s="6">
        <f t="shared" si="779"/>
        <v>282</v>
      </c>
      <c r="BB1110">
        <f t="shared" si="780"/>
        <v>18981</v>
      </c>
      <c r="BC1110" t="str">
        <f t="shared" si="781"/>
        <v>Nelson</v>
      </c>
      <c r="BD1110" t="str">
        <f t="shared" si="782"/>
        <v>Velodrome</v>
      </c>
      <c r="BE1110" t="s">
        <v>6</v>
      </c>
      <c r="BF1110" t="s">
        <v>205</v>
      </c>
      <c r="BG1110" t="s">
        <v>51</v>
      </c>
      <c r="BI1110" cm="1">
        <f t="array" ref="BI1110">IFERROR(_xlfn._xlws.FILTER(shifts!A:A,(shifts!B:B=events!AD1110)*(shifts!AG:AG&gt;=events!BK1110)*(shifts!AH:AH&lt;=events!BL1110)),BI1109)</f>
        <v>51</v>
      </c>
      <c r="BJ1110" s="15">
        <f t="shared" si="783"/>
        <v>0</v>
      </c>
      <c r="BK1110">
        <f t="shared" si="791"/>
        <v>678</v>
      </c>
      <c r="BL1110">
        <f t="shared" si="792"/>
        <v>678</v>
      </c>
      <c r="BM1110" s="15">
        <f>SUMIFS(BJ$2:BJ1110,K$2:K1110,"=Intermission")+SUMIFS(BJ$2:BJ1110,K$2:K1110,"=Timeout")</f>
        <v>72</v>
      </c>
      <c r="BN1110">
        <f t="shared" si="793"/>
        <v>1152</v>
      </c>
      <c r="BO1110" s="19">
        <f t="shared" si="794"/>
        <v>1554</v>
      </c>
      <c r="BP1110">
        <f t="shared" si="795"/>
        <v>1549</v>
      </c>
      <c r="BQ1110" s="17">
        <f t="shared" si="796"/>
        <v>1554</v>
      </c>
      <c r="BR1110" t="str">
        <f t="shared" si="797"/>
        <v>event_team_player_2</v>
      </c>
      <c r="BS1110">
        <f>COUNTIFS(S$3:S1110,"="&amp;S1110,AI$3:AI1110,"="&amp;AI1110)</f>
        <v>2</v>
      </c>
      <c r="BT1110" t="str">
        <f>IFERROR(VLOOKUP(BB1110&amp;BU1110&amp;X1110,game_rosters!U:W,3,FALSE),"")</f>
        <v>P100001</v>
      </c>
      <c r="BU1110" t="str">
        <f t="shared" si="798"/>
        <v>Velodrome</v>
      </c>
    </row>
    <row r="1111" spans="1:73" x14ac:dyDescent="0.2">
      <c r="A1111">
        <f t="shared" si="784"/>
        <v>1</v>
      </c>
      <c r="J1111" s="44" t="str">
        <f t="shared" si="799"/>
        <v>o</v>
      </c>
      <c r="K1111" t="s">
        <v>6</v>
      </c>
      <c r="L1111" t="s">
        <v>205</v>
      </c>
      <c r="M1111" t="s">
        <v>51</v>
      </c>
      <c r="S1111">
        <v>601</v>
      </c>
      <c r="W1111" t="str">
        <f t="shared" si="775"/>
        <v>a</v>
      </c>
      <c r="X1111">
        <v>31</v>
      </c>
      <c r="Y1111" t="b">
        <f>IF(X1111&lt;&gt;"",VLOOKUP(X1111,game_rosters!$C$43:$E$64,3,FALSE))</f>
        <v>0</v>
      </c>
      <c r="Z1111" t="str" cm="1">
        <f t="array" ref="Z1111">IFERROR(IF(_xlfn._xlws.FILTER(game_rosters!$J:$J,(game_rosters!$G:$G=events!$AN1111)*(game_rosters!$J:$J=events!$X1111))&gt;0,1,""),"")</f>
        <v/>
      </c>
      <c r="AA1111">
        <f t="shared" si="733"/>
        <v>1601</v>
      </c>
      <c r="AB1111" t="str">
        <f t="shared" si="734"/>
        <v/>
      </c>
      <c r="AC1111">
        <f t="shared" si="772"/>
        <v>1601</v>
      </c>
      <c r="AD1111" s="6">
        <v>2</v>
      </c>
      <c r="AE1111" t="s">
        <v>754</v>
      </c>
      <c r="AF1111" t="s">
        <v>743</v>
      </c>
      <c r="AG1111" t="s">
        <v>756</v>
      </c>
      <c r="AH1111" t="s">
        <v>756</v>
      </c>
      <c r="AI1111" t="s">
        <v>368</v>
      </c>
      <c r="AJ1111" t="str">
        <f t="shared" ref="AJ1111:AK1111" si="817">IF($J1111&lt;&gt;"",$J1111,IF($AC1111=$AC1110,AJ1110,""))</f>
        <v>o</v>
      </c>
      <c r="AK1111" t="str">
        <f t="shared" si="817"/>
        <v>o</v>
      </c>
      <c r="AL1111" t="str">
        <f t="shared" si="777"/>
        <v>d</v>
      </c>
      <c r="AN1111" t="s">
        <v>862</v>
      </c>
      <c r="AO1111" t="str">
        <f t="shared" si="778"/>
        <v>a</v>
      </c>
      <c r="AP1111" t="str">
        <f t="shared" si="786"/>
        <v>d</v>
      </c>
      <c r="AQ1111" t="str">
        <f t="shared" si="787"/>
        <v/>
      </c>
      <c r="AR1111" t="str">
        <f t="shared" si="788"/>
        <v>Away</v>
      </c>
      <c r="AS1111" t="str">
        <f t="shared" si="789"/>
        <v>a</v>
      </c>
      <c r="AT1111" t="str">
        <f t="shared" si="790"/>
        <v>Defensive</v>
      </c>
      <c r="BA1111" s="6">
        <f t="shared" si="779"/>
        <v>282</v>
      </c>
      <c r="BB1111">
        <f t="shared" si="780"/>
        <v>18981</v>
      </c>
      <c r="BC1111" t="str">
        <f t="shared" si="781"/>
        <v>Nelson</v>
      </c>
      <c r="BD1111" t="str">
        <f t="shared" si="782"/>
        <v>Velodrome</v>
      </c>
      <c r="BE1111" t="s">
        <v>6</v>
      </c>
      <c r="BF1111" t="s">
        <v>205</v>
      </c>
      <c r="BG1111" t="s">
        <v>51</v>
      </c>
      <c r="BI1111" cm="1">
        <f t="array" ref="BI1111">IFERROR(_xlfn._xlws.FILTER(shifts!A:A,(shifts!B:B=events!AD1111)*(shifts!AG:AG&gt;=events!BK1111)*(shifts!AH:AH&lt;=events!BL1111)),BI1110)</f>
        <v>51</v>
      </c>
      <c r="BJ1111" s="15">
        <f t="shared" si="783"/>
        <v>0</v>
      </c>
      <c r="BK1111">
        <f t="shared" si="791"/>
        <v>678</v>
      </c>
      <c r="BL1111">
        <f t="shared" si="792"/>
        <v>678</v>
      </c>
      <c r="BM1111" s="15">
        <f>SUMIFS(BJ$2:BJ1111,K$2:K1111,"=Intermission")+SUMIFS(BJ$2:BJ1111,K$2:K1111,"=Timeout")</f>
        <v>72</v>
      </c>
      <c r="BN1111">
        <f t="shared" si="793"/>
        <v>1152</v>
      </c>
      <c r="BO1111" s="19">
        <f t="shared" si="794"/>
        <v>1554</v>
      </c>
      <c r="BP1111">
        <f t="shared" si="795"/>
        <v>1549</v>
      </c>
      <c r="BQ1111" s="17">
        <f t="shared" si="796"/>
        <v>1554</v>
      </c>
      <c r="BR1111" t="str">
        <f t="shared" si="797"/>
        <v>opp_team_player_1</v>
      </c>
      <c r="BS1111">
        <f>COUNTIFS(S$3:S1111,"="&amp;S1111,AI$3:AI1111,"="&amp;AI1111)</f>
        <v>1</v>
      </c>
      <c r="BT1111" t="str">
        <f>IFERROR(VLOOKUP(BB1111&amp;BU1111&amp;X1111,game_rosters!U:W,3,FALSE),"")</f>
        <v>P100138</v>
      </c>
      <c r="BU1111" t="str">
        <f t="shared" si="798"/>
        <v>Nelson</v>
      </c>
    </row>
    <row r="1112" spans="1:73" x14ac:dyDescent="0.2">
      <c r="A1112">
        <f t="shared" si="784"/>
        <v>1</v>
      </c>
      <c r="J1112" s="44" t="str">
        <f t="shared" si="799"/>
        <v>o</v>
      </c>
      <c r="K1112" t="s">
        <v>6</v>
      </c>
      <c r="L1112" t="s">
        <v>205</v>
      </c>
      <c r="M1112" t="s">
        <v>51</v>
      </c>
      <c r="S1112">
        <v>601</v>
      </c>
      <c r="W1112" t="str">
        <f t="shared" si="775"/>
        <v>a</v>
      </c>
      <c r="X1112">
        <v>8</v>
      </c>
      <c r="Y1112" t="b">
        <f>IF(X1112&lt;&gt;"",VLOOKUP(X1112,game_rosters!$C$43:$E$64,3,FALSE))</f>
        <v>0</v>
      </c>
      <c r="Z1112" t="str" cm="1">
        <f t="array" ref="Z1112">IFERROR(IF(_xlfn._xlws.FILTER(game_rosters!$J:$J,(game_rosters!$G:$G=events!$AN1112)*(game_rosters!$J:$J=events!$X1112))&gt;0,1,""),"")</f>
        <v/>
      </c>
      <c r="AA1112">
        <f t="shared" si="733"/>
        <v>1601</v>
      </c>
      <c r="AB1112" t="str">
        <f t="shared" si="734"/>
        <v/>
      </c>
      <c r="AC1112">
        <f t="shared" si="772"/>
        <v>1601</v>
      </c>
      <c r="AD1112" s="6">
        <v>2</v>
      </c>
      <c r="AE1112" t="s">
        <v>754</v>
      </c>
      <c r="AF1112" t="s">
        <v>743</v>
      </c>
      <c r="AG1112" t="s">
        <v>756</v>
      </c>
      <c r="AH1112" t="s">
        <v>756</v>
      </c>
      <c r="AI1112" t="s">
        <v>368</v>
      </c>
      <c r="AJ1112" t="str">
        <f t="shared" ref="AJ1112:AK1112" si="818">IF($J1112&lt;&gt;"",$J1112,IF($AC1112=$AC1111,AJ1111,""))</f>
        <v>o</v>
      </c>
      <c r="AK1112" t="str">
        <f t="shared" si="818"/>
        <v>o</v>
      </c>
      <c r="AL1112" t="str">
        <f t="shared" si="777"/>
        <v>d</v>
      </c>
      <c r="AN1112" t="s">
        <v>862</v>
      </c>
      <c r="AO1112" t="str">
        <f t="shared" si="778"/>
        <v>a</v>
      </c>
      <c r="AP1112" t="str">
        <f t="shared" si="786"/>
        <v>d</v>
      </c>
      <c r="AQ1112" t="str">
        <f t="shared" si="787"/>
        <v/>
      </c>
      <c r="AR1112" t="str">
        <f t="shared" si="788"/>
        <v>Away</v>
      </c>
      <c r="AS1112" t="str">
        <f t="shared" si="789"/>
        <v>a</v>
      </c>
      <c r="AT1112" t="str">
        <f t="shared" si="790"/>
        <v>Defensive</v>
      </c>
      <c r="BA1112" s="6">
        <f t="shared" si="779"/>
        <v>282</v>
      </c>
      <c r="BB1112">
        <f t="shared" si="780"/>
        <v>18981</v>
      </c>
      <c r="BC1112" t="str">
        <f t="shared" si="781"/>
        <v>Nelson</v>
      </c>
      <c r="BD1112" t="str">
        <f t="shared" si="782"/>
        <v>Velodrome</v>
      </c>
      <c r="BE1112" t="s">
        <v>6</v>
      </c>
      <c r="BF1112" t="s">
        <v>205</v>
      </c>
      <c r="BG1112" t="s">
        <v>51</v>
      </c>
      <c r="BI1112" cm="1">
        <f t="array" ref="BI1112">IFERROR(_xlfn._xlws.FILTER(shifts!A:A,(shifts!B:B=events!AD1112)*(shifts!AG:AG&gt;=events!BK1112)*(shifts!AH:AH&lt;=events!BL1112)),BI1111)</f>
        <v>51</v>
      </c>
      <c r="BJ1112" s="15">
        <f t="shared" si="783"/>
        <v>0</v>
      </c>
      <c r="BK1112">
        <f t="shared" si="791"/>
        <v>678</v>
      </c>
      <c r="BL1112">
        <f t="shared" si="792"/>
        <v>678</v>
      </c>
      <c r="BM1112" s="15">
        <f>SUMIFS(BJ$2:BJ1112,K$2:K1112,"=Intermission")+SUMIFS(BJ$2:BJ1112,K$2:K1112,"=Timeout")</f>
        <v>72</v>
      </c>
      <c r="BN1112">
        <f t="shared" si="793"/>
        <v>1152</v>
      </c>
      <c r="BO1112" s="19">
        <f t="shared" si="794"/>
        <v>1554</v>
      </c>
      <c r="BP1112">
        <f t="shared" si="795"/>
        <v>1549</v>
      </c>
      <c r="BQ1112" s="17">
        <f t="shared" si="796"/>
        <v>1554</v>
      </c>
      <c r="BR1112" t="str">
        <f t="shared" si="797"/>
        <v>opp_team_player_2</v>
      </c>
      <c r="BS1112">
        <f>COUNTIFS(S$3:S1112,"="&amp;S1112,AI$3:AI1112,"="&amp;AI1112)</f>
        <v>2</v>
      </c>
      <c r="BT1112" t="str">
        <f>IFERROR(VLOOKUP(BB1112&amp;BU1112&amp;X1112,game_rosters!U:W,3,FALSE),"")</f>
        <v>P100074</v>
      </c>
      <c r="BU1112" t="str">
        <f t="shared" si="798"/>
        <v>Nelson</v>
      </c>
    </row>
    <row r="1113" spans="1:73" x14ac:dyDescent="0.2">
      <c r="A1113">
        <f t="shared" si="784"/>
        <v>1</v>
      </c>
      <c r="J1113" s="44" t="str">
        <f t="shared" si="799"/>
        <v>d</v>
      </c>
      <c r="K1113" t="s">
        <v>15</v>
      </c>
      <c r="L1113" t="s">
        <v>179</v>
      </c>
      <c r="M1113" t="s">
        <v>97</v>
      </c>
      <c r="S1113">
        <v>602</v>
      </c>
      <c r="W1113" t="str">
        <f t="shared" si="775"/>
        <v>h</v>
      </c>
      <c r="X1113">
        <v>31</v>
      </c>
      <c r="Y1113" t="b">
        <f>IF(X1113&lt;&gt;"",VLOOKUP(X1113,game_rosters!$C$43:$E$64,3,FALSE))</f>
        <v>0</v>
      </c>
      <c r="Z1113" cm="1">
        <f t="array" ref="Z1113">IFERROR(IF(_xlfn._xlws.FILTER(game_rosters!$J:$J,(game_rosters!$G:$G=events!$AN1113)*(game_rosters!$J:$J=events!$X1113))&gt;0,1,""),"")</f>
        <v>1</v>
      </c>
      <c r="AA1113">
        <f t="shared" si="733"/>
        <v>1602</v>
      </c>
      <c r="AB1113" t="str">
        <f t="shared" si="734"/>
        <v/>
      </c>
      <c r="AC1113">
        <f t="shared" si="772"/>
        <v>1602</v>
      </c>
      <c r="AD1113" s="6">
        <v>2</v>
      </c>
      <c r="AE1113" t="s">
        <v>754</v>
      </c>
      <c r="AF1113" t="s">
        <v>743</v>
      </c>
      <c r="AG1113" t="s">
        <v>756</v>
      </c>
      <c r="AH1113" t="s">
        <v>756</v>
      </c>
      <c r="AI1113" t="s">
        <v>367</v>
      </c>
      <c r="AJ1113" t="str">
        <f t="shared" ref="AJ1113:AK1113" si="819">IF($J1113&lt;&gt;"",$J1113,IF($AC1113=$AC1112,AJ1112,""))</f>
        <v>d</v>
      </c>
      <c r="AK1113" t="str">
        <f t="shared" si="819"/>
        <v>d</v>
      </c>
      <c r="AL1113" t="str">
        <f t="shared" si="777"/>
        <v>d</v>
      </c>
      <c r="AN1113" t="s">
        <v>861</v>
      </c>
      <c r="AO1113" t="str">
        <f t="shared" si="778"/>
        <v>h</v>
      </c>
      <c r="AP1113" t="str">
        <f t="shared" si="786"/>
        <v>d</v>
      </c>
      <c r="AQ1113" t="str">
        <f t="shared" si="787"/>
        <v/>
      </c>
      <c r="AR1113" t="str">
        <f t="shared" si="788"/>
        <v>Home</v>
      </c>
      <c r="AS1113" t="str">
        <f t="shared" si="789"/>
        <v>h</v>
      </c>
      <c r="AT1113" t="str">
        <f t="shared" si="790"/>
        <v>Defensive</v>
      </c>
      <c r="BA1113" s="6">
        <f t="shared" si="779"/>
        <v>282</v>
      </c>
      <c r="BB1113">
        <f t="shared" si="780"/>
        <v>18981</v>
      </c>
      <c r="BC1113" t="str">
        <f t="shared" si="781"/>
        <v>Nelson</v>
      </c>
      <c r="BD1113" t="str">
        <f t="shared" si="782"/>
        <v>Velodrome</v>
      </c>
      <c r="BE1113" t="s">
        <v>15</v>
      </c>
      <c r="BF1113" t="s">
        <v>179</v>
      </c>
      <c r="BG1113" t="s">
        <v>97</v>
      </c>
      <c r="BI1113" cm="1">
        <f t="array" ref="BI1113">IFERROR(_xlfn._xlws.FILTER(shifts!A:A,(shifts!B:B=events!AD1113)*(shifts!AG:AG&gt;=events!BK1113)*(shifts!AH:AH&lt;=events!BL1113)),BI1112)</f>
        <v>51</v>
      </c>
      <c r="BJ1113" s="15">
        <f t="shared" si="783"/>
        <v>0</v>
      </c>
      <c r="BK1113">
        <f t="shared" si="791"/>
        <v>678</v>
      </c>
      <c r="BL1113">
        <f t="shared" si="792"/>
        <v>678</v>
      </c>
      <c r="BM1113" s="15">
        <f>SUMIFS(BJ$2:BJ1113,K$2:K1113,"=Intermission")+SUMIFS(BJ$2:BJ1113,K$2:K1113,"=Timeout")</f>
        <v>72</v>
      </c>
      <c r="BN1113">
        <f t="shared" si="793"/>
        <v>1152</v>
      </c>
      <c r="BO1113" s="19">
        <f t="shared" si="794"/>
        <v>1554</v>
      </c>
      <c r="BP1113">
        <f t="shared" si="795"/>
        <v>1549</v>
      </c>
      <c r="BQ1113" s="17">
        <f t="shared" si="796"/>
        <v>1554</v>
      </c>
      <c r="BR1113" t="str">
        <f t="shared" si="797"/>
        <v>event_team_player_1</v>
      </c>
      <c r="BS1113">
        <f>COUNTIFS(S$3:S1113,"="&amp;S1113,AI$3:AI1113,"="&amp;AI1113)</f>
        <v>1</v>
      </c>
      <c r="BT1113" t="str">
        <f>IFERROR(VLOOKUP(BB1113&amp;BU1113&amp;X1113,game_rosters!U:W,3,FALSE),"")</f>
        <v>P100138</v>
      </c>
      <c r="BU1113" t="str">
        <f t="shared" si="798"/>
        <v>Nelson</v>
      </c>
    </row>
    <row r="1114" spans="1:73" x14ac:dyDescent="0.2">
      <c r="A1114">
        <f t="shared" si="784"/>
        <v>1</v>
      </c>
      <c r="J1114" s="44" t="str">
        <f t="shared" si="799"/>
        <v>d</v>
      </c>
      <c r="K1114" t="s">
        <v>15</v>
      </c>
      <c r="L1114" t="s">
        <v>179</v>
      </c>
      <c r="M1114" t="s">
        <v>97</v>
      </c>
      <c r="S1114">
        <v>602</v>
      </c>
      <c r="W1114" t="str">
        <f t="shared" si="775"/>
        <v>h</v>
      </c>
      <c r="X1114">
        <v>8</v>
      </c>
      <c r="Y1114" t="b">
        <f>IF(X1114&lt;&gt;"",VLOOKUP(X1114,game_rosters!$C$43:$E$64,3,FALSE))</f>
        <v>0</v>
      </c>
      <c r="Z1114" cm="1">
        <f t="array" ref="Z1114">IFERROR(IF(_xlfn._xlws.FILTER(game_rosters!$J:$J,(game_rosters!$G:$G=events!$AN1114)*(game_rosters!$J:$J=events!$X1114))&gt;0,1,""),"")</f>
        <v>1</v>
      </c>
      <c r="AA1114">
        <f t="shared" si="733"/>
        <v>1602</v>
      </c>
      <c r="AB1114" t="str">
        <f t="shared" si="734"/>
        <v/>
      </c>
      <c r="AC1114">
        <f t="shared" si="772"/>
        <v>1602</v>
      </c>
      <c r="AD1114" s="6">
        <v>2</v>
      </c>
      <c r="AE1114" t="s">
        <v>754</v>
      </c>
      <c r="AF1114" t="s">
        <v>743</v>
      </c>
      <c r="AG1114" t="s">
        <v>756</v>
      </c>
      <c r="AH1114" t="s">
        <v>756</v>
      </c>
      <c r="AI1114" t="s">
        <v>367</v>
      </c>
      <c r="AJ1114" t="str">
        <f t="shared" ref="AJ1114:AK1114" si="820">IF($J1114&lt;&gt;"",$J1114,IF($AC1114=$AC1113,AJ1113,""))</f>
        <v>d</v>
      </c>
      <c r="AK1114" t="str">
        <f t="shared" si="820"/>
        <v>d</v>
      </c>
      <c r="AL1114" t="str">
        <f t="shared" si="777"/>
        <v>d</v>
      </c>
      <c r="AN1114" t="s">
        <v>861</v>
      </c>
      <c r="AO1114" t="str">
        <f t="shared" si="778"/>
        <v>h</v>
      </c>
      <c r="AP1114" t="str">
        <f t="shared" si="786"/>
        <v>d</v>
      </c>
      <c r="AQ1114" t="str">
        <f t="shared" si="787"/>
        <v/>
      </c>
      <c r="AR1114" t="str">
        <f t="shared" si="788"/>
        <v>Home</v>
      </c>
      <c r="AS1114" t="str">
        <f t="shared" si="789"/>
        <v>h</v>
      </c>
      <c r="AT1114" t="str">
        <f t="shared" si="790"/>
        <v>Defensive</v>
      </c>
      <c r="BA1114" s="6">
        <f t="shared" si="779"/>
        <v>282</v>
      </c>
      <c r="BB1114">
        <f t="shared" si="780"/>
        <v>18981</v>
      </c>
      <c r="BC1114" t="str">
        <f t="shared" si="781"/>
        <v>Nelson</v>
      </c>
      <c r="BD1114" t="str">
        <f t="shared" si="782"/>
        <v>Velodrome</v>
      </c>
      <c r="BE1114" t="s">
        <v>15</v>
      </c>
      <c r="BF1114" t="s">
        <v>179</v>
      </c>
      <c r="BG1114" t="s">
        <v>97</v>
      </c>
      <c r="BI1114" cm="1">
        <f t="array" ref="BI1114">IFERROR(_xlfn._xlws.FILTER(shifts!A:A,(shifts!B:B=events!AD1114)*(shifts!AG:AG&gt;=events!BK1114)*(shifts!AH:AH&lt;=events!BL1114)),BI1113)</f>
        <v>51</v>
      </c>
      <c r="BJ1114" s="15">
        <f t="shared" si="783"/>
        <v>0</v>
      </c>
      <c r="BK1114">
        <f t="shared" si="791"/>
        <v>678</v>
      </c>
      <c r="BL1114">
        <f t="shared" si="792"/>
        <v>678</v>
      </c>
      <c r="BM1114" s="15">
        <f>SUMIFS(BJ$2:BJ1114,K$2:K1114,"=Intermission")+SUMIFS(BJ$2:BJ1114,K$2:K1114,"=Timeout")</f>
        <v>72</v>
      </c>
      <c r="BN1114">
        <f t="shared" si="793"/>
        <v>1152</v>
      </c>
      <c r="BO1114" s="19">
        <f t="shared" si="794"/>
        <v>1554</v>
      </c>
      <c r="BP1114">
        <f t="shared" si="795"/>
        <v>1549</v>
      </c>
      <c r="BQ1114" s="17">
        <f t="shared" si="796"/>
        <v>1554</v>
      </c>
      <c r="BR1114" t="str">
        <f t="shared" si="797"/>
        <v>event_team_player_2</v>
      </c>
      <c r="BS1114">
        <f>COUNTIFS(S$3:S1114,"="&amp;S1114,AI$3:AI1114,"="&amp;AI1114)</f>
        <v>2</v>
      </c>
      <c r="BT1114" t="str">
        <f>IFERROR(VLOOKUP(BB1114&amp;BU1114&amp;X1114,game_rosters!U:W,3,FALSE),"")</f>
        <v>P100074</v>
      </c>
      <c r="BU1114" t="str">
        <f t="shared" si="798"/>
        <v>Nelson</v>
      </c>
    </row>
    <row r="1115" spans="1:73" x14ac:dyDescent="0.2">
      <c r="A1115">
        <f t="shared" si="784"/>
        <v>1</v>
      </c>
      <c r="J1115" s="44" t="str">
        <f t="shared" si="799"/>
        <v>d</v>
      </c>
      <c r="K1115" t="s">
        <v>15</v>
      </c>
      <c r="L1115" t="s">
        <v>179</v>
      </c>
      <c r="M1115" t="s">
        <v>97</v>
      </c>
      <c r="S1115">
        <v>602</v>
      </c>
      <c r="W1115" t="str">
        <f t="shared" si="775"/>
        <v>h</v>
      </c>
      <c r="X1115">
        <v>91</v>
      </c>
      <c r="Y1115" t="e">
        <f>IF(X1115&lt;&gt;"",VLOOKUP(X1115,game_rosters!$C$43:$E$64,3,FALSE))</f>
        <v>#N/A</v>
      </c>
      <c r="Z1115" t="str" cm="1">
        <f t="array" ref="Z1115">IFERROR(IF(_xlfn._xlws.FILTER(game_rosters!$J:$J,(game_rosters!$G:$G=events!$AN1115)*(game_rosters!$J:$J=events!$X1115))&gt;0,1,""),"")</f>
        <v/>
      </c>
      <c r="AA1115">
        <f t="shared" si="733"/>
        <v>1602</v>
      </c>
      <c r="AB1115" t="str">
        <f t="shared" si="734"/>
        <v/>
      </c>
      <c r="AC1115">
        <f t="shared" si="772"/>
        <v>1602</v>
      </c>
      <c r="AD1115" s="6">
        <v>2</v>
      </c>
      <c r="AE1115" t="s">
        <v>754</v>
      </c>
      <c r="AF1115" t="s">
        <v>743</v>
      </c>
      <c r="AG1115" t="s">
        <v>756</v>
      </c>
      <c r="AH1115" t="s">
        <v>756</v>
      </c>
      <c r="AI1115" t="s">
        <v>368</v>
      </c>
      <c r="AJ1115" t="str">
        <f t="shared" ref="AJ1115:AK1115" si="821">IF($J1115&lt;&gt;"",$J1115,IF($AC1115=$AC1114,AJ1114,""))</f>
        <v>d</v>
      </c>
      <c r="AK1115" t="str">
        <f t="shared" si="821"/>
        <v>d</v>
      </c>
      <c r="AL1115" t="str">
        <f t="shared" si="777"/>
        <v>d</v>
      </c>
      <c r="AN1115" t="s">
        <v>861</v>
      </c>
      <c r="AO1115" t="str">
        <f t="shared" si="778"/>
        <v>h</v>
      </c>
      <c r="AP1115" t="str">
        <f t="shared" si="786"/>
        <v>d</v>
      </c>
      <c r="AQ1115" t="str">
        <f t="shared" si="787"/>
        <v/>
      </c>
      <c r="AR1115" t="str">
        <f t="shared" si="788"/>
        <v>Home</v>
      </c>
      <c r="AS1115" t="str">
        <f t="shared" si="789"/>
        <v>h</v>
      </c>
      <c r="AT1115" t="str">
        <f t="shared" si="790"/>
        <v>Offensive</v>
      </c>
      <c r="BA1115" s="6">
        <f t="shared" si="779"/>
        <v>282</v>
      </c>
      <c r="BB1115">
        <f t="shared" si="780"/>
        <v>18981</v>
      </c>
      <c r="BC1115" t="str">
        <f t="shared" si="781"/>
        <v>Nelson</v>
      </c>
      <c r="BD1115" t="str">
        <f t="shared" si="782"/>
        <v>Velodrome</v>
      </c>
      <c r="BE1115" t="s">
        <v>15</v>
      </c>
      <c r="BF1115" t="s">
        <v>179</v>
      </c>
      <c r="BG1115" t="s">
        <v>97</v>
      </c>
      <c r="BI1115" cm="1">
        <f t="array" ref="BI1115">IFERROR(_xlfn._xlws.FILTER(shifts!A:A,(shifts!B:B=events!AD1115)*(shifts!AG:AG&gt;=events!BK1115)*(shifts!AH:AH&lt;=events!BL1115)),BI1114)</f>
        <v>51</v>
      </c>
      <c r="BJ1115" s="15">
        <f t="shared" si="783"/>
        <v>0</v>
      </c>
      <c r="BK1115">
        <f t="shared" si="791"/>
        <v>678</v>
      </c>
      <c r="BL1115">
        <f t="shared" si="792"/>
        <v>678</v>
      </c>
      <c r="BM1115" s="15">
        <f>SUMIFS(BJ$2:BJ1115,K$2:K1115,"=Intermission")+SUMIFS(BJ$2:BJ1115,K$2:K1115,"=Timeout")</f>
        <v>72</v>
      </c>
      <c r="BN1115">
        <f t="shared" si="793"/>
        <v>1152</v>
      </c>
      <c r="BO1115" s="19">
        <f t="shared" si="794"/>
        <v>1554</v>
      </c>
      <c r="BP1115">
        <f t="shared" si="795"/>
        <v>1549</v>
      </c>
      <c r="BQ1115" s="17">
        <f t="shared" si="796"/>
        <v>1554</v>
      </c>
      <c r="BR1115" t="str">
        <f t="shared" si="797"/>
        <v>opp_team_player_1</v>
      </c>
      <c r="BS1115">
        <f>COUNTIFS(S$3:S1115,"="&amp;S1115,AI$3:AI1115,"="&amp;AI1115)</f>
        <v>1</v>
      </c>
      <c r="BT1115" t="str">
        <f>IFERROR(VLOOKUP(BB1115&amp;BU1115&amp;X1115,game_rosters!U:W,3,FALSE),"")</f>
        <v>P100002</v>
      </c>
      <c r="BU1115" t="str">
        <f t="shared" si="798"/>
        <v>Velodrome</v>
      </c>
    </row>
    <row r="1116" spans="1:73" x14ac:dyDescent="0.2">
      <c r="A1116">
        <f t="shared" si="784"/>
        <v>1</v>
      </c>
      <c r="J1116" s="44" t="str">
        <f t="shared" si="799"/>
        <v>d</v>
      </c>
      <c r="K1116" t="s">
        <v>15</v>
      </c>
      <c r="L1116" t="s">
        <v>179</v>
      </c>
      <c r="M1116" t="s">
        <v>97</v>
      </c>
      <c r="S1116">
        <v>602</v>
      </c>
      <c r="W1116" t="str">
        <f t="shared" si="775"/>
        <v>h</v>
      </c>
      <c r="X1116">
        <v>70</v>
      </c>
      <c r="Y1116" t="e">
        <f>IF(X1116&lt;&gt;"",VLOOKUP(X1116,game_rosters!$C$43:$E$64,3,FALSE))</f>
        <v>#N/A</v>
      </c>
      <c r="Z1116" t="str" cm="1">
        <f t="array" ref="Z1116">IFERROR(IF(_xlfn._xlws.FILTER(game_rosters!$J:$J,(game_rosters!$G:$G=events!$AN1116)*(game_rosters!$J:$J=events!$X1116))&gt;0,1,""),"")</f>
        <v/>
      </c>
      <c r="AA1116">
        <f t="shared" si="733"/>
        <v>1602</v>
      </c>
      <c r="AB1116" t="str">
        <f t="shared" si="734"/>
        <v/>
      </c>
      <c r="AC1116">
        <f t="shared" si="772"/>
        <v>1602</v>
      </c>
      <c r="AD1116" s="6">
        <v>2</v>
      </c>
      <c r="AE1116" t="s">
        <v>754</v>
      </c>
      <c r="AF1116" t="s">
        <v>743</v>
      </c>
      <c r="AG1116" t="s">
        <v>756</v>
      </c>
      <c r="AH1116" t="s">
        <v>756</v>
      </c>
      <c r="AI1116" t="s">
        <v>368</v>
      </c>
      <c r="AJ1116" t="str">
        <f t="shared" ref="AJ1116:AK1116" si="822">IF($J1116&lt;&gt;"",$J1116,IF($AC1116=$AC1115,AJ1115,""))</f>
        <v>d</v>
      </c>
      <c r="AK1116" t="str">
        <f t="shared" si="822"/>
        <v>d</v>
      </c>
      <c r="AL1116" t="str">
        <f t="shared" si="777"/>
        <v>d</v>
      </c>
      <c r="AN1116" t="s">
        <v>861</v>
      </c>
      <c r="AO1116" t="str">
        <f t="shared" si="778"/>
        <v>h</v>
      </c>
      <c r="AP1116" t="str">
        <f t="shared" si="786"/>
        <v>d</v>
      </c>
      <c r="AQ1116" t="str">
        <f t="shared" si="787"/>
        <v/>
      </c>
      <c r="AR1116" t="str">
        <f t="shared" si="788"/>
        <v>Home</v>
      </c>
      <c r="AS1116" t="str">
        <f t="shared" si="789"/>
        <v>h</v>
      </c>
      <c r="AT1116" t="str">
        <f t="shared" si="790"/>
        <v>Offensive</v>
      </c>
      <c r="BA1116" s="6">
        <f t="shared" si="779"/>
        <v>282</v>
      </c>
      <c r="BB1116">
        <f t="shared" si="780"/>
        <v>18981</v>
      </c>
      <c r="BC1116" t="str">
        <f t="shared" si="781"/>
        <v>Nelson</v>
      </c>
      <c r="BD1116" t="str">
        <f t="shared" si="782"/>
        <v>Velodrome</v>
      </c>
      <c r="BE1116" t="s">
        <v>15</v>
      </c>
      <c r="BF1116" t="s">
        <v>179</v>
      </c>
      <c r="BG1116" t="s">
        <v>97</v>
      </c>
      <c r="BI1116" cm="1">
        <f t="array" ref="BI1116">IFERROR(_xlfn._xlws.FILTER(shifts!A:A,(shifts!B:B=events!AD1116)*(shifts!AG:AG&gt;=events!BK1116)*(shifts!AH:AH&lt;=events!BL1116)),BI1115)</f>
        <v>51</v>
      </c>
      <c r="BJ1116" s="15">
        <f t="shared" si="783"/>
        <v>0</v>
      </c>
      <c r="BK1116">
        <f t="shared" si="791"/>
        <v>678</v>
      </c>
      <c r="BL1116">
        <f t="shared" si="792"/>
        <v>678</v>
      </c>
      <c r="BM1116" s="15">
        <f>SUMIFS(BJ$2:BJ1116,K$2:K1116,"=Intermission")+SUMIFS(BJ$2:BJ1116,K$2:K1116,"=Timeout")</f>
        <v>72</v>
      </c>
      <c r="BN1116">
        <f t="shared" si="793"/>
        <v>1152</v>
      </c>
      <c r="BO1116" s="19">
        <f t="shared" si="794"/>
        <v>1554</v>
      </c>
      <c r="BP1116">
        <f t="shared" si="795"/>
        <v>1549</v>
      </c>
      <c r="BQ1116" s="17">
        <f t="shared" si="796"/>
        <v>1554</v>
      </c>
      <c r="BR1116" t="str">
        <f t="shared" si="797"/>
        <v>opp_team_player_2</v>
      </c>
      <c r="BS1116">
        <f>COUNTIFS(S$3:S1116,"="&amp;S1116,AI$3:AI1116,"="&amp;AI1116)</f>
        <v>2</v>
      </c>
      <c r="BT1116" t="str">
        <f>IFERROR(VLOOKUP(BB1116&amp;BU1116&amp;X1116,game_rosters!U:W,3,FALSE),"")</f>
        <v>P100001</v>
      </c>
      <c r="BU1116" t="str">
        <f t="shared" si="798"/>
        <v>Velodrome</v>
      </c>
    </row>
    <row r="1117" spans="1:73" x14ac:dyDescent="0.2">
      <c r="A1117">
        <f t="shared" si="784"/>
        <v>1</v>
      </c>
      <c r="J1117" s="44" t="str">
        <f t="shared" si="799"/>
        <v>d</v>
      </c>
      <c r="K1117" t="s">
        <v>231</v>
      </c>
      <c r="L1117" t="s">
        <v>232</v>
      </c>
      <c r="M1117" t="s">
        <v>756</v>
      </c>
      <c r="S1117">
        <v>603</v>
      </c>
      <c r="W1117" t="str">
        <f t="shared" si="775"/>
        <v>h</v>
      </c>
      <c r="X1117">
        <v>31</v>
      </c>
      <c r="Y1117" t="b">
        <f>IF(X1117&lt;&gt;"",VLOOKUP(X1117,game_rosters!$C$43:$E$64,3,FALSE))</f>
        <v>0</v>
      </c>
      <c r="Z1117" cm="1">
        <f t="array" ref="Z1117">IFERROR(IF(_xlfn._xlws.FILTER(game_rosters!$J:$J,(game_rosters!$G:$G=events!$AN1117)*(game_rosters!$J:$J=events!$X1117))&gt;0,1,""),"")</f>
        <v>1</v>
      </c>
      <c r="AA1117">
        <f t="shared" ref="AA1117:AA1180" si="823">S1117+1000</f>
        <v>1603</v>
      </c>
      <c r="AB1117" t="str">
        <f t="shared" ref="AB1117:AB1180" si="824">IF(T1117&lt;&gt;"",9000+T1117,"")</f>
        <v/>
      </c>
      <c r="AC1117">
        <f t="shared" si="772"/>
        <v>1603</v>
      </c>
      <c r="AD1117" s="6">
        <v>2</v>
      </c>
      <c r="AE1117" t="s">
        <v>754</v>
      </c>
      <c r="AF1117" t="s">
        <v>743</v>
      </c>
      <c r="AG1117" t="s">
        <v>756</v>
      </c>
      <c r="AH1117" t="s">
        <v>756</v>
      </c>
      <c r="AI1117" t="s">
        <v>367</v>
      </c>
      <c r="AJ1117" t="str">
        <f t="shared" ref="AJ1117:AK1117" si="825">IF($J1117&lt;&gt;"",$J1117,IF($AC1117=$AC1116,AJ1116,""))</f>
        <v>d</v>
      </c>
      <c r="AK1117" t="str">
        <f t="shared" si="825"/>
        <v>d</v>
      </c>
      <c r="AL1117" t="str">
        <f t="shared" si="777"/>
        <v>d</v>
      </c>
      <c r="AN1117" t="s">
        <v>861</v>
      </c>
      <c r="AO1117" t="str">
        <f t="shared" si="778"/>
        <v>h</v>
      </c>
      <c r="AP1117" t="str">
        <f t="shared" si="786"/>
        <v>d</v>
      </c>
      <c r="AQ1117" t="str">
        <f t="shared" si="787"/>
        <v/>
      </c>
      <c r="AR1117" t="str">
        <f t="shared" si="788"/>
        <v>Home</v>
      </c>
      <c r="AS1117" t="str">
        <f t="shared" si="789"/>
        <v>h</v>
      </c>
      <c r="AT1117" t="str">
        <f t="shared" si="790"/>
        <v>Offensive</v>
      </c>
      <c r="BA1117" s="6">
        <f t="shared" si="779"/>
        <v>282</v>
      </c>
      <c r="BB1117">
        <f t="shared" si="780"/>
        <v>18981</v>
      </c>
      <c r="BC1117" t="str">
        <f t="shared" si="781"/>
        <v>Nelson</v>
      </c>
      <c r="BD1117" t="str">
        <f t="shared" si="782"/>
        <v>Velodrome</v>
      </c>
      <c r="BE1117" t="s">
        <v>231</v>
      </c>
      <c r="BF1117" t="s">
        <v>232</v>
      </c>
      <c r="BG1117" t="s">
        <v>756</v>
      </c>
      <c r="BI1117" cm="1">
        <f t="array" ref="BI1117">IFERROR(_xlfn._xlws.FILTER(shifts!A:A,(shifts!B:B=events!AD1117)*(shifts!AG:AG&gt;=events!BK1117)*(shifts!AH:AH&lt;=events!BL1117)),BI1116)</f>
        <v>51</v>
      </c>
      <c r="BJ1117" s="15">
        <f t="shared" si="783"/>
        <v>0</v>
      </c>
      <c r="BK1117">
        <f t="shared" si="791"/>
        <v>678</v>
      </c>
      <c r="BL1117">
        <f t="shared" si="792"/>
        <v>678</v>
      </c>
      <c r="BM1117" s="15">
        <f>SUMIFS(BJ$2:BJ1117,K$2:K1117,"=Intermission")+SUMIFS(BJ$2:BJ1117,K$2:K1117,"=Timeout")</f>
        <v>72</v>
      </c>
      <c r="BN1117">
        <f t="shared" si="793"/>
        <v>1152</v>
      </c>
      <c r="BO1117" s="19">
        <f t="shared" si="794"/>
        <v>1554</v>
      </c>
      <c r="BP1117">
        <f t="shared" si="795"/>
        <v>1549</v>
      </c>
      <c r="BQ1117" s="17">
        <f t="shared" si="796"/>
        <v>1554</v>
      </c>
      <c r="BR1117" t="str">
        <f t="shared" si="797"/>
        <v>event_team_player_1</v>
      </c>
      <c r="BS1117">
        <f>COUNTIFS(S$3:S1117,"="&amp;S1117,AI$3:AI1117,"="&amp;AI1117)</f>
        <v>1</v>
      </c>
      <c r="BT1117" t="str">
        <f>IFERROR(VLOOKUP(BB1117&amp;BU1117&amp;X1117,game_rosters!U:W,3,FALSE),"")</f>
        <v>P100138</v>
      </c>
      <c r="BU1117" t="str">
        <f t="shared" si="798"/>
        <v>Nelson</v>
      </c>
    </row>
    <row r="1118" spans="1:73" x14ac:dyDescent="0.2">
      <c r="A1118">
        <f t="shared" si="784"/>
        <v>1</v>
      </c>
      <c r="J1118" s="44" t="str">
        <f t="shared" si="799"/>
        <v/>
      </c>
      <c r="K1118" t="s">
        <v>7</v>
      </c>
      <c r="L1118" t="s">
        <v>172</v>
      </c>
      <c r="M1118" t="s">
        <v>67</v>
      </c>
      <c r="S1118">
        <v>604</v>
      </c>
      <c r="W1118" t="str">
        <f t="shared" si="775"/>
        <v>h</v>
      </c>
      <c r="X1118">
        <v>80</v>
      </c>
      <c r="Y1118" t="b">
        <f>IF(X1118&lt;&gt;"",VLOOKUP(X1118,game_rosters!$C$43:$E$64,3,FALSE))</f>
        <v>0</v>
      </c>
      <c r="Z1118" cm="1">
        <f t="array" ref="Z1118">IFERROR(IF(_xlfn._xlws.FILTER(game_rosters!$J:$J,(game_rosters!$G:$G=events!$AN1118)*(game_rosters!$J:$J=events!$X1118))&gt;0,1,""),"")</f>
        <v>1</v>
      </c>
      <c r="AA1118">
        <f t="shared" si="823"/>
        <v>1604</v>
      </c>
      <c r="AB1118" t="str">
        <f t="shared" si="824"/>
        <v/>
      </c>
      <c r="AC1118">
        <f t="shared" si="772"/>
        <v>1604</v>
      </c>
      <c r="AD1118" s="6">
        <v>2</v>
      </c>
      <c r="AE1118" t="s">
        <v>754</v>
      </c>
      <c r="AF1118" t="s">
        <v>909</v>
      </c>
      <c r="AG1118" t="s">
        <v>756</v>
      </c>
      <c r="AH1118" t="s">
        <v>756</v>
      </c>
      <c r="AI1118" t="s">
        <v>367</v>
      </c>
      <c r="AJ1118" t="str">
        <f t="shared" ref="AJ1118:AK1118" si="826">IF($J1118&lt;&gt;"",$J1118,IF($AC1118=$AC1117,AJ1117,""))</f>
        <v/>
      </c>
      <c r="AK1118" t="str">
        <f t="shared" si="826"/>
        <v/>
      </c>
      <c r="AL1118" t="str">
        <f t="shared" si="777"/>
        <v/>
      </c>
      <c r="AN1118" t="s">
        <v>861</v>
      </c>
      <c r="AO1118" t="str">
        <f t="shared" si="778"/>
        <v>h</v>
      </c>
      <c r="AP1118" t="str">
        <f t="shared" si="786"/>
        <v/>
      </c>
      <c r="AQ1118" t="str">
        <f t="shared" si="787"/>
        <v/>
      </c>
      <c r="AR1118" t="str">
        <f t="shared" si="788"/>
        <v>Home</v>
      </c>
      <c r="AS1118" t="str">
        <f t="shared" si="789"/>
        <v>h</v>
      </c>
      <c r="AT1118" t="str">
        <f t="shared" si="790"/>
        <v>Offensive</v>
      </c>
      <c r="BA1118" s="6">
        <f t="shared" si="779"/>
        <v>282</v>
      </c>
      <c r="BB1118">
        <f t="shared" si="780"/>
        <v>18981</v>
      </c>
      <c r="BC1118" t="str">
        <f t="shared" si="781"/>
        <v>Nelson</v>
      </c>
      <c r="BD1118" t="str">
        <f t="shared" si="782"/>
        <v>Velodrome</v>
      </c>
      <c r="BE1118" t="s">
        <v>7</v>
      </c>
      <c r="BF1118" t="s">
        <v>172</v>
      </c>
      <c r="BG1118" t="s">
        <v>67</v>
      </c>
      <c r="BI1118" cm="1">
        <f t="array" ref="BI1118">IFERROR(_xlfn._xlws.FILTER(shifts!A:A,(shifts!B:B=events!AD1118)*(shifts!AG:AG&gt;=events!BK1118)*(shifts!AH:AH&lt;=events!BL1118)),BI1117)</f>
        <v>51</v>
      </c>
      <c r="BJ1118" s="15">
        <f t="shared" si="783"/>
        <v>0</v>
      </c>
      <c r="BK1118">
        <f t="shared" si="791"/>
        <v>676</v>
      </c>
      <c r="BL1118">
        <f t="shared" si="792"/>
        <v>676</v>
      </c>
      <c r="BM1118" s="15">
        <f>SUMIFS(BJ$2:BJ1118,K$2:K1118,"=Intermission")+SUMIFS(BJ$2:BJ1118,K$2:K1118,"=Timeout")</f>
        <v>72</v>
      </c>
      <c r="BN1118">
        <f t="shared" si="793"/>
        <v>1152</v>
      </c>
      <c r="BO1118" s="19">
        <f t="shared" si="794"/>
        <v>1556</v>
      </c>
      <c r="BP1118">
        <f t="shared" si="795"/>
        <v>1551</v>
      </c>
      <c r="BQ1118" s="17">
        <f t="shared" si="796"/>
        <v>1556</v>
      </c>
      <c r="BR1118" t="str">
        <f t="shared" si="797"/>
        <v>event_team_player_1</v>
      </c>
      <c r="BS1118">
        <f>COUNTIFS(S$3:S1118,"="&amp;S1118,AI$3:AI1118,"="&amp;AI1118)</f>
        <v>1</v>
      </c>
      <c r="BT1118" t="str">
        <f>IFERROR(VLOOKUP(BB1118&amp;BU1118&amp;X1118,game_rosters!U:W,3,FALSE),"")</f>
        <v>P100197</v>
      </c>
      <c r="BU1118" t="str">
        <f t="shared" si="798"/>
        <v>Nelson</v>
      </c>
    </row>
    <row r="1119" spans="1:73" x14ac:dyDescent="0.2">
      <c r="A1119">
        <f t="shared" si="784"/>
        <v>1</v>
      </c>
      <c r="J1119" s="44" t="str">
        <f t="shared" si="799"/>
        <v/>
      </c>
      <c r="K1119" t="s">
        <v>7</v>
      </c>
      <c r="L1119" t="s">
        <v>172</v>
      </c>
      <c r="M1119" t="s">
        <v>67</v>
      </c>
      <c r="S1119">
        <v>604</v>
      </c>
      <c r="W1119" t="str">
        <f t="shared" si="775"/>
        <v>h</v>
      </c>
      <c r="X1119">
        <v>16</v>
      </c>
      <c r="Y1119" t="b">
        <f>IF(X1119&lt;&gt;"",VLOOKUP(X1119,game_rosters!$C$43:$E$64,3,FALSE))</f>
        <v>0</v>
      </c>
      <c r="Z1119" cm="1">
        <f t="array" ref="Z1119">IFERROR(IF(_xlfn._xlws.FILTER(game_rosters!$J:$J,(game_rosters!$G:$G=events!$AN1119)*(game_rosters!$J:$J=events!$X1119))&gt;0,1,""),"")</f>
        <v>1</v>
      </c>
      <c r="AA1119">
        <f t="shared" si="823"/>
        <v>1604</v>
      </c>
      <c r="AB1119" t="str">
        <f t="shared" si="824"/>
        <v/>
      </c>
      <c r="AC1119">
        <f t="shared" si="772"/>
        <v>1604</v>
      </c>
      <c r="AD1119" s="6">
        <v>2</v>
      </c>
      <c r="AE1119" t="s">
        <v>754</v>
      </c>
      <c r="AF1119" t="s">
        <v>909</v>
      </c>
      <c r="AG1119" t="s">
        <v>756</v>
      </c>
      <c r="AH1119" t="s">
        <v>756</v>
      </c>
      <c r="AI1119" t="s">
        <v>367</v>
      </c>
      <c r="AJ1119" t="str">
        <f t="shared" ref="AJ1119:AK1119" si="827">IF($J1119&lt;&gt;"",$J1119,IF($AC1119=$AC1118,AJ1118,""))</f>
        <v/>
      </c>
      <c r="AK1119" t="str">
        <f t="shared" si="827"/>
        <v/>
      </c>
      <c r="AL1119" t="str">
        <f t="shared" si="777"/>
        <v/>
      </c>
      <c r="AN1119" t="s">
        <v>861</v>
      </c>
      <c r="AO1119" t="str">
        <f t="shared" si="778"/>
        <v>h</v>
      </c>
      <c r="AP1119" t="str">
        <f t="shared" si="786"/>
        <v/>
      </c>
      <c r="AQ1119" t="str">
        <f t="shared" si="787"/>
        <v/>
      </c>
      <c r="AR1119" t="str">
        <f t="shared" si="788"/>
        <v>Home</v>
      </c>
      <c r="AS1119" t="str">
        <f t="shared" si="789"/>
        <v>h</v>
      </c>
      <c r="AT1119" t="str">
        <f t="shared" si="790"/>
        <v>Offensive</v>
      </c>
      <c r="BA1119" s="6">
        <f t="shared" si="779"/>
        <v>282</v>
      </c>
      <c r="BB1119">
        <f t="shared" si="780"/>
        <v>18981</v>
      </c>
      <c r="BC1119" t="str">
        <f t="shared" si="781"/>
        <v>Nelson</v>
      </c>
      <c r="BD1119" t="str">
        <f t="shared" si="782"/>
        <v>Velodrome</v>
      </c>
      <c r="BE1119" t="s">
        <v>7</v>
      </c>
      <c r="BF1119" t="s">
        <v>172</v>
      </c>
      <c r="BG1119" t="s">
        <v>67</v>
      </c>
      <c r="BI1119" cm="1">
        <f t="array" ref="BI1119">IFERROR(_xlfn._xlws.FILTER(shifts!A:A,(shifts!B:B=events!AD1119)*(shifts!AG:AG&gt;=events!BK1119)*(shifts!AH:AH&lt;=events!BL1119)),BI1118)</f>
        <v>51</v>
      </c>
      <c r="BJ1119" s="15">
        <f t="shared" si="783"/>
        <v>0</v>
      </c>
      <c r="BK1119">
        <f t="shared" si="791"/>
        <v>676</v>
      </c>
      <c r="BL1119">
        <f t="shared" si="792"/>
        <v>676</v>
      </c>
      <c r="BM1119" s="15">
        <f>SUMIFS(BJ$2:BJ1119,K$2:K1119,"=Intermission")+SUMIFS(BJ$2:BJ1119,K$2:K1119,"=Timeout")</f>
        <v>72</v>
      </c>
      <c r="BN1119">
        <f t="shared" si="793"/>
        <v>1152</v>
      </c>
      <c r="BO1119" s="19">
        <f t="shared" si="794"/>
        <v>1556</v>
      </c>
      <c r="BP1119">
        <f t="shared" si="795"/>
        <v>1551</v>
      </c>
      <c r="BQ1119" s="17">
        <f t="shared" si="796"/>
        <v>1556</v>
      </c>
      <c r="BR1119" t="str">
        <f t="shared" si="797"/>
        <v>event_team_player_2</v>
      </c>
      <c r="BS1119">
        <f>COUNTIFS(S$3:S1119,"="&amp;S1119,AI$3:AI1119,"="&amp;AI1119)</f>
        <v>2</v>
      </c>
      <c r="BT1119" t="str">
        <f>IFERROR(VLOOKUP(BB1119&amp;BU1119&amp;X1119,game_rosters!U:W,3,FALSE),"")</f>
        <v>P100164</v>
      </c>
      <c r="BU1119" t="str">
        <f t="shared" si="798"/>
        <v>Nelson</v>
      </c>
    </row>
    <row r="1120" spans="1:73" x14ac:dyDescent="0.2">
      <c r="A1120">
        <f t="shared" si="784"/>
        <v>1</v>
      </c>
      <c r="J1120" s="44" t="str">
        <f t="shared" si="799"/>
        <v/>
      </c>
      <c r="K1120" t="s">
        <v>7</v>
      </c>
      <c r="L1120" t="s">
        <v>172</v>
      </c>
      <c r="M1120" t="s">
        <v>67</v>
      </c>
      <c r="S1120">
        <v>604</v>
      </c>
      <c r="W1120" t="str">
        <f t="shared" si="775"/>
        <v>h</v>
      </c>
      <c r="X1120">
        <v>91</v>
      </c>
      <c r="Y1120" t="e">
        <f>IF(X1120&lt;&gt;"",VLOOKUP(X1120,game_rosters!$C$43:$E$64,3,FALSE))</f>
        <v>#N/A</v>
      </c>
      <c r="Z1120" t="str" cm="1">
        <f t="array" ref="Z1120">IFERROR(IF(_xlfn._xlws.FILTER(game_rosters!$J:$J,(game_rosters!$G:$G=events!$AN1120)*(game_rosters!$J:$J=events!$X1120))&gt;0,1,""),"")</f>
        <v/>
      </c>
      <c r="AA1120">
        <f t="shared" si="823"/>
        <v>1604</v>
      </c>
      <c r="AB1120" t="str">
        <f t="shared" si="824"/>
        <v/>
      </c>
      <c r="AC1120">
        <f t="shared" si="772"/>
        <v>1604</v>
      </c>
      <c r="AD1120" s="6">
        <v>2</v>
      </c>
      <c r="AE1120" t="s">
        <v>754</v>
      </c>
      <c r="AF1120" t="s">
        <v>909</v>
      </c>
      <c r="AG1120" t="s">
        <v>756</v>
      </c>
      <c r="AH1120" t="s">
        <v>756</v>
      </c>
      <c r="AI1120" t="s">
        <v>368</v>
      </c>
      <c r="AJ1120" t="str">
        <f t="shared" ref="AJ1120:AK1120" si="828">IF($J1120&lt;&gt;"",$J1120,IF($AC1120=$AC1119,AJ1119,""))</f>
        <v/>
      </c>
      <c r="AK1120" t="str">
        <f t="shared" si="828"/>
        <v/>
      </c>
      <c r="AL1120" t="str">
        <f t="shared" si="777"/>
        <v/>
      </c>
      <c r="AN1120" t="s">
        <v>861</v>
      </c>
      <c r="AO1120" t="str">
        <f t="shared" si="778"/>
        <v>h</v>
      </c>
      <c r="AP1120" t="str">
        <f t="shared" si="786"/>
        <v/>
      </c>
      <c r="AQ1120" t="str">
        <f t="shared" si="787"/>
        <v/>
      </c>
      <c r="AR1120" t="str">
        <f t="shared" si="788"/>
        <v>Home</v>
      </c>
      <c r="AS1120" t="str">
        <f t="shared" si="789"/>
        <v>h</v>
      </c>
      <c r="AT1120" t="str">
        <f t="shared" si="790"/>
        <v>Defensive</v>
      </c>
      <c r="BA1120" s="6">
        <f t="shared" si="779"/>
        <v>282</v>
      </c>
      <c r="BB1120">
        <f t="shared" si="780"/>
        <v>18981</v>
      </c>
      <c r="BC1120" t="str">
        <f t="shared" si="781"/>
        <v>Nelson</v>
      </c>
      <c r="BD1120" t="str">
        <f t="shared" si="782"/>
        <v>Velodrome</v>
      </c>
      <c r="BE1120" t="s">
        <v>7</v>
      </c>
      <c r="BF1120" t="s">
        <v>172</v>
      </c>
      <c r="BG1120" t="s">
        <v>67</v>
      </c>
      <c r="BI1120" cm="1">
        <f t="array" ref="BI1120">IFERROR(_xlfn._xlws.FILTER(shifts!A:A,(shifts!B:B=events!AD1120)*(shifts!AG:AG&gt;=events!BK1120)*(shifts!AH:AH&lt;=events!BL1120)),BI1119)</f>
        <v>51</v>
      </c>
      <c r="BJ1120" s="15">
        <f t="shared" si="783"/>
        <v>0</v>
      </c>
      <c r="BK1120">
        <f t="shared" si="791"/>
        <v>676</v>
      </c>
      <c r="BL1120">
        <f t="shared" si="792"/>
        <v>676</v>
      </c>
      <c r="BM1120" s="15">
        <f>SUMIFS(BJ$2:BJ1120,K$2:K1120,"=Intermission")+SUMIFS(BJ$2:BJ1120,K$2:K1120,"=Timeout")</f>
        <v>72</v>
      </c>
      <c r="BN1120">
        <f t="shared" si="793"/>
        <v>1152</v>
      </c>
      <c r="BO1120" s="19">
        <f t="shared" si="794"/>
        <v>1556</v>
      </c>
      <c r="BP1120">
        <f t="shared" si="795"/>
        <v>1551</v>
      </c>
      <c r="BQ1120" s="17">
        <f t="shared" si="796"/>
        <v>1556</v>
      </c>
      <c r="BR1120" t="str">
        <f t="shared" si="797"/>
        <v>opp_team_player_1</v>
      </c>
      <c r="BS1120">
        <f>COUNTIFS(S$3:S1120,"="&amp;S1120,AI$3:AI1120,"="&amp;AI1120)</f>
        <v>1</v>
      </c>
      <c r="BT1120" t="str">
        <f>IFERROR(VLOOKUP(BB1120&amp;BU1120&amp;X1120,game_rosters!U:W,3,FALSE),"")</f>
        <v>P100002</v>
      </c>
      <c r="BU1120" t="str">
        <f t="shared" si="798"/>
        <v>Velodrome</v>
      </c>
    </row>
    <row r="1121" spans="1:73" x14ac:dyDescent="0.2">
      <c r="A1121">
        <f t="shared" si="784"/>
        <v>1</v>
      </c>
      <c r="J1121" s="44" t="str">
        <f t="shared" si="799"/>
        <v/>
      </c>
      <c r="K1121" t="s">
        <v>7</v>
      </c>
      <c r="L1121" t="s">
        <v>172</v>
      </c>
      <c r="M1121" t="s">
        <v>67</v>
      </c>
      <c r="S1121">
        <v>604</v>
      </c>
      <c r="W1121" t="str">
        <f t="shared" si="775"/>
        <v>h</v>
      </c>
      <c r="X1121">
        <v>70</v>
      </c>
      <c r="Y1121" t="e">
        <f>IF(X1121&lt;&gt;"",VLOOKUP(X1121,game_rosters!$C$43:$E$64,3,FALSE))</f>
        <v>#N/A</v>
      </c>
      <c r="Z1121" t="str" cm="1">
        <f t="array" ref="Z1121">IFERROR(IF(_xlfn._xlws.FILTER(game_rosters!$J:$J,(game_rosters!$G:$G=events!$AN1121)*(game_rosters!$J:$J=events!$X1121))&gt;0,1,""),"")</f>
        <v/>
      </c>
      <c r="AA1121">
        <f t="shared" si="823"/>
        <v>1604</v>
      </c>
      <c r="AB1121" t="str">
        <f t="shared" si="824"/>
        <v/>
      </c>
      <c r="AC1121">
        <f t="shared" si="772"/>
        <v>1604</v>
      </c>
      <c r="AD1121" s="6">
        <v>2</v>
      </c>
      <c r="AE1121" t="s">
        <v>754</v>
      </c>
      <c r="AF1121" t="s">
        <v>909</v>
      </c>
      <c r="AG1121" t="s">
        <v>756</v>
      </c>
      <c r="AH1121" t="s">
        <v>756</v>
      </c>
      <c r="AI1121" t="s">
        <v>368</v>
      </c>
      <c r="AJ1121" t="str">
        <f t="shared" ref="AJ1121:AK1121" si="829">IF($J1121&lt;&gt;"",$J1121,IF($AC1121=$AC1120,AJ1120,""))</f>
        <v/>
      </c>
      <c r="AK1121" t="str">
        <f t="shared" si="829"/>
        <v/>
      </c>
      <c r="AL1121" t="str">
        <f t="shared" si="777"/>
        <v/>
      </c>
      <c r="AN1121" t="s">
        <v>861</v>
      </c>
      <c r="AO1121" t="str">
        <f t="shared" si="778"/>
        <v>h</v>
      </c>
      <c r="AP1121" t="str">
        <f t="shared" si="786"/>
        <v/>
      </c>
      <c r="AQ1121" t="str">
        <f t="shared" si="787"/>
        <v/>
      </c>
      <c r="AR1121" t="str">
        <f t="shared" si="788"/>
        <v>Home</v>
      </c>
      <c r="AS1121" t="str">
        <f t="shared" si="789"/>
        <v>h</v>
      </c>
      <c r="AT1121" t="str">
        <f t="shared" si="790"/>
        <v>Defensive</v>
      </c>
      <c r="BA1121" s="6">
        <f t="shared" si="779"/>
        <v>282</v>
      </c>
      <c r="BB1121">
        <f t="shared" si="780"/>
        <v>18981</v>
      </c>
      <c r="BC1121" t="str">
        <f t="shared" si="781"/>
        <v>Nelson</v>
      </c>
      <c r="BD1121" t="str">
        <f t="shared" si="782"/>
        <v>Velodrome</v>
      </c>
      <c r="BE1121" t="s">
        <v>7</v>
      </c>
      <c r="BF1121" t="s">
        <v>172</v>
      </c>
      <c r="BG1121" t="s">
        <v>67</v>
      </c>
      <c r="BI1121" cm="1">
        <f t="array" ref="BI1121">IFERROR(_xlfn._xlws.FILTER(shifts!A:A,(shifts!B:B=events!AD1121)*(shifts!AG:AG&gt;=events!BK1121)*(shifts!AH:AH&lt;=events!BL1121)),BI1120)</f>
        <v>51</v>
      </c>
      <c r="BJ1121" s="15">
        <f t="shared" si="783"/>
        <v>0</v>
      </c>
      <c r="BK1121">
        <f t="shared" si="791"/>
        <v>676</v>
      </c>
      <c r="BL1121">
        <f t="shared" si="792"/>
        <v>676</v>
      </c>
      <c r="BM1121" s="15">
        <f>SUMIFS(BJ$2:BJ1121,K$2:K1121,"=Intermission")+SUMIFS(BJ$2:BJ1121,K$2:K1121,"=Timeout")</f>
        <v>72</v>
      </c>
      <c r="BN1121">
        <f t="shared" si="793"/>
        <v>1152</v>
      </c>
      <c r="BO1121" s="19">
        <f t="shared" si="794"/>
        <v>1556</v>
      </c>
      <c r="BP1121">
        <f t="shared" si="795"/>
        <v>1551</v>
      </c>
      <c r="BQ1121" s="17">
        <f t="shared" si="796"/>
        <v>1556</v>
      </c>
      <c r="BR1121" t="str">
        <f t="shared" si="797"/>
        <v>opp_team_player_2</v>
      </c>
      <c r="BS1121">
        <f>COUNTIFS(S$3:S1121,"="&amp;S1121,AI$3:AI1121,"="&amp;AI1121)</f>
        <v>2</v>
      </c>
      <c r="BT1121" t="str">
        <f>IFERROR(VLOOKUP(BB1121&amp;BU1121&amp;X1121,game_rosters!U:W,3,FALSE),"")</f>
        <v>P100001</v>
      </c>
      <c r="BU1121" t="str">
        <f t="shared" si="798"/>
        <v>Velodrome</v>
      </c>
    </row>
    <row r="1122" spans="1:73" x14ac:dyDescent="0.2">
      <c r="A1122">
        <f t="shared" si="784"/>
        <v>1</v>
      </c>
      <c r="J1122" s="44" t="str">
        <f t="shared" si="799"/>
        <v/>
      </c>
      <c r="K1122" t="s">
        <v>7</v>
      </c>
      <c r="L1122" t="s">
        <v>172</v>
      </c>
      <c r="M1122" t="s">
        <v>68</v>
      </c>
      <c r="S1122">
        <v>605</v>
      </c>
      <c r="W1122" t="str">
        <f t="shared" si="775"/>
        <v>h</v>
      </c>
      <c r="X1122">
        <v>16</v>
      </c>
      <c r="Y1122" t="b">
        <f>IF(X1122&lt;&gt;"",VLOOKUP(X1122,game_rosters!$C$43:$E$64,3,FALSE))</f>
        <v>0</v>
      </c>
      <c r="Z1122" cm="1">
        <f t="array" ref="Z1122">IFERROR(IF(_xlfn._xlws.FILTER(game_rosters!$J:$J,(game_rosters!$G:$G=events!$AN1122)*(game_rosters!$J:$J=events!$X1122))&gt;0,1,""),"")</f>
        <v>1</v>
      </c>
      <c r="AA1122">
        <f t="shared" si="823"/>
        <v>1605</v>
      </c>
      <c r="AB1122" t="str">
        <f t="shared" si="824"/>
        <v/>
      </c>
      <c r="AC1122">
        <f t="shared" si="772"/>
        <v>1605</v>
      </c>
      <c r="AD1122" s="6">
        <v>2</v>
      </c>
      <c r="AE1122" t="s">
        <v>754</v>
      </c>
      <c r="AF1122" t="s">
        <v>744</v>
      </c>
      <c r="AG1122" t="s">
        <v>756</v>
      </c>
      <c r="AH1122" t="s">
        <v>756</v>
      </c>
      <c r="AI1122" t="s">
        <v>367</v>
      </c>
      <c r="AJ1122" t="str">
        <f t="shared" ref="AJ1122:AK1122" si="830">IF($J1122&lt;&gt;"",$J1122,IF($AC1122=$AC1121,AJ1121,""))</f>
        <v/>
      </c>
      <c r="AK1122" t="str">
        <f t="shared" si="830"/>
        <v/>
      </c>
      <c r="AL1122" t="str">
        <f t="shared" si="777"/>
        <v/>
      </c>
      <c r="AN1122" t="s">
        <v>861</v>
      </c>
      <c r="AO1122" t="str">
        <f t="shared" si="778"/>
        <v>h</v>
      </c>
      <c r="AP1122" t="str">
        <f t="shared" si="786"/>
        <v/>
      </c>
      <c r="AQ1122" t="str">
        <f t="shared" si="787"/>
        <v/>
      </c>
      <c r="AR1122" t="str">
        <f t="shared" si="788"/>
        <v>Home</v>
      </c>
      <c r="AS1122" t="str">
        <f t="shared" si="789"/>
        <v>h</v>
      </c>
      <c r="AT1122" t="str">
        <f t="shared" si="790"/>
        <v>Offensive</v>
      </c>
      <c r="BA1122" s="6">
        <f t="shared" si="779"/>
        <v>282</v>
      </c>
      <c r="BB1122">
        <f t="shared" si="780"/>
        <v>18981</v>
      </c>
      <c r="BC1122" t="str">
        <f t="shared" si="781"/>
        <v>Nelson</v>
      </c>
      <c r="BD1122" t="str">
        <f t="shared" si="782"/>
        <v>Velodrome</v>
      </c>
      <c r="BE1122" t="s">
        <v>7</v>
      </c>
      <c r="BF1122" t="s">
        <v>172</v>
      </c>
      <c r="BG1122" t="s">
        <v>68</v>
      </c>
      <c r="BI1122" cm="1">
        <f t="array" ref="BI1122">IFERROR(_xlfn._xlws.FILTER(shifts!A:A,(shifts!B:B=events!AD1122)*(shifts!AG:AG&gt;=events!BK1122)*(shifts!AH:AH&lt;=events!BL1122)),BI1121)</f>
        <v>51</v>
      </c>
      <c r="BJ1122" s="15">
        <f t="shared" si="783"/>
        <v>0</v>
      </c>
      <c r="BK1122">
        <f t="shared" si="791"/>
        <v>675</v>
      </c>
      <c r="BL1122">
        <f t="shared" si="792"/>
        <v>675</v>
      </c>
      <c r="BM1122" s="15">
        <f>SUMIFS(BJ$2:BJ1122,K$2:K1122,"=Intermission")+SUMIFS(BJ$2:BJ1122,K$2:K1122,"=Timeout")</f>
        <v>72</v>
      </c>
      <c r="BN1122">
        <f t="shared" si="793"/>
        <v>1152</v>
      </c>
      <c r="BO1122" s="19">
        <f t="shared" si="794"/>
        <v>1557</v>
      </c>
      <c r="BP1122">
        <f t="shared" si="795"/>
        <v>1552</v>
      </c>
      <c r="BQ1122" s="17">
        <f t="shared" si="796"/>
        <v>1557</v>
      </c>
      <c r="BR1122" t="str">
        <f t="shared" si="797"/>
        <v>event_team_player_1</v>
      </c>
      <c r="BS1122">
        <f>COUNTIFS(S$3:S1122,"="&amp;S1122,AI$3:AI1122,"="&amp;AI1122)</f>
        <v>1</v>
      </c>
      <c r="BT1122" t="str">
        <f>IFERROR(VLOOKUP(BB1122&amp;BU1122&amp;X1122,game_rosters!U:W,3,FALSE),"")</f>
        <v>P100164</v>
      </c>
      <c r="BU1122" t="str">
        <f t="shared" si="798"/>
        <v>Nelson</v>
      </c>
    </row>
    <row r="1123" spans="1:73" x14ac:dyDescent="0.2">
      <c r="A1123">
        <f t="shared" si="784"/>
        <v>1</v>
      </c>
      <c r="J1123" s="44" t="str">
        <f t="shared" si="799"/>
        <v/>
      </c>
      <c r="K1123" t="s">
        <v>7</v>
      </c>
      <c r="L1123" t="s">
        <v>172</v>
      </c>
      <c r="M1123" t="s">
        <v>68</v>
      </c>
      <c r="S1123">
        <v>605</v>
      </c>
      <c r="W1123" t="str">
        <f t="shared" si="775"/>
        <v>h</v>
      </c>
      <c r="X1123">
        <v>10</v>
      </c>
      <c r="Y1123" t="b">
        <f>IF(X1123&lt;&gt;"",VLOOKUP(X1123,game_rosters!$C$43:$E$64,3,FALSE))</f>
        <v>0</v>
      </c>
      <c r="Z1123" cm="1">
        <f t="array" ref="Z1123">IFERROR(IF(_xlfn._xlws.FILTER(game_rosters!$J:$J,(game_rosters!$G:$G=events!$AN1123)*(game_rosters!$J:$J=events!$X1123))&gt;0,1,""),"")</f>
        <v>1</v>
      </c>
      <c r="AA1123">
        <f t="shared" si="823"/>
        <v>1605</v>
      </c>
      <c r="AB1123" t="str">
        <f t="shared" si="824"/>
        <v/>
      </c>
      <c r="AC1123">
        <f t="shared" si="772"/>
        <v>1605</v>
      </c>
      <c r="AD1123" s="6">
        <v>2</v>
      </c>
      <c r="AE1123" t="s">
        <v>754</v>
      </c>
      <c r="AF1123" t="s">
        <v>744</v>
      </c>
      <c r="AG1123" t="s">
        <v>756</v>
      </c>
      <c r="AH1123" t="s">
        <v>756</v>
      </c>
      <c r="AI1123" t="s">
        <v>367</v>
      </c>
      <c r="AJ1123" t="str">
        <f t="shared" ref="AJ1123:AK1123" si="831">IF($J1123&lt;&gt;"",$J1123,IF($AC1123=$AC1122,AJ1122,""))</f>
        <v/>
      </c>
      <c r="AK1123" t="str">
        <f t="shared" si="831"/>
        <v/>
      </c>
      <c r="AL1123" t="str">
        <f t="shared" si="777"/>
        <v/>
      </c>
      <c r="AN1123" t="s">
        <v>861</v>
      </c>
      <c r="AO1123" t="str">
        <f t="shared" si="778"/>
        <v>h</v>
      </c>
      <c r="AP1123" t="str">
        <f t="shared" si="786"/>
        <v/>
      </c>
      <c r="AQ1123" t="str">
        <f t="shared" si="787"/>
        <v/>
      </c>
      <c r="AR1123" t="str">
        <f t="shared" si="788"/>
        <v>Home</v>
      </c>
      <c r="AS1123" t="str">
        <f t="shared" si="789"/>
        <v>h</v>
      </c>
      <c r="AT1123" t="str">
        <f t="shared" si="790"/>
        <v>Offensive</v>
      </c>
      <c r="BA1123" s="6">
        <f t="shared" si="779"/>
        <v>282</v>
      </c>
      <c r="BB1123">
        <f t="shared" si="780"/>
        <v>18981</v>
      </c>
      <c r="BC1123" t="str">
        <f t="shared" si="781"/>
        <v>Nelson</v>
      </c>
      <c r="BD1123" t="str">
        <f t="shared" si="782"/>
        <v>Velodrome</v>
      </c>
      <c r="BE1123" t="s">
        <v>7</v>
      </c>
      <c r="BF1123" t="s">
        <v>172</v>
      </c>
      <c r="BG1123" t="s">
        <v>68</v>
      </c>
      <c r="BI1123" cm="1">
        <f t="array" ref="BI1123">IFERROR(_xlfn._xlws.FILTER(shifts!A:A,(shifts!B:B=events!AD1123)*(shifts!AG:AG&gt;=events!BK1123)*(shifts!AH:AH&lt;=events!BL1123)),BI1122)</f>
        <v>51</v>
      </c>
      <c r="BJ1123" s="15">
        <f t="shared" si="783"/>
        <v>0</v>
      </c>
      <c r="BK1123">
        <f t="shared" si="791"/>
        <v>675</v>
      </c>
      <c r="BL1123">
        <f t="shared" si="792"/>
        <v>675</v>
      </c>
      <c r="BM1123" s="15">
        <f>SUMIFS(BJ$2:BJ1123,K$2:K1123,"=Intermission")+SUMIFS(BJ$2:BJ1123,K$2:K1123,"=Timeout")</f>
        <v>72</v>
      </c>
      <c r="BN1123">
        <f t="shared" si="793"/>
        <v>1152</v>
      </c>
      <c r="BO1123" s="19">
        <f t="shared" si="794"/>
        <v>1557</v>
      </c>
      <c r="BP1123">
        <f t="shared" si="795"/>
        <v>1552</v>
      </c>
      <c r="BQ1123" s="17">
        <f t="shared" si="796"/>
        <v>1557</v>
      </c>
      <c r="BR1123" t="str">
        <f t="shared" si="797"/>
        <v>event_team_player_2</v>
      </c>
      <c r="BS1123">
        <f>COUNTIFS(S$3:S1123,"="&amp;S1123,AI$3:AI1123,"="&amp;AI1123)</f>
        <v>2</v>
      </c>
      <c r="BT1123" t="str">
        <f>IFERROR(VLOOKUP(BB1123&amp;BU1123&amp;X1123,game_rosters!U:W,3,FALSE),"")</f>
        <v>P100078</v>
      </c>
      <c r="BU1123" t="str">
        <f t="shared" si="798"/>
        <v>Nelson</v>
      </c>
    </row>
    <row r="1124" spans="1:73" x14ac:dyDescent="0.2">
      <c r="A1124">
        <f t="shared" si="784"/>
        <v>1</v>
      </c>
      <c r="J1124" s="44" t="str">
        <f t="shared" si="799"/>
        <v>d</v>
      </c>
      <c r="K1124" t="s">
        <v>238</v>
      </c>
      <c r="L1124" t="s">
        <v>184</v>
      </c>
      <c r="M1124" t="s">
        <v>89</v>
      </c>
      <c r="S1124">
        <v>606</v>
      </c>
      <c r="W1124" t="str">
        <f t="shared" si="775"/>
        <v>h</v>
      </c>
      <c r="X1124">
        <v>16</v>
      </c>
      <c r="Y1124" t="b">
        <f>IF(X1124&lt;&gt;"",VLOOKUP(X1124,game_rosters!$C$43:$E$64,3,FALSE))</f>
        <v>0</v>
      </c>
      <c r="Z1124" cm="1">
        <f t="array" ref="Z1124">IFERROR(IF(_xlfn._xlws.FILTER(game_rosters!$J:$J,(game_rosters!$G:$G=events!$AN1124)*(game_rosters!$J:$J=events!$X1124))&gt;0,1,""),"")</f>
        <v>1</v>
      </c>
      <c r="AA1124">
        <f t="shared" si="823"/>
        <v>1606</v>
      </c>
      <c r="AB1124" t="str">
        <f t="shared" si="824"/>
        <v/>
      </c>
      <c r="AC1124">
        <f t="shared" si="772"/>
        <v>1606</v>
      </c>
      <c r="AD1124" s="6">
        <v>2</v>
      </c>
      <c r="AE1124" t="s">
        <v>754</v>
      </c>
      <c r="AF1124" t="s">
        <v>744</v>
      </c>
      <c r="AG1124" t="s">
        <v>756</v>
      </c>
      <c r="AH1124" t="s">
        <v>756</v>
      </c>
      <c r="AI1124" t="s">
        <v>367</v>
      </c>
      <c r="AJ1124" t="str">
        <f t="shared" ref="AJ1124:AK1124" si="832">IF($J1124&lt;&gt;"",$J1124,IF($AC1124=$AC1123,AJ1123,""))</f>
        <v>d</v>
      </c>
      <c r="AK1124" t="str">
        <f t="shared" si="832"/>
        <v>d</v>
      </c>
      <c r="AL1124" t="str">
        <f t="shared" si="777"/>
        <v>d</v>
      </c>
      <c r="AN1124" t="s">
        <v>861</v>
      </c>
      <c r="AO1124" t="str">
        <f t="shared" si="778"/>
        <v>h</v>
      </c>
      <c r="AP1124" t="str">
        <f t="shared" si="786"/>
        <v>d</v>
      </c>
      <c r="AQ1124" t="str">
        <f t="shared" si="787"/>
        <v/>
      </c>
      <c r="AR1124" t="str">
        <f t="shared" si="788"/>
        <v>Home</v>
      </c>
      <c r="AS1124" t="str">
        <f t="shared" si="789"/>
        <v>h</v>
      </c>
      <c r="AT1124" t="str">
        <f t="shared" si="790"/>
        <v>Offensive</v>
      </c>
      <c r="BA1124" s="6">
        <f t="shared" si="779"/>
        <v>283</v>
      </c>
      <c r="BB1124">
        <f t="shared" si="780"/>
        <v>18981</v>
      </c>
      <c r="BC1124" t="str">
        <f t="shared" si="781"/>
        <v>Nelson</v>
      </c>
      <c r="BD1124" t="str">
        <f t="shared" si="782"/>
        <v>Velodrome</v>
      </c>
      <c r="BE1124" t="s">
        <v>238</v>
      </c>
      <c r="BF1124" t="s">
        <v>184</v>
      </c>
      <c r="BG1124" t="s">
        <v>89</v>
      </c>
      <c r="BI1124" cm="1">
        <f t="array" ref="BI1124">IFERROR(_xlfn._xlws.FILTER(shifts!A:A,(shifts!B:B=events!AD1124)*(shifts!AG:AG&gt;=events!BK1124)*(shifts!AH:AH&lt;=events!BL1124)),BI1123)</f>
        <v>51</v>
      </c>
      <c r="BJ1124" s="15">
        <f t="shared" si="783"/>
        <v>0</v>
      </c>
      <c r="BK1124">
        <f t="shared" si="791"/>
        <v>675</v>
      </c>
      <c r="BL1124">
        <f t="shared" si="792"/>
        <v>675</v>
      </c>
      <c r="BM1124" s="15">
        <f>SUMIFS(BJ$2:BJ1124,K$2:K1124,"=Intermission")+SUMIFS(BJ$2:BJ1124,K$2:K1124,"=Timeout")</f>
        <v>72</v>
      </c>
      <c r="BN1124">
        <f t="shared" si="793"/>
        <v>1152</v>
      </c>
      <c r="BO1124" s="19">
        <f t="shared" si="794"/>
        <v>1557</v>
      </c>
      <c r="BP1124">
        <f t="shared" si="795"/>
        <v>1552</v>
      </c>
      <c r="BQ1124" s="17">
        <f t="shared" si="796"/>
        <v>1557</v>
      </c>
      <c r="BR1124" t="str">
        <f t="shared" si="797"/>
        <v>event_team_player_1</v>
      </c>
      <c r="BS1124">
        <f>COUNTIFS(S$3:S1124,"="&amp;S1124,AI$3:AI1124,"="&amp;AI1124)</f>
        <v>1</v>
      </c>
      <c r="BT1124" t="str">
        <f>IFERROR(VLOOKUP(BB1124&amp;BU1124&amp;X1124,game_rosters!U:W,3,FALSE),"")</f>
        <v>P100164</v>
      </c>
      <c r="BU1124" t="str">
        <f t="shared" si="798"/>
        <v>Nelson</v>
      </c>
    </row>
    <row r="1125" spans="1:73" x14ac:dyDescent="0.2">
      <c r="A1125">
        <f t="shared" si="784"/>
        <v>1</v>
      </c>
      <c r="J1125" s="44" t="str">
        <f t="shared" si="799"/>
        <v>d</v>
      </c>
      <c r="K1125" t="s">
        <v>238</v>
      </c>
      <c r="L1125" t="s">
        <v>184</v>
      </c>
      <c r="M1125" t="s">
        <v>89</v>
      </c>
      <c r="S1125">
        <v>606</v>
      </c>
      <c r="W1125" t="str">
        <f t="shared" si="775"/>
        <v>h</v>
      </c>
      <c r="X1125">
        <v>10</v>
      </c>
      <c r="Y1125" t="b">
        <f>IF(X1125&lt;&gt;"",VLOOKUP(X1125,game_rosters!$C$43:$E$64,3,FALSE))</f>
        <v>0</v>
      </c>
      <c r="Z1125" cm="1">
        <f t="array" ref="Z1125">IFERROR(IF(_xlfn._xlws.FILTER(game_rosters!$J:$J,(game_rosters!$G:$G=events!$AN1125)*(game_rosters!$J:$J=events!$X1125))&gt;0,1,""),"")</f>
        <v>1</v>
      </c>
      <c r="AA1125">
        <f t="shared" si="823"/>
        <v>1606</v>
      </c>
      <c r="AB1125" t="str">
        <f t="shared" si="824"/>
        <v/>
      </c>
      <c r="AC1125">
        <f t="shared" si="772"/>
        <v>1606</v>
      </c>
      <c r="AD1125" s="6">
        <v>2</v>
      </c>
      <c r="AE1125" t="s">
        <v>754</v>
      </c>
      <c r="AF1125" t="s">
        <v>744</v>
      </c>
      <c r="AG1125" t="s">
        <v>756</v>
      </c>
      <c r="AH1125" t="s">
        <v>756</v>
      </c>
      <c r="AI1125" t="s">
        <v>367</v>
      </c>
      <c r="AJ1125" t="str">
        <f t="shared" ref="AJ1125:AK1125" si="833">IF($J1125&lt;&gt;"",$J1125,IF($AC1125=$AC1124,AJ1124,""))</f>
        <v>d</v>
      </c>
      <c r="AK1125" t="str">
        <f t="shared" si="833"/>
        <v>d</v>
      </c>
      <c r="AL1125" t="str">
        <f t="shared" si="777"/>
        <v>d</v>
      </c>
      <c r="AN1125" t="s">
        <v>861</v>
      </c>
      <c r="AO1125" t="str">
        <f t="shared" si="778"/>
        <v>h</v>
      </c>
      <c r="AP1125" t="str">
        <f t="shared" si="786"/>
        <v>d</v>
      </c>
      <c r="AQ1125" t="str">
        <f t="shared" si="787"/>
        <v/>
      </c>
      <c r="AR1125" t="str">
        <f t="shared" si="788"/>
        <v>Home</v>
      </c>
      <c r="AS1125" t="str">
        <f t="shared" si="789"/>
        <v>h</v>
      </c>
      <c r="AT1125" t="str">
        <f t="shared" si="790"/>
        <v>Offensive</v>
      </c>
      <c r="BA1125" s="6">
        <f t="shared" si="779"/>
        <v>284</v>
      </c>
      <c r="BB1125">
        <f t="shared" si="780"/>
        <v>18981</v>
      </c>
      <c r="BC1125" t="str">
        <f t="shared" si="781"/>
        <v>Nelson</v>
      </c>
      <c r="BD1125" t="str">
        <f t="shared" si="782"/>
        <v>Velodrome</v>
      </c>
      <c r="BE1125" t="s">
        <v>238</v>
      </c>
      <c r="BF1125" t="s">
        <v>184</v>
      </c>
      <c r="BG1125" t="s">
        <v>89</v>
      </c>
      <c r="BI1125" cm="1">
        <f t="array" ref="BI1125">IFERROR(_xlfn._xlws.FILTER(shifts!A:A,(shifts!B:B=events!AD1125)*(shifts!AG:AG&gt;=events!BK1125)*(shifts!AH:AH&lt;=events!BL1125)),BI1124)</f>
        <v>51</v>
      </c>
      <c r="BJ1125" s="15">
        <f t="shared" si="783"/>
        <v>0</v>
      </c>
      <c r="BK1125">
        <f t="shared" si="791"/>
        <v>675</v>
      </c>
      <c r="BL1125">
        <f t="shared" si="792"/>
        <v>675</v>
      </c>
      <c r="BM1125" s="15">
        <f>SUMIFS(BJ$2:BJ1125,K$2:K1125,"=Intermission")+SUMIFS(BJ$2:BJ1125,K$2:K1125,"=Timeout")</f>
        <v>72</v>
      </c>
      <c r="BN1125">
        <f t="shared" si="793"/>
        <v>1152</v>
      </c>
      <c r="BO1125" s="19">
        <f t="shared" si="794"/>
        <v>1557</v>
      </c>
      <c r="BP1125">
        <f t="shared" si="795"/>
        <v>1552</v>
      </c>
      <c r="BQ1125" s="17">
        <f t="shared" si="796"/>
        <v>1557</v>
      </c>
      <c r="BR1125" t="str">
        <f t="shared" si="797"/>
        <v>event_team_player_2</v>
      </c>
      <c r="BS1125">
        <f>COUNTIFS(S$3:S1125,"="&amp;S1125,AI$3:AI1125,"="&amp;AI1125)</f>
        <v>2</v>
      </c>
      <c r="BT1125" t="str">
        <f>IFERROR(VLOOKUP(BB1125&amp;BU1125&amp;X1125,game_rosters!U:W,3,FALSE),"")</f>
        <v>P100078</v>
      </c>
      <c r="BU1125" t="str">
        <f t="shared" si="798"/>
        <v>Nelson</v>
      </c>
    </row>
    <row r="1126" spans="1:73" x14ac:dyDescent="0.2">
      <c r="A1126">
        <f t="shared" si="784"/>
        <v>1</v>
      </c>
      <c r="J1126" s="44" t="str">
        <f t="shared" si="799"/>
        <v/>
      </c>
      <c r="K1126" t="s">
        <v>13</v>
      </c>
      <c r="L1126" t="s">
        <v>756</v>
      </c>
      <c r="M1126" t="s">
        <v>756</v>
      </c>
      <c r="S1126">
        <v>607</v>
      </c>
      <c r="W1126" t="str">
        <f t="shared" si="775"/>
        <v>h</v>
      </c>
      <c r="X1126">
        <v>10</v>
      </c>
      <c r="Y1126" t="b">
        <f>IF(X1126&lt;&gt;"",VLOOKUP(X1126,game_rosters!$C$43:$E$64,3,FALSE))</f>
        <v>0</v>
      </c>
      <c r="Z1126" cm="1">
        <f t="array" ref="Z1126">IFERROR(IF(_xlfn._xlws.FILTER(game_rosters!$J:$J,(game_rosters!$G:$G=events!$AN1126)*(game_rosters!$J:$J=events!$X1126))&gt;0,1,""),"")</f>
        <v>1</v>
      </c>
      <c r="AA1126">
        <f t="shared" si="823"/>
        <v>1607</v>
      </c>
      <c r="AB1126" t="str">
        <f t="shared" si="824"/>
        <v/>
      </c>
      <c r="AC1126">
        <f t="shared" si="772"/>
        <v>1607</v>
      </c>
      <c r="AD1126" s="6">
        <v>2</v>
      </c>
      <c r="AE1126" t="s">
        <v>754</v>
      </c>
      <c r="AF1126" t="s">
        <v>746</v>
      </c>
      <c r="AG1126" t="s">
        <v>754</v>
      </c>
      <c r="AH1126" t="s">
        <v>910</v>
      </c>
      <c r="AI1126" t="s">
        <v>367</v>
      </c>
      <c r="AJ1126" t="str">
        <f t="shared" ref="AJ1126:AK1126" si="834">IF($J1126&lt;&gt;"",$J1126,IF($AC1126=$AC1125,AJ1125,""))</f>
        <v/>
      </c>
      <c r="AK1126" t="str">
        <f t="shared" si="834"/>
        <v/>
      </c>
      <c r="AL1126" t="str">
        <f t="shared" si="777"/>
        <v/>
      </c>
      <c r="AN1126" t="s">
        <v>861</v>
      </c>
      <c r="AO1126" t="str">
        <f t="shared" si="778"/>
        <v>h</v>
      </c>
      <c r="AP1126" t="str">
        <f t="shared" si="786"/>
        <v/>
      </c>
      <c r="AQ1126" t="str">
        <f t="shared" si="787"/>
        <v/>
      </c>
      <c r="AR1126" t="str">
        <f t="shared" si="788"/>
        <v>Home</v>
      </c>
      <c r="AS1126" t="str">
        <f t="shared" si="789"/>
        <v>h</v>
      </c>
      <c r="AT1126" t="str">
        <f t="shared" si="790"/>
        <v>Offensive</v>
      </c>
      <c r="BA1126" s="6">
        <f t="shared" si="779"/>
        <v>284</v>
      </c>
      <c r="BB1126">
        <f t="shared" si="780"/>
        <v>18981</v>
      </c>
      <c r="BC1126" t="str">
        <f t="shared" si="781"/>
        <v>Nelson</v>
      </c>
      <c r="BD1126" t="str">
        <f t="shared" si="782"/>
        <v>Velodrome</v>
      </c>
      <c r="BE1126" t="s">
        <v>13</v>
      </c>
      <c r="BF1126" t="s">
        <v>756</v>
      </c>
      <c r="BG1126" t="s">
        <v>756</v>
      </c>
      <c r="BI1126" cm="1">
        <f t="array" ref="BI1126">IFERROR(_xlfn._xlws.FILTER(shifts!A:A,(shifts!B:B=events!AD1126)*(shifts!AG:AG&gt;=events!BK1126)*(shifts!AH:AH&lt;=events!BL1126)),BI1125)</f>
        <v>51</v>
      </c>
      <c r="BJ1126" s="15">
        <f t="shared" si="783"/>
        <v>2</v>
      </c>
      <c r="BK1126">
        <f t="shared" si="791"/>
        <v>672</v>
      </c>
      <c r="BL1126">
        <f t="shared" si="792"/>
        <v>670</v>
      </c>
      <c r="BM1126" s="15">
        <f>SUMIFS(BJ$2:BJ1126,K$2:K1126,"=Intermission")+SUMIFS(BJ$2:BJ1126,K$2:K1126,"=Timeout")</f>
        <v>72</v>
      </c>
      <c r="BN1126">
        <f t="shared" si="793"/>
        <v>1152</v>
      </c>
      <c r="BO1126" s="19">
        <f t="shared" si="794"/>
        <v>1560</v>
      </c>
      <c r="BP1126">
        <f t="shared" si="795"/>
        <v>1555</v>
      </c>
      <c r="BQ1126" s="17">
        <f t="shared" si="796"/>
        <v>1562</v>
      </c>
      <c r="BR1126" t="str">
        <f t="shared" si="797"/>
        <v>event_team_player_1</v>
      </c>
      <c r="BS1126">
        <f>COUNTIFS(S$3:S1126,"="&amp;S1126,AI$3:AI1126,"="&amp;AI1126)</f>
        <v>1</v>
      </c>
      <c r="BT1126" t="str">
        <f>IFERROR(VLOOKUP(BB1126&amp;BU1126&amp;X1126,game_rosters!U:W,3,FALSE),"")</f>
        <v>P100078</v>
      </c>
      <c r="BU1126" t="str">
        <f t="shared" si="798"/>
        <v>Nelson</v>
      </c>
    </row>
    <row r="1127" spans="1:73" x14ac:dyDescent="0.2">
      <c r="A1127">
        <f t="shared" si="784"/>
        <v>1</v>
      </c>
      <c r="J1127" s="44" t="str">
        <f t="shared" si="799"/>
        <v/>
      </c>
      <c r="K1127" t="s">
        <v>13</v>
      </c>
      <c r="L1127" t="s">
        <v>756</v>
      </c>
      <c r="M1127" t="s">
        <v>756</v>
      </c>
      <c r="S1127">
        <v>607</v>
      </c>
      <c r="W1127" t="str">
        <f t="shared" si="775"/>
        <v>h</v>
      </c>
      <c r="X1127">
        <v>84</v>
      </c>
      <c r="Y1127" t="e">
        <f>IF(X1127&lt;&gt;"",VLOOKUP(X1127,game_rosters!$C$43:$E$64,3,FALSE))</f>
        <v>#N/A</v>
      </c>
      <c r="Z1127" t="str" cm="1">
        <f t="array" ref="Z1127">IFERROR(IF(_xlfn._xlws.FILTER(game_rosters!$J:$J,(game_rosters!$G:$G=events!$AN1127)*(game_rosters!$J:$J=events!$X1127))&gt;0,1,""),"")</f>
        <v/>
      </c>
      <c r="AA1127">
        <f t="shared" si="823"/>
        <v>1607</v>
      </c>
      <c r="AB1127" t="str">
        <f t="shared" si="824"/>
        <v/>
      </c>
      <c r="AC1127">
        <f t="shared" si="772"/>
        <v>1607</v>
      </c>
      <c r="AD1127" s="6">
        <v>2</v>
      </c>
      <c r="AE1127" t="s">
        <v>754</v>
      </c>
      <c r="AF1127" t="s">
        <v>746</v>
      </c>
      <c r="AG1127" t="s">
        <v>754</v>
      </c>
      <c r="AH1127" t="s">
        <v>910</v>
      </c>
      <c r="AI1127" t="s">
        <v>368</v>
      </c>
      <c r="AJ1127" t="str">
        <f t="shared" ref="AJ1127:AK1127" si="835">IF($J1127&lt;&gt;"",$J1127,IF($AC1127=$AC1126,AJ1126,""))</f>
        <v/>
      </c>
      <c r="AK1127" t="str">
        <f t="shared" si="835"/>
        <v/>
      </c>
      <c r="AL1127" t="str">
        <f t="shared" si="777"/>
        <v/>
      </c>
      <c r="AN1127" t="s">
        <v>861</v>
      </c>
      <c r="AO1127" t="str">
        <f t="shared" si="778"/>
        <v>h</v>
      </c>
      <c r="AP1127" t="str">
        <f t="shared" si="786"/>
        <v/>
      </c>
      <c r="AQ1127" t="str">
        <f t="shared" si="787"/>
        <v/>
      </c>
      <c r="AR1127" t="str">
        <f t="shared" si="788"/>
        <v>Home</v>
      </c>
      <c r="AS1127" t="str">
        <f t="shared" si="789"/>
        <v>h</v>
      </c>
      <c r="AT1127" t="str">
        <f t="shared" si="790"/>
        <v>Defensive</v>
      </c>
      <c r="BA1127" s="6">
        <f t="shared" si="779"/>
        <v>284</v>
      </c>
      <c r="BB1127">
        <f t="shared" si="780"/>
        <v>18981</v>
      </c>
      <c r="BC1127" t="str">
        <f t="shared" si="781"/>
        <v>Nelson</v>
      </c>
      <c r="BD1127" t="str">
        <f t="shared" si="782"/>
        <v>Velodrome</v>
      </c>
      <c r="BE1127" t="s">
        <v>13</v>
      </c>
      <c r="BF1127" t="s">
        <v>756</v>
      </c>
      <c r="BG1127" t="s">
        <v>756</v>
      </c>
      <c r="BI1127" cm="1">
        <f t="array" ref="BI1127">IFERROR(_xlfn._xlws.FILTER(shifts!A:A,(shifts!B:B=events!AD1127)*(shifts!AG:AG&gt;=events!BK1127)*(shifts!AH:AH&lt;=events!BL1127)),BI1126)</f>
        <v>51</v>
      </c>
      <c r="BJ1127" s="15">
        <f t="shared" si="783"/>
        <v>2</v>
      </c>
      <c r="BK1127">
        <f t="shared" si="791"/>
        <v>672</v>
      </c>
      <c r="BL1127">
        <f t="shared" si="792"/>
        <v>670</v>
      </c>
      <c r="BM1127" s="15">
        <f>SUMIFS(BJ$2:BJ1127,K$2:K1127,"=Intermission")+SUMIFS(BJ$2:BJ1127,K$2:K1127,"=Timeout")</f>
        <v>72</v>
      </c>
      <c r="BN1127">
        <f t="shared" si="793"/>
        <v>1152</v>
      </c>
      <c r="BO1127" s="19">
        <f t="shared" si="794"/>
        <v>1560</v>
      </c>
      <c r="BP1127">
        <f t="shared" si="795"/>
        <v>1555</v>
      </c>
      <c r="BQ1127" s="17">
        <f t="shared" si="796"/>
        <v>1562</v>
      </c>
      <c r="BR1127" t="str">
        <f t="shared" si="797"/>
        <v>opp_team_player_1</v>
      </c>
      <c r="BS1127">
        <f>COUNTIFS(S$3:S1127,"="&amp;S1127,AI$3:AI1127,"="&amp;AI1127)</f>
        <v>1</v>
      </c>
      <c r="BT1127" t="str">
        <f>IFERROR(VLOOKUP(BB1127&amp;BU1127&amp;X1127,game_rosters!U:W,3,FALSE),"")</f>
        <v>P100198</v>
      </c>
      <c r="BU1127" t="str">
        <f t="shared" si="798"/>
        <v>Velodrome</v>
      </c>
    </row>
    <row r="1128" spans="1:73" x14ac:dyDescent="0.2">
      <c r="A1128">
        <f t="shared" si="784"/>
        <v>1</v>
      </c>
      <c r="J1128" s="44" t="str">
        <f t="shared" si="799"/>
        <v/>
      </c>
      <c r="K1128" t="s">
        <v>7</v>
      </c>
      <c r="L1128" t="s">
        <v>182</v>
      </c>
      <c r="M1128" t="s">
        <v>68</v>
      </c>
      <c r="S1128">
        <v>608</v>
      </c>
      <c r="W1128" t="str">
        <f t="shared" si="775"/>
        <v>h</v>
      </c>
      <c r="X1128">
        <v>10</v>
      </c>
      <c r="Y1128" t="b">
        <f>IF(X1128&lt;&gt;"",VLOOKUP(X1128,game_rosters!$C$43:$E$64,3,FALSE))</f>
        <v>0</v>
      </c>
      <c r="Z1128" cm="1">
        <f t="array" ref="Z1128">IFERROR(IF(_xlfn._xlws.FILTER(game_rosters!$J:$J,(game_rosters!$G:$G=events!$AN1128)*(game_rosters!$J:$J=events!$X1128))&gt;0,1,""),"")</f>
        <v>1</v>
      </c>
      <c r="AA1128">
        <f t="shared" si="823"/>
        <v>1608</v>
      </c>
      <c r="AB1128" t="str">
        <f t="shared" si="824"/>
        <v/>
      </c>
      <c r="AC1128">
        <f t="shared" si="772"/>
        <v>1608</v>
      </c>
      <c r="AD1128" s="6">
        <v>2</v>
      </c>
      <c r="AE1128" t="s">
        <v>754</v>
      </c>
      <c r="AF1128" t="s">
        <v>910</v>
      </c>
      <c r="AG1128" t="s">
        <v>756</v>
      </c>
      <c r="AH1128" t="s">
        <v>756</v>
      </c>
      <c r="AI1128" t="s">
        <v>367</v>
      </c>
      <c r="AJ1128" t="str">
        <f t="shared" ref="AJ1128:AK1128" si="836">IF($J1128&lt;&gt;"",$J1128,IF($AC1128=$AC1127,AJ1127,""))</f>
        <v/>
      </c>
      <c r="AK1128" t="str">
        <f t="shared" si="836"/>
        <v/>
      </c>
      <c r="AL1128" t="str">
        <f t="shared" si="777"/>
        <v/>
      </c>
      <c r="AN1128" t="s">
        <v>861</v>
      </c>
      <c r="AO1128" t="str">
        <f t="shared" si="778"/>
        <v>h</v>
      </c>
      <c r="AP1128" t="str">
        <f t="shared" si="786"/>
        <v/>
      </c>
      <c r="AQ1128" t="str">
        <f t="shared" si="787"/>
        <v/>
      </c>
      <c r="AR1128" t="str">
        <f t="shared" si="788"/>
        <v>Home</v>
      </c>
      <c r="AS1128" t="str">
        <f t="shared" si="789"/>
        <v>h</v>
      </c>
      <c r="AT1128" t="str">
        <f t="shared" si="790"/>
        <v>Offensive</v>
      </c>
      <c r="BA1128" s="6">
        <f t="shared" si="779"/>
        <v>284</v>
      </c>
      <c r="BB1128">
        <f t="shared" si="780"/>
        <v>18981</v>
      </c>
      <c r="BC1128" t="str">
        <f t="shared" si="781"/>
        <v>Nelson</v>
      </c>
      <c r="BD1128" t="str">
        <f t="shared" si="782"/>
        <v>Velodrome</v>
      </c>
      <c r="BE1128" t="s">
        <v>7</v>
      </c>
      <c r="BF1128" t="s">
        <v>182</v>
      </c>
      <c r="BG1128" t="s">
        <v>68</v>
      </c>
      <c r="BI1128" cm="1">
        <f t="array" ref="BI1128">IFERROR(_xlfn._xlws.FILTER(shifts!A:A,(shifts!B:B=events!AD1128)*(shifts!AG:AG&gt;=events!BK1128)*(shifts!AH:AH&lt;=events!BL1128)),BI1127)</f>
        <v>51</v>
      </c>
      <c r="BJ1128" s="15">
        <f t="shared" si="783"/>
        <v>0</v>
      </c>
      <c r="BK1128">
        <f t="shared" si="791"/>
        <v>670</v>
      </c>
      <c r="BL1128">
        <f t="shared" si="792"/>
        <v>670</v>
      </c>
      <c r="BM1128" s="15">
        <f>SUMIFS(BJ$2:BJ1128,K$2:K1128,"=Intermission")+SUMIFS(BJ$2:BJ1128,K$2:K1128,"=Timeout")</f>
        <v>72</v>
      </c>
      <c r="BN1128">
        <f t="shared" si="793"/>
        <v>1152</v>
      </c>
      <c r="BO1128" s="19">
        <f t="shared" si="794"/>
        <v>1562</v>
      </c>
      <c r="BP1128">
        <f t="shared" si="795"/>
        <v>1557</v>
      </c>
      <c r="BQ1128" s="17">
        <f t="shared" si="796"/>
        <v>1562</v>
      </c>
      <c r="BR1128" t="str">
        <f t="shared" si="797"/>
        <v>event_team_player_1</v>
      </c>
      <c r="BS1128">
        <f>COUNTIFS(S$3:S1128,"="&amp;S1128,AI$3:AI1128,"="&amp;AI1128)</f>
        <v>1</v>
      </c>
      <c r="BT1128" t="str">
        <f>IFERROR(VLOOKUP(BB1128&amp;BU1128&amp;X1128,game_rosters!U:W,3,FALSE),"")</f>
        <v>P100078</v>
      </c>
      <c r="BU1128" t="str">
        <f t="shared" si="798"/>
        <v>Nelson</v>
      </c>
    </row>
    <row r="1129" spans="1:73" x14ac:dyDescent="0.2">
      <c r="A1129">
        <f t="shared" si="784"/>
        <v>1</v>
      </c>
      <c r="J1129" s="44" t="str">
        <f t="shared" si="799"/>
        <v/>
      </c>
      <c r="K1129" t="s">
        <v>7</v>
      </c>
      <c r="L1129" t="s">
        <v>182</v>
      </c>
      <c r="M1129" t="s">
        <v>68</v>
      </c>
      <c r="S1129">
        <v>608</v>
      </c>
      <c r="W1129" t="str">
        <f t="shared" si="775"/>
        <v>h</v>
      </c>
      <c r="X1129">
        <v>16</v>
      </c>
      <c r="Y1129" t="b">
        <f>IF(X1129&lt;&gt;"",VLOOKUP(X1129,game_rosters!$C$43:$E$64,3,FALSE))</f>
        <v>0</v>
      </c>
      <c r="Z1129" cm="1">
        <f t="array" ref="Z1129">IFERROR(IF(_xlfn._xlws.FILTER(game_rosters!$J:$J,(game_rosters!$G:$G=events!$AN1129)*(game_rosters!$J:$J=events!$X1129))&gt;0,1,""),"")</f>
        <v>1</v>
      </c>
      <c r="AA1129">
        <f t="shared" si="823"/>
        <v>1608</v>
      </c>
      <c r="AB1129" t="str">
        <f t="shared" si="824"/>
        <v/>
      </c>
      <c r="AC1129">
        <f t="shared" si="772"/>
        <v>1608</v>
      </c>
      <c r="AD1129" s="6">
        <v>2</v>
      </c>
      <c r="AE1129" t="s">
        <v>754</v>
      </c>
      <c r="AF1129" t="s">
        <v>910</v>
      </c>
      <c r="AG1129" t="s">
        <v>756</v>
      </c>
      <c r="AH1129" t="s">
        <v>756</v>
      </c>
      <c r="AI1129" t="s">
        <v>367</v>
      </c>
      <c r="AJ1129" t="str">
        <f t="shared" ref="AJ1129:AK1129" si="837">IF($J1129&lt;&gt;"",$J1129,IF($AC1129=$AC1128,AJ1128,""))</f>
        <v/>
      </c>
      <c r="AK1129" t="str">
        <f t="shared" si="837"/>
        <v/>
      </c>
      <c r="AL1129" t="str">
        <f t="shared" si="777"/>
        <v/>
      </c>
      <c r="AN1129" t="s">
        <v>861</v>
      </c>
      <c r="AO1129" t="str">
        <f t="shared" si="778"/>
        <v>h</v>
      </c>
      <c r="AP1129" t="str">
        <f t="shared" si="786"/>
        <v/>
      </c>
      <c r="AQ1129" t="str">
        <f t="shared" si="787"/>
        <v/>
      </c>
      <c r="AR1129" t="str">
        <f t="shared" si="788"/>
        <v>Home</v>
      </c>
      <c r="AS1129" t="str">
        <f t="shared" si="789"/>
        <v>h</v>
      </c>
      <c r="AT1129" t="str">
        <f t="shared" si="790"/>
        <v>Offensive</v>
      </c>
      <c r="BA1129" s="6">
        <f t="shared" si="779"/>
        <v>284</v>
      </c>
      <c r="BB1129">
        <f t="shared" si="780"/>
        <v>18981</v>
      </c>
      <c r="BC1129" t="str">
        <f t="shared" si="781"/>
        <v>Nelson</v>
      </c>
      <c r="BD1129" t="str">
        <f t="shared" si="782"/>
        <v>Velodrome</v>
      </c>
      <c r="BE1129" t="s">
        <v>7</v>
      </c>
      <c r="BF1129" t="s">
        <v>182</v>
      </c>
      <c r="BG1129" t="s">
        <v>68</v>
      </c>
      <c r="BI1129" cm="1">
        <f t="array" ref="BI1129">IFERROR(_xlfn._xlws.FILTER(shifts!A:A,(shifts!B:B=events!AD1129)*(shifts!AG:AG&gt;=events!BK1129)*(shifts!AH:AH&lt;=events!BL1129)),BI1128)</f>
        <v>51</v>
      </c>
      <c r="BJ1129" s="15">
        <f t="shared" si="783"/>
        <v>0</v>
      </c>
      <c r="BK1129">
        <f t="shared" si="791"/>
        <v>670</v>
      </c>
      <c r="BL1129">
        <f t="shared" si="792"/>
        <v>670</v>
      </c>
      <c r="BM1129" s="15">
        <f>SUMIFS(BJ$2:BJ1129,K$2:K1129,"=Intermission")+SUMIFS(BJ$2:BJ1129,K$2:K1129,"=Timeout")</f>
        <v>72</v>
      </c>
      <c r="BN1129">
        <f t="shared" si="793"/>
        <v>1152</v>
      </c>
      <c r="BO1129" s="19">
        <f t="shared" si="794"/>
        <v>1562</v>
      </c>
      <c r="BP1129">
        <f t="shared" si="795"/>
        <v>1557</v>
      </c>
      <c r="BQ1129" s="17">
        <f t="shared" si="796"/>
        <v>1562</v>
      </c>
      <c r="BR1129" t="str">
        <f t="shared" si="797"/>
        <v>event_team_player_2</v>
      </c>
      <c r="BS1129">
        <f>COUNTIFS(S$3:S1129,"="&amp;S1129,AI$3:AI1129,"="&amp;AI1129)</f>
        <v>2</v>
      </c>
      <c r="BT1129" t="str">
        <f>IFERROR(VLOOKUP(BB1129&amp;BU1129&amp;X1129,game_rosters!U:W,3,FALSE),"")</f>
        <v>P100164</v>
      </c>
      <c r="BU1129" t="str">
        <f t="shared" si="798"/>
        <v>Nelson</v>
      </c>
    </row>
    <row r="1130" spans="1:73" x14ac:dyDescent="0.2">
      <c r="A1130">
        <f t="shared" si="784"/>
        <v>1</v>
      </c>
      <c r="J1130" s="44" t="str">
        <f t="shared" si="799"/>
        <v>o</v>
      </c>
      <c r="K1130" t="s">
        <v>238</v>
      </c>
      <c r="L1130" t="s">
        <v>174</v>
      </c>
      <c r="M1130" t="s">
        <v>390</v>
      </c>
      <c r="S1130">
        <v>609</v>
      </c>
      <c r="W1130" t="str">
        <f t="shared" si="775"/>
        <v>h</v>
      </c>
      <c r="X1130">
        <v>10</v>
      </c>
      <c r="Y1130" t="b">
        <f>IF(X1130&lt;&gt;"",VLOOKUP(X1130,game_rosters!$C$43:$E$64,3,FALSE))</f>
        <v>0</v>
      </c>
      <c r="Z1130" cm="1">
        <f t="array" ref="Z1130">IFERROR(IF(_xlfn._xlws.FILTER(game_rosters!$J:$J,(game_rosters!$G:$G=events!$AN1130)*(game_rosters!$J:$J=events!$X1130))&gt;0,1,""),"")</f>
        <v>1</v>
      </c>
      <c r="AA1130">
        <f t="shared" si="823"/>
        <v>1609</v>
      </c>
      <c r="AB1130" t="str">
        <f t="shared" si="824"/>
        <v/>
      </c>
      <c r="AC1130">
        <f t="shared" si="772"/>
        <v>1609</v>
      </c>
      <c r="AD1130" s="6">
        <v>2</v>
      </c>
      <c r="AE1130" t="s">
        <v>754</v>
      </c>
      <c r="AF1130" t="s">
        <v>910</v>
      </c>
      <c r="AG1130" t="s">
        <v>756</v>
      </c>
      <c r="AH1130" t="s">
        <v>756</v>
      </c>
      <c r="AI1130" t="s">
        <v>367</v>
      </c>
      <c r="AJ1130" t="str">
        <f t="shared" ref="AJ1130:AK1130" si="838">IF($J1130&lt;&gt;"",$J1130,IF($AC1130=$AC1129,AJ1129,""))</f>
        <v>o</v>
      </c>
      <c r="AK1130" t="str">
        <f t="shared" si="838"/>
        <v>o</v>
      </c>
      <c r="AL1130" t="str">
        <f t="shared" si="777"/>
        <v>o</v>
      </c>
      <c r="AN1130" t="s">
        <v>861</v>
      </c>
      <c r="AO1130" t="str">
        <f t="shared" si="778"/>
        <v>h</v>
      </c>
      <c r="AP1130" t="str">
        <f t="shared" si="786"/>
        <v>o</v>
      </c>
      <c r="AQ1130" t="str">
        <f t="shared" si="787"/>
        <v/>
      </c>
      <c r="AR1130" t="str">
        <f t="shared" si="788"/>
        <v>Home</v>
      </c>
      <c r="AS1130" t="str">
        <f t="shared" si="789"/>
        <v>h</v>
      </c>
      <c r="AT1130" t="str">
        <f t="shared" si="790"/>
        <v>Offensive</v>
      </c>
      <c r="BA1130" s="6">
        <f t="shared" si="779"/>
        <v>285</v>
      </c>
      <c r="BB1130">
        <f t="shared" si="780"/>
        <v>18981</v>
      </c>
      <c r="BC1130" t="str">
        <f t="shared" si="781"/>
        <v>Nelson</v>
      </c>
      <c r="BD1130" t="str">
        <f t="shared" si="782"/>
        <v>Velodrome</v>
      </c>
      <c r="BE1130" t="s">
        <v>238</v>
      </c>
      <c r="BF1130" t="s">
        <v>174</v>
      </c>
      <c r="BG1130" t="s">
        <v>390</v>
      </c>
      <c r="BI1130" cm="1">
        <f t="array" ref="BI1130">IFERROR(_xlfn._xlws.FILTER(shifts!A:A,(shifts!B:B=events!AD1130)*(shifts!AG:AG&gt;=events!BK1130)*(shifts!AH:AH&lt;=events!BL1130)),BI1129)</f>
        <v>51</v>
      </c>
      <c r="BJ1130" s="15">
        <f t="shared" si="783"/>
        <v>0</v>
      </c>
      <c r="BK1130">
        <f t="shared" si="791"/>
        <v>670</v>
      </c>
      <c r="BL1130">
        <f t="shared" si="792"/>
        <v>670</v>
      </c>
      <c r="BM1130" s="15">
        <f>SUMIFS(BJ$2:BJ1130,K$2:K1130,"=Intermission")+SUMIFS(BJ$2:BJ1130,K$2:K1130,"=Timeout")</f>
        <v>72</v>
      </c>
      <c r="BN1130">
        <f t="shared" si="793"/>
        <v>1152</v>
      </c>
      <c r="BO1130" s="19">
        <f t="shared" si="794"/>
        <v>1562</v>
      </c>
      <c r="BP1130">
        <f t="shared" si="795"/>
        <v>1557</v>
      </c>
      <c r="BQ1130" s="17">
        <f t="shared" si="796"/>
        <v>1562</v>
      </c>
      <c r="BR1130" t="str">
        <f t="shared" si="797"/>
        <v>event_team_player_1</v>
      </c>
      <c r="BS1130">
        <f>COUNTIFS(S$3:S1130,"="&amp;S1130,AI$3:AI1130,"="&amp;AI1130)</f>
        <v>1</v>
      </c>
      <c r="BT1130" t="str">
        <f>IFERROR(VLOOKUP(BB1130&amp;BU1130&amp;X1130,game_rosters!U:W,3,FALSE),"")</f>
        <v>P100078</v>
      </c>
      <c r="BU1130" t="str">
        <f t="shared" si="798"/>
        <v>Nelson</v>
      </c>
    </row>
    <row r="1131" spans="1:73" x14ac:dyDescent="0.2">
      <c r="A1131">
        <f t="shared" si="784"/>
        <v>1</v>
      </c>
      <c r="J1131" s="44" t="str">
        <f t="shared" si="799"/>
        <v/>
      </c>
      <c r="K1131" t="s">
        <v>9</v>
      </c>
      <c r="L1131" t="s">
        <v>173</v>
      </c>
      <c r="M1131" t="s">
        <v>383</v>
      </c>
      <c r="S1131">
        <v>610</v>
      </c>
      <c r="W1131" t="str">
        <f t="shared" si="775"/>
        <v>h</v>
      </c>
      <c r="X1131">
        <v>10</v>
      </c>
      <c r="Y1131" t="b">
        <f>IF(X1131&lt;&gt;"",VLOOKUP(X1131,game_rosters!$C$43:$E$64,3,FALSE))</f>
        <v>0</v>
      </c>
      <c r="Z1131" cm="1">
        <f t="array" ref="Z1131">IFERROR(IF(_xlfn._xlws.FILTER(game_rosters!$J:$J,(game_rosters!$G:$G=events!$AN1131)*(game_rosters!$J:$J=events!$X1131))&gt;0,1,""),"")</f>
        <v>1</v>
      </c>
      <c r="AA1131">
        <f t="shared" si="823"/>
        <v>1610</v>
      </c>
      <c r="AB1131" t="str">
        <f t="shared" si="824"/>
        <v/>
      </c>
      <c r="AC1131">
        <f t="shared" si="772"/>
        <v>1610</v>
      </c>
      <c r="AD1131" s="6">
        <v>2</v>
      </c>
      <c r="AE1131" t="s">
        <v>754</v>
      </c>
      <c r="AF1131" t="s">
        <v>910</v>
      </c>
      <c r="AG1131" t="s">
        <v>756</v>
      </c>
      <c r="AH1131" t="s">
        <v>756</v>
      </c>
      <c r="AI1131" t="s">
        <v>367</v>
      </c>
      <c r="AJ1131" t="str">
        <f t="shared" ref="AJ1131:AK1131" si="839">IF($J1131&lt;&gt;"",$J1131,IF($AC1131=$AC1130,AJ1130,""))</f>
        <v/>
      </c>
      <c r="AK1131" t="str">
        <f t="shared" si="839"/>
        <v/>
      </c>
      <c r="AL1131" t="str">
        <f t="shared" si="777"/>
        <v/>
      </c>
      <c r="AN1131" t="s">
        <v>861</v>
      </c>
      <c r="AO1131" t="str">
        <f t="shared" si="778"/>
        <v>h</v>
      </c>
      <c r="AP1131" t="str">
        <f t="shared" si="786"/>
        <v/>
      </c>
      <c r="AQ1131" t="str">
        <f t="shared" si="787"/>
        <v/>
      </c>
      <c r="AR1131" t="str">
        <f t="shared" si="788"/>
        <v>Home</v>
      </c>
      <c r="AS1131" t="str">
        <f t="shared" si="789"/>
        <v>h</v>
      </c>
      <c r="AT1131" t="str">
        <f t="shared" si="790"/>
        <v>Offensive</v>
      </c>
      <c r="BA1131" s="6">
        <f t="shared" si="779"/>
        <v>285</v>
      </c>
      <c r="BB1131">
        <f t="shared" si="780"/>
        <v>18981</v>
      </c>
      <c r="BC1131" t="str">
        <f t="shared" si="781"/>
        <v>Nelson</v>
      </c>
      <c r="BD1131" t="str">
        <f t="shared" si="782"/>
        <v>Velodrome</v>
      </c>
      <c r="BE1131" t="s">
        <v>9</v>
      </c>
      <c r="BF1131" t="s">
        <v>173</v>
      </c>
      <c r="BG1131" t="s">
        <v>383</v>
      </c>
      <c r="BI1131" cm="1">
        <f t="array" ref="BI1131">IFERROR(_xlfn._xlws.FILTER(shifts!A:A,(shifts!B:B=events!AD1131)*(shifts!AG:AG&gt;=events!BK1131)*(shifts!AH:AH&lt;=events!BL1131)),BI1130)</f>
        <v>51</v>
      </c>
      <c r="BJ1131" s="15">
        <f t="shared" si="783"/>
        <v>0</v>
      </c>
      <c r="BK1131">
        <f t="shared" si="791"/>
        <v>670</v>
      </c>
      <c r="BL1131">
        <f t="shared" si="792"/>
        <v>670</v>
      </c>
      <c r="BM1131" s="15">
        <f>SUMIFS(BJ$2:BJ1131,K$2:K1131,"=Intermission")+SUMIFS(BJ$2:BJ1131,K$2:K1131,"=Timeout")</f>
        <v>72</v>
      </c>
      <c r="BN1131">
        <f t="shared" si="793"/>
        <v>1152</v>
      </c>
      <c r="BO1131" s="19">
        <f t="shared" si="794"/>
        <v>1562</v>
      </c>
      <c r="BP1131">
        <f t="shared" si="795"/>
        <v>1557</v>
      </c>
      <c r="BQ1131" s="17">
        <f t="shared" si="796"/>
        <v>1562</v>
      </c>
      <c r="BR1131" t="str">
        <f t="shared" si="797"/>
        <v>event_team_player_1</v>
      </c>
      <c r="BS1131">
        <f>COUNTIFS(S$3:S1131,"="&amp;S1131,AI$3:AI1131,"="&amp;AI1131)</f>
        <v>1</v>
      </c>
      <c r="BT1131" t="str">
        <f>IFERROR(VLOOKUP(BB1131&amp;BU1131&amp;X1131,game_rosters!U:W,3,FALSE),"")</f>
        <v>P100078</v>
      </c>
      <c r="BU1131" t="str">
        <f t="shared" si="798"/>
        <v>Nelson</v>
      </c>
    </row>
    <row r="1132" spans="1:73" x14ac:dyDescent="0.2">
      <c r="A1132">
        <f t="shared" si="784"/>
        <v>1</v>
      </c>
      <c r="J1132" s="44" t="str">
        <f t="shared" si="799"/>
        <v>d</v>
      </c>
      <c r="K1132" t="s">
        <v>238</v>
      </c>
      <c r="L1132" t="s">
        <v>184</v>
      </c>
      <c r="M1132" t="s">
        <v>374</v>
      </c>
      <c r="S1132">
        <v>611</v>
      </c>
      <c r="W1132" t="str">
        <f t="shared" si="775"/>
        <v>a</v>
      </c>
      <c r="X1132">
        <v>91</v>
      </c>
      <c r="Y1132" t="e">
        <f>IF(X1132&lt;&gt;"",VLOOKUP(X1132,game_rosters!$C$43:$E$64,3,FALSE))</f>
        <v>#N/A</v>
      </c>
      <c r="Z1132" cm="1">
        <f t="array" ref="Z1132">IFERROR(IF(_xlfn._xlws.FILTER(game_rosters!$J:$J,(game_rosters!$G:$G=events!$AN1132)*(game_rosters!$J:$J=events!$X1132))&gt;0,1,""),"")</f>
        <v>1</v>
      </c>
      <c r="AA1132">
        <f t="shared" si="823"/>
        <v>1611</v>
      </c>
      <c r="AB1132" t="str">
        <f t="shared" si="824"/>
        <v/>
      </c>
      <c r="AC1132">
        <f t="shared" si="772"/>
        <v>1611</v>
      </c>
      <c r="AD1132" s="6">
        <v>2</v>
      </c>
      <c r="AE1132" t="s">
        <v>754</v>
      </c>
      <c r="AF1132" t="s">
        <v>912</v>
      </c>
      <c r="AG1132" t="s">
        <v>756</v>
      </c>
      <c r="AH1132" t="s">
        <v>756</v>
      </c>
      <c r="AI1132" t="s">
        <v>367</v>
      </c>
      <c r="AJ1132" t="str">
        <f t="shared" ref="AJ1132:AK1132" si="840">IF($J1132&lt;&gt;"",$J1132,IF($AC1132=$AC1131,AJ1131,""))</f>
        <v>d</v>
      </c>
      <c r="AK1132" t="str">
        <f t="shared" si="840"/>
        <v>d</v>
      </c>
      <c r="AL1132" t="str">
        <f t="shared" si="777"/>
        <v>o</v>
      </c>
      <c r="AN1132" t="s">
        <v>862</v>
      </c>
      <c r="AO1132" t="str">
        <f t="shared" si="778"/>
        <v>a</v>
      </c>
      <c r="AP1132" t="str">
        <f t="shared" si="786"/>
        <v>o</v>
      </c>
      <c r="AQ1132" t="str">
        <f t="shared" si="787"/>
        <v/>
      </c>
      <c r="AR1132" t="str">
        <f t="shared" si="788"/>
        <v>Away</v>
      </c>
      <c r="AS1132" t="str">
        <f t="shared" si="789"/>
        <v>a</v>
      </c>
      <c r="AT1132" t="str">
        <f t="shared" si="790"/>
        <v>Offensive</v>
      </c>
      <c r="BA1132" s="6">
        <f t="shared" si="779"/>
        <v>286</v>
      </c>
      <c r="BB1132">
        <f t="shared" si="780"/>
        <v>18981</v>
      </c>
      <c r="BC1132" t="str">
        <f t="shared" si="781"/>
        <v>Nelson</v>
      </c>
      <c r="BD1132" t="str">
        <f t="shared" si="782"/>
        <v>Velodrome</v>
      </c>
      <c r="BE1132" t="s">
        <v>238</v>
      </c>
      <c r="BF1132" t="s">
        <v>184</v>
      </c>
      <c r="BG1132" t="s">
        <v>374</v>
      </c>
      <c r="BI1132" cm="1">
        <f t="array" ref="BI1132">IFERROR(_xlfn._xlws.FILTER(shifts!A:A,(shifts!B:B=events!AD1132)*(shifts!AG:AG&gt;=events!BK1132)*(shifts!AH:AH&lt;=events!BL1132)),BI1131)</f>
        <v>52</v>
      </c>
      <c r="BJ1132" s="15">
        <f t="shared" si="783"/>
        <v>0</v>
      </c>
      <c r="BK1132">
        <f t="shared" si="791"/>
        <v>665</v>
      </c>
      <c r="BL1132">
        <f t="shared" si="792"/>
        <v>665</v>
      </c>
      <c r="BM1132" s="15">
        <f>SUMIFS(BJ$2:BJ1132,K$2:K1132,"=Intermission")+SUMIFS(BJ$2:BJ1132,K$2:K1132,"=Timeout")</f>
        <v>72</v>
      </c>
      <c r="BN1132">
        <f t="shared" si="793"/>
        <v>1152</v>
      </c>
      <c r="BO1132" s="19">
        <f t="shared" si="794"/>
        <v>1567</v>
      </c>
      <c r="BP1132">
        <f t="shared" si="795"/>
        <v>1562</v>
      </c>
      <c r="BQ1132" s="17">
        <f t="shared" si="796"/>
        <v>1567</v>
      </c>
      <c r="BR1132" t="str">
        <f t="shared" si="797"/>
        <v>event_team_player_1</v>
      </c>
      <c r="BS1132">
        <f>COUNTIFS(S$3:S1132,"="&amp;S1132,AI$3:AI1132,"="&amp;AI1132)</f>
        <v>1</v>
      </c>
      <c r="BT1132" t="str">
        <f>IFERROR(VLOOKUP(BB1132&amp;BU1132&amp;X1132,game_rosters!U:W,3,FALSE),"")</f>
        <v>P100002</v>
      </c>
      <c r="BU1132" t="str">
        <f t="shared" si="798"/>
        <v>Velodrome</v>
      </c>
    </row>
    <row r="1133" spans="1:73" x14ac:dyDescent="0.2">
      <c r="A1133">
        <f t="shared" si="784"/>
        <v>1</v>
      </c>
      <c r="J1133" s="44" t="str">
        <f t="shared" si="799"/>
        <v/>
      </c>
      <c r="K1133" t="s">
        <v>13</v>
      </c>
      <c r="L1133" t="s">
        <v>756</v>
      </c>
      <c r="M1133" t="s">
        <v>756</v>
      </c>
      <c r="S1133">
        <v>612</v>
      </c>
      <c r="W1133" t="str">
        <f t="shared" si="775"/>
        <v>h</v>
      </c>
      <c r="X1133">
        <v>8</v>
      </c>
      <c r="Y1133" t="b">
        <f>IF(X1133&lt;&gt;"",VLOOKUP(X1133,game_rosters!$C$43:$E$64,3,FALSE))</f>
        <v>0</v>
      </c>
      <c r="Z1133" cm="1">
        <f t="array" ref="Z1133">IFERROR(IF(_xlfn._xlws.FILTER(game_rosters!$J:$J,(game_rosters!$G:$G=events!$AN1133)*(game_rosters!$J:$J=events!$X1133))&gt;0,1,""),"")</f>
        <v>1</v>
      </c>
      <c r="AA1133">
        <f t="shared" si="823"/>
        <v>1612</v>
      </c>
      <c r="AB1133" t="str">
        <f t="shared" si="824"/>
        <v/>
      </c>
      <c r="AC1133">
        <f t="shared" si="772"/>
        <v>1612</v>
      </c>
      <c r="AD1133" s="6">
        <v>2</v>
      </c>
      <c r="AE1133" t="s">
        <v>754</v>
      </c>
      <c r="AF1133" t="s">
        <v>925</v>
      </c>
      <c r="AG1133" t="s">
        <v>754</v>
      </c>
      <c r="AH1133" t="s">
        <v>748</v>
      </c>
      <c r="AI1133" t="s">
        <v>367</v>
      </c>
      <c r="AJ1133" t="str">
        <f t="shared" ref="AJ1133:AK1133" si="841">IF($J1133&lt;&gt;"",$J1133,IF($AC1133=$AC1132,AJ1132,""))</f>
        <v/>
      </c>
      <c r="AK1133" t="str">
        <f t="shared" si="841"/>
        <v/>
      </c>
      <c r="AL1133" t="str">
        <f t="shared" si="777"/>
        <v/>
      </c>
      <c r="AN1133" t="s">
        <v>861</v>
      </c>
      <c r="AO1133" t="str">
        <f t="shared" si="778"/>
        <v>h</v>
      </c>
      <c r="AP1133" t="str">
        <f t="shared" si="786"/>
        <v/>
      </c>
      <c r="AQ1133" t="str">
        <f t="shared" si="787"/>
        <v/>
      </c>
      <c r="AR1133" t="str">
        <f t="shared" si="788"/>
        <v>Home</v>
      </c>
      <c r="AS1133" t="str">
        <f t="shared" si="789"/>
        <v>h</v>
      </c>
      <c r="AT1133" t="str">
        <f t="shared" si="790"/>
        <v>Offensive</v>
      </c>
      <c r="BA1133" s="6">
        <f t="shared" si="779"/>
        <v>286</v>
      </c>
      <c r="BB1133">
        <f t="shared" si="780"/>
        <v>18981</v>
      </c>
      <c r="BC1133" t="str">
        <f t="shared" si="781"/>
        <v>Nelson</v>
      </c>
      <c r="BD1133" t="str">
        <f t="shared" si="782"/>
        <v>Velodrome</v>
      </c>
      <c r="BE1133" t="s">
        <v>13</v>
      </c>
      <c r="BF1133" t="s">
        <v>756</v>
      </c>
      <c r="BG1133" t="s">
        <v>756</v>
      </c>
      <c r="BI1133" cm="1">
        <f t="array" ref="BI1133">IFERROR(_xlfn._xlws.FILTER(shifts!A:A,(shifts!B:B=events!AD1133)*(shifts!AG:AG&gt;=events!BK1133)*(shifts!AH:AH&lt;=events!BL1133)),BI1132)</f>
        <v>52</v>
      </c>
      <c r="BJ1133" s="15">
        <f t="shared" si="783"/>
        <v>2</v>
      </c>
      <c r="BK1133">
        <f t="shared" si="791"/>
        <v>663</v>
      </c>
      <c r="BL1133">
        <f t="shared" si="792"/>
        <v>661</v>
      </c>
      <c r="BM1133" s="15">
        <f>SUMIFS(BJ$2:BJ1133,K$2:K1133,"=Intermission")+SUMIFS(BJ$2:BJ1133,K$2:K1133,"=Timeout")</f>
        <v>72</v>
      </c>
      <c r="BN1133">
        <f t="shared" si="793"/>
        <v>1152</v>
      </c>
      <c r="BO1133" s="19">
        <f t="shared" si="794"/>
        <v>1569</v>
      </c>
      <c r="BP1133">
        <f t="shared" si="795"/>
        <v>1564</v>
      </c>
      <c r="BQ1133" s="17">
        <f t="shared" si="796"/>
        <v>1571</v>
      </c>
      <c r="BR1133" t="str">
        <f t="shared" si="797"/>
        <v>event_team_player_1</v>
      </c>
      <c r="BS1133">
        <f>COUNTIFS(S$3:S1133,"="&amp;S1133,AI$3:AI1133,"="&amp;AI1133)</f>
        <v>1</v>
      </c>
      <c r="BT1133" t="str">
        <f>IFERROR(VLOOKUP(BB1133&amp;BU1133&amp;X1133,game_rosters!U:W,3,FALSE),"")</f>
        <v>P100074</v>
      </c>
      <c r="BU1133" t="str">
        <f t="shared" si="798"/>
        <v>Nelson</v>
      </c>
    </row>
    <row r="1134" spans="1:73" x14ac:dyDescent="0.2">
      <c r="A1134">
        <f t="shared" si="784"/>
        <v>1</v>
      </c>
      <c r="J1134" s="44" t="str">
        <f t="shared" si="799"/>
        <v/>
      </c>
      <c r="K1134" t="s">
        <v>7</v>
      </c>
      <c r="L1134" t="s">
        <v>182</v>
      </c>
      <c r="M1134" t="s">
        <v>68</v>
      </c>
      <c r="S1134">
        <v>613</v>
      </c>
      <c r="W1134" t="str">
        <f t="shared" si="775"/>
        <v>h</v>
      </c>
      <c r="X1134">
        <v>8</v>
      </c>
      <c r="Y1134" t="b">
        <f>IF(X1134&lt;&gt;"",VLOOKUP(X1134,game_rosters!$C$43:$E$64,3,FALSE))</f>
        <v>0</v>
      </c>
      <c r="Z1134" cm="1">
        <f t="array" ref="Z1134">IFERROR(IF(_xlfn._xlws.FILTER(game_rosters!$J:$J,(game_rosters!$G:$G=events!$AN1134)*(game_rosters!$J:$J=events!$X1134))&gt;0,1,""),"")</f>
        <v>1</v>
      </c>
      <c r="AA1134">
        <f t="shared" si="823"/>
        <v>1613</v>
      </c>
      <c r="AB1134" t="str">
        <f t="shared" si="824"/>
        <v/>
      </c>
      <c r="AC1134">
        <f t="shared" si="772"/>
        <v>1613</v>
      </c>
      <c r="AD1134" s="6">
        <v>2</v>
      </c>
      <c r="AE1134" t="s">
        <v>754</v>
      </c>
      <c r="AF1134" t="s">
        <v>748</v>
      </c>
      <c r="AG1134" t="s">
        <v>756</v>
      </c>
      <c r="AH1134" t="s">
        <v>756</v>
      </c>
      <c r="AI1134" t="s">
        <v>367</v>
      </c>
      <c r="AJ1134" t="str">
        <f t="shared" ref="AJ1134:AK1134" si="842">IF($J1134&lt;&gt;"",$J1134,IF($AC1134=$AC1133,AJ1133,""))</f>
        <v/>
      </c>
      <c r="AK1134" t="str">
        <f t="shared" si="842"/>
        <v/>
      </c>
      <c r="AL1134" t="str">
        <f t="shared" si="777"/>
        <v/>
      </c>
      <c r="AN1134" t="s">
        <v>861</v>
      </c>
      <c r="AO1134" t="str">
        <f t="shared" si="778"/>
        <v>h</v>
      </c>
      <c r="AP1134" t="str">
        <f t="shared" si="786"/>
        <v/>
      </c>
      <c r="AQ1134" t="str">
        <f t="shared" si="787"/>
        <v/>
      </c>
      <c r="AR1134" t="str">
        <f t="shared" si="788"/>
        <v>Home</v>
      </c>
      <c r="AS1134" t="str">
        <f t="shared" si="789"/>
        <v>h</v>
      </c>
      <c r="AT1134" t="str">
        <f t="shared" si="790"/>
        <v>Offensive</v>
      </c>
      <c r="BA1134" s="6">
        <f t="shared" si="779"/>
        <v>286</v>
      </c>
      <c r="BB1134">
        <f t="shared" si="780"/>
        <v>18981</v>
      </c>
      <c r="BC1134" t="str">
        <f t="shared" si="781"/>
        <v>Nelson</v>
      </c>
      <c r="BD1134" t="str">
        <f t="shared" si="782"/>
        <v>Velodrome</v>
      </c>
      <c r="BE1134" t="s">
        <v>7</v>
      </c>
      <c r="BF1134" t="s">
        <v>182</v>
      </c>
      <c r="BG1134" t="s">
        <v>68</v>
      </c>
      <c r="BI1134" cm="1">
        <f t="array" ref="BI1134">IFERROR(_xlfn._xlws.FILTER(shifts!A:A,(shifts!B:B=events!AD1134)*(shifts!AG:AG&gt;=events!BK1134)*(shifts!AH:AH&lt;=events!BL1134)),BI1133)</f>
        <v>52</v>
      </c>
      <c r="BJ1134" s="15">
        <f t="shared" si="783"/>
        <v>0</v>
      </c>
      <c r="BK1134">
        <f t="shared" si="791"/>
        <v>661</v>
      </c>
      <c r="BL1134">
        <f t="shared" si="792"/>
        <v>661</v>
      </c>
      <c r="BM1134" s="15">
        <f>SUMIFS(BJ$2:BJ1134,K$2:K1134,"=Intermission")+SUMIFS(BJ$2:BJ1134,K$2:K1134,"=Timeout")</f>
        <v>72</v>
      </c>
      <c r="BN1134">
        <f t="shared" si="793"/>
        <v>1152</v>
      </c>
      <c r="BO1134" s="19">
        <f t="shared" si="794"/>
        <v>1571</v>
      </c>
      <c r="BP1134">
        <f t="shared" si="795"/>
        <v>1566</v>
      </c>
      <c r="BQ1134" s="17">
        <f t="shared" si="796"/>
        <v>1571</v>
      </c>
      <c r="BR1134" t="str">
        <f t="shared" si="797"/>
        <v>event_team_player_1</v>
      </c>
      <c r="BS1134">
        <f>COUNTIFS(S$3:S1134,"="&amp;S1134,AI$3:AI1134,"="&amp;AI1134)</f>
        <v>1</v>
      </c>
      <c r="BT1134" t="str">
        <f>IFERROR(VLOOKUP(BB1134&amp;BU1134&amp;X1134,game_rosters!U:W,3,FALSE),"")</f>
        <v>P100074</v>
      </c>
      <c r="BU1134" t="str">
        <f t="shared" si="798"/>
        <v>Nelson</v>
      </c>
    </row>
    <row r="1135" spans="1:73" x14ac:dyDescent="0.2">
      <c r="A1135">
        <f t="shared" si="784"/>
        <v>1</v>
      </c>
      <c r="J1135" s="44" t="str">
        <f t="shared" si="799"/>
        <v/>
      </c>
      <c r="K1135" t="s">
        <v>7</v>
      </c>
      <c r="L1135" t="s">
        <v>182</v>
      </c>
      <c r="M1135" t="s">
        <v>68</v>
      </c>
      <c r="S1135">
        <v>613</v>
      </c>
      <c r="W1135" t="str">
        <f t="shared" si="775"/>
        <v>h</v>
      </c>
      <c r="X1135">
        <v>10</v>
      </c>
      <c r="Y1135" t="b">
        <f>IF(X1135&lt;&gt;"",VLOOKUP(X1135,game_rosters!$C$43:$E$64,3,FALSE))</f>
        <v>0</v>
      </c>
      <c r="Z1135" cm="1">
        <f t="array" ref="Z1135">IFERROR(IF(_xlfn._xlws.FILTER(game_rosters!$J:$J,(game_rosters!$G:$G=events!$AN1135)*(game_rosters!$J:$J=events!$X1135))&gt;0,1,""),"")</f>
        <v>1</v>
      </c>
      <c r="AA1135">
        <f t="shared" si="823"/>
        <v>1613</v>
      </c>
      <c r="AB1135" t="str">
        <f t="shared" si="824"/>
        <v/>
      </c>
      <c r="AC1135">
        <f t="shared" si="772"/>
        <v>1613</v>
      </c>
      <c r="AD1135" s="6">
        <v>2</v>
      </c>
      <c r="AE1135" t="s">
        <v>754</v>
      </c>
      <c r="AF1135" t="s">
        <v>748</v>
      </c>
      <c r="AG1135" t="s">
        <v>756</v>
      </c>
      <c r="AH1135" t="s">
        <v>756</v>
      </c>
      <c r="AI1135" t="s">
        <v>367</v>
      </c>
      <c r="AJ1135" t="str">
        <f t="shared" ref="AJ1135:AK1135" si="843">IF($J1135&lt;&gt;"",$J1135,IF($AC1135=$AC1134,AJ1134,""))</f>
        <v/>
      </c>
      <c r="AK1135" t="str">
        <f t="shared" si="843"/>
        <v/>
      </c>
      <c r="AL1135" t="str">
        <f t="shared" si="777"/>
        <v/>
      </c>
      <c r="AN1135" t="s">
        <v>861</v>
      </c>
      <c r="AO1135" t="str">
        <f t="shared" si="778"/>
        <v>h</v>
      </c>
      <c r="AP1135" t="str">
        <f t="shared" si="786"/>
        <v/>
      </c>
      <c r="AQ1135" t="str">
        <f t="shared" si="787"/>
        <v/>
      </c>
      <c r="AR1135" t="str">
        <f t="shared" si="788"/>
        <v>Home</v>
      </c>
      <c r="AS1135" t="str">
        <f t="shared" si="789"/>
        <v>h</v>
      </c>
      <c r="AT1135" t="str">
        <f t="shared" si="790"/>
        <v>Offensive</v>
      </c>
      <c r="BA1135" s="6">
        <f t="shared" si="779"/>
        <v>286</v>
      </c>
      <c r="BB1135">
        <f t="shared" si="780"/>
        <v>18981</v>
      </c>
      <c r="BC1135" t="str">
        <f t="shared" si="781"/>
        <v>Nelson</v>
      </c>
      <c r="BD1135" t="str">
        <f t="shared" si="782"/>
        <v>Velodrome</v>
      </c>
      <c r="BE1135" t="s">
        <v>7</v>
      </c>
      <c r="BF1135" t="s">
        <v>182</v>
      </c>
      <c r="BG1135" t="s">
        <v>68</v>
      </c>
      <c r="BI1135" cm="1">
        <f t="array" ref="BI1135">IFERROR(_xlfn._xlws.FILTER(shifts!A:A,(shifts!B:B=events!AD1135)*(shifts!AG:AG&gt;=events!BK1135)*(shifts!AH:AH&lt;=events!BL1135)),BI1134)</f>
        <v>52</v>
      </c>
      <c r="BJ1135" s="15">
        <f t="shared" si="783"/>
        <v>0</v>
      </c>
      <c r="BK1135">
        <f t="shared" si="791"/>
        <v>661</v>
      </c>
      <c r="BL1135">
        <f t="shared" si="792"/>
        <v>661</v>
      </c>
      <c r="BM1135" s="15">
        <f>SUMIFS(BJ$2:BJ1135,K$2:K1135,"=Intermission")+SUMIFS(BJ$2:BJ1135,K$2:K1135,"=Timeout")</f>
        <v>72</v>
      </c>
      <c r="BN1135">
        <f t="shared" si="793"/>
        <v>1152</v>
      </c>
      <c r="BO1135" s="19">
        <f t="shared" si="794"/>
        <v>1571</v>
      </c>
      <c r="BP1135">
        <f t="shared" si="795"/>
        <v>1566</v>
      </c>
      <c r="BQ1135" s="17">
        <f t="shared" si="796"/>
        <v>1571</v>
      </c>
      <c r="BR1135" t="str">
        <f t="shared" si="797"/>
        <v>event_team_player_2</v>
      </c>
      <c r="BS1135">
        <f>COUNTIFS(S$3:S1135,"="&amp;S1135,AI$3:AI1135,"="&amp;AI1135)</f>
        <v>2</v>
      </c>
      <c r="BT1135" t="str">
        <f>IFERROR(VLOOKUP(BB1135&amp;BU1135&amp;X1135,game_rosters!U:W,3,FALSE),"")</f>
        <v>P100078</v>
      </c>
      <c r="BU1135" t="str">
        <f t="shared" si="798"/>
        <v>Nelson</v>
      </c>
    </row>
    <row r="1136" spans="1:73" x14ac:dyDescent="0.2">
      <c r="A1136">
        <f t="shared" si="784"/>
        <v>1</v>
      </c>
      <c r="J1136" s="44" t="str">
        <f t="shared" si="799"/>
        <v>o</v>
      </c>
      <c r="K1136" t="s">
        <v>238</v>
      </c>
      <c r="L1136" t="s">
        <v>174</v>
      </c>
      <c r="M1136" t="s">
        <v>390</v>
      </c>
      <c r="S1136">
        <v>614</v>
      </c>
      <c r="W1136" t="str">
        <f t="shared" si="775"/>
        <v>h</v>
      </c>
      <c r="X1136">
        <v>8</v>
      </c>
      <c r="Y1136" t="b">
        <f>IF(X1136&lt;&gt;"",VLOOKUP(X1136,game_rosters!$C$43:$E$64,3,FALSE))</f>
        <v>0</v>
      </c>
      <c r="Z1136" cm="1">
        <f t="array" ref="Z1136">IFERROR(IF(_xlfn._xlws.FILTER(game_rosters!$J:$J,(game_rosters!$G:$G=events!$AN1136)*(game_rosters!$J:$J=events!$X1136))&gt;0,1,""),"")</f>
        <v>1</v>
      </c>
      <c r="AA1136">
        <f t="shared" si="823"/>
        <v>1614</v>
      </c>
      <c r="AB1136" t="str">
        <f t="shared" si="824"/>
        <v/>
      </c>
      <c r="AC1136">
        <f t="shared" si="772"/>
        <v>1614</v>
      </c>
      <c r="AD1136" s="6">
        <v>2</v>
      </c>
      <c r="AE1136" t="s">
        <v>754</v>
      </c>
      <c r="AF1136" t="s">
        <v>748</v>
      </c>
      <c r="AG1136" t="s">
        <v>756</v>
      </c>
      <c r="AH1136" t="s">
        <v>756</v>
      </c>
      <c r="AI1136" t="s">
        <v>367</v>
      </c>
      <c r="AJ1136" t="str">
        <f t="shared" ref="AJ1136:AK1136" si="844">IF($J1136&lt;&gt;"",$J1136,IF($AC1136=$AC1135,AJ1135,""))</f>
        <v>o</v>
      </c>
      <c r="AK1136" t="str">
        <f t="shared" si="844"/>
        <v>o</v>
      </c>
      <c r="AL1136" t="str">
        <f t="shared" si="777"/>
        <v>o</v>
      </c>
      <c r="AN1136" t="s">
        <v>861</v>
      </c>
      <c r="AO1136" t="str">
        <f t="shared" si="778"/>
        <v>h</v>
      </c>
      <c r="AP1136" t="str">
        <f t="shared" si="786"/>
        <v>o</v>
      </c>
      <c r="AQ1136" t="str">
        <f t="shared" si="787"/>
        <v/>
      </c>
      <c r="AR1136" t="str">
        <f t="shared" si="788"/>
        <v>Home</v>
      </c>
      <c r="AS1136" t="str">
        <f t="shared" si="789"/>
        <v>h</v>
      </c>
      <c r="AT1136" t="str">
        <f t="shared" si="790"/>
        <v>Offensive</v>
      </c>
      <c r="BA1136" s="6">
        <f t="shared" si="779"/>
        <v>287</v>
      </c>
      <c r="BB1136">
        <f t="shared" si="780"/>
        <v>18981</v>
      </c>
      <c r="BC1136" t="str">
        <f t="shared" si="781"/>
        <v>Nelson</v>
      </c>
      <c r="BD1136" t="str">
        <f t="shared" si="782"/>
        <v>Velodrome</v>
      </c>
      <c r="BE1136" t="s">
        <v>238</v>
      </c>
      <c r="BF1136" t="s">
        <v>174</v>
      </c>
      <c r="BG1136" t="s">
        <v>390</v>
      </c>
      <c r="BI1136" cm="1">
        <f t="array" ref="BI1136">IFERROR(_xlfn._xlws.FILTER(shifts!A:A,(shifts!B:B=events!AD1136)*(shifts!AG:AG&gt;=events!BK1136)*(shifts!AH:AH&lt;=events!BL1136)),BI1135)</f>
        <v>52</v>
      </c>
      <c r="BJ1136" s="15">
        <f t="shared" si="783"/>
        <v>0</v>
      </c>
      <c r="BK1136">
        <f t="shared" si="791"/>
        <v>661</v>
      </c>
      <c r="BL1136">
        <f t="shared" si="792"/>
        <v>661</v>
      </c>
      <c r="BM1136" s="15">
        <f>SUMIFS(BJ$2:BJ1136,K$2:K1136,"=Intermission")+SUMIFS(BJ$2:BJ1136,K$2:K1136,"=Timeout")</f>
        <v>72</v>
      </c>
      <c r="BN1136">
        <f t="shared" si="793"/>
        <v>1152</v>
      </c>
      <c r="BO1136" s="19">
        <f t="shared" si="794"/>
        <v>1571</v>
      </c>
      <c r="BP1136">
        <f t="shared" si="795"/>
        <v>1566</v>
      </c>
      <c r="BQ1136" s="17">
        <f t="shared" si="796"/>
        <v>1571</v>
      </c>
      <c r="BR1136" t="str">
        <f t="shared" si="797"/>
        <v>event_team_player_1</v>
      </c>
      <c r="BS1136">
        <f>COUNTIFS(S$3:S1136,"="&amp;S1136,AI$3:AI1136,"="&amp;AI1136)</f>
        <v>1</v>
      </c>
      <c r="BT1136" t="str">
        <f>IFERROR(VLOOKUP(BB1136&amp;BU1136&amp;X1136,game_rosters!U:W,3,FALSE),"")</f>
        <v>P100074</v>
      </c>
      <c r="BU1136" t="str">
        <f t="shared" si="798"/>
        <v>Nelson</v>
      </c>
    </row>
    <row r="1137" spans="1:73" x14ac:dyDescent="0.2">
      <c r="A1137">
        <f t="shared" si="784"/>
        <v>1</v>
      </c>
      <c r="J1137" s="44" t="str">
        <f t="shared" si="799"/>
        <v>o</v>
      </c>
      <c r="K1137" t="s">
        <v>238</v>
      </c>
      <c r="L1137" t="s">
        <v>174</v>
      </c>
      <c r="M1137" t="s">
        <v>390</v>
      </c>
      <c r="S1137">
        <v>614</v>
      </c>
      <c r="W1137" t="str">
        <f t="shared" si="775"/>
        <v>h</v>
      </c>
      <c r="X1137">
        <v>10</v>
      </c>
      <c r="Y1137" t="b">
        <f>IF(X1137&lt;&gt;"",VLOOKUP(X1137,game_rosters!$C$43:$E$64,3,FALSE))</f>
        <v>0</v>
      </c>
      <c r="Z1137" cm="1">
        <f t="array" ref="Z1137">IFERROR(IF(_xlfn._xlws.FILTER(game_rosters!$J:$J,(game_rosters!$G:$G=events!$AN1137)*(game_rosters!$J:$J=events!$X1137))&gt;0,1,""),"")</f>
        <v>1</v>
      </c>
      <c r="AA1137">
        <f t="shared" si="823"/>
        <v>1614</v>
      </c>
      <c r="AB1137" t="str">
        <f t="shared" si="824"/>
        <v/>
      </c>
      <c r="AC1137">
        <f t="shared" si="772"/>
        <v>1614</v>
      </c>
      <c r="AD1137" s="6">
        <v>2</v>
      </c>
      <c r="AE1137" t="s">
        <v>754</v>
      </c>
      <c r="AF1137" t="s">
        <v>748</v>
      </c>
      <c r="AG1137" t="s">
        <v>756</v>
      </c>
      <c r="AH1137" t="s">
        <v>756</v>
      </c>
      <c r="AI1137" t="s">
        <v>367</v>
      </c>
      <c r="AJ1137" t="str">
        <f t="shared" ref="AJ1137:AK1137" si="845">IF($J1137&lt;&gt;"",$J1137,IF($AC1137=$AC1136,AJ1136,""))</f>
        <v>o</v>
      </c>
      <c r="AK1137" t="str">
        <f t="shared" si="845"/>
        <v>o</v>
      </c>
      <c r="AL1137" t="str">
        <f t="shared" si="777"/>
        <v>o</v>
      </c>
      <c r="AN1137" t="s">
        <v>861</v>
      </c>
      <c r="AO1137" t="str">
        <f t="shared" si="778"/>
        <v>h</v>
      </c>
      <c r="AP1137" t="str">
        <f t="shared" si="786"/>
        <v>o</v>
      </c>
      <c r="AQ1137" t="str">
        <f t="shared" si="787"/>
        <v/>
      </c>
      <c r="AR1137" t="str">
        <f t="shared" si="788"/>
        <v>Home</v>
      </c>
      <c r="AS1137" t="str">
        <f t="shared" si="789"/>
        <v>h</v>
      </c>
      <c r="AT1137" t="str">
        <f t="shared" si="790"/>
        <v>Offensive</v>
      </c>
      <c r="BA1137" s="6">
        <f t="shared" si="779"/>
        <v>288</v>
      </c>
      <c r="BB1137">
        <f t="shared" si="780"/>
        <v>18981</v>
      </c>
      <c r="BC1137" t="str">
        <f t="shared" si="781"/>
        <v>Nelson</v>
      </c>
      <c r="BD1137" t="str">
        <f t="shared" si="782"/>
        <v>Velodrome</v>
      </c>
      <c r="BE1137" t="s">
        <v>238</v>
      </c>
      <c r="BF1137" t="s">
        <v>174</v>
      </c>
      <c r="BG1137" t="s">
        <v>390</v>
      </c>
      <c r="BI1137" cm="1">
        <f t="array" ref="BI1137">IFERROR(_xlfn._xlws.FILTER(shifts!A:A,(shifts!B:B=events!AD1137)*(shifts!AG:AG&gt;=events!BK1137)*(shifts!AH:AH&lt;=events!BL1137)),BI1136)</f>
        <v>52</v>
      </c>
      <c r="BJ1137" s="15">
        <f t="shared" si="783"/>
        <v>0</v>
      </c>
      <c r="BK1137">
        <f t="shared" si="791"/>
        <v>661</v>
      </c>
      <c r="BL1137">
        <f t="shared" si="792"/>
        <v>661</v>
      </c>
      <c r="BM1137" s="15">
        <f>SUMIFS(BJ$2:BJ1137,K$2:K1137,"=Intermission")+SUMIFS(BJ$2:BJ1137,K$2:K1137,"=Timeout")</f>
        <v>72</v>
      </c>
      <c r="BN1137">
        <f t="shared" si="793"/>
        <v>1152</v>
      </c>
      <c r="BO1137" s="19">
        <f t="shared" si="794"/>
        <v>1571</v>
      </c>
      <c r="BP1137">
        <f t="shared" si="795"/>
        <v>1566</v>
      </c>
      <c r="BQ1137" s="17">
        <f t="shared" si="796"/>
        <v>1571</v>
      </c>
      <c r="BR1137" t="str">
        <f t="shared" si="797"/>
        <v>event_team_player_2</v>
      </c>
      <c r="BS1137">
        <f>COUNTIFS(S$3:S1137,"="&amp;S1137,AI$3:AI1137,"="&amp;AI1137)</f>
        <v>2</v>
      </c>
      <c r="BT1137" t="str">
        <f>IFERROR(VLOOKUP(BB1137&amp;BU1137&amp;X1137,game_rosters!U:W,3,FALSE),"")</f>
        <v>P100078</v>
      </c>
      <c r="BU1137" t="str">
        <f t="shared" si="798"/>
        <v>Nelson</v>
      </c>
    </row>
    <row r="1138" spans="1:73" x14ac:dyDescent="0.2">
      <c r="A1138">
        <f t="shared" si="784"/>
        <v>1</v>
      </c>
      <c r="J1138" s="44" t="str">
        <f t="shared" si="799"/>
        <v/>
      </c>
      <c r="K1138" t="s">
        <v>13</v>
      </c>
      <c r="L1138" t="s">
        <v>756</v>
      </c>
      <c r="M1138" t="s">
        <v>756</v>
      </c>
      <c r="S1138">
        <v>615</v>
      </c>
      <c r="W1138" t="str">
        <f t="shared" si="775"/>
        <v>h</v>
      </c>
      <c r="X1138">
        <v>10</v>
      </c>
      <c r="Y1138" t="b">
        <f>IF(X1138&lt;&gt;"",VLOOKUP(X1138,game_rosters!$C$43:$E$64,3,FALSE))</f>
        <v>0</v>
      </c>
      <c r="Z1138" cm="1">
        <f t="array" ref="Z1138">IFERROR(IF(_xlfn._xlws.FILTER(game_rosters!$J:$J,(game_rosters!$G:$G=events!$AN1138)*(game_rosters!$J:$J=events!$X1138))&gt;0,1,""),"")</f>
        <v>1</v>
      </c>
      <c r="AA1138">
        <f t="shared" si="823"/>
        <v>1615</v>
      </c>
      <c r="AB1138" t="str">
        <f t="shared" si="824"/>
        <v/>
      </c>
      <c r="AC1138">
        <f t="shared" si="772"/>
        <v>1615</v>
      </c>
      <c r="AD1138" s="6">
        <v>2</v>
      </c>
      <c r="AE1138" t="s">
        <v>910</v>
      </c>
      <c r="AF1138" t="s">
        <v>927</v>
      </c>
      <c r="AG1138" t="s">
        <v>910</v>
      </c>
      <c r="AH1138" t="s">
        <v>921</v>
      </c>
      <c r="AI1138" t="s">
        <v>367</v>
      </c>
      <c r="AJ1138" t="str">
        <f t="shared" ref="AJ1138:AK1138" si="846">IF($J1138&lt;&gt;"",$J1138,IF($AC1138=$AC1137,AJ1137,""))</f>
        <v/>
      </c>
      <c r="AK1138" t="str">
        <f t="shared" si="846"/>
        <v/>
      </c>
      <c r="AL1138" t="str">
        <f t="shared" si="777"/>
        <v/>
      </c>
      <c r="AN1138" t="s">
        <v>861</v>
      </c>
      <c r="AO1138" t="str">
        <f t="shared" si="778"/>
        <v>h</v>
      </c>
      <c r="AP1138" t="str">
        <f t="shared" si="786"/>
        <v/>
      </c>
      <c r="AQ1138" t="str">
        <f t="shared" si="787"/>
        <v/>
      </c>
      <c r="AR1138" t="str">
        <f t="shared" si="788"/>
        <v>Home</v>
      </c>
      <c r="AS1138" t="str">
        <f t="shared" si="789"/>
        <v>h</v>
      </c>
      <c r="AT1138" t="str">
        <f t="shared" si="790"/>
        <v>Offensive</v>
      </c>
      <c r="BA1138" s="6">
        <f t="shared" si="779"/>
        <v>288</v>
      </c>
      <c r="BB1138">
        <f t="shared" si="780"/>
        <v>18981</v>
      </c>
      <c r="BC1138" t="str">
        <f t="shared" si="781"/>
        <v>Nelson</v>
      </c>
      <c r="BD1138" t="str">
        <f t="shared" si="782"/>
        <v>Velodrome</v>
      </c>
      <c r="BE1138" t="s">
        <v>13</v>
      </c>
      <c r="BF1138" t="s">
        <v>756</v>
      </c>
      <c r="BG1138" t="s">
        <v>756</v>
      </c>
      <c r="BI1138" cm="1">
        <f t="array" ref="BI1138">IFERROR(_xlfn._xlws.FILTER(shifts!A:A,(shifts!B:B=events!AD1138)*(shifts!AG:AG&gt;=events!BK1138)*(shifts!AH:AH&lt;=events!BL1138)),BI1137)</f>
        <v>52</v>
      </c>
      <c r="BJ1138" s="15">
        <f t="shared" si="783"/>
        <v>4</v>
      </c>
      <c r="BK1138">
        <f t="shared" si="791"/>
        <v>657</v>
      </c>
      <c r="BL1138">
        <f t="shared" si="792"/>
        <v>653</v>
      </c>
      <c r="BM1138" s="15">
        <f>SUMIFS(BJ$2:BJ1138,K$2:K1138,"=Intermission")+SUMIFS(BJ$2:BJ1138,K$2:K1138,"=Timeout")</f>
        <v>72</v>
      </c>
      <c r="BN1138">
        <f t="shared" si="793"/>
        <v>1152</v>
      </c>
      <c r="BO1138" s="19">
        <f t="shared" si="794"/>
        <v>1575</v>
      </c>
      <c r="BP1138">
        <f t="shared" si="795"/>
        <v>1570</v>
      </c>
      <c r="BQ1138" s="17">
        <f t="shared" si="796"/>
        <v>1579</v>
      </c>
      <c r="BR1138" t="str">
        <f t="shared" si="797"/>
        <v>event_team_player_1</v>
      </c>
      <c r="BS1138">
        <f>COUNTIFS(S$3:S1138,"="&amp;S1138,AI$3:AI1138,"="&amp;AI1138)</f>
        <v>1</v>
      </c>
      <c r="BT1138" t="str">
        <f>IFERROR(VLOOKUP(BB1138&amp;BU1138&amp;X1138,game_rosters!U:W,3,FALSE),"")</f>
        <v>P100078</v>
      </c>
      <c r="BU1138" t="str">
        <f t="shared" si="798"/>
        <v>Nelson</v>
      </c>
    </row>
    <row r="1139" spans="1:73" x14ac:dyDescent="0.2">
      <c r="A1139">
        <f t="shared" si="784"/>
        <v>1</v>
      </c>
      <c r="J1139" s="44" t="str">
        <f t="shared" si="799"/>
        <v/>
      </c>
      <c r="K1139" t="s">
        <v>13</v>
      </c>
      <c r="L1139" t="s">
        <v>756</v>
      </c>
      <c r="M1139" t="s">
        <v>756</v>
      </c>
      <c r="S1139">
        <v>615</v>
      </c>
      <c r="W1139" t="str">
        <f t="shared" si="775"/>
        <v>h</v>
      </c>
      <c r="X1139">
        <v>84</v>
      </c>
      <c r="Y1139" t="e">
        <f>IF(X1139&lt;&gt;"",VLOOKUP(X1139,game_rosters!$C$43:$E$64,3,FALSE))</f>
        <v>#N/A</v>
      </c>
      <c r="Z1139" t="str" cm="1">
        <f t="array" ref="Z1139">IFERROR(IF(_xlfn._xlws.FILTER(game_rosters!$J:$J,(game_rosters!$G:$G=events!$AN1139)*(game_rosters!$J:$J=events!$X1139))&gt;0,1,""),"")</f>
        <v/>
      </c>
      <c r="AA1139">
        <f t="shared" si="823"/>
        <v>1615</v>
      </c>
      <c r="AB1139" t="str">
        <f t="shared" si="824"/>
        <v/>
      </c>
      <c r="AC1139">
        <f t="shared" si="772"/>
        <v>1615</v>
      </c>
      <c r="AD1139" s="6">
        <v>2</v>
      </c>
      <c r="AE1139" t="s">
        <v>910</v>
      </c>
      <c r="AF1139" t="s">
        <v>927</v>
      </c>
      <c r="AG1139" t="s">
        <v>910</v>
      </c>
      <c r="AH1139" t="s">
        <v>921</v>
      </c>
      <c r="AI1139" t="s">
        <v>368</v>
      </c>
      <c r="AJ1139" t="str">
        <f t="shared" ref="AJ1139:AK1139" si="847">IF($J1139&lt;&gt;"",$J1139,IF($AC1139=$AC1138,AJ1138,""))</f>
        <v/>
      </c>
      <c r="AK1139" t="str">
        <f t="shared" si="847"/>
        <v/>
      </c>
      <c r="AL1139" t="str">
        <f t="shared" si="777"/>
        <v/>
      </c>
      <c r="AN1139" t="s">
        <v>861</v>
      </c>
      <c r="AO1139" t="str">
        <f t="shared" si="778"/>
        <v>h</v>
      </c>
      <c r="AP1139" t="str">
        <f t="shared" si="786"/>
        <v/>
      </c>
      <c r="AQ1139" t="str">
        <f t="shared" si="787"/>
        <v/>
      </c>
      <c r="AR1139" t="str">
        <f t="shared" si="788"/>
        <v>Home</v>
      </c>
      <c r="AS1139" t="str">
        <f t="shared" si="789"/>
        <v>h</v>
      </c>
      <c r="AT1139" t="str">
        <f t="shared" si="790"/>
        <v>Defensive</v>
      </c>
      <c r="BA1139" s="6">
        <f t="shared" si="779"/>
        <v>288</v>
      </c>
      <c r="BB1139">
        <f t="shared" si="780"/>
        <v>18981</v>
      </c>
      <c r="BC1139" t="str">
        <f t="shared" si="781"/>
        <v>Nelson</v>
      </c>
      <c r="BD1139" t="str">
        <f t="shared" si="782"/>
        <v>Velodrome</v>
      </c>
      <c r="BE1139" t="s">
        <v>13</v>
      </c>
      <c r="BF1139" t="s">
        <v>756</v>
      </c>
      <c r="BG1139" t="s">
        <v>756</v>
      </c>
      <c r="BI1139" cm="1">
        <f t="array" ref="BI1139">IFERROR(_xlfn._xlws.FILTER(shifts!A:A,(shifts!B:B=events!AD1139)*(shifts!AG:AG&gt;=events!BK1139)*(shifts!AH:AH&lt;=events!BL1139)),BI1138)</f>
        <v>52</v>
      </c>
      <c r="BJ1139" s="15">
        <f t="shared" si="783"/>
        <v>4</v>
      </c>
      <c r="BK1139">
        <f t="shared" si="791"/>
        <v>657</v>
      </c>
      <c r="BL1139">
        <f t="shared" si="792"/>
        <v>653</v>
      </c>
      <c r="BM1139" s="15">
        <f>SUMIFS(BJ$2:BJ1139,K$2:K1139,"=Intermission")+SUMIFS(BJ$2:BJ1139,K$2:K1139,"=Timeout")</f>
        <v>72</v>
      </c>
      <c r="BN1139">
        <f t="shared" si="793"/>
        <v>1152</v>
      </c>
      <c r="BO1139" s="19">
        <f t="shared" si="794"/>
        <v>1575</v>
      </c>
      <c r="BP1139">
        <f t="shared" si="795"/>
        <v>1570</v>
      </c>
      <c r="BQ1139" s="17">
        <f t="shared" si="796"/>
        <v>1579</v>
      </c>
      <c r="BR1139" t="str">
        <f t="shared" si="797"/>
        <v>opp_team_player_1</v>
      </c>
      <c r="BS1139">
        <f>COUNTIFS(S$3:S1139,"="&amp;S1139,AI$3:AI1139,"="&amp;AI1139)</f>
        <v>1</v>
      </c>
      <c r="BT1139" t="str">
        <f>IFERROR(VLOOKUP(BB1139&amp;BU1139&amp;X1139,game_rosters!U:W,3,FALSE),"")</f>
        <v>P100198</v>
      </c>
      <c r="BU1139" t="str">
        <f t="shared" si="798"/>
        <v>Velodrome</v>
      </c>
    </row>
    <row r="1140" spans="1:73" x14ac:dyDescent="0.2">
      <c r="A1140">
        <f t="shared" si="784"/>
        <v>1</v>
      </c>
      <c r="J1140" s="44" t="str">
        <f t="shared" si="799"/>
        <v/>
      </c>
      <c r="K1140" t="s">
        <v>13</v>
      </c>
      <c r="L1140" t="s">
        <v>756</v>
      </c>
      <c r="M1140" t="s">
        <v>756</v>
      </c>
      <c r="S1140">
        <v>615</v>
      </c>
      <c r="W1140" t="str">
        <f t="shared" si="775"/>
        <v>h</v>
      </c>
      <c r="X1140">
        <v>24</v>
      </c>
      <c r="Y1140" t="e">
        <f>IF(X1140&lt;&gt;"",VLOOKUP(X1140,game_rosters!$C$43:$E$64,3,FALSE))</f>
        <v>#N/A</v>
      </c>
      <c r="Z1140" t="str" cm="1">
        <f t="array" ref="Z1140">IFERROR(IF(_xlfn._xlws.FILTER(game_rosters!$J:$J,(game_rosters!$G:$G=events!$AN1140)*(game_rosters!$J:$J=events!$X1140))&gt;0,1,""),"")</f>
        <v/>
      </c>
      <c r="AA1140">
        <f t="shared" si="823"/>
        <v>1615</v>
      </c>
      <c r="AB1140" t="str">
        <f t="shared" si="824"/>
        <v/>
      </c>
      <c r="AC1140">
        <f t="shared" si="772"/>
        <v>1615</v>
      </c>
      <c r="AD1140" s="6">
        <v>2</v>
      </c>
      <c r="AE1140" t="s">
        <v>910</v>
      </c>
      <c r="AF1140" t="s">
        <v>927</v>
      </c>
      <c r="AG1140" t="s">
        <v>910</v>
      </c>
      <c r="AH1140" t="s">
        <v>921</v>
      </c>
      <c r="AI1140" t="s">
        <v>368</v>
      </c>
      <c r="AJ1140" t="str">
        <f t="shared" ref="AJ1140:AK1140" si="848">IF($J1140&lt;&gt;"",$J1140,IF($AC1140=$AC1139,AJ1139,""))</f>
        <v/>
      </c>
      <c r="AK1140" t="str">
        <f t="shared" si="848"/>
        <v/>
      </c>
      <c r="AL1140" t="str">
        <f t="shared" si="777"/>
        <v/>
      </c>
      <c r="AN1140" t="s">
        <v>861</v>
      </c>
      <c r="AO1140" t="str">
        <f t="shared" si="778"/>
        <v>h</v>
      </c>
      <c r="AP1140" t="str">
        <f t="shared" si="786"/>
        <v/>
      </c>
      <c r="AQ1140" t="str">
        <f t="shared" si="787"/>
        <v/>
      </c>
      <c r="AR1140" t="str">
        <f t="shared" si="788"/>
        <v>Home</v>
      </c>
      <c r="AS1140" t="str">
        <f t="shared" si="789"/>
        <v>h</v>
      </c>
      <c r="AT1140" t="str">
        <f t="shared" si="790"/>
        <v>Defensive</v>
      </c>
      <c r="BA1140" s="6">
        <f t="shared" si="779"/>
        <v>288</v>
      </c>
      <c r="BB1140">
        <f t="shared" si="780"/>
        <v>18981</v>
      </c>
      <c r="BC1140" t="str">
        <f t="shared" si="781"/>
        <v>Nelson</v>
      </c>
      <c r="BD1140" t="str">
        <f t="shared" si="782"/>
        <v>Velodrome</v>
      </c>
      <c r="BE1140" t="s">
        <v>13</v>
      </c>
      <c r="BF1140" t="s">
        <v>756</v>
      </c>
      <c r="BG1140" t="s">
        <v>756</v>
      </c>
      <c r="BI1140" cm="1">
        <f t="array" ref="BI1140">IFERROR(_xlfn._xlws.FILTER(shifts!A:A,(shifts!B:B=events!AD1140)*(shifts!AG:AG&gt;=events!BK1140)*(shifts!AH:AH&lt;=events!BL1140)),BI1139)</f>
        <v>52</v>
      </c>
      <c r="BJ1140" s="15">
        <f t="shared" si="783"/>
        <v>4</v>
      </c>
      <c r="BK1140">
        <f t="shared" si="791"/>
        <v>657</v>
      </c>
      <c r="BL1140">
        <f t="shared" si="792"/>
        <v>653</v>
      </c>
      <c r="BM1140" s="15">
        <f>SUMIFS(BJ$2:BJ1140,K$2:K1140,"=Intermission")+SUMIFS(BJ$2:BJ1140,K$2:K1140,"=Timeout")</f>
        <v>72</v>
      </c>
      <c r="BN1140">
        <f t="shared" si="793"/>
        <v>1152</v>
      </c>
      <c r="BO1140" s="19">
        <f t="shared" si="794"/>
        <v>1575</v>
      </c>
      <c r="BP1140">
        <f t="shared" si="795"/>
        <v>1570</v>
      </c>
      <c r="BQ1140" s="17">
        <f t="shared" si="796"/>
        <v>1579</v>
      </c>
      <c r="BR1140" t="str">
        <f t="shared" si="797"/>
        <v>opp_team_player_2</v>
      </c>
      <c r="BS1140">
        <f>COUNTIFS(S$3:S1140,"="&amp;S1140,AI$3:AI1140,"="&amp;AI1140)</f>
        <v>2</v>
      </c>
      <c r="BT1140" t="str">
        <f>IFERROR(VLOOKUP(BB1140&amp;BU1140&amp;X1140,game_rosters!U:W,3,FALSE),"")</f>
        <v>P100230</v>
      </c>
      <c r="BU1140" t="str">
        <f t="shared" si="798"/>
        <v>Velodrome</v>
      </c>
    </row>
    <row r="1141" spans="1:73" x14ac:dyDescent="0.2">
      <c r="A1141">
        <f t="shared" si="784"/>
        <v>1</v>
      </c>
      <c r="J1141" s="44" t="str">
        <f t="shared" si="799"/>
        <v/>
      </c>
      <c r="K1141" t="s">
        <v>9</v>
      </c>
      <c r="L1141" t="s">
        <v>183</v>
      </c>
      <c r="M1141" t="s">
        <v>79</v>
      </c>
      <c r="S1141">
        <v>616</v>
      </c>
      <c r="W1141" t="str">
        <f t="shared" si="775"/>
        <v>a</v>
      </c>
      <c r="X1141">
        <v>84</v>
      </c>
      <c r="Y1141" t="e">
        <f>IF(X1141&lt;&gt;"",VLOOKUP(X1141,game_rosters!$C$43:$E$64,3,FALSE))</f>
        <v>#N/A</v>
      </c>
      <c r="Z1141" cm="1">
        <f t="array" ref="Z1141">IFERROR(IF(_xlfn._xlws.FILTER(game_rosters!$J:$J,(game_rosters!$G:$G=events!$AN1141)*(game_rosters!$J:$J=events!$X1141))&gt;0,1,""),"")</f>
        <v>1</v>
      </c>
      <c r="AA1141">
        <f t="shared" si="823"/>
        <v>1616</v>
      </c>
      <c r="AB1141" t="str">
        <f t="shared" si="824"/>
        <v/>
      </c>
      <c r="AC1141">
        <f t="shared" si="772"/>
        <v>1616</v>
      </c>
      <c r="AD1141" s="6">
        <v>2</v>
      </c>
      <c r="AE1141" t="s">
        <v>910</v>
      </c>
      <c r="AF1141" t="s">
        <v>921</v>
      </c>
      <c r="AG1141" t="s">
        <v>756</v>
      </c>
      <c r="AH1141" t="s">
        <v>756</v>
      </c>
      <c r="AI1141" t="s">
        <v>367</v>
      </c>
      <c r="AJ1141" t="str">
        <f t="shared" ref="AJ1141:AK1141" si="849">IF($J1141&lt;&gt;"",$J1141,IF($AC1141=$AC1140,AJ1140,""))</f>
        <v/>
      </c>
      <c r="AK1141" t="str">
        <f t="shared" si="849"/>
        <v/>
      </c>
      <c r="AL1141" t="str">
        <f t="shared" si="777"/>
        <v/>
      </c>
      <c r="AN1141" t="s">
        <v>862</v>
      </c>
      <c r="AO1141" t="str">
        <f t="shared" si="778"/>
        <v>a</v>
      </c>
      <c r="AP1141" t="str">
        <f t="shared" si="786"/>
        <v/>
      </c>
      <c r="AQ1141" t="str">
        <f t="shared" si="787"/>
        <v/>
      </c>
      <c r="AR1141" t="str">
        <f t="shared" si="788"/>
        <v>Away</v>
      </c>
      <c r="AS1141" t="str">
        <f t="shared" si="789"/>
        <v>a</v>
      </c>
      <c r="AT1141" t="str">
        <f t="shared" si="790"/>
        <v>Defensive</v>
      </c>
      <c r="BA1141" s="6">
        <f t="shared" si="779"/>
        <v>288</v>
      </c>
      <c r="BB1141">
        <f t="shared" si="780"/>
        <v>18981</v>
      </c>
      <c r="BC1141" t="str">
        <f t="shared" si="781"/>
        <v>Nelson</v>
      </c>
      <c r="BD1141" t="str">
        <f t="shared" si="782"/>
        <v>Velodrome</v>
      </c>
      <c r="BE1141" t="s">
        <v>9</v>
      </c>
      <c r="BF1141" t="s">
        <v>183</v>
      </c>
      <c r="BG1141" t="s">
        <v>79</v>
      </c>
      <c r="BI1141" cm="1">
        <f t="array" ref="BI1141">IFERROR(_xlfn._xlws.FILTER(shifts!A:A,(shifts!B:B=events!AD1141)*(shifts!AG:AG&gt;=events!BK1141)*(shifts!AH:AH&lt;=events!BL1141)),BI1140)</f>
        <v>53</v>
      </c>
      <c r="BJ1141" s="15">
        <f t="shared" si="783"/>
        <v>0</v>
      </c>
      <c r="BK1141">
        <f t="shared" si="791"/>
        <v>653</v>
      </c>
      <c r="BL1141">
        <f t="shared" si="792"/>
        <v>653</v>
      </c>
      <c r="BM1141" s="15">
        <f>SUMIFS(BJ$2:BJ1141,K$2:K1141,"=Intermission")+SUMIFS(BJ$2:BJ1141,K$2:K1141,"=Timeout")</f>
        <v>72</v>
      </c>
      <c r="BN1141">
        <f t="shared" si="793"/>
        <v>1152</v>
      </c>
      <c r="BO1141" s="19">
        <f t="shared" si="794"/>
        <v>1579</v>
      </c>
      <c r="BP1141">
        <f t="shared" si="795"/>
        <v>1574</v>
      </c>
      <c r="BQ1141" s="17">
        <f t="shared" si="796"/>
        <v>1579</v>
      </c>
      <c r="BR1141" t="str">
        <f t="shared" si="797"/>
        <v>event_team_player_1</v>
      </c>
      <c r="BS1141">
        <f>COUNTIFS(S$3:S1141,"="&amp;S1141,AI$3:AI1141,"="&amp;AI1141)</f>
        <v>1</v>
      </c>
      <c r="BT1141" t="str">
        <f>IFERROR(VLOOKUP(BB1141&amp;BU1141&amp;X1141,game_rosters!U:W,3,FALSE),"")</f>
        <v>P100198</v>
      </c>
      <c r="BU1141" t="str">
        <f t="shared" si="798"/>
        <v>Velodrome</v>
      </c>
    </row>
    <row r="1142" spans="1:73" x14ac:dyDescent="0.2">
      <c r="A1142">
        <f t="shared" si="784"/>
        <v>1</v>
      </c>
      <c r="J1142" s="44" t="str">
        <f t="shared" si="799"/>
        <v/>
      </c>
      <c r="K1142" t="s">
        <v>9</v>
      </c>
      <c r="L1142" t="s">
        <v>183</v>
      </c>
      <c r="M1142" t="s">
        <v>79</v>
      </c>
      <c r="S1142">
        <v>616</v>
      </c>
      <c r="W1142" t="str">
        <f t="shared" si="775"/>
        <v>a</v>
      </c>
      <c r="X1142">
        <v>10</v>
      </c>
      <c r="Y1142" t="b">
        <f>IF(X1142&lt;&gt;"",VLOOKUP(X1142,game_rosters!$C$43:$E$64,3,FALSE))</f>
        <v>0</v>
      </c>
      <c r="Z1142" t="str" cm="1">
        <f t="array" ref="Z1142">IFERROR(IF(_xlfn._xlws.FILTER(game_rosters!$J:$J,(game_rosters!$G:$G=events!$AN1142)*(game_rosters!$J:$J=events!$X1142))&gt;0,1,""),"")</f>
        <v/>
      </c>
      <c r="AA1142">
        <f t="shared" si="823"/>
        <v>1616</v>
      </c>
      <c r="AB1142" t="str">
        <f t="shared" si="824"/>
        <v/>
      </c>
      <c r="AC1142">
        <f t="shared" si="772"/>
        <v>1616</v>
      </c>
      <c r="AD1142" s="6">
        <v>2</v>
      </c>
      <c r="AE1142" t="s">
        <v>910</v>
      </c>
      <c r="AF1142" t="s">
        <v>921</v>
      </c>
      <c r="AG1142" t="s">
        <v>756</v>
      </c>
      <c r="AH1142" t="s">
        <v>756</v>
      </c>
      <c r="AI1142" t="s">
        <v>368</v>
      </c>
      <c r="AJ1142" t="str">
        <f t="shared" ref="AJ1142:AK1142" si="850">IF($J1142&lt;&gt;"",$J1142,IF($AC1142=$AC1141,AJ1141,""))</f>
        <v/>
      </c>
      <c r="AK1142" t="str">
        <f t="shared" si="850"/>
        <v/>
      </c>
      <c r="AL1142" t="str">
        <f t="shared" si="777"/>
        <v/>
      </c>
      <c r="AN1142" t="s">
        <v>862</v>
      </c>
      <c r="AO1142" t="str">
        <f t="shared" si="778"/>
        <v>a</v>
      </c>
      <c r="AP1142" t="str">
        <f t="shared" si="786"/>
        <v/>
      </c>
      <c r="AQ1142" t="str">
        <f t="shared" si="787"/>
        <v/>
      </c>
      <c r="AR1142" t="str">
        <f t="shared" si="788"/>
        <v>Away</v>
      </c>
      <c r="AS1142" t="str">
        <f t="shared" si="789"/>
        <v>a</v>
      </c>
      <c r="AT1142" t="str">
        <f t="shared" si="790"/>
        <v>Offensive</v>
      </c>
      <c r="BA1142" s="6">
        <f t="shared" si="779"/>
        <v>288</v>
      </c>
      <c r="BB1142">
        <f t="shared" si="780"/>
        <v>18981</v>
      </c>
      <c r="BC1142" t="str">
        <f t="shared" si="781"/>
        <v>Nelson</v>
      </c>
      <c r="BD1142" t="str">
        <f t="shared" si="782"/>
        <v>Velodrome</v>
      </c>
      <c r="BE1142" t="s">
        <v>9</v>
      </c>
      <c r="BF1142" t="s">
        <v>183</v>
      </c>
      <c r="BG1142" t="s">
        <v>79</v>
      </c>
      <c r="BI1142" cm="1">
        <f t="array" ref="BI1142">IFERROR(_xlfn._xlws.FILTER(shifts!A:A,(shifts!B:B=events!AD1142)*(shifts!AG:AG&gt;=events!BK1142)*(shifts!AH:AH&lt;=events!BL1142)),BI1141)</f>
        <v>53</v>
      </c>
      <c r="BJ1142" s="15">
        <f t="shared" si="783"/>
        <v>0</v>
      </c>
      <c r="BK1142">
        <f t="shared" si="791"/>
        <v>653</v>
      </c>
      <c r="BL1142">
        <f t="shared" si="792"/>
        <v>653</v>
      </c>
      <c r="BM1142" s="15">
        <f>SUMIFS(BJ$2:BJ1142,K$2:K1142,"=Intermission")+SUMIFS(BJ$2:BJ1142,K$2:K1142,"=Timeout")</f>
        <v>72</v>
      </c>
      <c r="BN1142">
        <f t="shared" si="793"/>
        <v>1152</v>
      </c>
      <c r="BO1142" s="19">
        <f t="shared" si="794"/>
        <v>1579</v>
      </c>
      <c r="BP1142">
        <f t="shared" si="795"/>
        <v>1574</v>
      </c>
      <c r="BQ1142" s="17">
        <f t="shared" si="796"/>
        <v>1579</v>
      </c>
      <c r="BR1142" t="str">
        <f t="shared" si="797"/>
        <v>opp_team_player_1</v>
      </c>
      <c r="BS1142">
        <f>COUNTIFS(S$3:S1142,"="&amp;S1142,AI$3:AI1142,"="&amp;AI1142)</f>
        <v>1</v>
      </c>
      <c r="BT1142" t="str">
        <f>IFERROR(VLOOKUP(BB1142&amp;BU1142&amp;X1142,game_rosters!U:W,3,FALSE),"")</f>
        <v>P100078</v>
      </c>
      <c r="BU1142" t="str">
        <f t="shared" si="798"/>
        <v>Nelson</v>
      </c>
    </row>
    <row r="1143" spans="1:73" x14ac:dyDescent="0.2">
      <c r="A1143">
        <f t="shared" si="784"/>
        <v>1</v>
      </c>
      <c r="J1143" s="44" t="str">
        <f t="shared" si="799"/>
        <v/>
      </c>
      <c r="K1143" t="s">
        <v>9</v>
      </c>
      <c r="L1143" t="s">
        <v>173</v>
      </c>
      <c r="M1143" t="s">
        <v>365</v>
      </c>
      <c r="S1143">
        <v>617</v>
      </c>
      <c r="W1143" t="str">
        <f t="shared" si="775"/>
        <v>a</v>
      </c>
      <c r="X1143">
        <v>24</v>
      </c>
      <c r="Y1143" t="e">
        <f>IF(X1143&lt;&gt;"",VLOOKUP(X1143,game_rosters!$C$43:$E$64,3,FALSE))</f>
        <v>#N/A</v>
      </c>
      <c r="Z1143" cm="1">
        <f t="array" ref="Z1143">IFERROR(IF(_xlfn._xlws.FILTER(game_rosters!$J:$J,(game_rosters!$G:$G=events!$AN1143)*(game_rosters!$J:$J=events!$X1143))&gt;0,1,""),"")</f>
        <v>1</v>
      </c>
      <c r="AA1143">
        <f t="shared" si="823"/>
        <v>1617</v>
      </c>
      <c r="AB1143" t="str">
        <f t="shared" si="824"/>
        <v/>
      </c>
      <c r="AC1143">
        <f t="shared" si="772"/>
        <v>1617</v>
      </c>
      <c r="AD1143" s="6">
        <v>2</v>
      </c>
      <c r="AE1143" t="s">
        <v>910</v>
      </c>
      <c r="AF1143" t="s">
        <v>751</v>
      </c>
      <c r="AG1143" t="s">
        <v>756</v>
      </c>
      <c r="AH1143" t="s">
        <v>756</v>
      </c>
      <c r="AI1143" t="s">
        <v>367</v>
      </c>
      <c r="AJ1143" t="str">
        <f t="shared" ref="AJ1143:AK1143" si="851">IF($J1143&lt;&gt;"",$J1143,IF($AC1143=$AC1142,AJ1142,""))</f>
        <v/>
      </c>
      <c r="AK1143" t="str">
        <f t="shared" si="851"/>
        <v/>
      </c>
      <c r="AL1143" t="str">
        <f t="shared" si="777"/>
        <v/>
      </c>
      <c r="AN1143" t="s">
        <v>862</v>
      </c>
      <c r="AO1143" t="str">
        <f t="shared" si="778"/>
        <v>a</v>
      </c>
      <c r="AP1143" t="str">
        <f t="shared" si="786"/>
        <v/>
      </c>
      <c r="AQ1143" t="str">
        <f t="shared" si="787"/>
        <v/>
      </c>
      <c r="AR1143" t="str">
        <f t="shared" si="788"/>
        <v>Away</v>
      </c>
      <c r="AS1143" t="str">
        <f t="shared" si="789"/>
        <v>a</v>
      </c>
      <c r="AT1143" t="str">
        <f t="shared" si="790"/>
        <v>Offensive</v>
      </c>
      <c r="BA1143" s="6">
        <f t="shared" si="779"/>
        <v>288</v>
      </c>
      <c r="BB1143">
        <f t="shared" si="780"/>
        <v>18981</v>
      </c>
      <c r="BC1143" t="str">
        <f t="shared" si="781"/>
        <v>Nelson</v>
      </c>
      <c r="BD1143" t="str">
        <f t="shared" si="782"/>
        <v>Velodrome</v>
      </c>
      <c r="BE1143" t="s">
        <v>9</v>
      </c>
      <c r="BF1143" t="s">
        <v>173</v>
      </c>
      <c r="BG1143" t="s">
        <v>365</v>
      </c>
      <c r="BI1143" cm="1">
        <f t="array" ref="BI1143">IFERROR(_xlfn._xlws.FILTER(shifts!A:A,(shifts!B:B=events!AD1143)*(shifts!AG:AG&gt;=events!BK1143)*(shifts!AH:AH&lt;=events!BL1143)),BI1142)</f>
        <v>53</v>
      </c>
      <c r="BJ1143" s="15">
        <f t="shared" si="783"/>
        <v>0</v>
      </c>
      <c r="BK1143">
        <f t="shared" si="791"/>
        <v>649</v>
      </c>
      <c r="BL1143">
        <f t="shared" si="792"/>
        <v>649</v>
      </c>
      <c r="BM1143" s="15">
        <f>SUMIFS(BJ$2:BJ1143,K$2:K1143,"=Intermission")+SUMIFS(BJ$2:BJ1143,K$2:K1143,"=Timeout")</f>
        <v>72</v>
      </c>
      <c r="BN1143">
        <f t="shared" si="793"/>
        <v>1152</v>
      </c>
      <c r="BO1143" s="19">
        <f t="shared" si="794"/>
        <v>1583</v>
      </c>
      <c r="BP1143">
        <f t="shared" si="795"/>
        <v>1578</v>
      </c>
      <c r="BQ1143" s="17">
        <f t="shared" si="796"/>
        <v>1583</v>
      </c>
      <c r="BR1143" t="str">
        <f t="shared" si="797"/>
        <v>event_team_player_1</v>
      </c>
      <c r="BS1143">
        <f>COUNTIFS(S$3:S1143,"="&amp;S1143,AI$3:AI1143,"="&amp;AI1143)</f>
        <v>1</v>
      </c>
      <c r="BT1143" t="str">
        <f>IFERROR(VLOOKUP(BB1143&amp;BU1143&amp;X1143,game_rosters!U:W,3,FALSE),"")</f>
        <v>P100230</v>
      </c>
      <c r="BU1143" t="str">
        <f t="shared" si="798"/>
        <v>Velodrome</v>
      </c>
    </row>
    <row r="1144" spans="1:73" x14ac:dyDescent="0.2">
      <c r="A1144">
        <f t="shared" si="784"/>
        <v>1</v>
      </c>
      <c r="J1144" s="44" t="str">
        <f t="shared" si="799"/>
        <v/>
      </c>
      <c r="K1144" t="s">
        <v>238</v>
      </c>
      <c r="L1144" t="s">
        <v>193</v>
      </c>
      <c r="M1144" t="s">
        <v>91</v>
      </c>
      <c r="S1144">
        <v>618</v>
      </c>
      <c r="W1144" t="str">
        <f t="shared" si="775"/>
        <v>h</v>
      </c>
      <c r="X1144">
        <v>80</v>
      </c>
      <c r="Y1144" t="b">
        <f>IF(X1144&lt;&gt;"",VLOOKUP(X1144,game_rosters!$C$43:$E$64,3,FALSE))</f>
        <v>0</v>
      </c>
      <c r="Z1144" cm="1">
        <f t="array" ref="Z1144">IFERROR(IF(_xlfn._xlws.FILTER(game_rosters!$J:$J,(game_rosters!$G:$G=events!$AN1144)*(game_rosters!$J:$J=events!$X1144))&gt;0,1,""),"")</f>
        <v>1</v>
      </c>
      <c r="AA1144">
        <f t="shared" si="823"/>
        <v>1618</v>
      </c>
      <c r="AB1144" t="str">
        <f t="shared" si="824"/>
        <v/>
      </c>
      <c r="AC1144">
        <f t="shared" si="772"/>
        <v>1618</v>
      </c>
      <c r="AD1144" s="6">
        <v>2</v>
      </c>
      <c r="AE1144" t="s">
        <v>910</v>
      </c>
      <c r="AF1144" t="s">
        <v>751</v>
      </c>
      <c r="AG1144" t="s">
        <v>756</v>
      </c>
      <c r="AH1144" t="s">
        <v>756</v>
      </c>
      <c r="AI1144" t="s">
        <v>367</v>
      </c>
      <c r="AJ1144" t="str">
        <f t="shared" ref="AJ1144:AK1144" si="852">IF($J1144&lt;&gt;"",$J1144,IF($AC1144=$AC1143,AJ1143,""))</f>
        <v/>
      </c>
      <c r="AK1144" t="str">
        <f t="shared" si="852"/>
        <v/>
      </c>
      <c r="AL1144" t="str">
        <f t="shared" si="777"/>
        <v/>
      </c>
      <c r="AN1144" t="s">
        <v>861</v>
      </c>
      <c r="AO1144" t="str">
        <f t="shared" si="778"/>
        <v>h</v>
      </c>
      <c r="AP1144" t="str">
        <f t="shared" si="786"/>
        <v/>
      </c>
      <c r="AQ1144" t="str">
        <f t="shared" si="787"/>
        <v/>
      </c>
      <c r="AR1144" t="str">
        <f t="shared" si="788"/>
        <v>Home</v>
      </c>
      <c r="AS1144" t="str">
        <f t="shared" si="789"/>
        <v>h</v>
      </c>
      <c r="AT1144" t="str">
        <f t="shared" si="790"/>
        <v>Offensive</v>
      </c>
      <c r="BA1144" s="6">
        <f t="shared" si="779"/>
        <v>288</v>
      </c>
      <c r="BB1144">
        <f t="shared" si="780"/>
        <v>18981</v>
      </c>
      <c r="BC1144" t="str">
        <f t="shared" si="781"/>
        <v>Nelson</v>
      </c>
      <c r="BD1144" t="str">
        <f t="shared" si="782"/>
        <v>Velodrome</v>
      </c>
      <c r="BE1144" t="s">
        <v>238</v>
      </c>
      <c r="BF1144" t="s">
        <v>193</v>
      </c>
      <c r="BG1144" t="s">
        <v>91</v>
      </c>
      <c r="BI1144" cm="1">
        <f t="array" ref="BI1144">IFERROR(_xlfn._xlws.FILTER(shifts!A:A,(shifts!B:B=events!AD1144)*(shifts!AG:AG&gt;=events!BK1144)*(shifts!AH:AH&lt;=events!BL1144)),BI1143)</f>
        <v>53</v>
      </c>
      <c r="BJ1144" s="15">
        <f t="shared" si="783"/>
        <v>0</v>
      </c>
      <c r="BK1144">
        <f t="shared" si="791"/>
        <v>649</v>
      </c>
      <c r="BL1144">
        <f t="shared" si="792"/>
        <v>649</v>
      </c>
      <c r="BM1144" s="15">
        <f>SUMIFS(BJ$2:BJ1144,K$2:K1144,"=Intermission")+SUMIFS(BJ$2:BJ1144,K$2:K1144,"=Timeout")</f>
        <v>72</v>
      </c>
      <c r="BN1144">
        <f t="shared" si="793"/>
        <v>1152</v>
      </c>
      <c r="BO1144" s="19">
        <f t="shared" si="794"/>
        <v>1583</v>
      </c>
      <c r="BP1144">
        <f t="shared" si="795"/>
        <v>1578</v>
      </c>
      <c r="BQ1144" s="17">
        <f t="shared" si="796"/>
        <v>1583</v>
      </c>
      <c r="BR1144" t="str">
        <f t="shared" si="797"/>
        <v>event_team_player_1</v>
      </c>
      <c r="BS1144">
        <f>COUNTIFS(S$3:S1144,"="&amp;S1144,AI$3:AI1144,"="&amp;AI1144)</f>
        <v>1</v>
      </c>
      <c r="BT1144" t="str">
        <f>IFERROR(VLOOKUP(BB1144&amp;BU1144&amp;X1144,game_rosters!U:W,3,FALSE),"")</f>
        <v>P100197</v>
      </c>
      <c r="BU1144" t="str">
        <f t="shared" si="798"/>
        <v>Nelson</v>
      </c>
    </row>
    <row r="1145" spans="1:73" x14ac:dyDescent="0.2">
      <c r="A1145">
        <f t="shared" si="784"/>
        <v>1</v>
      </c>
      <c r="J1145" s="44" t="str">
        <f t="shared" si="799"/>
        <v/>
      </c>
      <c r="K1145" t="s">
        <v>13</v>
      </c>
      <c r="L1145" t="s">
        <v>756</v>
      </c>
      <c r="M1145" t="s">
        <v>756</v>
      </c>
      <c r="S1145">
        <v>619</v>
      </c>
      <c r="W1145" t="str">
        <f t="shared" si="775"/>
        <v>h</v>
      </c>
      <c r="X1145">
        <v>80</v>
      </c>
      <c r="Y1145" t="b">
        <f>IF(X1145&lt;&gt;"",VLOOKUP(X1145,game_rosters!$C$43:$E$64,3,FALSE))</f>
        <v>0</v>
      </c>
      <c r="Z1145" cm="1">
        <f t="array" ref="Z1145">IFERROR(IF(_xlfn._xlws.FILTER(game_rosters!$J:$J,(game_rosters!$G:$G=events!$AN1145)*(game_rosters!$J:$J=events!$X1145))&gt;0,1,""),"")</f>
        <v>1</v>
      </c>
      <c r="AA1145">
        <f t="shared" si="823"/>
        <v>1619</v>
      </c>
      <c r="AB1145" t="str">
        <f t="shared" si="824"/>
        <v/>
      </c>
      <c r="AC1145">
        <f t="shared" si="772"/>
        <v>1619</v>
      </c>
      <c r="AD1145" s="6">
        <v>2</v>
      </c>
      <c r="AE1145" t="s">
        <v>910</v>
      </c>
      <c r="AF1145" t="s">
        <v>737</v>
      </c>
      <c r="AG1145" t="s">
        <v>910</v>
      </c>
      <c r="AH1145" t="s">
        <v>902</v>
      </c>
      <c r="AI1145" t="s">
        <v>367</v>
      </c>
      <c r="AJ1145" t="str">
        <f t="shared" ref="AJ1145:AK1145" si="853">IF($J1145&lt;&gt;"",$J1145,IF($AC1145=$AC1144,AJ1144,""))</f>
        <v/>
      </c>
      <c r="AK1145" t="str">
        <f t="shared" si="853"/>
        <v/>
      </c>
      <c r="AL1145" t="str">
        <f t="shared" si="777"/>
        <v/>
      </c>
      <c r="AN1145" t="s">
        <v>861</v>
      </c>
      <c r="AO1145" t="str">
        <f t="shared" si="778"/>
        <v>h</v>
      </c>
      <c r="AP1145" t="str">
        <f t="shared" si="786"/>
        <v/>
      </c>
      <c r="AQ1145" t="str">
        <f t="shared" si="787"/>
        <v/>
      </c>
      <c r="AR1145" t="str">
        <f t="shared" si="788"/>
        <v>Home</v>
      </c>
      <c r="AS1145" t="str">
        <f t="shared" si="789"/>
        <v>h</v>
      </c>
      <c r="AT1145" t="str">
        <f t="shared" si="790"/>
        <v>Offensive</v>
      </c>
      <c r="BA1145" s="6">
        <f t="shared" si="779"/>
        <v>288</v>
      </c>
      <c r="BB1145">
        <f t="shared" si="780"/>
        <v>18981</v>
      </c>
      <c r="BC1145" t="str">
        <f t="shared" si="781"/>
        <v>Nelson</v>
      </c>
      <c r="BD1145" t="str">
        <f t="shared" si="782"/>
        <v>Velodrome</v>
      </c>
      <c r="BE1145" t="s">
        <v>13</v>
      </c>
      <c r="BF1145" t="s">
        <v>756</v>
      </c>
      <c r="BG1145" t="s">
        <v>756</v>
      </c>
      <c r="BI1145" cm="1">
        <f t="array" ref="BI1145">IFERROR(_xlfn._xlws.FILTER(shifts!A:A,(shifts!B:B=events!AD1145)*(shifts!AG:AG&gt;=events!BK1145)*(shifts!AH:AH&lt;=events!BL1145)),BI1144)</f>
        <v>53</v>
      </c>
      <c r="BJ1145" s="15">
        <f t="shared" si="783"/>
        <v>4</v>
      </c>
      <c r="BK1145">
        <f t="shared" si="791"/>
        <v>646</v>
      </c>
      <c r="BL1145">
        <f t="shared" si="792"/>
        <v>642</v>
      </c>
      <c r="BM1145" s="15">
        <f>SUMIFS(BJ$2:BJ1145,K$2:K1145,"=Intermission")+SUMIFS(BJ$2:BJ1145,K$2:K1145,"=Timeout")</f>
        <v>72</v>
      </c>
      <c r="BN1145">
        <f t="shared" si="793"/>
        <v>1152</v>
      </c>
      <c r="BO1145" s="19">
        <f t="shared" si="794"/>
        <v>1586</v>
      </c>
      <c r="BP1145">
        <f t="shared" si="795"/>
        <v>1581</v>
      </c>
      <c r="BQ1145" s="17">
        <f t="shared" si="796"/>
        <v>1590</v>
      </c>
      <c r="BR1145" t="str">
        <f t="shared" si="797"/>
        <v>event_team_player_1</v>
      </c>
      <c r="BS1145">
        <f>COUNTIFS(S$3:S1145,"="&amp;S1145,AI$3:AI1145,"="&amp;AI1145)</f>
        <v>1</v>
      </c>
      <c r="BT1145" t="str">
        <f>IFERROR(VLOOKUP(BB1145&amp;BU1145&amp;X1145,game_rosters!U:W,3,FALSE),"")</f>
        <v>P100197</v>
      </c>
      <c r="BU1145" t="str">
        <f t="shared" si="798"/>
        <v>Nelson</v>
      </c>
    </row>
    <row r="1146" spans="1:73" x14ac:dyDescent="0.2">
      <c r="A1146">
        <f t="shared" si="784"/>
        <v>1</v>
      </c>
      <c r="J1146" s="44" t="str">
        <f t="shared" si="799"/>
        <v/>
      </c>
      <c r="K1146" t="s">
        <v>13</v>
      </c>
      <c r="L1146" t="s">
        <v>756</v>
      </c>
      <c r="M1146" t="s">
        <v>756</v>
      </c>
      <c r="S1146">
        <v>619</v>
      </c>
      <c r="W1146" t="str">
        <f t="shared" si="775"/>
        <v>h</v>
      </c>
      <c r="X1146">
        <v>49</v>
      </c>
      <c r="Y1146" t="e">
        <f>IF(X1146&lt;&gt;"",VLOOKUP(X1146,game_rosters!$C$43:$E$64,3,FALSE))</f>
        <v>#N/A</v>
      </c>
      <c r="Z1146" t="str" cm="1">
        <f t="array" ref="Z1146">IFERROR(IF(_xlfn._xlws.FILTER(game_rosters!$J:$J,(game_rosters!$G:$G=events!$AN1146)*(game_rosters!$J:$J=events!$X1146))&gt;0,1,""),"")</f>
        <v/>
      </c>
      <c r="AA1146">
        <f t="shared" si="823"/>
        <v>1619</v>
      </c>
      <c r="AB1146" t="str">
        <f t="shared" si="824"/>
        <v/>
      </c>
      <c r="AC1146">
        <f t="shared" si="772"/>
        <v>1619</v>
      </c>
      <c r="AD1146" s="6">
        <v>2</v>
      </c>
      <c r="AE1146" t="s">
        <v>910</v>
      </c>
      <c r="AF1146" t="s">
        <v>737</v>
      </c>
      <c r="AG1146" t="s">
        <v>910</v>
      </c>
      <c r="AH1146" t="s">
        <v>902</v>
      </c>
      <c r="AI1146" t="s">
        <v>368</v>
      </c>
      <c r="AJ1146" t="str">
        <f t="shared" ref="AJ1146:AK1146" si="854">IF($J1146&lt;&gt;"",$J1146,IF($AC1146=$AC1145,AJ1145,""))</f>
        <v/>
      </c>
      <c r="AK1146" t="str">
        <f t="shared" si="854"/>
        <v/>
      </c>
      <c r="AL1146" t="str">
        <f t="shared" si="777"/>
        <v/>
      </c>
      <c r="AN1146" t="s">
        <v>861</v>
      </c>
      <c r="AO1146" t="str">
        <f t="shared" si="778"/>
        <v>h</v>
      </c>
      <c r="AP1146" t="str">
        <f t="shared" si="786"/>
        <v/>
      </c>
      <c r="AQ1146" t="str">
        <f t="shared" si="787"/>
        <v/>
      </c>
      <c r="AR1146" t="str">
        <f t="shared" si="788"/>
        <v>Home</v>
      </c>
      <c r="AS1146" t="str">
        <f t="shared" si="789"/>
        <v>h</v>
      </c>
      <c r="AT1146" t="str">
        <f t="shared" si="790"/>
        <v>Defensive</v>
      </c>
      <c r="BA1146" s="6">
        <f t="shared" si="779"/>
        <v>288</v>
      </c>
      <c r="BB1146">
        <f t="shared" si="780"/>
        <v>18981</v>
      </c>
      <c r="BC1146" t="str">
        <f t="shared" si="781"/>
        <v>Nelson</v>
      </c>
      <c r="BD1146" t="str">
        <f t="shared" si="782"/>
        <v>Velodrome</v>
      </c>
      <c r="BE1146" t="s">
        <v>13</v>
      </c>
      <c r="BF1146" t="s">
        <v>756</v>
      </c>
      <c r="BG1146" t="s">
        <v>756</v>
      </c>
      <c r="BI1146" cm="1">
        <f t="array" ref="BI1146">IFERROR(_xlfn._xlws.FILTER(shifts!A:A,(shifts!B:B=events!AD1146)*(shifts!AG:AG&gt;=events!BK1146)*(shifts!AH:AH&lt;=events!BL1146)),BI1145)</f>
        <v>53</v>
      </c>
      <c r="BJ1146" s="15">
        <f t="shared" si="783"/>
        <v>4</v>
      </c>
      <c r="BK1146">
        <f t="shared" si="791"/>
        <v>646</v>
      </c>
      <c r="BL1146">
        <f t="shared" si="792"/>
        <v>642</v>
      </c>
      <c r="BM1146" s="15">
        <f>SUMIFS(BJ$2:BJ1146,K$2:K1146,"=Intermission")+SUMIFS(BJ$2:BJ1146,K$2:K1146,"=Timeout")</f>
        <v>72</v>
      </c>
      <c r="BN1146">
        <f t="shared" si="793"/>
        <v>1152</v>
      </c>
      <c r="BO1146" s="19">
        <f t="shared" si="794"/>
        <v>1586</v>
      </c>
      <c r="BP1146">
        <f t="shared" si="795"/>
        <v>1581</v>
      </c>
      <c r="BQ1146" s="17">
        <f t="shared" si="796"/>
        <v>1590</v>
      </c>
      <c r="BR1146" t="str">
        <f t="shared" si="797"/>
        <v>opp_team_player_1</v>
      </c>
      <c r="BS1146">
        <f>COUNTIFS(S$3:S1146,"="&amp;S1146,AI$3:AI1146,"="&amp;AI1146)</f>
        <v>1</v>
      </c>
      <c r="BT1146" t="str">
        <f>IFERROR(VLOOKUP(BB1146&amp;BU1146&amp;X1146,game_rosters!U:W,3,FALSE),"")</f>
        <v>P100161</v>
      </c>
      <c r="BU1146" t="str">
        <f t="shared" si="798"/>
        <v>Velodrome</v>
      </c>
    </row>
    <row r="1147" spans="1:73" x14ac:dyDescent="0.2">
      <c r="A1147">
        <f t="shared" si="784"/>
        <v>1</v>
      </c>
      <c r="J1147" s="44" t="str">
        <f t="shared" si="799"/>
        <v/>
      </c>
      <c r="K1147" t="s">
        <v>417</v>
      </c>
      <c r="L1147" t="s">
        <v>756</v>
      </c>
      <c r="M1147" t="s">
        <v>756</v>
      </c>
      <c r="S1147">
        <v>620</v>
      </c>
      <c r="W1147" t="str">
        <f t="shared" si="775"/>
        <v>a</v>
      </c>
      <c r="X1147">
        <v>49</v>
      </c>
      <c r="Y1147" t="e">
        <f>IF(X1147&lt;&gt;"",VLOOKUP(X1147,game_rosters!$C$43:$E$64,3,FALSE))</f>
        <v>#N/A</v>
      </c>
      <c r="Z1147" cm="1">
        <f t="array" ref="Z1147">IFERROR(IF(_xlfn._xlws.FILTER(game_rosters!$J:$J,(game_rosters!$G:$G=events!$AN1147)*(game_rosters!$J:$J=events!$X1147))&gt;0,1,""),"")</f>
        <v>1</v>
      </c>
      <c r="AA1147">
        <f t="shared" si="823"/>
        <v>1620</v>
      </c>
      <c r="AB1147" t="str">
        <f t="shared" si="824"/>
        <v/>
      </c>
      <c r="AC1147">
        <f t="shared" si="772"/>
        <v>1620</v>
      </c>
      <c r="AD1147" s="6">
        <v>2</v>
      </c>
      <c r="AE1147" t="s">
        <v>910</v>
      </c>
      <c r="AF1147" t="s">
        <v>902</v>
      </c>
      <c r="AG1147" t="s">
        <v>756</v>
      </c>
      <c r="AH1147" t="s">
        <v>756</v>
      </c>
      <c r="AI1147" t="s">
        <v>367</v>
      </c>
      <c r="AJ1147" t="str">
        <f t="shared" ref="AJ1147:AK1147" si="855">IF($J1147&lt;&gt;"",$J1147,IF($AC1147=$AC1146,AJ1146,""))</f>
        <v/>
      </c>
      <c r="AK1147" t="str">
        <f t="shared" si="855"/>
        <v/>
      </c>
      <c r="AL1147" t="str">
        <f t="shared" si="777"/>
        <v/>
      </c>
      <c r="AN1147" t="s">
        <v>862</v>
      </c>
      <c r="AO1147" t="str">
        <f t="shared" si="778"/>
        <v>a</v>
      </c>
      <c r="AP1147" t="str">
        <f t="shared" si="786"/>
        <v/>
      </c>
      <c r="AQ1147" t="str">
        <f t="shared" si="787"/>
        <v/>
      </c>
      <c r="AR1147" t="str">
        <f t="shared" si="788"/>
        <v>Away</v>
      </c>
      <c r="AS1147" t="str">
        <f t="shared" si="789"/>
        <v>a</v>
      </c>
      <c r="AT1147" t="str">
        <f t="shared" si="790"/>
        <v>Offensive</v>
      </c>
      <c r="BA1147" s="6">
        <f t="shared" si="779"/>
        <v>288</v>
      </c>
      <c r="BB1147">
        <f t="shared" si="780"/>
        <v>18981</v>
      </c>
      <c r="BC1147" t="str">
        <f t="shared" si="781"/>
        <v>Nelson</v>
      </c>
      <c r="BD1147" t="str">
        <f t="shared" si="782"/>
        <v>Velodrome</v>
      </c>
      <c r="BE1147" t="s">
        <v>417</v>
      </c>
      <c r="BF1147" t="s">
        <v>756</v>
      </c>
      <c r="BG1147" t="s">
        <v>756</v>
      </c>
      <c r="BI1147" cm="1">
        <f t="array" ref="BI1147">IFERROR(_xlfn._xlws.FILTER(shifts!A:A,(shifts!B:B=events!AD1147)*(shifts!AG:AG&gt;=events!BK1147)*(shifts!AH:AH&lt;=events!BL1147)),BI1146)</f>
        <v>53</v>
      </c>
      <c r="BJ1147" s="15">
        <f t="shared" si="783"/>
        <v>0</v>
      </c>
      <c r="BK1147">
        <f t="shared" si="791"/>
        <v>642</v>
      </c>
      <c r="BL1147">
        <f t="shared" si="792"/>
        <v>642</v>
      </c>
      <c r="BM1147" s="15">
        <f>SUMIFS(BJ$2:BJ1147,K$2:K1147,"=Intermission")+SUMIFS(BJ$2:BJ1147,K$2:K1147,"=Timeout")</f>
        <v>72</v>
      </c>
      <c r="BN1147">
        <f t="shared" si="793"/>
        <v>1152</v>
      </c>
      <c r="BO1147" s="19">
        <f t="shared" si="794"/>
        <v>1590</v>
      </c>
      <c r="BP1147">
        <f t="shared" si="795"/>
        <v>1585</v>
      </c>
      <c r="BQ1147" s="17">
        <f t="shared" si="796"/>
        <v>1590</v>
      </c>
      <c r="BR1147" t="str">
        <f t="shared" si="797"/>
        <v>event_team_player_1</v>
      </c>
      <c r="BS1147">
        <f>COUNTIFS(S$3:S1147,"="&amp;S1147,AI$3:AI1147,"="&amp;AI1147)</f>
        <v>1</v>
      </c>
      <c r="BT1147" t="str">
        <f>IFERROR(VLOOKUP(BB1147&amp;BU1147&amp;X1147,game_rosters!U:W,3,FALSE),"")</f>
        <v>P100161</v>
      </c>
      <c r="BU1147" t="str">
        <f t="shared" si="798"/>
        <v>Velodrome</v>
      </c>
    </row>
    <row r="1148" spans="1:73" x14ac:dyDescent="0.2">
      <c r="A1148">
        <f t="shared" si="784"/>
        <v>1</v>
      </c>
      <c r="J1148" s="44" t="str">
        <f t="shared" si="799"/>
        <v/>
      </c>
      <c r="K1148" t="s">
        <v>417</v>
      </c>
      <c r="L1148" t="s">
        <v>756</v>
      </c>
      <c r="M1148" t="s">
        <v>756</v>
      </c>
      <c r="S1148">
        <v>620</v>
      </c>
      <c r="W1148" t="str">
        <f t="shared" si="775"/>
        <v>a</v>
      </c>
      <c r="X1148">
        <v>80</v>
      </c>
      <c r="Y1148" t="b">
        <f>IF(X1148&lt;&gt;"",VLOOKUP(X1148,game_rosters!$C$43:$E$64,3,FALSE))</f>
        <v>0</v>
      </c>
      <c r="Z1148" t="str" cm="1">
        <f t="array" ref="Z1148">IFERROR(IF(_xlfn._xlws.FILTER(game_rosters!$J:$J,(game_rosters!$G:$G=events!$AN1148)*(game_rosters!$J:$J=events!$X1148))&gt;0,1,""),"")</f>
        <v/>
      </c>
      <c r="AA1148">
        <f t="shared" si="823"/>
        <v>1620</v>
      </c>
      <c r="AB1148" t="str">
        <f t="shared" si="824"/>
        <v/>
      </c>
      <c r="AC1148">
        <f t="shared" si="772"/>
        <v>1620</v>
      </c>
      <c r="AD1148" s="6">
        <v>2</v>
      </c>
      <c r="AE1148" t="s">
        <v>910</v>
      </c>
      <c r="AF1148" t="s">
        <v>902</v>
      </c>
      <c r="AG1148" t="s">
        <v>756</v>
      </c>
      <c r="AH1148" t="s">
        <v>756</v>
      </c>
      <c r="AI1148" t="s">
        <v>368</v>
      </c>
      <c r="AJ1148" t="str">
        <f t="shared" ref="AJ1148:AK1148" si="856">IF($J1148&lt;&gt;"",$J1148,IF($AC1148=$AC1147,AJ1147,""))</f>
        <v/>
      </c>
      <c r="AK1148" t="str">
        <f t="shared" si="856"/>
        <v/>
      </c>
      <c r="AL1148" t="str">
        <f t="shared" si="777"/>
        <v/>
      </c>
      <c r="AN1148" t="s">
        <v>862</v>
      </c>
      <c r="AO1148" t="str">
        <f t="shared" si="778"/>
        <v>a</v>
      </c>
      <c r="AP1148" t="str">
        <f t="shared" si="786"/>
        <v/>
      </c>
      <c r="AQ1148" t="str">
        <f t="shared" si="787"/>
        <v/>
      </c>
      <c r="AR1148" t="str">
        <f t="shared" si="788"/>
        <v>Away</v>
      </c>
      <c r="AS1148" t="str">
        <f t="shared" si="789"/>
        <v>a</v>
      </c>
      <c r="AT1148" t="str">
        <f t="shared" si="790"/>
        <v>Defensive</v>
      </c>
      <c r="BA1148" s="6">
        <f t="shared" si="779"/>
        <v>288</v>
      </c>
      <c r="BB1148">
        <f t="shared" si="780"/>
        <v>18981</v>
      </c>
      <c r="BC1148" t="str">
        <f t="shared" si="781"/>
        <v>Nelson</v>
      </c>
      <c r="BD1148" t="str">
        <f t="shared" si="782"/>
        <v>Velodrome</v>
      </c>
      <c r="BE1148" t="s">
        <v>417</v>
      </c>
      <c r="BF1148" t="s">
        <v>756</v>
      </c>
      <c r="BG1148" t="s">
        <v>756</v>
      </c>
      <c r="BI1148" cm="1">
        <f t="array" ref="BI1148">IFERROR(_xlfn._xlws.FILTER(shifts!A:A,(shifts!B:B=events!AD1148)*(shifts!AG:AG&gt;=events!BK1148)*(shifts!AH:AH&lt;=events!BL1148)),BI1147)</f>
        <v>53</v>
      </c>
      <c r="BJ1148" s="15">
        <f t="shared" si="783"/>
        <v>0</v>
      </c>
      <c r="BK1148">
        <f t="shared" si="791"/>
        <v>642</v>
      </c>
      <c r="BL1148">
        <f t="shared" si="792"/>
        <v>642</v>
      </c>
      <c r="BM1148" s="15">
        <f>SUMIFS(BJ$2:BJ1148,K$2:K1148,"=Intermission")+SUMIFS(BJ$2:BJ1148,K$2:K1148,"=Timeout")</f>
        <v>72</v>
      </c>
      <c r="BN1148">
        <f t="shared" si="793"/>
        <v>1152</v>
      </c>
      <c r="BO1148" s="19">
        <f t="shared" si="794"/>
        <v>1590</v>
      </c>
      <c r="BP1148">
        <f t="shared" si="795"/>
        <v>1585</v>
      </c>
      <c r="BQ1148" s="17">
        <f t="shared" si="796"/>
        <v>1590</v>
      </c>
      <c r="BR1148" t="str">
        <f t="shared" si="797"/>
        <v>opp_team_player_1</v>
      </c>
      <c r="BS1148">
        <f>COUNTIFS(S$3:S1148,"="&amp;S1148,AI$3:AI1148,"="&amp;AI1148)</f>
        <v>1</v>
      </c>
      <c r="BT1148" t="str">
        <f>IFERROR(VLOOKUP(BB1148&amp;BU1148&amp;X1148,game_rosters!U:W,3,FALSE),"")</f>
        <v>P100197</v>
      </c>
      <c r="BU1148" t="str">
        <f t="shared" si="798"/>
        <v>Nelson</v>
      </c>
    </row>
    <row r="1149" spans="1:73" x14ac:dyDescent="0.2">
      <c r="A1149">
        <f t="shared" si="784"/>
        <v>1</v>
      </c>
      <c r="J1149" s="44" t="str">
        <f t="shared" si="799"/>
        <v/>
      </c>
      <c r="K1149" t="s">
        <v>10</v>
      </c>
      <c r="L1149" t="s">
        <v>175</v>
      </c>
      <c r="M1149" t="s">
        <v>139</v>
      </c>
      <c r="S1149">
        <v>621</v>
      </c>
      <c r="W1149" t="str">
        <f t="shared" si="775"/>
        <v>a</v>
      </c>
      <c r="X1149">
        <v>49</v>
      </c>
      <c r="Y1149" t="e">
        <f>IF(X1149&lt;&gt;"",VLOOKUP(X1149,game_rosters!$C$43:$E$64,3,FALSE))</f>
        <v>#N/A</v>
      </c>
      <c r="Z1149" cm="1">
        <f t="array" ref="Z1149">IFERROR(IF(_xlfn._xlws.FILTER(game_rosters!$J:$J,(game_rosters!$G:$G=events!$AN1149)*(game_rosters!$J:$J=events!$X1149))&gt;0,1,""),"")</f>
        <v>1</v>
      </c>
      <c r="AA1149">
        <f t="shared" si="823"/>
        <v>1621</v>
      </c>
      <c r="AB1149" t="str">
        <f t="shared" si="824"/>
        <v/>
      </c>
      <c r="AC1149">
        <f t="shared" si="772"/>
        <v>1621</v>
      </c>
      <c r="AD1149" s="6">
        <v>2</v>
      </c>
      <c r="AE1149" t="s">
        <v>910</v>
      </c>
      <c r="AF1149" t="s">
        <v>904</v>
      </c>
      <c r="AG1149" t="s">
        <v>756</v>
      </c>
      <c r="AH1149" t="s">
        <v>756</v>
      </c>
      <c r="AI1149" t="s">
        <v>367</v>
      </c>
      <c r="AJ1149" t="str">
        <f t="shared" ref="AJ1149:AK1149" si="857">IF($J1149&lt;&gt;"",$J1149,IF($AC1149=$AC1148,AJ1148,""))</f>
        <v/>
      </c>
      <c r="AK1149" t="str">
        <f t="shared" si="857"/>
        <v/>
      </c>
      <c r="AL1149" t="str">
        <f t="shared" si="777"/>
        <v/>
      </c>
      <c r="AN1149" t="s">
        <v>862</v>
      </c>
      <c r="AO1149" t="str">
        <f t="shared" si="778"/>
        <v>a</v>
      </c>
      <c r="AP1149" t="str">
        <f t="shared" si="786"/>
        <v/>
      </c>
      <c r="AQ1149" t="str">
        <f t="shared" si="787"/>
        <v/>
      </c>
      <c r="AR1149" t="str">
        <f t="shared" si="788"/>
        <v>Away</v>
      </c>
      <c r="AS1149" t="str">
        <f t="shared" si="789"/>
        <v>a</v>
      </c>
      <c r="AT1149" t="str">
        <f t="shared" si="790"/>
        <v>Offensive</v>
      </c>
      <c r="BA1149" s="6">
        <f t="shared" si="779"/>
        <v>288</v>
      </c>
      <c r="BB1149">
        <f t="shared" si="780"/>
        <v>18981</v>
      </c>
      <c r="BC1149" t="str">
        <f t="shared" si="781"/>
        <v>Nelson</v>
      </c>
      <c r="BD1149" t="str">
        <f t="shared" si="782"/>
        <v>Velodrome</v>
      </c>
      <c r="BE1149" t="s">
        <v>10</v>
      </c>
      <c r="BF1149" t="s">
        <v>175</v>
      </c>
      <c r="BG1149" t="s">
        <v>139</v>
      </c>
      <c r="BI1149" cm="1">
        <f t="array" ref="BI1149">IFERROR(_xlfn._xlws.FILTER(shifts!A:A,(shifts!B:B=events!AD1149)*(shifts!AG:AG&gt;=events!BK1149)*(shifts!AH:AH&lt;=events!BL1149)),BI1148)</f>
        <v>54</v>
      </c>
      <c r="BJ1149" s="15">
        <f t="shared" si="783"/>
        <v>0</v>
      </c>
      <c r="BK1149">
        <f t="shared" si="791"/>
        <v>636</v>
      </c>
      <c r="BL1149">
        <f t="shared" si="792"/>
        <v>636</v>
      </c>
      <c r="BM1149" s="15">
        <f>SUMIFS(BJ$2:BJ1149,K$2:K1149,"=Intermission")+SUMIFS(BJ$2:BJ1149,K$2:K1149,"=Timeout")</f>
        <v>72</v>
      </c>
      <c r="BN1149">
        <f t="shared" si="793"/>
        <v>1152</v>
      </c>
      <c r="BO1149" s="19">
        <f t="shared" si="794"/>
        <v>1596</v>
      </c>
      <c r="BP1149">
        <f t="shared" si="795"/>
        <v>1591</v>
      </c>
      <c r="BQ1149" s="17">
        <f t="shared" si="796"/>
        <v>1596</v>
      </c>
      <c r="BR1149" t="str">
        <f t="shared" si="797"/>
        <v>event_team_player_1</v>
      </c>
      <c r="BS1149">
        <f>COUNTIFS(S$3:S1149,"="&amp;S1149,AI$3:AI1149,"="&amp;AI1149)</f>
        <v>1</v>
      </c>
      <c r="BT1149" t="str">
        <f>IFERROR(VLOOKUP(BB1149&amp;BU1149&amp;X1149,game_rosters!U:W,3,FALSE),"")</f>
        <v>P100161</v>
      </c>
      <c r="BU1149" t="str">
        <f t="shared" si="798"/>
        <v>Velodrome</v>
      </c>
    </row>
    <row r="1150" spans="1:73" x14ac:dyDescent="0.2">
      <c r="A1150">
        <f t="shared" si="784"/>
        <v>1</v>
      </c>
      <c r="J1150" s="44" t="str">
        <f t="shared" si="799"/>
        <v/>
      </c>
      <c r="K1150" t="s">
        <v>11</v>
      </c>
      <c r="L1150" t="s">
        <v>187</v>
      </c>
      <c r="M1150" t="s">
        <v>41</v>
      </c>
      <c r="S1150">
        <v>622</v>
      </c>
      <c r="W1150" t="str">
        <f t="shared" si="775"/>
        <v>a</v>
      </c>
      <c r="X1150">
        <v>49</v>
      </c>
      <c r="Y1150" t="e">
        <f>IF(X1150&lt;&gt;"",VLOOKUP(X1150,game_rosters!$C$43:$E$64,3,FALSE))</f>
        <v>#N/A</v>
      </c>
      <c r="Z1150" cm="1">
        <f t="array" ref="Z1150">IFERROR(IF(_xlfn._xlws.FILTER(game_rosters!$J:$J,(game_rosters!$G:$G=events!$AN1150)*(game_rosters!$J:$J=events!$X1150))&gt;0,1,""),"")</f>
        <v>1</v>
      </c>
      <c r="AA1150">
        <f t="shared" si="823"/>
        <v>1622</v>
      </c>
      <c r="AB1150" t="str">
        <f t="shared" si="824"/>
        <v/>
      </c>
      <c r="AC1150">
        <f t="shared" si="772"/>
        <v>1622</v>
      </c>
      <c r="AD1150" s="6">
        <v>2</v>
      </c>
      <c r="AE1150" t="s">
        <v>910</v>
      </c>
      <c r="AF1150" t="s">
        <v>904</v>
      </c>
      <c r="AG1150" t="s">
        <v>756</v>
      </c>
      <c r="AH1150" t="s">
        <v>756</v>
      </c>
      <c r="AI1150" t="s">
        <v>367</v>
      </c>
      <c r="AJ1150" t="str">
        <f t="shared" ref="AJ1150:AK1150" si="858">IF($J1150&lt;&gt;"",$J1150,IF($AC1150=$AC1149,AJ1149,""))</f>
        <v/>
      </c>
      <c r="AK1150" t="str">
        <f t="shared" si="858"/>
        <v/>
      </c>
      <c r="AL1150" t="str">
        <f t="shared" si="777"/>
        <v/>
      </c>
      <c r="AN1150" t="s">
        <v>862</v>
      </c>
      <c r="AO1150" t="str">
        <f t="shared" si="778"/>
        <v>a</v>
      </c>
      <c r="AP1150" t="str">
        <f t="shared" si="786"/>
        <v/>
      </c>
      <c r="AQ1150" t="str">
        <f t="shared" si="787"/>
        <v/>
      </c>
      <c r="AR1150" t="str">
        <f t="shared" si="788"/>
        <v>Away</v>
      </c>
      <c r="AS1150" t="str">
        <f t="shared" si="789"/>
        <v>a</v>
      </c>
      <c r="AT1150" t="str">
        <f t="shared" si="790"/>
        <v/>
      </c>
      <c r="BA1150" s="6">
        <f t="shared" si="779"/>
        <v>288</v>
      </c>
      <c r="BB1150">
        <f t="shared" si="780"/>
        <v>18981</v>
      </c>
      <c r="BC1150" t="str">
        <f t="shared" si="781"/>
        <v>Nelson</v>
      </c>
      <c r="BD1150" t="str">
        <f t="shared" si="782"/>
        <v>Velodrome</v>
      </c>
      <c r="BE1150" t="s">
        <v>11</v>
      </c>
      <c r="BF1150" t="s">
        <v>187</v>
      </c>
      <c r="BG1150" t="s">
        <v>41</v>
      </c>
      <c r="BI1150" cm="1">
        <f t="array" ref="BI1150">IFERROR(_xlfn._xlws.FILTER(shifts!A:A,(shifts!B:B=events!AD1150)*(shifts!AG:AG&gt;=events!BK1150)*(shifts!AH:AH&lt;=events!BL1150)),BI1149)</f>
        <v>54</v>
      </c>
      <c r="BJ1150" s="15">
        <f t="shared" si="783"/>
        <v>0</v>
      </c>
      <c r="BK1150">
        <f t="shared" si="791"/>
        <v>636</v>
      </c>
      <c r="BL1150">
        <f t="shared" si="792"/>
        <v>636</v>
      </c>
      <c r="BM1150" s="15">
        <f>SUMIFS(BJ$2:BJ1150,K$2:K1150,"=Intermission")+SUMIFS(BJ$2:BJ1150,K$2:K1150,"=Timeout")</f>
        <v>72</v>
      </c>
      <c r="BN1150">
        <f t="shared" si="793"/>
        <v>1152</v>
      </c>
      <c r="BO1150" s="19">
        <f t="shared" si="794"/>
        <v>1596</v>
      </c>
      <c r="BP1150">
        <f t="shared" si="795"/>
        <v>1591</v>
      </c>
      <c r="BQ1150" s="17">
        <f t="shared" si="796"/>
        <v>1596</v>
      </c>
      <c r="BR1150" t="str">
        <f t="shared" si="797"/>
        <v>event_team_player_1</v>
      </c>
      <c r="BS1150">
        <f>COUNTIFS(S$3:S1150,"="&amp;S1150,AI$3:AI1150,"="&amp;AI1150)</f>
        <v>1</v>
      </c>
      <c r="BT1150" t="str">
        <f>IFERROR(VLOOKUP(BB1150&amp;BU1150&amp;X1150,game_rosters!U:W,3,FALSE),"")</f>
        <v>P100161</v>
      </c>
      <c r="BU1150" t="str">
        <f t="shared" si="798"/>
        <v>Velodrome</v>
      </c>
    </row>
    <row r="1151" spans="1:73" x14ac:dyDescent="0.2">
      <c r="A1151">
        <f t="shared" si="784"/>
        <v>1</v>
      </c>
      <c r="J1151" s="44" t="str">
        <f t="shared" si="799"/>
        <v/>
      </c>
      <c r="K1151" t="s">
        <v>241</v>
      </c>
      <c r="L1151" t="s">
        <v>756</v>
      </c>
      <c r="M1151" t="s">
        <v>756</v>
      </c>
      <c r="S1151">
        <v>623</v>
      </c>
      <c r="W1151" t="str">
        <f t="shared" si="775"/>
        <v>a</v>
      </c>
      <c r="X1151">
        <v>49</v>
      </c>
      <c r="Y1151" t="e">
        <f>IF(X1151&lt;&gt;"",VLOOKUP(X1151,game_rosters!$C$43:$E$64,3,FALSE))</f>
        <v>#N/A</v>
      </c>
      <c r="Z1151" cm="1">
        <f t="array" ref="Z1151">IFERROR(IF(_xlfn._xlws.FILTER(game_rosters!$J:$J,(game_rosters!$G:$G=events!$AN1151)*(game_rosters!$J:$J=events!$X1151))&gt;0,1,""),"")</f>
        <v>1</v>
      </c>
      <c r="AA1151">
        <f t="shared" si="823"/>
        <v>1623</v>
      </c>
      <c r="AB1151" t="str">
        <f t="shared" si="824"/>
        <v/>
      </c>
      <c r="AC1151">
        <f t="shared" si="772"/>
        <v>1623</v>
      </c>
      <c r="AD1151" s="6">
        <v>2</v>
      </c>
      <c r="AE1151" t="s">
        <v>910</v>
      </c>
      <c r="AF1151" t="s">
        <v>904</v>
      </c>
      <c r="AG1151" t="s">
        <v>910</v>
      </c>
      <c r="AH1151" t="s">
        <v>912</v>
      </c>
      <c r="AI1151" t="s">
        <v>367</v>
      </c>
      <c r="AJ1151" t="str">
        <f t="shared" ref="AJ1151:AK1151" si="859">IF($J1151&lt;&gt;"",$J1151,IF($AC1151=$AC1150,AJ1150,""))</f>
        <v/>
      </c>
      <c r="AK1151" t="str">
        <f t="shared" si="859"/>
        <v/>
      </c>
      <c r="AL1151" t="str">
        <f t="shared" si="777"/>
        <v/>
      </c>
      <c r="AN1151" t="s">
        <v>862</v>
      </c>
      <c r="AO1151" t="str">
        <f t="shared" si="778"/>
        <v>a</v>
      </c>
      <c r="AP1151" t="str">
        <f t="shared" si="786"/>
        <v/>
      </c>
      <c r="AQ1151" t="str">
        <f t="shared" si="787"/>
        <v/>
      </c>
      <c r="AR1151" t="str">
        <f t="shared" si="788"/>
        <v>Away</v>
      </c>
      <c r="AS1151" t="str">
        <f t="shared" si="789"/>
        <v>a</v>
      </c>
      <c r="AT1151" t="str">
        <f t="shared" si="790"/>
        <v/>
      </c>
      <c r="BA1151" s="6">
        <f t="shared" si="779"/>
        <v>288</v>
      </c>
      <c r="BB1151">
        <f t="shared" si="780"/>
        <v>18981</v>
      </c>
      <c r="BC1151" t="str">
        <f t="shared" si="781"/>
        <v>Nelson</v>
      </c>
      <c r="BD1151" t="str">
        <f t="shared" si="782"/>
        <v>Velodrome</v>
      </c>
      <c r="BE1151" t="s">
        <v>241</v>
      </c>
      <c r="BF1151" t="s">
        <v>756</v>
      </c>
      <c r="BG1151" t="s">
        <v>756</v>
      </c>
      <c r="BI1151" cm="1">
        <f t="array" ref="BI1151">IFERROR(_xlfn._xlws.FILTER(shifts!A:A,(shifts!B:B=events!AD1151)*(shifts!AG:AG&gt;=events!BK1151)*(shifts!AH:AH&lt;=events!BL1151)),BI1150)</f>
        <v>54</v>
      </c>
      <c r="BJ1151" s="15">
        <f t="shared" si="783"/>
        <v>31</v>
      </c>
      <c r="BK1151">
        <f t="shared" si="791"/>
        <v>636</v>
      </c>
      <c r="BL1151">
        <f t="shared" si="792"/>
        <v>605</v>
      </c>
      <c r="BM1151" s="15">
        <f>SUMIFS(BJ$2:BJ1151,K$2:K1151,"=Intermission")+SUMIFS(BJ$2:BJ1151,K$2:K1151,"=Timeout")</f>
        <v>72</v>
      </c>
      <c r="BN1151">
        <f t="shared" si="793"/>
        <v>1152</v>
      </c>
      <c r="BO1151" s="19">
        <f t="shared" si="794"/>
        <v>1596</v>
      </c>
      <c r="BP1151">
        <f t="shared" si="795"/>
        <v>1591</v>
      </c>
      <c r="BQ1151" s="17">
        <f t="shared" si="796"/>
        <v>1627</v>
      </c>
      <c r="BR1151" t="str">
        <f t="shared" si="797"/>
        <v>event_team_player_1</v>
      </c>
      <c r="BS1151">
        <f>COUNTIFS(S$3:S1151,"="&amp;S1151,AI$3:AI1151,"="&amp;AI1151)</f>
        <v>1</v>
      </c>
      <c r="BT1151" t="str">
        <f>IFERROR(VLOOKUP(BB1151&amp;BU1151&amp;X1151,game_rosters!U:W,3,FALSE),"")</f>
        <v>P100161</v>
      </c>
      <c r="BU1151" t="str">
        <f t="shared" si="798"/>
        <v>Velodrome</v>
      </c>
    </row>
    <row r="1152" spans="1:73" x14ac:dyDescent="0.2">
      <c r="A1152">
        <f t="shared" si="784"/>
        <v>1</v>
      </c>
      <c r="J1152" s="44" t="str">
        <f t="shared" si="799"/>
        <v/>
      </c>
      <c r="K1152" t="s">
        <v>5</v>
      </c>
      <c r="L1152" t="s">
        <v>180</v>
      </c>
      <c r="M1152" t="s">
        <v>756</v>
      </c>
      <c r="S1152">
        <v>624</v>
      </c>
      <c r="W1152" t="str">
        <f t="shared" si="775"/>
        <v>h</v>
      </c>
      <c r="X1152">
        <v>79</v>
      </c>
      <c r="Y1152" t="b">
        <f>IF(X1152&lt;&gt;"",VLOOKUP(X1152,game_rosters!$C$43:$E$64,3,FALSE))</f>
        <v>0</v>
      </c>
      <c r="Z1152" cm="1">
        <f t="array" ref="Z1152">IFERROR(IF(_xlfn._xlws.FILTER(game_rosters!$J:$J,(game_rosters!$G:$G=events!$AN1152)*(game_rosters!$J:$J=events!$X1152))&gt;0,1,""),"")</f>
        <v>1</v>
      </c>
      <c r="AA1152">
        <f t="shared" si="823"/>
        <v>1624</v>
      </c>
      <c r="AB1152" t="str">
        <f t="shared" si="824"/>
        <v/>
      </c>
      <c r="AC1152">
        <f t="shared" si="772"/>
        <v>1624</v>
      </c>
      <c r="AD1152" s="6">
        <v>2</v>
      </c>
      <c r="AE1152" t="s">
        <v>910</v>
      </c>
      <c r="AF1152" t="s">
        <v>912</v>
      </c>
      <c r="AG1152" t="s">
        <v>756</v>
      </c>
      <c r="AH1152" t="s">
        <v>756</v>
      </c>
      <c r="AI1152" t="s">
        <v>367</v>
      </c>
      <c r="AJ1152" t="str">
        <f t="shared" ref="AJ1152:AK1152" si="860">IF($J1152&lt;&gt;"",$J1152,IF($AC1152=$AC1151,AJ1151,""))</f>
        <v/>
      </c>
      <c r="AK1152" t="str">
        <f t="shared" si="860"/>
        <v/>
      </c>
      <c r="AL1152" t="str">
        <f t="shared" si="777"/>
        <v/>
      </c>
      <c r="AN1152" t="s">
        <v>861</v>
      </c>
      <c r="AO1152" t="str">
        <f t="shared" si="778"/>
        <v>h</v>
      </c>
      <c r="AP1152" t="str">
        <f t="shared" si="786"/>
        <v/>
      </c>
      <c r="AQ1152" t="str">
        <f t="shared" si="787"/>
        <v/>
      </c>
      <c r="AR1152" t="str">
        <f t="shared" si="788"/>
        <v>Home</v>
      </c>
      <c r="AS1152" t="str">
        <f t="shared" si="789"/>
        <v>h</v>
      </c>
      <c r="AT1152" t="str">
        <f t="shared" si="790"/>
        <v>Offensive</v>
      </c>
      <c r="BA1152" s="6">
        <f t="shared" si="779"/>
        <v>288</v>
      </c>
      <c r="BB1152">
        <f t="shared" si="780"/>
        <v>18981</v>
      </c>
      <c r="BC1152" t="str">
        <f t="shared" si="781"/>
        <v>Nelson</v>
      </c>
      <c r="BD1152" t="str">
        <f t="shared" si="782"/>
        <v>Velodrome</v>
      </c>
      <c r="BE1152" t="s">
        <v>5</v>
      </c>
      <c r="BF1152" t="s">
        <v>180</v>
      </c>
      <c r="BG1152" t="s">
        <v>756</v>
      </c>
      <c r="BI1152" cm="1">
        <f t="array" ref="BI1152">IFERROR(_xlfn._xlws.FILTER(shifts!A:A,(shifts!B:B=events!AD1152)*(shifts!AG:AG&gt;=events!BK1152)*(shifts!AH:AH&lt;=events!BL1152)),BI1151)</f>
        <v>55</v>
      </c>
      <c r="BJ1152" s="15">
        <f t="shared" si="783"/>
        <v>0</v>
      </c>
      <c r="BK1152">
        <f t="shared" si="791"/>
        <v>605</v>
      </c>
      <c r="BL1152">
        <f t="shared" si="792"/>
        <v>605</v>
      </c>
      <c r="BM1152" s="15">
        <f>SUMIFS(BJ$2:BJ1152,K$2:K1152,"=Intermission")+SUMIFS(BJ$2:BJ1152,K$2:K1152,"=Timeout")</f>
        <v>72</v>
      </c>
      <c r="BN1152">
        <f t="shared" si="793"/>
        <v>1152</v>
      </c>
      <c r="BO1152" s="19">
        <f t="shared" si="794"/>
        <v>1627</v>
      </c>
      <c r="BP1152">
        <f t="shared" si="795"/>
        <v>1622</v>
      </c>
      <c r="BQ1152" s="17">
        <f t="shared" si="796"/>
        <v>1627</v>
      </c>
      <c r="BR1152" t="str">
        <f t="shared" si="797"/>
        <v>event_team_player_1</v>
      </c>
      <c r="BS1152">
        <f>COUNTIFS(S$3:S1152,"="&amp;S1152,AI$3:AI1152,"="&amp;AI1152)</f>
        <v>1</v>
      </c>
      <c r="BT1152" t="str">
        <f>IFERROR(VLOOKUP(BB1152&amp;BU1152&amp;X1152,game_rosters!U:W,3,FALSE),"")</f>
        <v>P100066</v>
      </c>
      <c r="BU1152" t="str">
        <f t="shared" si="798"/>
        <v>Nelson</v>
      </c>
    </row>
    <row r="1153" spans="1:73" x14ac:dyDescent="0.2">
      <c r="A1153">
        <f t="shared" si="784"/>
        <v>1</v>
      </c>
      <c r="J1153" s="44" t="str">
        <f t="shared" si="799"/>
        <v/>
      </c>
      <c r="K1153" t="s">
        <v>5</v>
      </c>
      <c r="L1153" t="s">
        <v>180</v>
      </c>
      <c r="M1153" t="s">
        <v>756</v>
      </c>
      <c r="S1153">
        <v>624</v>
      </c>
      <c r="W1153" t="str">
        <f t="shared" si="775"/>
        <v>h</v>
      </c>
      <c r="X1153">
        <v>23</v>
      </c>
      <c r="Y1153" t="b">
        <f>IF(X1153&lt;&gt;"",VLOOKUP(X1153,game_rosters!$C$43:$E$64,3,FALSE))</f>
        <v>0</v>
      </c>
      <c r="Z1153" cm="1">
        <f t="array" ref="Z1153">IFERROR(IF(_xlfn._xlws.FILTER(game_rosters!$J:$J,(game_rosters!$G:$G=events!$AN1153)*(game_rosters!$J:$J=events!$X1153))&gt;0,1,""),"")</f>
        <v>1</v>
      </c>
      <c r="AA1153">
        <f t="shared" si="823"/>
        <v>1624</v>
      </c>
      <c r="AB1153" t="str">
        <f t="shared" si="824"/>
        <v/>
      </c>
      <c r="AC1153">
        <f t="shared" si="772"/>
        <v>1624</v>
      </c>
      <c r="AD1153" s="6">
        <v>2</v>
      </c>
      <c r="AE1153" t="s">
        <v>910</v>
      </c>
      <c r="AF1153" t="s">
        <v>912</v>
      </c>
      <c r="AG1153" t="s">
        <v>756</v>
      </c>
      <c r="AH1153" t="s">
        <v>756</v>
      </c>
      <c r="AI1153" t="s">
        <v>367</v>
      </c>
      <c r="AJ1153" t="str">
        <f t="shared" ref="AJ1153:AK1153" si="861">IF($J1153&lt;&gt;"",$J1153,IF($AC1153=$AC1152,AJ1152,""))</f>
        <v/>
      </c>
      <c r="AK1153" t="str">
        <f t="shared" si="861"/>
        <v/>
      </c>
      <c r="AL1153" t="str">
        <f t="shared" si="777"/>
        <v/>
      </c>
      <c r="AN1153" t="s">
        <v>861</v>
      </c>
      <c r="AO1153" t="str">
        <f t="shared" si="778"/>
        <v>h</v>
      </c>
      <c r="AP1153" t="str">
        <f t="shared" si="786"/>
        <v/>
      </c>
      <c r="AQ1153" t="str">
        <f t="shared" si="787"/>
        <v/>
      </c>
      <c r="AR1153" t="str">
        <f t="shared" si="788"/>
        <v>Home</v>
      </c>
      <c r="AS1153" t="str">
        <f t="shared" si="789"/>
        <v>h</v>
      </c>
      <c r="AT1153" t="str">
        <f t="shared" si="790"/>
        <v>Offensive</v>
      </c>
      <c r="BA1153" s="6">
        <f t="shared" si="779"/>
        <v>288</v>
      </c>
      <c r="BB1153">
        <f t="shared" si="780"/>
        <v>18981</v>
      </c>
      <c r="BC1153" t="str">
        <f t="shared" si="781"/>
        <v>Nelson</v>
      </c>
      <c r="BD1153" t="str">
        <f t="shared" si="782"/>
        <v>Velodrome</v>
      </c>
      <c r="BE1153" t="s">
        <v>5</v>
      </c>
      <c r="BF1153" t="s">
        <v>180</v>
      </c>
      <c r="BG1153" t="s">
        <v>756</v>
      </c>
      <c r="BI1153" cm="1">
        <f t="array" ref="BI1153">IFERROR(_xlfn._xlws.FILTER(shifts!A:A,(shifts!B:B=events!AD1153)*(shifts!AG:AG&gt;=events!BK1153)*(shifts!AH:AH&lt;=events!BL1153)),BI1152)</f>
        <v>55</v>
      </c>
      <c r="BJ1153" s="15">
        <f t="shared" si="783"/>
        <v>0</v>
      </c>
      <c r="BK1153">
        <f t="shared" si="791"/>
        <v>605</v>
      </c>
      <c r="BL1153">
        <f t="shared" si="792"/>
        <v>605</v>
      </c>
      <c r="BM1153" s="15">
        <f>SUMIFS(BJ$2:BJ1153,K$2:K1153,"=Intermission")+SUMIFS(BJ$2:BJ1153,K$2:K1153,"=Timeout")</f>
        <v>72</v>
      </c>
      <c r="BN1153">
        <f t="shared" si="793"/>
        <v>1152</v>
      </c>
      <c r="BO1153" s="19">
        <f t="shared" si="794"/>
        <v>1627</v>
      </c>
      <c r="BP1153">
        <f t="shared" si="795"/>
        <v>1622</v>
      </c>
      <c r="BQ1153" s="17">
        <f t="shared" si="796"/>
        <v>1627</v>
      </c>
      <c r="BR1153" t="str">
        <f t="shared" si="797"/>
        <v>event_team_player_2</v>
      </c>
      <c r="BS1153">
        <f>COUNTIFS(S$3:S1153,"="&amp;S1153,AI$3:AI1153,"="&amp;AI1153)</f>
        <v>2</v>
      </c>
      <c r="BT1153" t="str">
        <f>IFERROR(VLOOKUP(BB1153&amp;BU1153&amp;X1153,game_rosters!U:W,3,FALSE),"")</f>
        <v>P100061</v>
      </c>
      <c r="BU1153" t="str">
        <f t="shared" si="798"/>
        <v>Nelson</v>
      </c>
    </row>
    <row r="1154" spans="1:73" x14ac:dyDescent="0.2">
      <c r="A1154">
        <f t="shared" si="784"/>
        <v>1</v>
      </c>
      <c r="J1154" s="44" t="str">
        <f t="shared" si="799"/>
        <v/>
      </c>
      <c r="K1154" t="s">
        <v>5</v>
      </c>
      <c r="L1154" t="s">
        <v>180</v>
      </c>
      <c r="M1154" t="s">
        <v>756</v>
      </c>
      <c r="S1154">
        <v>624</v>
      </c>
      <c r="W1154" t="str">
        <f t="shared" si="775"/>
        <v>h</v>
      </c>
      <c r="X1154">
        <v>14</v>
      </c>
      <c r="Y1154" t="e">
        <f>IF(X1154&lt;&gt;"",VLOOKUP(X1154,game_rosters!$C$43:$E$64,3,FALSE))</f>
        <v>#N/A</v>
      </c>
      <c r="Z1154" t="str" cm="1">
        <f t="array" ref="Z1154">IFERROR(IF(_xlfn._xlws.FILTER(game_rosters!$J:$J,(game_rosters!$G:$G=events!$AN1154)*(game_rosters!$J:$J=events!$X1154))&gt;0,1,""),"")</f>
        <v/>
      </c>
      <c r="AA1154">
        <f t="shared" si="823"/>
        <v>1624</v>
      </c>
      <c r="AB1154" t="str">
        <f t="shared" si="824"/>
        <v/>
      </c>
      <c r="AC1154">
        <f t="shared" ref="AC1154:AC1217" si="862">IF(AB1154&lt;&gt;"",AB1154,S1154+1000)</f>
        <v>1624</v>
      </c>
      <c r="AD1154" s="6">
        <v>2</v>
      </c>
      <c r="AE1154" t="s">
        <v>910</v>
      </c>
      <c r="AF1154" t="s">
        <v>912</v>
      </c>
      <c r="AG1154" t="s">
        <v>756</v>
      </c>
      <c r="AH1154" t="s">
        <v>756</v>
      </c>
      <c r="AI1154" t="s">
        <v>368</v>
      </c>
      <c r="AJ1154" t="str">
        <f t="shared" ref="AJ1154:AK1154" si="863">IF($J1154&lt;&gt;"",$J1154,IF($AC1154=$AC1153,AJ1153,""))</f>
        <v/>
      </c>
      <c r="AK1154" t="str">
        <f t="shared" si="863"/>
        <v/>
      </c>
      <c r="AL1154" t="str">
        <f t="shared" si="777"/>
        <v/>
      </c>
      <c r="AN1154" t="s">
        <v>861</v>
      </c>
      <c r="AO1154" t="str">
        <f t="shared" si="778"/>
        <v>h</v>
      </c>
      <c r="AP1154" t="str">
        <f t="shared" si="786"/>
        <v/>
      </c>
      <c r="AQ1154" t="str">
        <f t="shared" si="787"/>
        <v/>
      </c>
      <c r="AR1154" t="str">
        <f t="shared" si="788"/>
        <v>Home</v>
      </c>
      <c r="AS1154" t="str">
        <f t="shared" si="789"/>
        <v>h</v>
      </c>
      <c r="AT1154" t="str">
        <f t="shared" si="790"/>
        <v>Defensive</v>
      </c>
      <c r="BA1154" s="6">
        <f t="shared" si="779"/>
        <v>288</v>
      </c>
      <c r="BB1154">
        <f t="shared" si="780"/>
        <v>18981</v>
      </c>
      <c r="BC1154" t="str">
        <f t="shared" si="781"/>
        <v>Nelson</v>
      </c>
      <c r="BD1154" t="str">
        <f t="shared" si="782"/>
        <v>Velodrome</v>
      </c>
      <c r="BE1154" t="s">
        <v>5</v>
      </c>
      <c r="BF1154" t="s">
        <v>180</v>
      </c>
      <c r="BG1154" t="s">
        <v>756</v>
      </c>
      <c r="BI1154" cm="1">
        <f t="array" ref="BI1154">IFERROR(_xlfn._xlws.FILTER(shifts!A:A,(shifts!B:B=events!AD1154)*(shifts!AG:AG&gt;=events!BK1154)*(shifts!AH:AH&lt;=events!BL1154)),BI1153)</f>
        <v>55</v>
      </c>
      <c r="BJ1154" s="15">
        <f t="shared" si="783"/>
        <v>0</v>
      </c>
      <c r="BK1154">
        <f t="shared" si="791"/>
        <v>605</v>
      </c>
      <c r="BL1154">
        <f t="shared" si="792"/>
        <v>605</v>
      </c>
      <c r="BM1154" s="15">
        <f>SUMIFS(BJ$2:BJ1154,K$2:K1154,"=Intermission")+SUMIFS(BJ$2:BJ1154,K$2:K1154,"=Timeout")</f>
        <v>72</v>
      </c>
      <c r="BN1154">
        <f t="shared" si="793"/>
        <v>1152</v>
      </c>
      <c r="BO1154" s="19">
        <f t="shared" si="794"/>
        <v>1627</v>
      </c>
      <c r="BP1154">
        <f t="shared" si="795"/>
        <v>1622</v>
      </c>
      <c r="BQ1154" s="17">
        <f t="shared" si="796"/>
        <v>1627</v>
      </c>
      <c r="BR1154" t="str">
        <f t="shared" si="797"/>
        <v>opp_team_player_1</v>
      </c>
      <c r="BS1154">
        <f>COUNTIFS(S$3:S1154,"="&amp;S1154,AI$3:AI1154,"="&amp;AI1154)</f>
        <v>1</v>
      </c>
      <c r="BT1154" t="str">
        <f>IFERROR(VLOOKUP(BB1154&amp;BU1154&amp;X1154,game_rosters!U:W,3,FALSE),"")</f>
        <v>P100132</v>
      </c>
      <c r="BU1154" t="str">
        <f t="shared" si="798"/>
        <v>Velodrome</v>
      </c>
    </row>
    <row r="1155" spans="1:73" x14ac:dyDescent="0.2">
      <c r="A1155">
        <f t="shared" si="784"/>
        <v>1</v>
      </c>
      <c r="J1155" s="44" t="str">
        <f t="shared" si="799"/>
        <v>o</v>
      </c>
      <c r="K1155" t="s">
        <v>6</v>
      </c>
      <c r="L1155" t="s">
        <v>181</v>
      </c>
      <c r="M1155" t="s">
        <v>51</v>
      </c>
      <c r="S1155">
        <v>625</v>
      </c>
      <c r="W1155" t="str">
        <f t="shared" si="775"/>
        <v>h</v>
      </c>
      <c r="X1155">
        <v>23</v>
      </c>
      <c r="Y1155" t="b">
        <f>IF(X1155&lt;&gt;"",VLOOKUP(X1155,game_rosters!$C$43:$E$64,3,FALSE))</f>
        <v>0</v>
      </c>
      <c r="Z1155" cm="1">
        <f t="array" ref="Z1155">IFERROR(IF(_xlfn._xlws.FILTER(game_rosters!$J:$J,(game_rosters!$G:$G=events!$AN1155)*(game_rosters!$J:$J=events!$X1155))&gt;0,1,""),"")</f>
        <v>1</v>
      </c>
      <c r="AA1155">
        <f t="shared" si="823"/>
        <v>1625</v>
      </c>
      <c r="AB1155" t="str">
        <f t="shared" si="824"/>
        <v/>
      </c>
      <c r="AC1155">
        <f t="shared" si="862"/>
        <v>1625</v>
      </c>
      <c r="AD1155" s="6">
        <v>2</v>
      </c>
      <c r="AE1155" t="s">
        <v>910</v>
      </c>
      <c r="AF1155" t="s">
        <v>925</v>
      </c>
      <c r="AG1155" t="s">
        <v>756</v>
      </c>
      <c r="AH1155" t="s">
        <v>756</v>
      </c>
      <c r="AI1155" t="s">
        <v>367</v>
      </c>
      <c r="AJ1155" t="str">
        <f t="shared" ref="AJ1155:AK1155" si="864">IF($J1155&lt;&gt;"",$J1155,IF($AC1155=$AC1154,AJ1154,""))</f>
        <v>o</v>
      </c>
      <c r="AK1155" t="str">
        <f t="shared" si="864"/>
        <v>o</v>
      </c>
      <c r="AL1155" t="str">
        <f t="shared" si="777"/>
        <v>o</v>
      </c>
      <c r="AN1155" t="s">
        <v>861</v>
      </c>
      <c r="AO1155" t="str">
        <f t="shared" si="778"/>
        <v>h</v>
      </c>
      <c r="AP1155" t="str">
        <f t="shared" si="786"/>
        <v>o</v>
      </c>
      <c r="AQ1155" t="str">
        <f t="shared" si="787"/>
        <v/>
      </c>
      <c r="AR1155" t="str">
        <f t="shared" si="788"/>
        <v>Home</v>
      </c>
      <c r="AS1155" t="str">
        <f t="shared" si="789"/>
        <v>h</v>
      </c>
      <c r="AT1155" t="str">
        <f t="shared" si="790"/>
        <v>Offensive</v>
      </c>
      <c r="BA1155" s="6">
        <f t="shared" si="779"/>
        <v>288</v>
      </c>
      <c r="BB1155">
        <f t="shared" si="780"/>
        <v>18981</v>
      </c>
      <c r="BC1155" t="str">
        <f t="shared" si="781"/>
        <v>Nelson</v>
      </c>
      <c r="BD1155" t="str">
        <f t="shared" si="782"/>
        <v>Velodrome</v>
      </c>
      <c r="BE1155" t="s">
        <v>6</v>
      </c>
      <c r="BF1155" t="s">
        <v>181</v>
      </c>
      <c r="BG1155" t="s">
        <v>51</v>
      </c>
      <c r="BI1155" cm="1">
        <f t="array" ref="BI1155">IFERROR(_xlfn._xlws.FILTER(shifts!A:A,(shifts!B:B=events!AD1155)*(shifts!AG:AG&gt;=events!BK1155)*(shifts!AH:AH&lt;=events!BL1155)),BI1154)</f>
        <v>55</v>
      </c>
      <c r="BJ1155" s="15">
        <f t="shared" si="783"/>
        <v>0</v>
      </c>
      <c r="BK1155">
        <f t="shared" si="791"/>
        <v>603</v>
      </c>
      <c r="BL1155">
        <f t="shared" si="792"/>
        <v>603</v>
      </c>
      <c r="BM1155" s="15">
        <f>SUMIFS(BJ$2:BJ1155,K$2:K1155,"=Intermission")+SUMIFS(BJ$2:BJ1155,K$2:K1155,"=Timeout")</f>
        <v>72</v>
      </c>
      <c r="BN1155">
        <f t="shared" si="793"/>
        <v>1152</v>
      </c>
      <c r="BO1155" s="19">
        <f t="shared" si="794"/>
        <v>1629</v>
      </c>
      <c r="BP1155">
        <f t="shared" si="795"/>
        <v>1624</v>
      </c>
      <c r="BQ1155" s="17">
        <f t="shared" si="796"/>
        <v>1629</v>
      </c>
      <c r="BR1155" t="str">
        <f t="shared" si="797"/>
        <v>event_team_player_1</v>
      </c>
      <c r="BS1155">
        <f>COUNTIFS(S$3:S1155,"="&amp;S1155,AI$3:AI1155,"="&amp;AI1155)</f>
        <v>1</v>
      </c>
      <c r="BT1155" t="str">
        <f>IFERROR(VLOOKUP(BB1155&amp;BU1155&amp;X1155,game_rosters!U:W,3,FALSE),"")</f>
        <v>P100061</v>
      </c>
      <c r="BU1155" t="str">
        <f t="shared" si="798"/>
        <v>Nelson</v>
      </c>
    </row>
    <row r="1156" spans="1:73" x14ac:dyDescent="0.2">
      <c r="A1156">
        <f t="shared" si="784"/>
        <v>1</v>
      </c>
      <c r="J1156" s="44" t="str">
        <f t="shared" si="799"/>
        <v>o</v>
      </c>
      <c r="K1156" t="s">
        <v>6</v>
      </c>
      <c r="L1156" t="s">
        <v>181</v>
      </c>
      <c r="M1156" t="s">
        <v>51</v>
      </c>
      <c r="S1156">
        <v>625</v>
      </c>
      <c r="W1156" t="str">
        <f t="shared" ref="W1156:W1219" si="865">IF(AN1156="Away","a",IF(AN1156="Home","h",""))</f>
        <v>h</v>
      </c>
      <c r="X1156">
        <v>61</v>
      </c>
      <c r="Y1156" t="e">
        <f>IF(X1156&lt;&gt;"",VLOOKUP(X1156,game_rosters!$C$43:$E$64,3,FALSE))</f>
        <v>#N/A</v>
      </c>
      <c r="Z1156" t="str" cm="1">
        <f t="array" ref="Z1156">IFERROR(IF(_xlfn._xlws.FILTER(game_rosters!$J:$J,(game_rosters!$G:$G=events!$AN1156)*(game_rosters!$J:$J=events!$X1156))&gt;0,1,""),"")</f>
        <v/>
      </c>
      <c r="AA1156">
        <f t="shared" si="823"/>
        <v>1625</v>
      </c>
      <c r="AB1156" t="str">
        <f t="shared" si="824"/>
        <v/>
      </c>
      <c r="AC1156">
        <f t="shared" si="862"/>
        <v>1625</v>
      </c>
      <c r="AD1156" s="6">
        <v>2</v>
      </c>
      <c r="AE1156" t="s">
        <v>910</v>
      </c>
      <c r="AF1156" t="s">
        <v>925</v>
      </c>
      <c r="AG1156" t="s">
        <v>756</v>
      </c>
      <c r="AH1156" t="s">
        <v>756</v>
      </c>
      <c r="AI1156" t="s">
        <v>368</v>
      </c>
      <c r="AJ1156" t="str">
        <f t="shared" ref="AJ1156:AK1156" si="866">IF($J1156&lt;&gt;"",$J1156,IF($AC1156=$AC1155,AJ1155,""))</f>
        <v>o</v>
      </c>
      <c r="AK1156" t="str">
        <f t="shared" si="866"/>
        <v>o</v>
      </c>
      <c r="AL1156" t="str">
        <f t="shared" ref="AL1156:AL1219" si="867">IF($W1156="","",IF($AJ1156="","",IF($W1156="h",$AJ1156,IF($AJ1156="n","n",IF(AND($W1156="a",$AJ1156="d"),"o",IF(AND($W1156="a",$AJ1156="o"),"d"))))))</f>
        <v>o</v>
      </c>
      <c r="AN1156" t="s">
        <v>861</v>
      </c>
      <c r="AO1156" t="str">
        <f t="shared" ref="AO1156:AO1219" si="868">IF($W1156&lt;&gt;"",$W1156,IF($AC1156=$AC1155,AO1155,""))</f>
        <v>h</v>
      </c>
      <c r="AP1156" t="str">
        <f t="shared" si="786"/>
        <v>o</v>
      </c>
      <c r="AQ1156" t="str">
        <f t="shared" si="787"/>
        <v/>
      </c>
      <c r="AR1156" t="str">
        <f t="shared" si="788"/>
        <v>Home</v>
      </c>
      <c r="AS1156" t="str">
        <f t="shared" si="789"/>
        <v>h</v>
      </c>
      <c r="AT1156" t="str">
        <f t="shared" si="790"/>
        <v>Defensive</v>
      </c>
      <c r="BA1156" s="6">
        <f t="shared" ref="BA1156:BA1219" si="869">IF(OR(L1156="Zone_Entry",L1156="Zone_Exit"),BA1155+1,BA1155)</f>
        <v>288</v>
      </c>
      <c r="BB1156">
        <f t="shared" ref="BB1156:BB1219" si="870">BB1155</f>
        <v>18981</v>
      </c>
      <c r="BC1156" t="str">
        <f t="shared" ref="BC1156:BC1219" si="871">BC1155</f>
        <v>Nelson</v>
      </c>
      <c r="BD1156" t="str">
        <f t="shared" ref="BD1156:BD1219" si="872">BD1155</f>
        <v>Velodrome</v>
      </c>
      <c r="BE1156" t="s">
        <v>6</v>
      </c>
      <c r="BF1156" t="s">
        <v>181</v>
      </c>
      <c r="BG1156" t="s">
        <v>51</v>
      </c>
      <c r="BI1156" cm="1">
        <f t="array" ref="BI1156">IFERROR(_xlfn._xlws.FILTER(shifts!A:A,(shifts!B:B=events!AD1156)*(shifts!AG:AG&gt;=events!BK1156)*(shifts!AH:AH&lt;=events!BL1156)),BI1155)</f>
        <v>55</v>
      </c>
      <c r="BJ1156" s="15">
        <f t="shared" ref="BJ1156:BJ1219" si="873">IF(AND(AG1156="",AH1156=""),0,((AE1156*60)+AF1156)-((AG1156*60)+AH1156))</f>
        <v>0</v>
      </c>
      <c r="BK1156">
        <f t="shared" si="791"/>
        <v>603</v>
      </c>
      <c r="BL1156">
        <f t="shared" si="792"/>
        <v>603</v>
      </c>
      <c r="BM1156" s="15">
        <f>SUMIFS(BJ$2:BJ1156,K$2:K1156,"=Intermission")+SUMIFS(BJ$2:BJ1156,K$2:K1156,"=Timeout")</f>
        <v>72</v>
      </c>
      <c r="BN1156">
        <f t="shared" si="793"/>
        <v>1152</v>
      </c>
      <c r="BO1156" s="19">
        <f t="shared" si="794"/>
        <v>1629</v>
      </c>
      <c r="BP1156">
        <f t="shared" si="795"/>
        <v>1624</v>
      </c>
      <c r="BQ1156" s="17">
        <f t="shared" si="796"/>
        <v>1629</v>
      </c>
      <c r="BR1156" t="str">
        <f t="shared" si="797"/>
        <v>opp_team_player_1</v>
      </c>
      <c r="BS1156">
        <f>COUNTIFS(S$3:S1156,"="&amp;S1156,AI$3:AI1156,"="&amp;AI1156)</f>
        <v>1</v>
      </c>
      <c r="BT1156" t="str">
        <f>IFERROR(VLOOKUP(BB1156&amp;BU1156&amp;X1156,game_rosters!U:W,3,FALSE),"")</f>
        <v>P100224</v>
      </c>
      <c r="BU1156" t="str">
        <f t="shared" si="798"/>
        <v>Velodrome</v>
      </c>
    </row>
    <row r="1157" spans="1:73" x14ac:dyDescent="0.2">
      <c r="A1157">
        <f t="shared" ref="A1157:A1220" si="874">IF(K1157&lt;&gt;"",1,IF(D1157="x","x",""))</f>
        <v>1</v>
      </c>
      <c r="J1157" s="44" t="str">
        <f t="shared" si="799"/>
        <v>d</v>
      </c>
      <c r="K1157" t="s">
        <v>11</v>
      </c>
      <c r="L1157" t="s">
        <v>187</v>
      </c>
      <c r="M1157" t="s">
        <v>108</v>
      </c>
      <c r="S1157">
        <v>626</v>
      </c>
      <c r="W1157" t="str">
        <f t="shared" si="865"/>
        <v>a</v>
      </c>
      <c r="X1157">
        <v>39</v>
      </c>
      <c r="Y1157" t="e">
        <f>IF(X1157&lt;&gt;"",VLOOKUP(X1157,game_rosters!$C$43:$E$64,3,FALSE))</f>
        <v>#N/A</v>
      </c>
      <c r="Z1157" cm="1">
        <f t="array" ref="Z1157">IFERROR(IF(_xlfn._xlws.FILTER(game_rosters!$J:$J,(game_rosters!$G:$G=events!$AN1157)*(game_rosters!$J:$J=events!$X1157))&gt;0,1,""),"")</f>
        <v>1</v>
      </c>
      <c r="AA1157">
        <f t="shared" si="823"/>
        <v>1626</v>
      </c>
      <c r="AB1157" t="str">
        <f t="shared" si="824"/>
        <v/>
      </c>
      <c r="AC1157">
        <f t="shared" si="862"/>
        <v>1626</v>
      </c>
      <c r="AD1157" s="6">
        <v>2</v>
      </c>
      <c r="AE1157" t="s">
        <v>910</v>
      </c>
      <c r="AF1157" t="s">
        <v>748</v>
      </c>
      <c r="AG1157" t="s">
        <v>756</v>
      </c>
      <c r="AH1157" t="s">
        <v>756</v>
      </c>
      <c r="AI1157" t="s">
        <v>367</v>
      </c>
      <c r="AJ1157" t="str">
        <f t="shared" ref="AJ1157:AK1157" si="875">IF($J1157&lt;&gt;"",$J1157,IF($AC1157=$AC1156,AJ1156,""))</f>
        <v>d</v>
      </c>
      <c r="AK1157" t="str">
        <f t="shared" si="875"/>
        <v>d</v>
      </c>
      <c r="AL1157" t="str">
        <f t="shared" si="867"/>
        <v>o</v>
      </c>
      <c r="AN1157" t="s">
        <v>862</v>
      </c>
      <c r="AO1157" t="str">
        <f t="shared" si="868"/>
        <v>a</v>
      </c>
      <c r="AP1157" t="str">
        <f t="shared" ref="AP1157:AP1220" si="876">IF(AL1157&lt;&gt;"",AL1157,IF($AC1157=$AC1156,AP1156,""))</f>
        <v>o</v>
      </c>
      <c r="AQ1157" t="str">
        <f t="shared" ref="AQ1157:AQ1220" si="877">IF(AM1157&lt;&gt;"",AM1157,IF($AC1157=$AC1156,AQ1156,""))</f>
        <v/>
      </c>
      <c r="AR1157" t="str">
        <f t="shared" ref="AR1157:AR1220" si="878">IF(AN1157&lt;&gt;"",AN1157,IF($AC1157=$AC1156,AR1156,""))</f>
        <v>Away</v>
      </c>
      <c r="AS1157" t="str">
        <f t="shared" ref="AS1157:AS1220" si="879">IF(AO1157&lt;&gt;"",AO1157,IF($AC1157=$AC1156,AS1156,""))</f>
        <v>a</v>
      </c>
      <c r="AT1157" t="str">
        <f t="shared" ref="AT1157:AT1220" si="880">IF(AND(AI1157="e",OR(BE1157="Save",BF1157="Turnover_Takeaway",BF1157="Play_Defensive")),"Defensive",IF(AND(AI1157="o",OR(BE1157="Save",BF1157="Turnover_Takeaway",BF1157="Play_Defensive")),"Offensive",IF(OR(BE1157="Deadice",BE1157="Stoppage",BE1157="Intermission"),"",IF(AI1157="e","Offensive",IF(AI1157="o","Defensive","")))))</f>
        <v/>
      </c>
      <c r="BA1157" s="6">
        <f t="shared" si="869"/>
        <v>288</v>
      </c>
      <c r="BB1157">
        <f t="shared" si="870"/>
        <v>18981</v>
      </c>
      <c r="BC1157" t="str">
        <f t="shared" si="871"/>
        <v>Nelson</v>
      </c>
      <c r="BD1157" t="str">
        <f t="shared" si="872"/>
        <v>Velodrome</v>
      </c>
      <c r="BE1157" t="s">
        <v>11</v>
      </c>
      <c r="BF1157" t="s">
        <v>187</v>
      </c>
      <c r="BG1157" t="s">
        <v>108</v>
      </c>
      <c r="BI1157" cm="1">
        <f t="array" ref="BI1157">IFERROR(_xlfn._xlws.FILTER(shifts!A:A,(shifts!B:B=events!AD1157)*(shifts!AG:AG&gt;=events!BK1157)*(shifts!AH:AH&lt;=events!BL1157)),BI1156)</f>
        <v>55</v>
      </c>
      <c r="BJ1157" s="15">
        <f t="shared" si="873"/>
        <v>0</v>
      </c>
      <c r="BK1157">
        <f t="shared" ref="BK1157:BK1220" si="881">(AE1157*60)+AF1157</f>
        <v>601</v>
      </c>
      <c r="BL1157">
        <f t="shared" ref="BL1157:BL1220" si="882">IF(AND(AG1157="",AH1157=""),BK1157,((AG1157*60)+AH1157))</f>
        <v>601</v>
      </c>
      <c r="BM1157" s="15">
        <f>SUMIFS(BJ$2:BJ1157,K$2:K1157,"=Intermission")+SUMIFS(BJ$2:BJ1157,K$2:K1157,"=Timeout")</f>
        <v>72</v>
      </c>
      <c r="BN1157">
        <f t="shared" ref="BN1157:BN1220" si="883">IF(AD1157=1,0,IF(AD1157=2,1080+BM1157,IF(AD1157=3,(1080*2)+BM1157,0)))</f>
        <v>1152</v>
      </c>
      <c r="BO1157" s="19">
        <f t="shared" ref="BO1157:BO1220" si="884">IF(K1157="Intermission",BO1156,((1080)-((AE1157*60)+AF1157))+BN1157)</f>
        <v>1631</v>
      </c>
      <c r="BP1157">
        <f t="shared" ref="BP1157:BP1220" si="885">IF(BO1157&lt;5,0,BO1157-5)</f>
        <v>1626</v>
      </c>
      <c r="BQ1157" s="17">
        <f t="shared" ref="BQ1157:BQ1220" si="886">BP1157+BJ1157+5</f>
        <v>1631</v>
      </c>
      <c r="BR1157" t="str">
        <f t="shared" ref="BR1157:BR1220" si="887">IF(AI1157="e","event_team_player_"&amp;BS1157,IF(AI1157="o","opp_team_player_"&amp;BS1157,""))</f>
        <v>event_team_player_1</v>
      </c>
      <c r="BS1157">
        <f>COUNTIFS(S$3:S1157,"="&amp;S1157,AI$3:AI1157,"="&amp;AI1157)</f>
        <v>1</v>
      </c>
      <c r="BT1157" t="str">
        <f>IFERROR(VLOOKUP(BB1157&amp;BU1157&amp;X1157,game_rosters!U:W,3,FALSE),"")</f>
        <v>P100016</v>
      </c>
      <c r="BU1157" t="str">
        <f t="shared" ref="BU1157:BU1220" si="888">IF(AR1157="","",IF(AND(AR1157="Away",AI1157="e"),BD1157,IF(AND(AR1157="Home",AI1157="e"),BC1157,IF(AND(AR1157="Away",AI1157="o"),BC1157,IF(AND(AR1157="Home",AI1157="o"),BD1157)))))</f>
        <v>Velodrome</v>
      </c>
    </row>
    <row r="1158" spans="1:73" x14ac:dyDescent="0.2">
      <c r="A1158">
        <f t="shared" si="874"/>
        <v>1</v>
      </c>
      <c r="J1158" s="44" t="str">
        <f t="shared" ref="J1158:J1221" si="889">IF(OR(K1158="Goal",K1158="Shot",L1158="Zone_Entry",M1158="Stoppage-Goal",M1157="Stoppage-Goal"),"o",IF(OR(K1158="Save",K1158="Rebound",L1158="Zone_Exit",M1158="Stoppage-GoalieStoppage",M1157="Stoppage-GoalieStoppage"),"d",IF(OR(L1158="Faceoff_AfterGoal",L1158="Faceoff_PeriodStart",698="Faceoff_GameStart",M1157="Stoppage-Goal"),"n","")))</f>
        <v>d</v>
      </c>
      <c r="K1158" t="s">
        <v>241</v>
      </c>
      <c r="L1158" t="s">
        <v>756</v>
      </c>
      <c r="M1158" t="s">
        <v>756</v>
      </c>
      <c r="S1158">
        <v>627</v>
      </c>
      <c r="W1158" t="str">
        <f t="shared" si="865"/>
        <v>a</v>
      </c>
      <c r="X1158">
        <v>39</v>
      </c>
      <c r="Y1158" t="e">
        <f>IF(X1158&lt;&gt;"",VLOOKUP(X1158,game_rosters!$C$43:$E$64,3,FALSE))</f>
        <v>#N/A</v>
      </c>
      <c r="Z1158" cm="1">
        <f t="array" ref="Z1158">IFERROR(IF(_xlfn._xlws.FILTER(game_rosters!$J:$J,(game_rosters!$G:$G=events!$AN1158)*(game_rosters!$J:$J=events!$X1158))&gt;0,1,""),"")</f>
        <v>1</v>
      </c>
      <c r="AA1158">
        <f t="shared" si="823"/>
        <v>1627</v>
      </c>
      <c r="AB1158" t="str">
        <f t="shared" si="824"/>
        <v/>
      </c>
      <c r="AC1158">
        <f t="shared" si="862"/>
        <v>1627</v>
      </c>
      <c r="AD1158" s="6">
        <v>2</v>
      </c>
      <c r="AE1158" t="s">
        <v>910</v>
      </c>
      <c r="AF1158" t="s">
        <v>748</v>
      </c>
      <c r="AG1158" t="s">
        <v>933</v>
      </c>
      <c r="AH1158" t="s">
        <v>900</v>
      </c>
      <c r="AI1158" t="s">
        <v>367</v>
      </c>
      <c r="AJ1158" t="str">
        <f t="shared" ref="AJ1158:AK1158" si="890">IF($J1158&lt;&gt;"",$J1158,IF($AC1158=$AC1157,AJ1157,""))</f>
        <v>d</v>
      </c>
      <c r="AK1158" t="str">
        <f t="shared" si="890"/>
        <v>d</v>
      </c>
      <c r="AL1158" t="str">
        <f t="shared" si="867"/>
        <v>o</v>
      </c>
      <c r="AN1158" t="s">
        <v>862</v>
      </c>
      <c r="AO1158" t="str">
        <f t="shared" si="868"/>
        <v>a</v>
      </c>
      <c r="AP1158" t="str">
        <f t="shared" si="876"/>
        <v>o</v>
      </c>
      <c r="AQ1158" t="str">
        <f t="shared" si="877"/>
        <v/>
      </c>
      <c r="AR1158" t="str">
        <f t="shared" si="878"/>
        <v>Away</v>
      </c>
      <c r="AS1158" t="str">
        <f t="shared" si="879"/>
        <v>a</v>
      </c>
      <c r="AT1158" t="str">
        <f t="shared" si="880"/>
        <v/>
      </c>
      <c r="BA1158" s="6">
        <f t="shared" si="869"/>
        <v>288</v>
      </c>
      <c r="BB1158">
        <f t="shared" si="870"/>
        <v>18981</v>
      </c>
      <c r="BC1158" t="str">
        <f t="shared" si="871"/>
        <v>Nelson</v>
      </c>
      <c r="BD1158" t="str">
        <f t="shared" si="872"/>
        <v>Velodrome</v>
      </c>
      <c r="BE1158" t="s">
        <v>241</v>
      </c>
      <c r="BF1158" t="s">
        <v>756</v>
      </c>
      <c r="BG1158" t="s">
        <v>756</v>
      </c>
      <c r="BI1158" cm="1">
        <f t="array" ref="BI1158">IFERROR(_xlfn._xlws.FILTER(shifts!A:A,(shifts!B:B=events!AD1158)*(shifts!AG:AG&gt;=events!BK1158)*(shifts!AH:AH&lt;=events!BL1158)),BI1157)</f>
        <v>55</v>
      </c>
      <c r="BJ1158" s="15">
        <f t="shared" si="873"/>
        <v>14</v>
      </c>
      <c r="BK1158">
        <f t="shared" si="881"/>
        <v>601</v>
      </c>
      <c r="BL1158">
        <f t="shared" si="882"/>
        <v>587</v>
      </c>
      <c r="BM1158" s="15">
        <f>SUMIFS(BJ$2:BJ1158,K$2:K1158,"=Intermission")+SUMIFS(BJ$2:BJ1158,K$2:K1158,"=Timeout")</f>
        <v>72</v>
      </c>
      <c r="BN1158">
        <f t="shared" si="883"/>
        <v>1152</v>
      </c>
      <c r="BO1158" s="19">
        <f t="shared" si="884"/>
        <v>1631</v>
      </c>
      <c r="BP1158">
        <f t="shared" si="885"/>
        <v>1626</v>
      </c>
      <c r="BQ1158" s="17">
        <f t="shared" si="886"/>
        <v>1645</v>
      </c>
      <c r="BR1158" t="str">
        <f t="shared" si="887"/>
        <v>event_team_player_1</v>
      </c>
      <c r="BS1158">
        <f>COUNTIFS(S$3:S1158,"="&amp;S1158,AI$3:AI1158,"="&amp;AI1158)</f>
        <v>1</v>
      </c>
      <c r="BT1158" t="str">
        <f>IFERROR(VLOOKUP(BB1158&amp;BU1158&amp;X1158,game_rosters!U:W,3,FALSE),"")</f>
        <v>P100016</v>
      </c>
      <c r="BU1158" t="str">
        <f t="shared" si="888"/>
        <v>Velodrome</v>
      </c>
    </row>
    <row r="1159" spans="1:73" x14ac:dyDescent="0.2">
      <c r="A1159">
        <f t="shared" si="874"/>
        <v>1</v>
      </c>
      <c r="J1159" s="44" t="str">
        <f t="shared" si="889"/>
        <v/>
      </c>
      <c r="K1159" t="s">
        <v>5</v>
      </c>
      <c r="L1159" t="s">
        <v>236</v>
      </c>
      <c r="M1159" t="s">
        <v>756</v>
      </c>
      <c r="S1159">
        <v>628</v>
      </c>
      <c r="W1159" t="str">
        <f t="shared" si="865"/>
        <v>h</v>
      </c>
      <c r="X1159">
        <v>79</v>
      </c>
      <c r="Y1159" t="b">
        <f>IF(X1159&lt;&gt;"",VLOOKUP(X1159,game_rosters!$C$43:$E$64,3,FALSE))</f>
        <v>0</v>
      </c>
      <c r="Z1159" cm="1">
        <f t="array" ref="Z1159">IFERROR(IF(_xlfn._xlws.FILTER(game_rosters!$J:$J,(game_rosters!$G:$G=events!$AN1159)*(game_rosters!$J:$J=events!$X1159))&gt;0,1,""),"")</f>
        <v>1</v>
      </c>
      <c r="AA1159">
        <f t="shared" si="823"/>
        <v>1628</v>
      </c>
      <c r="AB1159" t="str">
        <f t="shared" si="824"/>
        <v/>
      </c>
      <c r="AC1159">
        <f t="shared" si="862"/>
        <v>1628</v>
      </c>
      <c r="AD1159" s="6">
        <v>2</v>
      </c>
      <c r="AE1159" t="s">
        <v>933</v>
      </c>
      <c r="AF1159" t="s">
        <v>900</v>
      </c>
      <c r="AG1159" t="s">
        <v>756</v>
      </c>
      <c r="AH1159" t="s">
        <v>756</v>
      </c>
      <c r="AI1159" t="s">
        <v>367</v>
      </c>
      <c r="AJ1159" t="str">
        <f t="shared" ref="AJ1159:AK1159" si="891">IF($J1159&lt;&gt;"",$J1159,IF($AC1159=$AC1158,AJ1158,""))</f>
        <v/>
      </c>
      <c r="AK1159" t="str">
        <f t="shared" si="891"/>
        <v/>
      </c>
      <c r="AL1159" t="str">
        <f t="shared" si="867"/>
        <v/>
      </c>
      <c r="AN1159" t="s">
        <v>861</v>
      </c>
      <c r="AO1159" t="str">
        <f t="shared" si="868"/>
        <v>h</v>
      </c>
      <c r="AP1159" t="str">
        <f t="shared" si="876"/>
        <v/>
      </c>
      <c r="AQ1159" t="str">
        <f t="shared" si="877"/>
        <v/>
      </c>
      <c r="AR1159" t="str">
        <f t="shared" si="878"/>
        <v>Home</v>
      </c>
      <c r="AS1159" t="str">
        <f t="shared" si="879"/>
        <v>h</v>
      </c>
      <c r="AT1159" t="str">
        <f t="shared" si="880"/>
        <v>Offensive</v>
      </c>
      <c r="BA1159" s="6">
        <f t="shared" si="869"/>
        <v>288</v>
      </c>
      <c r="BB1159">
        <f t="shared" si="870"/>
        <v>18981</v>
      </c>
      <c r="BC1159" t="str">
        <f t="shared" si="871"/>
        <v>Nelson</v>
      </c>
      <c r="BD1159" t="str">
        <f t="shared" si="872"/>
        <v>Velodrome</v>
      </c>
      <c r="BE1159" t="s">
        <v>5</v>
      </c>
      <c r="BF1159" t="s">
        <v>236</v>
      </c>
      <c r="BG1159" t="s">
        <v>756</v>
      </c>
      <c r="BI1159" cm="1">
        <f t="array" ref="BI1159">IFERROR(_xlfn._xlws.FILTER(shifts!A:A,(shifts!B:B=events!AD1159)*(shifts!AG:AG&gt;=events!BK1159)*(shifts!AH:AH&lt;=events!BL1159)),BI1158)</f>
        <v>55</v>
      </c>
      <c r="BJ1159" s="15">
        <f t="shared" si="873"/>
        <v>0</v>
      </c>
      <c r="BK1159">
        <f t="shared" si="881"/>
        <v>587</v>
      </c>
      <c r="BL1159">
        <f t="shared" si="882"/>
        <v>587</v>
      </c>
      <c r="BM1159" s="15">
        <f>SUMIFS(BJ$2:BJ1159,K$2:K1159,"=Intermission")+SUMIFS(BJ$2:BJ1159,K$2:K1159,"=Timeout")</f>
        <v>72</v>
      </c>
      <c r="BN1159">
        <f t="shared" si="883"/>
        <v>1152</v>
      </c>
      <c r="BO1159" s="19">
        <f t="shared" si="884"/>
        <v>1645</v>
      </c>
      <c r="BP1159">
        <f t="shared" si="885"/>
        <v>1640</v>
      </c>
      <c r="BQ1159" s="17">
        <f t="shared" si="886"/>
        <v>1645</v>
      </c>
      <c r="BR1159" t="str">
        <f t="shared" si="887"/>
        <v>event_team_player_1</v>
      </c>
      <c r="BS1159">
        <f>COUNTIFS(S$3:S1159,"="&amp;S1159,AI$3:AI1159,"="&amp;AI1159)</f>
        <v>1</v>
      </c>
      <c r="BT1159" t="str">
        <f>IFERROR(VLOOKUP(BB1159&amp;BU1159&amp;X1159,game_rosters!U:W,3,FALSE),"")</f>
        <v>P100066</v>
      </c>
      <c r="BU1159" t="str">
        <f t="shared" si="888"/>
        <v>Nelson</v>
      </c>
    </row>
    <row r="1160" spans="1:73" x14ac:dyDescent="0.2">
      <c r="A1160">
        <f t="shared" si="874"/>
        <v>1</v>
      </c>
      <c r="J1160" s="44" t="str">
        <f t="shared" si="889"/>
        <v/>
      </c>
      <c r="K1160" t="s">
        <v>5</v>
      </c>
      <c r="L1160" t="s">
        <v>236</v>
      </c>
      <c r="M1160" t="s">
        <v>756</v>
      </c>
      <c r="S1160">
        <v>628</v>
      </c>
      <c r="W1160" t="str">
        <f t="shared" si="865"/>
        <v>h</v>
      </c>
      <c r="X1160">
        <v>23</v>
      </c>
      <c r="Y1160" t="b">
        <f>IF(X1160&lt;&gt;"",VLOOKUP(X1160,game_rosters!$C$43:$E$64,3,FALSE))</f>
        <v>0</v>
      </c>
      <c r="Z1160" cm="1">
        <f t="array" ref="Z1160">IFERROR(IF(_xlfn._xlws.FILTER(game_rosters!$J:$J,(game_rosters!$G:$G=events!$AN1160)*(game_rosters!$J:$J=events!$X1160))&gt;0,1,""),"")</f>
        <v>1</v>
      </c>
      <c r="AA1160">
        <f t="shared" si="823"/>
        <v>1628</v>
      </c>
      <c r="AB1160" t="str">
        <f t="shared" si="824"/>
        <v/>
      </c>
      <c r="AC1160">
        <f t="shared" si="862"/>
        <v>1628</v>
      </c>
      <c r="AD1160" s="6">
        <v>2</v>
      </c>
      <c r="AE1160" t="s">
        <v>933</v>
      </c>
      <c r="AF1160" t="s">
        <v>900</v>
      </c>
      <c r="AG1160" t="s">
        <v>756</v>
      </c>
      <c r="AH1160" t="s">
        <v>756</v>
      </c>
      <c r="AI1160" t="s">
        <v>367</v>
      </c>
      <c r="AJ1160" t="str">
        <f t="shared" ref="AJ1160:AK1160" si="892">IF($J1160&lt;&gt;"",$J1160,IF($AC1160=$AC1159,AJ1159,""))</f>
        <v/>
      </c>
      <c r="AK1160" t="str">
        <f t="shared" si="892"/>
        <v/>
      </c>
      <c r="AL1160" t="str">
        <f t="shared" si="867"/>
        <v/>
      </c>
      <c r="AN1160" t="s">
        <v>861</v>
      </c>
      <c r="AO1160" t="str">
        <f t="shared" si="868"/>
        <v>h</v>
      </c>
      <c r="AP1160" t="str">
        <f t="shared" si="876"/>
        <v/>
      </c>
      <c r="AQ1160" t="str">
        <f t="shared" si="877"/>
        <v/>
      </c>
      <c r="AR1160" t="str">
        <f t="shared" si="878"/>
        <v>Home</v>
      </c>
      <c r="AS1160" t="str">
        <f t="shared" si="879"/>
        <v>h</v>
      </c>
      <c r="AT1160" t="str">
        <f t="shared" si="880"/>
        <v>Offensive</v>
      </c>
      <c r="BA1160" s="6">
        <f t="shared" si="869"/>
        <v>288</v>
      </c>
      <c r="BB1160">
        <f t="shared" si="870"/>
        <v>18981</v>
      </c>
      <c r="BC1160" t="str">
        <f t="shared" si="871"/>
        <v>Nelson</v>
      </c>
      <c r="BD1160" t="str">
        <f t="shared" si="872"/>
        <v>Velodrome</v>
      </c>
      <c r="BE1160" t="s">
        <v>5</v>
      </c>
      <c r="BF1160" t="s">
        <v>236</v>
      </c>
      <c r="BG1160" t="s">
        <v>756</v>
      </c>
      <c r="BI1160" cm="1">
        <f t="array" ref="BI1160">IFERROR(_xlfn._xlws.FILTER(shifts!A:A,(shifts!B:B=events!AD1160)*(shifts!AG:AG&gt;=events!BK1160)*(shifts!AH:AH&lt;=events!BL1160)),BI1159)</f>
        <v>55</v>
      </c>
      <c r="BJ1160" s="15">
        <f t="shared" si="873"/>
        <v>0</v>
      </c>
      <c r="BK1160">
        <f t="shared" si="881"/>
        <v>587</v>
      </c>
      <c r="BL1160">
        <f t="shared" si="882"/>
        <v>587</v>
      </c>
      <c r="BM1160" s="15">
        <f>SUMIFS(BJ$2:BJ1160,K$2:K1160,"=Intermission")+SUMIFS(BJ$2:BJ1160,K$2:K1160,"=Timeout")</f>
        <v>72</v>
      </c>
      <c r="BN1160">
        <f t="shared" si="883"/>
        <v>1152</v>
      </c>
      <c r="BO1160" s="19">
        <f t="shared" si="884"/>
        <v>1645</v>
      </c>
      <c r="BP1160">
        <f t="shared" si="885"/>
        <v>1640</v>
      </c>
      <c r="BQ1160" s="17">
        <f t="shared" si="886"/>
        <v>1645</v>
      </c>
      <c r="BR1160" t="str">
        <f t="shared" si="887"/>
        <v>event_team_player_2</v>
      </c>
      <c r="BS1160">
        <f>COUNTIFS(S$3:S1160,"="&amp;S1160,AI$3:AI1160,"="&amp;AI1160)</f>
        <v>2</v>
      </c>
      <c r="BT1160" t="str">
        <f>IFERROR(VLOOKUP(BB1160&amp;BU1160&amp;X1160,game_rosters!U:W,3,FALSE),"")</f>
        <v>P100061</v>
      </c>
      <c r="BU1160" t="str">
        <f t="shared" si="888"/>
        <v>Nelson</v>
      </c>
    </row>
    <row r="1161" spans="1:73" x14ac:dyDescent="0.2">
      <c r="A1161">
        <f t="shared" si="874"/>
        <v>1</v>
      </c>
      <c r="J1161" s="44" t="str">
        <f t="shared" si="889"/>
        <v/>
      </c>
      <c r="K1161" t="s">
        <v>5</v>
      </c>
      <c r="L1161" t="s">
        <v>236</v>
      </c>
      <c r="M1161" t="s">
        <v>756</v>
      </c>
      <c r="S1161">
        <v>628</v>
      </c>
      <c r="W1161" t="str">
        <f t="shared" si="865"/>
        <v>h</v>
      </c>
      <c r="X1161">
        <v>14</v>
      </c>
      <c r="Y1161" t="e">
        <f>IF(X1161&lt;&gt;"",VLOOKUP(X1161,game_rosters!$C$43:$E$64,3,FALSE))</f>
        <v>#N/A</v>
      </c>
      <c r="Z1161" t="str" cm="1">
        <f t="array" ref="Z1161">IFERROR(IF(_xlfn._xlws.FILTER(game_rosters!$J:$J,(game_rosters!$G:$G=events!$AN1161)*(game_rosters!$J:$J=events!$X1161))&gt;0,1,""),"")</f>
        <v/>
      </c>
      <c r="AA1161">
        <f t="shared" si="823"/>
        <v>1628</v>
      </c>
      <c r="AB1161" t="str">
        <f t="shared" si="824"/>
        <v/>
      </c>
      <c r="AC1161">
        <f t="shared" si="862"/>
        <v>1628</v>
      </c>
      <c r="AD1161" s="6">
        <v>2</v>
      </c>
      <c r="AE1161" t="s">
        <v>933</v>
      </c>
      <c r="AF1161" t="s">
        <v>900</v>
      </c>
      <c r="AG1161" t="s">
        <v>756</v>
      </c>
      <c r="AH1161" t="s">
        <v>756</v>
      </c>
      <c r="AI1161" t="s">
        <v>368</v>
      </c>
      <c r="AJ1161" t="str">
        <f t="shared" ref="AJ1161:AK1161" si="893">IF($J1161&lt;&gt;"",$J1161,IF($AC1161=$AC1160,AJ1160,""))</f>
        <v/>
      </c>
      <c r="AK1161" t="str">
        <f t="shared" si="893"/>
        <v/>
      </c>
      <c r="AL1161" t="str">
        <f t="shared" si="867"/>
        <v/>
      </c>
      <c r="AN1161" t="s">
        <v>861</v>
      </c>
      <c r="AO1161" t="str">
        <f t="shared" si="868"/>
        <v>h</v>
      </c>
      <c r="AP1161" t="str">
        <f t="shared" si="876"/>
        <v/>
      </c>
      <c r="AQ1161" t="str">
        <f t="shared" si="877"/>
        <v/>
      </c>
      <c r="AR1161" t="str">
        <f t="shared" si="878"/>
        <v>Home</v>
      </c>
      <c r="AS1161" t="str">
        <f t="shared" si="879"/>
        <v>h</v>
      </c>
      <c r="AT1161" t="str">
        <f t="shared" si="880"/>
        <v>Defensive</v>
      </c>
      <c r="BA1161" s="6">
        <f t="shared" si="869"/>
        <v>288</v>
      </c>
      <c r="BB1161">
        <f t="shared" si="870"/>
        <v>18981</v>
      </c>
      <c r="BC1161" t="str">
        <f t="shared" si="871"/>
        <v>Nelson</v>
      </c>
      <c r="BD1161" t="str">
        <f t="shared" si="872"/>
        <v>Velodrome</v>
      </c>
      <c r="BE1161" t="s">
        <v>5</v>
      </c>
      <c r="BF1161" t="s">
        <v>236</v>
      </c>
      <c r="BG1161" t="s">
        <v>756</v>
      </c>
      <c r="BI1161" cm="1">
        <f t="array" ref="BI1161">IFERROR(_xlfn._xlws.FILTER(shifts!A:A,(shifts!B:B=events!AD1161)*(shifts!AG:AG&gt;=events!BK1161)*(shifts!AH:AH&lt;=events!BL1161)),BI1160)</f>
        <v>55</v>
      </c>
      <c r="BJ1161" s="15">
        <f t="shared" si="873"/>
        <v>0</v>
      </c>
      <c r="BK1161">
        <f t="shared" si="881"/>
        <v>587</v>
      </c>
      <c r="BL1161">
        <f t="shared" si="882"/>
        <v>587</v>
      </c>
      <c r="BM1161" s="15">
        <f>SUMIFS(BJ$2:BJ1161,K$2:K1161,"=Intermission")+SUMIFS(BJ$2:BJ1161,K$2:K1161,"=Timeout")</f>
        <v>72</v>
      </c>
      <c r="BN1161">
        <f t="shared" si="883"/>
        <v>1152</v>
      </c>
      <c r="BO1161" s="19">
        <f t="shared" si="884"/>
        <v>1645</v>
      </c>
      <c r="BP1161">
        <f t="shared" si="885"/>
        <v>1640</v>
      </c>
      <c r="BQ1161" s="17">
        <f t="shared" si="886"/>
        <v>1645</v>
      </c>
      <c r="BR1161" t="str">
        <f t="shared" si="887"/>
        <v>opp_team_player_1</v>
      </c>
      <c r="BS1161">
        <f>COUNTIFS(S$3:S1161,"="&amp;S1161,AI$3:AI1161,"="&amp;AI1161)</f>
        <v>1</v>
      </c>
      <c r="BT1161" t="str">
        <f>IFERROR(VLOOKUP(BB1161&amp;BU1161&amp;X1161,game_rosters!U:W,3,FALSE),"")</f>
        <v>P100132</v>
      </c>
      <c r="BU1161" t="str">
        <f t="shared" si="888"/>
        <v>Velodrome</v>
      </c>
    </row>
    <row r="1162" spans="1:73" x14ac:dyDescent="0.2">
      <c r="A1162">
        <f t="shared" si="874"/>
        <v>1</v>
      </c>
      <c r="J1162" s="44" t="str">
        <f t="shared" si="889"/>
        <v/>
      </c>
      <c r="K1162" t="s">
        <v>230</v>
      </c>
      <c r="L1162" t="s">
        <v>388</v>
      </c>
      <c r="M1162" t="s">
        <v>431</v>
      </c>
      <c r="S1162">
        <v>629</v>
      </c>
      <c r="W1162" t="str">
        <f t="shared" si="865"/>
        <v>h</v>
      </c>
      <c r="X1162">
        <v>23</v>
      </c>
      <c r="Y1162" t="b">
        <f>IF(X1162&lt;&gt;"",VLOOKUP(X1162,game_rosters!$C$43:$E$64,3,FALSE))</f>
        <v>0</v>
      </c>
      <c r="Z1162" cm="1">
        <f t="array" ref="Z1162">IFERROR(IF(_xlfn._xlws.FILTER(game_rosters!$J:$J,(game_rosters!$G:$G=events!$AN1162)*(game_rosters!$J:$J=events!$X1162))&gt;0,1,""),"")</f>
        <v>1</v>
      </c>
      <c r="AA1162">
        <f t="shared" si="823"/>
        <v>1629</v>
      </c>
      <c r="AB1162" t="str">
        <f t="shared" si="824"/>
        <v/>
      </c>
      <c r="AC1162">
        <f t="shared" si="862"/>
        <v>1629</v>
      </c>
      <c r="AD1162" s="6">
        <v>2</v>
      </c>
      <c r="AE1162" t="s">
        <v>933</v>
      </c>
      <c r="AF1162" t="s">
        <v>935</v>
      </c>
      <c r="AG1162" t="s">
        <v>756</v>
      </c>
      <c r="AH1162" t="s">
        <v>756</v>
      </c>
      <c r="AI1162" t="s">
        <v>367</v>
      </c>
      <c r="AJ1162" t="str">
        <f t="shared" ref="AJ1162:AK1162" si="894">IF($J1162&lt;&gt;"",$J1162,IF($AC1162=$AC1161,AJ1161,""))</f>
        <v/>
      </c>
      <c r="AK1162" t="str">
        <f t="shared" si="894"/>
        <v/>
      </c>
      <c r="AL1162" t="str">
        <f t="shared" si="867"/>
        <v/>
      </c>
      <c r="AN1162" t="s">
        <v>861</v>
      </c>
      <c r="AO1162" t="str">
        <f t="shared" si="868"/>
        <v>h</v>
      </c>
      <c r="AP1162" t="str">
        <f t="shared" si="876"/>
        <v/>
      </c>
      <c r="AQ1162" t="str">
        <f t="shared" si="877"/>
        <v/>
      </c>
      <c r="AR1162" t="str">
        <f t="shared" si="878"/>
        <v>Home</v>
      </c>
      <c r="AS1162" t="str">
        <f t="shared" si="879"/>
        <v>h</v>
      </c>
      <c r="AT1162" t="str">
        <f t="shared" si="880"/>
        <v>Offensive</v>
      </c>
      <c r="BA1162" s="6">
        <f t="shared" si="869"/>
        <v>288</v>
      </c>
      <c r="BB1162">
        <f t="shared" si="870"/>
        <v>18981</v>
      </c>
      <c r="BC1162" t="str">
        <f t="shared" si="871"/>
        <v>Nelson</v>
      </c>
      <c r="BD1162" t="str">
        <f t="shared" si="872"/>
        <v>Velodrome</v>
      </c>
      <c r="BE1162" t="s">
        <v>230</v>
      </c>
      <c r="BF1162" t="s">
        <v>388</v>
      </c>
      <c r="BG1162" t="s">
        <v>431</v>
      </c>
      <c r="BI1162" cm="1">
        <f t="array" ref="BI1162">IFERROR(_xlfn._xlws.FILTER(shifts!A:A,(shifts!B:B=events!AD1162)*(shifts!AG:AG&gt;=events!BK1162)*(shifts!AH:AH&lt;=events!BL1162)),BI1161)</f>
        <v>55</v>
      </c>
      <c r="BJ1162" s="15">
        <f t="shared" si="873"/>
        <v>0</v>
      </c>
      <c r="BK1162">
        <f t="shared" si="881"/>
        <v>585</v>
      </c>
      <c r="BL1162">
        <f t="shared" si="882"/>
        <v>585</v>
      </c>
      <c r="BM1162" s="15">
        <f>SUMIFS(BJ$2:BJ1162,K$2:K1162,"=Intermission")+SUMIFS(BJ$2:BJ1162,K$2:K1162,"=Timeout")</f>
        <v>72</v>
      </c>
      <c r="BN1162">
        <f t="shared" si="883"/>
        <v>1152</v>
      </c>
      <c r="BO1162" s="19">
        <f t="shared" si="884"/>
        <v>1647</v>
      </c>
      <c r="BP1162">
        <f t="shared" si="885"/>
        <v>1642</v>
      </c>
      <c r="BQ1162" s="17">
        <f t="shared" si="886"/>
        <v>1647</v>
      </c>
      <c r="BR1162" t="str">
        <f t="shared" si="887"/>
        <v>event_team_player_1</v>
      </c>
      <c r="BS1162">
        <f>COUNTIFS(S$3:S1162,"="&amp;S1162,AI$3:AI1162,"="&amp;AI1162)</f>
        <v>1</v>
      </c>
      <c r="BT1162" t="str">
        <f>IFERROR(VLOOKUP(BB1162&amp;BU1162&amp;X1162,game_rosters!U:W,3,FALSE),"")</f>
        <v>P100061</v>
      </c>
      <c r="BU1162" t="str">
        <f t="shared" si="888"/>
        <v>Nelson</v>
      </c>
    </row>
    <row r="1163" spans="1:73" x14ac:dyDescent="0.2">
      <c r="A1163">
        <f t="shared" si="874"/>
        <v>1</v>
      </c>
      <c r="J1163" s="44" t="str">
        <f t="shared" si="889"/>
        <v/>
      </c>
      <c r="K1163" t="s">
        <v>13</v>
      </c>
      <c r="L1163" t="s">
        <v>756</v>
      </c>
      <c r="M1163" t="s">
        <v>756</v>
      </c>
      <c r="S1163">
        <v>630</v>
      </c>
      <c r="W1163" t="str">
        <f t="shared" si="865"/>
        <v>h</v>
      </c>
      <c r="X1163">
        <v>16</v>
      </c>
      <c r="Y1163" t="b">
        <f>IF(X1163&lt;&gt;"",VLOOKUP(X1163,game_rosters!$C$43:$E$64,3,FALSE))</f>
        <v>0</v>
      </c>
      <c r="Z1163" cm="1">
        <f t="array" ref="Z1163">IFERROR(IF(_xlfn._xlws.FILTER(game_rosters!$J:$J,(game_rosters!$G:$G=events!$AN1163)*(game_rosters!$J:$J=events!$X1163))&gt;0,1,""),"")</f>
        <v>1</v>
      </c>
      <c r="AA1163">
        <f t="shared" si="823"/>
        <v>1630</v>
      </c>
      <c r="AB1163" t="str">
        <f t="shared" si="824"/>
        <v/>
      </c>
      <c r="AC1163">
        <f t="shared" si="862"/>
        <v>1630</v>
      </c>
      <c r="AD1163" s="6">
        <v>2</v>
      </c>
      <c r="AE1163" t="s">
        <v>933</v>
      </c>
      <c r="AF1163" t="s">
        <v>749</v>
      </c>
      <c r="AG1163" t="s">
        <v>933</v>
      </c>
      <c r="AH1163" t="s">
        <v>750</v>
      </c>
      <c r="AI1163" t="s">
        <v>367</v>
      </c>
      <c r="AJ1163" t="str">
        <f t="shared" ref="AJ1163:AK1163" si="895">IF($J1163&lt;&gt;"",$J1163,IF($AC1163=$AC1162,AJ1162,""))</f>
        <v/>
      </c>
      <c r="AK1163" t="str">
        <f t="shared" si="895"/>
        <v/>
      </c>
      <c r="AL1163" t="str">
        <f t="shared" si="867"/>
        <v/>
      </c>
      <c r="AN1163" t="s">
        <v>861</v>
      </c>
      <c r="AO1163" t="str">
        <f t="shared" si="868"/>
        <v>h</v>
      </c>
      <c r="AP1163" t="str">
        <f t="shared" si="876"/>
        <v/>
      </c>
      <c r="AQ1163" t="str">
        <f t="shared" si="877"/>
        <v/>
      </c>
      <c r="AR1163" t="str">
        <f t="shared" si="878"/>
        <v>Home</v>
      </c>
      <c r="AS1163" t="str">
        <f t="shared" si="879"/>
        <v>h</v>
      </c>
      <c r="AT1163" t="str">
        <f t="shared" si="880"/>
        <v>Offensive</v>
      </c>
      <c r="BA1163" s="6">
        <f t="shared" si="869"/>
        <v>288</v>
      </c>
      <c r="BB1163">
        <f t="shared" si="870"/>
        <v>18981</v>
      </c>
      <c r="BC1163" t="str">
        <f t="shared" si="871"/>
        <v>Nelson</v>
      </c>
      <c r="BD1163" t="str">
        <f t="shared" si="872"/>
        <v>Velodrome</v>
      </c>
      <c r="BE1163" t="s">
        <v>13</v>
      </c>
      <c r="BF1163" t="s">
        <v>756</v>
      </c>
      <c r="BG1163" t="s">
        <v>756</v>
      </c>
      <c r="BI1163" cm="1">
        <f t="array" ref="BI1163">IFERROR(_xlfn._xlws.FILTER(shifts!A:A,(shifts!B:B=events!AD1163)*(shifts!AG:AG&gt;=events!BK1163)*(shifts!AH:AH&lt;=events!BL1163)),BI1162)</f>
        <v>55</v>
      </c>
      <c r="BJ1163" s="15">
        <f t="shared" si="873"/>
        <v>4</v>
      </c>
      <c r="BK1163">
        <f t="shared" si="881"/>
        <v>579</v>
      </c>
      <c r="BL1163">
        <f t="shared" si="882"/>
        <v>575</v>
      </c>
      <c r="BM1163" s="15">
        <f>SUMIFS(BJ$2:BJ1163,K$2:K1163,"=Intermission")+SUMIFS(BJ$2:BJ1163,K$2:K1163,"=Timeout")</f>
        <v>72</v>
      </c>
      <c r="BN1163">
        <f t="shared" si="883"/>
        <v>1152</v>
      </c>
      <c r="BO1163" s="19">
        <f t="shared" si="884"/>
        <v>1653</v>
      </c>
      <c r="BP1163">
        <f t="shared" si="885"/>
        <v>1648</v>
      </c>
      <c r="BQ1163" s="17">
        <f t="shared" si="886"/>
        <v>1657</v>
      </c>
      <c r="BR1163" t="str">
        <f t="shared" si="887"/>
        <v>event_team_player_1</v>
      </c>
      <c r="BS1163">
        <f>COUNTIFS(S$3:S1163,"="&amp;S1163,AI$3:AI1163,"="&amp;AI1163)</f>
        <v>1</v>
      </c>
      <c r="BT1163" t="str">
        <f>IFERROR(VLOOKUP(BB1163&amp;BU1163&amp;X1163,game_rosters!U:W,3,FALSE),"")</f>
        <v>P100164</v>
      </c>
      <c r="BU1163" t="str">
        <f t="shared" si="888"/>
        <v>Nelson</v>
      </c>
    </row>
    <row r="1164" spans="1:73" x14ac:dyDescent="0.2">
      <c r="A1164">
        <f t="shared" si="874"/>
        <v>1</v>
      </c>
      <c r="J1164" s="44" t="str">
        <f t="shared" si="889"/>
        <v/>
      </c>
      <c r="K1164" t="s">
        <v>13</v>
      </c>
      <c r="L1164" t="s">
        <v>756</v>
      </c>
      <c r="M1164" t="s">
        <v>756</v>
      </c>
      <c r="S1164">
        <v>630</v>
      </c>
      <c r="W1164" t="str">
        <f t="shared" si="865"/>
        <v>h</v>
      </c>
      <c r="X1164">
        <v>52</v>
      </c>
      <c r="Y1164" t="e">
        <f>IF(X1164&lt;&gt;"",VLOOKUP(X1164,game_rosters!$C$43:$E$64,3,FALSE))</f>
        <v>#N/A</v>
      </c>
      <c r="Z1164" t="str" cm="1">
        <f t="array" ref="Z1164">IFERROR(IF(_xlfn._xlws.FILTER(game_rosters!$J:$J,(game_rosters!$G:$G=events!$AN1164)*(game_rosters!$J:$J=events!$X1164))&gt;0,1,""),"")</f>
        <v/>
      </c>
      <c r="AA1164">
        <f t="shared" si="823"/>
        <v>1630</v>
      </c>
      <c r="AB1164" t="str">
        <f t="shared" si="824"/>
        <v/>
      </c>
      <c r="AC1164">
        <f t="shared" si="862"/>
        <v>1630</v>
      </c>
      <c r="AD1164" s="6">
        <v>2</v>
      </c>
      <c r="AE1164" t="s">
        <v>933</v>
      </c>
      <c r="AF1164" t="s">
        <v>749</v>
      </c>
      <c r="AG1164" t="s">
        <v>933</v>
      </c>
      <c r="AH1164" t="s">
        <v>750</v>
      </c>
      <c r="AI1164" t="s">
        <v>368</v>
      </c>
      <c r="AJ1164" t="str">
        <f t="shared" ref="AJ1164:AK1164" si="896">IF($J1164&lt;&gt;"",$J1164,IF($AC1164=$AC1163,AJ1163,""))</f>
        <v/>
      </c>
      <c r="AK1164" t="str">
        <f t="shared" si="896"/>
        <v/>
      </c>
      <c r="AL1164" t="str">
        <f t="shared" si="867"/>
        <v/>
      </c>
      <c r="AN1164" t="s">
        <v>861</v>
      </c>
      <c r="AO1164" t="str">
        <f t="shared" si="868"/>
        <v>h</v>
      </c>
      <c r="AP1164" t="str">
        <f t="shared" si="876"/>
        <v/>
      </c>
      <c r="AQ1164" t="str">
        <f t="shared" si="877"/>
        <v/>
      </c>
      <c r="AR1164" t="str">
        <f t="shared" si="878"/>
        <v>Home</v>
      </c>
      <c r="AS1164" t="str">
        <f t="shared" si="879"/>
        <v>h</v>
      </c>
      <c r="AT1164" t="str">
        <f t="shared" si="880"/>
        <v>Defensive</v>
      </c>
      <c r="BA1164" s="6">
        <f t="shared" si="869"/>
        <v>288</v>
      </c>
      <c r="BB1164">
        <f t="shared" si="870"/>
        <v>18981</v>
      </c>
      <c r="BC1164" t="str">
        <f t="shared" si="871"/>
        <v>Nelson</v>
      </c>
      <c r="BD1164" t="str">
        <f t="shared" si="872"/>
        <v>Velodrome</v>
      </c>
      <c r="BE1164" t="s">
        <v>13</v>
      </c>
      <c r="BF1164" t="s">
        <v>756</v>
      </c>
      <c r="BG1164" t="s">
        <v>756</v>
      </c>
      <c r="BI1164" cm="1">
        <f t="array" ref="BI1164">IFERROR(_xlfn._xlws.FILTER(shifts!A:A,(shifts!B:B=events!AD1164)*(shifts!AG:AG&gt;=events!BK1164)*(shifts!AH:AH&lt;=events!BL1164)),BI1163)</f>
        <v>55</v>
      </c>
      <c r="BJ1164" s="15">
        <f t="shared" si="873"/>
        <v>4</v>
      </c>
      <c r="BK1164">
        <f t="shared" si="881"/>
        <v>579</v>
      </c>
      <c r="BL1164">
        <f t="shared" si="882"/>
        <v>575</v>
      </c>
      <c r="BM1164" s="15">
        <f>SUMIFS(BJ$2:BJ1164,K$2:K1164,"=Intermission")+SUMIFS(BJ$2:BJ1164,K$2:K1164,"=Timeout")</f>
        <v>72</v>
      </c>
      <c r="BN1164">
        <f t="shared" si="883"/>
        <v>1152</v>
      </c>
      <c r="BO1164" s="19">
        <f t="shared" si="884"/>
        <v>1653</v>
      </c>
      <c r="BP1164">
        <f t="shared" si="885"/>
        <v>1648</v>
      </c>
      <c r="BQ1164" s="17">
        <f t="shared" si="886"/>
        <v>1657</v>
      </c>
      <c r="BR1164" t="str">
        <f t="shared" si="887"/>
        <v>opp_team_player_1</v>
      </c>
      <c r="BS1164">
        <f>COUNTIFS(S$3:S1164,"="&amp;S1164,AI$3:AI1164,"="&amp;AI1164)</f>
        <v>1</v>
      </c>
      <c r="BT1164" t="str">
        <f>IFERROR(VLOOKUP(BB1164&amp;BU1164&amp;X1164,game_rosters!U:W,3,FALSE),"")</f>
        <v>P100070</v>
      </c>
      <c r="BU1164" t="str">
        <f t="shared" si="888"/>
        <v>Velodrome</v>
      </c>
    </row>
    <row r="1165" spans="1:73" x14ac:dyDescent="0.2">
      <c r="A1165">
        <f t="shared" si="874"/>
        <v>1</v>
      </c>
      <c r="J1165" s="44" t="str">
        <f t="shared" si="889"/>
        <v>o</v>
      </c>
      <c r="K1165" t="s">
        <v>6</v>
      </c>
      <c r="L1165" t="s">
        <v>205</v>
      </c>
      <c r="M1165" t="s">
        <v>56</v>
      </c>
      <c r="S1165">
        <v>631</v>
      </c>
      <c r="W1165" t="str">
        <f t="shared" si="865"/>
        <v>h</v>
      </c>
      <c r="X1165">
        <v>16</v>
      </c>
      <c r="Y1165" t="b">
        <f>IF(X1165&lt;&gt;"",VLOOKUP(X1165,game_rosters!$C$43:$E$64,3,FALSE))</f>
        <v>0</v>
      </c>
      <c r="Z1165" cm="1">
        <f t="array" ref="Z1165">IFERROR(IF(_xlfn._xlws.FILTER(game_rosters!$J:$J,(game_rosters!$G:$G=events!$AN1165)*(game_rosters!$J:$J=events!$X1165))&gt;0,1,""),"")</f>
        <v>1</v>
      </c>
      <c r="AA1165">
        <f t="shared" si="823"/>
        <v>1631</v>
      </c>
      <c r="AB1165" t="str">
        <f t="shared" si="824"/>
        <v/>
      </c>
      <c r="AC1165">
        <f t="shared" si="862"/>
        <v>1631</v>
      </c>
      <c r="AD1165" s="6">
        <v>2</v>
      </c>
      <c r="AE1165" t="s">
        <v>933</v>
      </c>
      <c r="AF1165" t="s">
        <v>750</v>
      </c>
      <c r="AG1165" t="s">
        <v>756</v>
      </c>
      <c r="AH1165" t="s">
        <v>756</v>
      </c>
      <c r="AI1165" t="s">
        <v>367</v>
      </c>
      <c r="AJ1165" t="str">
        <f t="shared" ref="AJ1165:AK1165" si="897">IF($J1165&lt;&gt;"",$J1165,IF($AC1165=$AC1164,AJ1164,""))</f>
        <v>o</v>
      </c>
      <c r="AK1165" t="str">
        <f t="shared" si="897"/>
        <v>o</v>
      </c>
      <c r="AL1165" t="str">
        <f t="shared" si="867"/>
        <v>o</v>
      </c>
      <c r="AN1165" t="s">
        <v>861</v>
      </c>
      <c r="AO1165" t="str">
        <f t="shared" si="868"/>
        <v>h</v>
      </c>
      <c r="AP1165" t="str">
        <f t="shared" si="876"/>
        <v>o</v>
      </c>
      <c r="AQ1165" t="str">
        <f t="shared" si="877"/>
        <v/>
      </c>
      <c r="AR1165" t="str">
        <f t="shared" si="878"/>
        <v>Home</v>
      </c>
      <c r="AS1165" t="str">
        <f t="shared" si="879"/>
        <v>h</v>
      </c>
      <c r="AT1165" t="str">
        <f t="shared" si="880"/>
        <v>Offensive</v>
      </c>
      <c r="BA1165" s="6">
        <f t="shared" si="869"/>
        <v>288</v>
      </c>
      <c r="BB1165">
        <f t="shared" si="870"/>
        <v>18981</v>
      </c>
      <c r="BC1165" t="str">
        <f t="shared" si="871"/>
        <v>Nelson</v>
      </c>
      <c r="BD1165" t="str">
        <f t="shared" si="872"/>
        <v>Velodrome</v>
      </c>
      <c r="BE1165" t="s">
        <v>6</v>
      </c>
      <c r="BF1165" t="s">
        <v>205</v>
      </c>
      <c r="BG1165" t="s">
        <v>56</v>
      </c>
      <c r="BI1165" cm="1">
        <f t="array" ref="BI1165">IFERROR(_xlfn._xlws.FILTER(shifts!A:A,(shifts!B:B=events!AD1165)*(shifts!AG:AG&gt;=events!BK1165)*(shifts!AH:AH&lt;=events!BL1165)),BI1164)</f>
        <v>55</v>
      </c>
      <c r="BJ1165" s="15">
        <f t="shared" si="873"/>
        <v>0</v>
      </c>
      <c r="BK1165">
        <f t="shared" si="881"/>
        <v>575</v>
      </c>
      <c r="BL1165">
        <f t="shared" si="882"/>
        <v>575</v>
      </c>
      <c r="BM1165" s="15">
        <f>SUMIFS(BJ$2:BJ1165,K$2:K1165,"=Intermission")+SUMIFS(BJ$2:BJ1165,K$2:K1165,"=Timeout")</f>
        <v>72</v>
      </c>
      <c r="BN1165">
        <f t="shared" si="883"/>
        <v>1152</v>
      </c>
      <c r="BO1165" s="19">
        <f t="shared" si="884"/>
        <v>1657</v>
      </c>
      <c r="BP1165">
        <f t="shared" si="885"/>
        <v>1652</v>
      </c>
      <c r="BQ1165" s="17">
        <f t="shared" si="886"/>
        <v>1657</v>
      </c>
      <c r="BR1165" t="str">
        <f t="shared" si="887"/>
        <v>event_team_player_1</v>
      </c>
      <c r="BS1165">
        <f>COUNTIFS(S$3:S1165,"="&amp;S1165,AI$3:AI1165,"="&amp;AI1165)</f>
        <v>1</v>
      </c>
      <c r="BT1165" t="str">
        <f>IFERROR(VLOOKUP(BB1165&amp;BU1165&amp;X1165,game_rosters!U:W,3,FALSE),"")</f>
        <v>P100164</v>
      </c>
      <c r="BU1165" t="str">
        <f t="shared" si="888"/>
        <v>Nelson</v>
      </c>
    </row>
    <row r="1166" spans="1:73" x14ac:dyDescent="0.2">
      <c r="A1166">
        <f t="shared" si="874"/>
        <v>1</v>
      </c>
      <c r="J1166" s="44" t="str">
        <f t="shared" si="889"/>
        <v>o</v>
      </c>
      <c r="K1166" t="s">
        <v>6</v>
      </c>
      <c r="L1166" t="s">
        <v>205</v>
      </c>
      <c r="M1166" t="s">
        <v>56</v>
      </c>
      <c r="S1166">
        <v>631</v>
      </c>
      <c r="W1166" t="str">
        <f t="shared" si="865"/>
        <v>h</v>
      </c>
      <c r="X1166">
        <v>39</v>
      </c>
      <c r="Y1166" t="e">
        <f>IF(X1166&lt;&gt;"",VLOOKUP(X1166,game_rosters!$C$43:$E$64,3,FALSE))</f>
        <v>#N/A</v>
      </c>
      <c r="Z1166" t="str" cm="1">
        <f t="array" ref="Z1166">IFERROR(IF(_xlfn._xlws.FILTER(game_rosters!$J:$J,(game_rosters!$G:$G=events!$AN1166)*(game_rosters!$J:$J=events!$X1166))&gt;0,1,""),"")</f>
        <v/>
      </c>
      <c r="AA1166">
        <f t="shared" si="823"/>
        <v>1631</v>
      </c>
      <c r="AB1166" t="str">
        <f t="shared" si="824"/>
        <v/>
      </c>
      <c r="AC1166">
        <f t="shared" si="862"/>
        <v>1631</v>
      </c>
      <c r="AD1166" s="6">
        <v>2</v>
      </c>
      <c r="AE1166" t="s">
        <v>933</v>
      </c>
      <c r="AF1166" t="s">
        <v>750</v>
      </c>
      <c r="AG1166" t="s">
        <v>756</v>
      </c>
      <c r="AH1166" t="s">
        <v>756</v>
      </c>
      <c r="AI1166" t="s">
        <v>368</v>
      </c>
      <c r="AJ1166" t="str">
        <f t="shared" ref="AJ1166:AK1166" si="898">IF($J1166&lt;&gt;"",$J1166,IF($AC1166=$AC1165,AJ1165,""))</f>
        <v>o</v>
      </c>
      <c r="AK1166" t="str">
        <f t="shared" si="898"/>
        <v>o</v>
      </c>
      <c r="AL1166" t="str">
        <f t="shared" si="867"/>
        <v>o</v>
      </c>
      <c r="AN1166" t="s">
        <v>861</v>
      </c>
      <c r="AO1166" t="str">
        <f t="shared" si="868"/>
        <v>h</v>
      </c>
      <c r="AP1166" t="str">
        <f t="shared" si="876"/>
        <v>o</v>
      </c>
      <c r="AQ1166" t="str">
        <f t="shared" si="877"/>
        <v/>
      </c>
      <c r="AR1166" t="str">
        <f t="shared" si="878"/>
        <v>Home</v>
      </c>
      <c r="AS1166" t="str">
        <f t="shared" si="879"/>
        <v>h</v>
      </c>
      <c r="AT1166" t="str">
        <f t="shared" si="880"/>
        <v>Defensive</v>
      </c>
      <c r="BA1166" s="6">
        <f t="shared" si="869"/>
        <v>288</v>
      </c>
      <c r="BB1166">
        <f t="shared" si="870"/>
        <v>18981</v>
      </c>
      <c r="BC1166" t="str">
        <f t="shared" si="871"/>
        <v>Nelson</v>
      </c>
      <c r="BD1166" t="str">
        <f t="shared" si="872"/>
        <v>Velodrome</v>
      </c>
      <c r="BE1166" t="s">
        <v>6</v>
      </c>
      <c r="BF1166" t="s">
        <v>205</v>
      </c>
      <c r="BG1166" t="s">
        <v>56</v>
      </c>
      <c r="BI1166" cm="1">
        <f t="array" ref="BI1166">IFERROR(_xlfn._xlws.FILTER(shifts!A:A,(shifts!B:B=events!AD1166)*(shifts!AG:AG&gt;=events!BK1166)*(shifts!AH:AH&lt;=events!BL1166)),BI1165)</f>
        <v>55</v>
      </c>
      <c r="BJ1166" s="15">
        <f t="shared" si="873"/>
        <v>0</v>
      </c>
      <c r="BK1166">
        <f t="shared" si="881"/>
        <v>575</v>
      </c>
      <c r="BL1166">
        <f t="shared" si="882"/>
        <v>575</v>
      </c>
      <c r="BM1166" s="15">
        <f>SUMIFS(BJ$2:BJ1166,K$2:K1166,"=Intermission")+SUMIFS(BJ$2:BJ1166,K$2:K1166,"=Timeout")</f>
        <v>72</v>
      </c>
      <c r="BN1166">
        <f t="shared" si="883"/>
        <v>1152</v>
      </c>
      <c r="BO1166" s="19">
        <f t="shared" si="884"/>
        <v>1657</v>
      </c>
      <c r="BP1166">
        <f t="shared" si="885"/>
        <v>1652</v>
      </c>
      <c r="BQ1166" s="17">
        <f t="shared" si="886"/>
        <v>1657</v>
      </c>
      <c r="BR1166" t="str">
        <f t="shared" si="887"/>
        <v>opp_team_player_1</v>
      </c>
      <c r="BS1166">
        <f>COUNTIFS(S$3:S1166,"="&amp;S1166,AI$3:AI1166,"="&amp;AI1166)</f>
        <v>1</v>
      </c>
      <c r="BT1166" t="str">
        <f>IFERROR(VLOOKUP(BB1166&amp;BU1166&amp;X1166,game_rosters!U:W,3,FALSE),"")</f>
        <v>P100016</v>
      </c>
      <c r="BU1166" t="str">
        <f t="shared" si="888"/>
        <v>Velodrome</v>
      </c>
    </row>
    <row r="1167" spans="1:73" x14ac:dyDescent="0.2">
      <c r="A1167">
        <f t="shared" si="874"/>
        <v>1</v>
      </c>
      <c r="J1167" s="44" t="str">
        <f t="shared" si="889"/>
        <v>o</v>
      </c>
      <c r="K1167" t="s">
        <v>6</v>
      </c>
      <c r="L1167" t="s">
        <v>205</v>
      </c>
      <c r="M1167" t="s">
        <v>56</v>
      </c>
      <c r="S1167">
        <v>631</v>
      </c>
      <c r="W1167" t="str">
        <f t="shared" si="865"/>
        <v>h</v>
      </c>
      <c r="X1167">
        <v>52</v>
      </c>
      <c r="Y1167" t="e">
        <f>IF(X1167&lt;&gt;"",VLOOKUP(X1167,game_rosters!$C$43:$E$64,3,FALSE))</f>
        <v>#N/A</v>
      </c>
      <c r="Z1167" t="str" cm="1">
        <f t="array" ref="Z1167">IFERROR(IF(_xlfn._xlws.FILTER(game_rosters!$J:$J,(game_rosters!$G:$G=events!$AN1167)*(game_rosters!$J:$J=events!$X1167))&gt;0,1,""),"")</f>
        <v/>
      </c>
      <c r="AA1167">
        <f t="shared" si="823"/>
        <v>1631</v>
      </c>
      <c r="AB1167" t="str">
        <f t="shared" si="824"/>
        <v/>
      </c>
      <c r="AC1167">
        <f t="shared" si="862"/>
        <v>1631</v>
      </c>
      <c r="AD1167" s="6">
        <v>2</v>
      </c>
      <c r="AE1167" t="s">
        <v>933</v>
      </c>
      <c r="AF1167" t="s">
        <v>750</v>
      </c>
      <c r="AG1167" t="s">
        <v>756</v>
      </c>
      <c r="AH1167" t="s">
        <v>756</v>
      </c>
      <c r="AI1167" t="s">
        <v>368</v>
      </c>
      <c r="AJ1167" t="str">
        <f t="shared" ref="AJ1167:AK1167" si="899">IF($J1167&lt;&gt;"",$J1167,IF($AC1167=$AC1166,AJ1166,""))</f>
        <v>o</v>
      </c>
      <c r="AK1167" t="str">
        <f t="shared" si="899"/>
        <v>o</v>
      </c>
      <c r="AL1167" t="str">
        <f t="shared" si="867"/>
        <v>o</v>
      </c>
      <c r="AN1167" t="s">
        <v>861</v>
      </c>
      <c r="AO1167" t="str">
        <f t="shared" si="868"/>
        <v>h</v>
      </c>
      <c r="AP1167" t="str">
        <f t="shared" si="876"/>
        <v>o</v>
      </c>
      <c r="AQ1167" t="str">
        <f t="shared" si="877"/>
        <v/>
      </c>
      <c r="AR1167" t="str">
        <f t="shared" si="878"/>
        <v>Home</v>
      </c>
      <c r="AS1167" t="str">
        <f t="shared" si="879"/>
        <v>h</v>
      </c>
      <c r="AT1167" t="str">
        <f t="shared" si="880"/>
        <v>Defensive</v>
      </c>
      <c r="BA1167" s="6">
        <f t="shared" si="869"/>
        <v>288</v>
      </c>
      <c r="BB1167">
        <f t="shared" si="870"/>
        <v>18981</v>
      </c>
      <c r="BC1167" t="str">
        <f t="shared" si="871"/>
        <v>Nelson</v>
      </c>
      <c r="BD1167" t="str">
        <f t="shared" si="872"/>
        <v>Velodrome</v>
      </c>
      <c r="BE1167" t="s">
        <v>6</v>
      </c>
      <c r="BF1167" t="s">
        <v>205</v>
      </c>
      <c r="BG1167" t="s">
        <v>56</v>
      </c>
      <c r="BI1167" cm="1">
        <f t="array" ref="BI1167">IFERROR(_xlfn._xlws.FILTER(shifts!A:A,(shifts!B:B=events!AD1167)*(shifts!AG:AG&gt;=events!BK1167)*(shifts!AH:AH&lt;=events!BL1167)),BI1166)</f>
        <v>55</v>
      </c>
      <c r="BJ1167" s="15">
        <f t="shared" si="873"/>
        <v>0</v>
      </c>
      <c r="BK1167">
        <f t="shared" si="881"/>
        <v>575</v>
      </c>
      <c r="BL1167">
        <f t="shared" si="882"/>
        <v>575</v>
      </c>
      <c r="BM1167" s="15">
        <f>SUMIFS(BJ$2:BJ1167,K$2:K1167,"=Intermission")+SUMIFS(BJ$2:BJ1167,K$2:K1167,"=Timeout")</f>
        <v>72</v>
      </c>
      <c r="BN1167">
        <f t="shared" si="883"/>
        <v>1152</v>
      </c>
      <c r="BO1167" s="19">
        <f t="shared" si="884"/>
        <v>1657</v>
      </c>
      <c r="BP1167">
        <f t="shared" si="885"/>
        <v>1652</v>
      </c>
      <c r="BQ1167" s="17">
        <f t="shared" si="886"/>
        <v>1657</v>
      </c>
      <c r="BR1167" t="str">
        <f t="shared" si="887"/>
        <v>opp_team_player_2</v>
      </c>
      <c r="BS1167">
        <f>COUNTIFS(S$3:S1167,"="&amp;S1167,AI$3:AI1167,"="&amp;AI1167)</f>
        <v>2</v>
      </c>
      <c r="BT1167" t="str">
        <f>IFERROR(VLOOKUP(BB1167&amp;BU1167&amp;X1167,game_rosters!U:W,3,FALSE),"")</f>
        <v>P100070</v>
      </c>
      <c r="BU1167" t="str">
        <f t="shared" si="888"/>
        <v>Velodrome</v>
      </c>
    </row>
    <row r="1168" spans="1:73" x14ac:dyDescent="0.2">
      <c r="A1168">
        <f t="shared" si="874"/>
        <v>1</v>
      </c>
      <c r="J1168" s="44" t="str">
        <f t="shared" si="889"/>
        <v>d</v>
      </c>
      <c r="K1168" t="s">
        <v>15</v>
      </c>
      <c r="L1168" t="s">
        <v>179</v>
      </c>
      <c r="M1168" t="s">
        <v>443</v>
      </c>
      <c r="S1168">
        <v>632</v>
      </c>
      <c r="W1168" t="str">
        <f t="shared" si="865"/>
        <v>a</v>
      </c>
      <c r="X1168">
        <v>39</v>
      </c>
      <c r="Y1168" t="e">
        <f>IF(X1168&lt;&gt;"",VLOOKUP(X1168,game_rosters!$C$43:$E$64,3,FALSE))</f>
        <v>#N/A</v>
      </c>
      <c r="Z1168" cm="1">
        <f t="array" ref="Z1168">IFERROR(IF(_xlfn._xlws.FILTER(game_rosters!$J:$J,(game_rosters!$G:$G=events!$AN1168)*(game_rosters!$J:$J=events!$X1168))&gt;0,1,""),"")</f>
        <v>1</v>
      </c>
      <c r="AA1168">
        <f t="shared" si="823"/>
        <v>1632</v>
      </c>
      <c r="AB1168" t="str">
        <f t="shared" si="824"/>
        <v/>
      </c>
      <c r="AC1168">
        <f t="shared" si="862"/>
        <v>1632</v>
      </c>
      <c r="AD1168" s="6">
        <v>2</v>
      </c>
      <c r="AE1168" t="s">
        <v>933</v>
      </c>
      <c r="AF1168" t="s">
        <v>750</v>
      </c>
      <c r="AG1168" t="s">
        <v>756</v>
      </c>
      <c r="AH1168" t="s">
        <v>756</v>
      </c>
      <c r="AI1168" t="s">
        <v>367</v>
      </c>
      <c r="AJ1168" t="str">
        <f t="shared" ref="AJ1168:AK1168" si="900">IF($J1168&lt;&gt;"",$J1168,IF($AC1168=$AC1167,AJ1167,""))</f>
        <v>d</v>
      </c>
      <c r="AK1168" t="str">
        <f t="shared" si="900"/>
        <v>d</v>
      </c>
      <c r="AL1168" t="str">
        <f t="shared" si="867"/>
        <v>o</v>
      </c>
      <c r="AN1168" t="s">
        <v>862</v>
      </c>
      <c r="AO1168" t="str">
        <f t="shared" si="868"/>
        <v>a</v>
      </c>
      <c r="AP1168" t="str">
        <f t="shared" si="876"/>
        <v>o</v>
      </c>
      <c r="AQ1168" t="str">
        <f t="shared" si="877"/>
        <v/>
      </c>
      <c r="AR1168" t="str">
        <f t="shared" si="878"/>
        <v>Away</v>
      </c>
      <c r="AS1168" t="str">
        <f t="shared" si="879"/>
        <v>a</v>
      </c>
      <c r="AT1168" t="str">
        <f t="shared" si="880"/>
        <v>Defensive</v>
      </c>
      <c r="BA1168" s="6">
        <f t="shared" si="869"/>
        <v>288</v>
      </c>
      <c r="BB1168">
        <f t="shared" si="870"/>
        <v>18981</v>
      </c>
      <c r="BC1168" t="str">
        <f t="shared" si="871"/>
        <v>Nelson</v>
      </c>
      <c r="BD1168" t="str">
        <f t="shared" si="872"/>
        <v>Velodrome</v>
      </c>
      <c r="BE1168" t="s">
        <v>15</v>
      </c>
      <c r="BF1168" t="s">
        <v>179</v>
      </c>
      <c r="BG1168" t="s">
        <v>443</v>
      </c>
      <c r="BI1168" cm="1">
        <f t="array" ref="BI1168">IFERROR(_xlfn._xlws.FILTER(shifts!A:A,(shifts!B:B=events!AD1168)*(shifts!AG:AG&gt;=events!BK1168)*(shifts!AH:AH&lt;=events!BL1168)),BI1167)</f>
        <v>55</v>
      </c>
      <c r="BJ1168" s="15">
        <f t="shared" si="873"/>
        <v>0</v>
      </c>
      <c r="BK1168">
        <f t="shared" si="881"/>
        <v>575</v>
      </c>
      <c r="BL1168">
        <f t="shared" si="882"/>
        <v>575</v>
      </c>
      <c r="BM1168" s="15">
        <f>SUMIFS(BJ$2:BJ1168,K$2:K1168,"=Intermission")+SUMIFS(BJ$2:BJ1168,K$2:K1168,"=Timeout")</f>
        <v>72</v>
      </c>
      <c r="BN1168">
        <f t="shared" si="883"/>
        <v>1152</v>
      </c>
      <c r="BO1168" s="19">
        <f t="shared" si="884"/>
        <v>1657</v>
      </c>
      <c r="BP1168">
        <f t="shared" si="885"/>
        <v>1652</v>
      </c>
      <c r="BQ1168" s="17">
        <f t="shared" si="886"/>
        <v>1657</v>
      </c>
      <c r="BR1168" t="str">
        <f t="shared" si="887"/>
        <v>event_team_player_1</v>
      </c>
      <c r="BS1168">
        <f>COUNTIFS(S$3:S1168,"="&amp;S1168,AI$3:AI1168,"="&amp;AI1168)</f>
        <v>1</v>
      </c>
      <c r="BT1168" t="str">
        <f>IFERROR(VLOOKUP(BB1168&amp;BU1168&amp;X1168,game_rosters!U:W,3,FALSE),"")</f>
        <v>P100016</v>
      </c>
      <c r="BU1168" t="str">
        <f t="shared" si="888"/>
        <v>Velodrome</v>
      </c>
    </row>
    <row r="1169" spans="1:73" x14ac:dyDescent="0.2">
      <c r="A1169">
        <f t="shared" si="874"/>
        <v>1</v>
      </c>
      <c r="J1169" s="44" t="str">
        <f t="shared" si="889"/>
        <v>d</v>
      </c>
      <c r="K1169" t="s">
        <v>15</v>
      </c>
      <c r="L1169" t="s">
        <v>179</v>
      </c>
      <c r="M1169" t="s">
        <v>443</v>
      </c>
      <c r="S1169">
        <v>632</v>
      </c>
      <c r="W1169" t="str">
        <f t="shared" si="865"/>
        <v>a</v>
      </c>
      <c r="X1169">
        <v>52</v>
      </c>
      <c r="Y1169" t="e">
        <f>IF(X1169&lt;&gt;"",VLOOKUP(X1169,game_rosters!$C$43:$E$64,3,FALSE))</f>
        <v>#N/A</v>
      </c>
      <c r="Z1169" cm="1">
        <f t="array" ref="Z1169">IFERROR(IF(_xlfn._xlws.FILTER(game_rosters!$J:$J,(game_rosters!$G:$G=events!$AN1169)*(game_rosters!$J:$J=events!$X1169))&gt;0,1,""),"")</f>
        <v>1</v>
      </c>
      <c r="AA1169">
        <f t="shared" si="823"/>
        <v>1632</v>
      </c>
      <c r="AB1169" t="str">
        <f t="shared" si="824"/>
        <v/>
      </c>
      <c r="AC1169">
        <f t="shared" si="862"/>
        <v>1632</v>
      </c>
      <c r="AD1169" s="6">
        <v>2</v>
      </c>
      <c r="AE1169" t="s">
        <v>933</v>
      </c>
      <c r="AF1169" t="s">
        <v>750</v>
      </c>
      <c r="AG1169" t="s">
        <v>756</v>
      </c>
      <c r="AH1169" t="s">
        <v>756</v>
      </c>
      <c r="AI1169" t="s">
        <v>367</v>
      </c>
      <c r="AJ1169" t="str">
        <f t="shared" ref="AJ1169:AK1169" si="901">IF($J1169&lt;&gt;"",$J1169,IF($AC1169=$AC1168,AJ1168,""))</f>
        <v>d</v>
      </c>
      <c r="AK1169" t="str">
        <f t="shared" si="901"/>
        <v>d</v>
      </c>
      <c r="AL1169" t="str">
        <f t="shared" si="867"/>
        <v>o</v>
      </c>
      <c r="AN1169" t="s">
        <v>862</v>
      </c>
      <c r="AO1169" t="str">
        <f t="shared" si="868"/>
        <v>a</v>
      </c>
      <c r="AP1169" t="str">
        <f t="shared" si="876"/>
        <v>o</v>
      </c>
      <c r="AQ1169" t="str">
        <f t="shared" si="877"/>
        <v/>
      </c>
      <c r="AR1169" t="str">
        <f t="shared" si="878"/>
        <v>Away</v>
      </c>
      <c r="AS1169" t="str">
        <f t="shared" si="879"/>
        <v>a</v>
      </c>
      <c r="AT1169" t="str">
        <f t="shared" si="880"/>
        <v>Defensive</v>
      </c>
      <c r="BA1169" s="6">
        <f t="shared" si="869"/>
        <v>288</v>
      </c>
      <c r="BB1169">
        <f t="shared" si="870"/>
        <v>18981</v>
      </c>
      <c r="BC1169" t="str">
        <f t="shared" si="871"/>
        <v>Nelson</v>
      </c>
      <c r="BD1169" t="str">
        <f t="shared" si="872"/>
        <v>Velodrome</v>
      </c>
      <c r="BE1169" t="s">
        <v>15</v>
      </c>
      <c r="BF1169" t="s">
        <v>179</v>
      </c>
      <c r="BG1169" t="s">
        <v>443</v>
      </c>
      <c r="BI1169" cm="1">
        <f t="array" ref="BI1169">IFERROR(_xlfn._xlws.FILTER(shifts!A:A,(shifts!B:B=events!AD1169)*(shifts!AG:AG&gt;=events!BK1169)*(shifts!AH:AH&lt;=events!BL1169)),BI1168)</f>
        <v>55</v>
      </c>
      <c r="BJ1169" s="15">
        <f t="shared" si="873"/>
        <v>0</v>
      </c>
      <c r="BK1169">
        <f t="shared" si="881"/>
        <v>575</v>
      </c>
      <c r="BL1169">
        <f t="shared" si="882"/>
        <v>575</v>
      </c>
      <c r="BM1169" s="15">
        <f>SUMIFS(BJ$2:BJ1169,K$2:K1169,"=Intermission")+SUMIFS(BJ$2:BJ1169,K$2:K1169,"=Timeout")</f>
        <v>72</v>
      </c>
      <c r="BN1169">
        <f t="shared" si="883"/>
        <v>1152</v>
      </c>
      <c r="BO1169" s="19">
        <f t="shared" si="884"/>
        <v>1657</v>
      </c>
      <c r="BP1169">
        <f t="shared" si="885"/>
        <v>1652</v>
      </c>
      <c r="BQ1169" s="17">
        <f t="shared" si="886"/>
        <v>1657</v>
      </c>
      <c r="BR1169" t="str">
        <f t="shared" si="887"/>
        <v>event_team_player_2</v>
      </c>
      <c r="BS1169">
        <f>COUNTIFS(S$3:S1169,"="&amp;S1169,AI$3:AI1169,"="&amp;AI1169)</f>
        <v>2</v>
      </c>
      <c r="BT1169" t="str">
        <f>IFERROR(VLOOKUP(BB1169&amp;BU1169&amp;X1169,game_rosters!U:W,3,FALSE),"")</f>
        <v>P100070</v>
      </c>
      <c r="BU1169" t="str">
        <f t="shared" si="888"/>
        <v>Velodrome</v>
      </c>
    </row>
    <row r="1170" spans="1:73" x14ac:dyDescent="0.2">
      <c r="A1170">
        <f t="shared" si="874"/>
        <v>1</v>
      </c>
      <c r="J1170" s="44" t="str">
        <f t="shared" si="889"/>
        <v>d</v>
      </c>
      <c r="K1170" t="s">
        <v>15</v>
      </c>
      <c r="L1170" t="s">
        <v>179</v>
      </c>
      <c r="M1170" t="s">
        <v>443</v>
      </c>
      <c r="S1170">
        <v>632</v>
      </c>
      <c r="W1170" t="str">
        <f t="shared" si="865"/>
        <v>a</v>
      </c>
      <c r="X1170">
        <v>16</v>
      </c>
      <c r="Y1170" t="b">
        <f>IF(X1170&lt;&gt;"",VLOOKUP(X1170,game_rosters!$C$43:$E$64,3,FALSE))</f>
        <v>0</v>
      </c>
      <c r="Z1170" t="str" cm="1">
        <f t="array" ref="Z1170">IFERROR(IF(_xlfn._xlws.FILTER(game_rosters!$J:$J,(game_rosters!$G:$G=events!$AN1170)*(game_rosters!$J:$J=events!$X1170))&gt;0,1,""),"")</f>
        <v/>
      </c>
      <c r="AA1170">
        <f t="shared" si="823"/>
        <v>1632</v>
      </c>
      <c r="AB1170" t="str">
        <f t="shared" si="824"/>
        <v/>
      </c>
      <c r="AC1170">
        <f t="shared" si="862"/>
        <v>1632</v>
      </c>
      <c r="AD1170" s="6">
        <v>2</v>
      </c>
      <c r="AE1170" t="s">
        <v>933</v>
      </c>
      <c r="AF1170" t="s">
        <v>750</v>
      </c>
      <c r="AG1170" t="s">
        <v>756</v>
      </c>
      <c r="AH1170" t="s">
        <v>756</v>
      </c>
      <c r="AI1170" t="s">
        <v>368</v>
      </c>
      <c r="AJ1170" t="str">
        <f t="shared" ref="AJ1170:AK1170" si="902">IF($J1170&lt;&gt;"",$J1170,IF($AC1170=$AC1169,AJ1169,""))</f>
        <v>d</v>
      </c>
      <c r="AK1170" t="str">
        <f t="shared" si="902"/>
        <v>d</v>
      </c>
      <c r="AL1170" t="str">
        <f t="shared" si="867"/>
        <v>o</v>
      </c>
      <c r="AN1170" t="s">
        <v>862</v>
      </c>
      <c r="AO1170" t="str">
        <f t="shared" si="868"/>
        <v>a</v>
      </c>
      <c r="AP1170" t="str">
        <f t="shared" si="876"/>
        <v>o</v>
      </c>
      <c r="AQ1170" t="str">
        <f t="shared" si="877"/>
        <v/>
      </c>
      <c r="AR1170" t="str">
        <f t="shared" si="878"/>
        <v>Away</v>
      </c>
      <c r="AS1170" t="str">
        <f t="shared" si="879"/>
        <v>a</v>
      </c>
      <c r="AT1170" t="str">
        <f t="shared" si="880"/>
        <v>Offensive</v>
      </c>
      <c r="BA1170" s="6">
        <f t="shared" si="869"/>
        <v>288</v>
      </c>
      <c r="BB1170">
        <f t="shared" si="870"/>
        <v>18981</v>
      </c>
      <c r="BC1170" t="str">
        <f t="shared" si="871"/>
        <v>Nelson</v>
      </c>
      <c r="BD1170" t="str">
        <f t="shared" si="872"/>
        <v>Velodrome</v>
      </c>
      <c r="BE1170" t="s">
        <v>15</v>
      </c>
      <c r="BF1170" t="s">
        <v>179</v>
      </c>
      <c r="BG1170" t="s">
        <v>443</v>
      </c>
      <c r="BI1170" cm="1">
        <f t="array" ref="BI1170">IFERROR(_xlfn._xlws.FILTER(shifts!A:A,(shifts!B:B=events!AD1170)*(shifts!AG:AG&gt;=events!BK1170)*(shifts!AH:AH&lt;=events!BL1170)),BI1169)</f>
        <v>55</v>
      </c>
      <c r="BJ1170" s="15">
        <f t="shared" si="873"/>
        <v>0</v>
      </c>
      <c r="BK1170">
        <f t="shared" si="881"/>
        <v>575</v>
      </c>
      <c r="BL1170">
        <f t="shared" si="882"/>
        <v>575</v>
      </c>
      <c r="BM1170" s="15">
        <f>SUMIFS(BJ$2:BJ1170,K$2:K1170,"=Intermission")+SUMIFS(BJ$2:BJ1170,K$2:K1170,"=Timeout")</f>
        <v>72</v>
      </c>
      <c r="BN1170">
        <f t="shared" si="883"/>
        <v>1152</v>
      </c>
      <c r="BO1170" s="19">
        <f t="shared" si="884"/>
        <v>1657</v>
      </c>
      <c r="BP1170">
        <f t="shared" si="885"/>
        <v>1652</v>
      </c>
      <c r="BQ1170" s="17">
        <f t="shared" si="886"/>
        <v>1657</v>
      </c>
      <c r="BR1170" t="str">
        <f t="shared" si="887"/>
        <v>opp_team_player_1</v>
      </c>
      <c r="BS1170">
        <f>COUNTIFS(S$3:S1170,"="&amp;S1170,AI$3:AI1170,"="&amp;AI1170)</f>
        <v>1</v>
      </c>
      <c r="BT1170" t="str">
        <f>IFERROR(VLOOKUP(BB1170&amp;BU1170&amp;X1170,game_rosters!U:W,3,FALSE),"")</f>
        <v>P100164</v>
      </c>
      <c r="BU1170" t="str">
        <f t="shared" si="888"/>
        <v>Nelson</v>
      </c>
    </row>
    <row r="1171" spans="1:73" x14ac:dyDescent="0.2">
      <c r="A1171">
        <f t="shared" si="874"/>
        <v>1</v>
      </c>
      <c r="J1171" s="44" t="str">
        <f t="shared" si="889"/>
        <v>d</v>
      </c>
      <c r="K1171" t="s">
        <v>231</v>
      </c>
      <c r="L1171" t="s">
        <v>232</v>
      </c>
      <c r="M1171" t="s">
        <v>756</v>
      </c>
      <c r="S1171">
        <v>633</v>
      </c>
      <c r="W1171" t="str">
        <f t="shared" si="865"/>
        <v>a</v>
      </c>
      <c r="X1171">
        <v>39</v>
      </c>
      <c r="Y1171" t="e">
        <f>IF(X1171&lt;&gt;"",VLOOKUP(X1171,game_rosters!$C$43:$E$64,3,FALSE))</f>
        <v>#N/A</v>
      </c>
      <c r="Z1171" cm="1">
        <f t="array" ref="Z1171">IFERROR(IF(_xlfn._xlws.FILTER(game_rosters!$J:$J,(game_rosters!$G:$G=events!$AN1171)*(game_rosters!$J:$J=events!$X1171))&gt;0,1,""),"")</f>
        <v>1</v>
      </c>
      <c r="AA1171">
        <f t="shared" si="823"/>
        <v>1633</v>
      </c>
      <c r="AB1171" t="str">
        <f t="shared" si="824"/>
        <v/>
      </c>
      <c r="AC1171">
        <f t="shared" si="862"/>
        <v>1633</v>
      </c>
      <c r="AD1171" s="6">
        <v>2</v>
      </c>
      <c r="AE1171" t="s">
        <v>933</v>
      </c>
      <c r="AF1171" t="s">
        <v>750</v>
      </c>
      <c r="AG1171" t="s">
        <v>756</v>
      </c>
      <c r="AH1171" t="s">
        <v>756</v>
      </c>
      <c r="AI1171" t="s">
        <v>367</v>
      </c>
      <c r="AJ1171" t="str">
        <f t="shared" ref="AJ1171:AK1171" si="903">IF($J1171&lt;&gt;"",$J1171,IF($AC1171=$AC1170,AJ1170,""))</f>
        <v>d</v>
      </c>
      <c r="AK1171" t="str">
        <f t="shared" si="903"/>
        <v>d</v>
      </c>
      <c r="AL1171" t="str">
        <f t="shared" si="867"/>
        <v>o</v>
      </c>
      <c r="AN1171" t="s">
        <v>862</v>
      </c>
      <c r="AO1171" t="str">
        <f t="shared" si="868"/>
        <v>a</v>
      </c>
      <c r="AP1171" t="str">
        <f t="shared" si="876"/>
        <v>o</v>
      </c>
      <c r="AQ1171" t="str">
        <f t="shared" si="877"/>
        <v/>
      </c>
      <c r="AR1171" t="str">
        <f t="shared" si="878"/>
        <v>Away</v>
      </c>
      <c r="AS1171" t="str">
        <f t="shared" si="879"/>
        <v>a</v>
      </c>
      <c r="AT1171" t="str">
        <f t="shared" si="880"/>
        <v>Offensive</v>
      </c>
      <c r="BA1171" s="6">
        <f t="shared" si="869"/>
        <v>288</v>
      </c>
      <c r="BB1171">
        <f t="shared" si="870"/>
        <v>18981</v>
      </c>
      <c r="BC1171" t="str">
        <f t="shared" si="871"/>
        <v>Nelson</v>
      </c>
      <c r="BD1171" t="str">
        <f t="shared" si="872"/>
        <v>Velodrome</v>
      </c>
      <c r="BE1171" t="s">
        <v>231</v>
      </c>
      <c r="BF1171" t="s">
        <v>232</v>
      </c>
      <c r="BG1171" t="s">
        <v>756</v>
      </c>
      <c r="BI1171" cm="1">
        <f t="array" ref="BI1171">IFERROR(_xlfn._xlws.FILTER(shifts!A:A,(shifts!B:B=events!AD1171)*(shifts!AG:AG&gt;=events!BK1171)*(shifts!AH:AH&lt;=events!BL1171)),BI1170)</f>
        <v>55</v>
      </c>
      <c r="BJ1171" s="15">
        <f t="shared" si="873"/>
        <v>0</v>
      </c>
      <c r="BK1171">
        <f t="shared" si="881"/>
        <v>575</v>
      </c>
      <c r="BL1171">
        <f t="shared" si="882"/>
        <v>575</v>
      </c>
      <c r="BM1171" s="15">
        <f>SUMIFS(BJ$2:BJ1171,K$2:K1171,"=Intermission")+SUMIFS(BJ$2:BJ1171,K$2:K1171,"=Timeout")</f>
        <v>72</v>
      </c>
      <c r="BN1171">
        <f t="shared" si="883"/>
        <v>1152</v>
      </c>
      <c r="BO1171" s="19">
        <f t="shared" si="884"/>
        <v>1657</v>
      </c>
      <c r="BP1171">
        <f t="shared" si="885"/>
        <v>1652</v>
      </c>
      <c r="BQ1171" s="17">
        <f t="shared" si="886"/>
        <v>1657</v>
      </c>
      <c r="BR1171" t="str">
        <f t="shared" si="887"/>
        <v>event_team_player_1</v>
      </c>
      <c r="BS1171">
        <f>COUNTIFS(S$3:S1171,"="&amp;S1171,AI$3:AI1171,"="&amp;AI1171)</f>
        <v>1</v>
      </c>
      <c r="BT1171" t="str">
        <f>IFERROR(VLOOKUP(BB1171&amp;BU1171&amp;X1171,game_rosters!U:W,3,FALSE),"")</f>
        <v>P100016</v>
      </c>
      <c r="BU1171" t="str">
        <f t="shared" si="888"/>
        <v>Velodrome</v>
      </c>
    </row>
    <row r="1172" spans="1:73" x14ac:dyDescent="0.2">
      <c r="A1172">
        <f t="shared" si="874"/>
        <v>1</v>
      </c>
      <c r="J1172" s="44" t="str">
        <f t="shared" si="889"/>
        <v/>
      </c>
      <c r="K1172" t="s">
        <v>238</v>
      </c>
      <c r="L1172" t="s">
        <v>193</v>
      </c>
      <c r="M1172" t="s">
        <v>91</v>
      </c>
      <c r="S1172">
        <v>634</v>
      </c>
      <c r="W1172" t="str">
        <f t="shared" si="865"/>
        <v>h</v>
      </c>
      <c r="X1172">
        <v>37</v>
      </c>
      <c r="Y1172" t="b">
        <f>IF(X1172&lt;&gt;"",VLOOKUP(X1172,game_rosters!$C$43:$E$64,3,FALSE))</f>
        <v>0</v>
      </c>
      <c r="Z1172" cm="1">
        <f t="array" ref="Z1172">IFERROR(IF(_xlfn._xlws.FILTER(game_rosters!$J:$J,(game_rosters!$G:$G=events!$AN1172)*(game_rosters!$J:$J=events!$X1172))&gt;0,1,""),"")</f>
        <v>1</v>
      </c>
      <c r="AA1172">
        <f t="shared" si="823"/>
        <v>1634</v>
      </c>
      <c r="AB1172" t="str">
        <f t="shared" si="824"/>
        <v/>
      </c>
      <c r="AC1172">
        <f t="shared" si="862"/>
        <v>1634</v>
      </c>
      <c r="AD1172" s="6">
        <v>2</v>
      </c>
      <c r="AE1172" t="s">
        <v>933</v>
      </c>
      <c r="AF1172" t="s">
        <v>906</v>
      </c>
      <c r="AG1172" t="s">
        <v>756</v>
      </c>
      <c r="AH1172" t="s">
        <v>756</v>
      </c>
      <c r="AI1172" t="s">
        <v>367</v>
      </c>
      <c r="AJ1172" t="str">
        <f t="shared" ref="AJ1172:AK1172" si="904">IF($J1172&lt;&gt;"",$J1172,IF($AC1172=$AC1171,AJ1171,""))</f>
        <v/>
      </c>
      <c r="AK1172" t="str">
        <f t="shared" si="904"/>
        <v/>
      </c>
      <c r="AL1172" t="str">
        <f t="shared" si="867"/>
        <v/>
      </c>
      <c r="AN1172" t="s">
        <v>861</v>
      </c>
      <c r="AO1172" t="str">
        <f t="shared" si="868"/>
        <v>h</v>
      </c>
      <c r="AP1172" t="str">
        <f t="shared" si="876"/>
        <v/>
      </c>
      <c r="AQ1172" t="str">
        <f t="shared" si="877"/>
        <v/>
      </c>
      <c r="AR1172" t="str">
        <f t="shared" si="878"/>
        <v>Home</v>
      </c>
      <c r="AS1172" t="str">
        <f t="shared" si="879"/>
        <v>h</v>
      </c>
      <c r="AT1172" t="str">
        <f t="shared" si="880"/>
        <v>Offensive</v>
      </c>
      <c r="BA1172" s="6">
        <f t="shared" si="869"/>
        <v>288</v>
      </c>
      <c r="BB1172">
        <f t="shared" si="870"/>
        <v>18981</v>
      </c>
      <c r="BC1172" t="str">
        <f t="shared" si="871"/>
        <v>Nelson</v>
      </c>
      <c r="BD1172" t="str">
        <f t="shared" si="872"/>
        <v>Velodrome</v>
      </c>
      <c r="BE1172" t="s">
        <v>238</v>
      </c>
      <c r="BF1172" t="s">
        <v>193</v>
      </c>
      <c r="BG1172" t="s">
        <v>91</v>
      </c>
      <c r="BI1172" cm="1">
        <f t="array" ref="BI1172">IFERROR(_xlfn._xlws.FILTER(shifts!A:A,(shifts!B:B=events!AD1172)*(shifts!AG:AG&gt;=events!BK1172)*(shifts!AH:AH&lt;=events!BL1172)),BI1171)</f>
        <v>55</v>
      </c>
      <c r="BJ1172" s="15">
        <f t="shared" si="873"/>
        <v>0</v>
      </c>
      <c r="BK1172">
        <f t="shared" si="881"/>
        <v>569</v>
      </c>
      <c r="BL1172">
        <f t="shared" si="882"/>
        <v>569</v>
      </c>
      <c r="BM1172" s="15">
        <f>SUMIFS(BJ$2:BJ1172,K$2:K1172,"=Intermission")+SUMIFS(BJ$2:BJ1172,K$2:K1172,"=Timeout")</f>
        <v>72</v>
      </c>
      <c r="BN1172">
        <f t="shared" si="883"/>
        <v>1152</v>
      </c>
      <c r="BO1172" s="19">
        <f t="shared" si="884"/>
        <v>1663</v>
      </c>
      <c r="BP1172">
        <f t="shared" si="885"/>
        <v>1658</v>
      </c>
      <c r="BQ1172" s="17">
        <f t="shared" si="886"/>
        <v>1663</v>
      </c>
      <c r="BR1172" t="str">
        <f t="shared" si="887"/>
        <v>event_team_player_1</v>
      </c>
      <c r="BS1172">
        <f>COUNTIFS(S$3:S1172,"="&amp;S1172,AI$3:AI1172,"="&amp;AI1172)</f>
        <v>1</v>
      </c>
      <c r="BT1172" t="str">
        <f>IFERROR(VLOOKUP(BB1172&amp;BU1172&amp;X1172,game_rosters!U:W,3,FALSE),"")</f>
        <v>P100119</v>
      </c>
      <c r="BU1172" t="str">
        <f t="shared" si="888"/>
        <v>Nelson</v>
      </c>
    </row>
    <row r="1173" spans="1:73" x14ac:dyDescent="0.2">
      <c r="A1173">
        <f t="shared" si="874"/>
        <v>1</v>
      </c>
      <c r="J1173" s="44" t="str">
        <f t="shared" si="889"/>
        <v>o</v>
      </c>
      <c r="K1173" t="s">
        <v>6</v>
      </c>
      <c r="L1173" t="s">
        <v>191</v>
      </c>
      <c r="M1173" t="s">
        <v>51</v>
      </c>
      <c r="S1173">
        <v>635</v>
      </c>
      <c r="W1173" t="str">
        <f t="shared" si="865"/>
        <v>h</v>
      </c>
      <c r="X1173">
        <v>37</v>
      </c>
      <c r="Y1173" t="b">
        <f>IF(X1173&lt;&gt;"",VLOOKUP(X1173,game_rosters!$C$43:$E$64,3,FALSE))</f>
        <v>0</v>
      </c>
      <c r="Z1173" cm="1">
        <f t="array" ref="Z1173">IFERROR(IF(_xlfn._xlws.FILTER(game_rosters!$J:$J,(game_rosters!$G:$G=events!$AN1173)*(game_rosters!$J:$J=events!$X1173))&gt;0,1,""),"")</f>
        <v>1</v>
      </c>
      <c r="AA1173">
        <f t="shared" si="823"/>
        <v>1635</v>
      </c>
      <c r="AB1173" t="str">
        <f t="shared" si="824"/>
        <v/>
      </c>
      <c r="AC1173">
        <f t="shared" si="862"/>
        <v>1635</v>
      </c>
      <c r="AD1173" s="6">
        <v>2</v>
      </c>
      <c r="AE1173" t="s">
        <v>933</v>
      </c>
      <c r="AF1173" t="s">
        <v>906</v>
      </c>
      <c r="AG1173" t="s">
        <v>756</v>
      </c>
      <c r="AH1173" t="s">
        <v>756</v>
      </c>
      <c r="AI1173" t="s">
        <v>367</v>
      </c>
      <c r="AJ1173" t="str">
        <f t="shared" ref="AJ1173:AK1173" si="905">IF($J1173&lt;&gt;"",$J1173,IF($AC1173=$AC1172,AJ1172,""))</f>
        <v>o</v>
      </c>
      <c r="AK1173" t="str">
        <f t="shared" si="905"/>
        <v>o</v>
      </c>
      <c r="AL1173" t="str">
        <f t="shared" si="867"/>
        <v>o</v>
      </c>
      <c r="AN1173" t="s">
        <v>861</v>
      </c>
      <c r="AO1173" t="str">
        <f t="shared" si="868"/>
        <v>h</v>
      </c>
      <c r="AP1173" t="str">
        <f t="shared" si="876"/>
        <v>o</v>
      </c>
      <c r="AQ1173" t="str">
        <f t="shared" si="877"/>
        <v/>
      </c>
      <c r="AR1173" t="str">
        <f t="shared" si="878"/>
        <v>Home</v>
      </c>
      <c r="AS1173" t="str">
        <f t="shared" si="879"/>
        <v>h</v>
      </c>
      <c r="AT1173" t="str">
        <f t="shared" si="880"/>
        <v>Offensive</v>
      </c>
      <c r="BA1173" s="6">
        <f t="shared" si="869"/>
        <v>288</v>
      </c>
      <c r="BB1173">
        <f t="shared" si="870"/>
        <v>18981</v>
      </c>
      <c r="BC1173" t="str">
        <f t="shared" si="871"/>
        <v>Nelson</v>
      </c>
      <c r="BD1173" t="str">
        <f t="shared" si="872"/>
        <v>Velodrome</v>
      </c>
      <c r="BE1173" t="s">
        <v>6</v>
      </c>
      <c r="BF1173" t="s">
        <v>191</v>
      </c>
      <c r="BG1173" t="s">
        <v>51</v>
      </c>
      <c r="BI1173" cm="1">
        <f t="array" ref="BI1173">IFERROR(_xlfn._xlws.FILTER(shifts!A:A,(shifts!B:B=events!AD1173)*(shifts!AG:AG&gt;=events!BK1173)*(shifts!AH:AH&lt;=events!BL1173)),BI1172)</f>
        <v>55</v>
      </c>
      <c r="BJ1173" s="15">
        <f t="shared" si="873"/>
        <v>0</v>
      </c>
      <c r="BK1173">
        <f t="shared" si="881"/>
        <v>569</v>
      </c>
      <c r="BL1173">
        <f t="shared" si="882"/>
        <v>569</v>
      </c>
      <c r="BM1173" s="15">
        <f>SUMIFS(BJ$2:BJ1173,K$2:K1173,"=Intermission")+SUMIFS(BJ$2:BJ1173,K$2:K1173,"=Timeout")</f>
        <v>72</v>
      </c>
      <c r="BN1173">
        <f t="shared" si="883"/>
        <v>1152</v>
      </c>
      <c r="BO1173" s="19">
        <f t="shared" si="884"/>
        <v>1663</v>
      </c>
      <c r="BP1173">
        <f t="shared" si="885"/>
        <v>1658</v>
      </c>
      <c r="BQ1173" s="17">
        <f t="shared" si="886"/>
        <v>1663</v>
      </c>
      <c r="BR1173" t="str">
        <f t="shared" si="887"/>
        <v>event_team_player_1</v>
      </c>
      <c r="BS1173">
        <f>COUNTIFS(S$3:S1173,"="&amp;S1173,AI$3:AI1173,"="&amp;AI1173)</f>
        <v>1</v>
      </c>
      <c r="BT1173" t="str">
        <f>IFERROR(VLOOKUP(BB1173&amp;BU1173&amp;X1173,game_rosters!U:W,3,FALSE),"")</f>
        <v>P100119</v>
      </c>
      <c r="BU1173" t="str">
        <f t="shared" si="888"/>
        <v>Nelson</v>
      </c>
    </row>
    <row r="1174" spans="1:73" x14ac:dyDescent="0.2">
      <c r="A1174">
        <f t="shared" si="874"/>
        <v>1</v>
      </c>
      <c r="J1174" s="44" t="str">
        <f t="shared" si="889"/>
        <v>o</v>
      </c>
      <c r="K1174" t="s">
        <v>6</v>
      </c>
      <c r="L1174" t="s">
        <v>191</v>
      </c>
      <c r="M1174" t="s">
        <v>51</v>
      </c>
      <c r="S1174">
        <v>635</v>
      </c>
      <c r="W1174" t="str">
        <f t="shared" si="865"/>
        <v>h</v>
      </c>
      <c r="X1174">
        <v>61</v>
      </c>
      <c r="Y1174" t="e">
        <f>IF(X1174&lt;&gt;"",VLOOKUP(X1174,game_rosters!$C$43:$E$64,3,FALSE))</f>
        <v>#N/A</v>
      </c>
      <c r="Z1174" t="str" cm="1">
        <f t="array" ref="Z1174">IFERROR(IF(_xlfn._xlws.FILTER(game_rosters!$J:$J,(game_rosters!$G:$G=events!$AN1174)*(game_rosters!$J:$J=events!$X1174))&gt;0,1,""),"")</f>
        <v/>
      </c>
      <c r="AA1174">
        <f t="shared" si="823"/>
        <v>1635</v>
      </c>
      <c r="AB1174" t="str">
        <f t="shared" si="824"/>
        <v/>
      </c>
      <c r="AC1174">
        <f t="shared" si="862"/>
        <v>1635</v>
      </c>
      <c r="AD1174" s="6">
        <v>2</v>
      </c>
      <c r="AE1174" t="s">
        <v>933</v>
      </c>
      <c r="AF1174" t="s">
        <v>906</v>
      </c>
      <c r="AG1174" t="s">
        <v>756</v>
      </c>
      <c r="AH1174" t="s">
        <v>756</v>
      </c>
      <c r="AI1174" t="s">
        <v>367</v>
      </c>
      <c r="AJ1174" t="str">
        <f t="shared" ref="AJ1174:AK1174" si="906">IF($J1174&lt;&gt;"",$J1174,IF($AC1174=$AC1173,AJ1173,""))</f>
        <v>o</v>
      </c>
      <c r="AK1174" t="str">
        <f t="shared" si="906"/>
        <v>o</v>
      </c>
      <c r="AL1174" t="str">
        <f t="shared" si="867"/>
        <v>o</v>
      </c>
      <c r="AN1174" t="s">
        <v>861</v>
      </c>
      <c r="AO1174" t="str">
        <f t="shared" si="868"/>
        <v>h</v>
      </c>
      <c r="AP1174" t="str">
        <f t="shared" si="876"/>
        <v>o</v>
      </c>
      <c r="AQ1174" t="str">
        <f t="shared" si="877"/>
        <v/>
      </c>
      <c r="AR1174" t="str">
        <f t="shared" si="878"/>
        <v>Home</v>
      </c>
      <c r="AS1174" t="str">
        <f t="shared" si="879"/>
        <v>h</v>
      </c>
      <c r="AT1174" t="str">
        <f t="shared" si="880"/>
        <v>Offensive</v>
      </c>
      <c r="BA1174" s="6">
        <f t="shared" si="869"/>
        <v>288</v>
      </c>
      <c r="BB1174">
        <f t="shared" si="870"/>
        <v>18981</v>
      </c>
      <c r="BC1174" t="str">
        <f t="shared" si="871"/>
        <v>Nelson</v>
      </c>
      <c r="BD1174" t="str">
        <f t="shared" si="872"/>
        <v>Velodrome</v>
      </c>
      <c r="BE1174" t="s">
        <v>6</v>
      </c>
      <c r="BF1174" t="s">
        <v>191</v>
      </c>
      <c r="BG1174" t="s">
        <v>51</v>
      </c>
      <c r="BI1174" cm="1">
        <f t="array" ref="BI1174">IFERROR(_xlfn._xlws.FILTER(shifts!A:A,(shifts!B:B=events!AD1174)*(shifts!AG:AG&gt;=events!BK1174)*(shifts!AH:AH&lt;=events!BL1174)),BI1173)</f>
        <v>55</v>
      </c>
      <c r="BJ1174" s="15">
        <f t="shared" si="873"/>
        <v>0</v>
      </c>
      <c r="BK1174">
        <f t="shared" si="881"/>
        <v>569</v>
      </c>
      <c r="BL1174">
        <f t="shared" si="882"/>
        <v>569</v>
      </c>
      <c r="BM1174" s="15">
        <f>SUMIFS(BJ$2:BJ1174,K$2:K1174,"=Intermission")+SUMIFS(BJ$2:BJ1174,K$2:K1174,"=Timeout")</f>
        <v>72</v>
      </c>
      <c r="BN1174">
        <f t="shared" si="883"/>
        <v>1152</v>
      </c>
      <c r="BO1174" s="19">
        <f t="shared" si="884"/>
        <v>1663</v>
      </c>
      <c r="BP1174">
        <f t="shared" si="885"/>
        <v>1658</v>
      </c>
      <c r="BQ1174" s="17">
        <f t="shared" si="886"/>
        <v>1663</v>
      </c>
      <c r="BR1174" t="str">
        <f t="shared" si="887"/>
        <v>event_team_player_2</v>
      </c>
      <c r="BS1174">
        <f>COUNTIFS(S$3:S1174,"="&amp;S1174,AI$3:AI1174,"="&amp;AI1174)</f>
        <v>2</v>
      </c>
      <c r="BT1174" t="str">
        <f>IFERROR(VLOOKUP(BB1174&amp;BU1174&amp;X1174,game_rosters!U:W,3,FALSE),"")</f>
        <v>P100224</v>
      </c>
      <c r="BU1174" t="s">
        <v>521</v>
      </c>
    </row>
    <row r="1175" spans="1:73" x14ac:dyDescent="0.2">
      <c r="A1175">
        <f t="shared" si="874"/>
        <v>1</v>
      </c>
      <c r="J1175" s="44" t="str">
        <f t="shared" si="889"/>
        <v/>
      </c>
      <c r="K1175" t="s">
        <v>9</v>
      </c>
      <c r="L1175" t="s">
        <v>173</v>
      </c>
      <c r="M1175" t="s">
        <v>76</v>
      </c>
      <c r="S1175">
        <v>636</v>
      </c>
      <c r="W1175" t="str">
        <f t="shared" si="865"/>
        <v>h</v>
      </c>
      <c r="X1175">
        <v>37</v>
      </c>
      <c r="Y1175" t="b">
        <f>IF(X1175&lt;&gt;"",VLOOKUP(X1175,game_rosters!$C$43:$E$64,3,FALSE))</f>
        <v>0</v>
      </c>
      <c r="Z1175" cm="1">
        <f t="array" ref="Z1175">IFERROR(IF(_xlfn._xlws.FILTER(game_rosters!$J:$J,(game_rosters!$G:$G=events!$AN1175)*(game_rosters!$J:$J=events!$X1175))&gt;0,1,""),"")</f>
        <v>1</v>
      </c>
      <c r="AA1175">
        <f t="shared" si="823"/>
        <v>1636</v>
      </c>
      <c r="AB1175" t="str">
        <f t="shared" si="824"/>
        <v/>
      </c>
      <c r="AC1175">
        <f t="shared" si="862"/>
        <v>1636</v>
      </c>
      <c r="AD1175" s="6">
        <v>2</v>
      </c>
      <c r="AE1175" t="s">
        <v>933</v>
      </c>
      <c r="AF1175" t="s">
        <v>906</v>
      </c>
      <c r="AG1175" t="s">
        <v>756</v>
      </c>
      <c r="AH1175" t="s">
        <v>756</v>
      </c>
      <c r="AI1175" t="s">
        <v>367</v>
      </c>
      <c r="AJ1175" t="str">
        <f t="shared" ref="AJ1175:AK1175" si="907">IF($J1175&lt;&gt;"",$J1175,IF($AC1175=$AC1174,AJ1174,""))</f>
        <v/>
      </c>
      <c r="AK1175" t="str">
        <f t="shared" si="907"/>
        <v/>
      </c>
      <c r="AL1175" t="str">
        <f t="shared" si="867"/>
        <v/>
      </c>
      <c r="AN1175" t="s">
        <v>861</v>
      </c>
      <c r="AO1175" t="str">
        <f t="shared" si="868"/>
        <v>h</v>
      </c>
      <c r="AP1175" t="str">
        <f t="shared" si="876"/>
        <v/>
      </c>
      <c r="AQ1175" t="str">
        <f t="shared" si="877"/>
        <v/>
      </c>
      <c r="AR1175" t="str">
        <f t="shared" si="878"/>
        <v>Home</v>
      </c>
      <c r="AS1175" t="str">
        <f t="shared" si="879"/>
        <v>h</v>
      </c>
      <c r="AT1175" t="str">
        <f t="shared" si="880"/>
        <v>Offensive</v>
      </c>
      <c r="BA1175" s="6">
        <f t="shared" si="869"/>
        <v>288</v>
      </c>
      <c r="BB1175">
        <f t="shared" si="870"/>
        <v>18981</v>
      </c>
      <c r="BC1175" t="str">
        <f t="shared" si="871"/>
        <v>Nelson</v>
      </c>
      <c r="BD1175" t="str">
        <f t="shared" si="872"/>
        <v>Velodrome</v>
      </c>
      <c r="BE1175" t="s">
        <v>9</v>
      </c>
      <c r="BF1175" t="s">
        <v>173</v>
      </c>
      <c r="BG1175" t="s">
        <v>76</v>
      </c>
      <c r="BI1175" cm="1">
        <f t="array" ref="BI1175">IFERROR(_xlfn._xlws.FILTER(shifts!A:A,(shifts!B:B=events!AD1175)*(shifts!AG:AG&gt;=events!BK1175)*(shifts!AH:AH&lt;=events!BL1175)),BI1174)</f>
        <v>55</v>
      </c>
      <c r="BJ1175" s="15">
        <f t="shared" si="873"/>
        <v>0</v>
      </c>
      <c r="BK1175">
        <f t="shared" si="881"/>
        <v>569</v>
      </c>
      <c r="BL1175">
        <f t="shared" si="882"/>
        <v>569</v>
      </c>
      <c r="BM1175" s="15">
        <f>SUMIFS(BJ$2:BJ1175,K$2:K1175,"=Intermission")+SUMIFS(BJ$2:BJ1175,K$2:K1175,"=Timeout")</f>
        <v>72</v>
      </c>
      <c r="BN1175">
        <f t="shared" si="883"/>
        <v>1152</v>
      </c>
      <c r="BO1175" s="19">
        <f t="shared" si="884"/>
        <v>1663</v>
      </c>
      <c r="BP1175">
        <f t="shared" si="885"/>
        <v>1658</v>
      </c>
      <c r="BQ1175" s="17">
        <f t="shared" si="886"/>
        <v>1663</v>
      </c>
      <c r="BR1175" t="str">
        <f t="shared" si="887"/>
        <v>event_team_player_1</v>
      </c>
      <c r="BS1175">
        <f>COUNTIFS(S$3:S1175,"="&amp;S1175,AI$3:AI1175,"="&amp;AI1175)</f>
        <v>1</v>
      </c>
      <c r="BT1175" t="str">
        <f>IFERROR(VLOOKUP(BB1175&amp;BU1175&amp;X1175,game_rosters!U:W,3,FALSE),"")</f>
        <v>P100119</v>
      </c>
      <c r="BU1175" t="str">
        <f t="shared" si="888"/>
        <v>Nelson</v>
      </c>
    </row>
    <row r="1176" spans="1:73" x14ac:dyDescent="0.2">
      <c r="A1176">
        <f t="shared" si="874"/>
        <v>1</v>
      </c>
      <c r="J1176" s="44" t="str">
        <f t="shared" si="889"/>
        <v/>
      </c>
      <c r="K1176" t="s">
        <v>9</v>
      </c>
      <c r="L1176" t="s">
        <v>173</v>
      </c>
      <c r="M1176" t="s">
        <v>76</v>
      </c>
      <c r="S1176">
        <v>636</v>
      </c>
      <c r="W1176" t="str">
        <f t="shared" si="865"/>
        <v>h</v>
      </c>
      <c r="X1176">
        <v>61</v>
      </c>
      <c r="Y1176" t="e">
        <f>IF(X1176&lt;&gt;"",VLOOKUP(X1176,game_rosters!$C$43:$E$64,3,FALSE))</f>
        <v>#N/A</v>
      </c>
      <c r="Z1176" t="str" cm="1">
        <f t="array" ref="Z1176">IFERROR(IF(_xlfn._xlws.FILTER(game_rosters!$J:$J,(game_rosters!$G:$G=events!$AN1176)*(game_rosters!$J:$J=events!$X1176))&gt;0,1,""),"")</f>
        <v/>
      </c>
      <c r="AA1176">
        <f t="shared" si="823"/>
        <v>1636</v>
      </c>
      <c r="AB1176" t="str">
        <f t="shared" si="824"/>
        <v/>
      </c>
      <c r="AC1176">
        <f t="shared" si="862"/>
        <v>1636</v>
      </c>
      <c r="AD1176" s="6">
        <v>2</v>
      </c>
      <c r="AE1176" t="s">
        <v>933</v>
      </c>
      <c r="AF1176" t="s">
        <v>906</v>
      </c>
      <c r="AG1176" t="s">
        <v>756</v>
      </c>
      <c r="AH1176" t="s">
        <v>756</v>
      </c>
      <c r="AI1176" t="s">
        <v>368</v>
      </c>
      <c r="AJ1176" t="str">
        <f t="shared" ref="AJ1176:AK1176" si="908">IF($J1176&lt;&gt;"",$J1176,IF($AC1176=$AC1175,AJ1175,""))</f>
        <v/>
      </c>
      <c r="AK1176" t="str">
        <f t="shared" si="908"/>
        <v/>
      </c>
      <c r="AL1176" t="str">
        <f t="shared" si="867"/>
        <v/>
      </c>
      <c r="AN1176" t="s">
        <v>861</v>
      </c>
      <c r="AO1176" t="str">
        <f t="shared" si="868"/>
        <v>h</v>
      </c>
      <c r="AP1176" t="str">
        <f t="shared" si="876"/>
        <v/>
      </c>
      <c r="AQ1176" t="str">
        <f t="shared" si="877"/>
        <v/>
      </c>
      <c r="AR1176" t="str">
        <f t="shared" si="878"/>
        <v>Home</v>
      </c>
      <c r="AS1176" t="str">
        <f t="shared" si="879"/>
        <v>h</v>
      </c>
      <c r="AT1176" t="str">
        <f t="shared" si="880"/>
        <v>Defensive</v>
      </c>
      <c r="BA1176" s="6">
        <f t="shared" si="869"/>
        <v>288</v>
      </c>
      <c r="BB1176">
        <f t="shared" si="870"/>
        <v>18981</v>
      </c>
      <c r="BC1176" t="str">
        <f t="shared" si="871"/>
        <v>Nelson</v>
      </c>
      <c r="BD1176" t="str">
        <f t="shared" si="872"/>
        <v>Velodrome</v>
      </c>
      <c r="BE1176" t="s">
        <v>9</v>
      </c>
      <c r="BF1176" t="s">
        <v>173</v>
      </c>
      <c r="BG1176" t="s">
        <v>76</v>
      </c>
      <c r="BI1176" cm="1">
        <f t="array" ref="BI1176">IFERROR(_xlfn._xlws.FILTER(shifts!A:A,(shifts!B:B=events!AD1176)*(shifts!AG:AG&gt;=events!BK1176)*(shifts!AH:AH&lt;=events!BL1176)),BI1175)</f>
        <v>55</v>
      </c>
      <c r="BJ1176" s="15">
        <f t="shared" si="873"/>
        <v>0</v>
      </c>
      <c r="BK1176">
        <f t="shared" si="881"/>
        <v>569</v>
      </c>
      <c r="BL1176">
        <f t="shared" si="882"/>
        <v>569</v>
      </c>
      <c r="BM1176" s="15">
        <f>SUMIFS(BJ$2:BJ1176,K$2:K1176,"=Intermission")+SUMIFS(BJ$2:BJ1176,K$2:K1176,"=Timeout")</f>
        <v>72</v>
      </c>
      <c r="BN1176">
        <f t="shared" si="883"/>
        <v>1152</v>
      </c>
      <c r="BO1176" s="19">
        <f t="shared" si="884"/>
        <v>1663</v>
      </c>
      <c r="BP1176">
        <f t="shared" si="885"/>
        <v>1658</v>
      </c>
      <c r="BQ1176" s="17">
        <f t="shared" si="886"/>
        <v>1663</v>
      </c>
      <c r="BR1176" t="str">
        <f t="shared" si="887"/>
        <v>opp_team_player_1</v>
      </c>
      <c r="BS1176">
        <f>COUNTIFS(S$3:S1176,"="&amp;S1176,AI$3:AI1176,"="&amp;AI1176)</f>
        <v>1</v>
      </c>
      <c r="BT1176" t="str">
        <f>IFERROR(VLOOKUP(BB1176&amp;BU1176&amp;X1176,game_rosters!U:W,3,FALSE),"")</f>
        <v>P100224</v>
      </c>
      <c r="BU1176" t="str">
        <f t="shared" si="888"/>
        <v>Velodrome</v>
      </c>
    </row>
    <row r="1177" spans="1:73" x14ac:dyDescent="0.2">
      <c r="A1177">
        <f t="shared" si="874"/>
        <v>1</v>
      </c>
      <c r="J1177" s="44" t="str">
        <f t="shared" si="889"/>
        <v/>
      </c>
      <c r="K1177" t="s">
        <v>13</v>
      </c>
      <c r="L1177" t="s">
        <v>756</v>
      </c>
      <c r="M1177" t="s">
        <v>756</v>
      </c>
      <c r="S1177">
        <v>637</v>
      </c>
      <c r="W1177" t="str">
        <f t="shared" si="865"/>
        <v>a</v>
      </c>
      <c r="X1177">
        <v>84</v>
      </c>
      <c r="Y1177" t="e">
        <f>IF(X1177&lt;&gt;"",VLOOKUP(X1177,game_rosters!$C$43:$E$64,3,FALSE))</f>
        <v>#N/A</v>
      </c>
      <c r="Z1177" cm="1">
        <f t="array" ref="Z1177">IFERROR(IF(_xlfn._xlws.FILTER(game_rosters!$J:$J,(game_rosters!$G:$G=events!$AN1177)*(game_rosters!$J:$J=events!$X1177))&gt;0,1,""),"")</f>
        <v>1</v>
      </c>
      <c r="AA1177">
        <f t="shared" si="823"/>
        <v>1637</v>
      </c>
      <c r="AB1177" t="str">
        <f t="shared" si="824"/>
        <v/>
      </c>
      <c r="AC1177">
        <f t="shared" si="862"/>
        <v>1637</v>
      </c>
      <c r="AD1177" s="6">
        <v>2</v>
      </c>
      <c r="AE1177" t="s">
        <v>933</v>
      </c>
      <c r="AF1177" t="s">
        <v>739</v>
      </c>
      <c r="AG1177" t="s">
        <v>933</v>
      </c>
      <c r="AH1177" t="s">
        <v>907</v>
      </c>
      <c r="AI1177" t="s">
        <v>367</v>
      </c>
      <c r="AJ1177" t="str">
        <f t="shared" ref="AJ1177:AK1177" si="909">IF($J1177&lt;&gt;"",$J1177,IF($AC1177=$AC1176,AJ1176,""))</f>
        <v/>
      </c>
      <c r="AK1177" t="str">
        <f t="shared" si="909"/>
        <v/>
      </c>
      <c r="AL1177" t="str">
        <f t="shared" si="867"/>
        <v/>
      </c>
      <c r="AN1177" t="s">
        <v>862</v>
      </c>
      <c r="AO1177" t="str">
        <f t="shared" si="868"/>
        <v>a</v>
      </c>
      <c r="AP1177" t="str">
        <f t="shared" si="876"/>
        <v/>
      </c>
      <c r="AQ1177" t="str">
        <f t="shared" si="877"/>
        <v/>
      </c>
      <c r="AR1177" t="str">
        <f t="shared" si="878"/>
        <v>Away</v>
      </c>
      <c r="AS1177" t="str">
        <f t="shared" si="879"/>
        <v>a</v>
      </c>
      <c r="AT1177" t="str">
        <f t="shared" si="880"/>
        <v>Offensive</v>
      </c>
      <c r="BA1177" s="6">
        <f t="shared" si="869"/>
        <v>288</v>
      </c>
      <c r="BB1177">
        <f t="shared" si="870"/>
        <v>18981</v>
      </c>
      <c r="BC1177" t="str">
        <f t="shared" si="871"/>
        <v>Nelson</v>
      </c>
      <c r="BD1177" t="str">
        <f t="shared" si="872"/>
        <v>Velodrome</v>
      </c>
      <c r="BE1177" t="s">
        <v>13</v>
      </c>
      <c r="BF1177" t="s">
        <v>756</v>
      </c>
      <c r="BG1177" t="s">
        <v>756</v>
      </c>
      <c r="BI1177" cm="1">
        <f t="array" ref="BI1177">IFERROR(_xlfn._xlws.FILTER(shifts!A:A,(shifts!B:B=events!AD1177)*(shifts!AG:AG&gt;=events!BK1177)*(shifts!AH:AH&lt;=events!BL1177)),BI1176)</f>
        <v>55</v>
      </c>
      <c r="BJ1177" s="15">
        <f t="shared" si="873"/>
        <v>2</v>
      </c>
      <c r="BK1177">
        <f t="shared" si="881"/>
        <v>566</v>
      </c>
      <c r="BL1177">
        <f t="shared" si="882"/>
        <v>564</v>
      </c>
      <c r="BM1177" s="15">
        <f>SUMIFS(BJ$2:BJ1177,K$2:K1177,"=Intermission")+SUMIFS(BJ$2:BJ1177,K$2:K1177,"=Timeout")</f>
        <v>72</v>
      </c>
      <c r="BN1177">
        <f t="shared" si="883"/>
        <v>1152</v>
      </c>
      <c r="BO1177" s="19">
        <f t="shared" si="884"/>
        <v>1666</v>
      </c>
      <c r="BP1177">
        <f t="shared" si="885"/>
        <v>1661</v>
      </c>
      <c r="BQ1177" s="17">
        <f t="shared" si="886"/>
        <v>1668</v>
      </c>
      <c r="BR1177" t="str">
        <f t="shared" si="887"/>
        <v>event_team_player_1</v>
      </c>
      <c r="BS1177">
        <f>COUNTIFS(S$3:S1177,"="&amp;S1177,AI$3:AI1177,"="&amp;AI1177)</f>
        <v>1</v>
      </c>
      <c r="BT1177" t="str">
        <f>IFERROR(VLOOKUP(BB1177&amp;BU1177&amp;X1177,game_rosters!U:W,3,FALSE),"")</f>
        <v>P100198</v>
      </c>
      <c r="BU1177" t="str">
        <f t="shared" si="888"/>
        <v>Velodrome</v>
      </c>
    </row>
    <row r="1178" spans="1:73" x14ac:dyDescent="0.2">
      <c r="A1178">
        <f t="shared" si="874"/>
        <v>1</v>
      </c>
      <c r="J1178" s="44" t="str">
        <f t="shared" si="889"/>
        <v/>
      </c>
      <c r="K1178" t="s">
        <v>13</v>
      </c>
      <c r="L1178" t="s">
        <v>756</v>
      </c>
      <c r="M1178" t="s">
        <v>756</v>
      </c>
      <c r="S1178">
        <v>637</v>
      </c>
      <c r="W1178" t="str">
        <f t="shared" si="865"/>
        <v>a</v>
      </c>
      <c r="X1178">
        <v>79</v>
      </c>
      <c r="Y1178" t="b">
        <f>IF(X1178&lt;&gt;"",VLOOKUP(X1178,game_rosters!$C$43:$E$64,3,FALSE))</f>
        <v>0</v>
      </c>
      <c r="Z1178" t="str" cm="1">
        <f t="array" ref="Z1178">IFERROR(IF(_xlfn._xlws.FILTER(game_rosters!$J:$J,(game_rosters!$G:$G=events!$AN1178)*(game_rosters!$J:$J=events!$X1178))&gt;0,1,""),"")</f>
        <v/>
      </c>
      <c r="AA1178">
        <f t="shared" si="823"/>
        <v>1637</v>
      </c>
      <c r="AB1178" t="str">
        <f t="shared" si="824"/>
        <v/>
      </c>
      <c r="AC1178">
        <f t="shared" si="862"/>
        <v>1637</v>
      </c>
      <c r="AD1178" s="6">
        <v>2</v>
      </c>
      <c r="AE1178" t="s">
        <v>933</v>
      </c>
      <c r="AF1178" t="s">
        <v>739</v>
      </c>
      <c r="AG1178" t="s">
        <v>933</v>
      </c>
      <c r="AH1178" t="s">
        <v>907</v>
      </c>
      <c r="AI1178" t="s">
        <v>368</v>
      </c>
      <c r="AJ1178" t="str">
        <f t="shared" ref="AJ1178:AK1178" si="910">IF($J1178&lt;&gt;"",$J1178,IF($AC1178=$AC1177,AJ1177,""))</f>
        <v/>
      </c>
      <c r="AK1178" t="str">
        <f t="shared" si="910"/>
        <v/>
      </c>
      <c r="AL1178" t="str">
        <f t="shared" si="867"/>
        <v/>
      </c>
      <c r="AN1178" t="s">
        <v>862</v>
      </c>
      <c r="AO1178" t="str">
        <f t="shared" si="868"/>
        <v>a</v>
      </c>
      <c r="AP1178" t="str">
        <f t="shared" si="876"/>
        <v/>
      </c>
      <c r="AQ1178" t="str">
        <f t="shared" si="877"/>
        <v/>
      </c>
      <c r="AR1178" t="str">
        <f t="shared" si="878"/>
        <v>Away</v>
      </c>
      <c r="AS1178" t="str">
        <f t="shared" si="879"/>
        <v>a</v>
      </c>
      <c r="AT1178" t="str">
        <f t="shared" si="880"/>
        <v>Defensive</v>
      </c>
      <c r="BA1178" s="6">
        <f t="shared" si="869"/>
        <v>288</v>
      </c>
      <c r="BB1178">
        <f t="shared" si="870"/>
        <v>18981</v>
      </c>
      <c r="BC1178" t="str">
        <f t="shared" si="871"/>
        <v>Nelson</v>
      </c>
      <c r="BD1178" t="str">
        <f t="shared" si="872"/>
        <v>Velodrome</v>
      </c>
      <c r="BE1178" t="s">
        <v>13</v>
      </c>
      <c r="BF1178" t="s">
        <v>756</v>
      </c>
      <c r="BG1178" t="s">
        <v>756</v>
      </c>
      <c r="BI1178" cm="1">
        <f t="array" ref="BI1178">IFERROR(_xlfn._xlws.FILTER(shifts!A:A,(shifts!B:B=events!AD1178)*(shifts!AG:AG&gt;=events!BK1178)*(shifts!AH:AH&lt;=events!BL1178)),BI1177)</f>
        <v>55</v>
      </c>
      <c r="BJ1178" s="15">
        <f t="shared" si="873"/>
        <v>2</v>
      </c>
      <c r="BK1178">
        <f t="shared" si="881"/>
        <v>566</v>
      </c>
      <c r="BL1178">
        <f t="shared" si="882"/>
        <v>564</v>
      </c>
      <c r="BM1178" s="15">
        <f>SUMIFS(BJ$2:BJ1178,K$2:K1178,"=Intermission")+SUMIFS(BJ$2:BJ1178,K$2:K1178,"=Timeout")</f>
        <v>72</v>
      </c>
      <c r="BN1178">
        <f t="shared" si="883"/>
        <v>1152</v>
      </c>
      <c r="BO1178" s="19">
        <f t="shared" si="884"/>
        <v>1666</v>
      </c>
      <c r="BP1178">
        <f t="shared" si="885"/>
        <v>1661</v>
      </c>
      <c r="BQ1178" s="17">
        <f t="shared" si="886"/>
        <v>1668</v>
      </c>
      <c r="BR1178" t="str">
        <f t="shared" si="887"/>
        <v>opp_team_player_1</v>
      </c>
      <c r="BS1178">
        <f>COUNTIFS(S$3:S1178,"="&amp;S1178,AI$3:AI1178,"="&amp;AI1178)</f>
        <v>1</v>
      </c>
      <c r="BT1178" t="str">
        <f>IFERROR(VLOOKUP(BB1178&amp;BU1178&amp;X1178,game_rosters!U:W,3,FALSE),"")</f>
        <v>P100066</v>
      </c>
      <c r="BU1178" t="str">
        <f t="shared" si="888"/>
        <v>Nelson</v>
      </c>
    </row>
    <row r="1179" spans="1:73" x14ac:dyDescent="0.2">
      <c r="A1179">
        <f t="shared" si="874"/>
        <v>1</v>
      </c>
      <c r="J1179" s="44" t="str">
        <f t="shared" si="889"/>
        <v>d</v>
      </c>
      <c r="K1179" t="s">
        <v>238</v>
      </c>
      <c r="L1179" t="s">
        <v>184</v>
      </c>
      <c r="M1179" t="s">
        <v>90</v>
      </c>
      <c r="S1179">
        <v>638</v>
      </c>
      <c r="W1179" t="str">
        <f t="shared" si="865"/>
        <v>a</v>
      </c>
      <c r="X1179">
        <v>84</v>
      </c>
      <c r="Y1179" t="e">
        <f>IF(X1179&lt;&gt;"",VLOOKUP(X1179,game_rosters!$C$43:$E$64,3,FALSE))</f>
        <v>#N/A</v>
      </c>
      <c r="Z1179" cm="1">
        <f t="array" ref="Z1179">IFERROR(IF(_xlfn._xlws.FILTER(game_rosters!$J:$J,(game_rosters!$G:$G=events!$AN1179)*(game_rosters!$J:$J=events!$X1179))&gt;0,1,""),"")</f>
        <v>1</v>
      </c>
      <c r="AA1179">
        <f t="shared" si="823"/>
        <v>1638</v>
      </c>
      <c r="AB1179" t="str">
        <f t="shared" si="824"/>
        <v/>
      </c>
      <c r="AC1179">
        <f t="shared" si="862"/>
        <v>1638</v>
      </c>
      <c r="AD1179" s="6">
        <v>2</v>
      </c>
      <c r="AE1179" t="s">
        <v>933</v>
      </c>
      <c r="AF1179" t="s">
        <v>907</v>
      </c>
      <c r="AG1179" t="s">
        <v>756</v>
      </c>
      <c r="AH1179" t="s">
        <v>756</v>
      </c>
      <c r="AI1179" t="s">
        <v>367</v>
      </c>
      <c r="AJ1179" t="str">
        <f t="shared" ref="AJ1179:AK1179" si="911">IF($J1179&lt;&gt;"",$J1179,IF($AC1179=$AC1178,AJ1178,""))</f>
        <v>d</v>
      </c>
      <c r="AK1179" t="str">
        <f t="shared" si="911"/>
        <v>d</v>
      </c>
      <c r="AL1179" t="str">
        <f t="shared" si="867"/>
        <v>o</v>
      </c>
      <c r="AN1179" t="s">
        <v>862</v>
      </c>
      <c r="AO1179" t="str">
        <f t="shared" si="868"/>
        <v>a</v>
      </c>
      <c r="AP1179" t="str">
        <f t="shared" si="876"/>
        <v>o</v>
      </c>
      <c r="AQ1179" t="str">
        <f t="shared" si="877"/>
        <v/>
      </c>
      <c r="AR1179" t="str">
        <f t="shared" si="878"/>
        <v>Away</v>
      </c>
      <c r="AS1179" t="str">
        <f t="shared" si="879"/>
        <v>a</v>
      </c>
      <c r="AT1179" t="str">
        <f t="shared" si="880"/>
        <v>Offensive</v>
      </c>
      <c r="BA1179" s="6">
        <f t="shared" si="869"/>
        <v>289</v>
      </c>
      <c r="BB1179">
        <f t="shared" si="870"/>
        <v>18981</v>
      </c>
      <c r="BC1179" t="str">
        <f t="shared" si="871"/>
        <v>Nelson</v>
      </c>
      <c r="BD1179" t="str">
        <f t="shared" si="872"/>
        <v>Velodrome</v>
      </c>
      <c r="BE1179" t="s">
        <v>238</v>
      </c>
      <c r="BF1179" t="s">
        <v>184</v>
      </c>
      <c r="BG1179" t="s">
        <v>90</v>
      </c>
      <c r="BI1179" cm="1">
        <f t="array" ref="BI1179">IFERROR(_xlfn._xlws.FILTER(shifts!A:A,(shifts!B:B=events!AD1179)*(shifts!AG:AG&gt;=events!BK1179)*(shifts!AH:AH&lt;=events!BL1179)),BI1178)</f>
        <v>55</v>
      </c>
      <c r="BJ1179" s="15">
        <f t="shared" si="873"/>
        <v>0</v>
      </c>
      <c r="BK1179">
        <f t="shared" si="881"/>
        <v>564</v>
      </c>
      <c r="BL1179">
        <f t="shared" si="882"/>
        <v>564</v>
      </c>
      <c r="BM1179" s="15">
        <f>SUMIFS(BJ$2:BJ1179,K$2:K1179,"=Intermission")+SUMIFS(BJ$2:BJ1179,K$2:K1179,"=Timeout")</f>
        <v>72</v>
      </c>
      <c r="BN1179">
        <f t="shared" si="883"/>
        <v>1152</v>
      </c>
      <c r="BO1179" s="19">
        <f t="shared" si="884"/>
        <v>1668</v>
      </c>
      <c r="BP1179">
        <f t="shared" si="885"/>
        <v>1663</v>
      </c>
      <c r="BQ1179" s="17">
        <f t="shared" si="886"/>
        <v>1668</v>
      </c>
      <c r="BR1179" t="str">
        <f t="shared" si="887"/>
        <v>event_team_player_1</v>
      </c>
      <c r="BS1179">
        <f>COUNTIFS(S$3:S1179,"="&amp;S1179,AI$3:AI1179,"="&amp;AI1179)</f>
        <v>1</v>
      </c>
      <c r="BT1179" t="str">
        <f>IFERROR(VLOOKUP(BB1179&amp;BU1179&amp;X1179,game_rosters!U:W,3,FALSE),"")</f>
        <v>P100198</v>
      </c>
      <c r="BU1179" t="str">
        <f t="shared" si="888"/>
        <v>Velodrome</v>
      </c>
    </row>
    <row r="1180" spans="1:73" x14ac:dyDescent="0.2">
      <c r="A1180">
        <f t="shared" si="874"/>
        <v>1</v>
      </c>
      <c r="J1180" s="44" t="str">
        <f t="shared" si="889"/>
        <v>d</v>
      </c>
      <c r="K1180" t="s">
        <v>238</v>
      </c>
      <c r="L1180" t="s">
        <v>184</v>
      </c>
      <c r="M1180" t="s">
        <v>90</v>
      </c>
      <c r="S1180">
        <v>638</v>
      </c>
      <c r="W1180" t="str">
        <f t="shared" si="865"/>
        <v>a</v>
      </c>
      <c r="X1180">
        <v>79</v>
      </c>
      <c r="Y1180" t="b">
        <f>IF(X1180&lt;&gt;"",VLOOKUP(X1180,game_rosters!$C$43:$E$64,3,FALSE))</f>
        <v>0</v>
      </c>
      <c r="Z1180" t="str" cm="1">
        <f t="array" ref="Z1180">IFERROR(IF(_xlfn._xlws.FILTER(game_rosters!$J:$J,(game_rosters!$G:$G=events!$AN1180)*(game_rosters!$J:$J=events!$X1180))&gt;0,1,""),"")</f>
        <v/>
      </c>
      <c r="AA1180">
        <f t="shared" si="823"/>
        <v>1638</v>
      </c>
      <c r="AB1180" t="str">
        <f t="shared" si="824"/>
        <v/>
      </c>
      <c r="AC1180">
        <f t="shared" si="862"/>
        <v>1638</v>
      </c>
      <c r="AD1180" s="6">
        <v>2</v>
      </c>
      <c r="AE1180" t="s">
        <v>933</v>
      </c>
      <c r="AF1180" t="s">
        <v>907</v>
      </c>
      <c r="AG1180" t="s">
        <v>756</v>
      </c>
      <c r="AH1180" t="s">
        <v>756</v>
      </c>
      <c r="AI1180" t="s">
        <v>368</v>
      </c>
      <c r="AJ1180" t="str">
        <f t="shared" ref="AJ1180:AK1180" si="912">IF($J1180&lt;&gt;"",$J1180,IF($AC1180=$AC1179,AJ1179,""))</f>
        <v>d</v>
      </c>
      <c r="AK1180" t="str">
        <f t="shared" si="912"/>
        <v>d</v>
      </c>
      <c r="AL1180" t="str">
        <f t="shared" si="867"/>
        <v>o</v>
      </c>
      <c r="AN1180" t="s">
        <v>862</v>
      </c>
      <c r="AO1180" t="str">
        <f t="shared" si="868"/>
        <v>a</v>
      </c>
      <c r="AP1180" t="str">
        <f t="shared" si="876"/>
        <v>o</v>
      </c>
      <c r="AQ1180" t="str">
        <f t="shared" si="877"/>
        <v/>
      </c>
      <c r="AR1180" t="str">
        <f t="shared" si="878"/>
        <v>Away</v>
      </c>
      <c r="AS1180" t="str">
        <f t="shared" si="879"/>
        <v>a</v>
      </c>
      <c r="AT1180" t="str">
        <f t="shared" si="880"/>
        <v>Defensive</v>
      </c>
      <c r="BA1180" s="6">
        <f t="shared" si="869"/>
        <v>290</v>
      </c>
      <c r="BB1180">
        <f t="shared" si="870"/>
        <v>18981</v>
      </c>
      <c r="BC1180" t="str">
        <f t="shared" si="871"/>
        <v>Nelson</v>
      </c>
      <c r="BD1180" t="str">
        <f t="shared" si="872"/>
        <v>Velodrome</v>
      </c>
      <c r="BE1180" t="s">
        <v>238</v>
      </c>
      <c r="BF1180" t="s">
        <v>184</v>
      </c>
      <c r="BG1180" t="s">
        <v>90</v>
      </c>
      <c r="BI1180" cm="1">
        <f t="array" ref="BI1180">IFERROR(_xlfn._xlws.FILTER(shifts!A:A,(shifts!B:B=events!AD1180)*(shifts!AG:AG&gt;=events!BK1180)*(shifts!AH:AH&lt;=events!BL1180)),BI1179)</f>
        <v>55</v>
      </c>
      <c r="BJ1180" s="15">
        <f t="shared" si="873"/>
        <v>0</v>
      </c>
      <c r="BK1180">
        <f t="shared" si="881"/>
        <v>564</v>
      </c>
      <c r="BL1180">
        <f t="shared" si="882"/>
        <v>564</v>
      </c>
      <c r="BM1180" s="15">
        <f>SUMIFS(BJ$2:BJ1180,K$2:K1180,"=Intermission")+SUMIFS(BJ$2:BJ1180,K$2:K1180,"=Timeout")</f>
        <v>72</v>
      </c>
      <c r="BN1180">
        <f t="shared" si="883"/>
        <v>1152</v>
      </c>
      <c r="BO1180" s="19">
        <f t="shared" si="884"/>
        <v>1668</v>
      </c>
      <c r="BP1180">
        <f t="shared" si="885"/>
        <v>1663</v>
      </c>
      <c r="BQ1180" s="17">
        <f t="shared" si="886"/>
        <v>1668</v>
      </c>
      <c r="BR1180" t="str">
        <f t="shared" si="887"/>
        <v>opp_team_player_1</v>
      </c>
      <c r="BS1180">
        <f>COUNTIFS(S$3:S1180,"="&amp;S1180,AI$3:AI1180,"="&amp;AI1180)</f>
        <v>1</v>
      </c>
      <c r="BT1180" t="str">
        <f>IFERROR(VLOOKUP(BB1180&amp;BU1180&amp;X1180,game_rosters!U:W,3,FALSE),"")</f>
        <v>P100066</v>
      </c>
      <c r="BU1180" t="str">
        <f t="shared" si="888"/>
        <v>Nelson</v>
      </c>
    </row>
    <row r="1181" spans="1:73" x14ac:dyDescent="0.2">
      <c r="A1181">
        <f t="shared" si="874"/>
        <v>1</v>
      </c>
      <c r="J1181" s="44" t="str">
        <f t="shared" si="889"/>
        <v>o</v>
      </c>
      <c r="K1181" t="s">
        <v>238</v>
      </c>
      <c r="L1181" t="s">
        <v>174</v>
      </c>
      <c r="M1181" t="s">
        <v>375</v>
      </c>
      <c r="S1181">
        <v>639</v>
      </c>
      <c r="W1181" t="str">
        <f t="shared" si="865"/>
        <v>a</v>
      </c>
      <c r="X1181">
        <v>84</v>
      </c>
      <c r="Y1181" t="e">
        <f>IF(X1181&lt;&gt;"",VLOOKUP(X1181,game_rosters!$C$43:$E$64,3,FALSE))</f>
        <v>#N/A</v>
      </c>
      <c r="Z1181" cm="1">
        <f t="array" ref="Z1181">IFERROR(IF(_xlfn._xlws.FILTER(game_rosters!$J:$J,(game_rosters!$G:$G=events!$AN1181)*(game_rosters!$J:$J=events!$X1181))&gt;0,1,""),"")</f>
        <v>1</v>
      </c>
      <c r="AA1181">
        <f t="shared" ref="AA1181:AA1244" si="913">S1181+1000</f>
        <v>1639</v>
      </c>
      <c r="AB1181" t="str">
        <f t="shared" ref="AB1181:AB1244" si="914">IF(T1181&lt;&gt;"",9000+T1181,"")</f>
        <v/>
      </c>
      <c r="AC1181">
        <f t="shared" si="862"/>
        <v>1639</v>
      </c>
      <c r="AD1181" s="6">
        <v>2</v>
      </c>
      <c r="AE1181" t="s">
        <v>933</v>
      </c>
      <c r="AF1181" t="s">
        <v>907</v>
      </c>
      <c r="AG1181" t="s">
        <v>756</v>
      </c>
      <c r="AH1181" t="s">
        <v>756</v>
      </c>
      <c r="AI1181" t="s">
        <v>367</v>
      </c>
      <c r="AJ1181" t="str">
        <f t="shared" ref="AJ1181:AK1181" si="915">IF($J1181&lt;&gt;"",$J1181,IF($AC1181=$AC1180,AJ1180,""))</f>
        <v>o</v>
      </c>
      <c r="AK1181" t="str">
        <f t="shared" si="915"/>
        <v>o</v>
      </c>
      <c r="AL1181" t="str">
        <f t="shared" si="867"/>
        <v>d</v>
      </c>
      <c r="AN1181" t="s">
        <v>862</v>
      </c>
      <c r="AO1181" t="str">
        <f t="shared" si="868"/>
        <v>a</v>
      </c>
      <c r="AP1181" t="str">
        <f t="shared" si="876"/>
        <v>d</v>
      </c>
      <c r="AQ1181" t="str">
        <f t="shared" si="877"/>
        <v/>
      </c>
      <c r="AR1181" t="str">
        <f t="shared" si="878"/>
        <v>Away</v>
      </c>
      <c r="AS1181" t="str">
        <f t="shared" si="879"/>
        <v>a</v>
      </c>
      <c r="AT1181" t="str">
        <f t="shared" si="880"/>
        <v>Offensive</v>
      </c>
      <c r="BA1181" s="6">
        <f t="shared" si="869"/>
        <v>291</v>
      </c>
      <c r="BB1181">
        <f t="shared" si="870"/>
        <v>18981</v>
      </c>
      <c r="BC1181" t="str">
        <f t="shared" si="871"/>
        <v>Nelson</v>
      </c>
      <c r="BD1181" t="str">
        <f t="shared" si="872"/>
        <v>Velodrome</v>
      </c>
      <c r="BE1181" t="s">
        <v>238</v>
      </c>
      <c r="BF1181" t="s">
        <v>174</v>
      </c>
      <c r="BG1181" t="s">
        <v>375</v>
      </c>
      <c r="BI1181" cm="1">
        <f t="array" ref="BI1181">IFERROR(_xlfn._xlws.FILTER(shifts!A:A,(shifts!B:B=events!AD1181)*(shifts!AG:AG&gt;=events!BK1181)*(shifts!AH:AH&lt;=events!BL1181)),BI1180)</f>
        <v>55</v>
      </c>
      <c r="BJ1181" s="15">
        <f t="shared" si="873"/>
        <v>0</v>
      </c>
      <c r="BK1181">
        <f t="shared" si="881"/>
        <v>564</v>
      </c>
      <c r="BL1181">
        <f t="shared" si="882"/>
        <v>564</v>
      </c>
      <c r="BM1181" s="15">
        <f>SUMIFS(BJ$2:BJ1181,K$2:K1181,"=Intermission")+SUMIFS(BJ$2:BJ1181,K$2:K1181,"=Timeout")</f>
        <v>72</v>
      </c>
      <c r="BN1181">
        <f t="shared" si="883"/>
        <v>1152</v>
      </c>
      <c r="BO1181" s="19">
        <f t="shared" si="884"/>
        <v>1668</v>
      </c>
      <c r="BP1181">
        <f t="shared" si="885"/>
        <v>1663</v>
      </c>
      <c r="BQ1181" s="17">
        <f t="shared" si="886"/>
        <v>1668</v>
      </c>
      <c r="BR1181" t="str">
        <f t="shared" si="887"/>
        <v>event_team_player_1</v>
      </c>
      <c r="BS1181">
        <f>COUNTIFS(S$3:S1181,"="&amp;S1181,AI$3:AI1181,"="&amp;AI1181)</f>
        <v>1</v>
      </c>
      <c r="BT1181" t="str">
        <f>IFERROR(VLOOKUP(BB1181&amp;BU1181&amp;X1181,game_rosters!U:W,3,FALSE),"")</f>
        <v>P100198</v>
      </c>
      <c r="BU1181" t="str">
        <f t="shared" si="888"/>
        <v>Velodrome</v>
      </c>
    </row>
    <row r="1182" spans="1:73" x14ac:dyDescent="0.2">
      <c r="A1182" t="str">
        <f t="shared" si="874"/>
        <v/>
      </c>
      <c r="J1182" s="44" t="str">
        <f t="shared" si="889"/>
        <v/>
      </c>
      <c r="K1182" t="s">
        <v>756</v>
      </c>
      <c r="L1182" t="s">
        <v>756</v>
      </c>
      <c r="M1182" t="s">
        <v>756</v>
      </c>
      <c r="S1182">
        <v>640</v>
      </c>
      <c r="W1182" t="str">
        <f t="shared" si="865"/>
        <v>h</v>
      </c>
      <c r="X1182">
        <v>37</v>
      </c>
      <c r="Y1182" t="b">
        <f>IF(X1182&lt;&gt;"",VLOOKUP(X1182,game_rosters!$C$43:$E$64,3,FALSE))</f>
        <v>0</v>
      </c>
      <c r="Z1182" cm="1">
        <f t="array" ref="Z1182">IFERROR(IF(_xlfn._xlws.FILTER(game_rosters!$J:$J,(game_rosters!$G:$G=events!$AN1182)*(game_rosters!$J:$J=events!$X1182))&gt;0,1,""),"")</f>
        <v>1</v>
      </c>
      <c r="AA1182">
        <f t="shared" si="913"/>
        <v>1640</v>
      </c>
      <c r="AB1182" t="str">
        <f t="shared" si="914"/>
        <v/>
      </c>
      <c r="AC1182">
        <f t="shared" si="862"/>
        <v>1640</v>
      </c>
      <c r="AD1182" s="6">
        <v>2</v>
      </c>
      <c r="AE1182" t="s">
        <v>933</v>
      </c>
      <c r="AF1182" t="s">
        <v>909</v>
      </c>
      <c r="AG1182" t="s">
        <v>933</v>
      </c>
      <c r="AH1182" t="s">
        <v>746</v>
      </c>
      <c r="AI1182" t="s">
        <v>367</v>
      </c>
      <c r="AJ1182" t="str">
        <f t="shared" ref="AJ1182:AK1182" si="916">IF($J1182&lt;&gt;"",$J1182,IF($AC1182=$AC1181,AJ1181,""))</f>
        <v/>
      </c>
      <c r="AK1182" t="str">
        <f t="shared" si="916"/>
        <v/>
      </c>
      <c r="AL1182" t="str">
        <f t="shared" si="867"/>
        <v/>
      </c>
      <c r="AN1182" t="s">
        <v>861</v>
      </c>
      <c r="AO1182" t="str">
        <f t="shared" si="868"/>
        <v>h</v>
      </c>
      <c r="AP1182" t="str">
        <f t="shared" si="876"/>
        <v/>
      </c>
      <c r="AQ1182" t="str">
        <f t="shared" si="877"/>
        <v/>
      </c>
      <c r="AR1182" t="str">
        <f t="shared" si="878"/>
        <v>Home</v>
      </c>
      <c r="AS1182" t="str">
        <f t="shared" si="879"/>
        <v>h</v>
      </c>
      <c r="AT1182" t="str">
        <f t="shared" si="880"/>
        <v>Offensive</v>
      </c>
      <c r="BA1182" s="6">
        <f t="shared" si="869"/>
        <v>291</v>
      </c>
      <c r="BB1182">
        <f t="shared" si="870"/>
        <v>18981</v>
      </c>
      <c r="BC1182" t="str">
        <f t="shared" si="871"/>
        <v>Nelson</v>
      </c>
      <c r="BD1182" t="str">
        <f t="shared" si="872"/>
        <v>Velodrome</v>
      </c>
      <c r="BE1182" t="s">
        <v>756</v>
      </c>
      <c r="BF1182" t="s">
        <v>756</v>
      </c>
      <c r="BG1182" t="s">
        <v>756</v>
      </c>
      <c r="BI1182" cm="1">
        <f t="array" ref="BI1182">IFERROR(_xlfn._xlws.FILTER(shifts!A:A,(shifts!B:B=events!AD1182)*(shifts!AG:AG&gt;=events!BK1182)*(shifts!AH:AH&lt;=events!BL1182)),BI1181)</f>
        <v>56</v>
      </c>
      <c r="BJ1182" s="15">
        <f t="shared" si="873"/>
        <v>4</v>
      </c>
      <c r="BK1182">
        <f t="shared" si="881"/>
        <v>556</v>
      </c>
      <c r="BL1182">
        <f t="shared" si="882"/>
        <v>552</v>
      </c>
      <c r="BM1182" s="15">
        <f>SUMIFS(BJ$2:BJ1182,K$2:K1182,"=Intermission")+SUMIFS(BJ$2:BJ1182,K$2:K1182,"=Timeout")</f>
        <v>72</v>
      </c>
      <c r="BN1182">
        <f t="shared" si="883"/>
        <v>1152</v>
      </c>
      <c r="BO1182" s="19">
        <f t="shared" si="884"/>
        <v>1676</v>
      </c>
      <c r="BP1182">
        <f t="shared" si="885"/>
        <v>1671</v>
      </c>
      <c r="BQ1182" s="17">
        <f t="shared" si="886"/>
        <v>1680</v>
      </c>
      <c r="BR1182" t="str">
        <f t="shared" si="887"/>
        <v>event_team_player_1</v>
      </c>
      <c r="BS1182">
        <f>COUNTIFS(S$3:S1182,"="&amp;S1182,AI$3:AI1182,"="&amp;AI1182)</f>
        <v>1</v>
      </c>
      <c r="BT1182" t="str">
        <f>IFERROR(VLOOKUP(BB1182&amp;BU1182&amp;X1182,game_rosters!U:W,3,FALSE),"")</f>
        <v>P100119</v>
      </c>
      <c r="BU1182" t="str">
        <f t="shared" si="888"/>
        <v>Nelson</v>
      </c>
    </row>
    <row r="1183" spans="1:73" x14ac:dyDescent="0.2">
      <c r="A1183">
        <f t="shared" si="874"/>
        <v>1</v>
      </c>
      <c r="J1183" s="44" t="str">
        <f t="shared" si="889"/>
        <v/>
      </c>
      <c r="K1183" t="s">
        <v>13</v>
      </c>
      <c r="L1183" t="s">
        <v>756</v>
      </c>
      <c r="M1183" t="s">
        <v>756</v>
      </c>
      <c r="S1183">
        <v>640</v>
      </c>
      <c r="W1183" t="str">
        <f t="shared" si="865"/>
        <v>h</v>
      </c>
      <c r="X1183">
        <v>14</v>
      </c>
      <c r="Y1183" t="e">
        <f>IF(X1183&lt;&gt;"",VLOOKUP(X1183,game_rosters!$C$43:$E$64,3,FALSE))</f>
        <v>#N/A</v>
      </c>
      <c r="Z1183" t="str" cm="1">
        <f t="array" ref="Z1183">IFERROR(IF(_xlfn._xlws.FILTER(game_rosters!$J:$J,(game_rosters!$G:$G=events!$AN1183)*(game_rosters!$J:$J=events!$X1183))&gt;0,1,""),"")</f>
        <v/>
      </c>
      <c r="AA1183">
        <f t="shared" si="913"/>
        <v>1640</v>
      </c>
      <c r="AB1183" t="str">
        <f t="shared" si="914"/>
        <v/>
      </c>
      <c r="AC1183">
        <f t="shared" si="862"/>
        <v>1640</v>
      </c>
      <c r="AD1183" s="6">
        <v>2</v>
      </c>
      <c r="AE1183" t="s">
        <v>933</v>
      </c>
      <c r="AF1183" t="s">
        <v>909</v>
      </c>
      <c r="AG1183" t="s">
        <v>933</v>
      </c>
      <c r="AH1183" t="s">
        <v>746</v>
      </c>
      <c r="AI1183" t="s">
        <v>368</v>
      </c>
      <c r="AJ1183" t="str">
        <f t="shared" ref="AJ1183:AK1183" si="917">IF($J1183&lt;&gt;"",$J1183,IF($AC1183=$AC1182,AJ1182,""))</f>
        <v/>
      </c>
      <c r="AK1183" t="str">
        <f t="shared" si="917"/>
        <v/>
      </c>
      <c r="AL1183" t="str">
        <f t="shared" si="867"/>
        <v/>
      </c>
      <c r="AN1183" t="s">
        <v>861</v>
      </c>
      <c r="AO1183" t="str">
        <f t="shared" si="868"/>
        <v>h</v>
      </c>
      <c r="AP1183" t="str">
        <f t="shared" si="876"/>
        <v/>
      </c>
      <c r="AQ1183" t="str">
        <f t="shared" si="877"/>
        <v/>
      </c>
      <c r="AR1183" t="str">
        <f t="shared" si="878"/>
        <v>Home</v>
      </c>
      <c r="AS1183" t="str">
        <f t="shared" si="879"/>
        <v>h</v>
      </c>
      <c r="AT1183" t="str">
        <f t="shared" si="880"/>
        <v>Defensive</v>
      </c>
      <c r="BA1183" s="6">
        <f t="shared" si="869"/>
        <v>291</v>
      </c>
      <c r="BB1183">
        <f t="shared" si="870"/>
        <v>18981</v>
      </c>
      <c r="BC1183" t="str">
        <f t="shared" si="871"/>
        <v>Nelson</v>
      </c>
      <c r="BD1183" t="str">
        <f t="shared" si="872"/>
        <v>Velodrome</v>
      </c>
      <c r="BE1183" t="s">
        <v>13</v>
      </c>
      <c r="BF1183" t="s">
        <v>756</v>
      </c>
      <c r="BG1183" t="s">
        <v>756</v>
      </c>
      <c r="BI1183" cm="1">
        <f t="array" ref="BI1183">IFERROR(_xlfn._xlws.FILTER(shifts!A:A,(shifts!B:B=events!AD1183)*(shifts!AG:AG&gt;=events!BK1183)*(shifts!AH:AH&lt;=events!BL1183)),BI1182)</f>
        <v>56</v>
      </c>
      <c r="BJ1183" s="15">
        <f t="shared" si="873"/>
        <v>4</v>
      </c>
      <c r="BK1183">
        <f t="shared" si="881"/>
        <v>556</v>
      </c>
      <c r="BL1183">
        <f t="shared" si="882"/>
        <v>552</v>
      </c>
      <c r="BM1183" s="15">
        <f>SUMIFS(BJ$2:BJ1183,K$2:K1183,"=Intermission")+SUMIFS(BJ$2:BJ1183,K$2:K1183,"=Timeout")</f>
        <v>72</v>
      </c>
      <c r="BN1183">
        <f t="shared" si="883"/>
        <v>1152</v>
      </c>
      <c r="BO1183" s="19">
        <f t="shared" si="884"/>
        <v>1676</v>
      </c>
      <c r="BP1183">
        <f t="shared" si="885"/>
        <v>1671</v>
      </c>
      <c r="BQ1183" s="17">
        <f t="shared" si="886"/>
        <v>1680</v>
      </c>
      <c r="BR1183" t="str">
        <f t="shared" si="887"/>
        <v>opp_team_player_1</v>
      </c>
      <c r="BS1183">
        <f>COUNTIFS(S$3:S1183,"="&amp;S1183,AI$3:AI1183,"="&amp;AI1183)</f>
        <v>1</v>
      </c>
      <c r="BT1183" t="str">
        <f>IFERROR(VLOOKUP(BB1183&amp;BU1183&amp;X1183,game_rosters!U:W,3,FALSE),"")</f>
        <v>P100132</v>
      </c>
      <c r="BU1183" t="str">
        <f t="shared" si="888"/>
        <v>Velodrome</v>
      </c>
    </row>
    <row r="1184" spans="1:73" x14ac:dyDescent="0.2">
      <c r="A1184">
        <f t="shared" si="874"/>
        <v>1</v>
      </c>
      <c r="J1184" s="44" t="str">
        <f t="shared" si="889"/>
        <v/>
      </c>
      <c r="K1184" t="s">
        <v>7</v>
      </c>
      <c r="L1184" t="s">
        <v>172</v>
      </c>
      <c r="M1184" t="s">
        <v>65</v>
      </c>
      <c r="S1184">
        <v>641</v>
      </c>
      <c r="W1184" t="str">
        <f t="shared" si="865"/>
        <v>h</v>
      </c>
      <c r="X1184">
        <v>37</v>
      </c>
      <c r="Y1184" t="b">
        <f>IF(X1184&lt;&gt;"",VLOOKUP(X1184,game_rosters!$C$43:$E$64,3,FALSE))</f>
        <v>0</v>
      </c>
      <c r="Z1184" cm="1">
        <f t="array" ref="Z1184">IFERROR(IF(_xlfn._xlws.FILTER(game_rosters!$J:$J,(game_rosters!$G:$G=events!$AN1184)*(game_rosters!$J:$J=events!$X1184))&gt;0,1,""),"")</f>
        <v>1</v>
      </c>
      <c r="AA1184">
        <f t="shared" si="913"/>
        <v>1641</v>
      </c>
      <c r="AB1184" t="str">
        <f t="shared" si="914"/>
        <v/>
      </c>
      <c r="AC1184">
        <f t="shared" si="862"/>
        <v>1641</v>
      </c>
      <c r="AD1184" s="6">
        <v>2</v>
      </c>
      <c r="AE1184" t="s">
        <v>933</v>
      </c>
      <c r="AF1184" t="s">
        <v>746</v>
      </c>
      <c r="AG1184" t="s">
        <v>756</v>
      </c>
      <c r="AH1184" t="s">
        <v>756</v>
      </c>
      <c r="AI1184" t="s">
        <v>367</v>
      </c>
      <c r="AJ1184" t="str">
        <f t="shared" ref="AJ1184:AK1184" si="918">IF($J1184&lt;&gt;"",$J1184,IF($AC1184=$AC1183,AJ1183,""))</f>
        <v/>
      </c>
      <c r="AK1184" t="str">
        <f t="shared" si="918"/>
        <v/>
      </c>
      <c r="AL1184" t="str">
        <f t="shared" si="867"/>
        <v/>
      </c>
      <c r="AN1184" t="s">
        <v>861</v>
      </c>
      <c r="AO1184" t="str">
        <f t="shared" si="868"/>
        <v>h</v>
      </c>
      <c r="AP1184" t="str">
        <f t="shared" si="876"/>
        <v/>
      </c>
      <c r="AQ1184" t="str">
        <f t="shared" si="877"/>
        <v/>
      </c>
      <c r="AR1184" t="str">
        <f t="shared" si="878"/>
        <v>Home</v>
      </c>
      <c r="AS1184" t="str">
        <f t="shared" si="879"/>
        <v>h</v>
      </c>
      <c r="AT1184" t="str">
        <f t="shared" si="880"/>
        <v>Offensive</v>
      </c>
      <c r="BA1184" s="6">
        <f t="shared" si="869"/>
        <v>291</v>
      </c>
      <c r="BB1184">
        <f t="shared" si="870"/>
        <v>18981</v>
      </c>
      <c r="BC1184" t="str">
        <f t="shared" si="871"/>
        <v>Nelson</v>
      </c>
      <c r="BD1184" t="str">
        <f t="shared" si="872"/>
        <v>Velodrome</v>
      </c>
      <c r="BE1184" t="s">
        <v>7</v>
      </c>
      <c r="BF1184" t="s">
        <v>172</v>
      </c>
      <c r="BG1184" t="s">
        <v>65</v>
      </c>
      <c r="BI1184" cm="1">
        <f t="array" ref="BI1184">IFERROR(_xlfn._xlws.FILTER(shifts!A:A,(shifts!B:B=events!AD1184)*(shifts!AG:AG&gt;=events!BK1184)*(shifts!AH:AH&lt;=events!BL1184)),BI1183)</f>
        <v>56</v>
      </c>
      <c r="BJ1184" s="15">
        <f t="shared" si="873"/>
        <v>0</v>
      </c>
      <c r="BK1184">
        <f t="shared" si="881"/>
        <v>552</v>
      </c>
      <c r="BL1184">
        <f t="shared" si="882"/>
        <v>552</v>
      </c>
      <c r="BM1184" s="15">
        <f>SUMIFS(BJ$2:BJ1184,K$2:K1184,"=Intermission")+SUMIFS(BJ$2:BJ1184,K$2:K1184,"=Timeout")</f>
        <v>72</v>
      </c>
      <c r="BN1184">
        <f t="shared" si="883"/>
        <v>1152</v>
      </c>
      <c r="BO1184" s="19">
        <f t="shared" si="884"/>
        <v>1680</v>
      </c>
      <c r="BP1184">
        <f t="shared" si="885"/>
        <v>1675</v>
      </c>
      <c r="BQ1184" s="17">
        <f t="shared" si="886"/>
        <v>1680</v>
      </c>
      <c r="BR1184" t="str">
        <f t="shared" si="887"/>
        <v>event_team_player_1</v>
      </c>
      <c r="BS1184">
        <f>COUNTIFS(S$3:S1184,"="&amp;S1184,AI$3:AI1184,"="&amp;AI1184)</f>
        <v>1</v>
      </c>
      <c r="BT1184" t="str">
        <f>IFERROR(VLOOKUP(BB1184&amp;BU1184&amp;X1184,game_rosters!U:W,3,FALSE),"")</f>
        <v>P100119</v>
      </c>
      <c r="BU1184" t="str">
        <f t="shared" si="888"/>
        <v>Nelson</v>
      </c>
    </row>
    <row r="1185" spans="1:73" x14ac:dyDescent="0.2">
      <c r="A1185">
        <f t="shared" si="874"/>
        <v>1</v>
      </c>
      <c r="J1185" s="44" t="str">
        <f t="shared" si="889"/>
        <v/>
      </c>
      <c r="K1185" t="s">
        <v>7</v>
      </c>
      <c r="L1185" t="s">
        <v>172</v>
      </c>
      <c r="M1185" t="s">
        <v>65</v>
      </c>
      <c r="S1185">
        <v>641</v>
      </c>
      <c r="W1185" t="str">
        <f t="shared" si="865"/>
        <v>h</v>
      </c>
      <c r="X1185">
        <v>44</v>
      </c>
      <c r="Y1185" t="b">
        <f>IF(X1185&lt;&gt;"",VLOOKUP(X1185,game_rosters!$C$43:$E$64,3,FALSE))</f>
        <v>0</v>
      </c>
      <c r="Z1185" cm="1">
        <f t="array" ref="Z1185">IFERROR(IF(_xlfn._xlws.FILTER(game_rosters!$J:$J,(game_rosters!$G:$G=events!$AN1185)*(game_rosters!$J:$J=events!$X1185))&gt;0,1,""),"")</f>
        <v>1</v>
      </c>
      <c r="AA1185">
        <f t="shared" si="913"/>
        <v>1641</v>
      </c>
      <c r="AB1185" t="str">
        <f t="shared" si="914"/>
        <v/>
      </c>
      <c r="AC1185">
        <f t="shared" si="862"/>
        <v>1641</v>
      </c>
      <c r="AD1185" s="6">
        <v>2</v>
      </c>
      <c r="AE1185" t="s">
        <v>933</v>
      </c>
      <c r="AF1185" t="s">
        <v>746</v>
      </c>
      <c r="AG1185" t="s">
        <v>756</v>
      </c>
      <c r="AH1185" t="s">
        <v>756</v>
      </c>
      <c r="AI1185" t="s">
        <v>367</v>
      </c>
      <c r="AJ1185" t="str">
        <f t="shared" ref="AJ1185:AK1185" si="919">IF($J1185&lt;&gt;"",$J1185,IF($AC1185=$AC1184,AJ1184,""))</f>
        <v/>
      </c>
      <c r="AK1185" t="str">
        <f t="shared" si="919"/>
        <v/>
      </c>
      <c r="AL1185" t="str">
        <f t="shared" si="867"/>
        <v/>
      </c>
      <c r="AN1185" t="s">
        <v>861</v>
      </c>
      <c r="AO1185" t="str">
        <f t="shared" si="868"/>
        <v>h</v>
      </c>
      <c r="AP1185" t="str">
        <f t="shared" si="876"/>
        <v/>
      </c>
      <c r="AQ1185" t="str">
        <f t="shared" si="877"/>
        <v/>
      </c>
      <c r="AR1185" t="str">
        <f t="shared" si="878"/>
        <v>Home</v>
      </c>
      <c r="AS1185" t="str">
        <f t="shared" si="879"/>
        <v>h</v>
      </c>
      <c r="AT1185" t="str">
        <f t="shared" si="880"/>
        <v>Offensive</v>
      </c>
      <c r="BA1185" s="6">
        <f t="shared" si="869"/>
        <v>291</v>
      </c>
      <c r="BB1185">
        <f t="shared" si="870"/>
        <v>18981</v>
      </c>
      <c r="BC1185" t="str">
        <f t="shared" si="871"/>
        <v>Nelson</v>
      </c>
      <c r="BD1185" t="str">
        <f t="shared" si="872"/>
        <v>Velodrome</v>
      </c>
      <c r="BE1185" t="s">
        <v>7</v>
      </c>
      <c r="BF1185" t="s">
        <v>172</v>
      </c>
      <c r="BG1185" t="s">
        <v>65</v>
      </c>
      <c r="BI1185" cm="1">
        <f t="array" ref="BI1185">IFERROR(_xlfn._xlws.FILTER(shifts!A:A,(shifts!B:B=events!AD1185)*(shifts!AG:AG&gt;=events!BK1185)*(shifts!AH:AH&lt;=events!BL1185)),BI1184)</f>
        <v>56</v>
      </c>
      <c r="BJ1185" s="15">
        <f t="shared" si="873"/>
        <v>0</v>
      </c>
      <c r="BK1185">
        <f t="shared" si="881"/>
        <v>552</v>
      </c>
      <c r="BL1185">
        <f t="shared" si="882"/>
        <v>552</v>
      </c>
      <c r="BM1185" s="15">
        <f>SUMIFS(BJ$2:BJ1185,K$2:K1185,"=Intermission")+SUMIFS(BJ$2:BJ1185,K$2:K1185,"=Timeout")</f>
        <v>72</v>
      </c>
      <c r="BN1185">
        <f t="shared" si="883"/>
        <v>1152</v>
      </c>
      <c r="BO1185" s="19">
        <f t="shared" si="884"/>
        <v>1680</v>
      </c>
      <c r="BP1185">
        <f t="shared" si="885"/>
        <v>1675</v>
      </c>
      <c r="BQ1185" s="17">
        <f t="shared" si="886"/>
        <v>1680</v>
      </c>
      <c r="BR1185" t="str">
        <f t="shared" si="887"/>
        <v>event_team_player_2</v>
      </c>
      <c r="BS1185">
        <f>COUNTIFS(S$3:S1185,"="&amp;S1185,AI$3:AI1185,"="&amp;AI1185)</f>
        <v>2</v>
      </c>
      <c r="BT1185" t="str">
        <f>IFERROR(VLOOKUP(BB1185&amp;BU1185&amp;X1185,game_rosters!U:W,3,FALSE),"")</f>
        <v>P100079</v>
      </c>
      <c r="BU1185" t="str">
        <f t="shared" si="888"/>
        <v>Nelson</v>
      </c>
    </row>
    <row r="1186" spans="1:73" x14ac:dyDescent="0.2">
      <c r="A1186">
        <f t="shared" si="874"/>
        <v>1</v>
      </c>
      <c r="J1186" s="44" t="str">
        <f t="shared" si="889"/>
        <v>d</v>
      </c>
      <c r="K1186" t="s">
        <v>238</v>
      </c>
      <c r="L1186" t="s">
        <v>184</v>
      </c>
      <c r="M1186" t="s">
        <v>89</v>
      </c>
      <c r="S1186">
        <v>642</v>
      </c>
      <c r="W1186" t="str">
        <f t="shared" si="865"/>
        <v>h</v>
      </c>
      <c r="X1186">
        <v>37</v>
      </c>
      <c r="Y1186" t="b">
        <f>IF(X1186&lt;&gt;"",VLOOKUP(X1186,game_rosters!$C$43:$E$64,3,FALSE))</f>
        <v>0</v>
      </c>
      <c r="Z1186" cm="1">
        <f t="array" ref="Z1186">IFERROR(IF(_xlfn._xlws.FILTER(game_rosters!$J:$J,(game_rosters!$G:$G=events!$AN1186)*(game_rosters!$J:$J=events!$X1186))&gt;0,1,""),"")</f>
        <v>1</v>
      </c>
      <c r="AA1186">
        <f t="shared" si="913"/>
        <v>1642</v>
      </c>
      <c r="AB1186" t="str">
        <f t="shared" si="914"/>
        <v/>
      </c>
      <c r="AC1186">
        <f t="shared" si="862"/>
        <v>1642</v>
      </c>
      <c r="AD1186" s="6">
        <v>2</v>
      </c>
      <c r="AE1186" t="s">
        <v>933</v>
      </c>
      <c r="AF1186" t="s">
        <v>746</v>
      </c>
      <c r="AG1186" t="s">
        <v>756</v>
      </c>
      <c r="AH1186" t="s">
        <v>756</v>
      </c>
      <c r="AI1186" t="s">
        <v>367</v>
      </c>
      <c r="AJ1186" t="str">
        <f t="shared" ref="AJ1186:AK1186" si="920">IF($J1186&lt;&gt;"",$J1186,IF($AC1186=$AC1185,AJ1185,""))</f>
        <v>d</v>
      </c>
      <c r="AK1186" t="str">
        <f t="shared" si="920"/>
        <v>d</v>
      </c>
      <c r="AL1186" t="str">
        <f t="shared" si="867"/>
        <v>d</v>
      </c>
      <c r="AN1186" t="s">
        <v>861</v>
      </c>
      <c r="AO1186" t="str">
        <f t="shared" si="868"/>
        <v>h</v>
      </c>
      <c r="AP1186" t="str">
        <f t="shared" si="876"/>
        <v>d</v>
      </c>
      <c r="AQ1186" t="str">
        <f t="shared" si="877"/>
        <v/>
      </c>
      <c r="AR1186" t="str">
        <f t="shared" si="878"/>
        <v>Home</v>
      </c>
      <c r="AS1186" t="str">
        <f t="shared" si="879"/>
        <v>h</v>
      </c>
      <c r="AT1186" t="str">
        <f t="shared" si="880"/>
        <v>Offensive</v>
      </c>
      <c r="BA1186" s="6">
        <f t="shared" si="869"/>
        <v>292</v>
      </c>
      <c r="BB1186">
        <f t="shared" si="870"/>
        <v>18981</v>
      </c>
      <c r="BC1186" t="str">
        <f t="shared" si="871"/>
        <v>Nelson</v>
      </c>
      <c r="BD1186" t="str">
        <f t="shared" si="872"/>
        <v>Velodrome</v>
      </c>
      <c r="BE1186" t="s">
        <v>238</v>
      </c>
      <c r="BF1186" t="s">
        <v>184</v>
      </c>
      <c r="BG1186" t="s">
        <v>89</v>
      </c>
      <c r="BI1186" cm="1">
        <f t="array" ref="BI1186">IFERROR(_xlfn._xlws.FILTER(shifts!A:A,(shifts!B:B=events!AD1186)*(shifts!AG:AG&gt;=events!BK1186)*(shifts!AH:AH&lt;=events!BL1186)),BI1185)</f>
        <v>56</v>
      </c>
      <c r="BJ1186" s="15">
        <f t="shared" si="873"/>
        <v>0</v>
      </c>
      <c r="BK1186">
        <f t="shared" si="881"/>
        <v>552</v>
      </c>
      <c r="BL1186">
        <f t="shared" si="882"/>
        <v>552</v>
      </c>
      <c r="BM1186" s="15">
        <f>SUMIFS(BJ$2:BJ1186,K$2:K1186,"=Intermission")+SUMIFS(BJ$2:BJ1186,K$2:K1186,"=Timeout")</f>
        <v>72</v>
      </c>
      <c r="BN1186">
        <f t="shared" si="883"/>
        <v>1152</v>
      </c>
      <c r="BO1186" s="19">
        <f t="shared" si="884"/>
        <v>1680</v>
      </c>
      <c r="BP1186">
        <f t="shared" si="885"/>
        <v>1675</v>
      </c>
      <c r="BQ1186" s="17">
        <f t="shared" si="886"/>
        <v>1680</v>
      </c>
      <c r="BR1186" t="str">
        <f t="shared" si="887"/>
        <v>event_team_player_1</v>
      </c>
      <c r="BS1186">
        <f>COUNTIFS(S$3:S1186,"="&amp;S1186,AI$3:AI1186,"="&amp;AI1186)</f>
        <v>1</v>
      </c>
      <c r="BT1186" t="str">
        <f>IFERROR(VLOOKUP(BB1186&amp;BU1186&amp;X1186,game_rosters!U:W,3,FALSE),"")</f>
        <v>P100119</v>
      </c>
      <c r="BU1186" t="str">
        <f t="shared" si="888"/>
        <v>Nelson</v>
      </c>
    </row>
    <row r="1187" spans="1:73" x14ac:dyDescent="0.2">
      <c r="A1187">
        <f t="shared" si="874"/>
        <v>1</v>
      </c>
      <c r="J1187" s="44" t="str">
        <f t="shared" si="889"/>
        <v>d</v>
      </c>
      <c r="K1187" t="s">
        <v>238</v>
      </c>
      <c r="L1187" t="s">
        <v>184</v>
      </c>
      <c r="M1187" t="s">
        <v>89</v>
      </c>
      <c r="S1187">
        <v>642</v>
      </c>
      <c r="W1187" t="str">
        <f t="shared" si="865"/>
        <v>h</v>
      </c>
      <c r="X1187">
        <v>44</v>
      </c>
      <c r="Y1187" t="b">
        <f>IF(X1187&lt;&gt;"",VLOOKUP(X1187,game_rosters!$C$43:$E$64,3,FALSE))</f>
        <v>0</v>
      </c>
      <c r="Z1187" cm="1">
        <f t="array" ref="Z1187">IFERROR(IF(_xlfn._xlws.FILTER(game_rosters!$J:$J,(game_rosters!$G:$G=events!$AN1187)*(game_rosters!$J:$J=events!$X1187))&gt;0,1,""),"")</f>
        <v>1</v>
      </c>
      <c r="AA1187">
        <f t="shared" si="913"/>
        <v>1642</v>
      </c>
      <c r="AB1187" t="str">
        <f t="shared" si="914"/>
        <v/>
      </c>
      <c r="AC1187">
        <f t="shared" si="862"/>
        <v>1642</v>
      </c>
      <c r="AD1187" s="6">
        <v>2</v>
      </c>
      <c r="AE1187" t="s">
        <v>933</v>
      </c>
      <c r="AF1187" t="s">
        <v>746</v>
      </c>
      <c r="AG1187" t="s">
        <v>756</v>
      </c>
      <c r="AH1187" t="s">
        <v>756</v>
      </c>
      <c r="AI1187" t="s">
        <v>367</v>
      </c>
      <c r="AJ1187" t="str">
        <f t="shared" ref="AJ1187:AK1187" si="921">IF($J1187&lt;&gt;"",$J1187,IF($AC1187=$AC1186,AJ1186,""))</f>
        <v>d</v>
      </c>
      <c r="AK1187" t="str">
        <f t="shared" si="921"/>
        <v>d</v>
      </c>
      <c r="AL1187" t="str">
        <f t="shared" si="867"/>
        <v>d</v>
      </c>
      <c r="AN1187" t="s">
        <v>861</v>
      </c>
      <c r="AO1187" t="str">
        <f t="shared" si="868"/>
        <v>h</v>
      </c>
      <c r="AP1187" t="str">
        <f t="shared" si="876"/>
        <v>d</v>
      </c>
      <c r="AQ1187" t="str">
        <f t="shared" si="877"/>
        <v/>
      </c>
      <c r="AR1187" t="str">
        <f t="shared" si="878"/>
        <v>Home</v>
      </c>
      <c r="AS1187" t="str">
        <f t="shared" si="879"/>
        <v>h</v>
      </c>
      <c r="AT1187" t="str">
        <f t="shared" si="880"/>
        <v>Offensive</v>
      </c>
      <c r="BA1187" s="6">
        <f t="shared" si="869"/>
        <v>293</v>
      </c>
      <c r="BB1187">
        <f t="shared" si="870"/>
        <v>18981</v>
      </c>
      <c r="BC1187" t="str">
        <f t="shared" si="871"/>
        <v>Nelson</v>
      </c>
      <c r="BD1187" t="str">
        <f t="shared" si="872"/>
        <v>Velodrome</v>
      </c>
      <c r="BE1187" t="s">
        <v>238</v>
      </c>
      <c r="BF1187" t="s">
        <v>184</v>
      </c>
      <c r="BG1187" t="s">
        <v>89</v>
      </c>
      <c r="BI1187" cm="1">
        <f t="array" ref="BI1187">IFERROR(_xlfn._xlws.FILTER(shifts!A:A,(shifts!B:B=events!AD1187)*(shifts!AG:AG&gt;=events!BK1187)*(shifts!AH:AH&lt;=events!BL1187)),BI1186)</f>
        <v>56</v>
      </c>
      <c r="BJ1187" s="15">
        <f t="shared" si="873"/>
        <v>0</v>
      </c>
      <c r="BK1187">
        <f t="shared" si="881"/>
        <v>552</v>
      </c>
      <c r="BL1187">
        <f t="shared" si="882"/>
        <v>552</v>
      </c>
      <c r="BM1187" s="15">
        <f>SUMIFS(BJ$2:BJ1187,K$2:K1187,"=Intermission")+SUMIFS(BJ$2:BJ1187,K$2:K1187,"=Timeout")</f>
        <v>72</v>
      </c>
      <c r="BN1187">
        <f t="shared" si="883"/>
        <v>1152</v>
      </c>
      <c r="BO1187" s="19">
        <f t="shared" si="884"/>
        <v>1680</v>
      </c>
      <c r="BP1187">
        <f t="shared" si="885"/>
        <v>1675</v>
      </c>
      <c r="BQ1187" s="17">
        <f t="shared" si="886"/>
        <v>1680</v>
      </c>
      <c r="BR1187" t="str">
        <f t="shared" si="887"/>
        <v>event_team_player_2</v>
      </c>
      <c r="BS1187">
        <f>COUNTIFS(S$3:S1187,"="&amp;S1187,AI$3:AI1187,"="&amp;AI1187)</f>
        <v>2</v>
      </c>
      <c r="BT1187" t="str">
        <f>IFERROR(VLOOKUP(BB1187&amp;BU1187&amp;X1187,game_rosters!U:W,3,FALSE),"")</f>
        <v>P100079</v>
      </c>
      <c r="BU1187" t="str">
        <f t="shared" si="888"/>
        <v>Nelson</v>
      </c>
    </row>
    <row r="1188" spans="1:73" x14ac:dyDescent="0.2">
      <c r="A1188">
        <f t="shared" si="874"/>
        <v>1</v>
      </c>
      <c r="J1188" s="44" t="str">
        <f t="shared" si="889"/>
        <v/>
      </c>
      <c r="K1188" t="s">
        <v>13</v>
      </c>
      <c r="L1188" t="s">
        <v>756</v>
      </c>
      <c r="M1188" t="s">
        <v>756</v>
      </c>
      <c r="S1188">
        <v>643</v>
      </c>
      <c r="W1188" t="str">
        <f t="shared" si="865"/>
        <v>h</v>
      </c>
      <c r="X1188">
        <v>44</v>
      </c>
      <c r="Y1188" t="b">
        <f>IF(X1188&lt;&gt;"",VLOOKUP(X1188,game_rosters!$C$43:$E$64,3,FALSE))</f>
        <v>0</v>
      </c>
      <c r="Z1188" cm="1">
        <f t="array" ref="Z1188">IFERROR(IF(_xlfn._xlws.FILTER(game_rosters!$J:$J,(game_rosters!$G:$G=events!$AN1188)*(game_rosters!$J:$J=events!$X1188))&gt;0,1,""),"")</f>
        <v>1</v>
      </c>
      <c r="AA1188">
        <f t="shared" si="913"/>
        <v>1643</v>
      </c>
      <c r="AB1188" t="str">
        <f t="shared" si="914"/>
        <v/>
      </c>
      <c r="AC1188">
        <f t="shared" si="862"/>
        <v>1643</v>
      </c>
      <c r="AD1188" s="6">
        <v>2</v>
      </c>
      <c r="AE1188" t="s">
        <v>933</v>
      </c>
      <c r="AF1188" t="s">
        <v>746</v>
      </c>
      <c r="AG1188" t="s">
        <v>933</v>
      </c>
      <c r="AH1188" t="s">
        <v>939</v>
      </c>
      <c r="AI1188" t="s">
        <v>367</v>
      </c>
      <c r="AJ1188" t="str">
        <f t="shared" ref="AJ1188:AK1188" si="922">IF($J1188&lt;&gt;"",$J1188,IF($AC1188=$AC1187,AJ1187,""))</f>
        <v/>
      </c>
      <c r="AK1188" t="str">
        <f t="shared" si="922"/>
        <v/>
      </c>
      <c r="AL1188" t="str">
        <f t="shared" si="867"/>
        <v/>
      </c>
      <c r="AN1188" t="s">
        <v>861</v>
      </c>
      <c r="AO1188" t="str">
        <f t="shared" si="868"/>
        <v>h</v>
      </c>
      <c r="AP1188" t="str">
        <f t="shared" si="876"/>
        <v/>
      </c>
      <c r="AQ1188" t="str">
        <f t="shared" si="877"/>
        <v/>
      </c>
      <c r="AR1188" t="str">
        <f t="shared" si="878"/>
        <v>Home</v>
      </c>
      <c r="AS1188" t="str">
        <f t="shared" si="879"/>
        <v>h</v>
      </c>
      <c r="AT1188" t="str">
        <f t="shared" si="880"/>
        <v>Offensive</v>
      </c>
      <c r="BA1188" s="6">
        <f t="shared" si="869"/>
        <v>293</v>
      </c>
      <c r="BB1188">
        <f t="shared" si="870"/>
        <v>18981</v>
      </c>
      <c r="BC1188" t="str">
        <f t="shared" si="871"/>
        <v>Nelson</v>
      </c>
      <c r="BD1188" t="str">
        <f t="shared" si="872"/>
        <v>Velodrome</v>
      </c>
      <c r="BE1188" t="s">
        <v>13</v>
      </c>
      <c r="BF1188" t="s">
        <v>756</v>
      </c>
      <c r="BG1188" t="s">
        <v>756</v>
      </c>
      <c r="BI1188" cm="1">
        <f t="array" ref="BI1188">IFERROR(_xlfn._xlws.FILTER(shifts!A:A,(shifts!B:B=events!AD1188)*(shifts!AG:AG&gt;=events!BK1188)*(shifts!AH:AH&lt;=events!BL1188)),BI1187)</f>
        <v>56</v>
      </c>
      <c r="BJ1188" s="15">
        <f t="shared" si="873"/>
        <v>4</v>
      </c>
      <c r="BK1188">
        <f t="shared" si="881"/>
        <v>552</v>
      </c>
      <c r="BL1188">
        <f t="shared" si="882"/>
        <v>548</v>
      </c>
      <c r="BM1188" s="15">
        <f>SUMIFS(BJ$2:BJ1188,K$2:K1188,"=Intermission")+SUMIFS(BJ$2:BJ1188,K$2:K1188,"=Timeout")</f>
        <v>72</v>
      </c>
      <c r="BN1188">
        <f t="shared" si="883"/>
        <v>1152</v>
      </c>
      <c r="BO1188" s="19">
        <f t="shared" si="884"/>
        <v>1680</v>
      </c>
      <c r="BP1188">
        <f t="shared" si="885"/>
        <v>1675</v>
      </c>
      <c r="BQ1188" s="17">
        <f t="shared" si="886"/>
        <v>1684</v>
      </c>
      <c r="BR1188" t="str">
        <f t="shared" si="887"/>
        <v>event_team_player_1</v>
      </c>
      <c r="BS1188">
        <f>COUNTIFS(S$3:S1188,"="&amp;S1188,AI$3:AI1188,"="&amp;AI1188)</f>
        <v>1</v>
      </c>
      <c r="BT1188" t="str">
        <f>IFERROR(VLOOKUP(BB1188&amp;BU1188&amp;X1188,game_rosters!U:W,3,FALSE),"")</f>
        <v>P100079</v>
      </c>
      <c r="BU1188" t="str">
        <f t="shared" si="888"/>
        <v>Nelson</v>
      </c>
    </row>
    <row r="1189" spans="1:73" x14ac:dyDescent="0.2">
      <c r="A1189">
        <f t="shared" si="874"/>
        <v>1</v>
      </c>
      <c r="J1189" s="44" t="str">
        <f t="shared" si="889"/>
        <v>o</v>
      </c>
      <c r="K1189" t="s">
        <v>238</v>
      </c>
      <c r="L1189" t="s">
        <v>174</v>
      </c>
      <c r="M1189" t="s">
        <v>85</v>
      </c>
      <c r="S1189">
        <v>644</v>
      </c>
      <c r="W1189" t="str">
        <f t="shared" si="865"/>
        <v>h</v>
      </c>
      <c r="X1189">
        <v>44</v>
      </c>
      <c r="Y1189" t="b">
        <f>IF(X1189&lt;&gt;"",VLOOKUP(X1189,game_rosters!$C$43:$E$64,3,FALSE))</f>
        <v>0</v>
      </c>
      <c r="Z1189" cm="1">
        <f t="array" ref="Z1189">IFERROR(IF(_xlfn._xlws.FILTER(game_rosters!$J:$J,(game_rosters!$G:$G=events!$AN1189)*(game_rosters!$J:$J=events!$X1189))&gt;0,1,""),"")</f>
        <v>1</v>
      </c>
      <c r="AA1189">
        <f t="shared" si="913"/>
        <v>1644</v>
      </c>
      <c r="AB1189" t="str">
        <f t="shared" si="914"/>
        <v/>
      </c>
      <c r="AC1189">
        <f t="shared" si="862"/>
        <v>1644</v>
      </c>
      <c r="AD1189" s="6">
        <v>2</v>
      </c>
      <c r="AE1189" t="s">
        <v>933</v>
      </c>
      <c r="AF1189" t="s">
        <v>939</v>
      </c>
      <c r="AG1189" t="s">
        <v>933</v>
      </c>
      <c r="AH1189" t="s">
        <v>912</v>
      </c>
      <c r="AI1189" t="s">
        <v>367</v>
      </c>
      <c r="AJ1189" t="str">
        <f t="shared" ref="AJ1189:AK1189" si="923">IF($J1189&lt;&gt;"",$J1189,IF($AC1189=$AC1188,AJ1188,""))</f>
        <v>o</v>
      </c>
      <c r="AK1189" t="str">
        <f t="shared" si="923"/>
        <v>o</v>
      </c>
      <c r="AL1189" t="str">
        <f t="shared" si="867"/>
        <v>o</v>
      </c>
      <c r="AN1189" t="s">
        <v>861</v>
      </c>
      <c r="AO1189" t="str">
        <f t="shared" si="868"/>
        <v>h</v>
      </c>
      <c r="AP1189" t="str">
        <f t="shared" si="876"/>
        <v>o</v>
      </c>
      <c r="AQ1189" t="str">
        <f t="shared" si="877"/>
        <v/>
      </c>
      <c r="AR1189" t="str">
        <f t="shared" si="878"/>
        <v>Home</v>
      </c>
      <c r="AS1189" t="str">
        <f t="shared" si="879"/>
        <v>h</v>
      </c>
      <c r="AT1189" t="str">
        <f t="shared" si="880"/>
        <v>Offensive</v>
      </c>
      <c r="BA1189" s="6">
        <f t="shared" si="869"/>
        <v>294</v>
      </c>
      <c r="BB1189">
        <f t="shared" si="870"/>
        <v>18981</v>
      </c>
      <c r="BC1189" t="str">
        <f t="shared" si="871"/>
        <v>Nelson</v>
      </c>
      <c r="BD1189" t="str">
        <f t="shared" si="872"/>
        <v>Velodrome</v>
      </c>
      <c r="BE1189" t="s">
        <v>238</v>
      </c>
      <c r="BF1189" t="s">
        <v>174</v>
      </c>
      <c r="BG1189" t="s">
        <v>85</v>
      </c>
      <c r="BI1189" cm="1">
        <f t="array" ref="BI1189">IFERROR(_xlfn._xlws.FILTER(shifts!A:A,(shifts!B:B=events!AD1189)*(shifts!AG:AG&gt;=events!BK1189)*(shifts!AH:AH&lt;=events!BL1189)),BI1188)</f>
        <v>56</v>
      </c>
      <c r="BJ1189" s="15">
        <f t="shared" si="873"/>
        <v>3</v>
      </c>
      <c r="BK1189">
        <f t="shared" si="881"/>
        <v>548</v>
      </c>
      <c r="BL1189">
        <f t="shared" si="882"/>
        <v>545</v>
      </c>
      <c r="BM1189" s="15">
        <f>SUMIFS(BJ$2:BJ1189,K$2:K1189,"=Intermission")+SUMIFS(BJ$2:BJ1189,K$2:K1189,"=Timeout")</f>
        <v>72</v>
      </c>
      <c r="BN1189">
        <f t="shared" si="883"/>
        <v>1152</v>
      </c>
      <c r="BO1189" s="19">
        <f t="shared" si="884"/>
        <v>1684</v>
      </c>
      <c r="BP1189">
        <f t="shared" si="885"/>
        <v>1679</v>
      </c>
      <c r="BQ1189" s="17">
        <f t="shared" si="886"/>
        <v>1687</v>
      </c>
      <c r="BR1189" t="str">
        <f t="shared" si="887"/>
        <v>event_team_player_1</v>
      </c>
      <c r="BS1189">
        <f>COUNTIFS(S$3:S1189,"="&amp;S1189,AI$3:AI1189,"="&amp;AI1189)</f>
        <v>1</v>
      </c>
      <c r="BT1189" t="str">
        <f>IFERROR(VLOOKUP(BB1189&amp;BU1189&amp;X1189,game_rosters!U:W,3,FALSE),"")</f>
        <v>P100079</v>
      </c>
      <c r="BU1189" t="str">
        <f t="shared" si="888"/>
        <v>Nelson</v>
      </c>
    </row>
    <row r="1190" spans="1:73" x14ac:dyDescent="0.2">
      <c r="A1190">
        <f t="shared" si="874"/>
        <v>1</v>
      </c>
      <c r="J1190" s="44" t="str">
        <f t="shared" si="889"/>
        <v>o</v>
      </c>
      <c r="K1190" t="s">
        <v>238</v>
      </c>
      <c r="L1190" t="s">
        <v>174</v>
      </c>
      <c r="M1190" t="s">
        <v>85</v>
      </c>
      <c r="S1190">
        <v>644</v>
      </c>
      <c r="W1190" t="str">
        <f t="shared" si="865"/>
        <v>h</v>
      </c>
      <c r="X1190">
        <v>79</v>
      </c>
      <c r="Y1190" t="b">
        <f>IF(X1190&lt;&gt;"",VLOOKUP(X1190,game_rosters!$C$43:$E$64,3,FALSE))</f>
        <v>0</v>
      </c>
      <c r="Z1190" cm="1">
        <f t="array" ref="Z1190">IFERROR(IF(_xlfn._xlws.FILTER(game_rosters!$J:$J,(game_rosters!$G:$G=events!$AN1190)*(game_rosters!$J:$J=events!$X1190))&gt;0,1,""),"")</f>
        <v>1</v>
      </c>
      <c r="AA1190">
        <f t="shared" si="913"/>
        <v>1644</v>
      </c>
      <c r="AB1190" t="str">
        <f t="shared" si="914"/>
        <v/>
      </c>
      <c r="AC1190">
        <f t="shared" si="862"/>
        <v>1644</v>
      </c>
      <c r="AD1190" s="6">
        <v>2</v>
      </c>
      <c r="AE1190" t="s">
        <v>933</v>
      </c>
      <c r="AF1190" t="s">
        <v>939</v>
      </c>
      <c r="AG1190" t="s">
        <v>933</v>
      </c>
      <c r="AH1190" t="s">
        <v>912</v>
      </c>
      <c r="AI1190" t="s">
        <v>367</v>
      </c>
      <c r="AJ1190" t="str">
        <f t="shared" ref="AJ1190:AK1190" si="924">IF($J1190&lt;&gt;"",$J1190,IF($AC1190=$AC1189,AJ1189,""))</f>
        <v>o</v>
      </c>
      <c r="AK1190" t="str">
        <f t="shared" si="924"/>
        <v>o</v>
      </c>
      <c r="AL1190" t="str">
        <f t="shared" si="867"/>
        <v>o</v>
      </c>
      <c r="AN1190" t="s">
        <v>861</v>
      </c>
      <c r="AO1190" t="str">
        <f t="shared" si="868"/>
        <v>h</v>
      </c>
      <c r="AP1190" t="str">
        <f t="shared" si="876"/>
        <v>o</v>
      </c>
      <c r="AQ1190" t="str">
        <f t="shared" si="877"/>
        <v/>
      </c>
      <c r="AR1190" t="str">
        <f t="shared" si="878"/>
        <v>Home</v>
      </c>
      <c r="AS1190" t="str">
        <f t="shared" si="879"/>
        <v>h</v>
      </c>
      <c r="AT1190" t="str">
        <f t="shared" si="880"/>
        <v>Offensive</v>
      </c>
      <c r="BA1190" s="6">
        <f t="shared" si="869"/>
        <v>295</v>
      </c>
      <c r="BB1190">
        <f t="shared" si="870"/>
        <v>18981</v>
      </c>
      <c r="BC1190" t="str">
        <f t="shared" si="871"/>
        <v>Nelson</v>
      </c>
      <c r="BD1190" t="str">
        <f t="shared" si="872"/>
        <v>Velodrome</v>
      </c>
      <c r="BE1190" t="s">
        <v>238</v>
      </c>
      <c r="BF1190" t="s">
        <v>174</v>
      </c>
      <c r="BG1190" t="s">
        <v>85</v>
      </c>
      <c r="BI1190" cm="1">
        <f t="array" ref="BI1190">IFERROR(_xlfn._xlws.FILTER(shifts!A:A,(shifts!B:B=events!AD1190)*(shifts!AG:AG&gt;=events!BK1190)*(shifts!AH:AH&lt;=events!BL1190)),BI1189)</f>
        <v>56</v>
      </c>
      <c r="BJ1190" s="15">
        <f t="shared" si="873"/>
        <v>3</v>
      </c>
      <c r="BK1190">
        <f t="shared" si="881"/>
        <v>548</v>
      </c>
      <c r="BL1190">
        <f t="shared" si="882"/>
        <v>545</v>
      </c>
      <c r="BM1190" s="15">
        <f>SUMIFS(BJ$2:BJ1190,K$2:K1190,"=Intermission")+SUMIFS(BJ$2:BJ1190,K$2:K1190,"=Timeout")</f>
        <v>72</v>
      </c>
      <c r="BN1190">
        <f t="shared" si="883"/>
        <v>1152</v>
      </c>
      <c r="BO1190" s="19">
        <f t="shared" si="884"/>
        <v>1684</v>
      </c>
      <c r="BP1190">
        <f t="shared" si="885"/>
        <v>1679</v>
      </c>
      <c r="BQ1190" s="17">
        <f t="shared" si="886"/>
        <v>1687</v>
      </c>
      <c r="BR1190" t="str">
        <f t="shared" si="887"/>
        <v>event_team_player_2</v>
      </c>
      <c r="BS1190">
        <f>COUNTIFS(S$3:S1190,"="&amp;S1190,AI$3:AI1190,"="&amp;AI1190)</f>
        <v>2</v>
      </c>
      <c r="BT1190" t="str">
        <f>IFERROR(VLOOKUP(BB1190&amp;BU1190&amp;X1190,game_rosters!U:W,3,FALSE),"")</f>
        <v>P100066</v>
      </c>
      <c r="BU1190" t="str">
        <f t="shared" si="888"/>
        <v>Nelson</v>
      </c>
    </row>
    <row r="1191" spans="1:73" x14ac:dyDescent="0.2">
      <c r="A1191">
        <f t="shared" si="874"/>
        <v>1</v>
      </c>
      <c r="J1191" s="44" t="str">
        <f t="shared" si="889"/>
        <v>o</v>
      </c>
      <c r="K1191" t="s">
        <v>238</v>
      </c>
      <c r="L1191" t="s">
        <v>174</v>
      </c>
      <c r="M1191" t="s">
        <v>85</v>
      </c>
      <c r="S1191">
        <v>644</v>
      </c>
      <c r="W1191" t="str">
        <f t="shared" si="865"/>
        <v>h</v>
      </c>
      <c r="X1191">
        <v>22</v>
      </c>
      <c r="Y1191" t="e">
        <f>IF(X1191&lt;&gt;"",VLOOKUP(X1191,game_rosters!$C$43:$E$64,3,FALSE))</f>
        <v>#N/A</v>
      </c>
      <c r="Z1191" t="str" cm="1">
        <f t="array" ref="Z1191">IFERROR(IF(_xlfn._xlws.FILTER(game_rosters!$J:$J,(game_rosters!$G:$G=events!$AN1191)*(game_rosters!$J:$J=events!$X1191))&gt;0,1,""),"")</f>
        <v/>
      </c>
      <c r="AA1191">
        <f t="shared" si="913"/>
        <v>1644</v>
      </c>
      <c r="AB1191" t="str">
        <f t="shared" si="914"/>
        <v/>
      </c>
      <c r="AC1191">
        <f t="shared" si="862"/>
        <v>1644</v>
      </c>
      <c r="AD1191" s="6">
        <v>2</v>
      </c>
      <c r="AE1191" t="s">
        <v>933</v>
      </c>
      <c r="AF1191" t="s">
        <v>939</v>
      </c>
      <c r="AG1191" t="s">
        <v>933</v>
      </c>
      <c r="AH1191" t="s">
        <v>912</v>
      </c>
      <c r="AI1191" t="s">
        <v>368</v>
      </c>
      <c r="AJ1191" t="str">
        <f t="shared" ref="AJ1191:AK1191" si="925">IF($J1191&lt;&gt;"",$J1191,IF($AC1191=$AC1190,AJ1190,""))</f>
        <v>o</v>
      </c>
      <c r="AK1191" t="str">
        <f t="shared" si="925"/>
        <v>o</v>
      </c>
      <c r="AL1191" t="str">
        <f t="shared" si="867"/>
        <v>o</v>
      </c>
      <c r="AN1191" t="s">
        <v>861</v>
      </c>
      <c r="AO1191" t="str">
        <f t="shared" si="868"/>
        <v>h</v>
      </c>
      <c r="AP1191" t="str">
        <f t="shared" si="876"/>
        <v>o</v>
      </c>
      <c r="AQ1191" t="str">
        <f t="shared" si="877"/>
        <v/>
      </c>
      <c r="AR1191" t="str">
        <f t="shared" si="878"/>
        <v>Home</v>
      </c>
      <c r="AS1191" t="str">
        <f t="shared" si="879"/>
        <v>h</v>
      </c>
      <c r="AT1191" t="str">
        <f t="shared" si="880"/>
        <v>Defensive</v>
      </c>
      <c r="BA1191" s="6">
        <f t="shared" si="869"/>
        <v>296</v>
      </c>
      <c r="BB1191">
        <f t="shared" si="870"/>
        <v>18981</v>
      </c>
      <c r="BC1191" t="str">
        <f t="shared" si="871"/>
        <v>Nelson</v>
      </c>
      <c r="BD1191" t="str">
        <f t="shared" si="872"/>
        <v>Velodrome</v>
      </c>
      <c r="BE1191" t="s">
        <v>238</v>
      </c>
      <c r="BF1191" t="s">
        <v>174</v>
      </c>
      <c r="BG1191" t="s">
        <v>85</v>
      </c>
      <c r="BI1191" cm="1">
        <f t="array" ref="BI1191">IFERROR(_xlfn._xlws.FILTER(shifts!A:A,(shifts!B:B=events!AD1191)*(shifts!AG:AG&gt;=events!BK1191)*(shifts!AH:AH&lt;=events!BL1191)),BI1190)</f>
        <v>56</v>
      </c>
      <c r="BJ1191" s="15">
        <f t="shared" si="873"/>
        <v>3</v>
      </c>
      <c r="BK1191">
        <f t="shared" si="881"/>
        <v>548</v>
      </c>
      <c r="BL1191">
        <f t="shared" si="882"/>
        <v>545</v>
      </c>
      <c r="BM1191" s="15">
        <f>SUMIFS(BJ$2:BJ1191,K$2:K1191,"=Intermission")+SUMIFS(BJ$2:BJ1191,K$2:K1191,"=Timeout")</f>
        <v>72</v>
      </c>
      <c r="BN1191">
        <f t="shared" si="883"/>
        <v>1152</v>
      </c>
      <c r="BO1191" s="19">
        <f t="shared" si="884"/>
        <v>1684</v>
      </c>
      <c r="BP1191">
        <f t="shared" si="885"/>
        <v>1679</v>
      </c>
      <c r="BQ1191" s="17">
        <f t="shared" si="886"/>
        <v>1687</v>
      </c>
      <c r="BR1191" t="str">
        <f t="shared" si="887"/>
        <v>opp_team_player_1</v>
      </c>
      <c r="BS1191">
        <f>COUNTIFS(S$3:S1191,"="&amp;S1191,AI$3:AI1191,"="&amp;AI1191)</f>
        <v>1</v>
      </c>
      <c r="BT1191" t="str">
        <f>IFERROR(VLOOKUP(BB1191&amp;BU1191&amp;X1191,game_rosters!U:W,3,FALSE),"")</f>
        <v>P100108</v>
      </c>
      <c r="BU1191" t="str">
        <f t="shared" si="888"/>
        <v>Velodrome</v>
      </c>
    </row>
    <row r="1192" spans="1:73" x14ac:dyDescent="0.2">
      <c r="A1192">
        <f t="shared" si="874"/>
        <v>1</v>
      </c>
      <c r="J1192" s="44" t="str">
        <f t="shared" si="889"/>
        <v>o</v>
      </c>
      <c r="K1192" t="s">
        <v>238</v>
      </c>
      <c r="L1192" t="s">
        <v>174</v>
      </c>
      <c r="M1192" t="s">
        <v>85</v>
      </c>
      <c r="S1192">
        <v>644</v>
      </c>
      <c r="W1192" t="str">
        <f t="shared" si="865"/>
        <v>h</v>
      </c>
      <c r="X1192">
        <v>52</v>
      </c>
      <c r="Y1192" t="e">
        <f>IF(X1192&lt;&gt;"",VLOOKUP(X1192,game_rosters!$C$43:$E$64,3,FALSE))</f>
        <v>#N/A</v>
      </c>
      <c r="Z1192" t="str" cm="1">
        <f t="array" ref="Z1192">IFERROR(IF(_xlfn._xlws.FILTER(game_rosters!$J:$J,(game_rosters!$G:$G=events!$AN1192)*(game_rosters!$J:$J=events!$X1192))&gt;0,1,""),"")</f>
        <v/>
      </c>
      <c r="AA1192">
        <f t="shared" si="913"/>
        <v>1644</v>
      </c>
      <c r="AB1192" t="str">
        <f t="shared" si="914"/>
        <v/>
      </c>
      <c r="AC1192">
        <f t="shared" si="862"/>
        <v>1644</v>
      </c>
      <c r="AD1192" s="6">
        <v>2</v>
      </c>
      <c r="AE1192" t="s">
        <v>933</v>
      </c>
      <c r="AF1192" t="s">
        <v>939</v>
      </c>
      <c r="AG1192" t="s">
        <v>933</v>
      </c>
      <c r="AH1192" t="s">
        <v>912</v>
      </c>
      <c r="AI1192" t="s">
        <v>368</v>
      </c>
      <c r="AJ1192" t="str">
        <f t="shared" ref="AJ1192:AK1192" si="926">IF($J1192&lt;&gt;"",$J1192,IF($AC1192=$AC1191,AJ1191,""))</f>
        <v>o</v>
      </c>
      <c r="AK1192" t="str">
        <f t="shared" si="926"/>
        <v>o</v>
      </c>
      <c r="AL1192" t="str">
        <f t="shared" si="867"/>
        <v>o</v>
      </c>
      <c r="AN1192" t="s">
        <v>861</v>
      </c>
      <c r="AO1192" t="str">
        <f t="shared" si="868"/>
        <v>h</v>
      </c>
      <c r="AP1192" t="str">
        <f t="shared" si="876"/>
        <v>o</v>
      </c>
      <c r="AQ1192" t="str">
        <f t="shared" si="877"/>
        <v/>
      </c>
      <c r="AR1192" t="str">
        <f t="shared" si="878"/>
        <v>Home</v>
      </c>
      <c r="AS1192" t="str">
        <f t="shared" si="879"/>
        <v>h</v>
      </c>
      <c r="AT1192" t="str">
        <f t="shared" si="880"/>
        <v>Defensive</v>
      </c>
      <c r="BA1192" s="6">
        <f t="shared" si="869"/>
        <v>297</v>
      </c>
      <c r="BB1192">
        <f t="shared" si="870"/>
        <v>18981</v>
      </c>
      <c r="BC1192" t="str">
        <f t="shared" si="871"/>
        <v>Nelson</v>
      </c>
      <c r="BD1192" t="str">
        <f t="shared" si="872"/>
        <v>Velodrome</v>
      </c>
      <c r="BE1192" t="s">
        <v>238</v>
      </c>
      <c r="BF1192" t="s">
        <v>174</v>
      </c>
      <c r="BG1192" t="s">
        <v>85</v>
      </c>
      <c r="BI1192" cm="1">
        <f t="array" ref="BI1192">IFERROR(_xlfn._xlws.FILTER(shifts!A:A,(shifts!B:B=events!AD1192)*(shifts!AG:AG&gt;=events!BK1192)*(shifts!AH:AH&lt;=events!BL1192)),BI1191)</f>
        <v>56</v>
      </c>
      <c r="BJ1192" s="15">
        <f t="shared" si="873"/>
        <v>3</v>
      </c>
      <c r="BK1192">
        <f t="shared" si="881"/>
        <v>548</v>
      </c>
      <c r="BL1192">
        <f t="shared" si="882"/>
        <v>545</v>
      </c>
      <c r="BM1192" s="15">
        <f>SUMIFS(BJ$2:BJ1192,K$2:K1192,"=Intermission")+SUMIFS(BJ$2:BJ1192,K$2:K1192,"=Timeout")</f>
        <v>72</v>
      </c>
      <c r="BN1192">
        <f t="shared" si="883"/>
        <v>1152</v>
      </c>
      <c r="BO1192" s="19">
        <f t="shared" si="884"/>
        <v>1684</v>
      </c>
      <c r="BP1192">
        <f t="shared" si="885"/>
        <v>1679</v>
      </c>
      <c r="BQ1192" s="17">
        <f t="shared" si="886"/>
        <v>1687</v>
      </c>
      <c r="BR1192" t="str">
        <f t="shared" si="887"/>
        <v>opp_team_player_2</v>
      </c>
      <c r="BS1192">
        <f>COUNTIFS(S$3:S1192,"="&amp;S1192,AI$3:AI1192,"="&amp;AI1192)</f>
        <v>2</v>
      </c>
      <c r="BT1192" t="str">
        <f>IFERROR(VLOOKUP(BB1192&amp;BU1192&amp;X1192,game_rosters!U:W,3,FALSE),"")</f>
        <v>P100070</v>
      </c>
      <c r="BU1192" t="str">
        <f t="shared" si="888"/>
        <v>Velodrome</v>
      </c>
    </row>
    <row r="1193" spans="1:73" x14ac:dyDescent="0.2">
      <c r="A1193">
        <f t="shared" si="874"/>
        <v>1</v>
      </c>
      <c r="J1193" s="44" t="str">
        <f t="shared" si="889"/>
        <v/>
      </c>
      <c r="K1193" t="s">
        <v>13</v>
      </c>
      <c r="L1193" t="s">
        <v>756</v>
      </c>
      <c r="M1193" t="s">
        <v>756</v>
      </c>
      <c r="S1193">
        <v>645</v>
      </c>
      <c r="W1193" t="str">
        <f t="shared" si="865"/>
        <v>h</v>
      </c>
      <c r="X1193">
        <v>44</v>
      </c>
      <c r="Y1193" t="b">
        <f>IF(X1193&lt;&gt;"",VLOOKUP(X1193,game_rosters!$C$43:$E$64,3,FALSE))</f>
        <v>0</v>
      </c>
      <c r="Z1193" cm="1">
        <f t="array" ref="Z1193">IFERROR(IF(_xlfn._xlws.FILTER(game_rosters!$J:$J,(game_rosters!$G:$G=events!$AN1193)*(game_rosters!$J:$J=events!$X1193))&gt;0,1,""),"")</f>
        <v>1</v>
      </c>
      <c r="AA1193">
        <f t="shared" si="913"/>
        <v>1645</v>
      </c>
      <c r="AB1193" t="str">
        <f t="shared" si="914"/>
        <v/>
      </c>
      <c r="AC1193">
        <f t="shared" si="862"/>
        <v>1645</v>
      </c>
      <c r="AD1193" s="6">
        <v>2</v>
      </c>
      <c r="AE1193" t="s">
        <v>933</v>
      </c>
      <c r="AF1193" t="s">
        <v>912</v>
      </c>
      <c r="AG1193" t="s">
        <v>933</v>
      </c>
      <c r="AH1193" t="s">
        <v>925</v>
      </c>
      <c r="AI1193" t="s">
        <v>367</v>
      </c>
      <c r="AJ1193" t="str">
        <f t="shared" ref="AJ1193:AK1193" si="927">IF($J1193&lt;&gt;"",$J1193,IF($AC1193=$AC1192,AJ1192,""))</f>
        <v/>
      </c>
      <c r="AK1193" t="str">
        <f t="shared" si="927"/>
        <v/>
      </c>
      <c r="AL1193" t="str">
        <f t="shared" si="867"/>
        <v/>
      </c>
      <c r="AN1193" t="s">
        <v>861</v>
      </c>
      <c r="AO1193" t="str">
        <f t="shared" si="868"/>
        <v>h</v>
      </c>
      <c r="AP1193" t="str">
        <f t="shared" si="876"/>
        <v/>
      </c>
      <c r="AQ1193" t="str">
        <f t="shared" si="877"/>
        <v/>
      </c>
      <c r="AR1193" t="str">
        <f t="shared" si="878"/>
        <v>Home</v>
      </c>
      <c r="AS1193" t="str">
        <f t="shared" si="879"/>
        <v>h</v>
      </c>
      <c r="AT1193" t="str">
        <f t="shared" si="880"/>
        <v>Offensive</v>
      </c>
      <c r="BA1193" s="6">
        <f t="shared" si="869"/>
        <v>297</v>
      </c>
      <c r="BB1193">
        <f t="shared" si="870"/>
        <v>18981</v>
      </c>
      <c r="BC1193" t="str">
        <f t="shared" si="871"/>
        <v>Nelson</v>
      </c>
      <c r="BD1193" t="str">
        <f t="shared" si="872"/>
        <v>Velodrome</v>
      </c>
      <c r="BE1193" t="s">
        <v>13</v>
      </c>
      <c r="BF1193" t="s">
        <v>756</v>
      </c>
      <c r="BG1193" t="s">
        <v>756</v>
      </c>
      <c r="BI1193" cm="1">
        <f t="array" ref="BI1193">IFERROR(_xlfn._xlws.FILTER(shifts!A:A,(shifts!B:B=events!AD1193)*(shifts!AG:AG&gt;=events!BK1193)*(shifts!AH:AH&lt;=events!BL1193)),BI1192)</f>
        <v>56</v>
      </c>
      <c r="BJ1193" s="15">
        <f t="shared" si="873"/>
        <v>2</v>
      </c>
      <c r="BK1193">
        <f t="shared" si="881"/>
        <v>545</v>
      </c>
      <c r="BL1193">
        <f t="shared" si="882"/>
        <v>543</v>
      </c>
      <c r="BM1193" s="15">
        <f>SUMIFS(BJ$2:BJ1193,K$2:K1193,"=Intermission")+SUMIFS(BJ$2:BJ1193,K$2:K1193,"=Timeout")</f>
        <v>72</v>
      </c>
      <c r="BN1193">
        <f t="shared" si="883"/>
        <v>1152</v>
      </c>
      <c r="BO1193" s="19">
        <f t="shared" si="884"/>
        <v>1687</v>
      </c>
      <c r="BP1193">
        <f t="shared" si="885"/>
        <v>1682</v>
      </c>
      <c r="BQ1193" s="17">
        <f t="shared" si="886"/>
        <v>1689</v>
      </c>
      <c r="BR1193" t="str">
        <f t="shared" si="887"/>
        <v>event_team_player_1</v>
      </c>
      <c r="BS1193">
        <f>COUNTIFS(S$3:S1193,"="&amp;S1193,AI$3:AI1193,"="&amp;AI1193)</f>
        <v>1</v>
      </c>
      <c r="BT1193" t="str">
        <f>IFERROR(VLOOKUP(BB1193&amp;BU1193&amp;X1193,game_rosters!U:W,3,FALSE),"")</f>
        <v>P100079</v>
      </c>
      <c r="BU1193" t="str">
        <f t="shared" si="888"/>
        <v>Nelson</v>
      </c>
    </row>
    <row r="1194" spans="1:73" x14ac:dyDescent="0.2">
      <c r="A1194">
        <f t="shared" si="874"/>
        <v>1</v>
      </c>
      <c r="J1194" s="44" t="str">
        <f t="shared" si="889"/>
        <v/>
      </c>
      <c r="K1194" t="s">
        <v>13</v>
      </c>
      <c r="L1194" t="s">
        <v>756</v>
      </c>
      <c r="M1194" t="s">
        <v>756</v>
      </c>
      <c r="S1194">
        <v>645</v>
      </c>
      <c r="W1194" t="str">
        <f t="shared" si="865"/>
        <v>h</v>
      </c>
      <c r="X1194">
        <v>22</v>
      </c>
      <c r="Y1194" t="e">
        <f>IF(X1194&lt;&gt;"",VLOOKUP(X1194,game_rosters!$C$43:$E$64,3,FALSE))</f>
        <v>#N/A</v>
      </c>
      <c r="Z1194" t="str" cm="1">
        <f t="array" ref="Z1194">IFERROR(IF(_xlfn._xlws.FILTER(game_rosters!$J:$J,(game_rosters!$G:$G=events!$AN1194)*(game_rosters!$J:$J=events!$X1194))&gt;0,1,""),"")</f>
        <v/>
      </c>
      <c r="AA1194">
        <f t="shared" si="913"/>
        <v>1645</v>
      </c>
      <c r="AB1194" t="str">
        <f t="shared" si="914"/>
        <v/>
      </c>
      <c r="AC1194">
        <f t="shared" si="862"/>
        <v>1645</v>
      </c>
      <c r="AD1194" s="6">
        <v>2</v>
      </c>
      <c r="AE1194" t="s">
        <v>933</v>
      </c>
      <c r="AF1194" t="s">
        <v>912</v>
      </c>
      <c r="AG1194" t="s">
        <v>933</v>
      </c>
      <c r="AH1194" t="s">
        <v>925</v>
      </c>
      <c r="AI1194" t="s">
        <v>368</v>
      </c>
      <c r="AJ1194" t="str">
        <f t="shared" ref="AJ1194:AK1194" si="928">IF($J1194&lt;&gt;"",$J1194,IF($AC1194=$AC1193,AJ1193,""))</f>
        <v/>
      </c>
      <c r="AK1194" t="str">
        <f t="shared" si="928"/>
        <v/>
      </c>
      <c r="AL1194" t="str">
        <f t="shared" si="867"/>
        <v/>
      </c>
      <c r="AN1194" t="s">
        <v>861</v>
      </c>
      <c r="AO1194" t="str">
        <f t="shared" si="868"/>
        <v>h</v>
      </c>
      <c r="AP1194" t="str">
        <f t="shared" si="876"/>
        <v/>
      </c>
      <c r="AQ1194" t="str">
        <f t="shared" si="877"/>
        <v/>
      </c>
      <c r="AR1194" t="str">
        <f t="shared" si="878"/>
        <v>Home</v>
      </c>
      <c r="AS1194" t="str">
        <f t="shared" si="879"/>
        <v>h</v>
      </c>
      <c r="AT1194" t="str">
        <f t="shared" si="880"/>
        <v>Defensive</v>
      </c>
      <c r="BA1194" s="6">
        <f t="shared" si="869"/>
        <v>297</v>
      </c>
      <c r="BB1194">
        <f t="shared" si="870"/>
        <v>18981</v>
      </c>
      <c r="BC1194" t="str">
        <f t="shared" si="871"/>
        <v>Nelson</v>
      </c>
      <c r="BD1194" t="str">
        <f t="shared" si="872"/>
        <v>Velodrome</v>
      </c>
      <c r="BE1194" t="s">
        <v>13</v>
      </c>
      <c r="BF1194" t="s">
        <v>756</v>
      </c>
      <c r="BG1194" t="s">
        <v>756</v>
      </c>
      <c r="BI1194" cm="1">
        <f t="array" ref="BI1194">IFERROR(_xlfn._xlws.FILTER(shifts!A:A,(shifts!B:B=events!AD1194)*(shifts!AG:AG&gt;=events!BK1194)*(shifts!AH:AH&lt;=events!BL1194)),BI1193)</f>
        <v>56</v>
      </c>
      <c r="BJ1194" s="15">
        <f t="shared" si="873"/>
        <v>2</v>
      </c>
      <c r="BK1194">
        <f t="shared" si="881"/>
        <v>545</v>
      </c>
      <c r="BL1194">
        <f t="shared" si="882"/>
        <v>543</v>
      </c>
      <c r="BM1194" s="15">
        <f>SUMIFS(BJ$2:BJ1194,K$2:K1194,"=Intermission")+SUMIFS(BJ$2:BJ1194,K$2:K1194,"=Timeout")</f>
        <v>72</v>
      </c>
      <c r="BN1194">
        <f t="shared" si="883"/>
        <v>1152</v>
      </c>
      <c r="BO1194" s="19">
        <f t="shared" si="884"/>
        <v>1687</v>
      </c>
      <c r="BP1194">
        <f t="shared" si="885"/>
        <v>1682</v>
      </c>
      <c r="BQ1194" s="17">
        <f t="shared" si="886"/>
        <v>1689</v>
      </c>
      <c r="BR1194" t="str">
        <f t="shared" si="887"/>
        <v>opp_team_player_1</v>
      </c>
      <c r="BS1194">
        <f>COUNTIFS(S$3:S1194,"="&amp;S1194,AI$3:AI1194,"="&amp;AI1194)</f>
        <v>1</v>
      </c>
      <c r="BT1194" t="str">
        <f>IFERROR(VLOOKUP(BB1194&amp;BU1194&amp;X1194,game_rosters!U:W,3,FALSE),"")</f>
        <v>P100108</v>
      </c>
      <c r="BU1194" t="str">
        <f t="shared" si="888"/>
        <v>Velodrome</v>
      </c>
    </row>
    <row r="1195" spans="1:73" x14ac:dyDescent="0.2">
      <c r="A1195">
        <f t="shared" si="874"/>
        <v>1</v>
      </c>
      <c r="J1195" s="44" t="str">
        <f t="shared" si="889"/>
        <v>o</v>
      </c>
      <c r="K1195" t="s">
        <v>6</v>
      </c>
      <c r="L1195" t="s">
        <v>205</v>
      </c>
      <c r="M1195" t="s">
        <v>53</v>
      </c>
      <c r="S1195">
        <v>646</v>
      </c>
      <c r="W1195" t="str">
        <f t="shared" si="865"/>
        <v>h</v>
      </c>
      <c r="X1195">
        <v>44</v>
      </c>
      <c r="Y1195" t="b">
        <f>IF(X1195&lt;&gt;"",VLOOKUP(X1195,game_rosters!$C$43:$E$64,3,FALSE))</f>
        <v>0</v>
      </c>
      <c r="Z1195" cm="1">
        <f t="array" ref="Z1195">IFERROR(IF(_xlfn._xlws.FILTER(game_rosters!$J:$J,(game_rosters!$G:$G=events!$AN1195)*(game_rosters!$J:$J=events!$X1195))&gt;0,1,""),"")</f>
        <v>1</v>
      </c>
      <c r="AA1195">
        <f t="shared" si="913"/>
        <v>1646</v>
      </c>
      <c r="AB1195" t="str">
        <f t="shared" si="914"/>
        <v/>
      </c>
      <c r="AC1195">
        <f t="shared" si="862"/>
        <v>1646</v>
      </c>
      <c r="AD1195" s="6">
        <v>2</v>
      </c>
      <c r="AE1195" t="s">
        <v>933</v>
      </c>
      <c r="AF1195" t="s">
        <v>925</v>
      </c>
      <c r="AG1195" t="s">
        <v>756</v>
      </c>
      <c r="AH1195" t="s">
        <v>756</v>
      </c>
      <c r="AI1195" t="s">
        <v>367</v>
      </c>
      <c r="AJ1195" t="str">
        <f t="shared" ref="AJ1195:AK1195" si="929">IF($J1195&lt;&gt;"",$J1195,IF($AC1195=$AC1194,AJ1194,""))</f>
        <v>o</v>
      </c>
      <c r="AK1195" t="str">
        <f t="shared" si="929"/>
        <v>o</v>
      </c>
      <c r="AL1195" t="str">
        <f t="shared" si="867"/>
        <v>o</v>
      </c>
      <c r="AN1195" t="s">
        <v>861</v>
      </c>
      <c r="AO1195" t="str">
        <f t="shared" si="868"/>
        <v>h</v>
      </c>
      <c r="AP1195" t="str">
        <f t="shared" si="876"/>
        <v>o</v>
      </c>
      <c r="AQ1195" t="str">
        <f t="shared" si="877"/>
        <v/>
      </c>
      <c r="AR1195" t="str">
        <f t="shared" si="878"/>
        <v>Home</v>
      </c>
      <c r="AS1195" t="str">
        <f t="shared" si="879"/>
        <v>h</v>
      </c>
      <c r="AT1195" t="str">
        <f t="shared" si="880"/>
        <v>Offensive</v>
      </c>
      <c r="BA1195" s="6">
        <f t="shared" si="869"/>
        <v>297</v>
      </c>
      <c r="BB1195">
        <f t="shared" si="870"/>
        <v>18981</v>
      </c>
      <c r="BC1195" t="str">
        <f t="shared" si="871"/>
        <v>Nelson</v>
      </c>
      <c r="BD1195" t="str">
        <f t="shared" si="872"/>
        <v>Velodrome</v>
      </c>
      <c r="BE1195" t="s">
        <v>6</v>
      </c>
      <c r="BF1195" t="s">
        <v>205</v>
      </c>
      <c r="BG1195" t="s">
        <v>53</v>
      </c>
      <c r="BI1195" cm="1">
        <f t="array" ref="BI1195">IFERROR(_xlfn._xlws.FILTER(shifts!A:A,(shifts!B:B=events!AD1195)*(shifts!AG:AG&gt;=events!BK1195)*(shifts!AH:AH&lt;=events!BL1195)),BI1194)</f>
        <v>56</v>
      </c>
      <c r="BJ1195" s="15">
        <f t="shared" si="873"/>
        <v>0</v>
      </c>
      <c r="BK1195">
        <f t="shared" si="881"/>
        <v>543</v>
      </c>
      <c r="BL1195">
        <f t="shared" si="882"/>
        <v>543</v>
      </c>
      <c r="BM1195" s="15">
        <f>SUMIFS(BJ$2:BJ1195,K$2:K1195,"=Intermission")+SUMIFS(BJ$2:BJ1195,K$2:K1195,"=Timeout")</f>
        <v>72</v>
      </c>
      <c r="BN1195">
        <f t="shared" si="883"/>
        <v>1152</v>
      </c>
      <c r="BO1195" s="19">
        <f t="shared" si="884"/>
        <v>1689</v>
      </c>
      <c r="BP1195">
        <f t="shared" si="885"/>
        <v>1684</v>
      </c>
      <c r="BQ1195" s="17">
        <f t="shared" si="886"/>
        <v>1689</v>
      </c>
      <c r="BR1195" t="str">
        <f t="shared" si="887"/>
        <v>event_team_player_1</v>
      </c>
      <c r="BS1195">
        <f>COUNTIFS(S$3:S1195,"="&amp;S1195,AI$3:AI1195,"="&amp;AI1195)</f>
        <v>1</v>
      </c>
      <c r="BT1195" t="str">
        <f>IFERROR(VLOOKUP(BB1195&amp;BU1195&amp;X1195,game_rosters!U:W,3,FALSE),"")</f>
        <v>P100079</v>
      </c>
      <c r="BU1195" t="str">
        <f t="shared" si="888"/>
        <v>Nelson</v>
      </c>
    </row>
    <row r="1196" spans="1:73" x14ac:dyDescent="0.2">
      <c r="A1196">
        <f t="shared" si="874"/>
        <v>1</v>
      </c>
      <c r="J1196" s="44" t="str">
        <f t="shared" si="889"/>
        <v>o</v>
      </c>
      <c r="K1196" t="s">
        <v>6</v>
      </c>
      <c r="L1196" t="s">
        <v>205</v>
      </c>
      <c r="M1196" t="s">
        <v>53</v>
      </c>
      <c r="S1196">
        <v>646</v>
      </c>
      <c r="W1196" t="str">
        <f t="shared" si="865"/>
        <v>h</v>
      </c>
      <c r="X1196">
        <v>39</v>
      </c>
      <c r="Y1196" t="e">
        <f>IF(X1196&lt;&gt;"",VLOOKUP(X1196,game_rosters!$C$43:$E$64,3,FALSE))</f>
        <v>#N/A</v>
      </c>
      <c r="Z1196" t="str" cm="1">
        <f t="array" ref="Z1196">IFERROR(IF(_xlfn._xlws.FILTER(game_rosters!$J:$J,(game_rosters!$G:$G=events!$AN1196)*(game_rosters!$J:$J=events!$X1196))&gt;0,1,""),"")</f>
        <v/>
      </c>
      <c r="AA1196">
        <f t="shared" si="913"/>
        <v>1646</v>
      </c>
      <c r="AB1196" t="str">
        <f t="shared" si="914"/>
        <v/>
      </c>
      <c r="AC1196">
        <f t="shared" si="862"/>
        <v>1646</v>
      </c>
      <c r="AD1196" s="6">
        <v>2</v>
      </c>
      <c r="AE1196" t="s">
        <v>933</v>
      </c>
      <c r="AF1196" t="s">
        <v>925</v>
      </c>
      <c r="AG1196" t="s">
        <v>756</v>
      </c>
      <c r="AH1196" t="s">
        <v>756</v>
      </c>
      <c r="AI1196" t="s">
        <v>368</v>
      </c>
      <c r="AJ1196" t="str">
        <f t="shared" ref="AJ1196:AK1196" si="930">IF($J1196&lt;&gt;"",$J1196,IF($AC1196=$AC1195,AJ1195,""))</f>
        <v>o</v>
      </c>
      <c r="AK1196" t="str">
        <f t="shared" si="930"/>
        <v>o</v>
      </c>
      <c r="AL1196" t="str">
        <f t="shared" si="867"/>
        <v>o</v>
      </c>
      <c r="AN1196" t="s">
        <v>861</v>
      </c>
      <c r="AO1196" t="str">
        <f t="shared" si="868"/>
        <v>h</v>
      </c>
      <c r="AP1196" t="str">
        <f t="shared" si="876"/>
        <v>o</v>
      </c>
      <c r="AQ1196" t="str">
        <f t="shared" si="877"/>
        <v/>
      </c>
      <c r="AR1196" t="str">
        <f t="shared" si="878"/>
        <v>Home</v>
      </c>
      <c r="AS1196" t="str">
        <f t="shared" si="879"/>
        <v>h</v>
      </c>
      <c r="AT1196" t="str">
        <f t="shared" si="880"/>
        <v>Defensive</v>
      </c>
      <c r="BA1196" s="6">
        <f t="shared" si="869"/>
        <v>297</v>
      </c>
      <c r="BB1196">
        <f t="shared" si="870"/>
        <v>18981</v>
      </c>
      <c r="BC1196" t="str">
        <f t="shared" si="871"/>
        <v>Nelson</v>
      </c>
      <c r="BD1196" t="str">
        <f t="shared" si="872"/>
        <v>Velodrome</v>
      </c>
      <c r="BE1196" t="s">
        <v>6</v>
      </c>
      <c r="BF1196" t="s">
        <v>205</v>
      </c>
      <c r="BG1196" t="s">
        <v>53</v>
      </c>
      <c r="BI1196" cm="1">
        <f t="array" ref="BI1196">IFERROR(_xlfn._xlws.FILTER(shifts!A:A,(shifts!B:B=events!AD1196)*(shifts!AG:AG&gt;=events!BK1196)*(shifts!AH:AH&lt;=events!BL1196)),BI1195)</f>
        <v>56</v>
      </c>
      <c r="BJ1196" s="15">
        <f t="shared" si="873"/>
        <v>0</v>
      </c>
      <c r="BK1196">
        <f t="shared" si="881"/>
        <v>543</v>
      </c>
      <c r="BL1196">
        <f t="shared" si="882"/>
        <v>543</v>
      </c>
      <c r="BM1196" s="15">
        <f>SUMIFS(BJ$2:BJ1196,K$2:K1196,"=Intermission")+SUMIFS(BJ$2:BJ1196,K$2:K1196,"=Timeout")</f>
        <v>72</v>
      </c>
      <c r="BN1196">
        <f t="shared" si="883"/>
        <v>1152</v>
      </c>
      <c r="BO1196" s="19">
        <f t="shared" si="884"/>
        <v>1689</v>
      </c>
      <c r="BP1196">
        <f t="shared" si="885"/>
        <v>1684</v>
      </c>
      <c r="BQ1196" s="17">
        <f t="shared" si="886"/>
        <v>1689</v>
      </c>
      <c r="BR1196" t="str">
        <f t="shared" si="887"/>
        <v>opp_team_player_1</v>
      </c>
      <c r="BS1196">
        <f>COUNTIFS(S$3:S1196,"="&amp;S1196,AI$3:AI1196,"="&amp;AI1196)</f>
        <v>1</v>
      </c>
      <c r="BT1196" t="str">
        <f>IFERROR(VLOOKUP(BB1196&amp;BU1196&amp;X1196,game_rosters!U:W,3,FALSE),"")</f>
        <v>P100016</v>
      </c>
      <c r="BU1196" t="str">
        <f t="shared" si="888"/>
        <v>Velodrome</v>
      </c>
    </row>
    <row r="1197" spans="1:73" x14ac:dyDescent="0.2">
      <c r="A1197">
        <f t="shared" si="874"/>
        <v>1</v>
      </c>
      <c r="J1197" s="44" t="str">
        <f t="shared" si="889"/>
        <v>d</v>
      </c>
      <c r="K1197" t="s">
        <v>15</v>
      </c>
      <c r="L1197" t="s">
        <v>179</v>
      </c>
      <c r="M1197" t="s">
        <v>100</v>
      </c>
      <c r="S1197">
        <v>647</v>
      </c>
      <c r="W1197" t="str">
        <f t="shared" si="865"/>
        <v>a</v>
      </c>
      <c r="X1197">
        <v>39</v>
      </c>
      <c r="Y1197" t="e">
        <f>IF(X1197&lt;&gt;"",VLOOKUP(X1197,game_rosters!$C$43:$E$64,3,FALSE))</f>
        <v>#N/A</v>
      </c>
      <c r="Z1197" cm="1">
        <f t="array" ref="Z1197">IFERROR(IF(_xlfn._xlws.FILTER(game_rosters!$J:$J,(game_rosters!$G:$G=events!$AN1197)*(game_rosters!$J:$J=events!$X1197))&gt;0,1,""),"")</f>
        <v>1</v>
      </c>
      <c r="AA1197">
        <f t="shared" si="913"/>
        <v>1647</v>
      </c>
      <c r="AB1197" t="str">
        <f t="shared" si="914"/>
        <v/>
      </c>
      <c r="AC1197">
        <f t="shared" si="862"/>
        <v>1647</v>
      </c>
      <c r="AD1197" s="6">
        <v>2</v>
      </c>
      <c r="AE1197" t="s">
        <v>933</v>
      </c>
      <c r="AF1197" t="s">
        <v>925</v>
      </c>
      <c r="AG1197" t="s">
        <v>756</v>
      </c>
      <c r="AH1197" t="s">
        <v>756</v>
      </c>
      <c r="AI1197" t="s">
        <v>367</v>
      </c>
      <c r="AJ1197" t="str">
        <f t="shared" ref="AJ1197:AK1197" si="931">IF($J1197&lt;&gt;"",$J1197,IF($AC1197=$AC1196,AJ1196,""))</f>
        <v>d</v>
      </c>
      <c r="AK1197" t="str">
        <f t="shared" si="931"/>
        <v>d</v>
      </c>
      <c r="AL1197" t="str">
        <f t="shared" si="867"/>
        <v>o</v>
      </c>
      <c r="AN1197" t="s">
        <v>862</v>
      </c>
      <c r="AO1197" t="str">
        <f t="shared" si="868"/>
        <v>a</v>
      </c>
      <c r="AP1197" t="str">
        <f t="shared" si="876"/>
        <v>o</v>
      </c>
      <c r="AQ1197" t="str">
        <f t="shared" si="877"/>
        <v/>
      </c>
      <c r="AR1197" t="str">
        <f t="shared" si="878"/>
        <v>Away</v>
      </c>
      <c r="AS1197" t="str">
        <f t="shared" si="879"/>
        <v>a</v>
      </c>
      <c r="AT1197" t="str">
        <f t="shared" si="880"/>
        <v>Defensive</v>
      </c>
      <c r="BA1197" s="6">
        <f t="shared" si="869"/>
        <v>297</v>
      </c>
      <c r="BB1197">
        <f t="shared" si="870"/>
        <v>18981</v>
      </c>
      <c r="BC1197" t="str">
        <f t="shared" si="871"/>
        <v>Nelson</v>
      </c>
      <c r="BD1197" t="str">
        <f t="shared" si="872"/>
        <v>Velodrome</v>
      </c>
      <c r="BE1197" t="s">
        <v>15</v>
      </c>
      <c r="BF1197" t="s">
        <v>179</v>
      </c>
      <c r="BG1197" t="s">
        <v>100</v>
      </c>
      <c r="BI1197" cm="1">
        <f t="array" ref="BI1197">IFERROR(_xlfn._xlws.FILTER(shifts!A:A,(shifts!B:B=events!AD1197)*(shifts!AG:AG&gt;=events!BK1197)*(shifts!AH:AH&lt;=events!BL1197)),BI1196)</f>
        <v>56</v>
      </c>
      <c r="BJ1197" s="15">
        <f t="shared" si="873"/>
        <v>0</v>
      </c>
      <c r="BK1197">
        <f t="shared" si="881"/>
        <v>543</v>
      </c>
      <c r="BL1197">
        <f t="shared" si="882"/>
        <v>543</v>
      </c>
      <c r="BM1197" s="15">
        <f>SUMIFS(BJ$2:BJ1197,K$2:K1197,"=Intermission")+SUMIFS(BJ$2:BJ1197,K$2:K1197,"=Timeout")</f>
        <v>72</v>
      </c>
      <c r="BN1197">
        <f t="shared" si="883"/>
        <v>1152</v>
      </c>
      <c r="BO1197" s="19">
        <f t="shared" si="884"/>
        <v>1689</v>
      </c>
      <c r="BP1197">
        <f t="shared" si="885"/>
        <v>1684</v>
      </c>
      <c r="BQ1197" s="17">
        <f t="shared" si="886"/>
        <v>1689</v>
      </c>
      <c r="BR1197" t="str">
        <f t="shared" si="887"/>
        <v>event_team_player_1</v>
      </c>
      <c r="BS1197">
        <f>COUNTIFS(S$3:S1197,"="&amp;S1197,AI$3:AI1197,"="&amp;AI1197)</f>
        <v>1</v>
      </c>
      <c r="BT1197" t="str">
        <f>IFERROR(VLOOKUP(BB1197&amp;BU1197&amp;X1197,game_rosters!U:W,3,FALSE),"")</f>
        <v>P100016</v>
      </c>
      <c r="BU1197" t="str">
        <f t="shared" si="888"/>
        <v>Velodrome</v>
      </c>
    </row>
    <row r="1198" spans="1:73" x14ac:dyDescent="0.2">
      <c r="A1198">
        <f t="shared" si="874"/>
        <v>1</v>
      </c>
      <c r="J1198" s="44" t="str">
        <f t="shared" si="889"/>
        <v>d</v>
      </c>
      <c r="K1198" t="s">
        <v>15</v>
      </c>
      <c r="L1198" t="s">
        <v>179</v>
      </c>
      <c r="M1198" t="s">
        <v>100</v>
      </c>
      <c r="S1198">
        <v>647</v>
      </c>
      <c r="W1198" t="str">
        <f t="shared" si="865"/>
        <v>a</v>
      </c>
      <c r="X1198">
        <v>44</v>
      </c>
      <c r="Y1198" t="b">
        <f>IF(X1198&lt;&gt;"",VLOOKUP(X1198,game_rosters!$C$43:$E$64,3,FALSE))</f>
        <v>0</v>
      </c>
      <c r="Z1198" t="str" cm="1">
        <f t="array" ref="Z1198">IFERROR(IF(_xlfn._xlws.FILTER(game_rosters!$J:$J,(game_rosters!$G:$G=events!$AN1198)*(game_rosters!$J:$J=events!$X1198))&gt;0,1,""),"")</f>
        <v/>
      </c>
      <c r="AA1198">
        <f t="shared" si="913"/>
        <v>1647</v>
      </c>
      <c r="AB1198" t="str">
        <f t="shared" si="914"/>
        <v/>
      </c>
      <c r="AC1198">
        <f t="shared" si="862"/>
        <v>1647</v>
      </c>
      <c r="AD1198" s="6">
        <v>2</v>
      </c>
      <c r="AE1198" t="s">
        <v>933</v>
      </c>
      <c r="AF1198" t="s">
        <v>925</v>
      </c>
      <c r="AG1198" t="s">
        <v>756</v>
      </c>
      <c r="AH1198" t="s">
        <v>756</v>
      </c>
      <c r="AI1198" t="s">
        <v>368</v>
      </c>
      <c r="AJ1198" t="str">
        <f t="shared" ref="AJ1198:AK1198" si="932">IF($J1198&lt;&gt;"",$J1198,IF($AC1198=$AC1197,AJ1197,""))</f>
        <v>d</v>
      </c>
      <c r="AK1198" t="str">
        <f t="shared" si="932"/>
        <v>d</v>
      </c>
      <c r="AL1198" t="str">
        <f t="shared" si="867"/>
        <v>o</v>
      </c>
      <c r="AN1198" t="s">
        <v>862</v>
      </c>
      <c r="AO1198" t="str">
        <f t="shared" si="868"/>
        <v>a</v>
      </c>
      <c r="AP1198" t="str">
        <f t="shared" si="876"/>
        <v>o</v>
      </c>
      <c r="AQ1198" t="str">
        <f t="shared" si="877"/>
        <v/>
      </c>
      <c r="AR1198" t="str">
        <f t="shared" si="878"/>
        <v>Away</v>
      </c>
      <c r="AS1198" t="str">
        <f t="shared" si="879"/>
        <v>a</v>
      </c>
      <c r="AT1198" t="str">
        <f t="shared" si="880"/>
        <v>Offensive</v>
      </c>
      <c r="BA1198" s="6">
        <f t="shared" si="869"/>
        <v>297</v>
      </c>
      <c r="BB1198">
        <f t="shared" si="870"/>
        <v>18981</v>
      </c>
      <c r="BC1198" t="str">
        <f t="shared" si="871"/>
        <v>Nelson</v>
      </c>
      <c r="BD1198" t="str">
        <f t="shared" si="872"/>
        <v>Velodrome</v>
      </c>
      <c r="BE1198" t="s">
        <v>15</v>
      </c>
      <c r="BF1198" t="s">
        <v>179</v>
      </c>
      <c r="BG1198" t="s">
        <v>100</v>
      </c>
      <c r="BI1198" cm="1">
        <f t="array" ref="BI1198">IFERROR(_xlfn._xlws.FILTER(shifts!A:A,(shifts!B:B=events!AD1198)*(shifts!AG:AG&gt;=events!BK1198)*(shifts!AH:AH&lt;=events!BL1198)),BI1197)</f>
        <v>56</v>
      </c>
      <c r="BJ1198" s="15">
        <f t="shared" si="873"/>
        <v>0</v>
      </c>
      <c r="BK1198">
        <f t="shared" si="881"/>
        <v>543</v>
      </c>
      <c r="BL1198">
        <f t="shared" si="882"/>
        <v>543</v>
      </c>
      <c r="BM1198" s="15">
        <f>SUMIFS(BJ$2:BJ1198,K$2:K1198,"=Intermission")+SUMIFS(BJ$2:BJ1198,K$2:K1198,"=Timeout")</f>
        <v>72</v>
      </c>
      <c r="BN1198">
        <f t="shared" si="883"/>
        <v>1152</v>
      </c>
      <c r="BO1198" s="19">
        <f t="shared" si="884"/>
        <v>1689</v>
      </c>
      <c r="BP1198">
        <f t="shared" si="885"/>
        <v>1684</v>
      </c>
      <c r="BQ1198" s="17">
        <f t="shared" si="886"/>
        <v>1689</v>
      </c>
      <c r="BR1198" t="str">
        <f t="shared" si="887"/>
        <v>opp_team_player_1</v>
      </c>
      <c r="BS1198">
        <f>COUNTIFS(S$3:S1198,"="&amp;S1198,AI$3:AI1198,"="&amp;AI1198)</f>
        <v>1</v>
      </c>
      <c r="BT1198" t="str">
        <f>IFERROR(VLOOKUP(BB1198&amp;BU1198&amp;X1198,game_rosters!U:W,3,FALSE),"")</f>
        <v>P100079</v>
      </c>
      <c r="BU1198" t="str">
        <f t="shared" si="888"/>
        <v>Nelson</v>
      </c>
    </row>
    <row r="1199" spans="1:73" x14ac:dyDescent="0.2">
      <c r="A1199">
        <f t="shared" si="874"/>
        <v>1</v>
      </c>
      <c r="J1199" s="44" t="str">
        <f t="shared" si="889"/>
        <v>d</v>
      </c>
      <c r="K1199" t="s">
        <v>231</v>
      </c>
      <c r="L1199" t="s">
        <v>232</v>
      </c>
      <c r="M1199" t="s">
        <v>756</v>
      </c>
      <c r="S1199">
        <v>648</v>
      </c>
      <c r="W1199" t="str">
        <f t="shared" si="865"/>
        <v>a</v>
      </c>
      <c r="X1199">
        <v>39</v>
      </c>
      <c r="Y1199" t="e">
        <f>IF(X1199&lt;&gt;"",VLOOKUP(X1199,game_rosters!$C$43:$E$64,3,FALSE))</f>
        <v>#N/A</v>
      </c>
      <c r="Z1199" cm="1">
        <f t="array" ref="Z1199">IFERROR(IF(_xlfn._xlws.FILTER(game_rosters!$J:$J,(game_rosters!$G:$G=events!$AN1199)*(game_rosters!$J:$J=events!$X1199))&gt;0,1,""),"")</f>
        <v>1</v>
      </c>
      <c r="AA1199">
        <f t="shared" si="913"/>
        <v>1648</v>
      </c>
      <c r="AB1199" t="str">
        <f t="shared" si="914"/>
        <v/>
      </c>
      <c r="AC1199">
        <f t="shared" si="862"/>
        <v>1648</v>
      </c>
      <c r="AD1199" s="6">
        <v>2</v>
      </c>
      <c r="AE1199" t="s">
        <v>933</v>
      </c>
      <c r="AF1199" t="s">
        <v>925</v>
      </c>
      <c r="AG1199" t="s">
        <v>756</v>
      </c>
      <c r="AH1199" t="s">
        <v>756</v>
      </c>
      <c r="AI1199" t="s">
        <v>367</v>
      </c>
      <c r="AJ1199" t="str">
        <f t="shared" ref="AJ1199:AK1199" si="933">IF($J1199&lt;&gt;"",$J1199,IF($AC1199=$AC1198,AJ1198,""))</f>
        <v>d</v>
      </c>
      <c r="AK1199" t="str">
        <f t="shared" si="933"/>
        <v>d</v>
      </c>
      <c r="AL1199" t="str">
        <f t="shared" si="867"/>
        <v>o</v>
      </c>
      <c r="AN1199" t="s">
        <v>862</v>
      </c>
      <c r="AO1199" t="str">
        <f t="shared" si="868"/>
        <v>a</v>
      </c>
      <c r="AP1199" t="str">
        <f t="shared" si="876"/>
        <v>o</v>
      </c>
      <c r="AQ1199" t="str">
        <f t="shared" si="877"/>
        <v/>
      </c>
      <c r="AR1199" t="str">
        <f t="shared" si="878"/>
        <v>Away</v>
      </c>
      <c r="AS1199" t="str">
        <f t="shared" si="879"/>
        <v>a</v>
      </c>
      <c r="AT1199" t="str">
        <f t="shared" si="880"/>
        <v>Offensive</v>
      </c>
      <c r="BA1199" s="6">
        <f t="shared" si="869"/>
        <v>297</v>
      </c>
      <c r="BB1199">
        <f t="shared" si="870"/>
        <v>18981</v>
      </c>
      <c r="BC1199" t="str">
        <f t="shared" si="871"/>
        <v>Nelson</v>
      </c>
      <c r="BD1199" t="str">
        <f t="shared" si="872"/>
        <v>Velodrome</v>
      </c>
      <c r="BE1199" t="s">
        <v>231</v>
      </c>
      <c r="BF1199" t="s">
        <v>232</v>
      </c>
      <c r="BG1199" t="s">
        <v>756</v>
      </c>
      <c r="BI1199" cm="1">
        <f t="array" ref="BI1199">IFERROR(_xlfn._xlws.FILTER(shifts!A:A,(shifts!B:B=events!AD1199)*(shifts!AG:AG&gt;=events!BK1199)*(shifts!AH:AH&lt;=events!BL1199)),BI1198)</f>
        <v>56</v>
      </c>
      <c r="BJ1199" s="15">
        <f t="shared" si="873"/>
        <v>0</v>
      </c>
      <c r="BK1199">
        <f t="shared" si="881"/>
        <v>543</v>
      </c>
      <c r="BL1199">
        <f t="shared" si="882"/>
        <v>543</v>
      </c>
      <c r="BM1199" s="15">
        <f>SUMIFS(BJ$2:BJ1199,K$2:K1199,"=Intermission")+SUMIFS(BJ$2:BJ1199,K$2:K1199,"=Timeout")</f>
        <v>72</v>
      </c>
      <c r="BN1199">
        <f t="shared" si="883"/>
        <v>1152</v>
      </c>
      <c r="BO1199" s="19">
        <f t="shared" si="884"/>
        <v>1689</v>
      </c>
      <c r="BP1199">
        <f t="shared" si="885"/>
        <v>1684</v>
      </c>
      <c r="BQ1199" s="17">
        <f t="shared" si="886"/>
        <v>1689</v>
      </c>
      <c r="BR1199" t="str">
        <f t="shared" si="887"/>
        <v>event_team_player_1</v>
      </c>
      <c r="BS1199">
        <f>COUNTIFS(S$3:S1199,"="&amp;S1199,AI$3:AI1199,"="&amp;AI1199)</f>
        <v>1</v>
      </c>
      <c r="BT1199" t="str">
        <f>IFERROR(VLOOKUP(BB1199&amp;BU1199&amp;X1199,game_rosters!U:W,3,FALSE),"")</f>
        <v>P100016</v>
      </c>
      <c r="BU1199" t="str">
        <f t="shared" si="888"/>
        <v>Velodrome</v>
      </c>
    </row>
    <row r="1200" spans="1:73" x14ac:dyDescent="0.2">
      <c r="A1200">
        <f t="shared" si="874"/>
        <v>1</v>
      </c>
      <c r="J1200" s="44" t="str">
        <f t="shared" si="889"/>
        <v/>
      </c>
      <c r="K1200" t="s">
        <v>9</v>
      </c>
      <c r="L1200" t="s">
        <v>173</v>
      </c>
      <c r="M1200" t="s">
        <v>365</v>
      </c>
      <c r="S1200">
        <v>649</v>
      </c>
      <c r="W1200" t="str">
        <f t="shared" si="865"/>
        <v>a</v>
      </c>
      <c r="X1200">
        <v>22</v>
      </c>
      <c r="Y1200" t="e">
        <f>IF(X1200&lt;&gt;"",VLOOKUP(X1200,game_rosters!$C$43:$E$64,3,FALSE))</f>
        <v>#N/A</v>
      </c>
      <c r="Z1200" cm="1">
        <f t="array" ref="Z1200">IFERROR(IF(_xlfn._xlws.FILTER(game_rosters!$J:$J,(game_rosters!$G:$G=events!$AN1200)*(game_rosters!$J:$J=events!$X1200))&gt;0,1,""),"")</f>
        <v>1</v>
      </c>
      <c r="AA1200">
        <f t="shared" si="913"/>
        <v>1649</v>
      </c>
      <c r="AB1200" t="str">
        <f t="shared" si="914"/>
        <v/>
      </c>
      <c r="AC1200">
        <f t="shared" si="862"/>
        <v>1649</v>
      </c>
      <c r="AD1200" s="6">
        <v>2</v>
      </c>
      <c r="AE1200" t="s">
        <v>933</v>
      </c>
      <c r="AF1200" t="s">
        <v>913</v>
      </c>
      <c r="AG1200" t="s">
        <v>756</v>
      </c>
      <c r="AH1200" t="s">
        <v>756</v>
      </c>
      <c r="AI1200" t="s">
        <v>367</v>
      </c>
      <c r="AJ1200" t="str">
        <f t="shared" ref="AJ1200:AK1200" si="934">IF($J1200&lt;&gt;"",$J1200,IF($AC1200=$AC1199,AJ1199,""))</f>
        <v/>
      </c>
      <c r="AK1200" t="str">
        <f t="shared" si="934"/>
        <v/>
      </c>
      <c r="AL1200" t="str">
        <f t="shared" si="867"/>
        <v/>
      </c>
      <c r="AN1200" t="s">
        <v>862</v>
      </c>
      <c r="AO1200" t="str">
        <f t="shared" si="868"/>
        <v>a</v>
      </c>
      <c r="AP1200" t="str">
        <f t="shared" si="876"/>
        <v/>
      </c>
      <c r="AQ1200" t="str">
        <f t="shared" si="877"/>
        <v/>
      </c>
      <c r="AR1200" t="str">
        <f t="shared" si="878"/>
        <v>Away</v>
      </c>
      <c r="AS1200" t="str">
        <f t="shared" si="879"/>
        <v>a</v>
      </c>
      <c r="AT1200" t="str">
        <f t="shared" si="880"/>
        <v>Offensive</v>
      </c>
      <c r="BA1200" s="6">
        <f t="shared" si="869"/>
        <v>297</v>
      </c>
      <c r="BB1200">
        <f t="shared" si="870"/>
        <v>18981</v>
      </c>
      <c r="BC1200" t="str">
        <f t="shared" si="871"/>
        <v>Nelson</v>
      </c>
      <c r="BD1200" t="str">
        <f t="shared" si="872"/>
        <v>Velodrome</v>
      </c>
      <c r="BE1200" t="s">
        <v>9</v>
      </c>
      <c r="BF1200" t="s">
        <v>173</v>
      </c>
      <c r="BG1200" t="s">
        <v>365</v>
      </c>
      <c r="BI1200" cm="1">
        <f t="array" ref="BI1200">IFERROR(_xlfn._xlws.FILTER(shifts!A:A,(shifts!B:B=events!AD1200)*(shifts!AG:AG&gt;=events!BK1200)*(shifts!AH:AH&lt;=events!BL1200)),BI1199)</f>
        <v>56</v>
      </c>
      <c r="BJ1200" s="15">
        <f t="shared" si="873"/>
        <v>0</v>
      </c>
      <c r="BK1200">
        <f t="shared" si="881"/>
        <v>542</v>
      </c>
      <c r="BL1200">
        <f t="shared" si="882"/>
        <v>542</v>
      </c>
      <c r="BM1200" s="15">
        <f>SUMIFS(BJ$2:BJ1200,K$2:K1200,"=Intermission")+SUMIFS(BJ$2:BJ1200,K$2:K1200,"=Timeout")</f>
        <v>72</v>
      </c>
      <c r="BN1200">
        <f t="shared" si="883"/>
        <v>1152</v>
      </c>
      <c r="BO1200" s="19">
        <f t="shared" si="884"/>
        <v>1690</v>
      </c>
      <c r="BP1200">
        <f t="shared" si="885"/>
        <v>1685</v>
      </c>
      <c r="BQ1200" s="17">
        <f t="shared" si="886"/>
        <v>1690</v>
      </c>
      <c r="BR1200" t="str">
        <f t="shared" si="887"/>
        <v>event_team_player_1</v>
      </c>
      <c r="BS1200">
        <f>COUNTIFS(S$3:S1200,"="&amp;S1200,AI$3:AI1200,"="&amp;AI1200)</f>
        <v>1</v>
      </c>
      <c r="BT1200" t="str">
        <f>IFERROR(VLOOKUP(BB1200&amp;BU1200&amp;X1200,game_rosters!U:W,3,FALSE),"")</f>
        <v>P100108</v>
      </c>
      <c r="BU1200" t="str">
        <f t="shared" si="888"/>
        <v>Velodrome</v>
      </c>
    </row>
    <row r="1201" spans="1:73" x14ac:dyDescent="0.2">
      <c r="A1201">
        <f t="shared" si="874"/>
        <v>1</v>
      </c>
      <c r="J1201" s="44" t="str">
        <f t="shared" si="889"/>
        <v/>
      </c>
      <c r="K1201" t="s">
        <v>238</v>
      </c>
      <c r="L1201" t="s">
        <v>193</v>
      </c>
      <c r="M1201" t="s">
        <v>91</v>
      </c>
      <c r="S1201">
        <v>650</v>
      </c>
      <c r="W1201" t="str">
        <f t="shared" si="865"/>
        <v>h</v>
      </c>
      <c r="X1201">
        <v>37</v>
      </c>
      <c r="Y1201" t="b">
        <f>IF(X1201&lt;&gt;"",VLOOKUP(X1201,game_rosters!$C$43:$E$64,3,FALSE))</f>
        <v>0</v>
      </c>
      <c r="Z1201" cm="1">
        <f t="array" ref="Z1201">IFERROR(IF(_xlfn._xlws.FILTER(game_rosters!$J:$J,(game_rosters!$G:$G=events!$AN1201)*(game_rosters!$J:$J=events!$X1201))&gt;0,1,""),"")</f>
        <v>1</v>
      </c>
      <c r="AA1201">
        <f t="shared" si="913"/>
        <v>1650</v>
      </c>
      <c r="AB1201" t="str">
        <f t="shared" si="914"/>
        <v/>
      </c>
      <c r="AC1201">
        <f t="shared" si="862"/>
        <v>1650</v>
      </c>
      <c r="AD1201" s="6">
        <v>2</v>
      </c>
      <c r="AE1201" t="s">
        <v>933</v>
      </c>
      <c r="AF1201" t="s">
        <v>413</v>
      </c>
      <c r="AG1201" t="s">
        <v>756</v>
      </c>
      <c r="AH1201" t="s">
        <v>756</v>
      </c>
      <c r="AI1201" t="s">
        <v>367</v>
      </c>
      <c r="AJ1201" t="str">
        <f t="shared" ref="AJ1201:AK1201" si="935">IF($J1201&lt;&gt;"",$J1201,IF($AC1201=$AC1200,AJ1200,""))</f>
        <v/>
      </c>
      <c r="AK1201" t="str">
        <f t="shared" si="935"/>
        <v/>
      </c>
      <c r="AL1201" t="str">
        <f t="shared" si="867"/>
        <v/>
      </c>
      <c r="AN1201" t="s">
        <v>861</v>
      </c>
      <c r="AO1201" t="str">
        <f t="shared" si="868"/>
        <v>h</v>
      </c>
      <c r="AP1201" t="str">
        <f t="shared" si="876"/>
        <v/>
      </c>
      <c r="AQ1201" t="str">
        <f t="shared" si="877"/>
        <v/>
      </c>
      <c r="AR1201" t="str">
        <f t="shared" si="878"/>
        <v>Home</v>
      </c>
      <c r="AS1201" t="str">
        <f t="shared" si="879"/>
        <v>h</v>
      </c>
      <c r="AT1201" t="str">
        <f t="shared" si="880"/>
        <v>Offensive</v>
      </c>
      <c r="BA1201" s="6">
        <f t="shared" si="869"/>
        <v>297</v>
      </c>
      <c r="BB1201">
        <f t="shared" si="870"/>
        <v>18981</v>
      </c>
      <c r="BC1201" t="str">
        <f t="shared" si="871"/>
        <v>Nelson</v>
      </c>
      <c r="BD1201" t="str">
        <f t="shared" si="872"/>
        <v>Velodrome</v>
      </c>
      <c r="BE1201" t="s">
        <v>238</v>
      </c>
      <c r="BF1201" t="s">
        <v>193</v>
      </c>
      <c r="BG1201" t="s">
        <v>91</v>
      </c>
      <c r="BI1201" cm="1">
        <f t="array" ref="BI1201">IFERROR(_xlfn._xlws.FILTER(shifts!A:A,(shifts!B:B=events!AD1201)*(shifts!AG:AG&gt;=events!BK1201)*(shifts!AH:AH&lt;=events!BL1201)),BI1200)</f>
        <v>56</v>
      </c>
      <c r="BJ1201" s="15">
        <f t="shared" si="873"/>
        <v>0</v>
      </c>
      <c r="BK1201">
        <f t="shared" si="881"/>
        <v>540</v>
      </c>
      <c r="BL1201">
        <f t="shared" si="882"/>
        <v>540</v>
      </c>
      <c r="BM1201" s="15">
        <f>SUMIFS(BJ$2:BJ1201,K$2:K1201,"=Intermission")+SUMIFS(BJ$2:BJ1201,K$2:K1201,"=Timeout")</f>
        <v>72</v>
      </c>
      <c r="BN1201">
        <f t="shared" si="883"/>
        <v>1152</v>
      </c>
      <c r="BO1201" s="19">
        <f t="shared" si="884"/>
        <v>1692</v>
      </c>
      <c r="BP1201">
        <f t="shared" si="885"/>
        <v>1687</v>
      </c>
      <c r="BQ1201" s="17">
        <f t="shared" si="886"/>
        <v>1692</v>
      </c>
      <c r="BR1201" t="str">
        <f t="shared" si="887"/>
        <v>event_team_player_1</v>
      </c>
      <c r="BS1201">
        <f>COUNTIFS(S$3:S1201,"="&amp;S1201,AI$3:AI1201,"="&amp;AI1201)</f>
        <v>1</v>
      </c>
      <c r="BT1201" t="str">
        <f>IFERROR(VLOOKUP(BB1201&amp;BU1201&amp;X1201,game_rosters!U:W,3,FALSE),"")</f>
        <v>P100119</v>
      </c>
      <c r="BU1201" t="str">
        <f t="shared" si="888"/>
        <v>Nelson</v>
      </c>
    </row>
    <row r="1202" spans="1:73" x14ac:dyDescent="0.2">
      <c r="A1202">
        <f t="shared" si="874"/>
        <v>1</v>
      </c>
      <c r="J1202" s="44" t="str">
        <f t="shared" si="889"/>
        <v/>
      </c>
      <c r="K1202" t="s">
        <v>13</v>
      </c>
      <c r="L1202" t="s">
        <v>756</v>
      </c>
      <c r="M1202" t="s">
        <v>756</v>
      </c>
      <c r="S1202">
        <v>651</v>
      </c>
      <c r="W1202" t="str">
        <f t="shared" si="865"/>
        <v>h</v>
      </c>
      <c r="X1202">
        <v>37</v>
      </c>
      <c r="Y1202" t="b">
        <f>IF(X1202&lt;&gt;"",VLOOKUP(X1202,game_rosters!$C$43:$E$64,3,FALSE))</f>
        <v>0</v>
      </c>
      <c r="Z1202" cm="1">
        <f t="array" ref="Z1202">IFERROR(IF(_xlfn._xlws.FILTER(game_rosters!$J:$J,(game_rosters!$G:$G=events!$AN1202)*(game_rosters!$J:$J=events!$X1202))&gt;0,1,""),"")</f>
        <v>1</v>
      </c>
      <c r="AA1202">
        <f t="shared" si="913"/>
        <v>1651</v>
      </c>
      <c r="AB1202" t="str">
        <f t="shared" si="914"/>
        <v/>
      </c>
      <c r="AC1202">
        <f t="shared" si="862"/>
        <v>1651</v>
      </c>
      <c r="AD1202" s="6">
        <v>2</v>
      </c>
      <c r="AE1202" t="s">
        <v>933</v>
      </c>
      <c r="AF1202" t="s">
        <v>413</v>
      </c>
      <c r="AG1202" t="s">
        <v>936</v>
      </c>
      <c r="AH1202" t="s">
        <v>932</v>
      </c>
      <c r="AI1202" t="s">
        <v>367</v>
      </c>
      <c r="AJ1202" t="str">
        <f t="shared" ref="AJ1202:AK1202" si="936">IF($J1202&lt;&gt;"",$J1202,IF($AC1202=$AC1201,AJ1201,""))</f>
        <v/>
      </c>
      <c r="AK1202" t="str">
        <f t="shared" si="936"/>
        <v/>
      </c>
      <c r="AL1202" t="str">
        <f t="shared" si="867"/>
        <v/>
      </c>
      <c r="AN1202" t="s">
        <v>861</v>
      </c>
      <c r="AO1202" t="str">
        <f t="shared" si="868"/>
        <v>h</v>
      </c>
      <c r="AP1202" t="str">
        <f t="shared" si="876"/>
        <v/>
      </c>
      <c r="AQ1202" t="str">
        <f t="shared" si="877"/>
        <v/>
      </c>
      <c r="AR1202" t="str">
        <f t="shared" si="878"/>
        <v>Home</v>
      </c>
      <c r="AS1202" t="str">
        <f t="shared" si="879"/>
        <v>h</v>
      </c>
      <c r="AT1202" t="str">
        <f t="shared" si="880"/>
        <v>Offensive</v>
      </c>
      <c r="BA1202" s="6">
        <f t="shared" si="869"/>
        <v>297</v>
      </c>
      <c r="BB1202">
        <f t="shared" si="870"/>
        <v>18981</v>
      </c>
      <c r="BC1202" t="str">
        <f t="shared" si="871"/>
        <v>Nelson</v>
      </c>
      <c r="BD1202" t="str">
        <f t="shared" si="872"/>
        <v>Velodrome</v>
      </c>
      <c r="BE1202" t="s">
        <v>13</v>
      </c>
      <c r="BF1202" t="s">
        <v>756</v>
      </c>
      <c r="BG1202" t="s">
        <v>756</v>
      </c>
      <c r="BI1202" cm="1">
        <f t="array" ref="BI1202">IFERROR(_xlfn._xlws.FILTER(shifts!A:A,(shifts!B:B=events!AD1202)*(shifts!AG:AG&gt;=events!BK1202)*(shifts!AH:AH&lt;=events!BL1202)),BI1201)</f>
        <v>56</v>
      </c>
      <c r="BJ1202" s="15">
        <f t="shared" si="873"/>
        <v>2</v>
      </c>
      <c r="BK1202">
        <f t="shared" si="881"/>
        <v>540</v>
      </c>
      <c r="BL1202">
        <f t="shared" si="882"/>
        <v>538</v>
      </c>
      <c r="BM1202" s="15">
        <f>SUMIFS(BJ$2:BJ1202,K$2:K1202,"=Intermission")+SUMIFS(BJ$2:BJ1202,K$2:K1202,"=Timeout")</f>
        <v>72</v>
      </c>
      <c r="BN1202">
        <f t="shared" si="883"/>
        <v>1152</v>
      </c>
      <c r="BO1202" s="19">
        <f t="shared" si="884"/>
        <v>1692</v>
      </c>
      <c r="BP1202">
        <f t="shared" si="885"/>
        <v>1687</v>
      </c>
      <c r="BQ1202" s="17">
        <f t="shared" si="886"/>
        <v>1694</v>
      </c>
      <c r="BR1202" t="str">
        <f t="shared" si="887"/>
        <v>event_team_player_1</v>
      </c>
      <c r="BS1202">
        <f>COUNTIFS(S$3:S1202,"="&amp;S1202,AI$3:AI1202,"="&amp;AI1202)</f>
        <v>1</v>
      </c>
      <c r="BT1202" t="str">
        <f>IFERROR(VLOOKUP(BB1202&amp;BU1202&amp;X1202,game_rosters!U:W,3,FALSE),"")</f>
        <v>P100119</v>
      </c>
      <c r="BU1202" t="str">
        <f t="shared" si="888"/>
        <v>Nelson</v>
      </c>
    </row>
    <row r="1203" spans="1:73" x14ac:dyDescent="0.2">
      <c r="A1203">
        <f t="shared" si="874"/>
        <v>1</v>
      </c>
      <c r="J1203" s="44" t="str">
        <f t="shared" si="889"/>
        <v>o</v>
      </c>
      <c r="K1203" t="s">
        <v>6</v>
      </c>
      <c r="L1203" t="s">
        <v>205</v>
      </c>
      <c r="M1203" t="s">
        <v>51</v>
      </c>
      <c r="S1203">
        <v>652</v>
      </c>
      <c r="W1203" t="str">
        <f t="shared" si="865"/>
        <v>h</v>
      </c>
      <c r="X1203">
        <v>37</v>
      </c>
      <c r="Y1203" t="b">
        <f>IF(X1203&lt;&gt;"",VLOOKUP(X1203,game_rosters!$C$43:$E$64,3,FALSE))</f>
        <v>0</v>
      </c>
      <c r="Z1203" cm="1">
        <f t="array" ref="Z1203">IFERROR(IF(_xlfn._xlws.FILTER(game_rosters!$J:$J,(game_rosters!$G:$G=events!$AN1203)*(game_rosters!$J:$J=events!$X1203))&gt;0,1,""),"")</f>
        <v>1</v>
      </c>
      <c r="AA1203">
        <f t="shared" si="913"/>
        <v>1652</v>
      </c>
      <c r="AB1203" t="str">
        <f t="shared" si="914"/>
        <v/>
      </c>
      <c r="AC1203">
        <f t="shared" si="862"/>
        <v>1652</v>
      </c>
      <c r="AD1203" s="6">
        <v>2</v>
      </c>
      <c r="AE1203" t="s">
        <v>936</v>
      </c>
      <c r="AF1203" t="s">
        <v>932</v>
      </c>
      <c r="AG1203" t="s">
        <v>756</v>
      </c>
      <c r="AH1203" t="s">
        <v>756</v>
      </c>
      <c r="AI1203" t="s">
        <v>367</v>
      </c>
      <c r="AJ1203" t="str">
        <f t="shared" ref="AJ1203:AK1203" si="937">IF($J1203&lt;&gt;"",$J1203,IF($AC1203=$AC1202,AJ1202,""))</f>
        <v>o</v>
      </c>
      <c r="AK1203" t="str">
        <f t="shared" si="937"/>
        <v>o</v>
      </c>
      <c r="AL1203" t="str">
        <f t="shared" si="867"/>
        <v>o</v>
      </c>
      <c r="AN1203" t="s">
        <v>861</v>
      </c>
      <c r="AO1203" t="str">
        <f t="shared" si="868"/>
        <v>h</v>
      </c>
      <c r="AP1203" t="str">
        <f t="shared" si="876"/>
        <v>o</v>
      </c>
      <c r="AQ1203" t="str">
        <f t="shared" si="877"/>
        <v/>
      </c>
      <c r="AR1203" t="str">
        <f t="shared" si="878"/>
        <v>Home</v>
      </c>
      <c r="AS1203" t="str">
        <f t="shared" si="879"/>
        <v>h</v>
      </c>
      <c r="AT1203" t="str">
        <f t="shared" si="880"/>
        <v>Offensive</v>
      </c>
      <c r="BA1203" s="6">
        <f t="shared" si="869"/>
        <v>297</v>
      </c>
      <c r="BB1203">
        <f t="shared" si="870"/>
        <v>18981</v>
      </c>
      <c r="BC1203" t="str">
        <f t="shared" si="871"/>
        <v>Nelson</v>
      </c>
      <c r="BD1203" t="str">
        <f t="shared" si="872"/>
        <v>Velodrome</v>
      </c>
      <c r="BE1203" t="s">
        <v>6</v>
      </c>
      <c r="BF1203" t="s">
        <v>205</v>
      </c>
      <c r="BG1203" t="s">
        <v>51</v>
      </c>
      <c r="BI1203" cm="1">
        <f t="array" ref="BI1203">IFERROR(_xlfn._xlws.FILTER(shifts!A:A,(shifts!B:B=events!AD1203)*(shifts!AG:AG&gt;=events!BK1203)*(shifts!AH:AH&lt;=events!BL1203)),BI1202)</f>
        <v>56</v>
      </c>
      <c r="BJ1203" s="15">
        <f t="shared" si="873"/>
        <v>0</v>
      </c>
      <c r="BK1203">
        <f t="shared" si="881"/>
        <v>538</v>
      </c>
      <c r="BL1203">
        <f t="shared" si="882"/>
        <v>538</v>
      </c>
      <c r="BM1203" s="15">
        <f>SUMIFS(BJ$2:BJ1203,K$2:K1203,"=Intermission")+SUMIFS(BJ$2:BJ1203,K$2:K1203,"=Timeout")</f>
        <v>72</v>
      </c>
      <c r="BN1203">
        <f t="shared" si="883"/>
        <v>1152</v>
      </c>
      <c r="BO1203" s="19">
        <f t="shared" si="884"/>
        <v>1694</v>
      </c>
      <c r="BP1203">
        <f t="shared" si="885"/>
        <v>1689</v>
      </c>
      <c r="BQ1203" s="17">
        <f t="shared" si="886"/>
        <v>1694</v>
      </c>
      <c r="BR1203" t="str">
        <f t="shared" si="887"/>
        <v>event_team_player_1</v>
      </c>
      <c r="BS1203">
        <f>COUNTIFS(S$3:S1203,"="&amp;S1203,AI$3:AI1203,"="&amp;AI1203)</f>
        <v>1</v>
      </c>
      <c r="BT1203" t="str">
        <f>IFERROR(VLOOKUP(BB1203&amp;BU1203&amp;X1203,game_rosters!U:W,3,FALSE),"")</f>
        <v>P100119</v>
      </c>
      <c r="BU1203" t="str">
        <f t="shared" si="888"/>
        <v>Nelson</v>
      </c>
    </row>
    <row r="1204" spans="1:73" x14ac:dyDescent="0.2">
      <c r="A1204">
        <f t="shared" si="874"/>
        <v>1</v>
      </c>
      <c r="J1204" s="44" t="str">
        <f t="shared" si="889"/>
        <v>o</v>
      </c>
      <c r="K1204" t="s">
        <v>6</v>
      </c>
      <c r="L1204" t="s">
        <v>205</v>
      </c>
      <c r="M1204" t="s">
        <v>51</v>
      </c>
      <c r="S1204">
        <v>652</v>
      </c>
      <c r="W1204" t="str">
        <f t="shared" si="865"/>
        <v>h</v>
      </c>
      <c r="X1204">
        <v>15</v>
      </c>
      <c r="Y1204" t="b">
        <f>IF(X1204&lt;&gt;"",VLOOKUP(X1204,game_rosters!$C$43:$E$64,3,FALSE))</f>
        <v>0</v>
      </c>
      <c r="Z1204" cm="1">
        <f t="array" ref="Z1204">IFERROR(IF(_xlfn._xlws.FILTER(game_rosters!$J:$J,(game_rosters!$G:$G=events!$AN1204)*(game_rosters!$J:$J=events!$X1204))&gt;0,1,""),"")</f>
        <v>1</v>
      </c>
      <c r="AA1204">
        <f t="shared" si="913"/>
        <v>1652</v>
      </c>
      <c r="AB1204" t="str">
        <f t="shared" si="914"/>
        <v/>
      </c>
      <c r="AC1204">
        <f t="shared" si="862"/>
        <v>1652</v>
      </c>
      <c r="AD1204" s="6">
        <v>2</v>
      </c>
      <c r="AE1204" t="s">
        <v>936</v>
      </c>
      <c r="AF1204" t="s">
        <v>932</v>
      </c>
      <c r="AG1204" t="s">
        <v>756</v>
      </c>
      <c r="AH1204" t="s">
        <v>756</v>
      </c>
      <c r="AI1204" t="s">
        <v>367</v>
      </c>
      <c r="AJ1204" t="str">
        <f t="shared" ref="AJ1204:AK1204" si="938">IF($J1204&lt;&gt;"",$J1204,IF($AC1204=$AC1203,AJ1203,""))</f>
        <v>o</v>
      </c>
      <c r="AK1204" t="str">
        <f t="shared" si="938"/>
        <v>o</v>
      </c>
      <c r="AL1204" t="str">
        <f t="shared" si="867"/>
        <v>o</v>
      </c>
      <c r="AN1204" t="s">
        <v>861</v>
      </c>
      <c r="AO1204" t="str">
        <f t="shared" si="868"/>
        <v>h</v>
      </c>
      <c r="AP1204" t="str">
        <f t="shared" si="876"/>
        <v>o</v>
      </c>
      <c r="AQ1204" t="str">
        <f t="shared" si="877"/>
        <v/>
      </c>
      <c r="AR1204" t="str">
        <f t="shared" si="878"/>
        <v>Home</v>
      </c>
      <c r="AS1204" t="str">
        <f t="shared" si="879"/>
        <v>h</v>
      </c>
      <c r="AT1204" t="str">
        <f t="shared" si="880"/>
        <v>Offensive</v>
      </c>
      <c r="BA1204" s="6">
        <f t="shared" si="869"/>
        <v>297</v>
      </c>
      <c r="BB1204">
        <f t="shared" si="870"/>
        <v>18981</v>
      </c>
      <c r="BC1204" t="str">
        <f t="shared" si="871"/>
        <v>Nelson</v>
      </c>
      <c r="BD1204" t="str">
        <f t="shared" si="872"/>
        <v>Velodrome</v>
      </c>
      <c r="BE1204" t="s">
        <v>6</v>
      </c>
      <c r="BF1204" t="s">
        <v>205</v>
      </c>
      <c r="BG1204" t="s">
        <v>51</v>
      </c>
      <c r="BI1204" cm="1">
        <f t="array" ref="BI1204">IFERROR(_xlfn._xlws.FILTER(shifts!A:A,(shifts!B:B=events!AD1204)*(shifts!AG:AG&gt;=events!BK1204)*(shifts!AH:AH&lt;=events!BL1204)),BI1203)</f>
        <v>56</v>
      </c>
      <c r="BJ1204" s="15">
        <f t="shared" si="873"/>
        <v>0</v>
      </c>
      <c r="BK1204">
        <f t="shared" si="881"/>
        <v>538</v>
      </c>
      <c r="BL1204">
        <f t="shared" si="882"/>
        <v>538</v>
      </c>
      <c r="BM1204" s="15">
        <f>SUMIFS(BJ$2:BJ1204,K$2:K1204,"=Intermission")+SUMIFS(BJ$2:BJ1204,K$2:K1204,"=Timeout")</f>
        <v>72</v>
      </c>
      <c r="BN1204">
        <f t="shared" si="883"/>
        <v>1152</v>
      </c>
      <c r="BO1204" s="19">
        <f t="shared" si="884"/>
        <v>1694</v>
      </c>
      <c r="BP1204">
        <f t="shared" si="885"/>
        <v>1689</v>
      </c>
      <c r="BQ1204" s="17">
        <f t="shared" si="886"/>
        <v>1694</v>
      </c>
      <c r="BR1204" t="str">
        <f t="shared" si="887"/>
        <v>event_team_player_2</v>
      </c>
      <c r="BS1204">
        <f>COUNTIFS(S$3:S1204,"="&amp;S1204,AI$3:AI1204,"="&amp;AI1204)</f>
        <v>2</v>
      </c>
      <c r="BT1204" t="str">
        <f>IFERROR(VLOOKUP(BB1204&amp;BU1204&amp;X1204,game_rosters!U:W,3,FALSE),"")</f>
        <v>P100071</v>
      </c>
      <c r="BU1204" t="str">
        <f t="shared" si="888"/>
        <v>Nelson</v>
      </c>
    </row>
    <row r="1205" spans="1:73" x14ac:dyDescent="0.2">
      <c r="A1205">
        <f t="shared" si="874"/>
        <v>1</v>
      </c>
      <c r="J1205" s="44" t="str">
        <f t="shared" si="889"/>
        <v>o</v>
      </c>
      <c r="K1205" t="s">
        <v>6</v>
      </c>
      <c r="L1205" t="s">
        <v>205</v>
      </c>
      <c r="M1205" t="s">
        <v>51</v>
      </c>
      <c r="S1205">
        <v>652</v>
      </c>
      <c r="W1205" t="str">
        <f t="shared" si="865"/>
        <v>h</v>
      </c>
      <c r="X1205">
        <v>39</v>
      </c>
      <c r="Y1205" t="e">
        <f>IF(X1205&lt;&gt;"",VLOOKUP(X1205,game_rosters!$C$43:$E$64,3,FALSE))</f>
        <v>#N/A</v>
      </c>
      <c r="Z1205" t="str" cm="1">
        <f t="array" ref="Z1205">IFERROR(IF(_xlfn._xlws.FILTER(game_rosters!$J:$J,(game_rosters!$G:$G=events!$AN1205)*(game_rosters!$J:$J=events!$X1205))&gt;0,1,""),"")</f>
        <v/>
      </c>
      <c r="AA1205">
        <f t="shared" si="913"/>
        <v>1652</v>
      </c>
      <c r="AB1205" t="str">
        <f t="shared" si="914"/>
        <v/>
      </c>
      <c r="AC1205">
        <f t="shared" si="862"/>
        <v>1652</v>
      </c>
      <c r="AD1205" s="6">
        <v>2</v>
      </c>
      <c r="AE1205" t="s">
        <v>936</v>
      </c>
      <c r="AF1205" t="s">
        <v>932</v>
      </c>
      <c r="AG1205" t="s">
        <v>756</v>
      </c>
      <c r="AH1205" t="s">
        <v>756</v>
      </c>
      <c r="AI1205" t="s">
        <v>368</v>
      </c>
      <c r="AJ1205" t="str">
        <f t="shared" ref="AJ1205:AK1205" si="939">IF($J1205&lt;&gt;"",$J1205,IF($AC1205=$AC1204,AJ1204,""))</f>
        <v>o</v>
      </c>
      <c r="AK1205" t="str">
        <f t="shared" si="939"/>
        <v>o</v>
      </c>
      <c r="AL1205" t="str">
        <f t="shared" si="867"/>
        <v>o</v>
      </c>
      <c r="AN1205" t="s">
        <v>861</v>
      </c>
      <c r="AO1205" t="str">
        <f t="shared" si="868"/>
        <v>h</v>
      </c>
      <c r="AP1205" t="str">
        <f t="shared" si="876"/>
        <v>o</v>
      </c>
      <c r="AQ1205" t="str">
        <f t="shared" si="877"/>
        <v/>
      </c>
      <c r="AR1205" t="str">
        <f t="shared" si="878"/>
        <v>Home</v>
      </c>
      <c r="AS1205" t="str">
        <f t="shared" si="879"/>
        <v>h</v>
      </c>
      <c r="AT1205" t="str">
        <f t="shared" si="880"/>
        <v>Defensive</v>
      </c>
      <c r="BA1205" s="6">
        <f t="shared" si="869"/>
        <v>297</v>
      </c>
      <c r="BB1205">
        <f t="shared" si="870"/>
        <v>18981</v>
      </c>
      <c r="BC1205" t="str">
        <f t="shared" si="871"/>
        <v>Nelson</v>
      </c>
      <c r="BD1205" t="str">
        <f t="shared" si="872"/>
        <v>Velodrome</v>
      </c>
      <c r="BE1205" t="s">
        <v>6</v>
      </c>
      <c r="BF1205" t="s">
        <v>205</v>
      </c>
      <c r="BG1205" t="s">
        <v>51</v>
      </c>
      <c r="BI1205" cm="1">
        <f t="array" ref="BI1205">IFERROR(_xlfn._xlws.FILTER(shifts!A:A,(shifts!B:B=events!AD1205)*(shifts!AG:AG&gt;=events!BK1205)*(shifts!AH:AH&lt;=events!BL1205)),BI1204)</f>
        <v>56</v>
      </c>
      <c r="BJ1205" s="15">
        <f t="shared" si="873"/>
        <v>0</v>
      </c>
      <c r="BK1205">
        <f t="shared" si="881"/>
        <v>538</v>
      </c>
      <c r="BL1205">
        <f t="shared" si="882"/>
        <v>538</v>
      </c>
      <c r="BM1205" s="15">
        <f>SUMIFS(BJ$2:BJ1205,K$2:K1205,"=Intermission")+SUMIFS(BJ$2:BJ1205,K$2:K1205,"=Timeout")</f>
        <v>72</v>
      </c>
      <c r="BN1205">
        <f t="shared" si="883"/>
        <v>1152</v>
      </c>
      <c r="BO1205" s="19">
        <f t="shared" si="884"/>
        <v>1694</v>
      </c>
      <c r="BP1205">
        <f t="shared" si="885"/>
        <v>1689</v>
      </c>
      <c r="BQ1205" s="17">
        <f t="shared" si="886"/>
        <v>1694</v>
      </c>
      <c r="BR1205" t="str">
        <f t="shared" si="887"/>
        <v>opp_team_player_1</v>
      </c>
      <c r="BS1205">
        <f>COUNTIFS(S$3:S1205,"="&amp;S1205,AI$3:AI1205,"="&amp;AI1205)</f>
        <v>1</v>
      </c>
      <c r="BT1205" t="str">
        <f>IFERROR(VLOOKUP(BB1205&amp;BU1205&amp;X1205,game_rosters!U:W,3,FALSE),"")</f>
        <v>P100016</v>
      </c>
      <c r="BU1205" t="str">
        <f t="shared" si="888"/>
        <v>Velodrome</v>
      </c>
    </row>
    <row r="1206" spans="1:73" x14ac:dyDescent="0.2">
      <c r="A1206">
        <f t="shared" si="874"/>
        <v>1</v>
      </c>
      <c r="J1206" s="44" t="str">
        <f t="shared" si="889"/>
        <v>d</v>
      </c>
      <c r="K1206" t="s">
        <v>15</v>
      </c>
      <c r="L1206" t="s">
        <v>179</v>
      </c>
      <c r="M1206" t="s">
        <v>100</v>
      </c>
      <c r="S1206">
        <v>653</v>
      </c>
      <c r="W1206" t="str">
        <f t="shared" si="865"/>
        <v>a</v>
      </c>
      <c r="X1206">
        <v>39</v>
      </c>
      <c r="Y1206" t="e">
        <f>IF(X1206&lt;&gt;"",VLOOKUP(X1206,game_rosters!$C$43:$E$64,3,FALSE))</f>
        <v>#N/A</v>
      </c>
      <c r="Z1206" cm="1">
        <f t="array" ref="Z1206">IFERROR(IF(_xlfn._xlws.FILTER(game_rosters!$J:$J,(game_rosters!$G:$G=events!$AN1206)*(game_rosters!$J:$J=events!$X1206))&gt;0,1,""),"")</f>
        <v>1</v>
      </c>
      <c r="AA1206">
        <f t="shared" si="913"/>
        <v>1653</v>
      </c>
      <c r="AB1206" t="str">
        <f t="shared" si="914"/>
        <v/>
      </c>
      <c r="AC1206">
        <f t="shared" si="862"/>
        <v>1653</v>
      </c>
      <c r="AD1206" s="6">
        <v>2</v>
      </c>
      <c r="AE1206" t="s">
        <v>936</v>
      </c>
      <c r="AF1206" t="s">
        <v>932</v>
      </c>
      <c r="AG1206" t="s">
        <v>756</v>
      </c>
      <c r="AH1206" t="s">
        <v>756</v>
      </c>
      <c r="AI1206" t="s">
        <v>367</v>
      </c>
      <c r="AJ1206" t="str">
        <f t="shared" ref="AJ1206:AK1206" si="940">IF($J1206&lt;&gt;"",$J1206,IF($AC1206=$AC1205,AJ1205,""))</f>
        <v>d</v>
      </c>
      <c r="AK1206" t="str">
        <f t="shared" si="940"/>
        <v>d</v>
      </c>
      <c r="AL1206" t="str">
        <f t="shared" si="867"/>
        <v>o</v>
      </c>
      <c r="AN1206" t="s">
        <v>862</v>
      </c>
      <c r="AO1206" t="str">
        <f t="shared" si="868"/>
        <v>a</v>
      </c>
      <c r="AP1206" t="str">
        <f t="shared" si="876"/>
        <v>o</v>
      </c>
      <c r="AQ1206" t="str">
        <f t="shared" si="877"/>
        <v/>
      </c>
      <c r="AR1206" t="str">
        <f t="shared" si="878"/>
        <v>Away</v>
      </c>
      <c r="AS1206" t="str">
        <f t="shared" si="879"/>
        <v>a</v>
      </c>
      <c r="AT1206" t="str">
        <f t="shared" si="880"/>
        <v>Defensive</v>
      </c>
      <c r="BA1206" s="6">
        <f t="shared" si="869"/>
        <v>297</v>
      </c>
      <c r="BB1206">
        <f t="shared" si="870"/>
        <v>18981</v>
      </c>
      <c r="BC1206" t="str">
        <f t="shared" si="871"/>
        <v>Nelson</v>
      </c>
      <c r="BD1206" t="str">
        <f t="shared" si="872"/>
        <v>Velodrome</v>
      </c>
      <c r="BE1206" t="s">
        <v>15</v>
      </c>
      <c r="BF1206" t="s">
        <v>179</v>
      </c>
      <c r="BG1206" t="s">
        <v>100</v>
      </c>
      <c r="BI1206" cm="1">
        <f t="array" ref="BI1206">IFERROR(_xlfn._xlws.FILTER(shifts!A:A,(shifts!B:B=events!AD1206)*(shifts!AG:AG&gt;=events!BK1206)*(shifts!AH:AH&lt;=events!BL1206)),BI1205)</f>
        <v>56</v>
      </c>
      <c r="BJ1206" s="15">
        <f t="shared" si="873"/>
        <v>0</v>
      </c>
      <c r="BK1206">
        <f t="shared" si="881"/>
        <v>538</v>
      </c>
      <c r="BL1206">
        <f t="shared" si="882"/>
        <v>538</v>
      </c>
      <c r="BM1206" s="15">
        <f>SUMIFS(BJ$2:BJ1206,K$2:K1206,"=Intermission")+SUMIFS(BJ$2:BJ1206,K$2:K1206,"=Timeout")</f>
        <v>72</v>
      </c>
      <c r="BN1206">
        <f t="shared" si="883"/>
        <v>1152</v>
      </c>
      <c r="BO1206" s="19">
        <f t="shared" si="884"/>
        <v>1694</v>
      </c>
      <c r="BP1206">
        <f t="shared" si="885"/>
        <v>1689</v>
      </c>
      <c r="BQ1206" s="17">
        <f t="shared" si="886"/>
        <v>1694</v>
      </c>
      <c r="BR1206" t="str">
        <f t="shared" si="887"/>
        <v>event_team_player_1</v>
      </c>
      <c r="BS1206">
        <f>COUNTIFS(S$3:S1206,"="&amp;S1206,AI$3:AI1206,"="&amp;AI1206)</f>
        <v>1</v>
      </c>
      <c r="BT1206" t="str">
        <f>IFERROR(VLOOKUP(BB1206&amp;BU1206&amp;X1206,game_rosters!U:W,3,FALSE),"")</f>
        <v>P100016</v>
      </c>
      <c r="BU1206" t="str">
        <f t="shared" si="888"/>
        <v>Velodrome</v>
      </c>
    </row>
    <row r="1207" spans="1:73" x14ac:dyDescent="0.2">
      <c r="A1207">
        <f t="shared" si="874"/>
        <v>1</v>
      </c>
      <c r="J1207" s="44" t="str">
        <f t="shared" si="889"/>
        <v>d</v>
      </c>
      <c r="K1207" t="s">
        <v>15</v>
      </c>
      <c r="L1207" t="s">
        <v>179</v>
      </c>
      <c r="M1207" t="s">
        <v>100</v>
      </c>
      <c r="S1207">
        <v>653</v>
      </c>
      <c r="W1207" t="str">
        <f t="shared" si="865"/>
        <v>a</v>
      </c>
      <c r="X1207">
        <v>37</v>
      </c>
      <c r="Y1207" t="b">
        <f>IF(X1207&lt;&gt;"",VLOOKUP(X1207,game_rosters!$C$43:$E$64,3,FALSE))</f>
        <v>0</v>
      </c>
      <c r="Z1207" t="str" cm="1">
        <f t="array" ref="Z1207">IFERROR(IF(_xlfn._xlws.FILTER(game_rosters!$J:$J,(game_rosters!$G:$G=events!$AN1207)*(game_rosters!$J:$J=events!$X1207))&gt;0,1,""),"")</f>
        <v/>
      </c>
      <c r="AA1207">
        <f t="shared" si="913"/>
        <v>1653</v>
      </c>
      <c r="AB1207" t="str">
        <f t="shared" si="914"/>
        <v/>
      </c>
      <c r="AC1207">
        <f t="shared" si="862"/>
        <v>1653</v>
      </c>
      <c r="AD1207" s="6">
        <v>2</v>
      </c>
      <c r="AE1207" t="s">
        <v>936</v>
      </c>
      <c r="AF1207" t="s">
        <v>932</v>
      </c>
      <c r="AG1207" t="s">
        <v>756</v>
      </c>
      <c r="AH1207" t="s">
        <v>756</v>
      </c>
      <c r="AI1207" t="s">
        <v>368</v>
      </c>
      <c r="AJ1207" t="str">
        <f t="shared" ref="AJ1207:AK1207" si="941">IF($J1207&lt;&gt;"",$J1207,IF($AC1207=$AC1206,AJ1206,""))</f>
        <v>d</v>
      </c>
      <c r="AK1207" t="str">
        <f t="shared" si="941"/>
        <v>d</v>
      </c>
      <c r="AL1207" t="str">
        <f t="shared" si="867"/>
        <v>o</v>
      </c>
      <c r="AN1207" t="s">
        <v>862</v>
      </c>
      <c r="AO1207" t="str">
        <f t="shared" si="868"/>
        <v>a</v>
      </c>
      <c r="AP1207" t="str">
        <f t="shared" si="876"/>
        <v>o</v>
      </c>
      <c r="AQ1207" t="str">
        <f t="shared" si="877"/>
        <v/>
      </c>
      <c r="AR1207" t="str">
        <f t="shared" si="878"/>
        <v>Away</v>
      </c>
      <c r="AS1207" t="str">
        <f t="shared" si="879"/>
        <v>a</v>
      </c>
      <c r="AT1207" t="str">
        <f t="shared" si="880"/>
        <v>Offensive</v>
      </c>
      <c r="BA1207" s="6">
        <f t="shared" si="869"/>
        <v>297</v>
      </c>
      <c r="BB1207">
        <f t="shared" si="870"/>
        <v>18981</v>
      </c>
      <c r="BC1207" t="str">
        <f t="shared" si="871"/>
        <v>Nelson</v>
      </c>
      <c r="BD1207" t="str">
        <f t="shared" si="872"/>
        <v>Velodrome</v>
      </c>
      <c r="BE1207" t="s">
        <v>15</v>
      </c>
      <c r="BF1207" t="s">
        <v>179</v>
      </c>
      <c r="BG1207" t="s">
        <v>100</v>
      </c>
      <c r="BI1207" cm="1">
        <f t="array" ref="BI1207">IFERROR(_xlfn._xlws.FILTER(shifts!A:A,(shifts!B:B=events!AD1207)*(shifts!AG:AG&gt;=events!BK1207)*(shifts!AH:AH&lt;=events!BL1207)),BI1206)</f>
        <v>56</v>
      </c>
      <c r="BJ1207" s="15">
        <f t="shared" si="873"/>
        <v>0</v>
      </c>
      <c r="BK1207">
        <f t="shared" si="881"/>
        <v>538</v>
      </c>
      <c r="BL1207">
        <f t="shared" si="882"/>
        <v>538</v>
      </c>
      <c r="BM1207" s="15">
        <f>SUMIFS(BJ$2:BJ1207,K$2:K1207,"=Intermission")+SUMIFS(BJ$2:BJ1207,K$2:K1207,"=Timeout")</f>
        <v>72</v>
      </c>
      <c r="BN1207">
        <f t="shared" si="883"/>
        <v>1152</v>
      </c>
      <c r="BO1207" s="19">
        <f t="shared" si="884"/>
        <v>1694</v>
      </c>
      <c r="BP1207">
        <f t="shared" si="885"/>
        <v>1689</v>
      </c>
      <c r="BQ1207" s="17">
        <f t="shared" si="886"/>
        <v>1694</v>
      </c>
      <c r="BR1207" t="str">
        <f t="shared" si="887"/>
        <v>opp_team_player_1</v>
      </c>
      <c r="BS1207">
        <f>COUNTIFS(S$3:S1207,"="&amp;S1207,AI$3:AI1207,"="&amp;AI1207)</f>
        <v>1</v>
      </c>
      <c r="BT1207" t="str">
        <f>IFERROR(VLOOKUP(BB1207&amp;BU1207&amp;X1207,game_rosters!U:W,3,FALSE),"")</f>
        <v>P100119</v>
      </c>
      <c r="BU1207" t="str">
        <f t="shared" si="888"/>
        <v>Nelson</v>
      </c>
    </row>
    <row r="1208" spans="1:73" x14ac:dyDescent="0.2">
      <c r="A1208">
        <f t="shared" si="874"/>
        <v>1</v>
      </c>
      <c r="J1208" s="44" t="str">
        <f t="shared" si="889"/>
        <v>d</v>
      </c>
      <c r="K1208" t="s">
        <v>15</v>
      </c>
      <c r="L1208" t="s">
        <v>179</v>
      </c>
      <c r="M1208" t="s">
        <v>100</v>
      </c>
      <c r="S1208">
        <v>653</v>
      </c>
      <c r="W1208" t="str">
        <f t="shared" si="865"/>
        <v>a</v>
      </c>
      <c r="X1208">
        <v>15</v>
      </c>
      <c r="Y1208" t="b">
        <f>IF(X1208&lt;&gt;"",VLOOKUP(X1208,game_rosters!$C$43:$E$64,3,FALSE))</f>
        <v>0</v>
      </c>
      <c r="Z1208" t="str" cm="1">
        <f t="array" ref="Z1208">IFERROR(IF(_xlfn._xlws.FILTER(game_rosters!$J:$J,(game_rosters!$G:$G=events!$AN1208)*(game_rosters!$J:$J=events!$X1208))&gt;0,1,""),"")</f>
        <v/>
      </c>
      <c r="AA1208">
        <f t="shared" si="913"/>
        <v>1653</v>
      </c>
      <c r="AB1208" t="str">
        <f t="shared" si="914"/>
        <v/>
      </c>
      <c r="AC1208">
        <f t="shared" si="862"/>
        <v>1653</v>
      </c>
      <c r="AD1208" s="6">
        <v>2</v>
      </c>
      <c r="AE1208" t="s">
        <v>936</v>
      </c>
      <c r="AF1208" t="s">
        <v>932</v>
      </c>
      <c r="AG1208" t="s">
        <v>756</v>
      </c>
      <c r="AH1208" t="s">
        <v>756</v>
      </c>
      <c r="AI1208" t="s">
        <v>368</v>
      </c>
      <c r="AJ1208" t="str">
        <f t="shared" ref="AJ1208:AK1208" si="942">IF($J1208&lt;&gt;"",$J1208,IF($AC1208=$AC1207,AJ1207,""))</f>
        <v>d</v>
      </c>
      <c r="AK1208" t="str">
        <f t="shared" si="942"/>
        <v>d</v>
      </c>
      <c r="AL1208" t="str">
        <f t="shared" si="867"/>
        <v>o</v>
      </c>
      <c r="AN1208" t="s">
        <v>862</v>
      </c>
      <c r="AO1208" t="str">
        <f t="shared" si="868"/>
        <v>a</v>
      </c>
      <c r="AP1208" t="str">
        <f t="shared" si="876"/>
        <v>o</v>
      </c>
      <c r="AQ1208" t="str">
        <f t="shared" si="877"/>
        <v/>
      </c>
      <c r="AR1208" t="str">
        <f t="shared" si="878"/>
        <v>Away</v>
      </c>
      <c r="AS1208" t="str">
        <f t="shared" si="879"/>
        <v>a</v>
      </c>
      <c r="AT1208" t="str">
        <f t="shared" si="880"/>
        <v>Offensive</v>
      </c>
      <c r="BA1208" s="6">
        <f t="shared" si="869"/>
        <v>297</v>
      </c>
      <c r="BB1208">
        <f t="shared" si="870"/>
        <v>18981</v>
      </c>
      <c r="BC1208" t="str">
        <f t="shared" si="871"/>
        <v>Nelson</v>
      </c>
      <c r="BD1208" t="str">
        <f t="shared" si="872"/>
        <v>Velodrome</v>
      </c>
      <c r="BE1208" t="s">
        <v>15</v>
      </c>
      <c r="BF1208" t="s">
        <v>179</v>
      </c>
      <c r="BG1208" t="s">
        <v>100</v>
      </c>
      <c r="BI1208" cm="1">
        <f t="array" ref="BI1208">IFERROR(_xlfn._xlws.FILTER(shifts!A:A,(shifts!B:B=events!AD1208)*(shifts!AG:AG&gt;=events!BK1208)*(shifts!AH:AH&lt;=events!BL1208)),BI1207)</f>
        <v>56</v>
      </c>
      <c r="BJ1208" s="15">
        <f t="shared" si="873"/>
        <v>0</v>
      </c>
      <c r="BK1208">
        <f t="shared" si="881"/>
        <v>538</v>
      </c>
      <c r="BL1208">
        <f t="shared" si="882"/>
        <v>538</v>
      </c>
      <c r="BM1208" s="15">
        <f>SUMIFS(BJ$2:BJ1208,K$2:K1208,"=Intermission")+SUMIFS(BJ$2:BJ1208,K$2:K1208,"=Timeout")</f>
        <v>72</v>
      </c>
      <c r="BN1208">
        <f t="shared" si="883"/>
        <v>1152</v>
      </c>
      <c r="BO1208" s="19">
        <f t="shared" si="884"/>
        <v>1694</v>
      </c>
      <c r="BP1208">
        <f t="shared" si="885"/>
        <v>1689</v>
      </c>
      <c r="BQ1208" s="17">
        <f t="shared" si="886"/>
        <v>1694</v>
      </c>
      <c r="BR1208" t="str">
        <f t="shared" si="887"/>
        <v>opp_team_player_2</v>
      </c>
      <c r="BS1208">
        <f>COUNTIFS(S$3:S1208,"="&amp;S1208,AI$3:AI1208,"="&amp;AI1208)</f>
        <v>2</v>
      </c>
      <c r="BT1208" t="str">
        <f>IFERROR(VLOOKUP(BB1208&amp;BU1208&amp;X1208,game_rosters!U:W,3,FALSE),"")</f>
        <v>P100071</v>
      </c>
      <c r="BU1208" t="str">
        <f t="shared" si="888"/>
        <v>Nelson</v>
      </c>
    </row>
    <row r="1209" spans="1:73" x14ac:dyDescent="0.2">
      <c r="A1209">
        <f t="shared" si="874"/>
        <v>1</v>
      </c>
      <c r="J1209" s="44" t="str">
        <f t="shared" si="889"/>
        <v>d</v>
      </c>
      <c r="K1209" t="s">
        <v>231</v>
      </c>
      <c r="L1209" t="s">
        <v>233</v>
      </c>
      <c r="M1209" t="s">
        <v>756</v>
      </c>
      <c r="S1209">
        <v>654</v>
      </c>
      <c r="W1209" t="str">
        <f t="shared" si="865"/>
        <v>a</v>
      </c>
      <c r="X1209">
        <v>39</v>
      </c>
      <c r="Y1209" t="e">
        <f>IF(X1209&lt;&gt;"",VLOOKUP(X1209,game_rosters!$C$43:$E$64,3,FALSE))</f>
        <v>#N/A</v>
      </c>
      <c r="Z1209" cm="1">
        <f t="array" ref="Z1209">IFERROR(IF(_xlfn._xlws.FILTER(game_rosters!$J:$J,(game_rosters!$G:$G=events!$AN1209)*(game_rosters!$J:$J=events!$X1209))&gt;0,1,""),"")</f>
        <v>1</v>
      </c>
      <c r="AA1209">
        <f t="shared" si="913"/>
        <v>1654</v>
      </c>
      <c r="AB1209" t="str">
        <f t="shared" si="914"/>
        <v/>
      </c>
      <c r="AC1209">
        <f t="shared" si="862"/>
        <v>1654</v>
      </c>
      <c r="AD1209" s="6">
        <v>2</v>
      </c>
      <c r="AE1209" t="s">
        <v>936</v>
      </c>
      <c r="AF1209" t="s">
        <v>932</v>
      </c>
      <c r="AG1209" t="s">
        <v>756</v>
      </c>
      <c r="AH1209" t="s">
        <v>756</v>
      </c>
      <c r="AI1209" t="s">
        <v>367</v>
      </c>
      <c r="AJ1209" t="str">
        <f t="shared" ref="AJ1209:AK1209" si="943">IF($J1209&lt;&gt;"",$J1209,IF($AC1209=$AC1208,AJ1208,""))</f>
        <v>d</v>
      </c>
      <c r="AK1209" t="str">
        <f t="shared" si="943"/>
        <v>d</v>
      </c>
      <c r="AL1209" t="str">
        <f t="shared" si="867"/>
        <v>o</v>
      </c>
      <c r="AN1209" t="s">
        <v>862</v>
      </c>
      <c r="AO1209" t="str">
        <f t="shared" si="868"/>
        <v>a</v>
      </c>
      <c r="AP1209" t="str">
        <f t="shared" si="876"/>
        <v>o</v>
      </c>
      <c r="AQ1209" t="str">
        <f t="shared" si="877"/>
        <v/>
      </c>
      <c r="AR1209" t="str">
        <f t="shared" si="878"/>
        <v>Away</v>
      </c>
      <c r="AS1209" t="str">
        <f t="shared" si="879"/>
        <v>a</v>
      </c>
      <c r="AT1209" t="str">
        <f t="shared" si="880"/>
        <v>Offensive</v>
      </c>
      <c r="BA1209" s="6">
        <f t="shared" si="869"/>
        <v>297</v>
      </c>
      <c r="BB1209">
        <f t="shared" si="870"/>
        <v>18981</v>
      </c>
      <c r="BC1209" t="str">
        <f t="shared" si="871"/>
        <v>Nelson</v>
      </c>
      <c r="BD1209" t="str">
        <f t="shared" si="872"/>
        <v>Velodrome</v>
      </c>
      <c r="BE1209" t="s">
        <v>231</v>
      </c>
      <c r="BF1209" t="s">
        <v>233</v>
      </c>
      <c r="BG1209" t="s">
        <v>756</v>
      </c>
      <c r="BI1209" cm="1">
        <f t="array" ref="BI1209">IFERROR(_xlfn._xlws.FILTER(shifts!A:A,(shifts!B:B=events!AD1209)*(shifts!AG:AG&gt;=events!BK1209)*(shifts!AH:AH&lt;=events!BL1209)),BI1208)</f>
        <v>56</v>
      </c>
      <c r="BJ1209" s="15">
        <f t="shared" si="873"/>
        <v>0</v>
      </c>
      <c r="BK1209">
        <f t="shared" si="881"/>
        <v>538</v>
      </c>
      <c r="BL1209">
        <f t="shared" si="882"/>
        <v>538</v>
      </c>
      <c r="BM1209" s="15">
        <f>SUMIFS(BJ$2:BJ1209,K$2:K1209,"=Intermission")+SUMIFS(BJ$2:BJ1209,K$2:K1209,"=Timeout")</f>
        <v>72</v>
      </c>
      <c r="BN1209">
        <f t="shared" si="883"/>
        <v>1152</v>
      </c>
      <c r="BO1209" s="19">
        <f t="shared" si="884"/>
        <v>1694</v>
      </c>
      <c r="BP1209">
        <f t="shared" si="885"/>
        <v>1689</v>
      </c>
      <c r="BQ1209" s="17">
        <f t="shared" si="886"/>
        <v>1694</v>
      </c>
      <c r="BR1209" t="str">
        <f t="shared" si="887"/>
        <v>event_team_player_1</v>
      </c>
      <c r="BS1209">
        <f>COUNTIFS(S$3:S1209,"="&amp;S1209,AI$3:AI1209,"="&amp;AI1209)</f>
        <v>1</v>
      </c>
      <c r="BT1209" t="str">
        <f>IFERROR(VLOOKUP(BB1209&amp;BU1209&amp;X1209,game_rosters!U:W,3,FALSE),"")</f>
        <v>P100016</v>
      </c>
      <c r="BU1209" t="str">
        <f t="shared" si="888"/>
        <v>Velodrome</v>
      </c>
    </row>
    <row r="1210" spans="1:73" x14ac:dyDescent="0.2">
      <c r="A1210">
        <f t="shared" si="874"/>
        <v>1</v>
      </c>
      <c r="J1210" s="44" t="str">
        <f t="shared" si="889"/>
        <v/>
      </c>
      <c r="K1210" t="s">
        <v>13</v>
      </c>
      <c r="L1210" t="s">
        <v>756</v>
      </c>
      <c r="M1210" t="s">
        <v>756</v>
      </c>
      <c r="S1210">
        <v>655</v>
      </c>
      <c r="W1210" t="str">
        <f t="shared" si="865"/>
        <v>h</v>
      </c>
      <c r="X1210">
        <v>79</v>
      </c>
      <c r="Y1210" t="b">
        <f>IF(X1210&lt;&gt;"",VLOOKUP(X1210,game_rosters!$C$43:$E$64,3,FALSE))</f>
        <v>0</v>
      </c>
      <c r="Z1210" cm="1">
        <f t="array" ref="Z1210">IFERROR(IF(_xlfn._xlws.FILTER(game_rosters!$J:$J,(game_rosters!$G:$G=events!$AN1210)*(game_rosters!$J:$J=events!$X1210))&gt;0,1,""),"")</f>
        <v>1</v>
      </c>
      <c r="AA1210">
        <f t="shared" si="913"/>
        <v>1655</v>
      </c>
      <c r="AB1210" t="str">
        <f t="shared" si="914"/>
        <v/>
      </c>
      <c r="AC1210">
        <f t="shared" si="862"/>
        <v>1655</v>
      </c>
      <c r="AD1210" s="6">
        <v>2</v>
      </c>
      <c r="AE1210" t="s">
        <v>936</v>
      </c>
      <c r="AF1210" t="s">
        <v>733</v>
      </c>
      <c r="AG1210" t="s">
        <v>936</v>
      </c>
      <c r="AH1210" t="s">
        <v>921</v>
      </c>
      <c r="AI1210" t="s">
        <v>367</v>
      </c>
      <c r="AJ1210" t="str">
        <f t="shared" ref="AJ1210:AK1210" si="944">IF($J1210&lt;&gt;"",$J1210,IF($AC1210=$AC1209,AJ1209,""))</f>
        <v/>
      </c>
      <c r="AK1210" t="str">
        <f t="shared" si="944"/>
        <v/>
      </c>
      <c r="AL1210" t="str">
        <f t="shared" si="867"/>
        <v/>
      </c>
      <c r="AN1210" t="s">
        <v>861</v>
      </c>
      <c r="AO1210" t="str">
        <f t="shared" si="868"/>
        <v>h</v>
      </c>
      <c r="AP1210" t="str">
        <f t="shared" si="876"/>
        <v/>
      </c>
      <c r="AQ1210" t="str">
        <f t="shared" si="877"/>
        <v/>
      </c>
      <c r="AR1210" t="str">
        <f t="shared" si="878"/>
        <v>Home</v>
      </c>
      <c r="AS1210" t="str">
        <f t="shared" si="879"/>
        <v>h</v>
      </c>
      <c r="AT1210" t="str">
        <f t="shared" si="880"/>
        <v>Offensive</v>
      </c>
      <c r="BA1210" s="6">
        <f t="shared" si="869"/>
        <v>297</v>
      </c>
      <c r="BB1210">
        <f t="shared" si="870"/>
        <v>18981</v>
      </c>
      <c r="BC1210" t="str">
        <f t="shared" si="871"/>
        <v>Nelson</v>
      </c>
      <c r="BD1210" t="str">
        <f t="shared" si="872"/>
        <v>Velodrome</v>
      </c>
      <c r="BE1210" t="s">
        <v>13</v>
      </c>
      <c r="BF1210" t="s">
        <v>756</v>
      </c>
      <c r="BG1210" t="s">
        <v>756</v>
      </c>
      <c r="BI1210" cm="1">
        <f t="array" ref="BI1210">IFERROR(_xlfn._xlws.FILTER(shifts!A:A,(shifts!B:B=events!AD1210)*(shifts!AG:AG&gt;=events!BK1210)*(shifts!AH:AH&lt;=events!BL1210)),BI1209)</f>
        <v>56</v>
      </c>
      <c r="BJ1210" s="15">
        <f t="shared" si="873"/>
        <v>3</v>
      </c>
      <c r="BK1210">
        <f t="shared" si="881"/>
        <v>536</v>
      </c>
      <c r="BL1210">
        <f t="shared" si="882"/>
        <v>533</v>
      </c>
      <c r="BM1210" s="15">
        <f>SUMIFS(BJ$2:BJ1210,K$2:K1210,"=Intermission")+SUMIFS(BJ$2:BJ1210,K$2:K1210,"=Timeout")</f>
        <v>72</v>
      </c>
      <c r="BN1210">
        <f t="shared" si="883"/>
        <v>1152</v>
      </c>
      <c r="BO1210" s="19">
        <f t="shared" si="884"/>
        <v>1696</v>
      </c>
      <c r="BP1210">
        <f t="shared" si="885"/>
        <v>1691</v>
      </c>
      <c r="BQ1210" s="17">
        <f t="shared" si="886"/>
        <v>1699</v>
      </c>
      <c r="BR1210" t="str">
        <f t="shared" si="887"/>
        <v>event_team_player_1</v>
      </c>
      <c r="BS1210">
        <f>COUNTIFS(S$3:S1210,"="&amp;S1210,AI$3:AI1210,"="&amp;AI1210)</f>
        <v>1</v>
      </c>
      <c r="BT1210" t="str">
        <f>IFERROR(VLOOKUP(BB1210&amp;BU1210&amp;X1210,game_rosters!U:W,3,FALSE),"")</f>
        <v>P100066</v>
      </c>
      <c r="BU1210" t="str">
        <f t="shared" si="888"/>
        <v>Nelson</v>
      </c>
    </row>
    <row r="1211" spans="1:73" x14ac:dyDescent="0.2">
      <c r="A1211">
        <f t="shared" si="874"/>
        <v>1</v>
      </c>
      <c r="J1211" s="44" t="str">
        <f t="shared" si="889"/>
        <v/>
      </c>
      <c r="K1211" t="s">
        <v>7</v>
      </c>
      <c r="L1211" t="s">
        <v>192</v>
      </c>
      <c r="M1211" t="s">
        <v>68</v>
      </c>
      <c r="S1211">
        <v>656</v>
      </c>
      <c r="W1211" t="str">
        <f t="shared" si="865"/>
        <v>h</v>
      </c>
      <c r="X1211">
        <v>79</v>
      </c>
      <c r="Y1211" t="b">
        <f>IF(X1211&lt;&gt;"",VLOOKUP(X1211,game_rosters!$C$43:$E$64,3,FALSE))</f>
        <v>0</v>
      </c>
      <c r="Z1211" cm="1">
        <f t="array" ref="Z1211">IFERROR(IF(_xlfn._xlws.FILTER(game_rosters!$J:$J,(game_rosters!$G:$G=events!$AN1211)*(game_rosters!$J:$J=events!$X1211))&gt;0,1,""),"")</f>
        <v>1</v>
      </c>
      <c r="AA1211">
        <f t="shared" si="913"/>
        <v>1656</v>
      </c>
      <c r="AB1211" t="str">
        <f t="shared" si="914"/>
        <v/>
      </c>
      <c r="AC1211">
        <f t="shared" si="862"/>
        <v>1656</v>
      </c>
      <c r="AD1211" s="6">
        <v>2</v>
      </c>
      <c r="AE1211" t="s">
        <v>936</v>
      </c>
      <c r="AF1211" t="s">
        <v>921</v>
      </c>
      <c r="AG1211" t="s">
        <v>756</v>
      </c>
      <c r="AH1211" t="s">
        <v>756</v>
      </c>
      <c r="AI1211" t="s">
        <v>367</v>
      </c>
      <c r="AJ1211" t="str">
        <f t="shared" ref="AJ1211:AK1211" si="945">IF($J1211&lt;&gt;"",$J1211,IF($AC1211=$AC1210,AJ1210,""))</f>
        <v/>
      </c>
      <c r="AK1211" t="str">
        <f t="shared" si="945"/>
        <v/>
      </c>
      <c r="AL1211" t="str">
        <f t="shared" si="867"/>
        <v/>
      </c>
      <c r="AN1211" t="s">
        <v>861</v>
      </c>
      <c r="AO1211" t="str">
        <f t="shared" si="868"/>
        <v>h</v>
      </c>
      <c r="AP1211" t="str">
        <f t="shared" si="876"/>
        <v/>
      </c>
      <c r="AQ1211" t="str">
        <f t="shared" si="877"/>
        <v/>
      </c>
      <c r="AR1211" t="str">
        <f t="shared" si="878"/>
        <v>Home</v>
      </c>
      <c r="AS1211" t="str">
        <f t="shared" si="879"/>
        <v>h</v>
      </c>
      <c r="AT1211" t="str">
        <f t="shared" si="880"/>
        <v>Offensive</v>
      </c>
      <c r="BA1211" s="6">
        <f t="shared" si="869"/>
        <v>297</v>
      </c>
      <c r="BB1211">
        <f t="shared" si="870"/>
        <v>18981</v>
      </c>
      <c r="BC1211" t="str">
        <f t="shared" si="871"/>
        <v>Nelson</v>
      </c>
      <c r="BD1211" t="str">
        <f t="shared" si="872"/>
        <v>Velodrome</v>
      </c>
      <c r="BE1211" t="s">
        <v>7</v>
      </c>
      <c r="BF1211" t="s">
        <v>192</v>
      </c>
      <c r="BG1211" t="s">
        <v>68</v>
      </c>
      <c r="BI1211" cm="1">
        <f t="array" ref="BI1211">IFERROR(_xlfn._xlws.FILTER(shifts!A:A,(shifts!B:B=events!AD1211)*(shifts!AG:AG&gt;=events!BK1211)*(shifts!AH:AH&lt;=events!BL1211)),BI1210)</f>
        <v>56</v>
      </c>
      <c r="BJ1211" s="15">
        <f t="shared" si="873"/>
        <v>0</v>
      </c>
      <c r="BK1211">
        <f t="shared" si="881"/>
        <v>533</v>
      </c>
      <c r="BL1211">
        <f t="shared" si="882"/>
        <v>533</v>
      </c>
      <c r="BM1211" s="15">
        <f>SUMIFS(BJ$2:BJ1211,K$2:K1211,"=Intermission")+SUMIFS(BJ$2:BJ1211,K$2:K1211,"=Timeout")</f>
        <v>72</v>
      </c>
      <c r="BN1211">
        <f t="shared" si="883"/>
        <v>1152</v>
      </c>
      <c r="BO1211" s="19">
        <f t="shared" si="884"/>
        <v>1699</v>
      </c>
      <c r="BP1211">
        <f t="shared" si="885"/>
        <v>1694</v>
      </c>
      <c r="BQ1211" s="17">
        <f t="shared" si="886"/>
        <v>1699</v>
      </c>
      <c r="BR1211" t="str">
        <f t="shared" si="887"/>
        <v>event_team_player_1</v>
      </c>
      <c r="BS1211">
        <f>COUNTIFS(S$3:S1211,"="&amp;S1211,AI$3:AI1211,"="&amp;AI1211)</f>
        <v>1</v>
      </c>
      <c r="BT1211" t="str">
        <f>IFERROR(VLOOKUP(BB1211&amp;BU1211&amp;X1211,game_rosters!U:W,3,FALSE),"")</f>
        <v>P100066</v>
      </c>
      <c r="BU1211" t="str">
        <f t="shared" si="888"/>
        <v>Nelson</v>
      </c>
    </row>
    <row r="1212" spans="1:73" x14ac:dyDescent="0.2">
      <c r="A1212">
        <f t="shared" si="874"/>
        <v>1</v>
      </c>
      <c r="J1212" s="44" t="str">
        <f t="shared" si="889"/>
        <v/>
      </c>
      <c r="K1212" t="s">
        <v>7</v>
      </c>
      <c r="L1212" t="s">
        <v>192</v>
      </c>
      <c r="M1212" t="s">
        <v>68</v>
      </c>
      <c r="S1212">
        <v>656</v>
      </c>
      <c r="W1212" t="str">
        <f t="shared" si="865"/>
        <v>h</v>
      </c>
      <c r="X1212">
        <v>23</v>
      </c>
      <c r="Y1212" t="b">
        <f>IF(X1212&lt;&gt;"",VLOOKUP(X1212,game_rosters!$C$43:$E$64,3,FALSE))</f>
        <v>0</v>
      </c>
      <c r="Z1212" cm="1">
        <f t="array" ref="Z1212">IFERROR(IF(_xlfn._xlws.FILTER(game_rosters!$J:$J,(game_rosters!$G:$G=events!$AN1212)*(game_rosters!$J:$J=events!$X1212))&gt;0,1,""),"")</f>
        <v>1</v>
      </c>
      <c r="AA1212">
        <f t="shared" si="913"/>
        <v>1656</v>
      </c>
      <c r="AB1212" t="str">
        <f t="shared" si="914"/>
        <v/>
      </c>
      <c r="AC1212">
        <f t="shared" si="862"/>
        <v>1656</v>
      </c>
      <c r="AD1212" s="6">
        <v>2</v>
      </c>
      <c r="AE1212" t="s">
        <v>936</v>
      </c>
      <c r="AF1212" t="s">
        <v>921</v>
      </c>
      <c r="AG1212" t="s">
        <v>756</v>
      </c>
      <c r="AH1212" t="s">
        <v>756</v>
      </c>
      <c r="AI1212" t="s">
        <v>367</v>
      </c>
      <c r="AJ1212" t="str">
        <f t="shared" ref="AJ1212:AK1212" si="946">IF($J1212&lt;&gt;"",$J1212,IF($AC1212=$AC1211,AJ1211,""))</f>
        <v/>
      </c>
      <c r="AK1212" t="str">
        <f t="shared" si="946"/>
        <v/>
      </c>
      <c r="AL1212" t="str">
        <f t="shared" si="867"/>
        <v/>
      </c>
      <c r="AN1212" t="s">
        <v>861</v>
      </c>
      <c r="AO1212" t="str">
        <f t="shared" si="868"/>
        <v>h</v>
      </c>
      <c r="AP1212" t="str">
        <f t="shared" si="876"/>
        <v/>
      </c>
      <c r="AQ1212" t="str">
        <f t="shared" si="877"/>
        <v/>
      </c>
      <c r="AR1212" t="str">
        <f t="shared" si="878"/>
        <v>Home</v>
      </c>
      <c r="AS1212" t="str">
        <f t="shared" si="879"/>
        <v>h</v>
      </c>
      <c r="AT1212" t="str">
        <f t="shared" si="880"/>
        <v>Offensive</v>
      </c>
      <c r="BA1212" s="6">
        <f t="shared" si="869"/>
        <v>297</v>
      </c>
      <c r="BB1212">
        <f t="shared" si="870"/>
        <v>18981</v>
      </c>
      <c r="BC1212" t="str">
        <f t="shared" si="871"/>
        <v>Nelson</v>
      </c>
      <c r="BD1212" t="str">
        <f t="shared" si="872"/>
        <v>Velodrome</v>
      </c>
      <c r="BE1212" t="s">
        <v>7</v>
      </c>
      <c r="BF1212" t="s">
        <v>192</v>
      </c>
      <c r="BG1212" t="s">
        <v>68</v>
      </c>
      <c r="BI1212" cm="1">
        <f t="array" ref="BI1212">IFERROR(_xlfn._xlws.FILTER(shifts!A:A,(shifts!B:B=events!AD1212)*(shifts!AG:AG&gt;=events!BK1212)*(shifts!AH:AH&lt;=events!BL1212)),BI1211)</f>
        <v>56</v>
      </c>
      <c r="BJ1212" s="15">
        <f t="shared" si="873"/>
        <v>0</v>
      </c>
      <c r="BK1212">
        <f t="shared" si="881"/>
        <v>533</v>
      </c>
      <c r="BL1212">
        <f t="shared" si="882"/>
        <v>533</v>
      </c>
      <c r="BM1212" s="15">
        <f>SUMIFS(BJ$2:BJ1212,K$2:K1212,"=Intermission")+SUMIFS(BJ$2:BJ1212,K$2:K1212,"=Timeout")</f>
        <v>72</v>
      </c>
      <c r="BN1212">
        <f t="shared" si="883"/>
        <v>1152</v>
      </c>
      <c r="BO1212" s="19">
        <f t="shared" si="884"/>
        <v>1699</v>
      </c>
      <c r="BP1212">
        <f t="shared" si="885"/>
        <v>1694</v>
      </c>
      <c r="BQ1212" s="17">
        <f t="shared" si="886"/>
        <v>1699</v>
      </c>
      <c r="BR1212" t="str">
        <f t="shared" si="887"/>
        <v>event_team_player_2</v>
      </c>
      <c r="BS1212">
        <f>COUNTIFS(S$3:S1212,"="&amp;S1212,AI$3:AI1212,"="&amp;AI1212)</f>
        <v>2</v>
      </c>
      <c r="BT1212" t="str">
        <f>IFERROR(VLOOKUP(BB1212&amp;BU1212&amp;X1212,game_rosters!U:W,3,FALSE),"")</f>
        <v>P100061</v>
      </c>
      <c r="BU1212" t="str">
        <f t="shared" si="888"/>
        <v>Nelson</v>
      </c>
    </row>
    <row r="1213" spans="1:73" x14ac:dyDescent="0.2">
      <c r="A1213">
        <f t="shared" si="874"/>
        <v>1</v>
      </c>
      <c r="J1213" s="44" t="str">
        <f t="shared" si="889"/>
        <v/>
      </c>
      <c r="K1213" t="s">
        <v>7</v>
      </c>
      <c r="L1213" t="s">
        <v>192</v>
      </c>
      <c r="M1213" t="s">
        <v>68</v>
      </c>
      <c r="S1213">
        <v>656</v>
      </c>
      <c r="W1213" t="str">
        <f t="shared" si="865"/>
        <v>h</v>
      </c>
      <c r="X1213">
        <v>61</v>
      </c>
      <c r="Y1213" t="e">
        <f>IF(X1213&lt;&gt;"",VLOOKUP(X1213,game_rosters!$C$43:$E$64,3,FALSE))</f>
        <v>#N/A</v>
      </c>
      <c r="Z1213" t="str" cm="1">
        <f t="array" ref="Z1213">IFERROR(IF(_xlfn._xlws.FILTER(game_rosters!$J:$J,(game_rosters!$G:$G=events!$AN1213)*(game_rosters!$J:$J=events!$X1213))&gt;0,1,""),"")</f>
        <v/>
      </c>
      <c r="AA1213">
        <f t="shared" si="913"/>
        <v>1656</v>
      </c>
      <c r="AB1213" t="str">
        <f t="shared" si="914"/>
        <v/>
      </c>
      <c r="AC1213">
        <f t="shared" si="862"/>
        <v>1656</v>
      </c>
      <c r="AD1213" s="6">
        <v>2</v>
      </c>
      <c r="AE1213" t="s">
        <v>936</v>
      </c>
      <c r="AF1213" t="s">
        <v>921</v>
      </c>
      <c r="AG1213" t="s">
        <v>756</v>
      </c>
      <c r="AH1213" t="s">
        <v>756</v>
      </c>
      <c r="AI1213" t="s">
        <v>368</v>
      </c>
      <c r="AJ1213" t="str">
        <f t="shared" ref="AJ1213:AK1213" si="947">IF($J1213&lt;&gt;"",$J1213,IF($AC1213=$AC1212,AJ1212,""))</f>
        <v/>
      </c>
      <c r="AK1213" t="str">
        <f t="shared" si="947"/>
        <v/>
      </c>
      <c r="AL1213" t="str">
        <f t="shared" si="867"/>
        <v/>
      </c>
      <c r="AN1213" t="s">
        <v>861</v>
      </c>
      <c r="AO1213" t="str">
        <f t="shared" si="868"/>
        <v>h</v>
      </c>
      <c r="AP1213" t="str">
        <f t="shared" si="876"/>
        <v/>
      </c>
      <c r="AQ1213" t="str">
        <f t="shared" si="877"/>
        <v/>
      </c>
      <c r="AR1213" t="str">
        <f t="shared" si="878"/>
        <v>Home</v>
      </c>
      <c r="AS1213" t="str">
        <f t="shared" si="879"/>
        <v>h</v>
      </c>
      <c r="AT1213" t="str">
        <f t="shared" si="880"/>
        <v>Defensive</v>
      </c>
      <c r="BA1213" s="6">
        <f t="shared" si="869"/>
        <v>297</v>
      </c>
      <c r="BB1213">
        <f t="shared" si="870"/>
        <v>18981</v>
      </c>
      <c r="BC1213" t="str">
        <f t="shared" si="871"/>
        <v>Nelson</v>
      </c>
      <c r="BD1213" t="str">
        <f t="shared" si="872"/>
        <v>Velodrome</v>
      </c>
      <c r="BE1213" t="s">
        <v>7</v>
      </c>
      <c r="BF1213" t="s">
        <v>192</v>
      </c>
      <c r="BG1213" t="s">
        <v>68</v>
      </c>
      <c r="BI1213" cm="1">
        <f t="array" ref="BI1213">IFERROR(_xlfn._xlws.FILTER(shifts!A:A,(shifts!B:B=events!AD1213)*(shifts!AG:AG&gt;=events!BK1213)*(shifts!AH:AH&lt;=events!BL1213)),BI1212)</f>
        <v>56</v>
      </c>
      <c r="BJ1213" s="15">
        <f t="shared" si="873"/>
        <v>0</v>
      </c>
      <c r="BK1213">
        <f t="shared" si="881"/>
        <v>533</v>
      </c>
      <c r="BL1213">
        <f t="shared" si="882"/>
        <v>533</v>
      </c>
      <c r="BM1213" s="15">
        <f>SUMIFS(BJ$2:BJ1213,K$2:K1213,"=Intermission")+SUMIFS(BJ$2:BJ1213,K$2:K1213,"=Timeout")</f>
        <v>72</v>
      </c>
      <c r="BN1213">
        <f t="shared" si="883"/>
        <v>1152</v>
      </c>
      <c r="BO1213" s="19">
        <f t="shared" si="884"/>
        <v>1699</v>
      </c>
      <c r="BP1213">
        <f t="shared" si="885"/>
        <v>1694</v>
      </c>
      <c r="BQ1213" s="17">
        <f t="shared" si="886"/>
        <v>1699</v>
      </c>
      <c r="BR1213" t="str">
        <f t="shared" si="887"/>
        <v>opp_team_player_1</v>
      </c>
      <c r="BS1213">
        <f>COUNTIFS(S$3:S1213,"="&amp;S1213,AI$3:AI1213,"="&amp;AI1213)</f>
        <v>1</v>
      </c>
      <c r="BT1213" t="str">
        <f>IFERROR(VLOOKUP(BB1213&amp;BU1213&amp;X1213,game_rosters!U:W,3,FALSE),"")</f>
        <v>P100224</v>
      </c>
      <c r="BU1213" t="str">
        <f t="shared" si="888"/>
        <v>Velodrome</v>
      </c>
    </row>
    <row r="1214" spans="1:73" x14ac:dyDescent="0.2">
      <c r="A1214">
        <f t="shared" si="874"/>
        <v>1</v>
      </c>
      <c r="J1214" s="44" t="str">
        <f t="shared" si="889"/>
        <v/>
      </c>
      <c r="K1214" t="s">
        <v>238</v>
      </c>
      <c r="L1214" t="s">
        <v>193</v>
      </c>
      <c r="M1214" t="s">
        <v>91</v>
      </c>
      <c r="S1214">
        <v>657</v>
      </c>
      <c r="W1214" t="str">
        <f t="shared" si="865"/>
        <v>h</v>
      </c>
      <c r="X1214">
        <v>79</v>
      </c>
      <c r="Y1214" t="b">
        <f>IF(X1214&lt;&gt;"",VLOOKUP(X1214,game_rosters!$C$43:$E$64,3,FALSE))</f>
        <v>0</v>
      </c>
      <c r="Z1214" cm="1">
        <f t="array" ref="Z1214">IFERROR(IF(_xlfn._xlws.FILTER(game_rosters!$J:$J,(game_rosters!$G:$G=events!$AN1214)*(game_rosters!$J:$J=events!$X1214))&gt;0,1,""),"")</f>
        <v>1</v>
      </c>
      <c r="AA1214">
        <f t="shared" si="913"/>
        <v>1657</v>
      </c>
      <c r="AB1214" t="str">
        <f t="shared" si="914"/>
        <v/>
      </c>
      <c r="AC1214">
        <f t="shared" si="862"/>
        <v>1657</v>
      </c>
      <c r="AD1214" s="6">
        <v>2</v>
      </c>
      <c r="AE1214" t="s">
        <v>936</v>
      </c>
      <c r="AF1214" t="s">
        <v>922</v>
      </c>
      <c r="AG1214" t="s">
        <v>756</v>
      </c>
      <c r="AH1214" t="s">
        <v>756</v>
      </c>
      <c r="AI1214" t="s">
        <v>367</v>
      </c>
      <c r="AJ1214" t="str">
        <f t="shared" ref="AJ1214:AK1214" si="948">IF($J1214&lt;&gt;"",$J1214,IF($AC1214=$AC1213,AJ1213,""))</f>
        <v/>
      </c>
      <c r="AK1214" t="str">
        <f t="shared" si="948"/>
        <v/>
      </c>
      <c r="AL1214" t="str">
        <f t="shared" si="867"/>
        <v/>
      </c>
      <c r="AN1214" t="s">
        <v>861</v>
      </c>
      <c r="AO1214" t="str">
        <f t="shared" si="868"/>
        <v>h</v>
      </c>
      <c r="AP1214" t="str">
        <f t="shared" si="876"/>
        <v/>
      </c>
      <c r="AQ1214" t="str">
        <f t="shared" si="877"/>
        <v/>
      </c>
      <c r="AR1214" t="str">
        <f t="shared" si="878"/>
        <v>Home</v>
      </c>
      <c r="AS1214" t="str">
        <f t="shared" si="879"/>
        <v>h</v>
      </c>
      <c r="AT1214" t="str">
        <f t="shared" si="880"/>
        <v>Offensive</v>
      </c>
      <c r="BA1214" s="6">
        <f t="shared" si="869"/>
        <v>297</v>
      </c>
      <c r="BB1214">
        <f t="shared" si="870"/>
        <v>18981</v>
      </c>
      <c r="BC1214" t="str">
        <f t="shared" si="871"/>
        <v>Nelson</v>
      </c>
      <c r="BD1214" t="str">
        <f t="shared" si="872"/>
        <v>Velodrome</v>
      </c>
      <c r="BE1214" t="s">
        <v>238</v>
      </c>
      <c r="BF1214" t="s">
        <v>193</v>
      </c>
      <c r="BG1214" t="s">
        <v>91</v>
      </c>
      <c r="BI1214" cm="1">
        <f t="array" ref="BI1214">IFERROR(_xlfn._xlws.FILTER(shifts!A:A,(shifts!B:B=events!AD1214)*(shifts!AG:AG&gt;=events!BK1214)*(shifts!AH:AH&lt;=events!BL1214)),BI1213)</f>
        <v>56</v>
      </c>
      <c r="BJ1214" s="15">
        <f t="shared" si="873"/>
        <v>0</v>
      </c>
      <c r="BK1214">
        <f t="shared" si="881"/>
        <v>530</v>
      </c>
      <c r="BL1214">
        <f t="shared" si="882"/>
        <v>530</v>
      </c>
      <c r="BM1214" s="15">
        <f>SUMIFS(BJ$2:BJ1214,K$2:K1214,"=Intermission")+SUMIFS(BJ$2:BJ1214,K$2:K1214,"=Timeout")</f>
        <v>72</v>
      </c>
      <c r="BN1214">
        <f t="shared" si="883"/>
        <v>1152</v>
      </c>
      <c r="BO1214" s="19">
        <f t="shared" si="884"/>
        <v>1702</v>
      </c>
      <c r="BP1214">
        <f t="shared" si="885"/>
        <v>1697</v>
      </c>
      <c r="BQ1214" s="17">
        <f t="shared" si="886"/>
        <v>1702</v>
      </c>
      <c r="BR1214" t="str">
        <f t="shared" si="887"/>
        <v>event_team_player_1</v>
      </c>
      <c r="BS1214">
        <f>COUNTIFS(S$3:S1214,"="&amp;S1214,AI$3:AI1214,"="&amp;AI1214)</f>
        <v>1</v>
      </c>
      <c r="BT1214" t="str">
        <f>IFERROR(VLOOKUP(BB1214&amp;BU1214&amp;X1214,game_rosters!U:W,3,FALSE),"")</f>
        <v>P100066</v>
      </c>
      <c r="BU1214" t="str">
        <f t="shared" si="888"/>
        <v>Nelson</v>
      </c>
    </row>
    <row r="1215" spans="1:73" x14ac:dyDescent="0.2">
      <c r="A1215">
        <f t="shared" si="874"/>
        <v>1</v>
      </c>
      <c r="J1215" s="44" t="str">
        <f t="shared" si="889"/>
        <v/>
      </c>
      <c r="K1215" t="s">
        <v>238</v>
      </c>
      <c r="L1215" t="s">
        <v>193</v>
      </c>
      <c r="M1215" t="s">
        <v>91</v>
      </c>
      <c r="S1215">
        <v>657</v>
      </c>
      <c r="W1215" t="str">
        <f t="shared" si="865"/>
        <v>h</v>
      </c>
      <c r="X1215">
        <v>14</v>
      </c>
      <c r="Y1215" t="e">
        <f>IF(X1215&lt;&gt;"",VLOOKUP(X1215,game_rosters!$C$43:$E$64,3,FALSE))</f>
        <v>#N/A</v>
      </c>
      <c r="Z1215" t="str" cm="1">
        <f t="array" ref="Z1215">IFERROR(IF(_xlfn._xlws.FILTER(game_rosters!$J:$J,(game_rosters!$G:$G=events!$AN1215)*(game_rosters!$J:$J=events!$X1215))&gt;0,1,""),"")</f>
        <v/>
      </c>
      <c r="AA1215">
        <f t="shared" si="913"/>
        <v>1657</v>
      </c>
      <c r="AB1215" t="str">
        <f t="shared" si="914"/>
        <v/>
      </c>
      <c r="AC1215">
        <f t="shared" si="862"/>
        <v>1657</v>
      </c>
      <c r="AD1215" s="6">
        <v>2</v>
      </c>
      <c r="AE1215" t="s">
        <v>936</v>
      </c>
      <c r="AF1215" t="s">
        <v>922</v>
      </c>
      <c r="AG1215" t="s">
        <v>756</v>
      </c>
      <c r="AH1215" t="s">
        <v>756</v>
      </c>
      <c r="AI1215" t="s">
        <v>368</v>
      </c>
      <c r="AJ1215" t="str">
        <f t="shared" ref="AJ1215:AK1215" si="949">IF($J1215&lt;&gt;"",$J1215,IF($AC1215=$AC1214,AJ1214,""))</f>
        <v/>
      </c>
      <c r="AK1215" t="str">
        <f t="shared" si="949"/>
        <v/>
      </c>
      <c r="AL1215" t="str">
        <f t="shared" si="867"/>
        <v/>
      </c>
      <c r="AN1215" t="s">
        <v>861</v>
      </c>
      <c r="AO1215" t="str">
        <f t="shared" si="868"/>
        <v>h</v>
      </c>
      <c r="AP1215" t="str">
        <f t="shared" si="876"/>
        <v/>
      </c>
      <c r="AQ1215" t="str">
        <f t="shared" si="877"/>
        <v/>
      </c>
      <c r="AR1215" t="str">
        <f t="shared" si="878"/>
        <v>Home</v>
      </c>
      <c r="AS1215" t="str">
        <f t="shared" si="879"/>
        <v>h</v>
      </c>
      <c r="AT1215" t="str">
        <f t="shared" si="880"/>
        <v>Defensive</v>
      </c>
      <c r="BA1215" s="6">
        <f t="shared" si="869"/>
        <v>297</v>
      </c>
      <c r="BB1215">
        <f t="shared" si="870"/>
        <v>18981</v>
      </c>
      <c r="BC1215" t="str">
        <f t="shared" si="871"/>
        <v>Nelson</v>
      </c>
      <c r="BD1215" t="str">
        <f t="shared" si="872"/>
        <v>Velodrome</v>
      </c>
      <c r="BE1215" t="s">
        <v>238</v>
      </c>
      <c r="BF1215" t="s">
        <v>193</v>
      </c>
      <c r="BG1215" t="s">
        <v>91</v>
      </c>
      <c r="BI1215" cm="1">
        <f t="array" ref="BI1215">IFERROR(_xlfn._xlws.FILTER(shifts!A:A,(shifts!B:B=events!AD1215)*(shifts!AG:AG&gt;=events!BK1215)*(shifts!AH:AH&lt;=events!BL1215)),BI1214)</f>
        <v>56</v>
      </c>
      <c r="BJ1215" s="15">
        <f t="shared" si="873"/>
        <v>0</v>
      </c>
      <c r="BK1215">
        <f t="shared" si="881"/>
        <v>530</v>
      </c>
      <c r="BL1215">
        <f t="shared" si="882"/>
        <v>530</v>
      </c>
      <c r="BM1215" s="15">
        <f>SUMIFS(BJ$2:BJ1215,K$2:K1215,"=Intermission")+SUMIFS(BJ$2:BJ1215,K$2:K1215,"=Timeout")</f>
        <v>72</v>
      </c>
      <c r="BN1215">
        <f t="shared" si="883"/>
        <v>1152</v>
      </c>
      <c r="BO1215" s="19">
        <f t="shared" si="884"/>
        <v>1702</v>
      </c>
      <c r="BP1215">
        <f t="shared" si="885"/>
        <v>1697</v>
      </c>
      <c r="BQ1215" s="17">
        <f t="shared" si="886"/>
        <v>1702</v>
      </c>
      <c r="BR1215" t="str">
        <f t="shared" si="887"/>
        <v>opp_team_player_1</v>
      </c>
      <c r="BS1215">
        <f>COUNTIFS(S$3:S1215,"="&amp;S1215,AI$3:AI1215,"="&amp;AI1215)</f>
        <v>1</v>
      </c>
      <c r="BT1215" t="str">
        <f>IFERROR(VLOOKUP(BB1215&amp;BU1215&amp;X1215,game_rosters!U:W,3,FALSE),"")</f>
        <v>P100132</v>
      </c>
      <c r="BU1215" t="str">
        <f t="shared" si="888"/>
        <v>Velodrome</v>
      </c>
    </row>
    <row r="1216" spans="1:73" x14ac:dyDescent="0.2">
      <c r="A1216">
        <f t="shared" si="874"/>
        <v>1</v>
      </c>
      <c r="J1216" s="44" t="str">
        <f t="shared" si="889"/>
        <v/>
      </c>
      <c r="K1216" t="s">
        <v>13</v>
      </c>
      <c r="L1216" t="s">
        <v>756</v>
      </c>
      <c r="M1216" t="s">
        <v>756</v>
      </c>
      <c r="S1216">
        <v>658</v>
      </c>
      <c r="W1216" t="str">
        <f t="shared" si="865"/>
        <v>h</v>
      </c>
      <c r="X1216">
        <v>79</v>
      </c>
      <c r="Y1216" t="b">
        <f>IF(X1216&lt;&gt;"",VLOOKUP(X1216,game_rosters!$C$43:$E$64,3,FALSE))</f>
        <v>0</v>
      </c>
      <c r="Z1216" cm="1">
        <f t="array" ref="Z1216">IFERROR(IF(_xlfn._xlws.FILTER(game_rosters!$J:$J,(game_rosters!$G:$G=events!$AN1216)*(game_rosters!$J:$J=events!$X1216))&gt;0,1,""),"")</f>
        <v>1</v>
      </c>
      <c r="AA1216">
        <f t="shared" si="913"/>
        <v>1658</v>
      </c>
      <c r="AB1216" t="str">
        <f t="shared" si="914"/>
        <v/>
      </c>
      <c r="AC1216">
        <f t="shared" si="862"/>
        <v>1658</v>
      </c>
      <c r="AD1216" s="6">
        <v>2</v>
      </c>
      <c r="AE1216" t="s">
        <v>936</v>
      </c>
      <c r="AF1216" t="s">
        <v>922</v>
      </c>
      <c r="AG1216" t="s">
        <v>936</v>
      </c>
      <c r="AH1216" t="s">
        <v>899</v>
      </c>
      <c r="AI1216" t="s">
        <v>367</v>
      </c>
      <c r="AJ1216" t="str">
        <f t="shared" ref="AJ1216:AK1216" si="950">IF($J1216&lt;&gt;"",$J1216,IF($AC1216=$AC1215,AJ1215,""))</f>
        <v/>
      </c>
      <c r="AK1216" t="str">
        <f t="shared" si="950"/>
        <v/>
      </c>
      <c r="AL1216" t="str">
        <f t="shared" si="867"/>
        <v/>
      </c>
      <c r="AN1216" t="s">
        <v>861</v>
      </c>
      <c r="AO1216" t="str">
        <f t="shared" si="868"/>
        <v>h</v>
      </c>
      <c r="AP1216" t="str">
        <f t="shared" si="876"/>
        <v/>
      </c>
      <c r="AQ1216" t="str">
        <f t="shared" si="877"/>
        <v/>
      </c>
      <c r="AR1216" t="str">
        <f t="shared" si="878"/>
        <v>Home</v>
      </c>
      <c r="AS1216" t="str">
        <f t="shared" si="879"/>
        <v>h</v>
      </c>
      <c r="AT1216" t="str">
        <f t="shared" si="880"/>
        <v>Offensive</v>
      </c>
      <c r="BA1216" s="6">
        <f t="shared" si="869"/>
        <v>297</v>
      </c>
      <c r="BB1216">
        <f t="shared" si="870"/>
        <v>18981</v>
      </c>
      <c r="BC1216" t="str">
        <f t="shared" si="871"/>
        <v>Nelson</v>
      </c>
      <c r="BD1216" t="str">
        <f t="shared" si="872"/>
        <v>Velodrome</v>
      </c>
      <c r="BE1216" t="s">
        <v>13</v>
      </c>
      <c r="BF1216" t="s">
        <v>756</v>
      </c>
      <c r="BG1216" t="s">
        <v>756</v>
      </c>
      <c r="BI1216" cm="1">
        <f t="array" ref="BI1216">IFERROR(_xlfn._xlws.FILTER(shifts!A:A,(shifts!B:B=events!AD1216)*(shifts!AG:AG&gt;=events!BK1216)*(shifts!AH:AH&lt;=events!BL1216)),BI1215)</f>
        <v>56</v>
      </c>
      <c r="BJ1216" s="15">
        <f t="shared" si="873"/>
        <v>2</v>
      </c>
      <c r="BK1216">
        <f t="shared" si="881"/>
        <v>530</v>
      </c>
      <c r="BL1216">
        <f t="shared" si="882"/>
        <v>528</v>
      </c>
      <c r="BM1216" s="15">
        <f>SUMIFS(BJ$2:BJ1216,K$2:K1216,"=Intermission")+SUMIFS(BJ$2:BJ1216,K$2:K1216,"=Timeout")</f>
        <v>72</v>
      </c>
      <c r="BN1216">
        <f t="shared" si="883"/>
        <v>1152</v>
      </c>
      <c r="BO1216" s="19">
        <f t="shared" si="884"/>
        <v>1702</v>
      </c>
      <c r="BP1216">
        <f t="shared" si="885"/>
        <v>1697</v>
      </c>
      <c r="BQ1216" s="17">
        <f t="shared" si="886"/>
        <v>1704</v>
      </c>
      <c r="BR1216" t="str">
        <f t="shared" si="887"/>
        <v>event_team_player_1</v>
      </c>
      <c r="BS1216">
        <f>COUNTIFS(S$3:S1216,"="&amp;S1216,AI$3:AI1216,"="&amp;AI1216)</f>
        <v>1</v>
      </c>
      <c r="BT1216" t="str">
        <f>IFERROR(VLOOKUP(BB1216&amp;BU1216&amp;X1216,game_rosters!U:W,3,FALSE),"")</f>
        <v>P100066</v>
      </c>
      <c r="BU1216" t="str">
        <f t="shared" si="888"/>
        <v>Nelson</v>
      </c>
    </row>
    <row r="1217" spans="1:73" x14ac:dyDescent="0.2">
      <c r="A1217">
        <f t="shared" si="874"/>
        <v>1</v>
      </c>
      <c r="J1217" s="44" t="str">
        <f t="shared" si="889"/>
        <v/>
      </c>
      <c r="K1217" t="s">
        <v>13</v>
      </c>
      <c r="L1217" t="s">
        <v>756</v>
      </c>
      <c r="M1217" t="s">
        <v>756</v>
      </c>
      <c r="S1217">
        <v>658</v>
      </c>
      <c r="W1217" t="str">
        <f t="shared" si="865"/>
        <v>h</v>
      </c>
      <c r="X1217">
        <v>22</v>
      </c>
      <c r="Y1217" t="e">
        <f>IF(X1217&lt;&gt;"",VLOOKUP(X1217,game_rosters!$C$43:$E$64,3,FALSE))</f>
        <v>#N/A</v>
      </c>
      <c r="Z1217" t="str" cm="1">
        <f t="array" ref="Z1217">IFERROR(IF(_xlfn._xlws.FILTER(game_rosters!$J:$J,(game_rosters!$G:$G=events!$AN1217)*(game_rosters!$J:$J=events!$X1217))&gt;0,1,""),"")</f>
        <v/>
      </c>
      <c r="AA1217">
        <f t="shared" si="913"/>
        <v>1658</v>
      </c>
      <c r="AB1217" t="str">
        <f t="shared" si="914"/>
        <v/>
      </c>
      <c r="AC1217">
        <f t="shared" si="862"/>
        <v>1658</v>
      </c>
      <c r="AD1217" s="6">
        <v>2</v>
      </c>
      <c r="AE1217" t="s">
        <v>936</v>
      </c>
      <c r="AF1217" t="s">
        <v>922</v>
      </c>
      <c r="AG1217" t="s">
        <v>936</v>
      </c>
      <c r="AH1217" t="s">
        <v>899</v>
      </c>
      <c r="AI1217" t="s">
        <v>368</v>
      </c>
      <c r="AJ1217" t="str">
        <f t="shared" ref="AJ1217:AK1217" si="951">IF($J1217&lt;&gt;"",$J1217,IF($AC1217=$AC1216,AJ1216,""))</f>
        <v/>
      </c>
      <c r="AK1217" t="str">
        <f t="shared" si="951"/>
        <v/>
      </c>
      <c r="AL1217" t="str">
        <f t="shared" si="867"/>
        <v/>
      </c>
      <c r="AN1217" t="s">
        <v>861</v>
      </c>
      <c r="AO1217" t="str">
        <f t="shared" si="868"/>
        <v>h</v>
      </c>
      <c r="AP1217" t="str">
        <f t="shared" si="876"/>
        <v/>
      </c>
      <c r="AQ1217" t="str">
        <f t="shared" si="877"/>
        <v/>
      </c>
      <c r="AR1217" t="str">
        <f t="shared" si="878"/>
        <v>Home</v>
      </c>
      <c r="AS1217" t="str">
        <f t="shared" si="879"/>
        <v>h</v>
      </c>
      <c r="AT1217" t="str">
        <f t="shared" si="880"/>
        <v>Defensive</v>
      </c>
      <c r="BA1217" s="6">
        <f t="shared" si="869"/>
        <v>297</v>
      </c>
      <c r="BB1217">
        <f t="shared" si="870"/>
        <v>18981</v>
      </c>
      <c r="BC1217" t="str">
        <f t="shared" si="871"/>
        <v>Nelson</v>
      </c>
      <c r="BD1217" t="str">
        <f t="shared" si="872"/>
        <v>Velodrome</v>
      </c>
      <c r="BE1217" t="s">
        <v>13</v>
      </c>
      <c r="BF1217" t="s">
        <v>756</v>
      </c>
      <c r="BG1217" t="s">
        <v>756</v>
      </c>
      <c r="BI1217" cm="1">
        <f t="array" ref="BI1217">IFERROR(_xlfn._xlws.FILTER(shifts!A:A,(shifts!B:B=events!AD1217)*(shifts!AG:AG&gt;=events!BK1217)*(shifts!AH:AH&lt;=events!BL1217)),BI1216)</f>
        <v>56</v>
      </c>
      <c r="BJ1217" s="15">
        <f t="shared" si="873"/>
        <v>2</v>
      </c>
      <c r="BK1217">
        <f t="shared" si="881"/>
        <v>530</v>
      </c>
      <c r="BL1217">
        <f t="shared" si="882"/>
        <v>528</v>
      </c>
      <c r="BM1217" s="15">
        <f>SUMIFS(BJ$2:BJ1217,K$2:K1217,"=Intermission")+SUMIFS(BJ$2:BJ1217,K$2:K1217,"=Timeout")</f>
        <v>72</v>
      </c>
      <c r="BN1217">
        <f t="shared" si="883"/>
        <v>1152</v>
      </c>
      <c r="BO1217" s="19">
        <f t="shared" si="884"/>
        <v>1702</v>
      </c>
      <c r="BP1217">
        <f t="shared" si="885"/>
        <v>1697</v>
      </c>
      <c r="BQ1217" s="17">
        <f t="shared" si="886"/>
        <v>1704</v>
      </c>
      <c r="BR1217" t="str">
        <f t="shared" si="887"/>
        <v>opp_team_player_1</v>
      </c>
      <c r="BS1217">
        <f>COUNTIFS(S$3:S1217,"="&amp;S1217,AI$3:AI1217,"="&amp;AI1217)</f>
        <v>1</v>
      </c>
      <c r="BT1217" t="str">
        <f>IFERROR(VLOOKUP(BB1217&amp;BU1217&amp;X1217,game_rosters!U:W,3,FALSE),"")</f>
        <v>P100108</v>
      </c>
      <c r="BU1217" t="str">
        <f t="shared" si="888"/>
        <v>Velodrome</v>
      </c>
    </row>
    <row r="1218" spans="1:73" x14ac:dyDescent="0.2">
      <c r="A1218">
        <f t="shared" si="874"/>
        <v>1</v>
      </c>
      <c r="J1218" s="44" t="str">
        <f t="shared" si="889"/>
        <v/>
      </c>
      <c r="K1218" t="s">
        <v>230</v>
      </c>
      <c r="L1218" t="s">
        <v>388</v>
      </c>
      <c r="M1218" t="s">
        <v>428</v>
      </c>
      <c r="S1218">
        <v>659</v>
      </c>
      <c r="W1218" t="str">
        <f t="shared" si="865"/>
        <v>h</v>
      </c>
      <c r="X1218">
        <v>79</v>
      </c>
      <c r="Y1218" t="b">
        <f>IF(X1218&lt;&gt;"",VLOOKUP(X1218,game_rosters!$C$43:$E$64,3,FALSE))</f>
        <v>0</v>
      </c>
      <c r="Z1218" cm="1">
        <f t="array" ref="Z1218">IFERROR(IF(_xlfn._xlws.FILTER(game_rosters!$J:$J,(game_rosters!$G:$G=events!$AN1218)*(game_rosters!$J:$J=events!$X1218))&gt;0,1,""),"")</f>
        <v>1</v>
      </c>
      <c r="AA1218">
        <f t="shared" si="913"/>
        <v>1659</v>
      </c>
      <c r="AB1218" t="str">
        <f t="shared" si="914"/>
        <v/>
      </c>
      <c r="AC1218">
        <f t="shared" ref="AC1218:AC1281" si="952">IF(AB1218&lt;&gt;"",AB1218,S1218+1000)</f>
        <v>1659</v>
      </c>
      <c r="AD1218" s="6">
        <v>2</v>
      </c>
      <c r="AE1218" t="s">
        <v>936</v>
      </c>
      <c r="AF1218" t="s">
        <v>899</v>
      </c>
      <c r="AG1218" t="s">
        <v>756</v>
      </c>
      <c r="AH1218" t="s">
        <v>756</v>
      </c>
      <c r="AI1218" t="s">
        <v>367</v>
      </c>
      <c r="AJ1218" t="str">
        <f t="shared" ref="AJ1218:AK1218" si="953">IF($J1218&lt;&gt;"",$J1218,IF($AC1218=$AC1217,AJ1217,""))</f>
        <v/>
      </c>
      <c r="AK1218" t="str">
        <f t="shared" si="953"/>
        <v/>
      </c>
      <c r="AL1218" t="str">
        <f t="shared" si="867"/>
        <v/>
      </c>
      <c r="AN1218" t="s">
        <v>861</v>
      </c>
      <c r="AO1218" t="str">
        <f t="shared" si="868"/>
        <v>h</v>
      </c>
      <c r="AP1218" t="str">
        <f t="shared" si="876"/>
        <v/>
      </c>
      <c r="AQ1218" t="str">
        <f t="shared" si="877"/>
        <v/>
      </c>
      <c r="AR1218" t="str">
        <f t="shared" si="878"/>
        <v>Home</v>
      </c>
      <c r="AS1218" t="str">
        <f t="shared" si="879"/>
        <v>h</v>
      </c>
      <c r="AT1218" t="str">
        <f t="shared" si="880"/>
        <v>Offensive</v>
      </c>
      <c r="BA1218" s="6">
        <f t="shared" si="869"/>
        <v>297</v>
      </c>
      <c r="BB1218">
        <f t="shared" si="870"/>
        <v>18981</v>
      </c>
      <c r="BC1218" t="str">
        <f t="shared" si="871"/>
        <v>Nelson</v>
      </c>
      <c r="BD1218" t="str">
        <f t="shared" si="872"/>
        <v>Velodrome</v>
      </c>
      <c r="BE1218" t="s">
        <v>230</v>
      </c>
      <c r="BF1218" t="s">
        <v>388</v>
      </c>
      <c r="BG1218" t="s">
        <v>428</v>
      </c>
      <c r="BI1218" cm="1">
        <f t="array" ref="BI1218">IFERROR(_xlfn._xlws.FILTER(shifts!A:A,(shifts!B:B=events!AD1218)*(shifts!AG:AG&gt;=events!BK1218)*(shifts!AH:AH&lt;=events!BL1218)),BI1217)</f>
        <v>56</v>
      </c>
      <c r="BJ1218" s="15">
        <f t="shared" si="873"/>
        <v>0</v>
      </c>
      <c r="BK1218">
        <f t="shared" si="881"/>
        <v>528</v>
      </c>
      <c r="BL1218">
        <f t="shared" si="882"/>
        <v>528</v>
      </c>
      <c r="BM1218" s="15">
        <f>SUMIFS(BJ$2:BJ1218,K$2:K1218,"=Intermission")+SUMIFS(BJ$2:BJ1218,K$2:K1218,"=Timeout")</f>
        <v>72</v>
      </c>
      <c r="BN1218">
        <f t="shared" si="883"/>
        <v>1152</v>
      </c>
      <c r="BO1218" s="19">
        <f t="shared" si="884"/>
        <v>1704</v>
      </c>
      <c r="BP1218">
        <f t="shared" si="885"/>
        <v>1699</v>
      </c>
      <c r="BQ1218" s="17">
        <f t="shared" si="886"/>
        <v>1704</v>
      </c>
      <c r="BR1218" t="str">
        <f t="shared" si="887"/>
        <v>event_team_player_1</v>
      </c>
      <c r="BS1218">
        <f>COUNTIFS(S$3:S1218,"="&amp;S1218,AI$3:AI1218,"="&amp;AI1218)</f>
        <v>1</v>
      </c>
      <c r="BT1218" t="str">
        <f>IFERROR(VLOOKUP(BB1218&amp;BU1218&amp;X1218,game_rosters!U:W,3,FALSE),"")</f>
        <v>P100066</v>
      </c>
      <c r="BU1218" t="str">
        <f t="shared" si="888"/>
        <v>Nelson</v>
      </c>
    </row>
    <row r="1219" spans="1:73" x14ac:dyDescent="0.2">
      <c r="A1219">
        <f t="shared" si="874"/>
        <v>1</v>
      </c>
      <c r="J1219" s="44" t="str">
        <f t="shared" si="889"/>
        <v/>
      </c>
      <c r="K1219" t="s">
        <v>230</v>
      </c>
      <c r="L1219" t="s">
        <v>388</v>
      </c>
      <c r="M1219" t="s">
        <v>428</v>
      </c>
      <c r="S1219">
        <v>659</v>
      </c>
      <c r="W1219" t="str">
        <f t="shared" si="865"/>
        <v>h</v>
      </c>
      <c r="X1219">
        <v>22</v>
      </c>
      <c r="Y1219" t="e">
        <f>IF(X1219&lt;&gt;"",VLOOKUP(X1219,game_rosters!$C$43:$E$64,3,FALSE))</f>
        <v>#N/A</v>
      </c>
      <c r="Z1219" t="str" cm="1">
        <f t="array" ref="Z1219">IFERROR(IF(_xlfn._xlws.FILTER(game_rosters!$J:$J,(game_rosters!$G:$G=events!$AN1219)*(game_rosters!$J:$J=events!$X1219))&gt;0,1,""),"")</f>
        <v/>
      </c>
      <c r="AA1219">
        <f t="shared" si="913"/>
        <v>1659</v>
      </c>
      <c r="AB1219" t="str">
        <f t="shared" si="914"/>
        <v/>
      </c>
      <c r="AC1219">
        <f t="shared" si="952"/>
        <v>1659</v>
      </c>
      <c r="AD1219" s="6">
        <v>2</v>
      </c>
      <c r="AE1219" t="s">
        <v>936</v>
      </c>
      <c r="AF1219" t="s">
        <v>899</v>
      </c>
      <c r="AG1219" t="s">
        <v>756</v>
      </c>
      <c r="AH1219" t="s">
        <v>756</v>
      </c>
      <c r="AI1219" t="s">
        <v>368</v>
      </c>
      <c r="AJ1219" t="str">
        <f t="shared" ref="AJ1219:AK1219" si="954">IF($J1219&lt;&gt;"",$J1219,IF($AC1219=$AC1218,AJ1218,""))</f>
        <v/>
      </c>
      <c r="AK1219" t="str">
        <f t="shared" si="954"/>
        <v/>
      </c>
      <c r="AL1219" t="str">
        <f t="shared" si="867"/>
        <v/>
      </c>
      <c r="AN1219" t="s">
        <v>861</v>
      </c>
      <c r="AO1219" t="str">
        <f t="shared" si="868"/>
        <v>h</v>
      </c>
      <c r="AP1219" t="str">
        <f t="shared" si="876"/>
        <v/>
      </c>
      <c r="AQ1219" t="str">
        <f t="shared" si="877"/>
        <v/>
      </c>
      <c r="AR1219" t="str">
        <f t="shared" si="878"/>
        <v>Home</v>
      </c>
      <c r="AS1219" t="str">
        <f t="shared" si="879"/>
        <v>h</v>
      </c>
      <c r="AT1219" t="str">
        <f t="shared" si="880"/>
        <v>Defensive</v>
      </c>
      <c r="BA1219" s="6">
        <f t="shared" si="869"/>
        <v>297</v>
      </c>
      <c r="BB1219">
        <f t="shared" si="870"/>
        <v>18981</v>
      </c>
      <c r="BC1219" t="str">
        <f t="shared" si="871"/>
        <v>Nelson</v>
      </c>
      <c r="BD1219" t="str">
        <f t="shared" si="872"/>
        <v>Velodrome</v>
      </c>
      <c r="BE1219" t="s">
        <v>230</v>
      </c>
      <c r="BF1219" t="s">
        <v>388</v>
      </c>
      <c r="BG1219" t="s">
        <v>428</v>
      </c>
      <c r="BI1219" cm="1">
        <f t="array" ref="BI1219">IFERROR(_xlfn._xlws.FILTER(shifts!A:A,(shifts!B:B=events!AD1219)*(shifts!AG:AG&gt;=events!BK1219)*(shifts!AH:AH&lt;=events!BL1219)),BI1218)</f>
        <v>56</v>
      </c>
      <c r="BJ1219" s="15">
        <f t="shared" si="873"/>
        <v>0</v>
      </c>
      <c r="BK1219">
        <f t="shared" si="881"/>
        <v>528</v>
      </c>
      <c r="BL1219">
        <f t="shared" si="882"/>
        <v>528</v>
      </c>
      <c r="BM1219" s="15">
        <f>SUMIFS(BJ$2:BJ1219,K$2:K1219,"=Intermission")+SUMIFS(BJ$2:BJ1219,K$2:K1219,"=Timeout")</f>
        <v>72</v>
      </c>
      <c r="BN1219">
        <f t="shared" si="883"/>
        <v>1152</v>
      </c>
      <c r="BO1219" s="19">
        <f t="shared" si="884"/>
        <v>1704</v>
      </c>
      <c r="BP1219">
        <f t="shared" si="885"/>
        <v>1699</v>
      </c>
      <c r="BQ1219" s="17">
        <f t="shared" si="886"/>
        <v>1704</v>
      </c>
      <c r="BR1219" t="str">
        <f t="shared" si="887"/>
        <v>opp_team_player_1</v>
      </c>
      <c r="BS1219">
        <f>COUNTIFS(S$3:S1219,"="&amp;S1219,AI$3:AI1219,"="&amp;AI1219)</f>
        <v>1</v>
      </c>
      <c r="BT1219" t="str">
        <f>IFERROR(VLOOKUP(BB1219&amp;BU1219&amp;X1219,game_rosters!U:W,3,FALSE),"")</f>
        <v>P100108</v>
      </c>
      <c r="BU1219" t="str">
        <f t="shared" si="888"/>
        <v>Velodrome</v>
      </c>
    </row>
    <row r="1220" spans="1:73" x14ac:dyDescent="0.2">
      <c r="A1220">
        <f t="shared" si="874"/>
        <v>1</v>
      </c>
      <c r="J1220" s="44" t="str">
        <f t="shared" si="889"/>
        <v/>
      </c>
      <c r="K1220" t="s">
        <v>9</v>
      </c>
      <c r="L1220" t="s">
        <v>173</v>
      </c>
      <c r="M1220" t="s">
        <v>391</v>
      </c>
      <c r="S1220">
        <v>660</v>
      </c>
      <c r="W1220" t="str">
        <f t="shared" ref="W1220:W1283" si="955">IF(AN1220="Away","a",IF(AN1220="Home","h",""))</f>
        <v>h</v>
      </c>
      <c r="X1220">
        <v>79</v>
      </c>
      <c r="Y1220" t="b">
        <f>IF(X1220&lt;&gt;"",VLOOKUP(X1220,game_rosters!$C$43:$E$64,3,FALSE))</f>
        <v>0</v>
      </c>
      <c r="Z1220" cm="1">
        <f t="array" ref="Z1220">IFERROR(IF(_xlfn._xlws.FILTER(game_rosters!$J:$J,(game_rosters!$G:$G=events!$AN1220)*(game_rosters!$J:$J=events!$X1220))&gt;0,1,""),"")</f>
        <v>1</v>
      </c>
      <c r="AA1220">
        <f t="shared" si="913"/>
        <v>1660</v>
      </c>
      <c r="AB1220" t="str">
        <f t="shared" si="914"/>
        <v/>
      </c>
      <c r="AC1220">
        <f t="shared" si="952"/>
        <v>1660</v>
      </c>
      <c r="AD1220" s="6">
        <v>2</v>
      </c>
      <c r="AE1220" t="s">
        <v>936</v>
      </c>
      <c r="AF1220" t="s">
        <v>899</v>
      </c>
      <c r="AG1220" t="s">
        <v>756</v>
      </c>
      <c r="AH1220" t="s">
        <v>756</v>
      </c>
      <c r="AI1220" t="s">
        <v>367</v>
      </c>
      <c r="AJ1220" t="str">
        <f t="shared" ref="AJ1220:AK1220" si="956">IF($J1220&lt;&gt;"",$J1220,IF($AC1220=$AC1219,AJ1219,""))</f>
        <v/>
      </c>
      <c r="AK1220" t="str">
        <f t="shared" si="956"/>
        <v/>
      </c>
      <c r="AL1220" t="str">
        <f t="shared" ref="AL1220:AL1283" si="957">IF($W1220="","",IF($AJ1220="","",IF($W1220="h",$AJ1220,IF($AJ1220="n","n",IF(AND($W1220="a",$AJ1220="d"),"o",IF(AND($W1220="a",$AJ1220="o"),"d"))))))</f>
        <v/>
      </c>
      <c r="AN1220" t="s">
        <v>861</v>
      </c>
      <c r="AO1220" t="str">
        <f t="shared" ref="AO1220:AO1283" si="958">IF($W1220&lt;&gt;"",$W1220,IF($AC1220=$AC1219,AO1219,""))</f>
        <v>h</v>
      </c>
      <c r="AP1220" t="str">
        <f t="shared" si="876"/>
        <v/>
      </c>
      <c r="AQ1220" t="str">
        <f t="shared" si="877"/>
        <v/>
      </c>
      <c r="AR1220" t="str">
        <f t="shared" si="878"/>
        <v>Home</v>
      </c>
      <c r="AS1220" t="str">
        <f t="shared" si="879"/>
        <v>h</v>
      </c>
      <c r="AT1220" t="str">
        <f t="shared" si="880"/>
        <v>Offensive</v>
      </c>
      <c r="BA1220" s="6">
        <f t="shared" ref="BA1220:BA1283" si="959">IF(OR(L1220="Zone_Entry",L1220="Zone_Exit"),BA1219+1,BA1219)</f>
        <v>297</v>
      </c>
      <c r="BB1220">
        <f t="shared" ref="BB1220:BB1283" si="960">BB1219</f>
        <v>18981</v>
      </c>
      <c r="BC1220" t="str">
        <f t="shared" ref="BC1220:BC1283" si="961">BC1219</f>
        <v>Nelson</v>
      </c>
      <c r="BD1220" t="str">
        <f t="shared" ref="BD1220:BD1283" si="962">BD1219</f>
        <v>Velodrome</v>
      </c>
      <c r="BE1220" t="s">
        <v>9</v>
      </c>
      <c r="BF1220" t="s">
        <v>173</v>
      </c>
      <c r="BG1220" t="s">
        <v>391</v>
      </c>
      <c r="BI1220" cm="1">
        <f t="array" ref="BI1220">IFERROR(_xlfn._xlws.FILTER(shifts!A:A,(shifts!B:B=events!AD1220)*(shifts!AG:AG&gt;=events!BK1220)*(shifts!AH:AH&lt;=events!BL1220)),BI1219)</f>
        <v>56</v>
      </c>
      <c r="BJ1220" s="15">
        <f t="shared" ref="BJ1220:BJ1283" si="963">IF(AND(AG1220="",AH1220=""),0,((AE1220*60)+AF1220)-((AG1220*60)+AH1220))</f>
        <v>0</v>
      </c>
      <c r="BK1220">
        <f t="shared" si="881"/>
        <v>528</v>
      </c>
      <c r="BL1220">
        <f t="shared" si="882"/>
        <v>528</v>
      </c>
      <c r="BM1220" s="15">
        <f>SUMIFS(BJ$2:BJ1220,K$2:K1220,"=Intermission")+SUMIFS(BJ$2:BJ1220,K$2:K1220,"=Timeout")</f>
        <v>72</v>
      </c>
      <c r="BN1220">
        <f t="shared" si="883"/>
        <v>1152</v>
      </c>
      <c r="BO1220" s="19">
        <f t="shared" si="884"/>
        <v>1704</v>
      </c>
      <c r="BP1220">
        <f t="shared" si="885"/>
        <v>1699</v>
      </c>
      <c r="BQ1220" s="17">
        <f t="shared" si="886"/>
        <v>1704</v>
      </c>
      <c r="BR1220" t="str">
        <f t="shared" si="887"/>
        <v>event_team_player_1</v>
      </c>
      <c r="BS1220">
        <f>COUNTIFS(S$3:S1220,"="&amp;S1220,AI$3:AI1220,"="&amp;AI1220)</f>
        <v>1</v>
      </c>
      <c r="BT1220" t="str">
        <f>IFERROR(VLOOKUP(BB1220&amp;BU1220&amp;X1220,game_rosters!U:W,3,FALSE),"")</f>
        <v>P100066</v>
      </c>
      <c r="BU1220" t="str">
        <f t="shared" si="888"/>
        <v>Nelson</v>
      </c>
    </row>
    <row r="1221" spans="1:73" x14ac:dyDescent="0.2">
      <c r="A1221">
        <f t="shared" ref="A1221:A1284" si="964">IF(K1221&lt;&gt;"",1,IF(D1221="x","x",""))</f>
        <v>1</v>
      </c>
      <c r="J1221" s="44" t="str">
        <f t="shared" si="889"/>
        <v/>
      </c>
      <c r="K1221" t="s">
        <v>9</v>
      </c>
      <c r="L1221" t="s">
        <v>173</v>
      </c>
      <c r="M1221" t="s">
        <v>391</v>
      </c>
      <c r="S1221">
        <v>660</v>
      </c>
      <c r="W1221" t="str">
        <f t="shared" si="955"/>
        <v>h</v>
      </c>
      <c r="X1221">
        <v>22</v>
      </c>
      <c r="Y1221" t="e">
        <f>IF(X1221&lt;&gt;"",VLOOKUP(X1221,game_rosters!$C$43:$E$64,3,FALSE))</f>
        <v>#N/A</v>
      </c>
      <c r="Z1221" t="str" cm="1">
        <f t="array" ref="Z1221">IFERROR(IF(_xlfn._xlws.FILTER(game_rosters!$J:$J,(game_rosters!$G:$G=events!$AN1221)*(game_rosters!$J:$J=events!$X1221))&gt;0,1,""),"")</f>
        <v/>
      </c>
      <c r="AA1221">
        <f t="shared" si="913"/>
        <v>1660</v>
      </c>
      <c r="AB1221" t="str">
        <f t="shared" si="914"/>
        <v/>
      </c>
      <c r="AC1221">
        <f t="shared" si="952"/>
        <v>1660</v>
      </c>
      <c r="AD1221" s="6">
        <v>2</v>
      </c>
      <c r="AE1221" t="s">
        <v>936</v>
      </c>
      <c r="AF1221" t="s">
        <v>899</v>
      </c>
      <c r="AG1221" t="s">
        <v>756</v>
      </c>
      <c r="AH1221" t="s">
        <v>756</v>
      </c>
      <c r="AI1221" t="s">
        <v>368</v>
      </c>
      <c r="AJ1221" t="str">
        <f t="shared" ref="AJ1221:AK1221" si="965">IF($J1221&lt;&gt;"",$J1221,IF($AC1221=$AC1220,AJ1220,""))</f>
        <v/>
      </c>
      <c r="AK1221" t="str">
        <f t="shared" si="965"/>
        <v/>
      </c>
      <c r="AL1221" t="str">
        <f t="shared" si="957"/>
        <v/>
      </c>
      <c r="AN1221" t="s">
        <v>861</v>
      </c>
      <c r="AO1221" t="str">
        <f t="shared" si="958"/>
        <v>h</v>
      </c>
      <c r="AP1221" t="str">
        <f t="shared" ref="AP1221:AP1284" si="966">IF(AL1221&lt;&gt;"",AL1221,IF($AC1221=$AC1220,AP1220,""))</f>
        <v/>
      </c>
      <c r="AQ1221" t="str">
        <f t="shared" ref="AQ1221:AQ1284" si="967">IF(AM1221&lt;&gt;"",AM1221,IF($AC1221=$AC1220,AQ1220,""))</f>
        <v/>
      </c>
      <c r="AR1221" t="str">
        <f t="shared" ref="AR1221:AR1284" si="968">IF(AN1221&lt;&gt;"",AN1221,IF($AC1221=$AC1220,AR1220,""))</f>
        <v>Home</v>
      </c>
      <c r="AS1221" t="str">
        <f t="shared" ref="AS1221:AS1284" si="969">IF(AO1221&lt;&gt;"",AO1221,IF($AC1221=$AC1220,AS1220,""))</f>
        <v>h</v>
      </c>
      <c r="AT1221" t="str">
        <f t="shared" ref="AT1221:AT1284" si="970">IF(AND(AI1221="e",OR(BE1221="Save",BF1221="Turnover_Takeaway",BF1221="Play_Defensive")),"Defensive",IF(AND(AI1221="o",OR(BE1221="Save",BF1221="Turnover_Takeaway",BF1221="Play_Defensive")),"Offensive",IF(OR(BE1221="Deadice",BE1221="Stoppage",BE1221="Intermission"),"",IF(AI1221="e","Offensive",IF(AI1221="o","Defensive","")))))</f>
        <v>Defensive</v>
      </c>
      <c r="BA1221" s="6">
        <f t="shared" si="959"/>
        <v>297</v>
      </c>
      <c r="BB1221">
        <f t="shared" si="960"/>
        <v>18981</v>
      </c>
      <c r="BC1221" t="str">
        <f t="shared" si="961"/>
        <v>Nelson</v>
      </c>
      <c r="BD1221" t="str">
        <f t="shared" si="962"/>
        <v>Velodrome</v>
      </c>
      <c r="BE1221" t="s">
        <v>9</v>
      </c>
      <c r="BF1221" t="s">
        <v>173</v>
      </c>
      <c r="BG1221" t="s">
        <v>391</v>
      </c>
      <c r="BI1221" cm="1">
        <f t="array" ref="BI1221">IFERROR(_xlfn._xlws.FILTER(shifts!A:A,(shifts!B:B=events!AD1221)*(shifts!AG:AG&gt;=events!BK1221)*(shifts!AH:AH&lt;=events!BL1221)),BI1220)</f>
        <v>56</v>
      </c>
      <c r="BJ1221" s="15">
        <f t="shared" si="963"/>
        <v>0</v>
      </c>
      <c r="BK1221">
        <f t="shared" ref="BK1221:BK1284" si="971">(AE1221*60)+AF1221</f>
        <v>528</v>
      </c>
      <c r="BL1221">
        <f t="shared" ref="BL1221:BL1284" si="972">IF(AND(AG1221="",AH1221=""),BK1221,((AG1221*60)+AH1221))</f>
        <v>528</v>
      </c>
      <c r="BM1221" s="15">
        <f>SUMIFS(BJ$2:BJ1221,K$2:K1221,"=Intermission")+SUMIFS(BJ$2:BJ1221,K$2:K1221,"=Timeout")</f>
        <v>72</v>
      </c>
      <c r="BN1221">
        <f t="shared" ref="BN1221:BN1284" si="973">IF(AD1221=1,0,IF(AD1221=2,1080+BM1221,IF(AD1221=3,(1080*2)+BM1221,0)))</f>
        <v>1152</v>
      </c>
      <c r="BO1221" s="19">
        <f t="shared" ref="BO1221:BO1284" si="974">IF(K1221="Intermission",BO1220,((1080)-((AE1221*60)+AF1221))+BN1221)</f>
        <v>1704</v>
      </c>
      <c r="BP1221">
        <f t="shared" ref="BP1221:BP1284" si="975">IF(BO1221&lt;5,0,BO1221-5)</f>
        <v>1699</v>
      </c>
      <c r="BQ1221" s="17">
        <f t="shared" ref="BQ1221:BQ1284" si="976">BP1221+BJ1221+5</f>
        <v>1704</v>
      </c>
      <c r="BR1221" t="str">
        <f t="shared" ref="BR1221:BR1284" si="977">IF(AI1221="e","event_team_player_"&amp;BS1221,IF(AI1221="o","opp_team_player_"&amp;BS1221,""))</f>
        <v>opp_team_player_1</v>
      </c>
      <c r="BS1221">
        <f>COUNTIFS(S$3:S1221,"="&amp;S1221,AI$3:AI1221,"="&amp;AI1221)</f>
        <v>1</v>
      </c>
      <c r="BT1221" t="str">
        <f>IFERROR(VLOOKUP(BB1221&amp;BU1221&amp;X1221,game_rosters!U:W,3,FALSE),"")</f>
        <v>P100108</v>
      </c>
      <c r="BU1221" t="str">
        <f t="shared" ref="BU1221:BU1284" si="978">IF(AR1221="","",IF(AND(AR1221="Away",AI1221="e"),BD1221,IF(AND(AR1221="Home",AI1221="e"),BC1221,IF(AND(AR1221="Away",AI1221="o"),BC1221,IF(AND(AR1221="Home",AI1221="o"),BD1221)))))</f>
        <v>Velodrome</v>
      </c>
    </row>
    <row r="1222" spans="1:73" x14ac:dyDescent="0.2">
      <c r="A1222">
        <f t="shared" si="964"/>
        <v>1</v>
      </c>
      <c r="J1222" s="44" t="str">
        <f t="shared" ref="J1222:J1285" si="979">IF(OR(K1222="Goal",K1222="Shot",L1222="Zone_Entry",M1222="Stoppage-Goal",M1221="Stoppage-Goal"),"o",IF(OR(K1222="Save",K1222="Rebound",L1222="Zone_Exit",M1222="Stoppage-GoalieStoppage",M1221="Stoppage-GoalieStoppage"),"d",IF(OR(L1222="Faceoff_AfterGoal",L1222="Faceoff_PeriodStart",698="Faceoff_GameStart",M1221="Stoppage-Goal"),"n","")))</f>
        <v/>
      </c>
      <c r="K1222" t="s">
        <v>9</v>
      </c>
      <c r="L1222" t="s">
        <v>173</v>
      </c>
      <c r="M1222" t="s">
        <v>365</v>
      </c>
      <c r="S1222">
        <v>661</v>
      </c>
      <c r="W1222" t="str">
        <f t="shared" si="955"/>
        <v>a</v>
      </c>
      <c r="X1222">
        <v>52</v>
      </c>
      <c r="Y1222" t="e">
        <f>IF(X1222&lt;&gt;"",VLOOKUP(X1222,game_rosters!$C$43:$E$64,3,FALSE))</f>
        <v>#N/A</v>
      </c>
      <c r="Z1222" cm="1">
        <f t="array" ref="Z1222">IFERROR(IF(_xlfn._xlws.FILTER(game_rosters!$J:$J,(game_rosters!$G:$G=events!$AN1222)*(game_rosters!$J:$J=events!$X1222))&gt;0,1,""),"")</f>
        <v>1</v>
      </c>
      <c r="AA1222">
        <f t="shared" si="913"/>
        <v>1661</v>
      </c>
      <c r="AB1222" t="str">
        <f t="shared" si="914"/>
        <v/>
      </c>
      <c r="AC1222">
        <f t="shared" si="952"/>
        <v>1661</v>
      </c>
      <c r="AD1222" s="6">
        <v>2</v>
      </c>
      <c r="AE1222" t="s">
        <v>936</v>
      </c>
      <c r="AF1222" t="s">
        <v>902</v>
      </c>
      <c r="AG1222" t="s">
        <v>756</v>
      </c>
      <c r="AH1222" t="s">
        <v>756</v>
      </c>
      <c r="AI1222" t="s">
        <v>367</v>
      </c>
      <c r="AJ1222" t="str">
        <f t="shared" ref="AJ1222:AK1222" si="980">IF($J1222&lt;&gt;"",$J1222,IF($AC1222=$AC1221,AJ1221,""))</f>
        <v/>
      </c>
      <c r="AK1222" t="str">
        <f t="shared" si="980"/>
        <v/>
      </c>
      <c r="AL1222" t="str">
        <f t="shared" si="957"/>
        <v/>
      </c>
      <c r="AN1222" t="s">
        <v>862</v>
      </c>
      <c r="AO1222" t="str">
        <f t="shared" si="958"/>
        <v>a</v>
      </c>
      <c r="AP1222" t="str">
        <f t="shared" si="966"/>
        <v/>
      </c>
      <c r="AQ1222" t="str">
        <f t="shared" si="967"/>
        <v/>
      </c>
      <c r="AR1222" t="str">
        <f t="shared" si="968"/>
        <v>Away</v>
      </c>
      <c r="AS1222" t="str">
        <f t="shared" si="969"/>
        <v>a</v>
      </c>
      <c r="AT1222" t="str">
        <f t="shared" si="970"/>
        <v>Offensive</v>
      </c>
      <c r="BA1222" s="6">
        <f t="shared" si="959"/>
        <v>297</v>
      </c>
      <c r="BB1222">
        <f t="shared" si="960"/>
        <v>18981</v>
      </c>
      <c r="BC1222" t="str">
        <f t="shared" si="961"/>
        <v>Nelson</v>
      </c>
      <c r="BD1222" t="str">
        <f t="shared" si="962"/>
        <v>Velodrome</v>
      </c>
      <c r="BE1222" t="s">
        <v>9</v>
      </c>
      <c r="BF1222" t="s">
        <v>173</v>
      </c>
      <c r="BG1222" t="s">
        <v>365</v>
      </c>
      <c r="BI1222" cm="1">
        <f t="array" ref="BI1222">IFERROR(_xlfn._xlws.FILTER(shifts!A:A,(shifts!B:B=events!AD1222)*(shifts!AG:AG&gt;=events!BK1222)*(shifts!AH:AH&lt;=events!BL1222)),BI1221)</f>
        <v>56</v>
      </c>
      <c r="BJ1222" s="15">
        <f t="shared" si="963"/>
        <v>0</v>
      </c>
      <c r="BK1222">
        <f t="shared" si="971"/>
        <v>522</v>
      </c>
      <c r="BL1222">
        <f t="shared" si="972"/>
        <v>522</v>
      </c>
      <c r="BM1222" s="15">
        <f>SUMIFS(BJ$2:BJ1222,K$2:K1222,"=Intermission")+SUMIFS(BJ$2:BJ1222,K$2:K1222,"=Timeout")</f>
        <v>72</v>
      </c>
      <c r="BN1222">
        <f t="shared" si="973"/>
        <v>1152</v>
      </c>
      <c r="BO1222" s="19">
        <f t="shared" si="974"/>
        <v>1710</v>
      </c>
      <c r="BP1222">
        <f t="shared" si="975"/>
        <v>1705</v>
      </c>
      <c r="BQ1222" s="17">
        <f t="shared" si="976"/>
        <v>1710</v>
      </c>
      <c r="BR1222" t="str">
        <f t="shared" si="977"/>
        <v>event_team_player_1</v>
      </c>
      <c r="BS1222">
        <f>COUNTIFS(S$3:S1222,"="&amp;S1222,AI$3:AI1222,"="&amp;AI1222)</f>
        <v>1</v>
      </c>
      <c r="BT1222" t="str">
        <f>IFERROR(VLOOKUP(BB1222&amp;BU1222&amp;X1222,game_rosters!U:W,3,FALSE),"")</f>
        <v>P100070</v>
      </c>
      <c r="BU1222" t="str">
        <f t="shared" si="978"/>
        <v>Velodrome</v>
      </c>
    </row>
    <row r="1223" spans="1:73" x14ac:dyDescent="0.2">
      <c r="A1223">
        <f t="shared" si="964"/>
        <v>1</v>
      </c>
      <c r="J1223" s="44" t="str">
        <f t="shared" si="979"/>
        <v/>
      </c>
      <c r="K1223" t="s">
        <v>238</v>
      </c>
      <c r="L1223" t="s">
        <v>193</v>
      </c>
      <c r="M1223" t="s">
        <v>91</v>
      </c>
      <c r="S1223">
        <v>662</v>
      </c>
      <c r="W1223" t="str">
        <f t="shared" si="955"/>
        <v>h</v>
      </c>
      <c r="X1223">
        <v>37</v>
      </c>
      <c r="Y1223" t="b">
        <f>IF(X1223&lt;&gt;"",VLOOKUP(X1223,game_rosters!$C$43:$E$64,3,FALSE))</f>
        <v>0</v>
      </c>
      <c r="Z1223" cm="1">
        <f t="array" ref="Z1223">IFERROR(IF(_xlfn._xlws.FILTER(game_rosters!$J:$J,(game_rosters!$G:$G=events!$AN1223)*(game_rosters!$J:$J=events!$X1223))&gt;0,1,""),"")</f>
        <v>1</v>
      </c>
      <c r="AA1223">
        <f t="shared" si="913"/>
        <v>1662</v>
      </c>
      <c r="AB1223" t="str">
        <f t="shared" si="914"/>
        <v/>
      </c>
      <c r="AC1223">
        <f t="shared" si="952"/>
        <v>1662</v>
      </c>
      <c r="AD1223" s="6">
        <v>2</v>
      </c>
      <c r="AE1223" t="s">
        <v>936</v>
      </c>
      <c r="AF1223" t="s">
        <v>924</v>
      </c>
      <c r="AG1223" t="s">
        <v>756</v>
      </c>
      <c r="AH1223" t="s">
        <v>756</v>
      </c>
      <c r="AI1223" t="s">
        <v>367</v>
      </c>
      <c r="AJ1223" t="str">
        <f t="shared" ref="AJ1223:AK1223" si="981">IF($J1223&lt;&gt;"",$J1223,IF($AC1223=$AC1222,AJ1222,""))</f>
        <v/>
      </c>
      <c r="AK1223" t="str">
        <f t="shared" si="981"/>
        <v/>
      </c>
      <c r="AL1223" t="str">
        <f t="shared" si="957"/>
        <v/>
      </c>
      <c r="AN1223" t="s">
        <v>861</v>
      </c>
      <c r="AO1223" t="str">
        <f t="shared" si="958"/>
        <v>h</v>
      </c>
      <c r="AP1223" t="str">
        <f t="shared" si="966"/>
        <v/>
      </c>
      <c r="AQ1223" t="str">
        <f t="shared" si="967"/>
        <v/>
      </c>
      <c r="AR1223" t="str">
        <f t="shared" si="968"/>
        <v>Home</v>
      </c>
      <c r="AS1223" t="str">
        <f t="shared" si="969"/>
        <v>h</v>
      </c>
      <c r="AT1223" t="str">
        <f t="shared" si="970"/>
        <v>Offensive</v>
      </c>
      <c r="BA1223" s="6">
        <f t="shared" si="959"/>
        <v>297</v>
      </c>
      <c r="BB1223">
        <f t="shared" si="960"/>
        <v>18981</v>
      </c>
      <c r="BC1223" t="str">
        <f t="shared" si="961"/>
        <v>Nelson</v>
      </c>
      <c r="BD1223" t="str">
        <f t="shared" si="962"/>
        <v>Velodrome</v>
      </c>
      <c r="BE1223" t="s">
        <v>238</v>
      </c>
      <c r="BF1223" t="s">
        <v>193</v>
      </c>
      <c r="BG1223" t="s">
        <v>91</v>
      </c>
      <c r="BI1223" cm="1">
        <f t="array" ref="BI1223">IFERROR(_xlfn._xlws.FILTER(shifts!A:A,(shifts!B:B=events!AD1223)*(shifts!AG:AG&gt;=events!BK1223)*(shifts!AH:AH&lt;=events!BL1223)),BI1222)</f>
        <v>56</v>
      </c>
      <c r="BJ1223" s="15">
        <f t="shared" si="963"/>
        <v>0</v>
      </c>
      <c r="BK1223">
        <f t="shared" si="971"/>
        <v>521</v>
      </c>
      <c r="BL1223">
        <f t="shared" si="972"/>
        <v>521</v>
      </c>
      <c r="BM1223" s="15">
        <f>SUMIFS(BJ$2:BJ1223,K$2:K1223,"=Intermission")+SUMIFS(BJ$2:BJ1223,K$2:K1223,"=Timeout")</f>
        <v>72</v>
      </c>
      <c r="BN1223">
        <f t="shared" si="973"/>
        <v>1152</v>
      </c>
      <c r="BO1223" s="19">
        <f t="shared" si="974"/>
        <v>1711</v>
      </c>
      <c r="BP1223">
        <f t="shared" si="975"/>
        <v>1706</v>
      </c>
      <c r="BQ1223" s="17">
        <f t="shared" si="976"/>
        <v>1711</v>
      </c>
      <c r="BR1223" t="str">
        <f t="shared" si="977"/>
        <v>event_team_player_1</v>
      </c>
      <c r="BS1223">
        <f>COUNTIFS(S$3:S1223,"="&amp;S1223,AI$3:AI1223,"="&amp;AI1223)</f>
        <v>1</v>
      </c>
      <c r="BT1223" t="str">
        <f>IFERROR(VLOOKUP(BB1223&amp;BU1223&amp;X1223,game_rosters!U:W,3,FALSE),"")</f>
        <v>P100119</v>
      </c>
      <c r="BU1223" t="str">
        <f t="shared" si="978"/>
        <v>Nelson</v>
      </c>
    </row>
    <row r="1224" spans="1:73" x14ac:dyDescent="0.2">
      <c r="A1224">
        <f t="shared" si="964"/>
        <v>1</v>
      </c>
      <c r="J1224" s="44" t="str">
        <f t="shared" si="979"/>
        <v/>
      </c>
      <c r="K1224" t="s">
        <v>238</v>
      </c>
      <c r="L1224" t="s">
        <v>193</v>
      </c>
      <c r="M1224" t="s">
        <v>91</v>
      </c>
      <c r="S1224">
        <v>662</v>
      </c>
      <c r="W1224" t="str">
        <f t="shared" si="955"/>
        <v>h</v>
      </c>
      <c r="X1224">
        <v>61</v>
      </c>
      <c r="Y1224" t="e">
        <f>IF(X1224&lt;&gt;"",VLOOKUP(X1224,game_rosters!$C$43:$E$64,3,FALSE))</f>
        <v>#N/A</v>
      </c>
      <c r="Z1224" t="str" cm="1">
        <f t="array" ref="Z1224">IFERROR(IF(_xlfn._xlws.FILTER(game_rosters!$J:$J,(game_rosters!$G:$G=events!$AN1224)*(game_rosters!$J:$J=events!$X1224))&gt;0,1,""),"")</f>
        <v/>
      </c>
      <c r="AA1224">
        <f t="shared" si="913"/>
        <v>1662</v>
      </c>
      <c r="AB1224" t="str">
        <f t="shared" si="914"/>
        <v/>
      </c>
      <c r="AC1224">
        <f t="shared" si="952"/>
        <v>1662</v>
      </c>
      <c r="AD1224" s="6">
        <v>2</v>
      </c>
      <c r="AE1224" t="s">
        <v>936</v>
      </c>
      <c r="AF1224" t="s">
        <v>924</v>
      </c>
      <c r="AG1224" t="s">
        <v>756</v>
      </c>
      <c r="AH1224" t="s">
        <v>756</v>
      </c>
      <c r="AI1224" t="s">
        <v>368</v>
      </c>
      <c r="AJ1224" t="str">
        <f t="shared" ref="AJ1224:AK1224" si="982">IF($J1224&lt;&gt;"",$J1224,IF($AC1224=$AC1223,AJ1223,""))</f>
        <v/>
      </c>
      <c r="AK1224" t="str">
        <f t="shared" si="982"/>
        <v/>
      </c>
      <c r="AL1224" t="str">
        <f t="shared" si="957"/>
        <v/>
      </c>
      <c r="AN1224" t="s">
        <v>861</v>
      </c>
      <c r="AO1224" t="str">
        <f t="shared" si="958"/>
        <v>h</v>
      </c>
      <c r="AP1224" t="str">
        <f t="shared" si="966"/>
        <v/>
      </c>
      <c r="AQ1224" t="str">
        <f t="shared" si="967"/>
        <v/>
      </c>
      <c r="AR1224" t="str">
        <f t="shared" si="968"/>
        <v>Home</v>
      </c>
      <c r="AS1224" t="str">
        <f t="shared" si="969"/>
        <v>h</v>
      </c>
      <c r="AT1224" t="str">
        <f t="shared" si="970"/>
        <v>Defensive</v>
      </c>
      <c r="BA1224" s="6">
        <f t="shared" si="959"/>
        <v>297</v>
      </c>
      <c r="BB1224">
        <f t="shared" si="960"/>
        <v>18981</v>
      </c>
      <c r="BC1224" t="str">
        <f t="shared" si="961"/>
        <v>Nelson</v>
      </c>
      <c r="BD1224" t="str">
        <f t="shared" si="962"/>
        <v>Velodrome</v>
      </c>
      <c r="BE1224" t="s">
        <v>238</v>
      </c>
      <c r="BF1224" t="s">
        <v>193</v>
      </c>
      <c r="BG1224" t="s">
        <v>91</v>
      </c>
      <c r="BI1224" cm="1">
        <f t="array" ref="BI1224">IFERROR(_xlfn._xlws.FILTER(shifts!A:A,(shifts!B:B=events!AD1224)*(shifts!AG:AG&gt;=events!BK1224)*(shifts!AH:AH&lt;=events!BL1224)),BI1223)</f>
        <v>56</v>
      </c>
      <c r="BJ1224" s="15">
        <f t="shared" si="963"/>
        <v>0</v>
      </c>
      <c r="BK1224">
        <f t="shared" si="971"/>
        <v>521</v>
      </c>
      <c r="BL1224">
        <f t="shared" si="972"/>
        <v>521</v>
      </c>
      <c r="BM1224" s="15">
        <f>SUMIFS(BJ$2:BJ1224,K$2:K1224,"=Intermission")+SUMIFS(BJ$2:BJ1224,K$2:K1224,"=Timeout")</f>
        <v>72</v>
      </c>
      <c r="BN1224">
        <f t="shared" si="973"/>
        <v>1152</v>
      </c>
      <c r="BO1224" s="19">
        <f t="shared" si="974"/>
        <v>1711</v>
      </c>
      <c r="BP1224">
        <f t="shared" si="975"/>
        <v>1706</v>
      </c>
      <c r="BQ1224" s="17">
        <f t="shared" si="976"/>
        <v>1711</v>
      </c>
      <c r="BR1224" t="str">
        <f t="shared" si="977"/>
        <v>opp_team_player_1</v>
      </c>
      <c r="BS1224">
        <f>COUNTIFS(S$3:S1224,"="&amp;S1224,AI$3:AI1224,"="&amp;AI1224)</f>
        <v>1</v>
      </c>
      <c r="BT1224" t="str">
        <f>IFERROR(VLOOKUP(BB1224&amp;BU1224&amp;X1224,game_rosters!U:W,3,FALSE),"")</f>
        <v>P100224</v>
      </c>
      <c r="BU1224" t="str">
        <f t="shared" si="978"/>
        <v>Velodrome</v>
      </c>
    </row>
    <row r="1225" spans="1:73" x14ac:dyDescent="0.2">
      <c r="A1225">
        <f t="shared" si="964"/>
        <v>1</v>
      </c>
      <c r="J1225" s="44" t="str">
        <f t="shared" si="979"/>
        <v/>
      </c>
      <c r="K1225" t="s">
        <v>13</v>
      </c>
      <c r="L1225" t="s">
        <v>756</v>
      </c>
      <c r="M1225" t="s">
        <v>756</v>
      </c>
      <c r="S1225">
        <v>663</v>
      </c>
      <c r="W1225" t="str">
        <f t="shared" si="955"/>
        <v>h</v>
      </c>
      <c r="X1225">
        <v>37</v>
      </c>
      <c r="Y1225" t="b">
        <f>IF(X1225&lt;&gt;"",VLOOKUP(X1225,game_rosters!$C$43:$E$64,3,FALSE))</f>
        <v>0</v>
      </c>
      <c r="Z1225" cm="1">
        <f t="array" ref="Z1225">IFERROR(IF(_xlfn._xlws.FILTER(game_rosters!$J:$J,(game_rosters!$G:$G=events!$AN1225)*(game_rosters!$J:$J=events!$X1225))&gt;0,1,""),"")</f>
        <v>1</v>
      </c>
      <c r="AA1225">
        <f t="shared" si="913"/>
        <v>1663</v>
      </c>
      <c r="AB1225" t="str">
        <f t="shared" si="914"/>
        <v/>
      </c>
      <c r="AC1225">
        <f t="shared" si="952"/>
        <v>1663</v>
      </c>
      <c r="AD1225" s="6">
        <v>2</v>
      </c>
      <c r="AE1225" t="s">
        <v>936</v>
      </c>
      <c r="AF1225" t="s">
        <v>924</v>
      </c>
      <c r="AG1225" t="s">
        <v>936</v>
      </c>
      <c r="AH1225" t="s">
        <v>904</v>
      </c>
      <c r="AI1225" t="s">
        <v>367</v>
      </c>
      <c r="AJ1225" t="str">
        <f t="shared" ref="AJ1225:AK1225" si="983">IF($J1225&lt;&gt;"",$J1225,IF($AC1225=$AC1224,AJ1224,""))</f>
        <v/>
      </c>
      <c r="AK1225" t="str">
        <f t="shared" si="983"/>
        <v/>
      </c>
      <c r="AL1225" t="str">
        <f t="shared" si="957"/>
        <v/>
      </c>
      <c r="AN1225" t="s">
        <v>861</v>
      </c>
      <c r="AO1225" t="str">
        <f t="shared" si="958"/>
        <v>h</v>
      </c>
      <c r="AP1225" t="str">
        <f t="shared" si="966"/>
        <v/>
      </c>
      <c r="AQ1225" t="str">
        <f t="shared" si="967"/>
        <v/>
      </c>
      <c r="AR1225" t="str">
        <f t="shared" si="968"/>
        <v>Home</v>
      </c>
      <c r="AS1225" t="str">
        <f t="shared" si="969"/>
        <v>h</v>
      </c>
      <c r="AT1225" t="str">
        <f t="shared" si="970"/>
        <v>Offensive</v>
      </c>
      <c r="BA1225" s="6">
        <f t="shared" si="959"/>
        <v>297</v>
      </c>
      <c r="BB1225">
        <f t="shared" si="960"/>
        <v>18981</v>
      </c>
      <c r="BC1225" t="str">
        <f t="shared" si="961"/>
        <v>Nelson</v>
      </c>
      <c r="BD1225" t="str">
        <f t="shared" si="962"/>
        <v>Velodrome</v>
      </c>
      <c r="BE1225" t="s">
        <v>13</v>
      </c>
      <c r="BF1225" t="s">
        <v>756</v>
      </c>
      <c r="BG1225" t="s">
        <v>756</v>
      </c>
      <c r="BI1225" cm="1">
        <f t="array" ref="BI1225">IFERROR(_xlfn._xlws.FILTER(shifts!A:A,(shifts!B:B=events!AD1225)*(shifts!AG:AG&gt;=events!BK1225)*(shifts!AH:AH&lt;=events!BL1225)),BI1224)</f>
        <v>56</v>
      </c>
      <c r="BJ1225" s="15">
        <f t="shared" si="963"/>
        <v>5</v>
      </c>
      <c r="BK1225">
        <f t="shared" si="971"/>
        <v>521</v>
      </c>
      <c r="BL1225">
        <f t="shared" si="972"/>
        <v>516</v>
      </c>
      <c r="BM1225" s="15">
        <f>SUMIFS(BJ$2:BJ1225,K$2:K1225,"=Intermission")+SUMIFS(BJ$2:BJ1225,K$2:K1225,"=Timeout")</f>
        <v>72</v>
      </c>
      <c r="BN1225">
        <f t="shared" si="973"/>
        <v>1152</v>
      </c>
      <c r="BO1225" s="19">
        <f t="shared" si="974"/>
        <v>1711</v>
      </c>
      <c r="BP1225">
        <f t="shared" si="975"/>
        <v>1706</v>
      </c>
      <c r="BQ1225" s="17">
        <f t="shared" si="976"/>
        <v>1716</v>
      </c>
      <c r="BR1225" t="str">
        <f t="shared" si="977"/>
        <v>event_team_player_1</v>
      </c>
      <c r="BS1225">
        <f>COUNTIFS(S$3:S1225,"="&amp;S1225,AI$3:AI1225,"="&amp;AI1225)</f>
        <v>1</v>
      </c>
      <c r="BT1225" t="str">
        <f>IFERROR(VLOOKUP(BB1225&amp;BU1225&amp;X1225,game_rosters!U:W,3,FALSE),"")</f>
        <v>P100119</v>
      </c>
      <c r="BU1225" t="str">
        <f t="shared" si="978"/>
        <v>Nelson</v>
      </c>
    </row>
    <row r="1226" spans="1:73" x14ac:dyDescent="0.2">
      <c r="A1226">
        <f t="shared" si="964"/>
        <v>1</v>
      </c>
      <c r="J1226" s="44" t="str">
        <f t="shared" si="979"/>
        <v/>
      </c>
      <c r="K1226" t="s">
        <v>13</v>
      </c>
      <c r="L1226" t="s">
        <v>756</v>
      </c>
      <c r="M1226" t="s">
        <v>756</v>
      </c>
      <c r="S1226">
        <v>663</v>
      </c>
      <c r="W1226" t="str">
        <f t="shared" si="955"/>
        <v>h</v>
      </c>
      <c r="X1226">
        <v>61</v>
      </c>
      <c r="Y1226" t="e">
        <f>IF(X1226&lt;&gt;"",VLOOKUP(X1226,game_rosters!$C$43:$E$64,3,FALSE))</f>
        <v>#N/A</v>
      </c>
      <c r="Z1226" t="str" cm="1">
        <f t="array" ref="Z1226">IFERROR(IF(_xlfn._xlws.FILTER(game_rosters!$J:$J,(game_rosters!$G:$G=events!$AN1226)*(game_rosters!$J:$J=events!$X1226))&gt;0,1,""),"")</f>
        <v/>
      </c>
      <c r="AA1226">
        <f t="shared" si="913"/>
        <v>1663</v>
      </c>
      <c r="AB1226" t="str">
        <f t="shared" si="914"/>
        <v/>
      </c>
      <c r="AC1226">
        <f t="shared" si="952"/>
        <v>1663</v>
      </c>
      <c r="AD1226" s="6">
        <v>2</v>
      </c>
      <c r="AE1226" t="s">
        <v>936</v>
      </c>
      <c r="AF1226" t="s">
        <v>924</v>
      </c>
      <c r="AG1226" t="s">
        <v>936</v>
      </c>
      <c r="AH1226" t="s">
        <v>904</v>
      </c>
      <c r="AI1226" t="s">
        <v>368</v>
      </c>
      <c r="AJ1226" t="str">
        <f t="shared" ref="AJ1226:AK1226" si="984">IF($J1226&lt;&gt;"",$J1226,IF($AC1226=$AC1225,AJ1225,""))</f>
        <v/>
      </c>
      <c r="AK1226" t="str">
        <f t="shared" si="984"/>
        <v/>
      </c>
      <c r="AL1226" t="str">
        <f t="shared" si="957"/>
        <v/>
      </c>
      <c r="AN1226" t="s">
        <v>861</v>
      </c>
      <c r="AO1226" t="str">
        <f t="shared" si="958"/>
        <v>h</v>
      </c>
      <c r="AP1226" t="str">
        <f t="shared" si="966"/>
        <v/>
      </c>
      <c r="AQ1226" t="str">
        <f t="shared" si="967"/>
        <v/>
      </c>
      <c r="AR1226" t="str">
        <f t="shared" si="968"/>
        <v>Home</v>
      </c>
      <c r="AS1226" t="str">
        <f t="shared" si="969"/>
        <v>h</v>
      </c>
      <c r="AT1226" t="str">
        <f t="shared" si="970"/>
        <v>Defensive</v>
      </c>
      <c r="BA1226" s="6">
        <f t="shared" si="959"/>
        <v>297</v>
      </c>
      <c r="BB1226">
        <f t="shared" si="960"/>
        <v>18981</v>
      </c>
      <c r="BC1226" t="str">
        <f t="shared" si="961"/>
        <v>Nelson</v>
      </c>
      <c r="BD1226" t="str">
        <f t="shared" si="962"/>
        <v>Velodrome</v>
      </c>
      <c r="BE1226" t="s">
        <v>13</v>
      </c>
      <c r="BF1226" t="s">
        <v>756</v>
      </c>
      <c r="BG1226" t="s">
        <v>756</v>
      </c>
      <c r="BI1226" cm="1">
        <f t="array" ref="BI1226">IFERROR(_xlfn._xlws.FILTER(shifts!A:A,(shifts!B:B=events!AD1226)*(shifts!AG:AG&gt;=events!BK1226)*(shifts!AH:AH&lt;=events!BL1226)),BI1225)</f>
        <v>56</v>
      </c>
      <c r="BJ1226" s="15">
        <f t="shared" si="963"/>
        <v>5</v>
      </c>
      <c r="BK1226">
        <f t="shared" si="971"/>
        <v>521</v>
      </c>
      <c r="BL1226">
        <f t="shared" si="972"/>
        <v>516</v>
      </c>
      <c r="BM1226" s="15">
        <f>SUMIFS(BJ$2:BJ1226,K$2:K1226,"=Intermission")+SUMIFS(BJ$2:BJ1226,K$2:K1226,"=Timeout")</f>
        <v>72</v>
      </c>
      <c r="BN1226">
        <f t="shared" si="973"/>
        <v>1152</v>
      </c>
      <c r="BO1226" s="19">
        <f t="shared" si="974"/>
        <v>1711</v>
      </c>
      <c r="BP1226">
        <f t="shared" si="975"/>
        <v>1706</v>
      </c>
      <c r="BQ1226" s="17">
        <f t="shared" si="976"/>
        <v>1716</v>
      </c>
      <c r="BR1226" t="str">
        <f t="shared" si="977"/>
        <v>opp_team_player_1</v>
      </c>
      <c r="BS1226">
        <f>COUNTIFS(S$3:S1226,"="&amp;S1226,AI$3:AI1226,"="&amp;AI1226)</f>
        <v>1</v>
      </c>
      <c r="BT1226" t="str">
        <f>IFERROR(VLOOKUP(BB1226&amp;BU1226&amp;X1226,game_rosters!U:W,3,FALSE),"")</f>
        <v>P100224</v>
      </c>
      <c r="BU1226" t="str">
        <f t="shared" si="978"/>
        <v>Velodrome</v>
      </c>
    </row>
    <row r="1227" spans="1:73" x14ac:dyDescent="0.2">
      <c r="A1227">
        <f t="shared" si="964"/>
        <v>1</v>
      </c>
      <c r="J1227" s="44" t="str">
        <f t="shared" si="979"/>
        <v/>
      </c>
      <c r="K1227" t="s">
        <v>7</v>
      </c>
      <c r="L1227" t="s">
        <v>172</v>
      </c>
      <c r="M1227" t="s">
        <v>67</v>
      </c>
      <c r="S1227">
        <v>664</v>
      </c>
      <c r="W1227" t="str">
        <f t="shared" si="955"/>
        <v>h</v>
      </c>
      <c r="X1227">
        <v>37</v>
      </c>
      <c r="Y1227" t="b">
        <f>IF(X1227&lt;&gt;"",VLOOKUP(X1227,game_rosters!$C$43:$E$64,3,FALSE))</f>
        <v>0</v>
      </c>
      <c r="Z1227" cm="1">
        <f t="array" ref="Z1227">IFERROR(IF(_xlfn._xlws.FILTER(game_rosters!$J:$J,(game_rosters!$G:$G=events!$AN1227)*(game_rosters!$J:$J=events!$X1227))&gt;0,1,""),"")</f>
        <v>1</v>
      </c>
      <c r="AA1227">
        <f t="shared" si="913"/>
        <v>1664</v>
      </c>
      <c r="AB1227" t="str">
        <f t="shared" si="914"/>
        <v/>
      </c>
      <c r="AC1227">
        <f t="shared" si="952"/>
        <v>1664</v>
      </c>
      <c r="AD1227" s="6">
        <v>2</v>
      </c>
      <c r="AE1227" t="s">
        <v>936</v>
      </c>
      <c r="AF1227" t="s">
        <v>750</v>
      </c>
      <c r="AG1227" t="s">
        <v>756</v>
      </c>
      <c r="AH1227" t="s">
        <v>756</v>
      </c>
      <c r="AI1227" t="s">
        <v>367</v>
      </c>
      <c r="AJ1227" t="str">
        <f t="shared" ref="AJ1227:AK1227" si="985">IF($J1227&lt;&gt;"",$J1227,IF($AC1227=$AC1226,AJ1226,""))</f>
        <v/>
      </c>
      <c r="AK1227" t="str">
        <f t="shared" si="985"/>
        <v/>
      </c>
      <c r="AL1227" t="str">
        <f t="shared" si="957"/>
        <v/>
      </c>
      <c r="AN1227" t="s">
        <v>861</v>
      </c>
      <c r="AO1227" t="str">
        <f t="shared" si="958"/>
        <v>h</v>
      </c>
      <c r="AP1227" t="str">
        <f t="shared" si="966"/>
        <v/>
      </c>
      <c r="AQ1227" t="str">
        <f t="shared" si="967"/>
        <v/>
      </c>
      <c r="AR1227" t="str">
        <f t="shared" si="968"/>
        <v>Home</v>
      </c>
      <c r="AS1227" t="str">
        <f t="shared" si="969"/>
        <v>h</v>
      </c>
      <c r="AT1227" t="str">
        <f t="shared" si="970"/>
        <v>Offensive</v>
      </c>
      <c r="BA1227" s="6">
        <f t="shared" si="959"/>
        <v>297</v>
      </c>
      <c r="BB1227">
        <f t="shared" si="960"/>
        <v>18981</v>
      </c>
      <c r="BC1227" t="str">
        <f t="shared" si="961"/>
        <v>Nelson</v>
      </c>
      <c r="BD1227" t="str">
        <f t="shared" si="962"/>
        <v>Velodrome</v>
      </c>
      <c r="BE1227" t="s">
        <v>7</v>
      </c>
      <c r="BF1227" t="s">
        <v>172</v>
      </c>
      <c r="BG1227" t="s">
        <v>67</v>
      </c>
      <c r="BI1227" cm="1">
        <f t="array" ref="BI1227">IFERROR(_xlfn._xlws.FILTER(shifts!A:A,(shifts!B:B=events!AD1227)*(shifts!AG:AG&gt;=events!BK1227)*(shifts!AH:AH&lt;=events!BL1227)),BI1226)</f>
        <v>56</v>
      </c>
      <c r="BJ1227" s="15">
        <f t="shared" si="963"/>
        <v>0</v>
      </c>
      <c r="BK1227">
        <f t="shared" si="971"/>
        <v>515</v>
      </c>
      <c r="BL1227">
        <f t="shared" si="972"/>
        <v>515</v>
      </c>
      <c r="BM1227" s="15">
        <f>SUMIFS(BJ$2:BJ1227,K$2:K1227,"=Intermission")+SUMIFS(BJ$2:BJ1227,K$2:K1227,"=Timeout")</f>
        <v>72</v>
      </c>
      <c r="BN1227">
        <f t="shared" si="973"/>
        <v>1152</v>
      </c>
      <c r="BO1227" s="19">
        <f t="shared" si="974"/>
        <v>1717</v>
      </c>
      <c r="BP1227">
        <f t="shared" si="975"/>
        <v>1712</v>
      </c>
      <c r="BQ1227" s="17">
        <f t="shared" si="976"/>
        <v>1717</v>
      </c>
      <c r="BR1227" t="str">
        <f t="shared" si="977"/>
        <v>event_team_player_1</v>
      </c>
      <c r="BS1227">
        <f>COUNTIFS(S$3:S1227,"="&amp;S1227,AI$3:AI1227,"="&amp;AI1227)</f>
        <v>1</v>
      </c>
      <c r="BT1227" t="str">
        <f>IFERROR(VLOOKUP(BB1227&amp;BU1227&amp;X1227,game_rosters!U:W,3,FALSE),"")</f>
        <v>P100119</v>
      </c>
      <c r="BU1227" t="str">
        <f t="shared" si="978"/>
        <v>Nelson</v>
      </c>
    </row>
    <row r="1228" spans="1:73" x14ac:dyDescent="0.2">
      <c r="A1228">
        <f t="shared" si="964"/>
        <v>1</v>
      </c>
      <c r="J1228" s="44" t="str">
        <f t="shared" si="979"/>
        <v/>
      </c>
      <c r="K1228" t="s">
        <v>7</v>
      </c>
      <c r="L1228" t="s">
        <v>172</v>
      </c>
      <c r="M1228" t="s">
        <v>67</v>
      </c>
      <c r="S1228">
        <v>664</v>
      </c>
      <c r="W1228" t="str">
        <f t="shared" si="955"/>
        <v>h</v>
      </c>
      <c r="X1228">
        <v>15</v>
      </c>
      <c r="Y1228" t="b">
        <f>IF(X1228&lt;&gt;"",VLOOKUP(X1228,game_rosters!$C$43:$E$64,3,FALSE))</f>
        <v>0</v>
      </c>
      <c r="Z1228" cm="1">
        <f t="array" ref="Z1228">IFERROR(IF(_xlfn._xlws.FILTER(game_rosters!$J:$J,(game_rosters!$G:$G=events!$AN1228)*(game_rosters!$J:$J=events!$X1228))&gt;0,1,""),"")</f>
        <v>1</v>
      </c>
      <c r="AA1228">
        <f t="shared" si="913"/>
        <v>1664</v>
      </c>
      <c r="AB1228" t="str">
        <f t="shared" si="914"/>
        <v/>
      </c>
      <c r="AC1228">
        <f t="shared" si="952"/>
        <v>1664</v>
      </c>
      <c r="AD1228" s="6">
        <v>2</v>
      </c>
      <c r="AE1228" t="s">
        <v>936</v>
      </c>
      <c r="AF1228" t="s">
        <v>750</v>
      </c>
      <c r="AG1228" t="s">
        <v>756</v>
      </c>
      <c r="AH1228" t="s">
        <v>756</v>
      </c>
      <c r="AI1228" t="s">
        <v>368</v>
      </c>
      <c r="AJ1228" t="str">
        <f t="shared" ref="AJ1228:AK1228" si="986">IF($J1228&lt;&gt;"",$J1228,IF($AC1228=$AC1227,AJ1227,""))</f>
        <v/>
      </c>
      <c r="AK1228" t="str">
        <f t="shared" si="986"/>
        <v/>
      </c>
      <c r="AL1228" t="str">
        <f t="shared" si="957"/>
        <v/>
      </c>
      <c r="AN1228" t="s">
        <v>861</v>
      </c>
      <c r="AO1228" t="str">
        <f t="shared" si="958"/>
        <v>h</v>
      </c>
      <c r="AP1228" t="str">
        <f t="shared" si="966"/>
        <v/>
      </c>
      <c r="AQ1228" t="str">
        <f t="shared" si="967"/>
        <v/>
      </c>
      <c r="AR1228" t="str">
        <f t="shared" si="968"/>
        <v>Home</v>
      </c>
      <c r="AS1228" t="str">
        <f t="shared" si="969"/>
        <v>h</v>
      </c>
      <c r="AT1228" t="str">
        <f t="shared" si="970"/>
        <v>Defensive</v>
      </c>
      <c r="BA1228" s="6">
        <f t="shared" si="959"/>
        <v>297</v>
      </c>
      <c r="BB1228">
        <f t="shared" si="960"/>
        <v>18981</v>
      </c>
      <c r="BC1228" t="str">
        <f t="shared" si="961"/>
        <v>Nelson</v>
      </c>
      <c r="BD1228" t="str">
        <f t="shared" si="962"/>
        <v>Velodrome</v>
      </c>
      <c r="BE1228" t="s">
        <v>7</v>
      </c>
      <c r="BF1228" t="s">
        <v>172</v>
      </c>
      <c r="BG1228" t="s">
        <v>67</v>
      </c>
      <c r="BI1228" cm="1">
        <f t="array" ref="BI1228">IFERROR(_xlfn._xlws.FILTER(shifts!A:A,(shifts!B:B=events!AD1228)*(shifts!AG:AG&gt;=events!BK1228)*(shifts!AH:AH&lt;=events!BL1228)),BI1227)</f>
        <v>56</v>
      </c>
      <c r="BJ1228" s="15">
        <f t="shared" si="963"/>
        <v>0</v>
      </c>
      <c r="BK1228">
        <f t="shared" si="971"/>
        <v>515</v>
      </c>
      <c r="BL1228">
        <f t="shared" si="972"/>
        <v>515</v>
      </c>
      <c r="BM1228" s="15">
        <f>SUMIFS(BJ$2:BJ1228,K$2:K1228,"=Intermission")+SUMIFS(BJ$2:BJ1228,K$2:K1228,"=Timeout")</f>
        <v>72</v>
      </c>
      <c r="BN1228">
        <f t="shared" si="973"/>
        <v>1152</v>
      </c>
      <c r="BO1228" s="19">
        <f t="shared" si="974"/>
        <v>1717</v>
      </c>
      <c r="BP1228">
        <f t="shared" si="975"/>
        <v>1712</v>
      </c>
      <c r="BQ1228" s="17">
        <f t="shared" si="976"/>
        <v>1717</v>
      </c>
      <c r="BR1228" t="str">
        <f t="shared" si="977"/>
        <v>opp_team_player_1</v>
      </c>
      <c r="BS1228">
        <f>COUNTIFS(S$3:S1228,"="&amp;S1228,AI$3:AI1228,"="&amp;AI1228)</f>
        <v>1</v>
      </c>
      <c r="BT1228" t="str">
        <f>IFERROR(VLOOKUP(BB1228&amp;BU1228&amp;X1228,game_rosters!U:W,3,FALSE),"")</f>
        <v>P100071</v>
      </c>
      <c r="BU1228" t="s">
        <v>944</v>
      </c>
    </row>
    <row r="1229" spans="1:73" x14ac:dyDescent="0.2">
      <c r="A1229">
        <f t="shared" si="964"/>
        <v>1</v>
      </c>
      <c r="J1229" s="44" t="str">
        <f t="shared" si="979"/>
        <v>o</v>
      </c>
      <c r="K1229" t="s">
        <v>6</v>
      </c>
      <c r="L1229" t="s">
        <v>205</v>
      </c>
      <c r="M1229" t="s">
        <v>53</v>
      </c>
      <c r="S1229">
        <v>665</v>
      </c>
      <c r="W1229" t="str">
        <f t="shared" si="955"/>
        <v>h</v>
      </c>
      <c r="X1229">
        <v>15</v>
      </c>
      <c r="Y1229" t="b">
        <f>IF(X1229&lt;&gt;"",VLOOKUP(X1229,game_rosters!$C$43:$E$64,3,FALSE))</f>
        <v>0</v>
      </c>
      <c r="Z1229" cm="1">
        <f t="array" ref="Z1229">IFERROR(IF(_xlfn._xlws.FILTER(game_rosters!$J:$J,(game_rosters!$G:$G=events!$AN1229)*(game_rosters!$J:$J=events!$X1229))&gt;0,1,""),"")</f>
        <v>1</v>
      </c>
      <c r="AA1229">
        <f t="shared" si="913"/>
        <v>1665</v>
      </c>
      <c r="AB1229" t="str">
        <f t="shared" si="914"/>
        <v/>
      </c>
      <c r="AC1229">
        <f t="shared" si="952"/>
        <v>1665</v>
      </c>
      <c r="AD1229" s="6">
        <v>2</v>
      </c>
      <c r="AE1229" t="s">
        <v>936</v>
      </c>
      <c r="AF1229" t="s">
        <v>929</v>
      </c>
      <c r="AG1229" t="s">
        <v>756</v>
      </c>
      <c r="AH1229" t="s">
        <v>756</v>
      </c>
      <c r="AI1229" t="s">
        <v>367</v>
      </c>
      <c r="AJ1229" t="str">
        <f t="shared" ref="AJ1229:AK1229" si="987">IF($J1229&lt;&gt;"",$J1229,IF($AC1229=$AC1228,AJ1228,""))</f>
        <v>o</v>
      </c>
      <c r="AK1229" t="str">
        <f t="shared" si="987"/>
        <v>o</v>
      </c>
      <c r="AL1229" t="str">
        <f t="shared" si="957"/>
        <v>o</v>
      </c>
      <c r="AN1229" t="s">
        <v>861</v>
      </c>
      <c r="AO1229" t="str">
        <f t="shared" si="958"/>
        <v>h</v>
      </c>
      <c r="AP1229" t="str">
        <f t="shared" si="966"/>
        <v>o</v>
      </c>
      <c r="AQ1229" t="str">
        <f t="shared" si="967"/>
        <v/>
      </c>
      <c r="AR1229" t="str">
        <f t="shared" si="968"/>
        <v>Home</v>
      </c>
      <c r="AS1229" t="str">
        <f t="shared" si="969"/>
        <v>h</v>
      </c>
      <c r="AT1229" t="str">
        <f t="shared" si="970"/>
        <v>Offensive</v>
      </c>
      <c r="BA1229" s="6">
        <f t="shared" si="959"/>
        <v>297</v>
      </c>
      <c r="BB1229">
        <f t="shared" si="960"/>
        <v>18981</v>
      </c>
      <c r="BC1229" t="str">
        <f t="shared" si="961"/>
        <v>Nelson</v>
      </c>
      <c r="BD1229" t="str">
        <f t="shared" si="962"/>
        <v>Velodrome</v>
      </c>
      <c r="BE1229" t="s">
        <v>6</v>
      </c>
      <c r="BF1229" t="s">
        <v>205</v>
      </c>
      <c r="BG1229" t="s">
        <v>53</v>
      </c>
      <c r="BI1229" cm="1">
        <f t="array" ref="BI1229">IFERROR(_xlfn._xlws.FILTER(shifts!A:A,(shifts!B:B=events!AD1229)*(shifts!AG:AG&gt;=events!BK1229)*(shifts!AH:AH&lt;=events!BL1229)),BI1228)</f>
        <v>56</v>
      </c>
      <c r="BJ1229" s="15">
        <f t="shared" si="963"/>
        <v>0</v>
      </c>
      <c r="BK1229">
        <f t="shared" si="971"/>
        <v>514</v>
      </c>
      <c r="BL1229">
        <f t="shared" si="972"/>
        <v>514</v>
      </c>
      <c r="BM1229" s="15">
        <f>SUMIFS(BJ$2:BJ1229,K$2:K1229,"=Intermission")+SUMIFS(BJ$2:BJ1229,K$2:K1229,"=Timeout")</f>
        <v>72</v>
      </c>
      <c r="BN1229">
        <f t="shared" si="973"/>
        <v>1152</v>
      </c>
      <c r="BO1229" s="19">
        <f t="shared" si="974"/>
        <v>1718</v>
      </c>
      <c r="BP1229">
        <f t="shared" si="975"/>
        <v>1713</v>
      </c>
      <c r="BQ1229" s="17">
        <f t="shared" si="976"/>
        <v>1718</v>
      </c>
      <c r="BR1229" t="str">
        <f t="shared" si="977"/>
        <v>event_team_player_1</v>
      </c>
      <c r="BS1229">
        <f>COUNTIFS(S$3:S1229,"="&amp;S1229,AI$3:AI1229,"="&amp;AI1229)</f>
        <v>1</v>
      </c>
      <c r="BT1229" t="str">
        <f>IFERROR(VLOOKUP(BB1229&amp;BU1229&amp;X1229,game_rosters!U:W,3,FALSE),"")</f>
        <v>P100071</v>
      </c>
      <c r="BU1229" t="str">
        <f t="shared" si="978"/>
        <v>Nelson</v>
      </c>
    </row>
    <row r="1230" spans="1:73" x14ac:dyDescent="0.2">
      <c r="A1230">
        <f t="shared" si="964"/>
        <v>1</v>
      </c>
      <c r="J1230" s="44" t="str">
        <f t="shared" si="979"/>
        <v>o</v>
      </c>
      <c r="K1230" t="s">
        <v>6</v>
      </c>
      <c r="L1230" t="s">
        <v>205</v>
      </c>
      <c r="M1230" t="s">
        <v>53</v>
      </c>
      <c r="S1230">
        <v>665</v>
      </c>
      <c r="W1230" t="str">
        <f t="shared" si="955"/>
        <v>h</v>
      </c>
      <c r="X1230">
        <v>39</v>
      </c>
      <c r="Y1230" t="e">
        <f>IF(X1230&lt;&gt;"",VLOOKUP(X1230,game_rosters!$C$43:$E$64,3,FALSE))</f>
        <v>#N/A</v>
      </c>
      <c r="Z1230" t="str" cm="1">
        <f t="array" ref="Z1230">IFERROR(IF(_xlfn._xlws.FILTER(game_rosters!$J:$J,(game_rosters!$G:$G=events!$AN1230)*(game_rosters!$J:$J=events!$X1230))&gt;0,1,""),"")</f>
        <v/>
      </c>
      <c r="AA1230">
        <f t="shared" si="913"/>
        <v>1665</v>
      </c>
      <c r="AB1230" t="str">
        <f t="shared" si="914"/>
        <v/>
      </c>
      <c r="AC1230">
        <f t="shared" si="952"/>
        <v>1665</v>
      </c>
      <c r="AD1230" s="6">
        <v>2</v>
      </c>
      <c r="AE1230" t="s">
        <v>936</v>
      </c>
      <c r="AF1230" t="s">
        <v>929</v>
      </c>
      <c r="AG1230" t="s">
        <v>756</v>
      </c>
      <c r="AH1230" t="s">
        <v>756</v>
      </c>
      <c r="AI1230" t="s">
        <v>368</v>
      </c>
      <c r="AJ1230" t="str">
        <f t="shared" ref="AJ1230:AK1230" si="988">IF($J1230&lt;&gt;"",$J1230,IF($AC1230=$AC1229,AJ1229,""))</f>
        <v>o</v>
      </c>
      <c r="AK1230" t="str">
        <f t="shared" si="988"/>
        <v>o</v>
      </c>
      <c r="AL1230" t="str">
        <f t="shared" si="957"/>
        <v>o</v>
      </c>
      <c r="AN1230" t="s">
        <v>861</v>
      </c>
      <c r="AO1230" t="str">
        <f t="shared" si="958"/>
        <v>h</v>
      </c>
      <c r="AP1230" t="str">
        <f t="shared" si="966"/>
        <v>o</v>
      </c>
      <c r="AQ1230" t="str">
        <f t="shared" si="967"/>
        <v/>
      </c>
      <c r="AR1230" t="str">
        <f t="shared" si="968"/>
        <v>Home</v>
      </c>
      <c r="AS1230" t="str">
        <f t="shared" si="969"/>
        <v>h</v>
      </c>
      <c r="AT1230" t="str">
        <f t="shared" si="970"/>
        <v>Defensive</v>
      </c>
      <c r="BA1230" s="6">
        <f t="shared" si="959"/>
        <v>297</v>
      </c>
      <c r="BB1230">
        <f t="shared" si="960"/>
        <v>18981</v>
      </c>
      <c r="BC1230" t="str">
        <f t="shared" si="961"/>
        <v>Nelson</v>
      </c>
      <c r="BD1230" t="str">
        <f t="shared" si="962"/>
        <v>Velodrome</v>
      </c>
      <c r="BE1230" t="s">
        <v>6</v>
      </c>
      <c r="BF1230" t="s">
        <v>205</v>
      </c>
      <c r="BG1230" t="s">
        <v>53</v>
      </c>
      <c r="BI1230" cm="1">
        <f t="array" ref="BI1230">IFERROR(_xlfn._xlws.FILTER(shifts!A:A,(shifts!B:B=events!AD1230)*(shifts!AG:AG&gt;=events!BK1230)*(shifts!AH:AH&lt;=events!BL1230)),BI1229)</f>
        <v>56</v>
      </c>
      <c r="BJ1230" s="15">
        <f t="shared" si="963"/>
        <v>0</v>
      </c>
      <c r="BK1230">
        <f t="shared" si="971"/>
        <v>514</v>
      </c>
      <c r="BL1230">
        <f t="shared" si="972"/>
        <v>514</v>
      </c>
      <c r="BM1230" s="15">
        <f>SUMIFS(BJ$2:BJ1230,K$2:K1230,"=Intermission")+SUMIFS(BJ$2:BJ1230,K$2:K1230,"=Timeout")</f>
        <v>72</v>
      </c>
      <c r="BN1230">
        <f t="shared" si="973"/>
        <v>1152</v>
      </c>
      <c r="BO1230" s="19">
        <f t="shared" si="974"/>
        <v>1718</v>
      </c>
      <c r="BP1230">
        <f t="shared" si="975"/>
        <v>1713</v>
      </c>
      <c r="BQ1230" s="17">
        <f t="shared" si="976"/>
        <v>1718</v>
      </c>
      <c r="BR1230" t="str">
        <f t="shared" si="977"/>
        <v>opp_team_player_1</v>
      </c>
      <c r="BS1230">
        <f>COUNTIFS(S$3:S1230,"="&amp;S1230,AI$3:AI1230,"="&amp;AI1230)</f>
        <v>1</v>
      </c>
      <c r="BT1230" t="str">
        <f>IFERROR(VLOOKUP(BB1230&amp;BU1230&amp;X1230,game_rosters!U:W,3,FALSE),"")</f>
        <v>P100016</v>
      </c>
      <c r="BU1230" t="str">
        <f t="shared" si="978"/>
        <v>Velodrome</v>
      </c>
    </row>
    <row r="1231" spans="1:73" x14ac:dyDescent="0.2">
      <c r="A1231">
        <f t="shared" si="964"/>
        <v>1</v>
      </c>
      <c r="J1231" s="44" t="str">
        <f t="shared" si="979"/>
        <v>d</v>
      </c>
      <c r="K1231" t="s">
        <v>15</v>
      </c>
      <c r="L1231" t="s">
        <v>189</v>
      </c>
      <c r="M1231" t="s">
        <v>100</v>
      </c>
      <c r="S1231">
        <v>666</v>
      </c>
      <c r="W1231" t="str">
        <f t="shared" si="955"/>
        <v>a</v>
      </c>
      <c r="X1231">
        <v>39</v>
      </c>
      <c r="Y1231" t="e">
        <f>IF(X1231&lt;&gt;"",VLOOKUP(X1231,game_rosters!$C$43:$E$64,3,FALSE))</f>
        <v>#N/A</v>
      </c>
      <c r="Z1231" cm="1">
        <f t="array" ref="Z1231">IFERROR(IF(_xlfn._xlws.FILTER(game_rosters!$J:$J,(game_rosters!$G:$G=events!$AN1231)*(game_rosters!$J:$J=events!$X1231))&gt;0,1,""),"")</f>
        <v>1</v>
      </c>
      <c r="AA1231">
        <f t="shared" si="913"/>
        <v>1666</v>
      </c>
      <c r="AB1231" t="str">
        <f t="shared" si="914"/>
        <v/>
      </c>
      <c r="AC1231">
        <f t="shared" si="952"/>
        <v>1666</v>
      </c>
      <c r="AD1231" s="6">
        <v>2</v>
      </c>
      <c r="AE1231" t="s">
        <v>936</v>
      </c>
      <c r="AF1231" t="s">
        <v>929</v>
      </c>
      <c r="AG1231" t="s">
        <v>756</v>
      </c>
      <c r="AH1231" t="s">
        <v>756</v>
      </c>
      <c r="AI1231" t="s">
        <v>367</v>
      </c>
      <c r="AJ1231" t="str">
        <f t="shared" ref="AJ1231:AK1231" si="989">IF($J1231&lt;&gt;"",$J1231,IF($AC1231=$AC1230,AJ1230,""))</f>
        <v>d</v>
      </c>
      <c r="AK1231" t="str">
        <f t="shared" si="989"/>
        <v>d</v>
      </c>
      <c r="AL1231" t="str">
        <f t="shared" si="957"/>
        <v>o</v>
      </c>
      <c r="AN1231" t="s">
        <v>862</v>
      </c>
      <c r="AO1231" t="str">
        <f t="shared" si="958"/>
        <v>a</v>
      </c>
      <c r="AP1231" t="str">
        <f t="shared" si="966"/>
        <v>o</v>
      </c>
      <c r="AQ1231" t="str">
        <f t="shared" si="967"/>
        <v/>
      </c>
      <c r="AR1231" t="str">
        <f t="shared" si="968"/>
        <v>Away</v>
      </c>
      <c r="AS1231" t="str">
        <f t="shared" si="969"/>
        <v>a</v>
      </c>
      <c r="AT1231" t="str">
        <f t="shared" si="970"/>
        <v>Defensive</v>
      </c>
      <c r="BA1231" s="6">
        <f t="shared" si="959"/>
        <v>297</v>
      </c>
      <c r="BB1231">
        <f t="shared" si="960"/>
        <v>18981</v>
      </c>
      <c r="BC1231" t="str">
        <f t="shared" si="961"/>
        <v>Nelson</v>
      </c>
      <c r="BD1231" t="str">
        <f t="shared" si="962"/>
        <v>Velodrome</v>
      </c>
      <c r="BE1231" t="s">
        <v>15</v>
      </c>
      <c r="BF1231" t="s">
        <v>189</v>
      </c>
      <c r="BG1231" t="s">
        <v>100</v>
      </c>
      <c r="BI1231" cm="1">
        <f t="array" ref="BI1231">IFERROR(_xlfn._xlws.FILTER(shifts!A:A,(shifts!B:B=events!AD1231)*(shifts!AG:AG&gt;=events!BK1231)*(shifts!AH:AH&lt;=events!BL1231)),BI1230)</f>
        <v>56</v>
      </c>
      <c r="BJ1231" s="15">
        <f t="shared" si="963"/>
        <v>0</v>
      </c>
      <c r="BK1231">
        <f t="shared" si="971"/>
        <v>514</v>
      </c>
      <c r="BL1231">
        <f t="shared" si="972"/>
        <v>514</v>
      </c>
      <c r="BM1231" s="15">
        <f>SUMIFS(BJ$2:BJ1231,K$2:K1231,"=Intermission")+SUMIFS(BJ$2:BJ1231,K$2:K1231,"=Timeout")</f>
        <v>72</v>
      </c>
      <c r="BN1231">
        <f t="shared" si="973"/>
        <v>1152</v>
      </c>
      <c r="BO1231" s="19">
        <f t="shared" si="974"/>
        <v>1718</v>
      </c>
      <c r="BP1231">
        <f t="shared" si="975"/>
        <v>1713</v>
      </c>
      <c r="BQ1231" s="17">
        <f t="shared" si="976"/>
        <v>1718</v>
      </c>
      <c r="BR1231" t="str">
        <f t="shared" si="977"/>
        <v>event_team_player_1</v>
      </c>
      <c r="BS1231">
        <f>COUNTIFS(S$3:S1231,"="&amp;S1231,AI$3:AI1231,"="&amp;AI1231)</f>
        <v>1</v>
      </c>
      <c r="BT1231" t="str">
        <f>IFERROR(VLOOKUP(BB1231&amp;BU1231&amp;X1231,game_rosters!U:W,3,FALSE),"")</f>
        <v>P100016</v>
      </c>
      <c r="BU1231" t="str">
        <f t="shared" si="978"/>
        <v>Velodrome</v>
      </c>
    </row>
    <row r="1232" spans="1:73" x14ac:dyDescent="0.2">
      <c r="A1232">
        <f t="shared" si="964"/>
        <v>1</v>
      </c>
      <c r="J1232" s="44" t="str">
        <f t="shared" si="979"/>
        <v>d</v>
      </c>
      <c r="K1232" t="s">
        <v>15</v>
      </c>
      <c r="L1232" t="s">
        <v>189</v>
      </c>
      <c r="M1232" t="s">
        <v>100</v>
      </c>
      <c r="S1232">
        <v>666</v>
      </c>
      <c r="W1232" t="str">
        <f t="shared" si="955"/>
        <v>a</v>
      </c>
      <c r="X1232">
        <v>15</v>
      </c>
      <c r="Y1232" t="b">
        <f>IF(X1232&lt;&gt;"",VLOOKUP(X1232,game_rosters!$C$43:$E$64,3,FALSE))</f>
        <v>0</v>
      </c>
      <c r="Z1232" t="str" cm="1">
        <f t="array" ref="Z1232">IFERROR(IF(_xlfn._xlws.FILTER(game_rosters!$J:$J,(game_rosters!$G:$G=events!$AN1232)*(game_rosters!$J:$J=events!$X1232))&gt;0,1,""),"")</f>
        <v/>
      </c>
      <c r="AA1232">
        <f t="shared" si="913"/>
        <v>1666</v>
      </c>
      <c r="AB1232" t="str">
        <f t="shared" si="914"/>
        <v/>
      </c>
      <c r="AC1232">
        <f t="shared" si="952"/>
        <v>1666</v>
      </c>
      <c r="AD1232" s="6">
        <v>2</v>
      </c>
      <c r="AE1232" t="s">
        <v>936</v>
      </c>
      <c r="AF1232" t="s">
        <v>929</v>
      </c>
      <c r="AG1232" t="s">
        <v>756</v>
      </c>
      <c r="AH1232" t="s">
        <v>756</v>
      </c>
      <c r="AI1232" t="s">
        <v>368</v>
      </c>
      <c r="AJ1232" t="str">
        <f t="shared" ref="AJ1232:AK1232" si="990">IF($J1232&lt;&gt;"",$J1232,IF($AC1232=$AC1231,AJ1231,""))</f>
        <v>d</v>
      </c>
      <c r="AK1232" t="str">
        <f t="shared" si="990"/>
        <v>d</v>
      </c>
      <c r="AL1232" t="str">
        <f t="shared" si="957"/>
        <v>o</v>
      </c>
      <c r="AN1232" t="s">
        <v>862</v>
      </c>
      <c r="AO1232" t="str">
        <f t="shared" si="958"/>
        <v>a</v>
      </c>
      <c r="AP1232" t="str">
        <f t="shared" si="966"/>
        <v>o</v>
      </c>
      <c r="AQ1232" t="str">
        <f t="shared" si="967"/>
        <v/>
      </c>
      <c r="AR1232" t="str">
        <f t="shared" si="968"/>
        <v>Away</v>
      </c>
      <c r="AS1232" t="str">
        <f t="shared" si="969"/>
        <v>a</v>
      </c>
      <c r="AT1232" t="str">
        <f t="shared" si="970"/>
        <v>Offensive</v>
      </c>
      <c r="BA1232" s="6">
        <f t="shared" si="959"/>
        <v>297</v>
      </c>
      <c r="BB1232">
        <f t="shared" si="960"/>
        <v>18981</v>
      </c>
      <c r="BC1232" t="str">
        <f t="shared" si="961"/>
        <v>Nelson</v>
      </c>
      <c r="BD1232" t="str">
        <f t="shared" si="962"/>
        <v>Velodrome</v>
      </c>
      <c r="BE1232" t="s">
        <v>15</v>
      </c>
      <c r="BF1232" t="s">
        <v>189</v>
      </c>
      <c r="BG1232" t="s">
        <v>100</v>
      </c>
      <c r="BI1232" cm="1">
        <f t="array" ref="BI1232">IFERROR(_xlfn._xlws.FILTER(shifts!A:A,(shifts!B:B=events!AD1232)*(shifts!AG:AG&gt;=events!BK1232)*(shifts!AH:AH&lt;=events!BL1232)),BI1231)</f>
        <v>56</v>
      </c>
      <c r="BJ1232" s="15">
        <f t="shared" si="963"/>
        <v>0</v>
      </c>
      <c r="BK1232">
        <f t="shared" si="971"/>
        <v>514</v>
      </c>
      <c r="BL1232">
        <f t="shared" si="972"/>
        <v>514</v>
      </c>
      <c r="BM1232" s="15">
        <f>SUMIFS(BJ$2:BJ1232,K$2:K1232,"=Intermission")+SUMIFS(BJ$2:BJ1232,K$2:K1232,"=Timeout")</f>
        <v>72</v>
      </c>
      <c r="BN1232">
        <f t="shared" si="973"/>
        <v>1152</v>
      </c>
      <c r="BO1232" s="19">
        <f t="shared" si="974"/>
        <v>1718</v>
      </c>
      <c r="BP1232">
        <f t="shared" si="975"/>
        <v>1713</v>
      </c>
      <c r="BQ1232" s="17">
        <f t="shared" si="976"/>
        <v>1718</v>
      </c>
      <c r="BR1232" t="str">
        <f t="shared" si="977"/>
        <v>opp_team_player_1</v>
      </c>
      <c r="BS1232">
        <f>COUNTIFS(S$3:S1232,"="&amp;S1232,AI$3:AI1232,"="&amp;AI1232)</f>
        <v>1</v>
      </c>
      <c r="BT1232" t="str">
        <f>IFERROR(VLOOKUP(BB1232&amp;BU1232&amp;X1232,game_rosters!U:W,3,FALSE),"")</f>
        <v>P100071</v>
      </c>
      <c r="BU1232" t="str">
        <f t="shared" si="978"/>
        <v>Nelson</v>
      </c>
    </row>
    <row r="1233" spans="1:73" x14ac:dyDescent="0.2">
      <c r="A1233">
        <f t="shared" si="964"/>
        <v>1</v>
      </c>
      <c r="J1233" s="44" t="str">
        <f t="shared" si="979"/>
        <v>d</v>
      </c>
      <c r="K1233" t="s">
        <v>11</v>
      </c>
      <c r="L1233" t="s">
        <v>187</v>
      </c>
      <c r="M1233" t="s">
        <v>108</v>
      </c>
      <c r="S1233">
        <v>667</v>
      </c>
      <c r="W1233" t="str">
        <f t="shared" si="955"/>
        <v>a</v>
      </c>
      <c r="X1233">
        <v>39</v>
      </c>
      <c r="Y1233" t="e">
        <f>IF(X1233&lt;&gt;"",VLOOKUP(X1233,game_rosters!$C$43:$E$64,3,FALSE))</f>
        <v>#N/A</v>
      </c>
      <c r="Z1233" cm="1">
        <f t="array" ref="Z1233">IFERROR(IF(_xlfn._xlws.FILTER(game_rosters!$J:$J,(game_rosters!$G:$G=events!$AN1233)*(game_rosters!$J:$J=events!$X1233))&gt;0,1,""),"")</f>
        <v>1</v>
      </c>
      <c r="AA1233">
        <f t="shared" si="913"/>
        <v>1667</v>
      </c>
      <c r="AB1233" t="str">
        <f t="shared" si="914"/>
        <v/>
      </c>
      <c r="AC1233">
        <f t="shared" si="952"/>
        <v>1667</v>
      </c>
      <c r="AD1233" s="6">
        <v>2</v>
      </c>
      <c r="AE1233" t="s">
        <v>936</v>
      </c>
      <c r="AF1233" t="s">
        <v>929</v>
      </c>
      <c r="AG1233" t="s">
        <v>756</v>
      </c>
      <c r="AH1233" t="s">
        <v>756</v>
      </c>
      <c r="AI1233" t="s">
        <v>367</v>
      </c>
      <c r="AJ1233" t="str">
        <f t="shared" ref="AJ1233:AK1233" si="991">IF($J1233&lt;&gt;"",$J1233,IF($AC1233=$AC1232,AJ1232,""))</f>
        <v>d</v>
      </c>
      <c r="AK1233" t="str">
        <f t="shared" si="991"/>
        <v>d</v>
      </c>
      <c r="AL1233" t="str">
        <f t="shared" si="957"/>
        <v>o</v>
      </c>
      <c r="AN1233" t="s">
        <v>862</v>
      </c>
      <c r="AO1233" t="str">
        <f t="shared" si="958"/>
        <v>a</v>
      </c>
      <c r="AP1233" t="str">
        <f t="shared" si="966"/>
        <v>o</v>
      </c>
      <c r="AQ1233" t="str">
        <f t="shared" si="967"/>
        <v/>
      </c>
      <c r="AR1233" t="str">
        <f t="shared" si="968"/>
        <v>Away</v>
      </c>
      <c r="AS1233" t="str">
        <f t="shared" si="969"/>
        <v>a</v>
      </c>
      <c r="AT1233" t="str">
        <f t="shared" si="970"/>
        <v/>
      </c>
      <c r="BA1233" s="6">
        <f t="shared" si="959"/>
        <v>297</v>
      </c>
      <c r="BB1233">
        <f t="shared" si="960"/>
        <v>18981</v>
      </c>
      <c r="BC1233" t="str">
        <f t="shared" si="961"/>
        <v>Nelson</v>
      </c>
      <c r="BD1233" t="str">
        <f t="shared" si="962"/>
        <v>Velodrome</v>
      </c>
      <c r="BE1233" t="s">
        <v>11</v>
      </c>
      <c r="BF1233" t="s">
        <v>187</v>
      </c>
      <c r="BG1233" t="s">
        <v>108</v>
      </c>
      <c r="BI1233" cm="1">
        <f t="array" ref="BI1233">IFERROR(_xlfn._xlws.FILTER(shifts!A:A,(shifts!B:B=events!AD1233)*(shifts!AG:AG&gt;=events!BK1233)*(shifts!AH:AH&lt;=events!BL1233)),BI1232)</f>
        <v>56</v>
      </c>
      <c r="BJ1233" s="15">
        <f t="shared" si="963"/>
        <v>0</v>
      </c>
      <c r="BK1233">
        <f t="shared" si="971"/>
        <v>514</v>
      </c>
      <c r="BL1233">
        <f t="shared" si="972"/>
        <v>514</v>
      </c>
      <c r="BM1233" s="15">
        <f>SUMIFS(BJ$2:BJ1233,K$2:K1233,"=Intermission")+SUMIFS(BJ$2:BJ1233,K$2:K1233,"=Timeout")</f>
        <v>72</v>
      </c>
      <c r="BN1233">
        <f t="shared" si="973"/>
        <v>1152</v>
      </c>
      <c r="BO1233" s="19">
        <f t="shared" si="974"/>
        <v>1718</v>
      </c>
      <c r="BP1233">
        <f t="shared" si="975"/>
        <v>1713</v>
      </c>
      <c r="BQ1233" s="17">
        <f t="shared" si="976"/>
        <v>1718</v>
      </c>
      <c r="BR1233" t="str">
        <f t="shared" si="977"/>
        <v>event_team_player_1</v>
      </c>
      <c r="BS1233">
        <f>COUNTIFS(S$3:S1233,"="&amp;S1233,AI$3:AI1233,"="&amp;AI1233)</f>
        <v>1</v>
      </c>
      <c r="BT1233" t="str">
        <f>IFERROR(VLOOKUP(BB1233&amp;BU1233&amp;X1233,game_rosters!U:W,3,FALSE),"")</f>
        <v>P100016</v>
      </c>
      <c r="BU1233" t="str">
        <f t="shared" si="978"/>
        <v>Velodrome</v>
      </c>
    </row>
    <row r="1234" spans="1:73" x14ac:dyDescent="0.2">
      <c r="A1234">
        <f t="shared" si="964"/>
        <v>1</v>
      </c>
      <c r="J1234" s="44" t="str">
        <f t="shared" si="979"/>
        <v>d</v>
      </c>
      <c r="K1234" t="s">
        <v>241</v>
      </c>
      <c r="L1234" t="s">
        <v>756</v>
      </c>
      <c r="M1234" t="s">
        <v>756</v>
      </c>
      <c r="S1234">
        <v>668</v>
      </c>
      <c r="W1234" t="str">
        <f t="shared" si="955"/>
        <v>a</v>
      </c>
      <c r="X1234">
        <v>39</v>
      </c>
      <c r="Y1234" t="e">
        <f>IF(X1234&lt;&gt;"",VLOOKUP(X1234,game_rosters!$C$43:$E$64,3,FALSE))</f>
        <v>#N/A</v>
      </c>
      <c r="Z1234" cm="1">
        <f t="array" ref="Z1234">IFERROR(IF(_xlfn._xlws.FILTER(game_rosters!$J:$J,(game_rosters!$G:$G=events!$AN1234)*(game_rosters!$J:$J=events!$X1234))&gt;0,1,""),"")</f>
        <v>1</v>
      </c>
      <c r="AA1234">
        <f t="shared" si="913"/>
        <v>1668</v>
      </c>
      <c r="AB1234" t="str">
        <f t="shared" si="914"/>
        <v/>
      </c>
      <c r="AC1234">
        <f t="shared" si="952"/>
        <v>1668</v>
      </c>
      <c r="AD1234" s="6">
        <v>2</v>
      </c>
      <c r="AE1234" t="s">
        <v>936</v>
      </c>
      <c r="AF1234" t="s">
        <v>929</v>
      </c>
      <c r="AG1234" t="s">
        <v>936</v>
      </c>
      <c r="AH1234" t="s">
        <v>920</v>
      </c>
      <c r="AI1234" t="s">
        <v>367</v>
      </c>
      <c r="AJ1234" t="str">
        <f t="shared" ref="AJ1234:AK1234" si="992">IF($J1234&lt;&gt;"",$J1234,IF($AC1234=$AC1233,AJ1233,""))</f>
        <v>d</v>
      </c>
      <c r="AK1234" t="str">
        <f t="shared" si="992"/>
        <v>d</v>
      </c>
      <c r="AL1234" t="str">
        <f t="shared" si="957"/>
        <v>o</v>
      </c>
      <c r="AN1234" t="s">
        <v>862</v>
      </c>
      <c r="AO1234" t="str">
        <f t="shared" si="958"/>
        <v>a</v>
      </c>
      <c r="AP1234" t="str">
        <f t="shared" si="966"/>
        <v>o</v>
      </c>
      <c r="AQ1234" t="str">
        <f t="shared" si="967"/>
        <v/>
      </c>
      <c r="AR1234" t="str">
        <f t="shared" si="968"/>
        <v>Away</v>
      </c>
      <c r="AS1234" t="str">
        <f t="shared" si="969"/>
        <v>a</v>
      </c>
      <c r="AT1234" t="str">
        <f t="shared" si="970"/>
        <v/>
      </c>
      <c r="BA1234" s="6">
        <f t="shared" si="959"/>
        <v>297</v>
      </c>
      <c r="BB1234">
        <f t="shared" si="960"/>
        <v>18981</v>
      </c>
      <c r="BC1234" t="str">
        <f t="shared" si="961"/>
        <v>Nelson</v>
      </c>
      <c r="BD1234" t="str">
        <f t="shared" si="962"/>
        <v>Velodrome</v>
      </c>
      <c r="BE1234" t="s">
        <v>241</v>
      </c>
      <c r="BF1234" t="s">
        <v>756</v>
      </c>
      <c r="BG1234" t="s">
        <v>756</v>
      </c>
      <c r="BI1234" cm="1">
        <f t="array" ref="BI1234">IFERROR(_xlfn._xlws.FILTER(shifts!A:A,(shifts!B:B=events!AD1234)*(shifts!AG:AG&gt;=events!BK1234)*(shifts!AH:AH&lt;=events!BL1234)),BI1233)</f>
        <v>56</v>
      </c>
      <c r="BJ1234" s="15">
        <f t="shared" si="963"/>
        <v>25</v>
      </c>
      <c r="BK1234">
        <f t="shared" si="971"/>
        <v>514</v>
      </c>
      <c r="BL1234">
        <f t="shared" si="972"/>
        <v>489</v>
      </c>
      <c r="BM1234" s="15">
        <f>SUMIFS(BJ$2:BJ1234,K$2:K1234,"=Intermission")+SUMIFS(BJ$2:BJ1234,K$2:K1234,"=Timeout")</f>
        <v>72</v>
      </c>
      <c r="BN1234">
        <f t="shared" si="973"/>
        <v>1152</v>
      </c>
      <c r="BO1234" s="19">
        <f t="shared" si="974"/>
        <v>1718</v>
      </c>
      <c r="BP1234">
        <f t="shared" si="975"/>
        <v>1713</v>
      </c>
      <c r="BQ1234" s="17">
        <f t="shared" si="976"/>
        <v>1743</v>
      </c>
      <c r="BR1234" t="str">
        <f t="shared" si="977"/>
        <v>event_team_player_1</v>
      </c>
      <c r="BS1234">
        <f>COUNTIFS(S$3:S1234,"="&amp;S1234,AI$3:AI1234,"="&amp;AI1234)</f>
        <v>1</v>
      </c>
      <c r="BT1234" t="str">
        <f>IFERROR(VLOOKUP(BB1234&amp;BU1234&amp;X1234,game_rosters!U:W,3,FALSE),"")</f>
        <v>P100016</v>
      </c>
      <c r="BU1234" t="str">
        <f t="shared" si="978"/>
        <v>Velodrome</v>
      </c>
    </row>
    <row r="1235" spans="1:73" x14ac:dyDescent="0.2">
      <c r="A1235">
        <f t="shared" si="964"/>
        <v>1</v>
      </c>
      <c r="J1235" s="44" t="str">
        <f t="shared" si="979"/>
        <v/>
      </c>
      <c r="K1235" t="s">
        <v>5</v>
      </c>
      <c r="L1235" t="s">
        <v>236</v>
      </c>
      <c r="M1235" t="s">
        <v>756</v>
      </c>
      <c r="S1235">
        <v>669</v>
      </c>
      <c r="W1235" t="str">
        <f t="shared" si="955"/>
        <v>h</v>
      </c>
      <c r="X1235">
        <v>79</v>
      </c>
      <c r="Y1235" t="b">
        <f>IF(X1235&lt;&gt;"",VLOOKUP(X1235,game_rosters!$C$43:$E$64,3,FALSE))</f>
        <v>0</v>
      </c>
      <c r="Z1235" cm="1">
        <f t="array" ref="Z1235">IFERROR(IF(_xlfn._xlws.FILTER(game_rosters!$J:$J,(game_rosters!$G:$G=events!$AN1235)*(game_rosters!$J:$J=events!$X1235))&gt;0,1,""),"")</f>
        <v>1</v>
      </c>
      <c r="AA1235">
        <f t="shared" si="913"/>
        <v>1669</v>
      </c>
      <c r="AB1235" t="str">
        <f t="shared" si="914"/>
        <v/>
      </c>
      <c r="AC1235">
        <f t="shared" si="952"/>
        <v>1669</v>
      </c>
      <c r="AD1235" s="6">
        <v>2</v>
      </c>
      <c r="AE1235" t="s">
        <v>936</v>
      </c>
      <c r="AF1235" t="s">
        <v>920</v>
      </c>
      <c r="AG1235" t="s">
        <v>756</v>
      </c>
      <c r="AH1235" t="s">
        <v>756</v>
      </c>
      <c r="AI1235" t="s">
        <v>367</v>
      </c>
      <c r="AJ1235" t="str">
        <f t="shared" ref="AJ1235:AK1235" si="993">IF($J1235&lt;&gt;"",$J1235,IF($AC1235=$AC1234,AJ1234,""))</f>
        <v/>
      </c>
      <c r="AK1235" t="str">
        <f t="shared" si="993"/>
        <v/>
      </c>
      <c r="AL1235" t="str">
        <f t="shared" si="957"/>
        <v/>
      </c>
      <c r="AN1235" t="s">
        <v>861</v>
      </c>
      <c r="AO1235" t="str">
        <f t="shared" si="958"/>
        <v>h</v>
      </c>
      <c r="AP1235" t="str">
        <f t="shared" si="966"/>
        <v/>
      </c>
      <c r="AQ1235" t="str">
        <f t="shared" si="967"/>
        <v/>
      </c>
      <c r="AR1235" t="str">
        <f t="shared" si="968"/>
        <v>Home</v>
      </c>
      <c r="AS1235" t="str">
        <f t="shared" si="969"/>
        <v>h</v>
      </c>
      <c r="AT1235" t="str">
        <f t="shared" si="970"/>
        <v>Offensive</v>
      </c>
      <c r="BA1235" s="6">
        <f t="shared" si="959"/>
        <v>297</v>
      </c>
      <c r="BB1235">
        <f t="shared" si="960"/>
        <v>18981</v>
      </c>
      <c r="BC1235" t="str">
        <f t="shared" si="961"/>
        <v>Nelson</v>
      </c>
      <c r="BD1235" t="str">
        <f t="shared" si="962"/>
        <v>Velodrome</v>
      </c>
      <c r="BE1235" t="s">
        <v>5</v>
      </c>
      <c r="BF1235" t="s">
        <v>236</v>
      </c>
      <c r="BG1235" t="s">
        <v>756</v>
      </c>
      <c r="BI1235" cm="1">
        <f t="array" ref="BI1235">IFERROR(_xlfn._xlws.FILTER(shifts!A:A,(shifts!B:B=events!AD1235)*(shifts!AG:AG&gt;=events!BK1235)*(shifts!AH:AH&lt;=events!BL1235)),BI1234)</f>
        <v>57</v>
      </c>
      <c r="BJ1235" s="15">
        <f t="shared" si="963"/>
        <v>0</v>
      </c>
      <c r="BK1235">
        <f t="shared" si="971"/>
        <v>489</v>
      </c>
      <c r="BL1235">
        <f t="shared" si="972"/>
        <v>489</v>
      </c>
      <c r="BM1235" s="15">
        <f>SUMIFS(BJ$2:BJ1235,K$2:K1235,"=Intermission")+SUMIFS(BJ$2:BJ1235,K$2:K1235,"=Timeout")</f>
        <v>72</v>
      </c>
      <c r="BN1235">
        <f t="shared" si="973"/>
        <v>1152</v>
      </c>
      <c r="BO1235" s="19">
        <f t="shared" si="974"/>
        <v>1743</v>
      </c>
      <c r="BP1235">
        <f t="shared" si="975"/>
        <v>1738</v>
      </c>
      <c r="BQ1235" s="17">
        <f t="shared" si="976"/>
        <v>1743</v>
      </c>
      <c r="BR1235" t="str">
        <f t="shared" si="977"/>
        <v>event_team_player_1</v>
      </c>
      <c r="BS1235">
        <f>COUNTIFS(S$3:S1235,"="&amp;S1235,AI$3:AI1235,"="&amp;AI1235)</f>
        <v>1</v>
      </c>
      <c r="BT1235" t="str">
        <f>IFERROR(VLOOKUP(BB1235&amp;BU1235&amp;X1235,game_rosters!U:W,3,FALSE),"")</f>
        <v>P100066</v>
      </c>
      <c r="BU1235" t="str">
        <f t="shared" si="978"/>
        <v>Nelson</v>
      </c>
    </row>
    <row r="1236" spans="1:73" x14ac:dyDescent="0.2">
      <c r="A1236">
        <f t="shared" si="964"/>
        <v>1</v>
      </c>
      <c r="J1236" s="44" t="str">
        <f t="shared" si="979"/>
        <v/>
      </c>
      <c r="K1236" t="s">
        <v>5</v>
      </c>
      <c r="L1236" t="s">
        <v>236</v>
      </c>
      <c r="M1236" t="s">
        <v>756</v>
      </c>
      <c r="S1236">
        <v>669</v>
      </c>
      <c r="W1236" t="str">
        <f t="shared" si="955"/>
        <v>h</v>
      </c>
      <c r="X1236">
        <v>23</v>
      </c>
      <c r="Y1236" t="b">
        <f>IF(X1236&lt;&gt;"",VLOOKUP(X1236,game_rosters!$C$43:$E$64,3,FALSE))</f>
        <v>0</v>
      </c>
      <c r="Z1236" cm="1">
        <f t="array" ref="Z1236">IFERROR(IF(_xlfn._xlws.FILTER(game_rosters!$J:$J,(game_rosters!$G:$G=events!$AN1236)*(game_rosters!$J:$J=events!$X1236))&gt;0,1,""),"")</f>
        <v>1</v>
      </c>
      <c r="AA1236">
        <f t="shared" si="913"/>
        <v>1669</v>
      </c>
      <c r="AB1236" t="str">
        <f t="shared" si="914"/>
        <v/>
      </c>
      <c r="AC1236">
        <f t="shared" si="952"/>
        <v>1669</v>
      </c>
      <c r="AD1236" s="6">
        <v>2</v>
      </c>
      <c r="AE1236" t="s">
        <v>936</v>
      </c>
      <c r="AF1236" t="s">
        <v>920</v>
      </c>
      <c r="AG1236" t="s">
        <v>756</v>
      </c>
      <c r="AH1236" t="s">
        <v>756</v>
      </c>
      <c r="AI1236" t="s">
        <v>367</v>
      </c>
      <c r="AJ1236" t="str">
        <f t="shared" ref="AJ1236:AK1236" si="994">IF($J1236&lt;&gt;"",$J1236,IF($AC1236=$AC1235,AJ1235,""))</f>
        <v/>
      </c>
      <c r="AK1236" t="str">
        <f t="shared" si="994"/>
        <v/>
      </c>
      <c r="AL1236" t="str">
        <f t="shared" si="957"/>
        <v/>
      </c>
      <c r="AN1236" t="s">
        <v>861</v>
      </c>
      <c r="AO1236" t="str">
        <f t="shared" si="958"/>
        <v>h</v>
      </c>
      <c r="AP1236" t="str">
        <f t="shared" si="966"/>
        <v/>
      </c>
      <c r="AQ1236" t="str">
        <f t="shared" si="967"/>
        <v/>
      </c>
      <c r="AR1236" t="str">
        <f t="shared" si="968"/>
        <v>Home</v>
      </c>
      <c r="AS1236" t="str">
        <f t="shared" si="969"/>
        <v>h</v>
      </c>
      <c r="AT1236" t="str">
        <f t="shared" si="970"/>
        <v>Offensive</v>
      </c>
      <c r="BA1236" s="6">
        <f t="shared" si="959"/>
        <v>297</v>
      </c>
      <c r="BB1236">
        <f t="shared" si="960"/>
        <v>18981</v>
      </c>
      <c r="BC1236" t="str">
        <f t="shared" si="961"/>
        <v>Nelson</v>
      </c>
      <c r="BD1236" t="str">
        <f t="shared" si="962"/>
        <v>Velodrome</v>
      </c>
      <c r="BE1236" t="s">
        <v>5</v>
      </c>
      <c r="BF1236" t="s">
        <v>236</v>
      </c>
      <c r="BG1236" t="s">
        <v>756</v>
      </c>
      <c r="BI1236" cm="1">
        <f t="array" ref="BI1236">IFERROR(_xlfn._xlws.FILTER(shifts!A:A,(shifts!B:B=events!AD1236)*(shifts!AG:AG&gt;=events!BK1236)*(shifts!AH:AH&lt;=events!BL1236)),BI1235)</f>
        <v>57</v>
      </c>
      <c r="BJ1236" s="15">
        <f t="shared" si="963"/>
        <v>0</v>
      </c>
      <c r="BK1236">
        <f t="shared" si="971"/>
        <v>489</v>
      </c>
      <c r="BL1236">
        <f t="shared" si="972"/>
        <v>489</v>
      </c>
      <c r="BM1236" s="15">
        <f>SUMIFS(BJ$2:BJ1236,K$2:K1236,"=Intermission")+SUMIFS(BJ$2:BJ1236,K$2:K1236,"=Timeout")</f>
        <v>72</v>
      </c>
      <c r="BN1236">
        <f t="shared" si="973"/>
        <v>1152</v>
      </c>
      <c r="BO1236" s="19">
        <f t="shared" si="974"/>
        <v>1743</v>
      </c>
      <c r="BP1236">
        <f t="shared" si="975"/>
        <v>1738</v>
      </c>
      <c r="BQ1236" s="17">
        <f t="shared" si="976"/>
        <v>1743</v>
      </c>
      <c r="BR1236" t="str">
        <f t="shared" si="977"/>
        <v>event_team_player_2</v>
      </c>
      <c r="BS1236">
        <f>COUNTIFS(S$3:S1236,"="&amp;S1236,AI$3:AI1236,"="&amp;AI1236)</f>
        <v>2</v>
      </c>
      <c r="BT1236" t="str">
        <f>IFERROR(VLOOKUP(BB1236&amp;BU1236&amp;X1236,game_rosters!U:W,3,FALSE),"")</f>
        <v>P100061</v>
      </c>
      <c r="BU1236" t="str">
        <f t="shared" si="978"/>
        <v>Nelson</v>
      </c>
    </row>
    <row r="1237" spans="1:73" x14ac:dyDescent="0.2">
      <c r="A1237">
        <f t="shared" si="964"/>
        <v>1</v>
      </c>
      <c r="J1237" s="44" t="str">
        <f t="shared" si="979"/>
        <v/>
      </c>
      <c r="K1237" t="s">
        <v>5</v>
      </c>
      <c r="L1237" t="s">
        <v>236</v>
      </c>
      <c r="M1237" t="s">
        <v>756</v>
      </c>
      <c r="S1237">
        <v>669</v>
      </c>
      <c r="W1237" t="str">
        <f t="shared" si="955"/>
        <v>h</v>
      </c>
      <c r="X1237">
        <v>87</v>
      </c>
      <c r="Y1237" t="e">
        <f>IF(X1237&lt;&gt;"",VLOOKUP(X1237,game_rosters!$C$43:$E$64,3,FALSE))</f>
        <v>#N/A</v>
      </c>
      <c r="Z1237" t="str" cm="1">
        <f t="array" ref="Z1237">IFERROR(IF(_xlfn._xlws.FILTER(game_rosters!$J:$J,(game_rosters!$G:$G=events!$AN1237)*(game_rosters!$J:$J=events!$X1237))&gt;0,1,""),"")</f>
        <v/>
      </c>
      <c r="AA1237">
        <f t="shared" si="913"/>
        <v>1669</v>
      </c>
      <c r="AB1237" t="str">
        <f t="shared" si="914"/>
        <v/>
      </c>
      <c r="AC1237">
        <f t="shared" si="952"/>
        <v>1669</v>
      </c>
      <c r="AD1237" s="6">
        <v>2</v>
      </c>
      <c r="AE1237" t="s">
        <v>936</v>
      </c>
      <c r="AF1237" t="s">
        <v>920</v>
      </c>
      <c r="AG1237" t="s">
        <v>756</v>
      </c>
      <c r="AH1237" t="s">
        <v>756</v>
      </c>
      <c r="AI1237" t="s">
        <v>368</v>
      </c>
      <c r="AJ1237" t="str">
        <f t="shared" ref="AJ1237:AK1237" si="995">IF($J1237&lt;&gt;"",$J1237,IF($AC1237=$AC1236,AJ1236,""))</f>
        <v/>
      </c>
      <c r="AK1237" t="str">
        <f t="shared" si="995"/>
        <v/>
      </c>
      <c r="AL1237" t="str">
        <f t="shared" si="957"/>
        <v/>
      </c>
      <c r="AN1237" t="s">
        <v>861</v>
      </c>
      <c r="AO1237" t="str">
        <f t="shared" si="958"/>
        <v>h</v>
      </c>
      <c r="AP1237" t="str">
        <f t="shared" si="966"/>
        <v/>
      </c>
      <c r="AQ1237" t="str">
        <f t="shared" si="967"/>
        <v/>
      </c>
      <c r="AR1237" t="str">
        <f t="shared" si="968"/>
        <v>Home</v>
      </c>
      <c r="AS1237" t="str">
        <f t="shared" si="969"/>
        <v>h</v>
      </c>
      <c r="AT1237" t="str">
        <f t="shared" si="970"/>
        <v>Defensive</v>
      </c>
      <c r="BA1237" s="6">
        <f t="shared" si="959"/>
        <v>297</v>
      </c>
      <c r="BB1237">
        <f t="shared" si="960"/>
        <v>18981</v>
      </c>
      <c r="BC1237" t="str">
        <f t="shared" si="961"/>
        <v>Nelson</v>
      </c>
      <c r="BD1237" t="str">
        <f t="shared" si="962"/>
        <v>Velodrome</v>
      </c>
      <c r="BE1237" t="s">
        <v>5</v>
      </c>
      <c r="BF1237" t="s">
        <v>236</v>
      </c>
      <c r="BG1237" t="s">
        <v>756</v>
      </c>
      <c r="BI1237" cm="1">
        <f t="array" ref="BI1237">IFERROR(_xlfn._xlws.FILTER(shifts!A:A,(shifts!B:B=events!AD1237)*(shifts!AG:AG&gt;=events!BK1237)*(shifts!AH:AH&lt;=events!BL1237)),BI1236)</f>
        <v>57</v>
      </c>
      <c r="BJ1237" s="15">
        <f t="shared" si="963"/>
        <v>0</v>
      </c>
      <c r="BK1237">
        <f t="shared" si="971"/>
        <v>489</v>
      </c>
      <c r="BL1237">
        <f t="shared" si="972"/>
        <v>489</v>
      </c>
      <c r="BM1237" s="15">
        <f>SUMIFS(BJ$2:BJ1237,K$2:K1237,"=Intermission")+SUMIFS(BJ$2:BJ1237,K$2:K1237,"=Timeout")</f>
        <v>72</v>
      </c>
      <c r="BN1237">
        <f t="shared" si="973"/>
        <v>1152</v>
      </c>
      <c r="BO1237" s="19">
        <f t="shared" si="974"/>
        <v>1743</v>
      </c>
      <c r="BP1237">
        <f t="shared" si="975"/>
        <v>1738</v>
      </c>
      <c r="BQ1237" s="17">
        <f t="shared" si="976"/>
        <v>1743</v>
      </c>
      <c r="BR1237" t="str">
        <f t="shared" si="977"/>
        <v>opp_team_player_1</v>
      </c>
      <c r="BS1237">
        <f>COUNTIFS(S$3:S1237,"="&amp;S1237,AI$3:AI1237,"="&amp;AI1237)</f>
        <v>1</v>
      </c>
      <c r="BT1237" t="str">
        <f>IFERROR(VLOOKUP(BB1237&amp;BU1237&amp;X1237,game_rosters!U:W,3,FALSE),"")</f>
        <v>P100159</v>
      </c>
      <c r="BU1237" t="str">
        <f t="shared" si="978"/>
        <v>Velodrome</v>
      </c>
    </row>
    <row r="1238" spans="1:73" x14ac:dyDescent="0.2">
      <c r="A1238">
        <f t="shared" si="964"/>
        <v>1</v>
      </c>
      <c r="J1238" s="44" t="str">
        <f t="shared" si="979"/>
        <v/>
      </c>
      <c r="K1238" t="s">
        <v>13</v>
      </c>
      <c r="L1238" t="s">
        <v>756</v>
      </c>
      <c r="M1238" t="s">
        <v>756</v>
      </c>
      <c r="S1238">
        <v>670</v>
      </c>
      <c r="W1238" t="str">
        <f t="shared" si="955"/>
        <v>h</v>
      </c>
      <c r="X1238">
        <v>23</v>
      </c>
      <c r="Y1238" t="b">
        <f>IF(X1238&lt;&gt;"",VLOOKUP(X1238,game_rosters!$C$43:$E$64,3,FALSE))</f>
        <v>0</v>
      </c>
      <c r="Z1238" cm="1">
        <f t="array" ref="Z1238">IFERROR(IF(_xlfn._xlws.FILTER(game_rosters!$J:$J,(game_rosters!$G:$G=events!$AN1238)*(game_rosters!$J:$J=events!$X1238))&gt;0,1,""),"")</f>
        <v>1</v>
      </c>
      <c r="AA1238">
        <f t="shared" si="913"/>
        <v>1670</v>
      </c>
      <c r="AB1238" t="str">
        <f t="shared" si="914"/>
        <v/>
      </c>
      <c r="AC1238">
        <f t="shared" si="952"/>
        <v>1670</v>
      </c>
      <c r="AD1238" s="6">
        <v>2</v>
      </c>
      <c r="AE1238" t="s">
        <v>936</v>
      </c>
      <c r="AF1238" t="s">
        <v>939</v>
      </c>
      <c r="AG1238" t="s">
        <v>936</v>
      </c>
      <c r="AH1238" t="s">
        <v>911</v>
      </c>
      <c r="AI1238" t="s">
        <v>367</v>
      </c>
      <c r="AJ1238" t="str">
        <f t="shared" ref="AJ1238:AK1238" si="996">IF($J1238&lt;&gt;"",$J1238,IF($AC1238=$AC1237,AJ1237,""))</f>
        <v/>
      </c>
      <c r="AK1238" t="str">
        <f t="shared" si="996"/>
        <v/>
      </c>
      <c r="AL1238" t="str">
        <f t="shared" si="957"/>
        <v/>
      </c>
      <c r="AN1238" t="s">
        <v>861</v>
      </c>
      <c r="AO1238" t="str">
        <f t="shared" si="958"/>
        <v>h</v>
      </c>
      <c r="AP1238" t="str">
        <f t="shared" si="966"/>
        <v/>
      </c>
      <c r="AQ1238" t="str">
        <f t="shared" si="967"/>
        <v/>
      </c>
      <c r="AR1238" t="str">
        <f t="shared" si="968"/>
        <v>Home</v>
      </c>
      <c r="AS1238" t="str">
        <f t="shared" si="969"/>
        <v>h</v>
      </c>
      <c r="AT1238" t="str">
        <f t="shared" si="970"/>
        <v>Offensive</v>
      </c>
      <c r="BA1238" s="6">
        <f t="shared" si="959"/>
        <v>297</v>
      </c>
      <c r="BB1238">
        <f t="shared" si="960"/>
        <v>18981</v>
      </c>
      <c r="BC1238" t="str">
        <f t="shared" si="961"/>
        <v>Nelson</v>
      </c>
      <c r="BD1238" t="str">
        <f t="shared" si="962"/>
        <v>Velodrome</v>
      </c>
      <c r="BE1238" t="s">
        <v>13</v>
      </c>
      <c r="BF1238" t="s">
        <v>756</v>
      </c>
      <c r="BG1238" t="s">
        <v>756</v>
      </c>
      <c r="BI1238" cm="1">
        <f t="array" ref="BI1238">IFERROR(_xlfn._xlws.FILTER(shifts!A:A,(shifts!B:B=events!AD1238)*(shifts!AG:AG&gt;=events!BK1238)*(shifts!AH:AH&lt;=events!BL1238)),BI1237)</f>
        <v>57</v>
      </c>
      <c r="BJ1238" s="15">
        <f t="shared" si="963"/>
        <v>2</v>
      </c>
      <c r="BK1238">
        <f t="shared" si="971"/>
        <v>488</v>
      </c>
      <c r="BL1238">
        <f t="shared" si="972"/>
        <v>486</v>
      </c>
      <c r="BM1238" s="15">
        <f>SUMIFS(BJ$2:BJ1238,K$2:K1238,"=Intermission")+SUMIFS(BJ$2:BJ1238,K$2:K1238,"=Timeout")</f>
        <v>72</v>
      </c>
      <c r="BN1238">
        <f t="shared" si="973"/>
        <v>1152</v>
      </c>
      <c r="BO1238" s="19">
        <f t="shared" si="974"/>
        <v>1744</v>
      </c>
      <c r="BP1238">
        <f t="shared" si="975"/>
        <v>1739</v>
      </c>
      <c r="BQ1238" s="17">
        <f t="shared" si="976"/>
        <v>1746</v>
      </c>
      <c r="BR1238" t="str">
        <f t="shared" si="977"/>
        <v>event_team_player_1</v>
      </c>
      <c r="BS1238">
        <f>COUNTIFS(S$3:S1238,"="&amp;S1238,AI$3:AI1238,"="&amp;AI1238)</f>
        <v>1</v>
      </c>
      <c r="BT1238" t="str">
        <f>IFERROR(VLOOKUP(BB1238&amp;BU1238&amp;X1238,game_rosters!U:W,3,FALSE),"")</f>
        <v>P100061</v>
      </c>
      <c r="BU1238" t="str">
        <f t="shared" si="978"/>
        <v>Nelson</v>
      </c>
    </row>
    <row r="1239" spans="1:73" x14ac:dyDescent="0.2">
      <c r="A1239">
        <f t="shared" si="964"/>
        <v>1</v>
      </c>
      <c r="J1239" s="44" t="str">
        <f t="shared" si="979"/>
        <v/>
      </c>
      <c r="K1239" t="s">
        <v>7</v>
      </c>
      <c r="L1239" t="s">
        <v>172</v>
      </c>
      <c r="M1239" t="s">
        <v>444</v>
      </c>
      <c r="S1239">
        <v>671</v>
      </c>
      <c r="W1239" t="str">
        <f t="shared" si="955"/>
        <v>h</v>
      </c>
      <c r="X1239">
        <v>23</v>
      </c>
      <c r="Y1239" t="b">
        <f>IF(X1239&lt;&gt;"",VLOOKUP(X1239,game_rosters!$C$43:$E$64,3,FALSE))</f>
        <v>0</v>
      </c>
      <c r="Z1239" cm="1">
        <f t="array" ref="Z1239">IFERROR(IF(_xlfn._xlws.FILTER(game_rosters!$J:$J,(game_rosters!$G:$G=events!$AN1239)*(game_rosters!$J:$J=events!$X1239))&gt;0,1,""),"")</f>
        <v>1</v>
      </c>
      <c r="AA1239">
        <f t="shared" si="913"/>
        <v>1671</v>
      </c>
      <c r="AB1239" t="str">
        <f t="shared" si="914"/>
        <v/>
      </c>
      <c r="AC1239">
        <f t="shared" si="952"/>
        <v>1671</v>
      </c>
      <c r="AD1239" s="6">
        <v>2</v>
      </c>
      <c r="AE1239" t="s">
        <v>936</v>
      </c>
      <c r="AF1239" t="s">
        <v>911</v>
      </c>
      <c r="AG1239" t="s">
        <v>756</v>
      </c>
      <c r="AH1239" t="s">
        <v>756</v>
      </c>
      <c r="AI1239" t="s">
        <v>367</v>
      </c>
      <c r="AJ1239" t="str">
        <f t="shared" ref="AJ1239:AK1239" si="997">IF($J1239&lt;&gt;"",$J1239,IF($AC1239=$AC1238,AJ1238,""))</f>
        <v/>
      </c>
      <c r="AK1239" t="str">
        <f t="shared" si="997"/>
        <v/>
      </c>
      <c r="AL1239" t="str">
        <f t="shared" si="957"/>
        <v/>
      </c>
      <c r="AN1239" t="s">
        <v>861</v>
      </c>
      <c r="AO1239" t="str">
        <f t="shared" si="958"/>
        <v>h</v>
      </c>
      <c r="AP1239" t="str">
        <f t="shared" si="966"/>
        <v/>
      </c>
      <c r="AQ1239" t="str">
        <f t="shared" si="967"/>
        <v/>
      </c>
      <c r="AR1239" t="str">
        <f t="shared" si="968"/>
        <v>Home</v>
      </c>
      <c r="AS1239" t="str">
        <f t="shared" si="969"/>
        <v>h</v>
      </c>
      <c r="AT1239" t="str">
        <f t="shared" si="970"/>
        <v>Offensive</v>
      </c>
      <c r="BA1239" s="6">
        <f t="shared" si="959"/>
        <v>297</v>
      </c>
      <c r="BB1239">
        <f t="shared" si="960"/>
        <v>18981</v>
      </c>
      <c r="BC1239" t="str">
        <f t="shared" si="961"/>
        <v>Nelson</v>
      </c>
      <c r="BD1239" t="str">
        <f t="shared" si="962"/>
        <v>Velodrome</v>
      </c>
      <c r="BE1239" t="s">
        <v>7</v>
      </c>
      <c r="BF1239" t="s">
        <v>172</v>
      </c>
      <c r="BG1239" t="s">
        <v>444</v>
      </c>
      <c r="BI1239" cm="1">
        <f t="array" ref="BI1239">IFERROR(_xlfn._xlws.FILTER(shifts!A:A,(shifts!B:B=events!AD1239)*(shifts!AG:AG&gt;=events!BK1239)*(shifts!AH:AH&lt;=events!BL1239)),BI1238)</f>
        <v>57</v>
      </c>
      <c r="BJ1239" s="15">
        <f t="shared" si="963"/>
        <v>0</v>
      </c>
      <c r="BK1239">
        <f t="shared" si="971"/>
        <v>486</v>
      </c>
      <c r="BL1239">
        <f t="shared" si="972"/>
        <v>486</v>
      </c>
      <c r="BM1239" s="15">
        <f>SUMIFS(BJ$2:BJ1239,K$2:K1239,"=Intermission")+SUMIFS(BJ$2:BJ1239,K$2:K1239,"=Timeout")</f>
        <v>72</v>
      </c>
      <c r="BN1239">
        <f t="shared" si="973"/>
        <v>1152</v>
      </c>
      <c r="BO1239" s="19">
        <f t="shared" si="974"/>
        <v>1746</v>
      </c>
      <c r="BP1239">
        <f t="shared" si="975"/>
        <v>1741</v>
      </c>
      <c r="BQ1239" s="17">
        <f t="shared" si="976"/>
        <v>1746</v>
      </c>
      <c r="BR1239" t="str">
        <f t="shared" si="977"/>
        <v>event_team_player_1</v>
      </c>
      <c r="BS1239">
        <f>COUNTIFS(S$3:S1239,"="&amp;S1239,AI$3:AI1239,"="&amp;AI1239)</f>
        <v>1</v>
      </c>
      <c r="BT1239" t="str">
        <f>IFERROR(VLOOKUP(BB1239&amp;BU1239&amp;X1239,game_rosters!U:W,3,FALSE),"")</f>
        <v>P100061</v>
      </c>
      <c r="BU1239" t="str">
        <f t="shared" si="978"/>
        <v>Nelson</v>
      </c>
    </row>
    <row r="1240" spans="1:73" x14ac:dyDescent="0.2">
      <c r="A1240">
        <f t="shared" si="964"/>
        <v>1</v>
      </c>
      <c r="J1240" s="44" t="str">
        <f t="shared" si="979"/>
        <v/>
      </c>
      <c r="K1240" t="s">
        <v>7</v>
      </c>
      <c r="L1240" t="s">
        <v>172</v>
      </c>
      <c r="M1240" t="s">
        <v>444</v>
      </c>
      <c r="S1240">
        <v>671</v>
      </c>
      <c r="W1240" t="str">
        <f t="shared" si="955"/>
        <v>h</v>
      </c>
      <c r="X1240">
        <v>79</v>
      </c>
      <c r="Y1240" t="b">
        <f>IF(X1240&lt;&gt;"",VLOOKUP(X1240,game_rosters!$C$43:$E$64,3,FALSE))</f>
        <v>0</v>
      </c>
      <c r="Z1240" cm="1">
        <f t="array" ref="Z1240">IFERROR(IF(_xlfn._xlws.FILTER(game_rosters!$J:$J,(game_rosters!$G:$G=events!$AN1240)*(game_rosters!$J:$J=events!$X1240))&gt;0,1,""),"")</f>
        <v>1</v>
      </c>
      <c r="AA1240">
        <f t="shared" si="913"/>
        <v>1671</v>
      </c>
      <c r="AB1240" t="str">
        <f t="shared" si="914"/>
        <v/>
      </c>
      <c r="AC1240">
        <f t="shared" si="952"/>
        <v>1671</v>
      </c>
      <c r="AD1240" s="6">
        <v>2</v>
      </c>
      <c r="AE1240" t="s">
        <v>936</v>
      </c>
      <c r="AF1240" t="s">
        <v>911</v>
      </c>
      <c r="AG1240" t="s">
        <v>756</v>
      </c>
      <c r="AH1240" t="s">
        <v>756</v>
      </c>
      <c r="AI1240" t="s">
        <v>367</v>
      </c>
      <c r="AJ1240" t="str">
        <f t="shared" ref="AJ1240:AK1240" si="998">IF($J1240&lt;&gt;"",$J1240,IF($AC1240=$AC1239,AJ1239,""))</f>
        <v/>
      </c>
      <c r="AK1240" t="str">
        <f t="shared" si="998"/>
        <v/>
      </c>
      <c r="AL1240" t="str">
        <f t="shared" si="957"/>
        <v/>
      </c>
      <c r="AN1240" t="s">
        <v>861</v>
      </c>
      <c r="AO1240" t="str">
        <f t="shared" si="958"/>
        <v>h</v>
      </c>
      <c r="AP1240" t="str">
        <f t="shared" si="966"/>
        <v/>
      </c>
      <c r="AQ1240" t="str">
        <f t="shared" si="967"/>
        <v/>
      </c>
      <c r="AR1240" t="str">
        <f t="shared" si="968"/>
        <v>Home</v>
      </c>
      <c r="AS1240" t="str">
        <f t="shared" si="969"/>
        <v>h</v>
      </c>
      <c r="AT1240" t="str">
        <f t="shared" si="970"/>
        <v>Offensive</v>
      </c>
      <c r="BA1240" s="6">
        <f t="shared" si="959"/>
        <v>297</v>
      </c>
      <c r="BB1240">
        <f t="shared" si="960"/>
        <v>18981</v>
      </c>
      <c r="BC1240" t="str">
        <f t="shared" si="961"/>
        <v>Nelson</v>
      </c>
      <c r="BD1240" t="str">
        <f t="shared" si="962"/>
        <v>Velodrome</v>
      </c>
      <c r="BE1240" t="s">
        <v>7</v>
      </c>
      <c r="BF1240" t="s">
        <v>172</v>
      </c>
      <c r="BG1240" t="s">
        <v>444</v>
      </c>
      <c r="BI1240" cm="1">
        <f t="array" ref="BI1240">IFERROR(_xlfn._xlws.FILTER(shifts!A:A,(shifts!B:B=events!AD1240)*(shifts!AG:AG&gt;=events!BK1240)*(shifts!AH:AH&lt;=events!BL1240)),BI1239)</f>
        <v>57</v>
      </c>
      <c r="BJ1240" s="15">
        <f t="shared" si="963"/>
        <v>0</v>
      </c>
      <c r="BK1240">
        <f t="shared" si="971"/>
        <v>486</v>
      </c>
      <c r="BL1240">
        <f t="shared" si="972"/>
        <v>486</v>
      </c>
      <c r="BM1240" s="15">
        <f>SUMIFS(BJ$2:BJ1240,K$2:K1240,"=Intermission")+SUMIFS(BJ$2:BJ1240,K$2:K1240,"=Timeout")</f>
        <v>72</v>
      </c>
      <c r="BN1240">
        <f t="shared" si="973"/>
        <v>1152</v>
      </c>
      <c r="BO1240" s="19">
        <f t="shared" si="974"/>
        <v>1746</v>
      </c>
      <c r="BP1240">
        <f t="shared" si="975"/>
        <v>1741</v>
      </c>
      <c r="BQ1240" s="17">
        <f t="shared" si="976"/>
        <v>1746</v>
      </c>
      <c r="BR1240" t="str">
        <f t="shared" si="977"/>
        <v>event_team_player_2</v>
      </c>
      <c r="BS1240">
        <f>COUNTIFS(S$3:S1240,"="&amp;S1240,AI$3:AI1240,"="&amp;AI1240)</f>
        <v>2</v>
      </c>
      <c r="BT1240" t="str">
        <f>IFERROR(VLOOKUP(BB1240&amp;BU1240&amp;X1240,game_rosters!U:W,3,FALSE),"")</f>
        <v>P100066</v>
      </c>
      <c r="BU1240" t="str">
        <f t="shared" si="978"/>
        <v>Nelson</v>
      </c>
    </row>
    <row r="1241" spans="1:73" x14ac:dyDescent="0.2">
      <c r="A1241">
        <f t="shared" si="964"/>
        <v>1</v>
      </c>
      <c r="J1241" s="44" t="str">
        <f t="shared" si="979"/>
        <v/>
      </c>
      <c r="K1241" t="s">
        <v>7</v>
      </c>
      <c r="L1241" t="s">
        <v>172</v>
      </c>
      <c r="M1241" t="s">
        <v>444</v>
      </c>
      <c r="S1241">
        <v>671</v>
      </c>
      <c r="W1241" t="str">
        <f t="shared" si="955"/>
        <v>h</v>
      </c>
      <c r="X1241">
        <v>22</v>
      </c>
      <c r="Y1241" t="e">
        <f>IF(X1241&lt;&gt;"",VLOOKUP(X1241,game_rosters!$C$43:$E$64,3,FALSE))</f>
        <v>#N/A</v>
      </c>
      <c r="Z1241" t="str" cm="1">
        <f t="array" ref="Z1241">IFERROR(IF(_xlfn._xlws.FILTER(game_rosters!$J:$J,(game_rosters!$G:$G=events!$AN1241)*(game_rosters!$J:$J=events!$X1241))&gt;0,1,""),"")</f>
        <v/>
      </c>
      <c r="AA1241">
        <f t="shared" si="913"/>
        <v>1671</v>
      </c>
      <c r="AB1241" t="str">
        <f t="shared" si="914"/>
        <v/>
      </c>
      <c r="AC1241">
        <f t="shared" si="952"/>
        <v>1671</v>
      </c>
      <c r="AD1241" s="6">
        <v>2</v>
      </c>
      <c r="AE1241" t="s">
        <v>936</v>
      </c>
      <c r="AF1241" t="s">
        <v>911</v>
      </c>
      <c r="AG1241" t="s">
        <v>756</v>
      </c>
      <c r="AH1241" t="s">
        <v>756</v>
      </c>
      <c r="AI1241" t="s">
        <v>368</v>
      </c>
      <c r="AJ1241" t="str">
        <f t="shared" ref="AJ1241:AK1241" si="999">IF($J1241&lt;&gt;"",$J1241,IF($AC1241=$AC1240,AJ1240,""))</f>
        <v/>
      </c>
      <c r="AK1241" t="str">
        <f t="shared" si="999"/>
        <v/>
      </c>
      <c r="AL1241" t="str">
        <f t="shared" si="957"/>
        <v/>
      </c>
      <c r="AN1241" t="s">
        <v>861</v>
      </c>
      <c r="AO1241" t="str">
        <f t="shared" si="958"/>
        <v>h</v>
      </c>
      <c r="AP1241" t="str">
        <f t="shared" si="966"/>
        <v/>
      </c>
      <c r="AQ1241" t="str">
        <f t="shared" si="967"/>
        <v/>
      </c>
      <c r="AR1241" t="str">
        <f t="shared" si="968"/>
        <v>Home</v>
      </c>
      <c r="AS1241" t="str">
        <f t="shared" si="969"/>
        <v>h</v>
      </c>
      <c r="AT1241" t="str">
        <f t="shared" si="970"/>
        <v>Defensive</v>
      </c>
      <c r="BA1241" s="6">
        <f t="shared" si="959"/>
        <v>297</v>
      </c>
      <c r="BB1241">
        <f t="shared" si="960"/>
        <v>18981</v>
      </c>
      <c r="BC1241" t="str">
        <f t="shared" si="961"/>
        <v>Nelson</v>
      </c>
      <c r="BD1241" t="str">
        <f t="shared" si="962"/>
        <v>Velodrome</v>
      </c>
      <c r="BE1241" t="s">
        <v>7</v>
      </c>
      <c r="BF1241" t="s">
        <v>172</v>
      </c>
      <c r="BG1241" t="s">
        <v>444</v>
      </c>
      <c r="BI1241" cm="1">
        <f t="array" ref="BI1241">IFERROR(_xlfn._xlws.FILTER(shifts!A:A,(shifts!B:B=events!AD1241)*(shifts!AG:AG&gt;=events!BK1241)*(shifts!AH:AH&lt;=events!BL1241)),BI1240)</f>
        <v>57</v>
      </c>
      <c r="BJ1241" s="15">
        <f t="shared" si="963"/>
        <v>0</v>
      </c>
      <c r="BK1241">
        <f t="shared" si="971"/>
        <v>486</v>
      </c>
      <c r="BL1241">
        <f t="shared" si="972"/>
        <v>486</v>
      </c>
      <c r="BM1241" s="15">
        <f>SUMIFS(BJ$2:BJ1241,K$2:K1241,"=Intermission")+SUMIFS(BJ$2:BJ1241,K$2:K1241,"=Timeout")</f>
        <v>72</v>
      </c>
      <c r="BN1241">
        <f t="shared" si="973"/>
        <v>1152</v>
      </c>
      <c r="BO1241" s="19">
        <f t="shared" si="974"/>
        <v>1746</v>
      </c>
      <c r="BP1241">
        <f t="shared" si="975"/>
        <v>1741</v>
      </c>
      <c r="BQ1241" s="17">
        <f t="shared" si="976"/>
        <v>1746</v>
      </c>
      <c r="BR1241" t="str">
        <f t="shared" si="977"/>
        <v>opp_team_player_1</v>
      </c>
      <c r="BS1241">
        <f>COUNTIFS(S$3:S1241,"="&amp;S1241,AI$3:AI1241,"="&amp;AI1241)</f>
        <v>1</v>
      </c>
      <c r="BT1241" t="str">
        <f>IFERROR(VLOOKUP(BB1241&amp;BU1241&amp;X1241,game_rosters!U:W,3,FALSE),"")</f>
        <v>P100108</v>
      </c>
      <c r="BU1241" t="str">
        <f t="shared" si="978"/>
        <v>Velodrome</v>
      </c>
    </row>
    <row r="1242" spans="1:73" x14ac:dyDescent="0.2">
      <c r="A1242">
        <f t="shared" si="964"/>
        <v>1</v>
      </c>
      <c r="J1242" s="44" t="str">
        <f t="shared" si="979"/>
        <v>o</v>
      </c>
      <c r="K1242" t="s">
        <v>6</v>
      </c>
      <c r="L1242" t="s">
        <v>207</v>
      </c>
      <c r="M1242" t="s">
        <v>54</v>
      </c>
      <c r="S1242">
        <v>672</v>
      </c>
      <c r="W1242" t="str">
        <f t="shared" si="955"/>
        <v>h</v>
      </c>
      <c r="X1242">
        <v>79</v>
      </c>
      <c r="Y1242" t="b">
        <f>IF(X1242&lt;&gt;"",VLOOKUP(X1242,game_rosters!$C$43:$E$64,3,FALSE))</f>
        <v>0</v>
      </c>
      <c r="Z1242" cm="1">
        <f t="array" ref="Z1242">IFERROR(IF(_xlfn._xlws.FILTER(game_rosters!$J:$J,(game_rosters!$G:$G=events!$AN1242)*(game_rosters!$J:$J=events!$X1242))&gt;0,1,""),"")</f>
        <v>1</v>
      </c>
      <c r="AA1242">
        <f t="shared" si="913"/>
        <v>1672</v>
      </c>
      <c r="AB1242" t="str">
        <f t="shared" si="914"/>
        <v/>
      </c>
      <c r="AC1242">
        <f t="shared" si="952"/>
        <v>1672</v>
      </c>
      <c r="AD1242" s="6">
        <v>2</v>
      </c>
      <c r="AE1242" t="s">
        <v>936</v>
      </c>
      <c r="AF1242" t="s">
        <v>911</v>
      </c>
      <c r="AG1242" t="s">
        <v>756</v>
      </c>
      <c r="AH1242" t="s">
        <v>756</v>
      </c>
      <c r="AI1242" t="s">
        <v>367</v>
      </c>
      <c r="AJ1242" t="str">
        <f t="shared" ref="AJ1242:AK1242" si="1000">IF($J1242&lt;&gt;"",$J1242,IF($AC1242=$AC1241,AJ1241,""))</f>
        <v>o</v>
      </c>
      <c r="AK1242" t="str">
        <f t="shared" si="1000"/>
        <v>o</v>
      </c>
      <c r="AL1242" t="str">
        <f t="shared" si="957"/>
        <v>o</v>
      </c>
      <c r="AN1242" t="s">
        <v>861</v>
      </c>
      <c r="AO1242" t="str">
        <f t="shared" si="958"/>
        <v>h</v>
      </c>
      <c r="AP1242" t="str">
        <f t="shared" si="966"/>
        <v>o</v>
      </c>
      <c r="AQ1242" t="str">
        <f t="shared" si="967"/>
        <v/>
      </c>
      <c r="AR1242" t="str">
        <f t="shared" si="968"/>
        <v>Home</v>
      </c>
      <c r="AS1242" t="str">
        <f t="shared" si="969"/>
        <v>h</v>
      </c>
      <c r="AT1242" t="str">
        <f t="shared" si="970"/>
        <v>Offensive</v>
      </c>
      <c r="BA1242" s="6">
        <f t="shared" si="959"/>
        <v>297</v>
      </c>
      <c r="BB1242">
        <f t="shared" si="960"/>
        <v>18981</v>
      </c>
      <c r="BC1242" t="str">
        <f t="shared" si="961"/>
        <v>Nelson</v>
      </c>
      <c r="BD1242" t="str">
        <f t="shared" si="962"/>
        <v>Velodrome</v>
      </c>
      <c r="BE1242" t="s">
        <v>6</v>
      </c>
      <c r="BF1242" t="s">
        <v>207</v>
      </c>
      <c r="BG1242" t="s">
        <v>54</v>
      </c>
      <c r="BI1242" cm="1">
        <f t="array" ref="BI1242">IFERROR(_xlfn._xlws.FILTER(shifts!A:A,(shifts!B:B=events!AD1242)*(shifts!AG:AG&gt;=events!BK1242)*(shifts!AH:AH&lt;=events!BL1242)),BI1241)</f>
        <v>57</v>
      </c>
      <c r="BJ1242" s="15">
        <f t="shared" si="963"/>
        <v>0</v>
      </c>
      <c r="BK1242">
        <f t="shared" si="971"/>
        <v>486</v>
      </c>
      <c r="BL1242">
        <f t="shared" si="972"/>
        <v>486</v>
      </c>
      <c r="BM1242" s="15">
        <f>SUMIFS(BJ$2:BJ1242,K$2:K1242,"=Intermission")+SUMIFS(BJ$2:BJ1242,K$2:K1242,"=Timeout")</f>
        <v>72</v>
      </c>
      <c r="BN1242">
        <f t="shared" si="973"/>
        <v>1152</v>
      </c>
      <c r="BO1242" s="19">
        <f t="shared" si="974"/>
        <v>1746</v>
      </c>
      <c r="BP1242">
        <f t="shared" si="975"/>
        <v>1741</v>
      </c>
      <c r="BQ1242" s="17">
        <f t="shared" si="976"/>
        <v>1746</v>
      </c>
      <c r="BR1242" t="str">
        <f t="shared" si="977"/>
        <v>event_team_player_1</v>
      </c>
      <c r="BS1242">
        <f>COUNTIFS(S$3:S1242,"="&amp;S1242,AI$3:AI1242,"="&amp;AI1242)</f>
        <v>1</v>
      </c>
      <c r="BT1242" t="str">
        <f>IFERROR(VLOOKUP(BB1242&amp;BU1242&amp;X1242,game_rosters!U:W,3,FALSE),"")</f>
        <v>P100066</v>
      </c>
      <c r="BU1242" t="str">
        <f t="shared" si="978"/>
        <v>Nelson</v>
      </c>
    </row>
    <row r="1243" spans="1:73" x14ac:dyDescent="0.2">
      <c r="A1243">
        <f t="shared" si="964"/>
        <v>1</v>
      </c>
      <c r="J1243" s="44" t="str">
        <f t="shared" si="979"/>
        <v>o</v>
      </c>
      <c r="K1243" t="s">
        <v>6</v>
      </c>
      <c r="L1243" t="s">
        <v>207</v>
      </c>
      <c r="M1243" t="s">
        <v>54</v>
      </c>
      <c r="S1243">
        <v>672</v>
      </c>
      <c r="W1243" t="str">
        <f t="shared" si="955"/>
        <v>h</v>
      </c>
      <c r="X1243">
        <v>39</v>
      </c>
      <c r="Y1243" t="e">
        <f>IF(X1243&lt;&gt;"",VLOOKUP(X1243,game_rosters!$C$43:$E$64,3,FALSE))</f>
        <v>#N/A</v>
      </c>
      <c r="Z1243" t="str" cm="1">
        <f t="array" ref="Z1243">IFERROR(IF(_xlfn._xlws.FILTER(game_rosters!$J:$J,(game_rosters!$G:$G=events!$AN1243)*(game_rosters!$J:$J=events!$X1243))&gt;0,1,""),"")</f>
        <v/>
      </c>
      <c r="AA1243">
        <f t="shared" si="913"/>
        <v>1672</v>
      </c>
      <c r="AB1243" t="str">
        <f t="shared" si="914"/>
        <v/>
      </c>
      <c r="AC1243">
        <f t="shared" si="952"/>
        <v>1672</v>
      </c>
      <c r="AD1243" s="6">
        <v>2</v>
      </c>
      <c r="AE1243" t="s">
        <v>936</v>
      </c>
      <c r="AF1243" t="s">
        <v>911</v>
      </c>
      <c r="AG1243" t="s">
        <v>756</v>
      </c>
      <c r="AH1243" t="s">
        <v>756</v>
      </c>
      <c r="AI1243" t="s">
        <v>368</v>
      </c>
      <c r="AJ1243" t="str">
        <f t="shared" ref="AJ1243:AK1243" si="1001">IF($J1243&lt;&gt;"",$J1243,IF($AC1243=$AC1242,AJ1242,""))</f>
        <v>o</v>
      </c>
      <c r="AK1243" t="str">
        <f t="shared" si="1001"/>
        <v>o</v>
      </c>
      <c r="AL1243" t="str">
        <f t="shared" si="957"/>
        <v>o</v>
      </c>
      <c r="AN1243" t="s">
        <v>861</v>
      </c>
      <c r="AO1243" t="str">
        <f t="shared" si="958"/>
        <v>h</v>
      </c>
      <c r="AP1243" t="str">
        <f t="shared" si="966"/>
        <v>o</v>
      </c>
      <c r="AQ1243" t="str">
        <f t="shared" si="967"/>
        <v/>
      </c>
      <c r="AR1243" t="str">
        <f t="shared" si="968"/>
        <v>Home</v>
      </c>
      <c r="AS1243" t="str">
        <f t="shared" si="969"/>
        <v>h</v>
      </c>
      <c r="AT1243" t="str">
        <f t="shared" si="970"/>
        <v>Defensive</v>
      </c>
      <c r="BA1243" s="6">
        <f t="shared" si="959"/>
        <v>297</v>
      </c>
      <c r="BB1243">
        <f t="shared" si="960"/>
        <v>18981</v>
      </c>
      <c r="BC1243" t="str">
        <f t="shared" si="961"/>
        <v>Nelson</v>
      </c>
      <c r="BD1243" t="str">
        <f t="shared" si="962"/>
        <v>Velodrome</v>
      </c>
      <c r="BE1243" t="s">
        <v>6</v>
      </c>
      <c r="BF1243" t="s">
        <v>207</v>
      </c>
      <c r="BG1243" t="s">
        <v>54</v>
      </c>
      <c r="BI1243" cm="1">
        <f t="array" ref="BI1243">IFERROR(_xlfn._xlws.FILTER(shifts!A:A,(shifts!B:B=events!AD1243)*(shifts!AG:AG&gt;=events!BK1243)*(shifts!AH:AH&lt;=events!BL1243)),BI1242)</f>
        <v>57</v>
      </c>
      <c r="BJ1243" s="15">
        <f t="shared" si="963"/>
        <v>0</v>
      </c>
      <c r="BK1243">
        <f t="shared" si="971"/>
        <v>486</v>
      </c>
      <c r="BL1243">
        <f t="shared" si="972"/>
        <v>486</v>
      </c>
      <c r="BM1243" s="15">
        <f>SUMIFS(BJ$2:BJ1243,K$2:K1243,"=Intermission")+SUMIFS(BJ$2:BJ1243,K$2:K1243,"=Timeout")</f>
        <v>72</v>
      </c>
      <c r="BN1243">
        <f t="shared" si="973"/>
        <v>1152</v>
      </c>
      <c r="BO1243" s="19">
        <f t="shared" si="974"/>
        <v>1746</v>
      </c>
      <c r="BP1243">
        <f t="shared" si="975"/>
        <v>1741</v>
      </c>
      <c r="BQ1243" s="17">
        <f t="shared" si="976"/>
        <v>1746</v>
      </c>
      <c r="BR1243" t="str">
        <f t="shared" si="977"/>
        <v>opp_team_player_1</v>
      </c>
      <c r="BS1243">
        <f>COUNTIFS(S$3:S1243,"="&amp;S1243,AI$3:AI1243,"="&amp;AI1243)</f>
        <v>1</v>
      </c>
      <c r="BT1243" t="str">
        <f>IFERROR(VLOOKUP(BB1243&amp;BU1243&amp;X1243,game_rosters!U:W,3,FALSE),"")</f>
        <v>P100016</v>
      </c>
      <c r="BU1243" t="str">
        <f t="shared" si="978"/>
        <v>Velodrome</v>
      </c>
    </row>
    <row r="1244" spans="1:73" x14ac:dyDescent="0.2">
      <c r="A1244">
        <f t="shared" si="964"/>
        <v>1</v>
      </c>
      <c r="J1244" s="44" t="str">
        <f t="shared" si="979"/>
        <v>o</v>
      </c>
      <c r="K1244" t="s">
        <v>6</v>
      </c>
      <c r="L1244" t="s">
        <v>207</v>
      </c>
      <c r="M1244" t="s">
        <v>54</v>
      </c>
      <c r="S1244">
        <v>672</v>
      </c>
      <c r="W1244" t="str">
        <f t="shared" si="955"/>
        <v>h</v>
      </c>
      <c r="X1244">
        <v>22</v>
      </c>
      <c r="Y1244" t="e">
        <f>IF(X1244&lt;&gt;"",VLOOKUP(X1244,game_rosters!$C$43:$E$64,3,FALSE))</f>
        <v>#N/A</v>
      </c>
      <c r="Z1244" t="str" cm="1">
        <f t="array" ref="Z1244">IFERROR(IF(_xlfn._xlws.FILTER(game_rosters!$J:$J,(game_rosters!$G:$G=events!$AN1244)*(game_rosters!$J:$J=events!$X1244))&gt;0,1,""),"")</f>
        <v/>
      </c>
      <c r="AA1244">
        <f t="shared" si="913"/>
        <v>1672</v>
      </c>
      <c r="AB1244" t="str">
        <f t="shared" si="914"/>
        <v/>
      </c>
      <c r="AC1244">
        <f t="shared" si="952"/>
        <v>1672</v>
      </c>
      <c r="AD1244" s="6">
        <v>2</v>
      </c>
      <c r="AE1244" t="s">
        <v>936</v>
      </c>
      <c r="AF1244" t="s">
        <v>911</v>
      </c>
      <c r="AG1244" t="s">
        <v>756</v>
      </c>
      <c r="AH1244" t="s">
        <v>756</v>
      </c>
      <c r="AI1244" t="s">
        <v>368</v>
      </c>
      <c r="AJ1244" t="str">
        <f t="shared" ref="AJ1244:AK1244" si="1002">IF($J1244&lt;&gt;"",$J1244,IF($AC1244=$AC1243,AJ1243,""))</f>
        <v>o</v>
      </c>
      <c r="AK1244" t="str">
        <f t="shared" si="1002"/>
        <v>o</v>
      </c>
      <c r="AL1244" t="str">
        <f t="shared" si="957"/>
        <v>o</v>
      </c>
      <c r="AN1244" t="s">
        <v>861</v>
      </c>
      <c r="AO1244" t="str">
        <f t="shared" si="958"/>
        <v>h</v>
      </c>
      <c r="AP1244" t="str">
        <f t="shared" si="966"/>
        <v>o</v>
      </c>
      <c r="AQ1244" t="str">
        <f t="shared" si="967"/>
        <v/>
      </c>
      <c r="AR1244" t="str">
        <f t="shared" si="968"/>
        <v>Home</v>
      </c>
      <c r="AS1244" t="str">
        <f t="shared" si="969"/>
        <v>h</v>
      </c>
      <c r="AT1244" t="str">
        <f t="shared" si="970"/>
        <v>Defensive</v>
      </c>
      <c r="BA1244" s="6">
        <f t="shared" si="959"/>
        <v>297</v>
      </c>
      <c r="BB1244">
        <f t="shared" si="960"/>
        <v>18981</v>
      </c>
      <c r="BC1244" t="str">
        <f t="shared" si="961"/>
        <v>Nelson</v>
      </c>
      <c r="BD1244" t="str">
        <f t="shared" si="962"/>
        <v>Velodrome</v>
      </c>
      <c r="BE1244" t="s">
        <v>6</v>
      </c>
      <c r="BF1244" t="s">
        <v>207</v>
      </c>
      <c r="BG1244" t="s">
        <v>54</v>
      </c>
      <c r="BI1244" cm="1">
        <f t="array" ref="BI1244">IFERROR(_xlfn._xlws.FILTER(shifts!A:A,(shifts!B:B=events!AD1244)*(shifts!AG:AG&gt;=events!BK1244)*(shifts!AH:AH&lt;=events!BL1244)),BI1243)</f>
        <v>57</v>
      </c>
      <c r="BJ1244" s="15">
        <f t="shared" si="963"/>
        <v>0</v>
      </c>
      <c r="BK1244">
        <f t="shared" si="971"/>
        <v>486</v>
      </c>
      <c r="BL1244">
        <f t="shared" si="972"/>
        <v>486</v>
      </c>
      <c r="BM1244" s="15">
        <f>SUMIFS(BJ$2:BJ1244,K$2:K1244,"=Intermission")+SUMIFS(BJ$2:BJ1244,K$2:K1244,"=Timeout")</f>
        <v>72</v>
      </c>
      <c r="BN1244">
        <f t="shared" si="973"/>
        <v>1152</v>
      </c>
      <c r="BO1244" s="19">
        <f t="shared" si="974"/>
        <v>1746</v>
      </c>
      <c r="BP1244">
        <f t="shared" si="975"/>
        <v>1741</v>
      </c>
      <c r="BQ1244" s="17">
        <f t="shared" si="976"/>
        <v>1746</v>
      </c>
      <c r="BR1244" t="str">
        <f t="shared" si="977"/>
        <v>opp_team_player_2</v>
      </c>
      <c r="BS1244">
        <f>COUNTIFS(S$3:S1244,"="&amp;S1244,AI$3:AI1244,"="&amp;AI1244)</f>
        <v>2</v>
      </c>
      <c r="BT1244" t="str">
        <f>IFERROR(VLOOKUP(BB1244&amp;BU1244&amp;X1244,game_rosters!U:W,3,FALSE),"")</f>
        <v>P100108</v>
      </c>
      <c r="BU1244" t="str">
        <f t="shared" si="978"/>
        <v>Velodrome</v>
      </c>
    </row>
    <row r="1245" spans="1:73" x14ac:dyDescent="0.2">
      <c r="A1245">
        <f t="shared" si="964"/>
        <v>1</v>
      </c>
      <c r="J1245" s="44" t="str">
        <f t="shared" si="979"/>
        <v>d</v>
      </c>
      <c r="K1245" t="s">
        <v>15</v>
      </c>
      <c r="L1245" t="s">
        <v>179</v>
      </c>
      <c r="M1245" t="s">
        <v>97</v>
      </c>
      <c r="S1245">
        <v>673</v>
      </c>
      <c r="W1245" t="str">
        <f t="shared" si="955"/>
        <v>a</v>
      </c>
      <c r="X1245">
        <v>39</v>
      </c>
      <c r="Y1245" t="e">
        <f>IF(X1245&lt;&gt;"",VLOOKUP(X1245,game_rosters!$C$43:$E$64,3,FALSE))</f>
        <v>#N/A</v>
      </c>
      <c r="Z1245" cm="1">
        <f t="array" ref="Z1245">IFERROR(IF(_xlfn._xlws.FILTER(game_rosters!$J:$J,(game_rosters!$G:$G=events!$AN1245)*(game_rosters!$J:$J=events!$X1245))&gt;0,1,""),"")</f>
        <v>1</v>
      </c>
      <c r="AA1245">
        <f t="shared" ref="AA1245:AA1308" si="1003">S1245+1000</f>
        <v>1673</v>
      </c>
      <c r="AB1245" t="str">
        <f t="shared" ref="AB1245:AB1308" si="1004">IF(T1245&lt;&gt;"",9000+T1245,"")</f>
        <v/>
      </c>
      <c r="AC1245">
        <f t="shared" si="952"/>
        <v>1673</v>
      </c>
      <c r="AD1245" s="6">
        <v>2</v>
      </c>
      <c r="AE1245" t="s">
        <v>936</v>
      </c>
      <c r="AF1245" t="s">
        <v>911</v>
      </c>
      <c r="AG1245" t="s">
        <v>756</v>
      </c>
      <c r="AH1245" t="s">
        <v>756</v>
      </c>
      <c r="AI1245" t="s">
        <v>367</v>
      </c>
      <c r="AJ1245" t="str">
        <f t="shared" ref="AJ1245:AK1245" si="1005">IF($J1245&lt;&gt;"",$J1245,IF($AC1245=$AC1244,AJ1244,""))</f>
        <v>d</v>
      </c>
      <c r="AK1245" t="str">
        <f t="shared" si="1005"/>
        <v>d</v>
      </c>
      <c r="AL1245" t="str">
        <f t="shared" si="957"/>
        <v>o</v>
      </c>
      <c r="AN1245" t="s">
        <v>862</v>
      </c>
      <c r="AO1245" t="str">
        <f t="shared" si="958"/>
        <v>a</v>
      </c>
      <c r="AP1245" t="str">
        <f t="shared" si="966"/>
        <v>o</v>
      </c>
      <c r="AQ1245" t="str">
        <f t="shared" si="967"/>
        <v/>
      </c>
      <c r="AR1245" t="str">
        <f t="shared" si="968"/>
        <v>Away</v>
      </c>
      <c r="AS1245" t="str">
        <f t="shared" si="969"/>
        <v>a</v>
      </c>
      <c r="AT1245" t="str">
        <f t="shared" si="970"/>
        <v>Defensive</v>
      </c>
      <c r="BA1245" s="6">
        <f t="shared" si="959"/>
        <v>297</v>
      </c>
      <c r="BB1245">
        <f t="shared" si="960"/>
        <v>18981</v>
      </c>
      <c r="BC1245" t="str">
        <f t="shared" si="961"/>
        <v>Nelson</v>
      </c>
      <c r="BD1245" t="str">
        <f t="shared" si="962"/>
        <v>Velodrome</v>
      </c>
      <c r="BE1245" t="s">
        <v>15</v>
      </c>
      <c r="BF1245" t="s">
        <v>179</v>
      </c>
      <c r="BG1245" t="s">
        <v>97</v>
      </c>
      <c r="BI1245" cm="1">
        <f t="array" ref="BI1245">IFERROR(_xlfn._xlws.FILTER(shifts!A:A,(shifts!B:B=events!AD1245)*(shifts!AG:AG&gt;=events!BK1245)*(shifts!AH:AH&lt;=events!BL1245)),BI1244)</f>
        <v>57</v>
      </c>
      <c r="BJ1245" s="15">
        <f t="shared" si="963"/>
        <v>0</v>
      </c>
      <c r="BK1245">
        <f t="shared" si="971"/>
        <v>486</v>
      </c>
      <c r="BL1245">
        <f t="shared" si="972"/>
        <v>486</v>
      </c>
      <c r="BM1245" s="15">
        <f>SUMIFS(BJ$2:BJ1245,K$2:K1245,"=Intermission")+SUMIFS(BJ$2:BJ1245,K$2:K1245,"=Timeout")</f>
        <v>72</v>
      </c>
      <c r="BN1245">
        <f t="shared" si="973"/>
        <v>1152</v>
      </c>
      <c r="BO1245" s="19">
        <f t="shared" si="974"/>
        <v>1746</v>
      </c>
      <c r="BP1245">
        <f t="shared" si="975"/>
        <v>1741</v>
      </c>
      <c r="BQ1245" s="17">
        <f t="shared" si="976"/>
        <v>1746</v>
      </c>
      <c r="BR1245" t="str">
        <f t="shared" si="977"/>
        <v>event_team_player_1</v>
      </c>
      <c r="BS1245">
        <f>COUNTIFS(S$3:S1245,"="&amp;S1245,AI$3:AI1245,"="&amp;AI1245)</f>
        <v>1</v>
      </c>
      <c r="BT1245" t="str">
        <f>IFERROR(VLOOKUP(BB1245&amp;BU1245&amp;X1245,game_rosters!U:W,3,FALSE),"")</f>
        <v>P100016</v>
      </c>
      <c r="BU1245" t="str">
        <f t="shared" si="978"/>
        <v>Velodrome</v>
      </c>
    </row>
    <row r="1246" spans="1:73" x14ac:dyDescent="0.2">
      <c r="A1246">
        <f t="shared" si="964"/>
        <v>1</v>
      </c>
      <c r="J1246" s="44" t="str">
        <f t="shared" si="979"/>
        <v>d</v>
      </c>
      <c r="K1246" t="s">
        <v>15</v>
      </c>
      <c r="L1246" t="s">
        <v>179</v>
      </c>
      <c r="M1246" t="s">
        <v>97</v>
      </c>
      <c r="S1246">
        <v>673</v>
      </c>
      <c r="W1246" t="str">
        <f t="shared" si="955"/>
        <v>a</v>
      </c>
      <c r="X1246">
        <v>22</v>
      </c>
      <c r="Y1246" t="e">
        <f>IF(X1246&lt;&gt;"",VLOOKUP(X1246,game_rosters!$C$43:$E$64,3,FALSE))</f>
        <v>#N/A</v>
      </c>
      <c r="Z1246" cm="1">
        <f t="array" ref="Z1246">IFERROR(IF(_xlfn._xlws.FILTER(game_rosters!$J:$J,(game_rosters!$G:$G=events!$AN1246)*(game_rosters!$J:$J=events!$X1246))&gt;0,1,""),"")</f>
        <v>1</v>
      </c>
      <c r="AA1246">
        <f t="shared" si="1003"/>
        <v>1673</v>
      </c>
      <c r="AB1246" t="str">
        <f t="shared" si="1004"/>
        <v/>
      </c>
      <c r="AC1246">
        <f t="shared" si="952"/>
        <v>1673</v>
      </c>
      <c r="AD1246" s="6">
        <v>2</v>
      </c>
      <c r="AE1246" t="s">
        <v>936</v>
      </c>
      <c r="AF1246" t="s">
        <v>911</v>
      </c>
      <c r="AG1246" t="s">
        <v>756</v>
      </c>
      <c r="AH1246" t="s">
        <v>756</v>
      </c>
      <c r="AI1246" t="s">
        <v>367</v>
      </c>
      <c r="AJ1246" t="str">
        <f t="shared" ref="AJ1246:AK1246" si="1006">IF($J1246&lt;&gt;"",$J1246,IF($AC1246=$AC1245,AJ1245,""))</f>
        <v>d</v>
      </c>
      <c r="AK1246" t="str">
        <f t="shared" si="1006"/>
        <v>d</v>
      </c>
      <c r="AL1246" t="str">
        <f t="shared" si="957"/>
        <v>o</v>
      </c>
      <c r="AN1246" t="s">
        <v>862</v>
      </c>
      <c r="AO1246" t="str">
        <f t="shared" si="958"/>
        <v>a</v>
      </c>
      <c r="AP1246" t="str">
        <f t="shared" si="966"/>
        <v>o</v>
      </c>
      <c r="AQ1246" t="str">
        <f t="shared" si="967"/>
        <v/>
      </c>
      <c r="AR1246" t="str">
        <f t="shared" si="968"/>
        <v>Away</v>
      </c>
      <c r="AS1246" t="str">
        <f t="shared" si="969"/>
        <v>a</v>
      </c>
      <c r="AT1246" t="str">
        <f t="shared" si="970"/>
        <v>Defensive</v>
      </c>
      <c r="BA1246" s="6">
        <f t="shared" si="959"/>
        <v>297</v>
      </c>
      <c r="BB1246">
        <f t="shared" si="960"/>
        <v>18981</v>
      </c>
      <c r="BC1246" t="str">
        <f t="shared" si="961"/>
        <v>Nelson</v>
      </c>
      <c r="BD1246" t="str">
        <f t="shared" si="962"/>
        <v>Velodrome</v>
      </c>
      <c r="BE1246" t="s">
        <v>15</v>
      </c>
      <c r="BF1246" t="s">
        <v>179</v>
      </c>
      <c r="BG1246" t="s">
        <v>97</v>
      </c>
      <c r="BI1246" cm="1">
        <f t="array" ref="BI1246">IFERROR(_xlfn._xlws.FILTER(shifts!A:A,(shifts!B:B=events!AD1246)*(shifts!AG:AG&gt;=events!BK1246)*(shifts!AH:AH&lt;=events!BL1246)),BI1245)</f>
        <v>57</v>
      </c>
      <c r="BJ1246" s="15">
        <f t="shared" si="963"/>
        <v>0</v>
      </c>
      <c r="BK1246">
        <f t="shared" si="971"/>
        <v>486</v>
      </c>
      <c r="BL1246">
        <f t="shared" si="972"/>
        <v>486</v>
      </c>
      <c r="BM1246" s="15">
        <f>SUMIFS(BJ$2:BJ1246,K$2:K1246,"=Intermission")+SUMIFS(BJ$2:BJ1246,K$2:K1246,"=Timeout")</f>
        <v>72</v>
      </c>
      <c r="BN1246">
        <f t="shared" si="973"/>
        <v>1152</v>
      </c>
      <c r="BO1246" s="19">
        <f t="shared" si="974"/>
        <v>1746</v>
      </c>
      <c r="BP1246">
        <f t="shared" si="975"/>
        <v>1741</v>
      </c>
      <c r="BQ1246" s="17">
        <f t="shared" si="976"/>
        <v>1746</v>
      </c>
      <c r="BR1246" t="str">
        <f t="shared" si="977"/>
        <v>event_team_player_2</v>
      </c>
      <c r="BS1246">
        <f>COUNTIFS(S$3:S1246,"="&amp;S1246,AI$3:AI1246,"="&amp;AI1246)</f>
        <v>2</v>
      </c>
      <c r="BT1246" t="str">
        <f>IFERROR(VLOOKUP(BB1246&amp;BU1246&amp;X1246,game_rosters!U:W,3,FALSE),"")</f>
        <v>P100108</v>
      </c>
      <c r="BU1246" t="str">
        <f t="shared" si="978"/>
        <v>Velodrome</v>
      </c>
    </row>
    <row r="1247" spans="1:73" x14ac:dyDescent="0.2">
      <c r="A1247">
        <f t="shared" si="964"/>
        <v>1</v>
      </c>
      <c r="J1247" s="44" t="str">
        <f t="shared" si="979"/>
        <v>d</v>
      </c>
      <c r="K1247" t="s">
        <v>15</v>
      </c>
      <c r="L1247" t="s">
        <v>179</v>
      </c>
      <c r="M1247" t="s">
        <v>97</v>
      </c>
      <c r="S1247">
        <v>673</v>
      </c>
      <c r="W1247" t="str">
        <f t="shared" si="955"/>
        <v>a</v>
      </c>
      <c r="X1247">
        <v>79</v>
      </c>
      <c r="Y1247" t="b">
        <f>IF(X1247&lt;&gt;"",VLOOKUP(X1247,game_rosters!$C$43:$E$64,3,FALSE))</f>
        <v>0</v>
      </c>
      <c r="Z1247" t="str" cm="1">
        <f t="array" ref="Z1247">IFERROR(IF(_xlfn._xlws.FILTER(game_rosters!$J:$J,(game_rosters!$G:$G=events!$AN1247)*(game_rosters!$J:$J=events!$X1247))&gt;0,1,""),"")</f>
        <v/>
      </c>
      <c r="AA1247">
        <f t="shared" si="1003"/>
        <v>1673</v>
      </c>
      <c r="AB1247" t="str">
        <f t="shared" si="1004"/>
        <v/>
      </c>
      <c r="AC1247">
        <f t="shared" si="952"/>
        <v>1673</v>
      </c>
      <c r="AD1247" s="6">
        <v>2</v>
      </c>
      <c r="AE1247" t="s">
        <v>936</v>
      </c>
      <c r="AF1247" t="s">
        <v>911</v>
      </c>
      <c r="AG1247" t="s">
        <v>756</v>
      </c>
      <c r="AH1247" t="s">
        <v>756</v>
      </c>
      <c r="AI1247" t="s">
        <v>368</v>
      </c>
      <c r="AJ1247" t="str">
        <f t="shared" ref="AJ1247:AK1247" si="1007">IF($J1247&lt;&gt;"",$J1247,IF($AC1247=$AC1246,AJ1246,""))</f>
        <v>d</v>
      </c>
      <c r="AK1247" t="str">
        <f t="shared" si="1007"/>
        <v>d</v>
      </c>
      <c r="AL1247" t="str">
        <f t="shared" si="957"/>
        <v>o</v>
      </c>
      <c r="AN1247" t="s">
        <v>862</v>
      </c>
      <c r="AO1247" t="str">
        <f t="shared" si="958"/>
        <v>a</v>
      </c>
      <c r="AP1247" t="str">
        <f t="shared" si="966"/>
        <v>o</v>
      </c>
      <c r="AQ1247" t="str">
        <f t="shared" si="967"/>
        <v/>
      </c>
      <c r="AR1247" t="str">
        <f t="shared" si="968"/>
        <v>Away</v>
      </c>
      <c r="AS1247" t="str">
        <f t="shared" si="969"/>
        <v>a</v>
      </c>
      <c r="AT1247" t="str">
        <f t="shared" si="970"/>
        <v>Offensive</v>
      </c>
      <c r="BA1247" s="6">
        <f t="shared" si="959"/>
        <v>297</v>
      </c>
      <c r="BB1247">
        <f t="shared" si="960"/>
        <v>18981</v>
      </c>
      <c r="BC1247" t="str">
        <f t="shared" si="961"/>
        <v>Nelson</v>
      </c>
      <c r="BD1247" t="str">
        <f t="shared" si="962"/>
        <v>Velodrome</v>
      </c>
      <c r="BE1247" t="s">
        <v>15</v>
      </c>
      <c r="BF1247" t="s">
        <v>179</v>
      </c>
      <c r="BG1247" t="s">
        <v>97</v>
      </c>
      <c r="BI1247" cm="1">
        <f t="array" ref="BI1247">IFERROR(_xlfn._xlws.FILTER(shifts!A:A,(shifts!B:B=events!AD1247)*(shifts!AG:AG&gt;=events!BK1247)*(shifts!AH:AH&lt;=events!BL1247)),BI1246)</f>
        <v>57</v>
      </c>
      <c r="BJ1247" s="15">
        <f t="shared" si="963"/>
        <v>0</v>
      </c>
      <c r="BK1247">
        <f t="shared" si="971"/>
        <v>486</v>
      </c>
      <c r="BL1247">
        <f t="shared" si="972"/>
        <v>486</v>
      </c>
      <c r="BM1247" s="15">
        <f>SUMIFS(BJ$2:BJ1247,K$2:K1247,"=Intermission")+SUMIFS(BJ$2:BJ1247,K$2:K1247,"=Timeout")</f>
        <v>72</v>
      </c>
      <c r="BN1247">
        <f t="shared" si="973"/>
        <v>1152</v>
      </c>
      <c r="BO1247" s="19">
        <f t="shared" si="974"/>
        <v>1746</v>
      </c>
      <c r="BP1247">
        <f t="shared" si="975"/>
        <v>1741</v>
      </c>
      <c r="BQ1247" s="17">
        <f t="shared" si="976"/>
        <v>1746</v>
      </c>
      <c r="BR1247" t="str">
        <f t="shared" si="977"/>
        <v>opp_team_player_1</v>
      </c>
      <c r="BS1247">
        <f>COUNTIFS(S$3:S1247,"="&amp;S1247,AI$3:AI1247,"="&amp;AI1247)</f>
        <v>1</v>
      </c>
      <c r="BT1247" t="str">
        <f>IFERROR(VLOOKUP(BB1247&amp;BU1247&amp;X1247,game_rosters!U:W,3,FALSE),"")</f>
        <v>P100066</v>
      </c>
      <c r="BU1247" t="str">
        <f t="shared" si="978"/>
        <v>Nelson</v>
      </c>
    </row>
    <row r="1248" spans="1:73" x14ac:dyDescent="0.2">
      <c r="A1248">
        <f t="shared" si="964"/>
        <v>1</v>
      </c>
      <c r="J1248" s="44" t="str">
        <f t="shared" si="979"/>
        <v>d</v>
      </c>
      <c r="K1248" t="s">
        <v>231</v>
      </c>
      <c r="L1248" t="s">
        <v>233</v>
      </c>
      <c r="M1248" t="s">
        <v>756</v>
      </c>
      <c r="S1248">
        <v>674</v>
      </c>
      <c r="W1248" t="str">
        <f t="shared" si="955"/>
        <v>a</v>
      </c>
      <c r="X1248">
        <v>39</v>
      </c>
      <c r="Y1248" t="e">
        <f>IF(X1248&lt;&gt;"",VLOOKUP(X1248,game_rosters!$C$43:$E$64,3,FALSE))</f>
        <v>#N/A</v>
      </c>
      <c r="Z1248" cm="1">
        <f t="array" ref="Z1248">IFERROR(IF(_xlfn._xlws.FILTER(game_rosters!$J:$J,(game_rosters!$G:$G=events!$AN1248)*(game_rosters!$J:$J=events!$X1248))&gt;0,1,""),"")</f>
        <v>1</v>
      </c>
      <c r="AA1248">
        <f t="shared" si="1003"/>
        <v>1674</v>
      </c>
      <c r="AB1248" t="str">
        <f t="shared" si="1004"/>
        <v/>
      </c>
      <c r="AC1248">
        <f t="shared" si="952"/>
        <v>1674</v>
      </c>
      <c r="AD1248" s="6">
        <v>2</v>
      </c>
      <c r="AE1248" t="s">
        <v>936</v>
      </c>
      <c r="AF1248" t="s">
        <v>911</v>
      </c>
      <c r="AG1248" t="s">
        <v>756</v>
      </c>
      <c r="AH1248" t="s">
        <v>756</v>
      </c>
      <c r="AI1248" t="s">
        <v>367</v>
      </c>
      <c r="AJ1248" t="str">
        <f t="shared" ref="AJ1248:AK1248" si="1008">IF($J1248&lt;&gt;"",$J1248,IF($AC1248=$AC1247,AJ1247,""))</f>
        <v>d</v>
      </c>
      <c r="AK1248" t="str">
        <f t="shared" si="1008"/>
        <v>d</v>
      </c>
      <c r="AL1248" t="str">
        <f t="shared" si="957"/>
        <v>o</v>
      </c>
      <c r="AN1248" t="s">
        <v>862</v>
      </c>
      <c r="AO1248" t="str">
        <f t="shared" si="958"/>
        <v>a</v>
      </c>
      <c r="AP1248" t="str">
        <f t="shared" si="966"/>
        <v>o</v>
      </c>
      <c r="AQ1248" t="str">
        <f t="shared" si="967"/>
        <v/>
      </c>
      <c r="AR1248" t="str">
        <f t="shared" si="968"/>
        <v>Away</v>
      </c>
      <c r="AS1248" t="str">
        <f t="shared" si="969"/>
        <v>a</v>
      </c>
      <c r="AT1248" t="str">
        <f t="shared" si="970"/>
        <v>Offensive</v>
      </c>
      <c r="BA1248" s="6">
        <f t="shared" si="959"/>
        <v>297</v>
      </c>
      <c r="BB1248">
        <f t="shared" si="960"/>
        <v>18981</v>
      </c>
      <c r="BC1248" t="str">
        <f t="shared" si="961"/>
        <v>Nelson</v>
      </c>
      <c r="BD1248" t="str">
        <f t="shared" si="962"/>
        <v>Velodrome</v>
      </c>
      <c r="BE1248" t="s">
        <v>231</v>
      </c>
      <c r="BF1248" t="s">
        <v>233</v>
      </c>
      <c r="BG1248" t="s">
        <v>756</v>
      </c>
      <c r="BI1248" cm="1">
        <f t="array" ref="BI1248">IFERROR(_xlfn._xlws.FILTER(shifts!A:A,(shifts!B:B=events!AD1248)*(shifts!AG:AG&gt;=events!BK1248)*(shifts!AH:AH&lt;=events!BL1248)),BI1247)</f>
        <v>57</v>
      </c>
      <c r="BJ1248" s="15">
        <f t="shared" si="963"/>
        <v>0</v>
      </c>
      <c r="BK1248">
        <f t="shared" si="971"/>
        <v>486</v>
      </c>
      <c r="BL1248">
        <f t="shared" si="972"/>
        <v>486</v>
      </c>
      <c r="BM1248" s="15">
        <f>SUMIFS(BJ$2:BJ1248,K$2:K1248,"=Intermission")+SUMIFS(BJ$2:BJ1248,K$2:K1248,"=Timeout")</f>
        <v>72</v>
      </c>
      <c r="BN1248">
        <f t="shared" si="973"/>
        <v>1152</v>
      </c>
      <c r="BO1248" s="19">
        <f t="shared" si="974"/>
        <v>1746</v>
      </c>
      <c r="BP1248">
        <f t="shared" si="975"/>
        <v>1741</v>
      </c>
      <c r="BQ1248" s="17">
        <f t="shared" si="976"/>
        <v>1746</v>
      </c>
      <c r="BR1248" t="str">
        <f t="shared" si="977"/>
        <v>event_team_player_1</v>
      </c>
      <c r="BS1248">
        <f>COUNTIFS(S$3:S1248,"="&amp;S1248,AI$3:AI1248,"="&amp;AI1248)</f>
        <v>1</v>
      </c>
      <c r="BT1248" t="str">
        <f>IFERROR(VLOOKUP(BB1248&amp;BU1248&amp;X1248,game_rosters!U:W,3,FALSE),"")</f>
        <v>P100016</v>
      </c>
      <c r="BU1248" t="str">
        <f t="shared" si="978"/>
        <v>Velodrome</v>
      </c>
    </row>
    <row r="1249" spans="1:73" x14ac:dyDescent="0.2">
      <c r="A1249">
        <f t="shared" si="964"/>
        <v>1</v>
      </c>
      <c r="J1249" s="44" t="str">
        <f t="shared" si="979"/>
        <v/>
      </c>
      <c r="K1249" t="s">
        <v>13</v>
      </c>
      <c r="L1249" t="s">
        <v>756</v>
      </c>
      <c r="M1249" t="s">
        <v>756</v>
      </c>
      <c r="S1249">
        <v>675</v>
      </c>
      <c r="W1249" t="str">
        <f t="shared" si="955"/>
        <v>h</v>
      </c>
      <c r="X1249">
        <v>79</v>
      </c>
      <c r="Y1249" t="b">
        <f>IF(X1249&lt;&gt;"",VLOOKUP(X1249,game_rosters!$C$43:$E$64,3,FALSE))</f>
        <v>0</v>
      </c>
      <c r="Z1249" cm="1">
        <f t="array" ref="Z1249">IFERROR(IF(_xlfn._xlws.FILTER(game_rosters!$J:$J,(game_rosters!$G:$G=events!$AN1249)*(game_rosters!$J:$J=events!$X1249))&gt;0,1,""),"")</f>
        <v>1</v>
      </c>
      <c r="AA1249">
        <f t="shared" si="1003"/>
        <v>1675</v>
      </c>
      <c r="AB1249" t="str">
        <f t="shared" si="1004"/>
        <v/>
      </c>
      <c r="AC1249">
        <f t="shared" si="952"/>
        <v>1675</v>
      </c>
      <c r="AD1249" s="6">
        <v>2</v>
      </c>
      <c r="AE1249" t="s">
        <v>936</v>
      </c>
      <c r="AF1249" t="s">
        <v>913</v>
      </c>
      <c r="AG1249" t="s">
        <v>936</v>
      </c>
      <c r="AH1249" t="s">
        <v>413</v>
      </c>
      <c r="AI1249" t="s">
        <v>367</v>
      </c>
      <c r="AJ1249" t="str">
        <f t="shared" ref="AJ1249:AK1249" si="1009">IF($J1249&lt;&gt;"",$J1249,IF($AC1249=$AC1248,AJ1248,""))</f>
        <v/>
      </c>
      <c r="AK1249" t="str">
        <f t="shared" si="1009"/>
        <v/>
      </c>
      <c r="AL1249" t="str">
        <f t="shared" si="957"/>
        <v/>
      </c>
      <c r="AN1249" t="s">
        <v>861</v>
      </c>
      <c r="AO1249" t="str">
        <f t="shared" si="958"/>
        <v>h</v>
      </c>
      <c r="AP1249" t="str">
        <f t="shared" si="966"/>
        <v/>
      </c>
      <c r="AQ1249" t="str">
        <f t="shared" si="967"/>
        <v/>
      </c>
      <c r="AR1249" t="str">
        <f t="shared" si="968"/>
        <v>Home</v>
      </c>
      <c r="AS1249" t="str">
        <f t="shared" si="969"/>
        <v>h</v>
      </c>
      <c r="AT1249" t="str">
        <f t="shared" si="970"/>
        <v>Offensive</v>
      </c>
      <c r="BA1249" s="6">
        <f t="shared" si="959"/>
        <v>297</v>
      </c>
      <c r="BB1249">
        <f t="shared" si="960"/>
        <v>18981</v>
      </c>
      <c r="BC1249" t="str">
        <f t="shared" si="961"/>
        <v>Nelson</v>
      </c>
      <c r="BD1249" t="str">
        <f t="shared" si="962"/>
        <v>Velodrome</v>
      </c>
      <c r="BE1249" t="s">
        <v>13</v>
      </c>
      <c r="BF1249" t="s">
        <v>756</v>
      </c>
      <c r="BG1249" t="s">
        <v>756</v>
      </c>
      <c r="BI1249" cm="1">
        <f t="array" ref="BI1249">IFERROR(_xlfn._xlws.FILTER(shifts!A:A,(shifts!B:B=events!AD1249)*(shifts!AG:AG&gt;=events!BK1249)*(shifts!AH:AH&lt;=events!BL1249)),BI1248)</f>
        <v>57</v>
      </c>
      <c r="BJ1249" s="15">
        <f t="shared" si="963"/>
        <v>2</v>
      </c>
      <c r="BK1249">
        <f t="shared" si="971"/>
        <v>482</v>
      </c>
      <c r="BL1249">
        <f t="shared" si="972"/>
        <v>480</v>
      </c>
      <c r="BM1249" s="15">
        <f>SUMIFS(BJ$2:BJ1249,K$2:K1249,"=Intermission")+SUMIFS(BJ$2:BJ1249,K$2:K1249,"=Timeout")</f>
        <v>72</v>
      </c>
      <c r="BN1249">
        <f t="shared" si="973"/>
        <v>1152</v>
      </c>
      <c r="BO1249" s="19">
        <f t="shared" si="974"/>
        <v>1750</v>
      </c>
      <c r="BP1249">
        <f t="shared" si="975"/>
        <v>1745</v>
      </c>
      <c r="BQ1249" s="17">
        <f t="shared" si="976"/>
        <v>1752</v>
      </c>
      <c r="BR1249" t="str">
        <f t="shared" si="977"/>
        <v>event_team_player_1</v>
      </c>
      <c r="BS1249">
        <f>COUNTIFS(S$3:S1249,"="&amp;S1249,AI$3:AI1249,"="&amp;AI1249)</f>
        <v>1</v>
      </c>
      <c r="BT1249" t="str">
        <f>IFERROR(VLOOKUP(BB1249&amp;BU1249&amp;X1249,game_rosters!U:W,3,FALSE),"")</f>
        <v>P100066</v>
      </c>
      <c r="BU1249" t="str">
        <f t="shared" si="978"/>
        <v>Nelson</v>
      </c>
    </row>
    <row r="1250" spans="1:73" x14ac:dyDescent="0.2">
      <c r="A1250">
        <f t="shared" si="964"/>
        <v>1</v>
      </c>
      <c r="J1250" s="44" t="str">
        <f t="shared" si="979"/>
        <v/>
      </c>
      <c r="K1250" t="s">
        <v>13</v>
      </c>
      <c r="L1250" t="s">
        <v>756</v>
      </c>
      <c r="M1250" t="s">
        <v>756</v>
      </c>
      <c r="S1250">
        <v>675</v>
      </c>
      <c r="W1250" t="str">
        <f t="shared" si="955"/>
        <v>h</v>
      </c>
      <c r="X1250">
        <v>22</v>
      </c>
      <c r="Y1250" t="e">
        <f>IF(X1250&lt;&gt;"",VLOOKUP(X1250,game_rosters!$C$43:$E$64,3,FALSE))</f>
        <v>#N/A</v>
      </c>
      <c r="Z1250" t="str" cm="1">
        <f t="array" ref="Z1250">IFERROR(IF(_xlfn._xlws.FILTER(game_rosters!$J:$J,(game_rosters!$G:$G=events!$AN1250)*(game_rosters!$J:$J=events!$X1250))&gt;0,1,""),"")</f>
        <v/>
      </c>
      <c r="AA1250">
        <f t="shared" si="1003"/>
        <v>1675</v>
      </c>
      <c r="AB1250" t="str">
        <f t="shared" si="1004"/>
        <v/>
      </c>
      <c r="AC1250">
        <f t="shared" si="952"/>
        <v>1675</v>
      </c>
      <c r="AD1250" s="6">
        <v>2</v>
      </c>
      <c r="AE1250" t="s">
        <v>936</v>
      </c>
      <c r="AF1250" t="s">
        <v>913</v>
      </c>
      <c r="AG1250" t="s">
        <v>936</v>
      </c>
      <c r="AH1250" t="s">
        <v>413</v>
      </c>
      <c r="AI1250" t="s">
        <v>368</v>
      </c>
      <c r="AJ1250" t="str">
        <f t="shared" ref="AJ1250:AK1250" si="1010">IF($J1250&lt;&gt;"",$J1250,IF($AC1250=$AC1249,AJ1249,""))</f>
        <v/>
      </c>
      <c r="AK1250" t="str">
        <f t="shared" si="1010"/>
        <v/>
      </c>
      <c r="AL1250" t="str">
        <f t="shared" si="957"/>
        <v/>
      </c>
      <c r="AN1250" t="s">
        <v>861</v>
      </c>
      <c r="AO1250" t="str">
        <f t="shared" si="958"/>
        <v>h</v>
      </c>
      <c r="AP1250" t="str">
        <f t="shared" si="966"/>
        <v/>
      </c>
      <c r="AQ1250" t="str">
        <f t="shared" si="967"/>
        <v/>
      </c>
      <c r="AR1250" t="str">
        <f t="shared" si="968"/>
        <v>Home</v>
      </c>
      <c r="AS1250" t="str">
        <f t="shared" si="969"/>
        <v>h</v>
      </c>
      <c r="AT1250" t="str">
        <f t="shared" si="970"/>
        <v>Defensive</v>
      </c>
      <c r="BA1250" s="6">
        <f t="shared" si="959"/>
        <v>297</v>
      </c>
      <c r="BB1250">
        <f t="shared" si="960"/>
        <v>18981</v>
      </c>
      <c r="BC1250" t="str">
        <f t="shared" si="961"/>
        <v>Nelson</v>
      </c>
      <c r="BD1250" t="str">
        <f t="shared" si="962"/>
        <v>Velodrome</v>
      </c>
      <c r="BE1250" t="s">
        <v>13</v>
      </c>
      <c r="BF1250" t="s">
        <v>756</v>
      </c>
      <c r="BG1250" t="s">
        <v>756</v>
      </c>
      <c r="BI1250" cm="1">
        <f t="array" ref="BI1250">IFERROR(_xlfn._xlws.FILTER(shifts!A:A,(shifts!B:B=events!AD1250)*(shifts!AG:AG&gt;=events!BK1250)*(shifts!AH:AH&lt;=events!BL1250)),BI1249)</f>
        <v>57</v>
      </c>
      <c r="BJ1250" s="15">
        <f t="shared" si="963"/>
        <v>2</v>
      </c>
      <c r="BK1250">
        <f t="shared" si="971"/>
        <v>482</v>
      </c>
      <c r="BL1250">
        <f t="shared" si="972"/>
        <v>480</v>
      </c>
      <c r="BM1250" s="15">
        <f>SUMIFS(BJ$2:BJ1250,K$2:K1250,"=Intermission")+SUMIFS(BJ$2:BJ1250,K$2:K1250,"=Timeout")</f>
        <v>72</v>
      </c>
      <c r="BN1250">
        <f t="shared" si="973"/>
        <v>1152</v>
      </c>
      <c r="BO1250" s="19">
        <f t="shared" si="974"/>
        <v>1750</v>
      </c>
      <c r="BP1250">
        <f t="shared" si="975"/>
        <v>1745</v>
      </c>
      <c r="BQ1250" s="17">
        <f t="shared" si="976"/>
        <v>1752</v>
      </c>
      <c r="BR1250" t="str">
        <f t="shared" si="977"/>
        <v>opp_team_player_1</v>
      </c>
      <c r="BS1250">
        <f>COUNTIFS(S$3:S1250,"="&amp;S1250,AI$3:AI1250,"="&amp;AI1250)</f>
        <v>1</v>
      </c>
      <c r="BT1250" t="str">
        <f>IFERROR(VLOOKUP(BB1250&amp;BU1250&amp;X1250,game_rosters!U:W,3,FALSE),"")</f>
        <v>P100108</v>
      </c>
      <c r="BU1250" t="str">
        <f t="shared" si="978"/>
        <v>Velodrome</v>
      </c>
    </row>
    <row r="1251" spans="1:73" x14ac:dyDescent="0.2">
      <c r="A1251">
        <f t="shared" si="964"/>
        <v>1</v>
      </c>
      <c r="J1251" s="44" t="str">
        <f t="shared" si="979"/>
        <v/>
      </c>
      <c r="K1251" t="s">
        <v>7</v>
      </c>
      <c r="L1251" t="s">
        <v>172</v>
      </c>
      <c r="M1251" t="s">
        <v>68</v>
      </c>
      <c r="S1251">
        <v>676</v>
      </c>
      <c r="W1251" t="str">
        <f t="shared" si="955"/>
        <v>h</v>
      </c>
      <c r="X1251">
        <v>79</v>
      </c>
      <c r="Y1251" t="b">
        <f>IF(X1251&lt;&gt;"",VLOOKUP(X1251,game_rosters!$C$43:$E$64,3,FALSE))</f>
        <v>0</v>
      </c>
      <c r="Z1251" cm="1">
        <f t="array" ref="Z1251">IFERROR(IF(_xlfn._xlws.FILTER(game_rosters!$J:$J,(game_rosters!$G:$G=events!$AN1251)*(game_rosters!$J:$J=events!$X1251))&gt;0,1,""),"")</f>
        <v>1</v>
      </c>
      <c r="AA1251">
        <f t="shared" si="1003"/>
        <v>1676</v>
      </c>
      <c r="AB1251" t="str">
        <f t="shared" si="1004"/>
        <v/>
      </c>
      <c r="AC1251">
        <f t="shared" si="952"/>
        <v>1676</v>
      </c>
      <c r="AD1251" s="6">
        <v>2</v>
      </c>
      <c r="AE1251" t="s">
        <v>936</v>
      </c>
      <c r="AF1251" t="s">
        <v>413</v>
      </c>
      <c r="AG1251" t="s">
        <v>756</v>
      </c>
      <c r="AH1251" t="s">
        <v>756</v>
      </c>
      <c r="AI1251" t="s">
        <v>367</v>
      </c>
      <c r="AJ1251" t="str">
        <f t="shared" ref="AJ1251:AK1251" si="1011">IF($J1251&lt;&gt;"",$J1251,IF($AC1251=$AC1250,AJ1250,""))</f>
        <v/>
      </c>
      <c r="AK1251" t="str">
        <f t="shared" si="1011"/>
        <v/>
      </c>
      <c r="AL1251" t="str">
        <f t="shared" si="957"/>
        <v/>
      </c>
      <c r="AN1251" t="s">
        <v>861</v>
      </c>
      <c r="AO1251" t="str">
        <f t="shared" si="958"/>
        <v>h</v>
      </c>
      <c r="AP1251" t="str">
        <f t="shared" si="966"/>
        <v/>
      </c>
      <c r="AQ1251" t="str">
        <f t="shared" si="967"/>
        <v/>
      </c>
      <c r="AR1251" t="str">
        <f t="shared" si="968"/>
        <v>Home</v>
      </c>
      <c r="AS1251" t="str">
        <f t="shared" si="969"/>
        <v>h</v>
      </c>
      <c r="AT1251" t="str">
        <f t="shared" si="970"/>
        <v>Offensive</v>
      </c>
      <c r="BA1251" s="6">
        <f t="shared" si="959"/>
        <v>297</v>
      </c>
      <c r="BB1251">
        <f t="shared" si="960"/>
        <v>18981</v>
      </c>
      <c r="BC1251" t="str">
        <f t="shared" si="961"/>
        <v>Nelson</v>
      </c>
      <c r="BD1251" t="str">
        <f t="shared" si="962"/>
        <v>Velodrome</v>
      </c>
      <c r="BE1251" t="s">
        <v>7</v>
      </c>
      <c r="BF1251" t="s">
        <v>172</v>
      </c>
      <c r="BG1251" t="s">
        <v>68</v>
      </c>
      <c r="BI1251" cm="1">
        <f t="array" ref="BI1251">IFERROR(_xlfn._xlws.FILTER(shifts!A:A,(shifts!B:B=events!AD1251)*(shifts!AG:AG&gt;=events!BK1251)*(shifts!AH:AH&lt;=events!BL1251)),BI1250)</f>
        <v>57</v>
      </c>
      <c r="BJ1251" s="15">
        <f t="shared" si="963"/>
        <v>0</v>
      </c>
      <c r="BK1251">
        <f t="shared" si="971"/>
        <v>480</v>
      </c>
      <c r="BL1251">
        <f t="shared" si="972"/>
        <v>480</v>
      </c>
      <c r="BM1251" s="15">
        <f>SUMIFS(BJ$2:BJ1251,K$2:K1251,"=Intermission")+SUMIFS(BJ$2:BJ1251,K$2:K1251,"=Timeout")</f>
        <v>72</v>
      </c>
      <c r="BN1251">
        <f t="shared" si="973"/>
        <v>1152</v>
      </c>
      <c r="BO1251" s="19">
        <f t="shared" si="974"/>
        <v>1752</v>
      </c>
      <c r="BP1251">
        <f t="shared" si="975"/>
        <v>1747</v>
      </c>
      <c r="BQ1251" s="17">
        <f t="shared" si="976"/>
        <v>1752</v>
      </c>
      <c r="BR1251" t="str">
        <f t="shared" si="977"/>
        <v>event_team_player_1</v>
      </c>
      <c r="BS1251">
        <f>COUNTIFS(S$3:S1251,"="&amp;S1251,AI$3:AI1251,"="&amp;AI1251)</f>
        <v>1</v>
      </c>
      <c r="BT1251" t="str">
        <f>IFERROR(VLOOKUP(BB1251&amp;BU1251&amp;X1251,game_rosters!U:W,3,FALSE),"")</f>
        <v>P100066</v>
      </c>
      <c r="BU1251" t="str">
        <f t="shared" si="978"/>
        <v>Nelson</v>
      </c>
    </row>
    <row r="1252" spans="1:73" x14ac:dyDescent="0.2">
      <c r="A1252">
        <f t="shared" si="964"/>
        <v>1</v>
      </c>
      <c r="J1252" s="44" t="str">
        <f t="shared" si="979"/>
        <v/>
      </c>
      <c r="K1252" t="s">
        <v>7</v>
      </c>
      <c r="L1252" t="s">
        <v>172</v>
      </c>
      <c r="M1252" t="s">
        <v>68</v>
      </c>
      <c r="S1252">
        <v>676</v>
      </c>
      <c r="W1252" t="str">
        <f t="shared" si="955"/>
        <v>h</v>
      </c>
      <c r="X1252">
        <v>23</v>
      </c>
      <c r="Y1252" t="b">
        <f>IF(X1252&lt;&gt;"",VLOOKUP(X1252,game_rosters!$C$43:$E$64,3,FALSE))</f>
        <v>0</v>
      </c>
      <c r="Z1252" cm="1">
        <f t="array" ref="Z1252">IFERROR(IF(_xlfn._xlws.FILTER(game_rosters!$J:$J,(game_rosters!$G:$G=events!$AN1252)*(game_rosters!$J:$J=events!$X1252))&gt;0,1,""),"")</f>
        <v>1</v>
      </c>
      <c r="AA1252">
        <f t="shared" si="1003"/>
        <v>1676</v>
      </c>
      <c r="AB1252" t="str">
        <f t="shared" si="1004"/>
        <v/>
      </c>
      <c r="AC1252">
        <f t="shared" si="952"/>
        <v>1676</v>
      </c>
      <c r="AD1252" s="6">
        <v>2</v>
      </c>
      <c r="AE1252" t="s">
        <v>936</v>
      </c>
      <c r="AF1252" t="s">
        <v>413</v>
      </c>
      <c r="AG1252" t="s">
        <v>756</v>
      </c>
      <c r="AH1252" t="s">
        <v>756</v>
      </c>
      <c r="AI1252" t="s">
        <v>367</v>
      </c>
      <c r="AJ1252" t="str">
        <f t="shared" ref="AJ1252:AK1252" si="1012">IF($J1252&lt;&gt;"",$J1252,IF($AC1252=$AC1251,AJ1251,""))</f>
        <v/>
      </c>
      <c r="AK1252" t="str">
        <f t="shared" si="1012"/>
        <v/>
      </c>
      <c r="AL1252" t="str">
        <f t="shared" si="957"/>
        <v/>
      </c>
      <c r="AN1252" t="s">
        <v>861</v>
      </c>
      <c r="AO1252" t="str">
        <f t="shared" si="958"/>
        <v>h</v>
      </c>
      <c r="AP1252" t="str">
        <f t="shared" si="966"/>
        <v/>
      </c>
      <c r="AQ1252" t="str">
        <f t="shared" si="967"/>
        <v/>
      </c>
      <c r="AR1252" t="str">
        <f t="shared" si="968"/>
        <v>Home</v>
      </c>
      <c r="AS1252" t="str">
        <f t="shared" si="969"/>
        <v>h</v>
      </c>
      <c r="AT1252" t="str">
        <f t="shared" si="970"/>
        <v>Offensive</v>
      </c>
      <c r="BA1252" s="6">
        <f t="shared" si="959"/>
        <v>297</v>
      </c>
      <c r="BB1252">
        <f t="shared" si="960"/>
        <v>18981</v>
      </c>
      <c r="BC1252" t="str">
        <f t="shared" si="961"/>
        <v>Nelson</v>
      </c>
      <c r="BD1252" t="str">
        <f t="shared" si="962"/>
        <v>Velodrome</v>
      </c>
      <c r="BE1252" t="s">
        <v>7</v>
      </c>
      <c r="BF1252" t="s">
        <v>172</v>
      </c>
      <c r="BG1252" t="s">
        <v>68</v>
      </c>
      <c r="BI1252" cm="1">
        <f t="array" ref="BI1252">IFERROR(_xlfn._xlws.FILTER(shifts!A:A,(shifts!B:B=events!AD1252)*(shifts!AG:AG&gt;=events!BK1252)*(shifts!AH:AH&lt;=events!BL1252)),BI1251)</f>
        <v>57</v>
      </c>
      <c r="BJ1252" s="15">
        <f t="shared" si="963"/>
        <v>0</v>
      </c>
      <c r="BK1252">
        <f t="shared" si="971"/>
        <v>480</v>
      </c>
      <c r="BL1252">
        <f t="shared" si="972"/>
        <v>480</v>
      </c>
      <c r="BM1252" s="15">
        <f>SUMIFS(BJ$2:BJ1252,K$2:K1252,"=Intermission")+SUMIFS(BJ$2:BJ1252,K$2:K1252,"=Timeout")</f>
        <v>72</v>
      </c>
      <c r="BN1252">
        <f t="shared" si="973"/>
        <v>1152</v>
      </c>
      <c r="BO1252" s="19">
        <f t="shared" si="974"/>
        <v>1752</v>
      </c>
      <c r="BP1252">
        <f t="shared" si="975"/>
        <v>1747</v>
      </c>
      <c r="BQ1252" s="17">
        <f t="shared" si="976"/>
        <v>1752</v>
      </c>
      <c r="BR1252" t="str">
        <f t="shared" si="977"/>
        <v>event_team_player_2</v>
      </c>
      <c r="BS1252">
        <f>COUNTIFS(S$3:S1252,"="&amp;S1252,AI$3:AI1252,"="&amp;AI1252)</f>
        <v>2</v>
      </c>
      <c r="BT1252" t="str">
        <f>IFERROR(VLOOKUP(BB1252&amp;BU1252&amp;X1252,game_rosters!U:W,3,FALSE),"")</f>
        <v>P100061</v>
      </c>
      <c r="BU1252" t="str">
        <f t="shared" si="978"/>
        <v>Nelson</v>
      </c>
    </row>
    <row r="1253" spans="1:73" x14ac:dyDescent="0.2">
      <c r="A1253">
        <f t="shared" si="964"/>
        <v>1</v>
      </c>
      <c r="J1253" s="44" t="str">
        <f t="shared" si="979"/>
        <v/>
      </c>
      <c r="K1253" t="s">
        <v>13</v>
      </c>
      <c r="L1253" t="s">
        <v>756</v>
      </c>
      <c r="M1253" t="s">
        <v>756</v>
      </c>
      <c r="S1253">
        <v>677</v>
      </c>
      <c r="W1253" t="str">
        <f t="shared" si="955"/>
        <v>h</v>
      </c>
      <c r="X1253">
        <v>23</v>
      </c>
      <c r="Y1253" t="b">
        <f>IF(X1253&lt;&gt;"",VLOOKUP(X1253,game_rosters!$C$43:$E$64,3,FALSE))</f>
        <v>0</v>
      </c>
      <c r="Z1253" cm="1">
        <f t="array" ref="Z1253">IFERROR(IF(_xlfn._xlws.FILTER(game_rosters!$J:$J,(game_rosters!$G:$G=events!$AN1253)*(game_rosters!$J:$J=events!$X1253))&gt;0,1,""),"")</f>
        <v>1</v>
      </c>
      <c r="AA1253">
        <f t="shared" si="1003"/>
        <v>1677</v>
      </c>
      <c r="AB1253" t="str">
        <f t="shared" si="1004"/>
        <v/>
      </c>
      <c r="AC1253">
        <f t="shared" si="952"/>
        <v>1677</v>
      </c>
      <c r="AD1253" s="6">
        <v>2</v>
      </c>
      <c r="AE1253" t="s">
        <v>937</v>
      </c>
      <c r="AF1253" t="s">
        <v>896</v>
      </c>
      <c r="AG1253" t="s">
        <v>937</v>
      </c>
      <c r="AH1253" t="s">
        <v>927</v>
      </c>
      <c r="AI1253" t="s">
        <v>367</v>
      </c>
      <c r="AJ1253" t="str">
        <f t="shared" ref="AJ1253:AK1253" si="1013">IF($J1253&lt;&gt;"",$J1253,IF($AC1253=$AC1252,AJ1252,""))</f>
        <v/>
      </c>
      <c r="AK1253" t="str">
        <f t="shared" si="1013"/>
        <v/>
      </c>
      <c r="AL1253" t="str">
        <f t="shared" si="957"/>
        <v/>
      </c>
      <c r="AN1253" t="s">
        <v>861</v>
      </c>
      <c r="AO1253" t="str">
        <f t="shared" si="958"/>
        <v>h</v>
      </c>
      <c r="AP1253" t="str">
        <f t="shared" si="966"/>
        <v/>
      </c>
      <c r="AQ1253" t="str">
        <f t="shared" si="967"/>
        <v/>
      </c>
      <c r="AR1253" t="str">
        <f t="shared" si="968"/>
        <v>Home</v>
      </c>
      <c r="AS1253" t="str">
        <f t="shared" si="969"/>
        <v>h</v>
      </c>
      <c r="AT1253" t="str">
        <f t="shared" si="970"/>
        <v>Offensive</v>
      </c>
      <c r="BA1253" s="6">
        <f t="shared" si="959"/>
        <v>297</v>
      </c>
      <c r="BB1253">
        <f t="shared" si="960"/>
        <v>18981</v>
      </c>
      <c r="BC1253" t="str">
        <f t="shared" si="961"/>
        <v>Nelson</v>
      </c>
      <c r="BD1253" t="str">
        <f t="shared" si="962"/>
        <v>Velodrome</v>
      </c>
      <c r="BE1253" t="s">
        <v>13</v>
      </c>
      <c r="BF1253" t="s">
        <v>756</v>
      </c>
      <c r="BG1253" t="s">
        <v>756</v>
      </c>
      <c r="BI1253" cm="1">
        <f t="array" ref="BI1253">IFERROR(_xlfn._xlws.FILTER(shifts!A:A,(shifts!B:B=events!AD1253)*(shifts!AG:AG&gt;=events!BK1253)*(shifts!AH:AH&lt;=events!BL1253)),BI1252)</f>
        <v>57</v>
      </c>
      <c r="BJ1253" s="15">
        <f t="shared" si="963"/>
        <v>2</v>
      </c>
      <c r="BK1253">
        <f t="shared" si="971"/>
        <v>479</v>
      </c>
      <c r="BL1253">
        <f t="shared" si="972"/>
        <v>477</v>
      </c>
      <c r="BM1253" s="15">
        <f>SUMIFS(BJ$2:BJ1253,K$2:K1253,"=Intermission")+SUMIFS(BJ$2:BJ1253,K$2:K1253,"=Timeout")</f>
        <v>72</v>
      </c>
      <c r="BN1253">
        <f t="shared" si="973"/>
        <v>1152</v>
      </c>
      <c r="BO1253" s="19">
        <f t="shared" si="974"/>
        <v>1753</v>
      </c>
      <c r="BP1253">
        <f t="shared" si="975"/>
        <v>1748</v>
      </c>
      <c r="BQ1253" s="17">
        <f t="shared" si="976"/>
        <v>1755</v>
      </c>
      <c r="BR1253" t="str">
        <f t="shared" si="977"/>
        <v>event_team_player_1</v>
      </c>
      <c r="BS1253">
        <f>COUNTIFS(S$3:S1253,"="&amp;S1253,AI$3:AI1253,"="&amp;AI1253)</f>
        <v>1</v>
      </c>
      <c r="BT1253" t="str">
        <f>IFERROR(VLOOKUP(BB1253&amp;BU1253&amp;X1253,game_rosters!U:W,3,FALSE),"")</f>
        <v>P100061</v>
      </c>
      <c r="BU1253" t="str">
        <f t="shared" si="978"/>
        <v>Nelson</v>
      </c>
    </row>
    <row r="1254" spans="1:73" x14ac:dyDescent="0.2">
      <c r="A1254">
        <f t="shared" si="964"/>
        <v>1</v>
      </c>
      <c r="J1254" s="44" t="str">
        <f t="shared" si="979"/>
        <v/>
      </c>
      <c r="K1254" t="s">
        <v>7</v>
      </c>
      <c r="L1254" t="s">
        <v>182</v>
      </c>
      <c r="M1254" t="s">
        <v>445</v>
      </c>
      <c r="S1254">
        <v>678</v>
      </c>
      <c r="W1254" t="str">
        <f t="shared" si="955"/>
        <v>h</v>
      </c>
      <c r="X1254">
        <v>23</v>
      </c>
      <c r="Y1254" t="b">
        <f>IF(X1254&lt;&gt;"",VLOOKUP(X1254,game_rosters!$C$43:$E$64,3,FALSE))</f>
        <v>0</v>
      </c>
      <c r="Z1254" cm="1">
        <f t="array" ref="Z1254">IFERROR(IF(_xlfn._xlws.FILTER(game_rosters!$J:$J,(game_rosters!$G:$G=events!$AN1254)*(game_rosters!$J:$J=events!$X1254))&gt;0,1,""),"")</f>
        <v>1</v>
      </c>
      <c r="AA1254">
        <f t="shared" si="1003"/>
        <v>1678</v>
      </c>
      <c r="AB1254" t="str">
        <f t="shared" si="1004"/>
        <v/>
      </c>
      <c r="AC1254">
        <f t="shared" si="952"/>
        <v>1678</v>
      </c>
      <c r="AD1254" s="6">
        <v>2</v>
      </c>
      <c r="AE1254" t="s">
        <v>937</v>
      </c>
      <c r="AF1254" t="s">
        <v>927</v>
      </c>
      <c r="AG1254" t="s">
        <v>756</v>
      </c>
      <c r="AH1254" t="s">
        <v>756</v>
      </c>
      <c r="AI1254" t="s">
        <v>367</v>
      </c>
      <c r="AJ1254" t="str">
        <f t="shared" ref="AJ1254:AK1254" si="1014">IF($J1254&lt;&gt;"",$J1254,IF($AC1254=$AC1253,AJ1253,""))</f>
        <v/>
      </c>
      <c r="AK1254" t="str">
        <f t="shared" si="1014"/>
        <v/>
      </c>
      <c r="AL1254" t="str">
        <f t="shared" si="957"/>
        <v/>
      </c>
      <c r="AN1254" t="s">
        <v>861</v>
      </c>
      <c r="AO1254" t="str">
        <f t="shared" si="958"/>
        <v>h</v>
      </c>
      <c r="AP1254" t="str">
        <f t="shared" si="966"/>
        <v/>
      </c>
      <c r="AQ1254" t="str">
        <f t="shared" si="967"/>
        <v/>
      </c>
      <c r="AR1254" t="str">
        <f t="shared" si="968"/>
        <v>Home</v>
      </c>
      <c r="AS1254" t="str">
        <f t="shared" si="969"/>
        <v>h</v>
      </c>
      <c r="AT1254" t="str">
        <f t="shared" si="970"/>
        <v>Offensive</v>
      </c>
      <c r="BA1254" s="6">
        <f t="shared" si="959"/>
        <v>297</v>
      </c>
      <c r="BB1254">
        <f t="shared" si="960"/>
        <v>18981</v>
      </c>
      <c r="BC1254" t="str">
        <f t="shared" si="961"/>
        <v>Nelson</v>
      </c>
      <c r="BD1254" t="str">
        <f t="shared" si="962"/>
        <v>Velodrome</v>
      </c>
      <c r="BE1254" t="s">
        <v>7</v>
      </c>
      <c r="BF1254" t="s">
        <v>182</v>
      </c>
      <c r="BG1254" t="s">
        <v>445</v>
      </c>
      <c r="BI1254" cm="1">
        <f t="array" ref="BI1254">IFERROR(_xlfn._xlws.FILTER(shifts!A:A,(shifts!B:B=events!AD1254)*(shifts!AG:AG&gt;=events!BK1254)*(shifts!AH:AH&lt;=events!BL1254)),BI1253)</f>
        <v>57</v>
      </c>
      <c r="BJ1254" s="15">
        <f t="shared" si="963"/>
        <v>0</v>
      </c>
      <c r="BK1254">
        <f t="shared" si="971"/>
        <v>477</v>
      </c>
      <c r="BL1254">
        <f t="shared" si="972"/>
        <v>477</v>
      </c>
      <c r="BM1254" s="15">
        <f>SUMIFS(BJ$2:BJ1254,K$2:K1254,"=Intermission")+SUMIFS(BJ$2:BJ1254,K$2:K1254,"=Timeout")</f>
        <v>72</v>
      </c>
      <c r="BN1254">
        <f t="shared" si="973"/>
        <v>1152</v>
      </c>
      <c r="BO1254" s="19">
        <f t="shared" si="974"/>
        <v>1755</v>
      </c>
      <c r="BP1254">
        <f t="shared" si="975"/>
        <v>1750</v>
      </c>
      <c r="BQ1254" s="17">
        <f t="shared" si="976"/>
        <v>1755</v>
      </c>
      <c r="BR1254" t="str">
        <f t="shared" si="977"/>
        <v>event_team_player_1</v>
      </c>
      <c r="BS1254">
        <f>COUNTIFS(S$3:S1254,"="&amp;S1254,AI$3:AI1254,"="&amp;AI1254)</f>
        <v>1</v>
      </c>
      <c r="BT1254" t="str">
        <f>IFERROR(VLOOKUP(BB1254&amp;BU1254&amp;X1254,game_rosters!U:W,3,FALSE),"")</f>
        <v>P100061</v>
      </c>
      <c r="BU1254" t="str">
        <f t="shared" si="978"/>
        <v>Nelson</v>
      </c>
    </row>
    <row r="1255" spans="1:73" x14ac:dyDescent="0.2">
      <c r="A1255">
        <f t="shared" si="964"/>
        <v>1</v>
      </c>
      <c r="J1255" s="44" t="str">
        <f t="shared" si="979"/>
        <v/>
      </c>
      <c r="K1255" t="s">
        <v>7</v>
      </c>
      <c r="L1255" t="s">
        <v>182</v>
      </c>
      <c r="M1255" t="s">
        <v>445</v>
      </c>
      <c r="S1255">
        <v>678</v>
      </c>
      <c r="W1255" t="str">
        <f t="shared" si="955"/>
        <v>h</v>
      </c>
      <c r="X1255">
        <v>44</v>
      </c>
      <c r="Y1255" t="b">
        <f>IF(X1255&lt;&gt;"",VLOOKUP(X1255,game_rosters!$C$43:$E$64,3,FALSE))</f>
        <v>0</v>
      </c>
      <c r="Z1255" cm="1">
        <f t="array" ref="Z1255">IFERROR(IF(_xlfn._xlws.FILTER(game_rosters!$J:$J,(game_rosters!$G:$G=events!$AN1255)*(game_rosters!$J:$J=events!$X1255))&gt;0,1,""),"")</f>
        <v>1</v>
      </c>
      <c r="AA1255">
        <f t="shared" si="1003"/>
        <v>1678</v>
      </c>
      <c r="AB1255" t="str">
        <f t="shared" si="1004"/>
        <v/>
      </c>
      <c r="AC1255">
        <f t="shared" si="952"/>
        <v>1678</v>
      </c>
      <c r="AD1255" s="6">
        <v>2</v>
      </c>
      <c r="AE1255" t="s">
        <v>937</v>
      </c>
      <c r="AF1255" t="s">
        <v>927</v>
      </c>
      <c r="AG1255" t="s">
        <v>756</v>
      </c>
      <c r="AH1255" t="s">
        <v>756</v>
      </c>
      <c r="AI1255" t="s">
        <v>367</v>
      </c>
      <c r="AJ1255" t="str">
        <f t="shared" ref="AJ1255:AK1255" si="1015">IF($J1255&lt;&gt;"",$J1255,IF($AC1255=$AC1254,AJ1254,""))</f>
        <v/>
      </c>
      <c r="AK1255" t="str">
        <f t="shared" si="1015"/>
        <v/>
      </c>
      <c r="AL1255" t="str">
        <f t="shared" si="957"/>
        <v/>
      </c>
      <c r="AN1255" t="s">
        <v>861</v>
      </c>
      <c r="AO1255" t="str">
        <f t="shared" si="958"/>
        <v>h</v>
      </c>
      <c r="AP1255" t="str">
        <f t="shared" si="966"/>
        <v/>
      </c>
      <c r="AQ1255" t="str">
        <f t="shared" si="967"/>
        <v/>
      </c>
      <c r="AR1255" t="str">
        <f t="shared" si="968"/>
        <v>Home</v>
      </c>
      <c r="AS1255" t="str">
        <f t="shared" si="969"/>
        <v>h</v>
      </c>
      <c r="AT1255" t="str">
        <f t="shared" si="970"/>
        <v>Offensive</v>
      </c>
      <c r="BA1255" s="6">
        <f t="shared" si="959"/>
        <v>297</v>
      </c>
      <c r="BB1255">
        <f t="shared" si="960"/>
        <v>18981</v>
      </c>
      <c r="BC1255" t="str">
        <f t="shared" si="961"/>
        <v>Nelson</v>
      </c>
      <c r="BD1255" t="str">
        <f t="shared" si="962"/>
        <v>Velodrome</v>
      </c>
      <c r="BE1255" t="s">
        <v>7</v>
      </c>
      <c r="BF1255" t="s">
        <v>182</v>
      </c>
      <c r="BG1255" t="s">
        <v>445</v>
      </c>
      <c r="BI1255" cm="1">
        <f t="array" ref="BI1255">IFERROR(_xlfn._xlws.FILTER(shifts!A:A,(shifts!B:B=events!AD1255)*(shifts!AG:AG&gt;=events!BK1255)*(shifts!AH:AH&lt;=events!BL1255)),BI1254)</f>
        <v>57</v>
      </c>
      <c r="BJ1255" s="15">
        <f t="shared" si="963"/>
        <v>0</v>
      </c>
      <c r="BK1255">
        <f t="shared" si="971"/>
        <v>477</v>
      </c>
      <c r="BL1255">
        <f t="shared" si="972"/>
        <v>477</v>
      </c>
      <c r="BM1255" s="15">
        <f>SUMIFS(BJ$2:BJ1255,K$2:K1255,"=Intermission")+SUMIFS(BJ$2:BJ1255,K$2:K1255,"=Timeout")</f>
        <v>72</v>
      </c>
      <c r="BN1255">
        <f t="shared" si="973"/>
        <v>1152</v>
      </c>
      <c r="BO1255" s="19">
        <f t="shared" si="974"/>
        <v>1755</v>
      </c>
      <c r="BP1255">
        <f t="shared" si="975"/>
        <v>1750</v>
      </c>
      <c r="BQ1255" s="17">
        <f t="shared" si="976"/>
        <v>1755</v>
      </c>
      <c r="BR1255" t="str">
        <f t="shared" si="977"/>
        <v>event_team_player_2</v>
      </c>
      <c r="BS1255">
        <f>COUNTIFS(S$3:S1255,"="&amp;S1255,AI$3:AI1255,"="&amp;AI1255)</f>
        <v>2</v>
      </c>
      <c r="BT1255" t="str">
        <f>IFERROR(VLOOKUP(BB1255&amp;BU1255&amp;X1255,game_rosters!U:W,3,FALSE),"")</f>
        <v>P100079</v>
      </c>
      <c r="BU1255" t="str">
        <f t="shared" si="978"/>
        <v>Nelson</v>
      </c>
    </row>
    <row r="1256" spans="1:73" x14ac:dyDescent="0.2">
      <c r="A1256">
        <f t="shared" si="964"/>
        <v>1</v>
      </c>
      <c r="J1256" s="44" t="str">
        <f t="shared" si="979"/>
        <v/>
      </c>
      <c r="K1256" t="s">
        <v>13</v>
      </c>
      <c r="L1256" t="s">
        <v>756</v>
      </c>
      <c r="M1256" t="s">
        <v>756</v>
      </c>
      <c r="S1256">
        <v>679</v>
      </c>
      <c r="W1256" t="str">
        <f t="shared" si="955"/>
        <v>h</v>
      </c>
      <c r="X1256">
        <v>44</v>
      </c>
      <c r="Y1256" t="b">
        <f>IF(X1256&lt;&gt;"",VLOOKUP(X1256,game_rosters!$C$43:$E$64,3,FALSE))</f>
        <v>0</v>
      </c>
      <c r="Z1256" cm="1">
        <f t="array" ref="Z1256">IFERROR(IF(_xlfn._xlws.FILTER(game_rosters!$J:$J,(game_rosters!$G:$G=events!$AN1256)*(game_rosters!$J:$J=events!$X1256))&gt;0,1,""),"")</f>
        <v>1</v>
      </c>
      <c r="AA1256">
        <f t="shared" si="1003"/>
        <v>1679</v>
      </c>
      <c r="AB1256" t="str">
        <f t="shared" si="1004"/>
        <v/>
      </c>
      <c r="AC1256">
        <f t="shared" si="952"/>
        <v>1679</v>
      </c>
      <c r="AD1256" s="6">
        <v>2</v>
      </c>
      <c r="AE1256" t="s">
        <v>937</v>
      </c>
      <c r="AF1256" t="s">
        <v>733</v>
      </c>
      <c r="AG1256" t="s">
        <v>937</v>
      </c>
      <c r="AH1256" t="s">
        <v>897</v>
      </c>
      <c r="AI1256" t="s">
        <v>367</v>
      </c>
      <c r="AJ1256" t="str">
        <f t="shared" ref="AJ1256:AK1256" si="1016">IF($J1256&lt;&gt;"",$J1256,IF($AC1256=$AC1255,AJ1255,""))</f>
        <v/>
      </c>
      <c r="AK1256" t="str">
        <f t="shared" si="1016"/>
        <v/>
      </c>
      <c r="AL1256" t="str">
        <f t="shared" si="957"/>
        <v/>
      </c>
      <c r="AN1256" t="s">
        <v>861</v>
      </c>
      <c r="AO1256" t="str">
        <f t="shared" si="958"/>
        <v>h</v>
      </c>
      <c r="AP1256" t="str">
        <f t="shared" si="966"/>
        <v/>
      </c>
      <c r="AQ1256" t="str">
        <f t="shared" si="967"/>
        <v/>
      </c>
      <c r="AR1256" t="str">
        <f t="shared" si="968"/>
        <v>Home</v>
      </c>
      <c r="AS1256" t="str">
        <f t="shared" si="969"/>
        <v>h</v>
      </c>
      <c r="AT1256" t="str">
        <f t="shared" si="970"/>
        <v>Offensive</v>
      </c>
      <c r="BA1256" s="6">
        <f t="shared" si="959"/>
        <v>297</v>
      </c>
      <c r="BB1256">
        <f t="shared" si="960"/>
        <v>18981</v>
      </c>
      <c r="BC1256" t="str">
        <f t="shared" si="961"/>
        <v>Nelson</v>
      </c>
      <c r="BD1256" t="str">
        <f t="shared" si="962"/>
        <v>Velodrome</v>
      </c>
      <c r="BE1256" t="s">
        <v>13</v>
      </c>
      <c r="BF1256" t="s">
        <v>756</v>
      </c>
      <c r="BG1256" t="s">
        <v>756</v>
      </c>
      <c r="BI1256" cm="1">
        <f t="array" ref="BI1256">IFERROR(_xlfn._xlws.FILTER(shifts!A:A,(shifts!B:B=events!AD1256)*(shifts!AG:AG&gt;=events!BK1256)*(shifts!AH:AH&lt;=events!BL1256)),BI1255)</f>
        <v>57</v>
      </c>
      <c r="BJ1256" s="15">
        <f t="shared" si="963"/>
        <v>4</v>
      </c>
      <c r="BK1256">
        <f t="shared" si="971"/>
        <v>476</v>
      </c>
      <c r="BL1256">
        <f t="shared" si="972"/>
        <v>472</v>
      </c>
      <c r="BM1256" s="15">
        <f>SUMIFS(BJ$2:BJ1256,K$2:K1256,"=Intermission")+SUMIFS(BJ$2:BJ1256,K$2:K1256,"=Timeout")</f>
        <v>72</v>
      </c>
      <c r="BN1256">
        <f t="shared" si="973"/>
        <v>1152</v>
      </c>
      <c r="BO1256" s="19">
        <f t="shared" si="974"/>
        <v>1756</v>
      </c>
      <c r="BP1256">
        <f t="shared" si="975"/>
        <v>1751</v>
      </c>
      <c r="BQ1256" s="17">
        <f t="shared" si="976"/>
        <v>1760</v>
      </c>
      <c r="BR1256" t="str">
        <f t="shared" si="977"/>
        <v>event_team_player_1</v>
      </c>
      <c r="BS1256">
        <f>COUNTIFS(S$3:S1256,"="&amp;S1256,AI$3:AI1256,"="&amp;AI1256)</f>
        <v>1</v>
      </c>
      <c r="BT1256" t="str">
        <f>IFERROR(VLOOKUP(BB1256&amp;BU1256&amp;X1256,game_rosters!U:W,3,FALSE),"")</f>
        <v>P100079</v>
      </c>
      <c r="BU1256" t="str">
        <f t="shared" si="978"/>
        <v>Nelson</v>
      </c>
    </row>
    <row r="1257" spans="1:73" x14ac:dyDescent="0.2">
      <c r="A1257">
        <f t="shared" si="964"/>
        <v>1</v>
      </c>
      <c r="J1257" s="44" t="str">
        <f t="shared" si="979"/>
        <v/>
      </c>
      <c r="K1257" t="s">
        <v>7</v>
      </c>
      <c r="L1257" t="s">
        <v>172</v>
      </c>
      <c r="M1257" t="s">
        <v>68</v>
      </c>
      <c r="S1257">
        <v>680</v>
      </c>
      <c r="W1257" t="str">
        <f t="shared" si="955"/>
        <v>h</v>
      </c>
      <c r="X1257">
        <v>44</v>
      </c>
      <c r="Y1257" t="b">
        <f>IF(X1257&lt;&gt;"",VLOOKUP(X1257,game_rosters!$C$43:$E$64,3,FALSE))</f>
        <v>0</v>
      </c>
      <c r="Z1257" cm="1">
        <f t="array" ref="Z1257">IFERROR(IF(_xlfn._xlws.FILTER(game_rosters!$J:$J,(game_rosters!$G:$G=events!$AN1257)*(game_rosters!$J:$J=events!$X1257))&gt;0,1,""),"")</f>
        <v>1</v>
      </c>
      <c r="AA1257">
        <f t="shared" si="1003"/>
        <v>1680</v>
      </c>
      <c r="AB1257" t="str">
        <f t="shared" si="1004"/>
        <v/>
      </c>
      <c r="AC1257">
        <f t="shared" si="952"/>
        <v>1680</v>
      </c>
      <c r="AD1257" s="6">
        <v>2</v>
      </c>
      <c r="AE1257" t="s">
        <v>937</v>
      </c>
      <c r="AF1257" t="s">
        <v>897</v>
      </c>
      <c r="AG1257" t="s">
        <v>756</v>
      </c>
      <c r="AH1257" t="s">
        <v>756</v>
      </c>
      <c r="AI1257" t="s">
        <v>367</v>
      </c>
      <c r="AJ1257" t="str">
        <f t="shared" ref="AJ1257:AK1257" si="1017">IF($J1257&lt;&gt;"",$J1257,IF($AC1257=$AC1256,AJ1256,""))</f>
        <v/>
      </c>
      <c r="AK1257" t="str">
        <f t="shared" si="1017"/>
        <v/>
      </c>
      <c r="AL1257" t="str">
        <f t="shared" si="957"/>
        <v/>
      </c>
      <c r="AN1257" t="s">
        <v>861</v>
      </c>
      <c r="AO1257" t="str">
        <f t="shared" si="958"/>
        <v>h</v>
      </c>
      <c r="AP1257" t="str">
        <f t="shared" si="966"/>
        <v/>
      </c>
      <c r="AQ1257" t="str">
        <f t="shared" si="967"/>
        <v/>
      </c>
      <c r="AR1257" t="str">
        <f t="shared" si="968"/>
        <v>Home</v>
      </c>
      <c r="AS1257" t="str">
        <f t="shared" si="969"/>
        <v>h</v>
      </c>
      <c r="AT1257" t="str">
        <f t="shared" si="970"/>
        <v>Offensive</v>
      </c>
      <c r="BA1257" s="6">
        <f t="shared" si="959"/>
        <v>297</v>
      </c>
      <c r="BB1257">
        <f t="shared" si="960"/>
        <v>18981</v>
      </c>
      <c r="BC1257" t="str">
        <f t="shared" si="961"/>
        <v>Nelson</v>
      </c>
      <c r="BD1257" t="str">
        <f t="shared" si="962"/>
        <v>Velodrome</v>
      </c>
      <c r="BE1257" t="s">
        <v>7</v>
      </c>
      <c r="BF1257" t="s">
        <v>172</v>
      </c>
      <c r="BG1257" t="s">
        <v>68</v>
      </c>
      <c r="BI1257" cm="1">
        <f t="array" ref="BI1257">IFERROR(_xlfn._xlws.FILTER(shifts!A:A,(shifts!B:B=events!AD1257)*(shifts!AG:AG&gt;=events!BK1257)*(shifts!AH:AH&lt;=events!BL1257)),BI1256)</f>
        <v>57</v>
      </c>
      <c r="BJ1257" s="15">
        <f t="shared" si="963"/>
        <v>0</v>
      </c>
      <c r="BK1257">
        <f t="shared" si="971"/>
        <v>472</v>
      </c>
      <c r="BL1257">
        <f t="shared" si="972"/>
        <v>472</v>
      </c>
      <c r="BM1257" s="15">
        <f>SUMIFS(BJ$2:BJ1257,K$2:K1257,"=Intermission")+SUMIFS(BJ$2:BJ1257,K$2:K1257,"=Timeout")</f>
        <v>72</v>
      </c>
      <c r="BN1257">
        <f t="shared" si="973"/>
        <v>1152</v>
      </c>
      <c r="BO1257" s="19">
        <f t="shared" si="974"/>
        <v>1760</v>
      </c>
      <c r="BP1257">
        <f t="shared" si="975"/>
        <v>1755</v>
      </c>
      <c r="BQ1257" s="17">
        <f t="shared" si="976"/>
        <v>1760</v>
      </c>
      <c r="BR1257" t="str">
        <f t="shared" si="977"/>
        <v>event_team_player_1</v>
      </c>
      <c r="BS1257">
        <f>COUNTIFS(S$3:S1257,"="&amp;S1257,AI$3:AI1257,"="&amp;AI1257)</f>
        <v>1</v>
      </c>
      <c r="BT1257" t="str">
        <f>IFERROR(VLOOKUP(BB1257&amp;BU1257&amp;X1257,game_rosters!U:W,3,FALSE),"")</f>
        <v>P100079</v>
      </c>
      <c r="BU1257" t="str">
        <f t="shared" si="978"/>
        <v>Nelson</v>
      </c>
    </row>
    <row r="1258" spans="1:73" x14ac:dyDescent="0.2">
      <c r="A1258">
        <f t="shared" si="964"/>
        <v>1</v>
      </c>
      <c r="J1258" s="44" t="str">
        <f t="shared" si="979"/>
        <v/>
      </c>
      <c r="K1258" t="s">
        <v>7</v>
      </c>
      <c r="L1258" t="s">
        <v>172</v>
      </c>
      <c r="M1258" t="s">
        <v>68</v>
      </c>
      <c r="S1258">
        <v>680</v>
      </c>
      <c r="W1258" t="str">
        <f t="shared" si="955"/>
        <v>h</v>
      </c>
      <c r="X1258">
        <v>37</v>
      </c>
      <c r="Y1258" t="b">
        <f>IF(X1258&lt;&gt;"",VLOOKUP(X1258,game_rosters!$C$43:$E$64,3,FALSE))</f>
        <v>0</v>
      </c>
      <c r="Z1258" cm="1">
        <f t="array" ref="Z1258">IFERROR(IF(_xlfn._xlws.FILTER(game_rosters!$J:$J,(game_rosters!$G:$G=events!$AN1258)*(game_rosters!$J:$J=events!$X1258))&gt;0,1,""),"")</f>
        <v>1</v>
      </c>
      <c r="AA1258">
        <f t="shared" si="1003"/>
        <v>1680</v>
      </c>
      <c r="AB1258" t="str">
        <f t="shared" si="1004"/>
        <v/>
      </c>
      <c r="AC1258">
        <f t="shared" si="952"/>
        <v>1680</v>
      </c>
      <c r="AD1258" s="6">
        <v>2</v>
      </c>
      <c r="AE1258" t="s">
        <v>937</v>
      </c>
      <c r="AF1258" t="s">
        <v>897</v>
      </c>
      <c r="AG1258" t="s">
        <v>756</v>
      </c>
      <c r="AH1258" t="s">
        <v>756</v>
      </c>
      <c r="AI1258" t="s">
        <v>367</v>
      </c>
      <c r="AJ1258" t="str">
        <f t="shared" ref="AJ1258:AK1258" si="1018">IF($J1258&lt;&gt;"",$J1258,IF($AC1258=$AC1257,AJ1257,""))</f>
        <v/>
      </c>
      <c r="AK1258" t="str">
        <f t="shared" si="1018"/>
        <v/>
      </c>
      <c r="AL1258" t="str">
        <f t="shared" si="957"/>
        <v/>
      </c>
      <c r="AN1258" t="s">
        <v>861</v>
      </c>
      <c r="AO1258" t="str">
        <f t="shared" si="958"/>
        <v>h</v>
      </c>
      <c r="AP1258" t="str">
        <f t="shared" si="966"/>
        <v/>
      </c>
      <c r="AQ1258" t="str">
        <f t="shared" si="967"/>
        <v/>
      </c>
      <c r="AR1258" t="str">
        <f t="shared" si="968"/>
        <v>Home</v>
      </c>
      <c r="AS1258" t="str">
        <f t="shared" si="969"/>
        <v>h</v>
      </c>
      <c r="AT1258" t="str">
        <f t="shared" si="970"/>
        <v>Offensive</v>
      </c>
      <c r="BA1258" s="6">
        <f t="shared" si="959"/>
        <v>297</v>
      </c>
      <c r="BB1258">
        <f t="shared" si="960"/>
        <v>18981</v>
      </c>
      <c r="BC1258" t="str">
        <f t="shared" si="961"/>
        <v>Nelson</v>
      </c>
      <c r="BD1258" t="str">
        <f t="shared" si="962"/>
        <v>Velodrome</v>
      </c>
      <c r="BE1258" t="s">
        <v>7</v>
      </c>
      <c r="BF1258" t="s">
        <v>172</v>
      </c>
      <c r="BG1258" t="s">
        <v>68</v>
      </c>
      <c r="BI1258" cm="1">
        <f t="array" ref="BI1258">IFERROR(_xlfn._xlws.FILTER(shifts!A:A,(shifts!B:B=events!AD1258)*(shifts!AG:AG&gt;=events!BK1258)*(shifts!AH:AH&lt;=events!BL1258)),BI1257)</f>
        <v>57</v>
      </c>
      <c r="BJ1258" s="15">
        <f t="shared" si="963"/>
        <v>0</v>
      </c>
      <c r="BK1258">
        <f t="shared" si="971"/>
        <v>472</v>
      </c>
      <c r="BL1258">
        <f t="shared" si="972"/>
        <v>472</v>
      </c>
      <c r="BM1258" s="15">
        <f>SUMIFS(BJ$2:BJ1258,K$2:K1258,"=Intermission")+SUMIFS(BJ$2:BJ1258,K$2:K1258,"=Timeout")</f>
        <v>72</v>
      </c>
      <c r="BN1258">
        <f t="shared" si="973"/>
        <v>1152</v>
      </c>
      <c r="BO1258" s="19">
        <f t="shared" si="974"/>
        <v>1760</v>
      </c>
      <c r="BP1258">
        <f t="shared" si="975"/>
        <v>1755</v>
      </c>
      <c r="BQ1258" s="17">
        <f t="shared" si="976"/>
        <v>1760</v>
      </c>
      <c r="BR1258" t="str">
        <f t="shared" si="977"/>
        <v>event_team_player_2</v>
      </c>
      <c r="BS1258">
        <f>COUNTIFS(S$3:S1258,"="&amp;S1258,AI$3:AI1258,"="&amp;AI1258)</f>
        <v>2</v>
      </c>
      <c r="BT1258" t="str">
        <f>IFERROR(VLOOKUP(BB1258&amp;BU1258&amp;X1258,game_rosters!U:W,3,FALSE),"")</f>
        <v>P100119</v>
      </c>
      <c r="BU1258" t="str">
        <f t="shared" si="978"/>
        <v>Nelson</v>
      </c>
    </row>
    <row r="1259" spans="1:73" x14ac:dyDescent="0.2">
      <c r="A1259">
        <f t="shared" si="964"/>
        <v>1</v>
      </c>
      <c r="J1259" s="44" t="str">
        <f t="shared" si="979"/>
        <v/>
      </c>
      <c r="K1259" t="s">
        <v>7</v>
      </c>
      <c r="L1259" t="s">
        <v>172</v>
      </c>
      <c r="M1259" t="s">
        <v>68</v>
      </c>
      <c r="S1259">
        <v>680</v>
      </c>
      <c r="W1259" t="str">
        <f t="shared" si="955"/>
        <v>h</v>
      </c>
      <c r="X1259">
        <v>75</v>
      </c>
      <c r="Y1259" t="e">
        <f>IF(X1259&lt;&gt;"",VLOOKUP(X1259,game_rosters!$C$43:$E$64,3,FALSE))</f>
        <v>#N/A</v>
      </c>
      <c r="Z1259" t="str" cm="1">
        <f t="array" ref="Z1259">IFERROR(IF(_xlfn._xlws.FILTER(game_rosters!$J:$J,(game_rosters!$G:$G=events!$AN1259)*(game_rosters!$J:$J=events!$X1259))&gt;0,1,""),"")</f>
        <v/>
      </c>
      <c r="AA1259">
        <f t="shared" si="1003"/>
        <v>1680</v>
      </c>
      <c r="AB1259" t="str">
        <f t="shared" si="1004"/>
        <v/>
      </c>
      <c r="AC1259">
        <f t="shared" si="952"/>
        <v>1680</v>
      </c>
      <c r="AD1259" s="6">
        <v>2</v>
      </c>
      <c r="AE1259" t="s">
        <v>937</v>
      </c>
      <c r="AF1259" t="s">
        <v>897</v>
      </c>
      <c r="AG1259" t="s">
        <v>756</v>
      </c>
      <c r="AH1259" t="s">
        <v>756</v>
      </c>
      <c r="AI1259" t="s">
        <v>368</v>
      </c>
      <c r="AJ1259" t="str">
        <f t="shared" ref="AJ1259:AK1259" si="1019">IF($J1259&lt;&gt;"",$J1259,IF($AC1259=$AC1258,AJ1258,""))</f>
        <v/>
      </c>
      <c r="AK1259" t="str">
        <f t="shared" si="1019"/>
        <v/>
      </c>
      <c r="AL1259" t="str">
        <f t="shared" si="957"/>
        <v/>
      </c>
      <c r="AN1259" t="s">
        <v>861</v>
      </c>
      <c r="AO1259" t="str">
        <f t="shared" si="958"/>
        <v>h</v>
      </c>
      <c r="AP1259" t="str">
        <f t="shared" si="966"/>
        <v/>
      </c>
      <c r="AQ1259" t="str">
        <f t="shared" si="967"/>
        <v/>
      </c>
      <c r="AR1259" t="str">
        <f t="shared" si="968"/>
        <v>Home</v>
      </c>
      <c r="AS1259" t="str">
        <f t="shared" si="969"/>
        <v>h</v>
      </c>
      <c r="AT1259" t="str">
        <f t="shared" si="970"/>
        <v>Defensive</v>
      </c>
      <c r="BA1259" s="6">
        <f t="shared" si="959"/>
        <v>297</v>
      </c>
      <c r="BB1259">
        <f t="shared" si="960"/>
        <v>18981</v>
      </c>
      <c r="BC1259" t="str">
        <f t="shared" si="961"/>
        <v>Nelson</v>
      </c>
      <c r="BD1259" t="str">
        <f t="shared" si="962"/>
        <v>Velodrome</v>
      </c>
      <c r="BE1259" t="s">
        <v>7</v>
      </c>
      <c r="BF1259" t="s">
        <v>172</v>
      </c>
      <c r="BG1259" t="s">
        <v>68</v>
      </c>
      <c r="BI1259" cm="1">
        <f t="array" ref="BI1259">IFERROR(_xlfn._xlws.FILTER(shifts!A:A,(shifts!B:B=events!AD1259)*(shifts!AG:AG&gt;=events!BK1259)*(shifts!AH:AH&lt;=events!BL1259)),BI1258)</f>
        <v>57</v>
      </c>
      <c r="BJ1259" s="15">
        <f t="shared" si="963"/>
        <v>0</v>
      </c>
      <c r="BK1259">
        <f t="shared" si="971"/>
        <v>472</v>
      </c>
      <c r="BL1259">
        <f t="shared" si="972"/>
        <v>472</v>
      </c>
      <c r="BM1259" s="15">
        <f>SUMIFS(BJ$2:BJ1259,K$2:K1259,"=Intermission")+SUMIFS(BJ$2:BJ1259,K$2:K1259,"=Timeout")</f>
        <v>72</v>
      </c>
      <c r="BN1259">
        <f t="shared" si="973"/>
        <v>1152</v>
      </c>
      <c r="BO1259" s="19">
        <f t="shared" si="974"/>
        <v>1760</v>
      </c>
      <c r="BP1259">
        <f t="shared" si="975"/>
        <v>1755</v>
      </c>
      <c r="BQ1259" s="17">
        <f t="shared" si="976"/>
        <v>1760</v>
      </c>
      <c r="BR1259" t="str">
        <f t="shared" si="977"/>
        <v>opp_team_player_1</v>
      </c>
      <c r="BS1259">
        <f>COUNTIFS(S$3:S1259,"="&amp;S1259,AI$3:AI1259,"="&amp;AI1259)</f>
        <v>1</v>
      </c>
      <c r="BT1259" t="str">
        <f>IFERROR(VLOOKUP(BB1259&amp;BU1259&amp;X1259,game_rosters!U:W,3,FALSE),"")</f>
        <v>P100039</v>
      </c>
      <c r="BU1259" t="str">
        <f t="shared" si="978"/>
        <v>Velodrome</v>
      </c>
    </row>
    <row r="1260" spans="1:73" x14ac:dyDescent="0.2">
      <c r="A1260">
        <f t="shared" si="964"/>
        <v>1</v>
      </c>
      <c r="J1260" s="44" t="str">
        <f t="shared" si="979"/>
        <v/>
      </c>
      <c r="K1260" t="s">
        <v>13</v>
      </c>
      <c r="L1260" t="s">
        <v>756</v>
      </c>
      <c r="M1260" t="s">
        <v>756</v>
      </c>
      <c r="S1260">
        <v>681</v>
      </c>
      <c r="W1260" t="str">
        <f t="shared" si="955"/>
        <v>h</v>
      </c>
      <c r="X1260">
        <v>37</v>
      </c>
      <c r="Y1260" t="b">
        <f>IF(X1260&lt;&gt;"",VLOOKUP(X1260,game_rosters!$C$43:$E$64,3,FALSE))</f>
        <v>0</v>
      </c>
      <c r="Z1260" cm="1">
        <f t="array" ref="Z1260">IFERROR(IF(_xlfn._xlws.FILTER(game_rosters!$J:$J,(game_rosters!$G:$G=events!$AN1260)*(game_rosters!$J:$J=events!$X1260))&gt;0,1,""),"")</f>
        <v>1</v>
      </c>
      <c r="AA1260">
        <f t="shared" si="1003"/>
        <v>1681</v>
      </c>
      <c r="AB1260" t="str">
        <f t="shared" si="1004"/>
        <v/>
      </c>
      <c r="AC1260">
        <f t="shared" si="952"/>
        <v>1681</v>
      </c>
      <c r="AD1260" s="6">
        <v>2</v>
      </c>
      <c r="AE1260" t="s">
        <v>937</v>
      </c>
      <c r="AF1260" t="s">
        <v>898</v>
      </c>
      <c r="AG1260" t="s">
        <v>937</v>
      </c>
      <c r="AH1260" t="s">
        <v>751</v>
      </c>
      <c r="AI1260" t="s">
        <v>367</v>
      </c>
      <c r="AJ1260" t="str">
        <f t="shared" ref="AJ1260:AK1260" si="1020">IF($J1260&lt;&gt;"",$J1260,IF($AC1260=$AC1259,AJ1259,""))</f>
        <v/>
      </c>
      <c r="AK1260" t="str">
        <f t="shared" si="1020"/>
        <v/>
      </c>
      <c r="AL1260" t="str">
        <f t="shared" si="957"/>
        <v/>
      </c>
      <c r="AN1260" t="s">
        <v>861</v>
      </c>
      <c r="AO1260" t="str">
        <f t="shared" si="958"/>
        <v>h</v>
      </c>
      <c r="AP1260" t="str">
        <f t="shared" si="966"/>
        <v/>
      </c>
      <c r="AQ1260" t="str">
        <f t="shared" si="967"/>
        <v/>
      </c>
      <c r="AR1260" t="str">
        <f t="shared" si="968"/>
        <v>Home</v>
      </c>
      <c r="AS1260" t="str">
        <f t="shared" si="969"/>
        <v>h</v>
      </c>
      <c r="AT1260" t="str">
        <f t="shared" si="970"/>
        <v>Offensive</v>
      </c>
      <c r="BA1260" s="6">
        <f t="shared" si="959"/>
        <v>297</v>
      </c>
      <c r="BB1260">
        <f t="shared" si="960"/>
        <v>18981</v>
      </c>
      <c r="BC1260" t="str">
        <f t="shared" si="961"/>
        <v>Nelson</v>
      </c>
      <c r="BD1260" t="str">
        <f t="shared" si="962"/>
        <v>Velodrome</v>
      </c>
      <c r="BE1260" t="s">
        <v>13</v>
      </c>
      <c r="BF1260" t="s">
        <v>756</v>
      </c>
      <c r="BG1260" t="s">
        <v>756</v>
      </c>
      <c r="BI1260" cm="1">
        <f t="array" ref="BI1260">IFERROR(_xlfn._xlws.FILTER(shifts!A:A,(shifts!B:B=events!AD1260)*(shifts!AG:AG&gt;=events!BK1260)*(shifts!AH:AH&lt;=events!BL1260)),BI1259)</f>
        <v>57</v>
      </c>
      <c r="BJ1260" s="15">
        <f t="shared" si="963"/>
        <v>2</v>
      </c>
      <c r="BK1260">
        <f t="shared" si="971"/>
        <v>471</v>
      </c>
      <c r="BL1260">
        <f t="shared" si="972"/>
        <v>469</v>
      </c>
      <c r="BM1260" s="15">
        <f>SUMIFS(BJ$2:BJ1260,K$2:K1260,"=Intermission")+SUMIFS(BJ$2:BJ1260,K$2:K1260,"=Timeout")</f>
        <v>72</v>
      </c>
      <c r="BN1260">
        <f t="shared" si="973"/>
        <v>1152</v>
      </c>
      <c r="BO1260" s="19">
        <f t="shared" si="974"/>
        <v>1761</v>
      </c>
      <c r="BP1260">
        <f t="shared" si="975"/>
        <v>1756</v>
      </c>
      <c r="BQ1260" s="17">
        <f t="shared" si="976"/>
        <v>1763</v>
      </c>
      <c r="BR1260" t="str">
        <f t="shared" si="977"/>
        <v>event_team_player_1</v>
      </c>
      <c r="BS1260">
        <f>COUNTIFS(S$3:S1260,"="&amp;S1260,AI$3:AI1260,"="&amp;AI1260)</f>
        <v>1</v>
      </c>
      <c r="BT1260" t="str">
        <f>IFERROR(VLOOKUP(BB1260&amp;BU1260&amp;X1260,game_rosters!U:W,3,FALSE),"")</f>
        <v>P100119</v>
      </c>
      <c r="BU1260" t="str">
        <f t="shared" si="978"/>
        <v>Nelson</v>
      </c>
    </row>
    <row r="1261" spans="1:73" x14ac:dyDescent="0.2">
      <c r="A1261">
        <f t="shared" si="964"/>
        <v>1</v>
      </c>
      <c r="J1261" s="44" t="str">
        <f t="shared" si="979"/>
        <v>o</v>
      </c>
      <c r="K1261" t="s">
        <v>6</v>
      </c>
      <c r="L1261" t="s">
        <v>191</v>
      </c>
      <c r="M1261" t="s">
        <v>51</v>
      </c>
      <c r="S1261">
        <v>682</v>
      </c>
      <c r="W1261" t="str">
        <f t="shared" si="955"/>
        <v>h</v>
      </c>
      <c r="X1261">
        <v>37</v>
      </c>
      <c r="Y1261" t="b">
        <f>IF(X1261&lt;&gt;"",VLOOKUP(X1261,game_rosters!$C$43:$E$64,3,FALSE))</f>
        <v>0</v>
      </c>
      <c r="Z1261" cm="1">
        <f t="array" ref="Z1261">IFERROR(IF(_xlfn._xlws.FILTER(game_rosters!$J:$J,(game_rosters!$G:$G=events!$AN1261)*(game_rosters!$J:$J=events!$X1261))&gt;0,1,""),"")</f>
        <v>1</v>
      </c>
      <c r="AA1261">
        <f t="shared" si="1003"/>
        <v>1682</v>
      </c>
      <c r="AB1261" t="str">
        <f t="shared" si="1004"/>
        <v/>
      </c>
      <c r="AC1261">
        <f t="shared" si="952"/>
        <v>1682</v>
      </c>
      <c r="AD1261" s="6">
        <v>2</v>
      </c>
      <c r="AE1261" t="s">
        <v>937</v>
      </c>
      <c r="AF1261" t="s">
        <v>922</v>
      </c>
      <c r="AG1261" t="s">
        <v>756</v>
      </c>
      <c r="AH1261" t="s">
        <v>756</v>
      </c>
      <c r="AI1261" t="s">
        <v>367</v>
      </c>
      <c r="AJ1261" t="str">
        <f t="shared" ref="AJ1261:AK1261" si="1021">IF($J1261&lt;&gt;"",$J1261,IF($AC1261=$AC1260,AJ1260,""))</f>
        <v>o</v>
      </c>
      <c r="AK1261" t="str">
        <f t="shared" si="1021"/>
        <v>o</v>
      </c>
      <c r="AL1261" t="str">
        <f t="shared" si="957"/>
        <v>o</v>
      </c>
      <c r="AN1261" t="s">
        <v>861</v>
      </c>
      <c r="AO1261" t="str">
        <f t="shared" si="958"/>
        <v>h</v>
      </c>
      <c r="AP1261" t="str">
        <f t="shared" si="966"/>
        <v>o</v>
      </c>
      <c r="AQ1261" t="str">
        <f t="shared" si="967"/>
        <v/>
      </c>
      <c r="AR1261" t="str">
        <f t="shared" si="968"/>
        <v>Home</v>
      </c>
      <c r="AS1261" t="str">
        <f t="shared" si="969"/>
        <v>h</v>
      </c>
      <c r="AT1261" t="str">
        <f t="shared" si="970"/>
        <v>Offensive</v>
      </c>
      <c r="BA1261" s="6">
        <f t="shared" si="959"/>
        <v>297</v>
      </c>
      <c r="BB1261">
        <f t="shared" si="960"/>
        <v>18981</v>
      </c>
      <c r="BC1261" t="str">
        <f t="shared" si="961"/>
        <v>Nelson</v>
      </c>
      <c r="BD1261" t="str">
        <f t="shared" si="962"/>
        <v>Velodrome</v>
      </c>
      <c r="BE1261" t="s">
        <v>6</v>
      </c>
      <c r="BF1261" t="s">
        <v>191</v>
      </c>
      <c r="BG1261" t="s">
        <v>51</v>
      </c>
      <c r="BI1261" cm="1">
        <f t="array" ref="BI1261">IFERROR(_xlfn._xlws.FILTER(shifts!A:A,(shifts!B:B=events!AD1261)*(shifts!AG:AG&gt;=events!BK1261)*(shifts!AH:AH&lt;=events!BL1261)),BI1260)</f>
        <v>57</v>
      </c>
      <c r="BJ1261" s="15">
        <f t="shared" si="963"/>
        <v>0</v>
      </c>
      <c r="BK1261">
        <f t="shared" si="971"/>
        <v>470</v>
      </c>
      <c r="BL1261">
        <f t="shared" si="972"/>
        <v>470</v>
      </c>
      <c r="BM1261" s="15">
        <f>SUMIFS(BJ$2:BJ1261,K$2:K1261,"=Intermission")+SUMIFS(BJ$2:BJ1261,K$2:K1261,"=Timeout")</f>
        <v>72</v>
      </c>
      <c r="BN1261">
        <f t="shared" si="973"/>
        <v>1152</v>
      </c>
      <c r="BO1261" s="19">
        <f t="shared" si="974"/>
        <v>1762</v>
      </c>
      <c r="BP1261">
        <f t="shared" si="975"/>
        <v>1757</v>
      </c>
      <c r="BQ1261" s="17">
        <f t="shared" si="976"/>
        <v>1762</v>
      </c>
      <c r="BR1261" t="str">
        <f t="shared" si="977"/>
        <v>event_team_player_1</v>
      </c>
      <c r="BS1261">
        <f>COUNTIFS(S$3:S1261,"="&amp;S1261,AI$3:AI1261,"="&amp;AI1261)</f>
        <v>1</v>
      </c>
      <c r="BT1261" t="str">
        <f>IFERROR(VLOOKUP(BB1261&amp;BU1261&amp;X1261,game_rosters!U:W,3,FALSE),"")</f>
        <v>P100119</v>
      </c>
      <c r="BU1261" t="str">
        <f t="shared" si="978"/>
        <v>Nelson</v>
      </c>
    </row>
    <row r="1262" spans="1:73" x14ac:dyDescent="0.2">
      <c r="A1262">
        <f t="shared" si="964"/>
        <v>1</v>
      </c>
      <c r="J1262" s="44" t="str">
        <f t="shared" si="979"/>
        <v>o</v>
      </c>
      <c r="K1262" t="s">
        <v>6</v>
      </c>
      <c r="L1262" t="s">
        <v>191</v>
      </c>
      <c r="M1262" t="s">
        <v>51</v>
      </c>
      <c r="S1262">
        <v>682</v>
      </c>
      <c r="W1262" t="str">
        <f t="shared" si="955"/>
        <v>h</v>
      </c>
      <c r="X1262">
        <v>3</v>
      </c>
      <c r="Y1262" t="b">
        <f>IF(X1262&lt;&gt;"",VLOOKUP(X1262,game_rosters!$C$43:$E$64,3,FALSE))</f>
        <v>0</v>
      </c>
      <c r="Z1262" cm="1">
        <f t="array" ref="Z1262">IFERROR(IF(_xlfn._xlws.FILTER(game_rosters!$J:$J,(game_rosters!$G:$G=events!$AN1262)*(game_rosters!$J:$J=events!$X1262))&gt;0,1,""),"")</f>
        <v>1</v>
      </c>
      <c r="AA1262">
        <f t="shared" si="1003"/>
        <v>1682</v>
      </c>
      <c r="AB1262" t="str">
        <f t="shared" si="1004"/>
        <v/>
      </c>
      <c r="AC1262">
        <f t="shared" si="952"/>
        <v>1682</v>
      </c>
      <c r="AD1262" s="6">
        <v>2</v>
      </c>
      <c r="AE1262" t="s">
        <v>937</v>
      </c>
      <c r="AF1262" t="s">
        <v>922</v>
      </c>
      <c r="AG1262" t="s">
        <v>756</v>
      </c>
      <c r="AH1262" t="s">
        <v>756</v>
      </c>
      <c r="AI1262" t="s">
        <v>367</v>
      </c>
      <c r="AJ1262" t="str">
        <f t="shared" ref="AJ1262:AK1262" si="1022">IF($J1262&lt;&gt;"",$J1262,IF($AC1262=$AC1261,AJ1261,""))</f>
        <v>o</v>
      </c>
      <c r="AK1262" t="str">
        <f t="shared" si="1022"/>
        <v>o</v>
      </c>
      <c r="AL1262" t="str">
        <f t="shared" si="957"/>
        <v>o</v>
      </c>
      <c r="AN1262" t="s">
        <v>861</v>
      </c>
      <c r="AO1262" t="str">
        <f t="shared" si="958"/>
        <v>h</v>
      </c>
      <c r="AP1262" t="str">
        <f t="shared" si="966"/>
        <v>o</v>
      </c>
      <c r="AQ1262" t="str">
        <f t="shared" si="967"/>
        <v/>
      </c>
      <c r="AR1262" t="str">
        <f t="shared" si="968"/>
        <v>Home</v>
      </c>
      <c r="AS1262" t="str">
        <f t="shared" si="969"/>
        <v>h</v>
      </c>
      <c r="AT1262" t="str">
        <f t="shared" si="970"/>
        <v>Offensive</v>
      </c>
      <c r="BA1262" s="6">
        <f t="shared" si="959"/>
        <v>297</v>
      </c>
      <c r="BB1262">
        <f t="shared" si="960"/>
        <v>18981</v>
      </c>
      <c r="BC1262" t="str">
        <f t="shared" si="961"/>
        <v>Nelson</v>
      </c>
      <c r="BD1262" t="str">
        <f t="shared" si="962"/>
        <v>Velodrome</v>
      </c>
      <c r="BE1262" t="s">
        <v>6</v>
      </c>
      <c r="BF1262" t="s">
        <v>191</v>
      </c>
      <c r="BG1262" t="s">
        <v>51</v>
      </c>
      <c r="BI1262" cm="1">
        <f t="array" ref="BI1262">IFERROR(_xlfn._xlws.FILTER(shifts!A:A,(shifts!B:B=events!AD1262)*(shifts!AG:AG&gt;=events!BK1262)*(shifts!AH:AH&lt;=events!BL1262)),BI1261)</f>
        <v>57</v>
      </c>
      <c r="BJ1262" s="15">
        <f t="shared" si="963"/>
        <v>0</v>
      </c>
      <c r="BK1262">
        <f t="shared" si="971"/>
        <v>470</v>
      </c>
      <c r="BL1262">
        <f t="shared" si="972"/>
        <v>470</v>
      </c>
      <c r="BM1262" s="15">
        <f>SUMIFS(BJ$2:BJ1262,K$2:K1262,"=Intermission")+SUMIFS(BJ$2:BJ1262,K$2:K1262,"=Timeout")</f>
        <v>72</v>
      </c>
      <c r="BN1262">
        <f t="shared" si="973"/>
        <v>1152</v>
      </c>
      <c r="BO1262" s="19">
        <f t="shared" si="974"/>
        <v>1762</v>
      </c>
      <c r="BP1262">
        <f t="shared" si="975"/>
        <v>1757</v>
      </c>
      <c r="BQ1262" s="17">
        <f t="shared" si="976"/>
        <v>1762</v>
      </c>
      <c r="BR1262" t="str">
        <f t="shared" si="977"/>
        <v>event_team_player_2</v>
      </c>
      <c r="BS1262">
        <f>COUNTIFS(S$3:S1262,"="&amp;S1262,AI$3:AI1262,"="&amp;AI1262)</f>
        <v>2</v>
      </c>
      <c r="BT1262" t="str">
        <f>IFERROR(VLOOKUP(BB1262&amp;BU1262&amp;X1262,game_rosters!U:W,3,FALSE),"")</f>
        <v>P100111</v>
      </c>
      <c r="BU1262" t="str">
        <f t="shared" si="978"/>
        <v>Nelson</v>
      </c>
    </row>
    <row r="1263" spans="1:73" x14ac:dyDescent="0.2">
      <c r="A1263">
        <f t="shared" si="964"/>
        <v>1</v>
      </c>
      <c r="J1263" s="44" t="str">
        <f t="shared" si="979"/>
        <v>o</v>
      </c>
      <c r="K1263" t="s">
        <v>6</v>
      </c>
      <c r="L1263" t="s">
        <v>191</v>
      </c>
      <c r="M1263" t="s">
        <v>51</v>
      </c>
      <c r="S1263">
        <v>682</v>
      </c>
      <c r="W1263" t="str">
        <f t="shared" si="955"/>
        <v>h</v>
      </c>
      <c r="X1263">
        <v>22</v>
      </c>
      <c r="Y1263" t="e">
        <f>IF(X1263&lt;&gt;"",VLOOKUP(X1263,game_rosters!$C$43:$E$64,3,FALSE))</f>
        <v>#N/A</v>
      </c>
      <c r="Z1263" t="str" cm="1">
        <f t="array" ref="Z1263">IFERROR(IF(_xlfn._xlws.FILTER(game_rosters!$J:$J,(game_rosters!$G:$G=events!$AN1263)*(game_rosters!$J:$J=events!$X1263))&gt;0,1,""),"")</f>
        <v/>
      </c>
      <c r="AA1263">
        <f t="shared" si="1003"/>
        <v>1682</v>
      </c>
      <c r="AB1263" t="str">
        <f t="shared" si="1004"/>
        <v/>
      </c>
      <c r="AC1263">
        <f t="shared" si="952"/>
        <v>1682</v>
      </c>
      <c r="AD1263" s="6">
        <v>2</v>
      </c>
      <c r="AE1263" t="s">
        <v>937</v>
      </c>
      <c r="AF1263" t="s">
        <v>922</v>
      </c>
      <c r="AG1263" t="s">
        <v>756</v>
      </c>
      <c r="AH1263" t="s">
        <v>756</v>
      </c>
      <c r="AI1263" t="s">
        <v>368</v>
      </c>
      <c r="AJ1263" t="str">
        <f t="shared" ref="AJ1263:AK1263" si="1023">IF($J1263&lt;&gt;"",$J1263,IF($AC1263=$AC1262,AJ1262,""))</f>
        <v>o</v>
      </c>
      <c r="AK1263" t="str">
        <f t="shared" si="1023"/>
        <v>o</v>
      </c>
      <c r="AL1263" t="str">
        <f t="shared" si="957"/>
        <v>o</v>
      </c>
      <c r="AN1263" t="s">
        <v>861</v>
      </c>
      <c r="AO1263" t="str">
        <f t="shared" si="958"/>
        <v>h</v>
      </c>
      <c r="AP1263" t="str">
        <f t="shared" si="966"/>
        <v>o</v>
      </c>
      <c r="AQ1263" t="str">
        <f t="shared" si="967"/>
        <v/>
      </c>
      <c r="AR1263" t="str">
        <f t="shared" si="968"/>
        <v>Home</v>
      </c>
      <c r="AS1263" t="str">
        <f t="shared" si="969"/>
        <v>h</v>
      </c>
      <c r="AT1263" t="str">
        <f t="shared" si="970"/>
        <v>Defensive</v>
      </c>
      <c r="BA1263" s="6">
        <f t="shared" si="959"/>
        <v>297</v>
      </c>
      <c r="BB1263">
        <f t="shared" si="960"/>
        <v>18981</v>
      </c>
      <c r="BC1263" t="str">
        <f t="shared" si="961"/>
        <v>Nelson</v>
      </c>
      <c r="BD1263" t="str">
        <f t="shared" si="962"/>
        <v>Velodrome</v>
      </c>
      <c r="BE1263" t="s">
        <v>6</v>
      </c>
      <c r="BF1263" t="s">
        <v>191</v>
      </c>
      <c r="BG1263" t="s">
        <v>51</v>
      </c>
      <c r="BI1263" cm="1">
        <f t="array" ref="BI1263">IFERROR(_xlfn._xlws.FILTER(shifts!A:A,(shifts!B:B=events!AD1263)*(shifts!AG:AG&gt;=events!BK1263)*(shifts!AH:AH&lt;=events!BL1263)),BI1262)</f>
        <v>57</v>
      </c>
      <c r="BJ1263" s="15">
        <f t="shared" si="963"/>
        <v>0</v>
      </c>
      <c r="BK1263">
        <f t="shared" si="971"/>
        <v>470</v>
      </c>
      <c r="BL1263">
        <f t="shared" si="972"/>
        <v>470</v>
      </c>
      <c r="BM1263" s="15">
        <f>SUMIFS(BJ$2:BJ1263,K$2:K1263,"=Intermission")+SUMIFS(BJ$2:BJ1263,K$2:K1263,"=Timeout")</f>
        <v>72</v>
      </c>
      <c r="BN1263">
        <f t="shared" si="973"/>
        <v>1152</v>
      </c>
      <c r="BO1263" s="19">
        <f t="shared" si="974"/>
        <v>1762</v>
      </c>
      <c r="BP1263">
        <f t="shared" si="975"/>
        <v>1757</v>
      </c>
      <c r="BQ1263" s="17">
        <f t="shared" si="976"/>
        <v>1762</v>
      </c>
      <c r="BR1263" t="str">
        <f t="shared" si="977"/>
        <v>opp_team_player_1</v>
      </c>
      <c r="BS1263">
        <f>COUNTIFS(S$3:S1263,"="&amp;S1263,AI$3:AI1263,"="&amp;AI1263)</f>
        <v>1</v>
      </c>
      <c r="BT1263" t="str">
        <f>IFERROR(VLOOKUP(BB1263&amp;BU1263&amp;X1263,game_rosters!U:W,3,FALSE),"")</f>
        <v>P100108</v>
      </c>
      <c r="BU1263" t="str">
        <f t="shared" si="978"/>
        <v>Velodrome</v>
      </c>
    </row>
    <row r="1264" spans="1:73" x14ac:dyDescent="0.2">
      <c r="A1264">
        <f t="shared" si="964"/>
        <v>1</v>
      </c>
      <c r="J1264" s="44" t="str">
        <f t="shared" si="979"/>
        <v/>
      </c>
      <c r="K1264" t="s">
        <v>7</v>
      </c>
      <c r="L1264" t="s">
        <v>172</v>
      </c>
      <c r="M1264" t="s">
        <v>67</v>
      </c>
      <c r="S1264">
        <v>683</v>
      </c>
      <c r="W1264" t="str">
        <f t="shared" si="955"/>
        <v>h</v>
      </c>
      <c r="X1264">
        <v>44</v>
      </c>
      <c r="Y1264" t="b">
        <f>IF(X1264&lt;&gt;"",VLOOKUP(X1264,game_rosters!$C$43:$E$64,3,FALSE))</f>
        <v>0</v>
      </c>
      <c r="Z1264" cm="1">
        <f t="array" ref="Z1264">IFERROR(IF(_xlfn._xlws.FILTER(game_rosters!$J:$J,(game_rosters!$G:$G=events!$AN1264)*(game_rosters!$J:$J=events!$X1264))&gt;0,1,""),"")</f>
        <v>1</v>
      </c>
      <c r="AA1264">
        <f t="shared" si="1003"/>
        <v>1683</v>
      </c>
      <c r="AB1264" t="str">
        <f t="shared" si="1004"/>
        <v/>
      </c>
      <c r="AC1264">
        <f t="shared" si="952"/>
        <v>1683</v>
      </c>
      <c r="AD1264" s="6">
        <v>2</v>
      </c>
      <c r="AE1264" t="s">
        <v>937</v>
      </c>
      <c r="AF1264" t="s">
        <v>924</v>
      </c>
      <c r="AG1264" t="s">
        <v>756</v>
      </c>
      <c r="AH1264" t="s">
        <v>756</v>
      </c>
      <c r="AI1264" t="s">
        <v>367</v>
      </c>
      <c r="AJ1264" t="str">
        <f t="shared" ref="AJ1264:AK1264" si="1024">IF($J1264&lt;&gt;"",$J1264,IF($AC1264=$AC1263,AJ1263,""))</f>
        <v/>
      </c>
      <c r="AK1264" t="str">
        <f t="shared" si="1024"/>
        <v/>
      </c>
      <c r="AL1264" t="str">
        <f t="shared" si="957"/>
        <v/>
      </c>
      <c r="AN1264" t="s">
        <v>861</v>
      </c>
      <c r="AO1264" t="str">
        <f t="shared" si="958"/>
        <v>h</v>
      </c>
      <c r="AP1264" t="str">
        <f t="shared" si="966"/>
        <v/>
      </c>
      <c r="AQ1264" t="str">
        <f t="shared" si="967"/>
        <v/>
      </c>
      <c r="AR1264" t="str">
        <f t="shared" si="968"/>
        <v>Home</v>
      </c>
      <c r="AS1264" t="str">
        <f t="shared" si="969"/>
        <v>h</v>
      </c>
      <c r="AT1264" t="str">
        <f t="shared" si="970"/>
        <v>Offensive</v>
      </c>
      <c r="BA1264" s="6">
        <f t="shared" si="959"/>
        <v>297</v>
      </c>
      <c r="BB1264">
        <f t="shared" si="960"/>
        <v>18981</v>
      </c>
      <c r="BC1264" t="str">
        <f t="shared" si="961"/>
        <v>Nelson</v>
      </c>
      <c r="BD1264" t="str">
        <f t="shared" si="962"/>
        <v>Velodrome</v>
      </c>
      <c r="BE1264" t="s">
        <v>7</v>
      </c>
      <c r="BF1264" t="s">
        <v>172</v>
      </c>
      <c r="BG1264" t="s">
        <v>67</v>
      </c>
      <c r="BI1264" cm="1">
        <f t="array" ref="BI1264">IFERROR(_xlfn._xlws.FILTER(shifts!A:A,(shifts!B:B=events!AD1264)*(shifts!AG:AG&gt;=events!BK1264)*(shifts!AH:AH&lt;=events!BL1264)),BI1263)</f>
        <v>57</v>
      </c>
      <c r="BJ1264" s="15">
        <f t="shared" si="963"/>
        <v>0</v>
      </c>
      <c r="BK1264">
        <f t="shared" si="971"/>
        <v>461</v>
      </c>
      <c r="BL1264">
        <f t="shared" si="972"/>
        <v>461</v>
      </c>
      <c r="BM1264" s="15">
        <f>SUMIFS(BJ$2:BJ1264,K$2:K1264,"=Intermission")+SUMIFS(BJ$2:BJ1264,K$2:K1264,"=Timeout")</f>
        <v>72</v>
      </c>
      <c r="BN1264">
        <f t="shared" si="973"/>
        <v>1152</v>
      </c>
      <c r="BO1264" s="19">
        <f t="shared" si="974"/>
        <v>1771</v>
      </c>
      <c r="BP1264">
        <f t="shared" si="975"/>
        <v>1766</v>
      </c>
      <c r="BQ1264" s="17">
        <f t="shared" si="976"/>
        <v>1771</v>
      </c>
      <c r="BR1264" t="str">
        <f t="shared" si="977"/>
        <v>event_team_player_1</v>
      </c>
      <c r="BS1264">
        <f>COUNTIFS(S$3:S1264,"="&amp;S1264,AI$3:AI1264,"="&amp;AI1264)</f>
        <v>1</v>
      </c>
      <c r="BT1264" t="str">
        <f>IFERROR(VLOOKUP(BB1264&amp;BU1264&amp;X1264,game_rosters!U:W,3,FALSE),"")</f>
        <v>P100079</v>
      </c>
      <c r="BU1264" t="str">
        <f t="shared" si="978"/>
        <v>Nelson</v>
      </c>
    </row>
    <row r="1265" spans="1:73" x14ac:dyDescent="0.2">
      <c r="A1265">
        <f t="shared" si="964"/>
        <v>1</v>
      </c>
      <c r="J1265" s="44" t="str">
        <f t="shared" si="979"/>
        <v/>
      </c>
      <c r="K1265" t="s">
        <v>7</v>
      </c>
      <c r="L1265" t="s">
        <v>172</v>
      </c>
      <c r="M1265" t="s">
        <v>67</v>
      </c>
      <c r="S1265">
        <v>683</v>
      </c>
      <c r="W1265" t="str">
        <f t="shared" si="955"/>
        <v>h</v>
      </c>
      <c r="X1265">
        <v>37</v>
      </c>
      <c r="Y1265" t="b">
        <f>IF(X1265&lt;&gt;"",VLOOKUP(X1265,game_rosters!$C$43:$E$64,3,FALSE))</f>
        <v>0</v>
      </c>
      <c r="Z1265" cm="1">
        <f t="array" ref="Z1265">IFERROR(IF(_xlfn._xlws.FILTER(game_rosters!$J:$J,(game_rosters!$G:$G=events!$AN1265)*(game_rosters!$J:$J=events!$X1265))&gt;0,1,""),"")</f>
        <v>1</v>
      </c>
      <c r="AA1265">
        <f t="shared" si="1003"/>
        <v>1683</v>
      </c>
      <c r="AB1265" t="str">
        <f t="shared" si="1004"/>
        <v/>
      </c>
      <c r="AC1265">
        <f t="shared" si="952"/>
        <v>1683</v>
      </c>
      <c r="AD1265" s="6">
        <v>2</v>
      </c>
      <c r="AE1265" t="s">
        <v>937</v>
      </c>
      <c r="AF1265" t="s">
        <v>924</v>
      </c>
      <c r="AG1265" t="s">
        <v>756</v>
      </c>
      <c r="AH1265" t="s">
        <v>756</v>
      </c>
      <c r="AI1265" t="s">
        <v>367</v>
      </c>
      <c r="AJ1265" t="str">
        <f t="shared" ref="AJ1265:AK1265" si="1025">IF($J1265&lt;&gt;"",$J1265,IF($AC1265=$AC1264,AJ1264,""))</f>
        <v/>
      </c>
      <c r="AK1265" t="str">
        <f t="shared" si="1025"/>
        <v/>
      </c>
      <c r="AL1265" t="str">
        <f t="shared" si="957"/>
        <v/>
      </c>
      <c r="AN1265" t="s">
        <v>861</v>
      </c>
      <c r="AO1265" t="str">
        <f t="shared" si="958"/>
        <v>h</v>
      </c>
      <c r="AP1265" t="str">
        <f t="shared" si="966"/>
        <v/>
      </c>
      <c r="AQ1265" t="str">
        <f t="shared" si="967"/>
        <v/>
      </c>
      <c r="AR1265" t="str">
        <f t="shared" si="968"/>
        <v>Home</v>
      </c>
      <c r="AS1265" t="str">
        <f t="shared" si="969"/>
        <v>h</v>
      </c>
      <c r="AT1265" t="str">
        <f t="shared" si="970"/>
        <v>Offensive</v>
      </c>
      <c r="BA1265" s="6">
        <f t="shared" si="959"/>
        <v>297</v>
      </c>
      <c r="BB1265">
        <f t="shared" si="960"/>
        <v>18981</v>
      </c>
      <c r="BC1265" t="str">
        <f t="shared" si="961"/>
        <v>Nelson</v>
      </c>
      <c r="BD1265" t="str">
        <f t="shared" si="962"/>
        <v>Velodrome</v>
      </c>
      <c r="BE1265" t="s">
        <v>7</v>
      </c>
      <c r="BF1265" t="s">
        <v>172</v>
      </c>
      <c r="BG1265" t="s">
        <v>67</v>
      </c>
      <c r="BI1265" cm="1">
        <f t="array" ref="BI1265">IFERROR(_xlfn._xlws.FILTER(shifts!A:A,(shifts!B:B=events!AD1265)*(shifts!AG:AG&gt;=events!BK1265)*(shifts!AH:AH&lt;=events!BL1265)),BI1264)</f>
        <v>57</v>
      </c>
      <c r="BJ1265" s="15">
        <f t="shared" si="963"/>
        <v>0</v>
      </c>
      <c r="BK1265">
        <f t="shared" si="971"/>
        <v>461</v>
      </c>
      <c r="BL1265">
        <f t="shared" si="972"/>
        <v>461</v>
      </c>
      <c r="BM1265" s="15">
        <f>SUMIFS(BJ$2:BJ1265,K$2:K1265,"=Intermission")+SUMIFS(BJ$2:BJ1265,K$2:K1265,"=Timeout")</f>
        <v>72</v>
      </c>
      <c r="BN1265">
        <f t="shared" si="973"/>
        <v>1152</v>
      </c>
      <c r="BO1265" s="19">
        <f t="shared" si="974"/>
        <v>1771</v>
      </c>
      <c r="BP1265">
        <f t="shared" si="975"/>
        <v>1766</v>
      </c>
      <c r="BQ1265" s="17">
        <f t="shared" si="976"/>
        <v>1771</v>
      </c>
      <c r="BR1265" t="str">
        <f t="shared" si="977"/>
        <v>event_team_player_2</v>
      </c>
      <c r="BS1265">
        <f>COUNTIFS(S$3:S1265,"="&amp;S1265,AI$3:AI1265,"="&amp;AI1265)</f>
        <v>2</v>
      </c>
      <c r="BT1265" t="str">
        <f>IFERROR(VLOOKUP(BB1265&amp;BU1265&amp;X1265,game_rosters!U:W,3,FALSE),"")</f>
        <v>P100119</v>
      </c>
      <c r="BU1265" t="str">
        <f t="shared" si="978"/>
        <v>Nelson</v>
      </c>
    </row>
    <row r="1266" spans="1:73" x14ac:dyDescent="0.2">
      <c r="A1266">
        <f t="shared" si="964"/>
        <v>1</v>
      </c>
      <c r="J1266" s="44" t="str">
        <f t="shared" si="979"/>
        <v/>
      </c>
      <c r="K1266" t="s">
        <v>7</v>
      </c>
      <c r="L1266" t="s">
        <v>172</v>
      </c>
      <c r="M1266" t="s">
        <v>67</v>
      </c>
      <c r="S1266">
        <v>683</v>
      </c>
      <c r="W1266" t="str">
        <f t="shared" si="955"/>
        <v>h</v>
      </c>
      <c r="X1266">
        <v>75</v>
      </c>
      <c r="Y1266" t="e">
        <f>IF(X1266&lt;&gt;"",VLOOKUP(X1266,game_rosters!$C$43:$E$64,3,FALSE))</f>
        <v>#N/A</v>
      </c>
      <c r="Z1266" t="str" cm="1">
        <f t="array" ref="Z1266">IFERROR(IF(_xlfn._xlws.FILTER(game_rosters!$J:$J,(game_rosters!$G:$G=events!$AN1266)*(game_rosters!$J:$J=events!$X1266))&gt;0,1,""),"")</f>
        <v/>
      </c>
      <c r="AA1266">
        <f t="shared" si="1003"/>
        <v>1683</v>
      </c>
      <c r="AB1266" t="str">
        <f t="shared" si="1004"/>
        <v/>
      </c>
      <c r="AC1266">
        <f t="shared" si="952"/>
        <v>1683</v>
      </c>
      <c r="AD1266" s="6">
        <v>2</v>
      </c>
      <c r="AE1266" t="s">
        <v>937</v>
      </c>
      <c r="AF1266" t="s">
        <v>924</v>
      </c>
      <c r="AG1266" t="s">
        <v>756</v>
      </c>
      <c r="AH1266" t="s">
        <v>756</v>
      </c>
      <c r="AI1266" t="s">
        <v>368</v>
      </c>
      <c r="AJ1266" t="str">
        <f t="shared" ref="AJ1266:AK1266" si="1026">IF($J1266&lt;&gt;"",$J1266,IF($AC1266=$AC1265,AJ1265,""))</f>
        <v/>
      </c>
      <c r="AK1266" t="str">
        <f t="shared" si="1026"/>
        <v/>
      </c>
      <c r="AL1266" t="str">
        <f t="shared" si="957"/>
        <v/>
      </c>
      <c r="AN1266" t="s">
        <v>861</v>
      </c>
      <c r="AO1266" t="str">
        <f t="shared" si="958"/>
        <v>h</v>
      </c>
      <c r="AP1266" t="str">
        <f t="shared" si="966"/>
        <v/>
      </c>
      <c r="AQ1266" t="str">
        <f t="shared" si="967"/>
        <v/>
      </c>
      <c r="AR1266" t="str">
        <f t="shared" si="968"/>
        <v>Home</v>
      </c>
      <c r="AS1266" t="str">
        <f t="shared" si="969"/>
        <v>h</v>
      </c>
      <c r="AT1266" t="str">
        <f t="shared" si="970"/>
        <v>Defensive</v>
      </c>
      <c r="BA1266" s="6">
        <f t="shared" si="959"/>
        <v>297</v>
      </c>
      <c r="BB1266">
        <f t="shared" si="960"/>
        <v>18981</v>
      </c>
      <c r="BC1266" t="str">
        <f t="shared" si="961"/>
        <v>Nelson</v>
      </c>
      <c r="BD1266" t="str">
        <f t="shared" si="962"/>
        <v>Velodrome</v>
      </c>
      <c r="BE1266" t="s">
        <v>7</v>
      </c>
      <c r="BF1266" t="s">
        <v>172</v>
      </c>
      <c r="BG1266" t="s">
        <v>67</v>
      </c>
      <c r="BI1266" cm="1">
        <f t="array" ref="BI1266">IFERROR(_xlfn._xlws.FILTER(shifts!A:A,(shifts!B:B=events!AD1266)*(shifts!AG:AG&gt;=events!BK1266)*(shifts!AH:AH&lt;=events!BL1266)),BI1265)</f>
        <v>57</v>
      </c>
      <c r="BJ1266" s="15">
        <f t="shared" si="963"/>
        <v>0</v>
      </c>
      <c r="BK1266">
        <f t="shared" si="971"/>
        <v>461</v>
      </c>
      <c r="BL1266">
        <f t="shared" si="972"/>
        <v>461</v>
      </c>
      <c r="BM1266" s="15">
        <f>SUMIFS(BJ$2:BJ1266,K$2:K1266,"=Intermission")+SUMIFS(BJ$2:BJ1266,K$2:K1266,"=Timeout")</f>
        <v>72</v>
      </c>
      <c r="BN1266">
        <f t="shared" si="973"/>
        <v>1152</v>
      </c>
      <c r="BO1266" s="19">
        <f t="shared" si="974"/>
        <v>1771</v>
      </c>
      <c r="BP1266">
        <f t="shared" si="975"/>
        <v>1766</v>
      </c>
      <c r="BQ1266" s="17">
        <f t="shared" si="976"/>
        <v>1771</v>
      </c>
      <c r="BR1266" t="str">
        <f t="shared" si="977"/>
        <v>opp_team_player_1</v>
      </c>
      <c r="BS1266">
        <f>COUNTIFS(S$3:S1266,"="&amp;S1266,AI$3:AI1266,"="&amp;AI1266)</f>
        <v>1</v>
      </c>
      <c r="BT1266" t="str">
        <f>IFERROR(VLOOKUP(BB1266&amp;BU1266&amp;X1266,game_rosters!U:W,3,FALSE),"")</f>
        <v>P100039</v>
      </c>
      <c r="BU1266" t="str">
        <f t="shared" si="978"/>
        <v>Velodrome</v>
      </c>
    </row>
    <row r="1267" spans="1:73" x14ac:dyDescent="0.2">
      <c r="A1267">
        <f t="shared" si="964"/>
        <v>1</v>
      </c>
      <c r="J1267" s="44" t="str">
        <f t="shared" si="979"/>
        <v>o</v>
      </c>
      <c r="K1267" t="s">
        <v>6</v>
      </c>
      <c r="L1267" t="s">
        <v>191</v>
      </c>
      <c r="M1267" t="s">
        <v>51</v>
      </c>
      <c r="S1267">
        <v>684</v>
      </c>
      <c r="W1267" t="str">
        <f t="shared" si="955"/>
        <v>h</v>
      </c>
      <c r="X1267">
        <v>37</v>
      </c>
      <c r="Y1267" t="b">
        <f>IF(X1267&lt;&gt;"",VLOOKUP(X1267,game_rosters!$C$43:$E$64,3,FALSE))</f>
        <v>0</v>
      </c>
      <c r="Z1267" cm="1">
        <f t="array" ref="Z1267">IFERROR(IF(_xlfn._xlws.FILTER(game_rosters!$J:$J,(game_rosters!$G:$G=events!$AN1267)*(game_rosters!$J:$J=events!$X1267))&gt;0,1,""),"")</f>
        <v>1</v>
      </c>
      <c r="AA1267">
        <f t="shared" si="1003"/>
        <v>1684</v>
      </c>
      <c r="AB1267" t="str">
        <f t="shared" si="1004"/>
        <v/>
      </c>
      <c r="AC1267">
        <f t="shared" si="952"/>
        <v>1684</v>
      </c>
      <c r="AD1267" s="6">
        <v>2</v>
      </c>
      <c r="AE1267" t="s">
        <v>937</v>
      </c>
      <c r="AF1267" t="s">
        <v>903</v>
      </c>
      <c r="AG1267" t="s">
        <v>756</v>
      </c>
      <c r="AH1267" t="s">
        <v>756</v>
      </c>
      <c r="AI1267" t="s">
        <v>367</v>
      </c>
      <c r="AJ1267" t="str">
        <f t="shared" ref="AJ1267:AK1267" si="1027">IF($J1267&lt;&gt;"",$J1267,IF($AC1267=$AC1266,AJ1266,""))</f>
        <v>o</v>
      </c>
      <c r="AK1267" t="str">
        <f t="shared" si="1027"/>
        <v>o</v>
      </c>
      <c r="AL1267" t="str">
        <f t="shared" si="957"/>
        <v>o</v>
      </c>
      <c r="AN1267" t="s">
        <v>861</v>
      </c>
      <c r="AO1267" t="str">
        <f t="shared" si="958"/>
        <v>h</v>
      </c>
      <c r="AP1267" t="str">
        <f t="shared" si="966"/>
        <v>o</v>
      </c>
      <c r="AQ1267" t="str">
        <f t="shared" si="967"/>
        <v/>
      </c>
      <c r="AR1267" t="str">
        <f t="shared" si="968"/>
        <v>Home</v>
      </c>
      <c r="AS1267" t="str">
        <f t="shared" si="969"/>
        <v>h</v>
      </c>
      <c r="AT1267" t="str">
        <f t="shared" si="970"/>
        <v>Offensive</v>
      </c>
      <c r="BA1267" s="6">
        <f t="shared" si="959"/>
        <v>297</v>
      </c>
      <c r="BB1267">
        <f t="shared" si="960"/>
        <v>18981</v>
      </c>
      <c r="BC1267" t="str">
        <f t="shared" si="961"/>
        <v>Nelson</v>
      </c>
      <c r="BD1267" t="str">
        <f t="shared" si="962"/>
        <v>Velodrome</v>
      </c>
      <c r="BE1267" t="s">
        <v>6</v>
      </c>
      <c r="BF1267" t="s">
        <v>191</v>
      </c>
      <c r="BG1267" t="s">
        <v>51</v>
      </c>
      <c r="BI1267" cm="1">
        <f t="array" ref="BI1267">IFERROR(_xlfn._xlws.FILTER(shifts!A:A,(shifts!B:B=events!AD1267)*(shifts!AG:AG&gt;=events!BK1267)*(shifts!AH:AH&lt;=events!BL1267)),BI1266)</f>
        <v>57</v>
      </c>
      <c r="BJ1267" s="15">
        <f t="shared" si="963"/>
        <v>0</v>
      </c>
      <c r="BK1267">
        <f t="shared" si="971"/>
        <v>460</v>
      </c>
      <c r="BL1267">
        <f t="shared" si="972"/>
        <v>460</v>
      </c>
      <c r="BM1267" s="15">
        <f>SUMIFS(BJ$2:BJ1267,K$2:K1267,"=Intermission")+SUMIFS(BJ$2:BJ1267,K$2:K1267,"=Timeout")</f>
        <v>72</v>
      </c>
      <c r="BN1267">
        <f t="shared" si="973"/>
        <v>1152</v>
      </c>
      <c r="BO1267" s="19">
        <f t="shared" si="974"/>
        <v>1772</v>
      </c>
      <c r="BP1267">
        <f t="shared" si="975"/>
        <v>1767</v>
      </c>
      <c r="BQ1267" s="17">
        <f t="shared" si="976"/>
        <v>1772</v>
      </c>
      <c r="BR1267" t="str">
        <f t="shared" si="977"/>
        <v>event_team_player_1</v>
      </c>
      <c r="BS1267">
        <f>COUNTIFS(S$3:S1267,"="&amp;S1267,AI$3:AI1267,"="&amp;AI1267)</f>
        <v>1</v>
      </c>
      <c r="BT1267" t="str">
        <f>IFERROR(VLOOKUP(BB1267&amp;BU1267&amp;X1267,game_rosters!U:W,3,FALSE),"")</f>
        <v>P100119</v>
      </c>
      <c r="BU1267" t="str">
        <f t="shared" si="978"/>
        <v>Nelson</v>
      </c>
    </row>
    <row r="1268" spans="1:73" x14ac:dyDescent="0.2">
      <c r="A1268">
        <f t="shared" si="964"/>
        <v>1</v>
      </c>
      <c r="J1268" s="44" t="str">
        <f t="shared" si="979"/>
        <v>o</v>
      </c>
      <c r="K1268" t="s">
        <v>6</v>
      </c>
      <c r="L1268" t="s">
        <v>191</v>
      </c>
      <c r="M1268" t="s">
        <v>51</v>
      </c>
      <c r="S1268">
        <v>684</v>
      </c>
      <c r="W1268" t="str">
        <f t="shared" si="955"/>
        <v>h</v>
      </c>
      <c r="X1268">
        <v>22</v>
      </c>
      <c r="Y1268" t="e">
        <f>IF(X1268&lt;&gt;"",VLOOKUP(X1268,game_rosters!$C$43:$E$64,3,FALSE))</f>
        <v>#N/A</v>
      </c>
      <c r="Z1268" t="str" cm="1">
        <f t="array" ref="Z1268">IFERROR(IF(_xlfn._xlws.FILTER(game_rosters!$J:$J,(game_rosters!$G:$G=events!$AN1268)*(game_rosters!$J:$J=events!$X1268))&gt;0,1,""),"")</f>
        <v/>
      </c>
      <c r="AA1268">
        <f t="shared" si="1003"/>
        <v>1684</v>
      </c>
      <c r="AB1268" t="str">
        <f t="shared" si="1004"/>
        <v/>
      </c>
      <c r="AC1268">
        <f t="shared" si="952"/>
        <v>1684</v>
      </c>
      <c r="AD1268" s="6">
        <v>2</v>
      </c>
      <c r="AE1268" t="s">
        <v>937</v>
      </c>
      <c r="AF1268" t="s">
        <v>903</v>
      </c>
      <c r="AG1268" t="s">
        <v>756</v>
      </c>
      <c r="AH1268" t="s">
        <v>756</v>
      </c>
      <c r="AI1268" t="s">
        <v>368</v>
      </c>
      <c r="AJ1268" t="str">
        <f t="shared" ref="AJ1268:AK1268" si="1028">IF($J1268&lt;&gt;"",$J1268,IF($AC1268=$AC1267,AJ1267,""))</f>
        <v>o</v>
      </c>
      <c r="AK1268" t="str">
        <f t="shared" si="1028"/>
        <v>o</v>
      </c>
      <c r="AL1268" t="str">
        <f t="shared" si="957"/>
        <v>o</v>
      </c>
      <c r="AN1268" t="s">
        <v>861</v>
      </c>
      <c r="AO1268" t="str">
        <f t="shared" si="958"/>
        <v>h</v>
      </c>
      <c r="AP1268" t="str">
        <f t="shared" si="966"/>
        <v>o</v>
      </c>
      <c r="AQ1268" t="str">
        <f t="shared" si="967"/>
        <v/>
      </c>
      <c r="AR1268" t="str">
        <f t="shared" si="968"/>
        <v>Home</v>
      </c>
      <c r="AS1268" t="str">
        <f t="shared" si="969"/>
        <v>h</v>
      </c>
      <c r="AT1268" t="str">
        <f t="shared" si="970"/>
        <v>Defensive</v>
      </c>
      <c r="BA1268" s="6">
        <f t="shared" si="959"/>
        <v>297</v>
      </c>
      <c r="BB1268">
        <f t="shared" si="960"/>
        <v>18981</v>
      </c>
      <c r="BC1268" t="str">
        <f t="shared" si="961"/>
        <v>Nelson</v>
      </c>
      <c r="BD1268" t="str">
        <f t="shared" si="962"/>
        <v>Velodrome</v>
      </c>
      <c r="BE1268" t="s">
        <v>6</v>
      </c>
      <c r="BF1268" t="s">
        <v>191</v>
      </c>
      <c r="BG1268" t="s">
        <v>51</v>
      </c>
      <c r="BI1268" cm="1">
        <f t="array" ref="BI1268">IFERROR(_xlfn._xlws.FILTER(shifts!A:A,(shifts!B:B=events!AD1268)*(shifts!AG:AG&gt;=events!BK1268)*(shifts!AH:AH&lt;=events!BL1268)),BI1267)</f>
        <v>57</v>
      </c>
      <c r="BJ1268" s="15">
        <f t="shared" si="963"/>
        <v>0</v>
      </c>
      <c r="BK1268">
        <f t="shared" si="971"/>
        <v>460</v>
      </c>
      <c r="BL1268">
        <f t="shared" si="972"/>
        <v>460</v>
      </c>
      <c r="BM1268" s="15">
        <f>SUMIFS(BJ$2:BJ1268,K$2:K1268,"=Intermission")+SUMIFS(BJ$2:BJ1268,K$2:K1268,"=Timeout")</f>
        <v>72</v>
      </c>
      <c r="BN1268">
        <f t="shared" si="973"/>
        <v>1152</v>
      </c>
      <c r="BO1268" s="19">
        <f t="shared" si="974"/>
        <v>1772</v>
      </c>
      <c r="BP1268">
        <f t="shared" si="975"/>
        <v>1767</v>
      </c>
      <c r="BQ1268" s="17">
        <f t="shared" si="976"/>
        <v>1772</v>
      </c>
      <c r="BR1268" t="str">
        <f t="shared" si="977"/>
        <v>opp_team_player_1</v>
      </c>
      <c r="BS1268">
        <f>COUNTIFS(S$3:S1268,"="&amp;S1268,AI$3:AI1268,"="&amp;AI1268)</f>
        <v>1</v>
      </c>
      <c r="BT1268" t="str">
        <f>IFERROR(VLOOKUP(BB1268&amp;BU1268&amp;X1268,game_rosters!U:W,3,FALSE),"")</f>
        <v>P100108</v>
      </c>
      <c r="BU1268" t="str">
        <f t="shared" si="978"/>
        <v>Velodrome</v>
      </c>
    </row>
    <row r="1269" spans="1:73" x14ac:dyDescent="0.2">
      <c r="A1269">
        <f t="shared" si="964"/>
        <v>1</v>
      </c>
      <c r="J1269" s="44" t="str">
        <f t="shared" si="979"/>
        <v/>
      </c>
      <c r="K1269" t="s">
        <v>238</v>
      </c>
      <c r="L1269" t="s">
        <v>193</v>
      </c>
      <c r="M1269" t="s">
        <v>91</v>
      </c>
      <c r="S1269">
        <v>685</v>
      </c>
      <c r="W1269" t="str">
        <f t="shared" si="955"/>
        <v>h</v>
      </c>
      <c r="X1269">
        <v>23</v>
      </c>
      <c r="Y1269" t="b">
        <f>IF(X1269&lt;&gt;"",VLOOKUP(X1269,game_rosters!$C$43:$E$64,3,FALSE))</f>
        <v>0</v>
      </c>
      <c r="Z1269" cm="1">
        <f t="array" ref="Z1269">IFERROR(IF(_xlfn._xlws.FILTER(game_rosters!$J:$J,(game_rosters!$G:$G=events!$AN1269)*(game_rosters!$J:$J=events!$X1269))&gt;0,1,""),"")</f>
        <v>1</v>
      </c>
      <c r="AA1269">
        <f t="shared" si="1003"/>
        <v>1685</v>
      </c>
      <c r="AB1269" t="str">
        <f t="shared" si="1004"/>
        <v/>
      </c>
      <c r="AC1269">
        <f t="shared" si="952"/>
        <v>1685</v>
      </c>
      <c r="AD1269" s="6">
        <v>2</v>
      </c>
      <c r="AE1269" t="s">
        <v>937</v>
      </c>
      <c r="AF1269" t="s">
        <v>865</v>
      </c>
      <c r="AG1269" t="s">
        <v>756</v>
      </c>
      <c r="AH1269" t="s">
        <v>756</v>
      </c>
      <c r="AI1269" t="s">
        <v>367</v>
      </c>
      <c r="AJ1269" t="str">
        <f t="shared" ref="AJ1269:AK1269" si="1029">IF($J1269&lt;&gt;"",$J1269,IF($AC1269=$AC1268,AJ1268,""))</f>
        <v/>
      </c>
      <c r="AK1269" t="str">
        <f t="shared" si="1029"/>
        <v/>
      </c>
      <c r="AL1269" t="str">
        <f t="shared" si="957"/>
        <v/>
      </c>
      <c r="AN1269" t="s">
        <v>861</v>
      </c>
      <c r="AO1269" t="str">
        <f t="shared" si="958"/>
        <v>h</v>
      </c>
      <c r="AP1269" t="str">
        <f t="shared" si="966"/>
        <v/>
      </c>
      <c r="AQ1269" t="str">
        <f t="shared" si="967"/>
        <v/>
      </c>
      <c r="AR1269" t="str">
        <f t="shared" si="968"/>
        <v>Home</v>
      </c>
      <c r="AS1269" t="str">
        <f t="shared" si="969"/>
        <v>h</v>
      </c>
      <c r="AT1269" t="str">
        <f t="shared" si="970"/>
        <v>Offensive</v>
      </c>
      <c r="BA1269" s="6">
        <f t="shared" si="959"/>
        <v>297</v>
      </c>
      <c r="BB1269">
        <f t="shared" si="960"/>
        <v>18981</v>
      </c>
      <c r="BC1269" t="str">
        <f t="shared" si="961"/>
        <v>Nelson</v>
      </c>
      <c r="BD1269" t="str">
        <f t="shared" si="962"/>
        <v>Velodrome</v>
      </c>
      <c r="BE1269" t="s">
        <v>238</v>
      </c>
      <c r="BF1269" t="s">
        <v>193</v>
      </c>
      <c r="BG1269" t="s">
        <v>91</v>
      </c>
      <c r="BI1269" cm="1">
        <f t="array" ref="BI1269">IFERROR(_xlfn._xlws.FILTER(shifts!A:A,(shifts!B:B=events!AD1269)*(shifts!AG:AG&gt;=events!BK1269)*(shifts!AH:AH&lt;=events!BL1269)),BI1268)</f>
        <v>57</v>
      </c>
      <c r="BJ1269" s="15">
        <f t="shared" si="963"/>
        <v>0</v>
      </c>
      <c r="BK1269">
        <f t="shared" si="971"/>
        <v>458</v>
      </c>
      <c r="BL1269">
        <f t="shared" si="972"/>
        <v>458</v>
      </c>
      <c r="BM1269" s="15">
        <f>SUMIFS(BJ$2:BJ1269,K$2:K1269,"=Intermission")+SUMIFS(BJ$2:BJ1269,K$2:K1269,"=Timeout")</f>
        <v>72</v>
      </c>
      <c r="BN1269">
        <f t="shared" si="973"/>
        <v>1152</v>
      </c>
      <c r="BO1269" s="19">
        <f t="shared" si="974"/>
        <v>1774</v>
      </c>
      <c r="BP1269">
        <f t="shared" si="975"/>
        <v>1769</v>
      </c>
      <c r="BQ1269" s="17">
        <f t="shared" si="976"/>
        <v>1774</v>
      </c>
      <c r="BR1269" t="str">
        <f t="shared" si="977"/>
        <v>event_team_player_1</v>
      </c>
      <c r="BS1269">
        <f>COUNTIFS(S$3:S1269,"="&amp;S1269,AI$3:AI1269,"="&amp;AI1269)</f>
        <v>1</v>
      </c>
      <c r="BT1269" t="str">
        <f>IFERROR(VLOOKUP(BB1269&amp;BU1269&amp;X1269,game_rosters!U:W,3,FALSE),"")</f>
        <v>P100061</v>
      </c>
      <c r="BU1269" t="str">
        <f t="shared" si="978"/>
        <v>Nelson</v>
      </c>
    </row>
    <row r="1270" spans="1:73" x14ac:dyDescent="0.2">
      <c r="A1270">
        <f t="shared" si="964"/>
        <v>1</v>
      </c>
      <c r="J1270" s="44" t="str">
        <f t="shared" si="979"/>
        <v/>
      </c>
      <c r="K1270" t="s">
        <v>9</v>
      </c>
      <c r="L1270" t="s">
        <v>173</v>
      </c>
      <c r="M1270" t="s">
        <v>71</v>
      </c>
      <c r="S1270">
        <v>686</v>
      </c>
      <c r="W1270" t="str">
        <f t="shared" si="955"/>
        <v>h</v>
      </c>
      <c r="X1270">
        <v>23</v>
      </c>
      <c r="Y1270" t="b">
        <f>IF(X1270&lt;&gt;"",VLOOKUP(X1270,game_rosters!$C$43:$E$64,3,FALSE))</f>
        <v>0</v>
      </c>
      <c r="Z1270" cm="1">
        <f t="array" ref="Z1270">IFERROR(IF(_xlfn._xlws.FILTER(game_rosters!$J:$J,(game_rosters!$G:$G=events!$AN1270)*(game_rosters!$J:$J=events!$X1270))&gt;0,1,""),"")</f>
        <v>1</v>
      </c>
      <c r="AA1270">
        <f t="shared" si="1003"/>
        <v>1686</v>
      </c>
      <c r="AB1270" t="str">
        <f t="shared" si="1004"/>
        <v/>
      </c>
      <c r="AC1270">
        <f t="shared" si="952"/>
        <v>1686</v>
      </c>
      <c r="AD1270" s="6">
        <v>2</v>
      </c>
      <c r="AE1270" t="s">
        <v>937</v>
      </c>
      <c r="AF1270" t="s">
        <v>865</v>
      </c>
      <c r="AG1270" t="s">
        <v>756</v>
      </c>
      <c r="AH1270" t="s">
        <v>756</v>
      </c>
      <c r="AI1270" t="s">
        <v>367</v>
      </c>
      <c r="AJ1270" t="str">
        <f t="shared" ref="AJ1270:AK1270" si="1030">IF($J1270&lt;&gt;"",$J1270,IF($AC1270=$AC1269,AJ1269,""))</f>
        <v/>
      </c>
      <c r="AK1270" t="str">
        <f t="shared" si="1030"/>
        <v/>
      </c>
      <c r="AL1270" t="str">
        <f t="shared" si="957"/>
        <v/>
      </c>
      <c r="AN1270" t="s">
        <v>861</v>
      </c>
      <c r="AO1270" t="str">
        <f t="shared" si="958"/>
        <v>h</v>
      </c>
      <c r="AP1270" t="str">
        <f t="shared" si="966"/>
        <v/>
      </c>
      <c r="AQ1270" t="str">
        <f t="shared" si="967"/>
        <v/>
      </c>
      <c r="AR1270" t="str">
        <f t="shared" si="968"/>
        <v>Home</v>
      </c>
      <c r="AS1270" t="str">
        <f t="shared" si="969"/>
        <v>h</v>
      </c>
      <c r="AT1270" t="str">
        <f t="shared" si="970"/>
        <v>Offensive</v>
      </c>
      <c r="BA1270" s="6">
        <f t="shared" si="959"/>
        <v>297</v>
      </c>
      <c r="BB1270">
        <f t="shared" si="960"/>
        <v>18981</v>
      </c>
      <c r="BC1270" t="str">
        <f t="shared" si="961"/>
        <v>Nelson</v>
      </c>
      <c r="BD1270" t="str">
        <f t="shared" si="962"/>
        <v>Velodrome</v>
      </c>
      <c r="BE1270" t="s">
        <v>9</v>
      </c>
      <c r="BF1270" t="s">
        <v>173</v>
      </c>
      <c r="BG1270" t="s">
        <v>71</v>
      </c>
      <c r="BI1270" cm="1">
        <f t="array" ref="BI1270">IFERROR(_xlfn._xlws.FILTER(shifts!A:A,(shifts!B:B=events!AD1270)*(shifts!AG:AG&gt;=events!BK1270)*(shifts!AH:AH&lt;=events!BL1270)),BI1269)</f>
        <v>57</v>
      </c>
      <c r="BJ1270" s="15">
        <f t="shared" si="963"/>
        <v>0</v>
      </c>
      <c r="BK1270">
        <f t="shared" si="971"/>
        <v>458</v>
      </c>
      <c r="BL1270">
        <f t="shared" si="972"/>
        <v>458</v>
      </c>
      <c r="BM1270" s="15">
        <f>SUMIFS(BJ$2:BJ1270,K$2:K1270,"=Intermission")+SUMIFS(BJ$2:BJ1270,K$2:K1270,"=Timeout")</f>
        <v>72</v>
      </c>
      <c r="BN1270">
        <f t="shared" si="973"/>
        <v>1152</v>
      </c>
      <c r="BO1270" s="19">
        <f t="shared" si="974"/>
        <v>1774</v>
      </c>
      <c r="BP1270">
        <f t="shared" si="975"/>
        <v>1769</v>
      </c>
      <c r="BQ1270" s="17">
        <f t="shared" si="976"/>
        <v>1774</v>
      </c>
      <c r="BR1270" t="str">
        <f t="shared" si="977"/>
        <v>event_team_player_1</v>
      </c>
      <c r="BS1270">
        <f>COUNTIFS(S$3:S1270,"="&amp;S1270,AI$3:AI1270,"="&amp;AI1270)</f>
        <v>1</v>
      </c>
      <c r="BT1270" t="str">
        <f>IFERROR(VLOOKUP(BB1270&amp;BU1270&amp;X1270,game_rosters!U:W,3,FALSE),"")</f>
        <v>P100061</v>
      </c>
      <c r="BU1270" t="str">
        <f t="shared" si="978"/>
        <v>Nelson</v>
      </c>
    </row>
    <row r="1271" spans="1:73" x14ac:dyDescent="0.2">
      <c r="A1271">
        <f t="shared" si="964"/>
        <v>1</v>
      </c>
      <c r="J1271" s="44" t="str">
        <f t="shared" si="979"/>
        <v/>
      </c>
      <c r="K1271" t="s">
        <v>9</v>
      </c>
      <c r="L1271" t="s">
        <v>173</v>
      </c>
      <c r="M1271" t="s">
        <v>71</v>
      </c>
      <c r="S1271">
        <v>686</v>
      </c>
      <c r="W1271" t="str">
        <f t="shared" si="955"/>
        <v>h</v>
      </c>
      <c r="X1271">
        <v>87</v>
      </c>
      <c r="Y1271" t="e">
        <f>IF(X1271&lt;&gt;"",VLOOKUP(X1271,game_rosters!$C$43:$E$64,3,FALSE))</f>
        <v>#N/A</v>
      </c>
      <c r="Z1271" t="str" cm="1">
        <f t="array" ref="Z1271">IFERROR(IF(_xlfn._xlws.FILTER(game_rosters!$J:$J,(game_rosters!$G:$G=events!$AN1271)*(game_rosters!$J:$J=events!$X1271))&gt;0,1,""),"")</f>
        <v/>
      </c>
      <c r="AA1271">
        <f t="shared" si="1003"/>
        <v>1686</v>
      </c>
      <c r="AB1271" t="str">
        <f t="shared" si="1004"/>
        <v/>
      </c>
      <c r="AC1271">
        <f t="shared" si="952"/>
        <v>1686</v>
      </c>
      <c r="AD1271" s="6">
        <v>2</v>
      </c>
      <c r="AE1271" t="s">
        <v>937</v>
      </c>
      <c r="AF1271" t="s">
        <v>865</v>
      </c>
      <c r="AG1271" t="s">
        <v>756</v>
      </c>
      <c r="AH1271" t="s">
        <v>756</v>
      </c>
      <c r="AI1271" t="s">
        <v>368</v>
      </c>
      <c r="AJ1271" t="str">
        <f t="shared" ref="AJ1271:AK1271" si="1031">IF($J1271&lt;&gt;"",$J1271,IF($AC1271=$AC1270,AJ1270,""))</f>
        <v/>
      </c>
      <c r="AK1271" t="str">
        <f t="shared" si="1031"/>
        <v/>
      </c>
      <c r="AL1271" t="str">
        <f t="shared" si="957"/>
        <v/>
      </c>
      <c r="AN1271" t="s">
        <v>861</v>
      </c>
      <c r="AO1271" t="str">
        <f t="shared" si="958"/>
        <v>h</v>
      </c>
      <c r="AP1271" t="str">
        <f t="shared" si="966"/>
        <v/>
      </c>
      <c r="AQ1271" t="str">
        <f t="shared" si="967"/>
        <v/>
      </c>
      <c r="AR1271" t="str">
        <f t="shared" si="968"/>
        <v>Home</v>
      </c>
      <c r="AS1271" t="str">
        <f t="shared" si="969"/>
        <v>h</v>
      </c>
      <c r="AT1271" t="str">
        <f t="shared" si="970"/>
        <v>Defensive</v>
      </c>
      <c r="BA1271" s="6">
        <f t="shared" si="959"/>
        <v>297</v>
      </c>
      <c r="BB1271">
        <f t="shared" si="960"/>
        <v>18981</v>
      </c>
      <c r="BC1271" t="str">
        <f t="shared" si="961"/>
        <v>Nelson</v>
      </c>
      <c r="BD1271" t="str">
        <f t="shared" si="962"/>
        <v>Velodrome</v>
      </c>
      <c r="BE1271" t="s">
        <v>9</v>
      </c>
      <c r="BF1271" t="s">
        <v>173</v>
      </c>
      <c r="BG1271" t="s">
        <v>71</v>
      </c>
      <c r="BI1271" cm="1">
        <f t="array" ref="BI1271">IFERROR(_xlfn._xlws.FILTER(shifts!A:A,(shifts!B:B=events!AD1271)*(shifts!AG:AG&gt;=events!BK1271)*(shifts!AH:AH&lt;=events!BL1271)),BI1270)</f>
        <v>57</v>
      </c>
      <c r="BJ1271" s="15">
        <f t="shared" si="963"/>
        <v>0</v>
      </c>
      <c r="BK1271">
        <f t="shared" si="971"/>
        <v>458</v>
      </c>
      <c r="BL1271">
        <f t="shared" si="972"/>
        <v>458</v>
      </c>
      <c r="BM1271" s="15">
        <f>SUMIFS(BJ$2:BJ1271,K$2:K1271,"=Intermission")+SUMIFS(BJ$2:BJ1271,K$2:K1271,"=Timeout")</f>
        <v>72</v>
      </c>
      <c r="BN1271">
        <f t="shared" si="973"/>
        <v>1152</v>
      </c>
      <c r="BO1271" s="19">
        <f t="shared" si="974"/>
        <v>1774</v>
      </c>
      <c r="BP1271">
        <f t="shared" si="975"/>
        <v>1769</v>
      </c>
      <c r="BQ1271" s="17">
        <f t="shared" si="976"/>
        <v>1774</v>
      </c>
      <c r="BR1271" t="str">
        <f t="shared" si="977"/>
        <v>opp_team_player_1</v>
      </c>
      <c r="BS1271">
        <f>COUNTIFS(S$3:S1271,"="&amp;S1271,AI$3:AI1271,"="&amp;AI1271)</f>
        <v>1</v>
      </c>
      <c r="BT1271" t="str">
        <f>IFERROR(VLOOKUP(BB1271&amp;BU1271&amp;X1271,game_rosters!U:W,3,FALSE),"")</f>
        <v>P100159</v>
      </c>
      <c r="BU1271" t="str">
        <f t="shared" si="978"/>
        <v>Velodrome</v>
      </c>
    </row>
    <row r="1272" spans="1:73" x14ac:dyDescent="0.2">
      <c r="A1272">
        <f t="shared" si="964"/>
        <v>1</v>
      </c>
      <c r="J1272" s="44" t="str">
        <f t="shared" si="979"/>
        <v>d</v>
      </c>
      <c r="K1272" t="s">
        <v>238</v>
      </c>
      <c r="L1272" t="s">
        <v>184</v>
      </c>
      <c r="M1272" t="s">
        <v>415</v>
      </c>
      <c r="S1272">
        <v>687</v>
      </c>
      <c r="W1272" t="str">
        <f t="shared" si="955"/>
        <v>a</v>
      </c>
      <c r="X1272">
        <v>87</v>
      </c>
      <c r="Y1272" t="e">
        <f>IF(X1272&lt;&gt;"",VLOOKUP(X1272,game_rosters!$C$43:$E$64,3,FALSE))</f>
        <v>#N/A</v>
      </c>
      <c r="Z1272" cm="1">
        <f t="array" ref="Z1272">IFERROR(IF(_xlfn._xlws.FILTER(game_rosters!$J:$J,(game_rosters!$G:$G=events!$AN1272)*(game_rosters!$J:$J=events!$X1272))&gt;0,1,""),"")</f>
        <v>1</v>
      </c>
      <c r="AA1272">
        <f t="shared" si="1003"/>
        <v>1687</v>
      </c>
      <c r="AB1272" t="str">
        <f t="shared" si="1004"/>
        <v/>
      </c>
      <c r="AC1272">
        <f t="shared" si="952"/>
        <v>1687</v>
      </c>
      <c r="AD1272" s="6">
        <v>2</v>
      </c>
      <c r="AE1272" t="s">
        <v>937</v>
      </c>
      <c r="AF1272" t="s">
        <v>928</v>
      </c>
      <c r="AG1272" t="s">
        <v>756</v>
      </c>
      <c r="AH1272" t="s">
        <v>756</v>
      </c>
      <c r="AI1272" t="s">
        <v>367</v>
      </c>
      <c r="AJ1272" t="str">
        <f t="shared" ref="AJ1272:AK1272" si="1032">IF($J1272&lt;&gt;"",$J1272,IF($AC1272=$AC1271,AJ1271,""))</f>
        <v>d</v>
      </c>
      <c r="AK1272" t="str">
        <f t="shared" si="1032"/>
        <v>d</v>
      </c>
      <c r="AL1272" t="str">
        <f t="shared" si="957"/>
        <v>o</v>
      </c>
      <c r="AN1272" t="s">
        <v>862</v>
      </c>
      <c r="AO1272" t="str">
        <f t="shared" si="958"/>
        <v>a</v>
      </c>
      <c r="AP1272" t="str">
        <f t="shared" si="966"/>
        <v>o</v>
      </c>
      <c r="AQ1272" t="str">
        <f t="shared" si="967"/>
        <v/>
      </c>
      <c r="AR1272" t="str">
        <f t="shared" si="968"/>
        <v>Away</v>
      </c>
      <c r="AS1272" t="str">
        <f t="shared" si="969"/>
        <v>a</v>
      </c>
      <c r="AT1272" t="str">
        <f t="shared" si="970"/>
        <v>Offensive</v>
      </c>
      <c r="BA1272" s="6">
        <f t="shared" si="959"/>
        <v>298</v>
      </c>
      <c r="BB1272">
        <f t="shared" si="960"/>
        <v>18981</v>
      </c>
      <c r="BC1272" t="str">
        <f t="shared" si="961"/>
        <v>Nelson</v>
      </c>
      <c r="BD1272" t="str">
        <f t="shared" si="962"/>
        <v>Velodrome</v>
      </c>
      <c r="BE1272" t="s">
        <v>238</v>
      </c>
      <c r="BF1272" t="s">
        <v>184</v>
      </c>
      <c r="BG1272" t="s">
        <v>415</v>
      </c>
      <c r="BI1272" cm="1">
        <f t="array" ref="BI1272">IFERROR(_xlfn._xlws.FILTER(shifts!A:A,(shifts!B:B=events!AD1272)*(shifts!AG:AG&gt;=events!BK1272)*(shifts!AH:AH&lt;=events!BL1272)),BI1271)</f>
        <v>57</v>
      </c>
      <c r="BJ1272" s="15">
        <f t="shared" si="963"/>
        <v>0</v>
      </c>
      <c r="BK1272">
        <f t="shared" si="971"/>
        <v>457</v>
      </c>
      <c r="BL1272">
        <f t="shared" si="972"/>
        <v>457</v>
      </c>
      <c r="BM1272" s="15">
        <f>SUMIFS(BJ$2:BJ1272,K$2:K1272,"=Intermission")+SUMIFS(BJ$2:BJ1272,K$2:K1272,"=Timeout")</f>
        <v>72</v>
      </c>
      <c r="BN1272">
        <f t="shared" si="973"/>
        <v>1152</v>
      </c>
      <c r="BO1272" s="19">
        <f t="shared" si="974"/>
        <v>1775</v>
      </c>
      <c r="BP1272">
        <f t="shared" si="975"/>
        <v>1770</v>
      </c>
      <c r="BQ1272" s="17">
        <f t="shared" si="976"/>
        <v>1775</v>
      </c>
      <c r="BR1272" t="str">
        <f t="shared" si="977"/>
        <v>event_team_player_1</v>
      </c>
      <c r="BS1272">
        <f>COUNTIFS(S$3:S1272,"="&amp;S1272,AI$3:AI1272,"="&amp;AI1272)</f>
        <v>1</v>
      </c>
      <c r="BT1272" t="str">
        <f>IFERROR(VLOOKUP(BB1272&amp;BU1272&amp;X1272,game_rosters!U:W,3,FALSE),"")</f>
        <v>P100159</v>
      </c>
      <c r="BU1272" t="str">
        <f t="shared" si="978"/>
        <v>Velodrome</v>
      </c>
    </row>
    <row r="1273" spans="1:73" x14ac:dyDescent="0.2">
      <c r="A1273">
        <f t="shared" si="964"/>
        <v>1</v>
      </c>
      <c r="J1273" s="44" t="str">
        <f t="shared" si="979"/>
        <v>d</v>
      </c>
      <c r="K1273" t="s">
        <v>238</v>
      </c>
      <c r="L1273" t="s">
        <v>184</v>
      </c>
      <c r="M1273" t="s">
        <v>415</v>
      </c>
      <c r="S1273">
        <v>687</v>
      </c>
      <c r="W1273" t="str">
        <f t="shared" si="955"/>
        <v>a</v>
      </c>
      <c r="X1273">
        <v>23</v>
      </c>
      <c r="Y1273" t="b">
        <f>IF(X1273&lt;&gt;"",VLOOKUP(X1273,game_rosters!$C$43:$E$64,3,FALSE))</f>
        <v>0</v>
      </c>
      <c r="Z1273" t="str" cm="1">
        <f t="array" ref="Z1273">IFERROR(IF(_xlfn._xlws.FILTER(game_rosters!$J:$J,(game_rosters!$G:$G=events!$AN1273)*(game_rosters!$J:$J=events!$X1273))&gt;0,1,""),"")</f>
        <v/>
      </c>
      <c r="AA1273">
        <f t="shared" si="1003"/>
        <v>1687</v>
      </c>
      <c r="AB1273" t="str">
        <f t="shared" si="1004"/>
        <v/>
      </c>
      <c r="AC1273">
        <f t="shared" si="952"/>
        <v>1687</v>
      </c>
      <c r="AD1273" s="6">
        <v>2</v>
      </c>
      <c r="AE1273" t="s">
        <v>937</v>
      </c>
      <c r="AF1273" t="s">
        <v>928</v>
      </c>
      <c r="AG1273" t="s">
        <v>756</v>
      </c>
      <c r="AH1273" t="s">
        <v>756</v>
      </c>
      <c r="AI1273" t="s">
        <v>368</v>
      </c>
      <c r="AJ1273" t="str">
        <f t="shared" ref="AJ1273:AK1273" si="1033">IF($J1273&lt;&gt;"",$J1273,IF($AC1273=$AC1272,AJ1272,""))</f>
        <v>d</v>
      </c>
      <c r="AK1273" t="str">
        <f t="shared" si="1033"/>
        <v>d</v>
      </c>
      <c r="AL1273" t="str">
        <f t="shared" si="957"/>
        <v>o</v>
      </c>
      <c r="AN1273" t="s">
        <v>862</v>
      </c>
      <c r="AO1273" t="str">
        <f t="shared" si="958"/>
        <v>a</v>
      </c>
      <c r="AP1273" t="str">
        <f t="shared" si="966"/>
        <v>o</v>
      </c>
      <c r="AQ1273" t="str">
        <f t="shared" si="967"/>
        <v/>
      </c>
      <c r="AR1273" t="str">
        <f t="shared" si="968"/>
        <v>Away</v>
      </c>
      <c r="AS1273" t="str">
        <f t="shared" si="969"/>
        <v>a</v>
      </c>
      <c r="AT1273" t="str">
        <f t="shared" si="970"/>
        <v>Defensive</v>
      </c>
      <c r="BA1273" s="6">
        <f t="shared" si="959"/>
        <v>299</v>
      </c>
      <c r="BB1273">
        <f t="shared" si="960"/>
        <v>18981</v>
      </c>
      <c r="BC1273" t="str">
        <f t="shared" si="961"/>
        <v>Nelson</v>
      </c>
      <c r="BD1273" t="str">
        <f t="shared" si="962"/>
        <v>Velodrome</v>
      </c>
      <c r="BE1273" t="s">
        <v>238</v>
      </c>
      <c r="BF1273" t="s">
        <v>184</v>
      </c>
      <c r="BG1273" t="s">
        <v>415</v>
      </c>
      <c r="BI1273" cm="1">
        <f t="array" ref="BI1273">IFERROR(_xlfn._xlws.FILTER(shifts!A:A,(shifts!B:B=events!AD1273)*(shifts!AG:AG&gt;=events!BK1273)*(shifts!AH:AH&lt;=events!BL1273)),BI1272)</f>
        <v>57</v>
      </c>
      <c r="BJ1273" s="15">
        <f t="shared" si="963"/>
        <v>0</v>
      </c>
      <c r="BK1273">
        <f t="shared" si="971"/>
        <v>457</v>
      </c>
      <c r="BL1273">
        <f t="shared" si="972"/>
        <v>457</v>
      </c>
      <c r="BM1273" s="15">
        <f>SUMIFS(BJ$2:BJ1273,K$2:K1273,"=Intermission")+SUMIFS(BJ$2:BJ1273,K$2:K1273,"=Timeout")</f>
        <v>72</v>
      </c>
      <c r="BN1273">
        <f t="shared" si="973"/>
        <v>1152</v>
      </c>
      <c r="BO1273" s="19">
        <f t="shared" si="974"/>
        <v>1775</v>
      </c>
      <c r="BP1273">
        <f t="shared" si="975"/>
        <v>1770</v>
      </c>
      <c r="BQ1273" s="17">
        <f t="shared" si="976"/>
        <v>1775</v>
      </c>
      <c r="BR1273" t="str">
        <f t="shared" si="977"/>
        <v>opp_team_player_1</v>
      </c>
      <c r="BS1273">
        <f>COUNTIFS(S$3:S1273,"="&amp;S1273,AI$3:AI1273,"="&amp;AI1273)</f>
        <v>1</v>
      </c>
      <c r="BT1273" t="str">
        <f>IFERROR(VLOOKUP(BB1273&amp;BU1273&amp;X1273,game_rosters!U:W,3,FALSE),"")</f>
        <v>P100061</v>
      </c>
      <c r="BU1273" t="str">
        <f t="shared" si="978"/>
        <v>Nelson</v>
      </c>
    </row>
    <row r="1274" spans="1:73" x14ac:dyDescent="0.2">
      <c r="A1274">
        <f t="shared" si="964"/>
        <v>1</v>
      </c>
      <c r="J1274" s="44" t="str">
        <f t="shared" si="979"/>
        <v/>
      </c>
      <c r="K1274" t="s">
        <v>13</v>
      </c>
      <c r="L1274" t="s">
        <v>756</v>
      </c>
      <c r="M1274" t="s">
        <v>756</v>
      </c>
      <c r="S1274">
        <v>688</v>
      </c>
      <c r="W1274" t="str">
        <f t="shared" si="955"/>
        <v>h</v>
      </c>
      <c r="X1274">
        <v>37</v>
      </c>
      <c r="Y1274" t="b">
        <f>IF(X1274&lt;&gt;"",VLOOKUP(X1274,game_rosters!$C$43:$E$64,3,FALSE))</f>
        <v>0</v>
      </c>
      <c r="Z1274" cm="1">
        <f t="array" ref="Z1274">IFERROR(IF(_xlfn._xlws.FILTER(game_rosters!$J:$J,(game_rosters!$G:$G=events!$AN1274)*(game_rosters!$J:$J=events!$X1274))&gt;0,1,""),"")</f>
        <v>1</v>
      </c>
      <c r="AA1274">
        <f t="shared" si="1003"/>
        <v>1688</v>
      </c>
      <c r="AB1274" t="str">
        <f t="shared" si="1004"/>
        <v/>
      </c>
      <c r="AC1274">
        <f t="shared" si="952"/>
        <v>1688</v>
      </c>
      <c r="AD1274" s="6">
        <v>2</v>
      </c>
      <c r="AE1274" t="s">
        <v>937</v>
      </c>
      <c r="AF1274" t="s">
        <v>738</v>
      </c>
      <c r="AG1274" t="s">
        <v>937</v>
      </c>
      <c r="AH1274" t="s">
        <v>915</v>
      </c>
      <c r="AI1274" t="s">
        <v>367</v>
      </c>
      <c r="AJ1274" t="str">
        <f t="shared" ref="AJ1274:AK1274" si="1034">IF($J1274&lt;&gt;"",$J1274,IF($AC1274=$AC1273,AJ1273,""))</f>
        <v/>
      </c>
      <c r="AK1274" t="str">
        <f t="shared" si="1034"/>
        <v/>
      </c>
      <c r="AL1274" t="str">
        <f t="shared" si="957"/>
        <v/>
      </c>
      <c r="AN1274" t="s">
        <v>861</v>
      </c>
      <c r="AO1274" t="str">
        <f t="shared" si="958"/>
        <v>h</v>
      </c>
      <c r="AP1274" t="str">
        <f t="shared" si="966"/>
        <v/>
      </c>
      <c r="AQ1274" t="str">
        <f t="shared" si="967"/>
        <v/>
      </c>
      <c r="AR1274" t="str">
        <f t="shared" si="968"/>
        <v>Home</v>
      </c>
      <c r="AS1274" t="str">
        <f t="shared" si="969"/>
        <v>h</v>
      </c>
      <c r="AT1274" t="str">
        <f t="shared" si="970"/>
        <v>Offensive</v>
      </c>
      <c r="BA1274" s="6">
        <f t="shared" si="959"/>
        <v>299</v>
      </c>
      <c r="BB1274">
        <f t="shared" si="960"/>
        <v>18981</v>
      </c>
      <c r="BC1274" t="str">
        <f t="shared" si="961"/>
        <v>Nelson</v>
      </c>
      <c r="BD1274" t="str">
        <f t="shared" si="962"/>
        <v>Velodrome</v>
      </c>
      <c r="BE1274" t="s">
        <v>13</v>
      </c>
      <c r="BF1274" t="s">
        <v>756</v>
      </c>
      <c r="BG1274" t="s">
        <v>756</v>
      </c>
      <c r="BI1274" cm="1">
        <f t="array" ref="BI1274">IFERROR(_xlfn._xlws.FILTER(shifts!A:A,(shifts!B:B=events!AD1274)*(shifts!AG:AG&gt;=events!BK1274)*(shifts!AH:AH&lt;=events!BL1274)),BI1273)</f>
        <v>57</v>
      </c>
      <c r="BJ1274" s="15">
        <f t="shared" si="963"/>
        <v>1</v>
      </c>
      <c r="BK1274">
        <f t="shared" si="971"/>
        <v>451</v>
      </c>
      <c r="BL1274">
        <f t="shared" si="972"/>
        <v>450</v>
      </c>
      <c r="BM1274" s="15">
        <f>SUMIFS(BJ$2:BJ1274,K$2:K1274,"=Intermission")+SUMIFS(BJ$2:BJ1274,K$2:K1274,"=Timeout")</f>
        <v>72</v>
      </c>
      <c r="BN1274">
        <f t="shared" si="973"/>
        <v>1152</v>
      </c>
      <c r="BO1274" s="19">
        <f t="shared" si="974"/>
        <v>1781</v>
      </c>
      <c r="BP1274">
        <f t="shared" si="975"/>
        <v>1776</v>
      </c>
      <c r="BQ1274" s="17">
        <f t="shared" si="976"/>
        <v>1782</v>
      </c>
      <c r="BR1274" t="str">
        <f t="shared" si="977"/>
        <v>event_team_player_1</v>
      </c>
      <c r="BS1274">
        <f>COUNTIFS(S$3:S1274,"="&amp;S1274,AI$3:AI1274,"="&amp;AI1274)</f>
        <v>1</v>
      </c>
      <c r="BT1274" t="str">
        <f>IFERROR(VLOOKUP(BB1274&amp;BU1274&amp;X1274,game_rosters!U:W,3,FALSE),"")</f>
        <v>P100119</v>
      </c>
      <c r="BU1274" t="str">
        <f t="shared" si="978"/>
        <v>Nelson</v>
      </c>
    </row>
    <row r="1275" spans="1:73" x14ac:dyDescent="0.2">
      <c r="A1275">
        <f t="shared" si="964"/>
        <v>1</v>
      </c>
      <c r="J1275" s="44" t="str">
        <f t="shared" si="979"/>
        <v/>
      </c>
      <c r="K1275" t="s">
        <v>13</v>
      </c>
      <c r="L1275" t="s">
        <v>756</v>
      </c>
      <c r="M1275" t="s">
        <v>756</v>
      </c>
      <c r="S1275">
        <v>688</v>
      </c>
      <c r="W1275" t="str">
        <f t="shared" si="955"/>
        <v>h</v>
      </c>
      <c r="X1275">
        <v>75</v>
      </c>
      <c r="Y1275" t="e">
        <f>IF(X1275&lt;&gt;"",VLOOKUP(X1275,game_rosters!$C$43:$E$64,3,FALSE))</f>
        <v>#N/A</v>
      </c>
      <c r="Z1275" t="str" cm="1">
        <f t="array" ref="Z1275">IFERROR(IF(_xlfn._xlws.FILTER(game_rosters!$J:$J,(game_rosters!$G:$G=events!$AN1275)*(game_rosters!$J:$J=events!$X1275))&gt;0,1,""),"")</f>
        <v/>
      </c>
      <c r="AA1275">
        <f t="shared" si="1003"/>
        <v>1688</v>
      </c>
      <c r="AB1275" t="str">
        <f t="shared" si="1004"/>
        <v/>
      </c>
      <c r="AC1275">
        <f t="shared" si="952"/>
        <v>1688</v>
      </c>
      <c r="AD1275" s="6">
        <v>2</v>
      </c>
      <c r="AE1275" t="s">
        <v>937</v>
      </c>
      <c r="AF1275" t="s">
        <v>738</v>
      </c>
      <c r="AG1275" t="s">
        <v>937</v>
      </c>
      <c r="AH1275" t="s">
        <v>915</v>
      </c>
      <c r="AI1275" t="s">
        <v>368</v>
      </c>
      <c r="AJ1275" t="str">
        <f t="shared" ref="AJ1275:AK1275" si="1035">IF($J1275&lt;&gt;"",$J1275,IF($AC1275=$AC1274,AJ1274,""))</f>
        <v/>
      </c>
      <c r="AK1275" t="str">
        <f t="shared" si="1035"/>
        <v/>
      </c>
      <c r="AL1275" t="str">
        <f t="shared" si="957"/>
        <v/>
      </c>
      <c r="AN1275" t="s">
        <v>861</v>
      </c>
      <c r="AO1275" t="str">
        <f t="shared" si="958"/>
        <v>h</v>
      </c>
      <c r="AP1275" t="str">
        <f t="shared" si="966"/>
        <v/>
      </c>
      <c r="AQ1275" t="str">
        <f t="shared" si="967"/>
        <v/>
      </c>
      <c r="AR1275" t="str">
        <f t="shared" si="968"/>
        <v>Home</v>
      </c>
      <c r="AS1275" t="str">
        <f t="shared" si="969"/>
        <v>h</v>
      </c>
      <c r="AT1275" t="str">
        <f t="shared" si="970"/>
        <v>Defensive</v>
      </c>
      <c r="BA1275" s="6">
        <f t="shared" si="959"/>
        <v>299</v>
      </c>
      <c r="BB1275">
        <f t="shared" si="960"/>
        <v>18981</v>
      </c>
      <c r="BC1275" t="str">
        <f t="shared" si="961"/>
        <v>Nelson</v>
      </c>
      <c r="BD1275" t="str">
        <f t="shared" si="962"/>
        <v>Velodrome</v>
      </c>
      <c r="BE1275" t="s">
        <v>13</v>
      </c>
      <c r="BF1275" t="s">
        <v>756</v>
      </c>
      <c r="BG1275" t="s">
        <v>756</v>
      </c>
      <c r="BI1275" cm="1">
        <f t="array" ref="BI1275">IFERROR(_xlfn._xlws.FILTER(shifts!A:A,(shifts!B:B=events!AD1275)*(shifts!AG:AG&gt;=events!BK1275)*(shifts!AH:AH&lt;=events!BL1275)),BI1274)</f>
        <v>57</v>
      </c>
      <c r="BJ1275" s="15">
        <f t="shared" si="963"/>
        <v>1</v>
      </c>
      <c r="BK1275">
        <f t="shared" si="971"/>
        <v>451</v>
      </c>
      <c r="BL1275">
        <f t="shared" si="972"/>
        <v>450</v>
      </c>
      <c r="BM1275" s="15">
        <f>SUMIFS(BJ$2:BJ1275,K$2:K1275,"=Intermission")+SUMIFS(BJ$2:BJ1275,K$2:K1275,"=Timeout")</f>
        <v>72</v>
      </c>
      <c r="BN1275">
        <f t="shared" si="973"/>
        <v>1152</v>
      </c>
      <c r="BO1275" s="19">
        <f t="shared" si="974"/>
        <v>1781</v>
      </c>
      <c r="BP1275">
        <f t="shared" si="975"/>
        <v>1776</v>
      </c>
      <c r="BQ1275" s="17">
        <f t="shared" si="976"/>
        <v>1782</v>
      </c>
      <c r="BR1275" t="str">
        <f t="shared" si="977"/>
        <v>opp_team_player_1</v>
      </c>
      <c r="BS1275">
        <f>COUNTIFS(S$3:S1275,"="&amp;S1275,AI$3:AI1275,"="&amp;AI1275)</f>
        <v>1</v>
      </c>
      <c r="BT1275" t="str">
        <f>IFERROR(VLOOKUP(BB1275&amp;BU1275&amp;X1275,game_rosters!U:W,3,FALSE),"")</f>
        <v>P100039</v>
      </c>
      <c r="BU1275" t="str">
        <f t="shared" si="978"/>
        <v>Velodrome</v>
      </c>
    </row>
    <row r="1276" spans="1:73" x14ac:dyDescent="0.2">
      <c r="A1276">
        <f t="shared" si="964"/>
        <v>1</v>
      </c>
      <c r="J1276" s="44" t="str">
        <f t="shared" si="979"/>
        <v>o</v>
      </c>
      <c r="K1276" t="s">
        <v>238</v>
      </c>
      <c r="L1276" t="s">
        <v>174</v>
      </c>
      <c r="M1276" t="s">
        <v>373</v>
      </c>
      <c r="S1276">
        <v>689</v>
      </c>
      <c r="W1276" t="str">
        <f t="shared" si="955"/>
        <v>h</v>
      </c>
      <c r="X1276">
        <v>37</v>
      </c>
      <c r="Y1276" t="b">
        <f>IF(X1276&lt;&gt;"",VLOOKUP(X1276,game_rosters!$C$43:$E$64,3,FALSE))</f>
        <v>0</v>
      </c>
      <c r="Z1276" cm="1">
        <f t="array" ref="Z1276">IFERROR(IF(_xlfn._xlws.FILTER(game_rosters!$J:$J,(game_rosters!$G:$G=events!$AN1276)*(game_rosters!$J:$J=events!$X1276))&gt;0,1,""),"")</f>
        <v>1</v>
      </c>
      <c r="AA1276">
        <f t="shared" si="1003"/>
        <v>1689</v>
      </c>
      <c r="AB1276" t="str">
        <f t="shared" si="1004"/>
        <v/>
      </c>
      <c r="AC1276">
        <f t="shared" si="952"/>
        <v>1689</v>
      </c>
      <c r="AD1276" s="6">
        <v>2</v>
      </c>
      <c r="AE1276" t="s">
        <v>937</v>
      </c>
      <c r="AF1276" t="s">
        <v>915</v>
      </c>
      <c r="AG1276" t="s">
        <v>756</v>
      </c>
      <c r="AH1276" t="s">
        <v>756</v>
      </c>
      <c r="AI1276" t="s">
        <v>367</v>
      </c>
      <c r="AJ1276" t="str">
        <f t="shared" ref="AJ1276:AK1276" si="1036">IF($J1276&lt;&gt;"",$J1276,IF($AC1276=$AC1275,AJ1275,""))</f>
        <v>o</v>
      </c>
      <c r="AK1276" t="str">
        <f t="shared" si="1036"/>
        <v>o</v>
      </c>
      <c r="AL1276" t="str">
        <f t="shared" si="957"/>
        <v>o</v>
      </c>
      <c r="AN1276" t="s">
        <v>861</v>
      </c>
      <c r="AO1276" t="str">
        <f t="shared" si="958"/>
        <v>h</v>
      </c>
      <c r="AP1276" t="str">
        <f t="shared" si="966"/>
        <v>o</v>
      </c>
      <c r="AQ1276" t="str">
        <f t="shared" si="967"/>
        <v/>
      </c>
      <c r="AR1276" t="str">
        <f t="shared" si="968"/>
        <v>Home</v>
      </c>
      <c r="AS1276" t="str">
        <f t="shared" si="969"/>
        <v>h</v>
      </c>
      <c r="AT1276" t="str">
        <f t="shared" si="970"/>
        <v>Offensive</v>
      </c>
      <c r="BA1276" s="6">
        <f t="shared" si="959"/>
        <v>300</v>
      </c>
      <c r="BB1276">
        <f t="shared" si="960"/>
        <v>18981</v>
      </c>
      <c r="BC1276" t="str">
        <f t="shared" si="961"/>
        <v>Nelson</v>
      </c>
      <c r="BD1276" t="str">
        <f t="shared" si="962"/>
        <v>Velodrome</v>
      </c>
      <c r="BE1276" t="s">
        <v>238</v>
      </c>
      <c r="BF1276" t="s">
        <v>174</v>
      </c>
      <c r="BG1276" t="s">
        <v>373</v>
      </c>
      <c r="BI1276" cm="1">
        <f t="array" ref="BI1276">IFERROR(_xlfn._xlws.FILTER(shifts!A:A,(shifts!B:B=events!AD1276)*(shifts!AG:AG&gt;=events!BK1276)*(shifts!AH:AH&lt;=events!BL1276)),BI1275)</f>
        <v>57</v>
      </c>
      <c r="BJ1276" s="15">
        <f t="shared" si="963"/>
        <v>0</v>
      </c>
      <c r="BK1276">
        <f t="shared" si="971"/>
        <v>450</v>
      </c>
      <c r="BL1276">
        <f t="shared" si="972"/>
        <v>450</v>
      </c>
      <c r="BM1276" s="15">
        <f>SUMIFS(BJ$2:BJ1276,K$2:K1276,"=Intermission")+SUMIFS(BJ$2:BJ1276,K$2:K1276,"=Timeout")</f>
        <v>72</v>
      </c>
      <c r="BN1276">
        <f t="shared" si="973"/>
        <v>1152</v>
      </c>
      <c r="BO1276" s="19">
        <f t="shared" si="974"/>
        <v>1782</v>
      </c>
      <c r="BP1276">
        <f t="shared" si="975"/>
        <v>1777</v>
      </c>
      <c r="BQ1276" s="17">
        <f t="shared" si="976"/>
        <v>1782</v>
      </c>
      <c r="BR1276" t="str">
        <f t="shared" si="977"/>
        <v>event_team_player_1</v>
      </c>
      <c r="BS1276">
        <f>COUNTIFS(S$3:S1276,"="&amp;S1276,AI$3:AI1276,"="&amp;AI1276)</f>
        <v>1</v>
      </c>
      <c r="BT1276" t="str">
        <f>IFERROR(VLOOKUP(BB1276&amp;BU1276&amp;X1276,game_rosters!U:W,3,FALSE),"")</f>
        <v>P100119</v>
      </c>
      <c r="BU1276" t="str">
        <f t="shared" si="978"/>
        <v>Nelson</v>
      </c>
    </row>
    <row r="1277" spans="1:73" x14ac:dyDescent="0.2">
      <c r="A1277">
        <f t="shared" si="964"/>
        <v>1</v>
      </c>
      <c r="J1277" s="44" t="str">
        <f t="shared" si="979"/>
        <v>o</v>
      </c>
      <c r="K1277" t="s">
        <v>238</v>
      </c>
      <c r="L1277" t="s">
        <v>174</v>
      </c>
      <c r="M1277" t="s">
        <v>373</v>
      </c>
      <c r="S1277">
        <v>689</v>
      </c>
      <c r="W1277" t="str">
        <f t="shared" si="955"/>
        <v>h</v>
      </c>
      <c r="X1277">
        <v>75</v>
      </c>
      <c r="Y1277" t="e">
        <f>IF(X1277&lt;&gt;"",VLOOKUP(X1277,game_rosters!$C$43:$E$64,3,FALSE))</f>
        <v>#N/A</v>
      </c>
      <c r="Z1277" t="str" cm="1">
        <f t="array" ref="Z1277">IFERROR(IF(_xlfn._xlws.FILTER(game_rosters!$J:$J,(game_rosters!$G:$G=events!$AN1277)*(game_rosters!$J:$J=events!$X1277))&gt;0,1,""),"")</f>
        <v/>
      </c>
      <c r="AA1277">
        <f t="shared" si="1003"/>
        <v>1689</v>
      </c>
      <c r="AB1277" t="str">
        <f t="shared" si="1004"/>
        <v/>
      </c>
      <c r="AC1277">
        <f t="shared" si="952"/>
        <v>1689</v>
      </c>
      <c r="AD1277" s="6">
        <v>2</v>
      </c>
      <c r="AE1277" t="s">
        <v>937</v>
      </c>
      <c r="AF1277" t="s">
        <v>915</v>
      </c>
      <c r="AG1277" t="s">
        <v>756</v>
      </c>
      <c r="AH1277" t="s">
        <v>756</v>
      </c>
      <c r="AI1277" t="s">
        <v>368</v>
      </c>
      <c r="AJ1277" t="str">
        <f t="shared" ref="AJ1277:AK1277" si="1037">IF($J1277&lt;&gt;"",$J1277,IF($AC1277=$AC1276,AJ1276,""))</f>
        <v>o</v>
      </c>
      <c r="AK1277" t="str">
        <f t="shared" si="1037"/>
        <v>o</v>
      </c>
      <c r="AL1277" t="str">
        <f t="shared" si="957"/>
        <v>o</v>
      </c>
      <c r="AN1277" t="s">
        <v>861</v>
      </c>
      <c r="AO1277" t="str">
        <f t="shared" si="958"/>
        <v>h</v>
      </c>
      <c r="AP1277" t="str">
        <f t="shared" si="966"/>
        <v>o</v>
      </c>
      <c r="AQ1277" t="str">
        <f t="shared" si="967"/>
        <v/>
      </c>
      <c r="AR1277" t="str">
        <f t="shared" si="968"/>
        <v>Home</v>
      </c>
      <c r="AS1277" t="str">
        <f t="shared" si="969"/>
        <v>h</v>
      </c>
      <c r="AT1277" t="str">
        <f t="shared" si="970"/>
        <v>Defensive</v>
      </c>
      <c r="BA1277" s="6">
        <f t="shared" si="959"/>
        <v>301</v>
      </c>
      <c r="BB1277">
        <f t="shared" si="960"/>
        <v>18981</v>
      </c>
      <c r="BC1277" t="str">
        <f t="shared" si="961"/>
        <v>Nelson</v>
      </c>
      <c r="BD1277" t="str">
        <f t="shared" si="962"/>
        <v>Velodrome</v>
      </c>
      <c r="BE1277" t="s">
        <v>238</v>
      </c>
      <c r="BF1277" t="s">
        <v>174</v>
      </c>
      <c r="BG1277" t="s">
        <v>373</v>
      </c>
      <c r="BI1277" cm="1">
        <f t="array" ref="BI1277">IFERROR(_xlfn._xlws.FILTER(shifts!A:A,(shifts!B:B=events!AD1277)*(shifts!AG:AG&gt;=events!BK1277)*(shifts!AH:AH&lt;=events!BL1277)),BI1276)</f>
        <v>57</v>
      </c>
      <c r="BJ1277" s="15">
        <f t="shared" si="963"/>
        <v>0</v>
      </c>
      <c r="BK1277">
        <f t="shared" si="971"/>
        <v>450</v>
      </c>
      <c r="BL1277">
        <f t="shared" si="972"/>
        <v>450</v>
      </c>
      <c r="BM1277" s="15">
        <f>SUMIFS(BJ$2:BJ1277,K$2:K1277,"=Intermission")+SUMIFS(BJ$2:BJ1277,K$2:K1277,"=Timeout")</f>
        <v>72</v>
      </c>
      <c r="BN1277">
        <f t="shared" si="973"/>
        <v>1152</v>
      </c>
      <c r="BO1277" s="19">
        <f t="shared" si="974"/>
        <v>1782</v>
      </c>
      <c r="BP1277">
        <f t="shared" si="975"/>
        <v>1777</v>
      </c>
      <c r="BQ1277" s="17">
        <f t="shared" si="976"/>
        <v>1782</v>
      </c>
      <c r="BR1277" t="str">
        <f t="shared" si="977"/>
        <v>opp_team_player_1</v>
      </c>
      <c r="BS1277">
        <f>COUNTIFS(S$3:S1277,"="&amp;S1277,AI$3:AI1277,"="&amp;AI1277)</f>
        <v>1</v>
      </c>
      <c r="BT1277" t="str">
        <f>IFERROR(VLOOKUP(BB1277&amp;BU1277&amp;X1277,game_rosters!U:W,3,FALSE),"")</f>
        <v>P100039</v>
      </c>
      <c r="BU1277" t="str">
        <f t="shared" si="978"/>
        <v>Velodrome</v>
      </c>
    </row>
    <row r="1278" spans="1:73" x14ac:dyDescent="0.2">
      <c r="A1278">
        <f t="shared" si="964"/>
        <v>1</v>
      </c>
      <c r="J1278" s="44" t="str">
        <f t="shared" si="979"/>
        <v>o</v>
      </c>
      <c r="K1278" t="s">
        <v>238</v>
      </c>
      <c r="L1278" t="s">
        <v>174</v>
      </c>
      <c r="M1278" t="s">
        <v>373</v>
      </c>
      <c r="S1278">
        <v>689</v>
      </c>
      <c r="W1278" t="str">
        <f t="shared" si="955"/>
        <v>h</v>
      </c>
      <c r="X1278">
        <v>93</v>
      </c>
      <c r="Y1278" t="e">
        <f>IF(X1278&lt;&gt;"",VLOOKUP(X1278,game_rosters!$C$43:$E$64,3,FALSE))</f>
        <v>#N/A</v>
      </c>
      <c r="Z1278" t="str" cm="1">
        <f t="array" ref="Z1278">IFERROR(IF(_xlfn._xlws.FILTER(game_rosters!$J:$J,(game_rosters!$G:$G=events!$AN1278)*(game_rosters!$J:$J=events!$X1278))&gt;0,1,""),"")</f>
        <v/>
      </c>
      <c r="AA1278">
        <f t="shared" si="1003"/>
        <v>1689</v>
      </c>
      <c r="AB1278" t="str">
        <f t="shared" si="1004"/>
        <v/>
      </c>
      <c r="AC1278">
        <f t="shared" si="952"/>
        <v>1689</v>
      </c>
      <c r="AD1278" s="6">
        <v>2</v>
      </c>
      <c r="AE1278" t="s">
        <v>937</v>
      </c>
      <c r="AF1278" t="s">
        <v>915</v>
      </c>
      <c r="AG1278" t="s">
        <v>756</v>
      </c>
      <c r="AH1278" t="s">
        <v>756</v>
      </c>
      <c r="AI1278" t="s">
        <v>368</v>
      </c>
      <c r="AJ1278" t="str">
        <f t="shared" ref="AJ1278:AK1278" si="1038">IF($J1278&lt;&gt;"",$J1278,IF($AC1278=$AC1277,AJ1277,""))</f>
        <v>o</v>
      </c>
      <c r="AK1278" t="str">
        <f t="shared" si="1038"/>
        <v>o</v>
      </c>
      <c r="AL1278" t="str">
        <f t="shared" si="957"/>
        <v>o</v>
      </c>
      <c r="AN1278" t="s">
        <v>861</v>
      </c>
      <c r="AO1278" t="str">
        <f t="shared" si="958"/>
        <v>h</v>
      </c>
      <c r="AP1278" t="str">
        <f t="shared" si="966"/>
        <v>o</v>
      </c>
      <c r="AQ1278" t="str">
        <f t="shared" si="967"/>
        <v/>
      </c>
      <c r="AR1278" t="str">
        <f t="shared" si="968"/>
        <v>Home</v>
      </c>
      <c r="AS1278" t="str">
        <f t="shared" si="969"/>
        <v>h</v>
      </c>
      <c r="AT1278" t="str">
        <f t="shared" si="970"/>
        <v>Defensive</v>
      </c>
      <c r="BA1278" s="6">
        <f t="shared" si="959"/>
        <v>302</v>
      </c>
      <c r="BB1278">
        <f t="shared" si="960"/>
        <v>18981</v>
      </c>
      <c r="BC1278" t="str">
        <f t="shared" si="961"/>
        <v>Nelson</v>
      </c>
      <c r="BD1278" t="str">
        <f t="shared" si="962"/>
        <v>Velodrome</v>
      </c>
      <c r="BE1278" t="s">
        <v>238</v>
      </c>
      <c r="BF1278" t="s">
        <v>174</v>
      </c>
      <c r="BG1278" t="s">
        <v>373</v>
      </c>
      <c r="BI1278" cm="1">
        <f t="array" ref="BI1278">IFERROR(_xlfn._xlws.FILTER(shifts!A:A,(shifts!B:B=events!AD1278)*(shifts!AG:AG&gt;=events!BK1278)*(shifts!AH:AH&lt;=events!BL1278)),BI1277)</f>
        <v>57</v>
      </c>
      <c r="BJ1278" s="15">
        <f t="shared" si="963"/>
        <v>0</v>
      </c>
      <c r="BK1278">
        <f t="shared" si="971"/>
        <v>450</v>
      </c>
      <c r="BL1278">
        <f t="shared" si="972"/>
        <v>450</v>
      </c>
      <c r="BM1278" s="15">
        <f>SUMIFS(BJ$2:BJ1278,K$2:K1278,"=Intermission")+SUMIFS(BJ$2:BJ1278,K$2:K1278,"=Timeout")</f>
        <v>72</v>
      </c>
      <c r="BN1278">
        <f t="shared" si="973"/>
        <v>1152</v>
      </c>
      <c r="BO1278" s="19">
        <f t="shared" si="974"/>
        <v>1782</v>
      </c>
      <c r="BP1278">
        <f t="shared" si="975"/>
        <v>1777</v>
      </c>
      <c r="BQ1278" s="17">
        <f t="shared" si="976"/>
        <v>1782</v>
      </c>
      <c r="BR1278" t="str">
        <f t="shared" si="977"/>
        <v>opp_team_player_2</v>
      </c>
      <c r="BS1278">
        <f>COUNTIFS(S$3:S1278,"="&amp;S1278,AI$3:AI1278,"="&amp;AI1278)</f>
        <v>2</v>
      </c>
      <c r="BT1278" t="str">
        <f>IFERROR(VLOOKUP(BB1278&amp;BU1278&amp;X1278,game_rosters!U:W,3,FALSE),"")</f>
        <v>P100093</v>
      </c>
      <c r="BU1278" t="str">
        <f t="shared" si="978"/>
        <v>Velodrome</v>
      </c>
    </row>
    <row r="1279" spans="1:73" x14ac:dyDescent="0.2">
      <c r="A1279">
        <f t="shared" si="964"/>
        <v>1</v>
      </c>
      <c r="J1279" s="44" t="str">
        <f t="shared" si="979"/>
        <v/>
      </c>
      <c r="K1279" t="s">
        <v>7</v>
      </c>
      <c r="L1279" t="s">
        <v>172</v>
      </c>
      <c r="M1279" t="s">
        <v>68</v>
      </c>
      <c r="S1279">
        <v>690</v>
      </c>
      <c r="W1279" t="str">
        <f t="shared" si="955"/>
        <v>h</v>
      </c>
      <c r="X1279">
        <v>37</v>
      </c>
      <c r="Y1279" t="b">
        <f>IF(X1279&lt;&gt;"",VLOOKUP(X1279,game_rosters!$C$43:$E$64,3,FALSE))</f>
        <v>0</v>
      </c>
      <c r="Z1279" cm="1">
        <f t="array" ref="Z1279">IFERROR(IF(_xlfn._xlws.FILTER(game_rosters!$J:$J,(game_rosters!$G:$G=events!$AN1279)*(game_rosters!$J:$J=events!$X1279))&gt;0,1,""),"")</f>
        <v>1</v>
      </c>
      <c r="AA1279">
        <f t="shared" si="1003"/>
        <v>1690</v>
      </c>
      <c r="AB1279" t="str">
        <f t="shared" si="1004"/>
        <v/>
      </c>
      <c r="AC1279">
        <f t="shared" si="952"/>
        <v>1690</v>
      </c>
      <c r="AD1279" s="6">
        <v>2</v>
      </c>
      <c r="AE1279" t="s">
        <v>937</v>
      </c>
      <c r="AF1279" t="s">
        <v>740</v>
      </c>
      <c r="AG1279" t="s">
        <v>756</v>
      </c>
      <c r="AH1279" t="s">
        <v>756</v>
      </c>
      <c r="AI1279" t="s">
        <v>367</v>
      </c>
      <c r="AJ1279" t="str">
        <f t="shared" ref="AJ1279:AK1279" si="1039">IF($J1279&lt;&gt;"",$J1279,IF($AC1279=$AC1278,AJ1278,""))</f>
        <v/>
      </c>
      <c r="AK1279" t="str">
        <f t="shared" si="1039"/>
        <v/>
      </c>
      <c r="AL1279" t="str">
        <f t="shared" si="957"/>
        <v/>
      </c>
      <c r="AN1279" t="s">
        <v>861</v>
      </c>
      <c r="AO1279" t="str">
        <f t="shared" si="958"/>
        <v>h</v>
      </c>
      <c r="AP1279" t="str">
        <f t="shared" si="966"/>
        <v/>
      </c>
      <c r="AQ1279" t="str">
        <f t="shared" si="967"/>
        <v/>
      </c>
      <c r="AR1279" t="str">
        <f t="shared" si="968"/>
        <v>Home</v>
      </c>
      <c r="AS1279" t="str">
        <f t="shared" si="969"/>
        <v>h</v>
      </c>
      <c r="AT1279" t="str">
        <f t="shared" si="970"/>
        <v>Offensive</v>
      </c>
      <c r="BA1279" s="6">
        <f t="shared" si="959"/>
        <v>302</v>
      </c>
      <c r="BB1279">
        <f t="shared" si="960"/>
        <v>18981</v>
      </c>
      <c r="BC1279" t="str">
        <f t="shared" si="961"/>
        <v>Nelson</v>
      </c>
      <c r="BD1279" t="str">
        <f t="shared" si="962"/>
        <v>Velodrome</v>
      </c>
      <c r="BE1279" t="s">
        <v>7</v>
      </c>
      <c r="BF1279" t="s">
        <v>172</v>
      </c>
      <c r="BG1279" t="s">
        <v>68</v>
      </c>
      <c r="BI1279" cm="1">
        <f t="array" ref="BI1279">IFERROR(_xlfn._xlws.FILTER(shifts!A:A,(shifts!B:B=events!AD1279)*(shifts!AG:AG&gt;=events!BK1279)*(shifts!AH:AH&lt;=events!BL1279)),BI1278)</f>
        <v>58</v>
      </c>
      <c r="BJ1279" s="15">
        <f t="shared" si="963"/>
        <v>0</v>
      </c>
      <c r="BK1279">
        <f t="shared" si="971"/>
        <v>445</v>
      </c>
      <c r="BL1279">
        <f t="shared" si="972"/>
        <v>445</v>
      </c>
      <c r="BM1279" s="15">
        <f>SUMIFS(BJ$2:BJ1279,K$2:K1279,"=Intermission")+SUMIFS(BJ$2:BJ1279,K$2:K1279,"=Timeout")</f>
        <v>72</v>
      </c>
      <c r="BN1279">
        <f t="shared" si="973"/>
        <v>1152</v>
      </c>
      <c r="BO1279" s="19">
        <f t="shared" si="974"/>
        <v>1787</v>
      </c>
      <c r="BP1279">
        <f t="shared" si="975"/>
        <v>1782</v>
      </c>
      <c r="BQ1279" s="17">
        <f t="shared" si="976"/>
        <v>1787</v>
      </c>
      <c r="BR1279" t="str">
        <f t="shared" si="977"/>
        <v>event_team_player_1</v>
      </c>
      <c r="BS1279">
        <f>COUNTIFS(S$3:S1279,"="&amp;S1279,AI$3:AI1279,"="&amp;AI1279)</f>
        <v>1</v>
      </c>
      <c r="BT1279" t="str">
        <f>IFERROR(VLOOKUP(BB1279&amp;BU1279&amp;X1279,game_rosters!U:W,3,FALSE),"")</f>
        <v>P100119</v>
      </c>
      <c r="BU1279" t="str">
        <f t="shared" si="978"/>
        <v>Nelson</v>
      </c>
    </row>
    <row r="1280" spans="1:73" x14ac:dyDescent="0.2">
      <c r="A1280">
        <f t="shared" si="964"/>
        <v>1</v>
      </c>
      <c r="J1280" s="44" t="str">
        <f t="shared" si="979"/>
        <v/>
      </c>
      <c r="K1280" t="s">
        <v>7</v>
      </c>
      <c r="L1280" t="s">
        <v>172</v>
      </c>
      <c r="M1280" t="s">
        <v>68</v>
      </c>
      <c r="S1280">
        <v>690</v>
      </c>
      <c r="W1280" t="str">
        <f t="shared" si="955"/>
        <v>h</v>
      </c>
      <c r="X1280">
        <v>3</v>
      </c>
      <c r="Y1280" t="b">
        <f>IF(X1280&lt;&gt;"",VLOOKUP(X1280,game_rosters!$C$43:$E$64,3,FALSE))</f>
        <v>0</v>
      </c>
      <c r="Z1280" cm="1">
        <f t="array" ref="Z1280">IFERROR(IF(_xlfn._xlws.FILTER(game_rosters!$J:$J,(game_rosters!$G:$G=events!$AN1280)*(game_rosters!$J:$J=events!$X1280))&gt;0,1,""),"")</f>
        <v>1</v>
      </c>
      <c r="AA1280">
        <f t="shared" si="1003"/>
        <v>1690</v>
      </c>
      <c r="AB1280" t="str">
        <f t="shared" si="1004"/>
        <v/>
      </c>
      <c r="AC1280">
        <f t="shared" si="952"/>
        <v>1690</v>
      </c>
      <c r="AD1280" s="6">
        <v>2</v>
      </c>
      <c r="AE1280" t="s">
        <v>937</v>
      </c>
      <c r="AF1280" t="s">
        <v>740</v>
      </c>
      <c r="AG1280" t="s">
        <v>756</v>
      </c>
      <c r="AH1280" t="s">
        <v>756</v>
      </c>
      <c r="AI1280" t="s">
        <v>367</v>
      </c>
      <c r="AJ1280" t="str">
        <f t="shared" ref="AJ1280:AK1280" si="1040">IF($J1280&lt;&gt;"",$J1280,IF($AC1280=$AC1279,AJ1279,""))</f>
        <v/>
      </c>
      <c r="AK1280" t="str">
        <f t="shared" si="1040"/>
        <v/>
      </c>
      <c r="AL1280" t="str">
        <f t="shared" si="957"/>
        <v/>
      </c>
      <c r="AN1280" t="s">
        <v>861</v>
      </c>
      <c r="AO1280" t="str">
        <f t="shared" si="958"/>
        <v>h</v>
      </c>
      <c r="AP1280" t="str">
        <f t="shared" si="966"/>
        <v/>
      </c>
      <c r="AQ1280" t="str">
        <f t="shared" si="967"/>
        <v/>
      </c>
      <c r="AR1280" t="str">
        <f t="shared" si="968"/>
        <v>Home</v>
      </c>
      <c r="AS1280" t="str">
        <f t="shared" si="969"/>
        <v>h</v>
      </c>
      <c r="AT1280" t="str">
        <f t="shared" si="970"/>
        <v>Offensive</v>
      </c>
      <c r="BA1280" s="6">
        <f t="shared" si="959"/>
        <v>302</v>
      </c>
      <c r="BB1280">
        <f t="shared" si="960"/>
        <v>18981</v>
      </c>
      <c r="BC1280" t="str">
        <f t="shared" si="961"/>
        <v>Nelson</v>
      </c>
      <c r="BD1280" t="str">
        <f t="shared" si="962"/>
        <v>Velodrome</v>
      </c>
      <c r="BE1280" t="s">
        <v>7</v>
      </c>
      <c r="BF1280" t="s">
        <v>172</v>
      </c>
      <c r="BG1280" t="s">
        <v>68</v>
      </c>
      <c r="BI1280" cm="1">
        <f t="array" ref="BI1280">IFERROR(_xlfn._xlws.FILTER(shifts!A:A,(shifts!B:B=events!AD1280)*(shifts!AG:AG&gt;=events!BK1280)*(shifts!AH:AH&lt;=events!BL1280)),BI1279)</f>
        <v>58</v>
      </c>
      <c r="BJ1280" s="15">
        <f t="shared" si="963"/>
        <v>0</v>
      </c>
      <c r="BK1280">
        <f t="shared" si="971"/>
        <v>445</v>
      </c>
      <c r="BL1280">
        <f t="shared" si="972"/>
        <v>445</v>
      </c>
      <c r="BM1280" s="15">
        <f>SUMIFS(BJ$2:BJ1280,K$2:K1280,"=Intermission")+SUMIFS(BJ$2:BJ1280,K$2:K1280,"=Timeout")</f>
        <v>72</v>
      </c>
      <c r="BN1280">
        <f t="shared" si="973"/>
        <v>1152</v>
      </c>
      <c r="BO1280" s="19">
        <f t="shared" si="974"/>
        <v>1787</v>
      </c>
      <c r="BP1280">
        <f t="shared" si="975"/>
        <v>1782</v>
      </c>
      <c r="BQ1280" s="17">
        <f t="shared" si="976"/>
        <v>1787</v>
      </c>
      <c r="BR1280" t="str">
        <f t="shared" si="977"/>
        <v>event_team_player_2</v>
      </c>
      <c r="BS1280">
        <f>COUNTIFS(S$3:S1280,"="&amp;S1280,AI$3:AI1280,"="&amp;AI1280)</f>
        <v>2</v>
      </c>
      <c r="BT1280" t="str">
        <f>IFERROR(VLOOKUP(BB1280&amp;BU1280&amp;X1280,game_rosters!U:W,3,FALSE),"")</f>
        <v>P100111</v>
      </c>
      <c r="BU1280" t="str">
        <f t="shared" si="978"/>
        <v>Nelson</v>
      </c>
    </row>
    <row r="1281" spans="1:73" x14ac:dyDescent="0.2">
      <c r="A1281">
        <f t="shared" si="964"/>
        <v>1</v>
      </c>
      <c r="J1281" s="44" t="str">
        <f t="shared" si="979"/>
        <v/>
      </c>
      <c r="K1281" t="s">
        <v>7</v>
      </c>
      <c r="L1281" t="s">
        <v>172</v>
      </c>
      <c r="M1281" t="s">
        <v>68</v>
      </c>
      <c r="S1281">
        <v>690</v>
      </c>
      <c r="W1281" t="str">
        <f t="shared" si="955"/>
        <v>h</v>
      </c>
      <c r="X1281">
        <v>93</v>
      </c>
      <c r="Y1281" t="e">
        <f>IF(X1281&lt;&gt;"",VLOOKUP(X1281,game_rosters!$C$43:$E$64,3,FALSE))</f>
        <v>#N/A</v>
      </c>
      <c r="Z1281" t="str" cm="1">
        <f t="array" ref="Z1281">IFERROR(IF(_xlfn._xlws.FILTER(game_rosters!$J:$J,(game_rosters!$G:$G=events!$AN1281)*(game_rosters!$J:$J=events!$X1281))&gt;0,1,""),"")</f>
        <v/>
      </c>
      <c r="AA1281">
        <f t="shared" si="1003"/>
        <v>1690</v>
      </c>
      <c r="AB1281" t="str">
        <f t="shared" si="1004"/>
        <v/>
      </c>
      <c r="AC1281">
        <f t="shared" si="952"/>
        <v>1690</v>
      </c>
      <c r="AD1281" s="6">
        <v>2</v>
      </c>
      <c r="AE1281" t="s">
        <v>937</v>
      </c>
      <c r="AF1281" t="s">
        <v>740</v>
      </c>
      <c r="AG1281" t="s">
        <v>756</v>
      </c>
      <c r="AH1281" t="s">
        <v>756</v>
      </c>
      <c r="AI1281" t="s">
        <v>368</v>
      </c>
      <c r="AJ1281" t="str">
        <f t="shared" ref="AJ1281:AK1281" si="1041">IF($J1281&lt;&gt;"",$J1281,IF($AC1281=$AC1280,AJ1280,""))</f>
        <v/>
      </c>
      <c r="AK1281" t="str">
        <f t="shared" si="1041"/>
        <v/>
      </c>
      <c r="AL1281" t="str">
        <f t="shared" si="957"/>
        <v/>
      </c>
      <c r="AN1281" t="s">
        <v>861</v>
      </c>
      <c r="AO1281" t="str">
        <f t="shared" si="958"/>
        <v>h</v>
      </c>
      <c r="AP1281" t="str">
        <f t="shared" si="966"/>
        <v/>
      </c>
      <c r="AQ1281" t="str">
        <f t="shared" si="967"/>
        <v/>
      </c>
      <c r="AR1281" t="str">
        <f t="shared" si="968"/>
        <v>Home</v>
      </c>
      <c r="AS1281" t="str">
        <f t="shared" si="969"/>
        <v>h</v>
      </c>
      <c r="AT1281" t="str">
        <f t="shared" si="970"/>
        <v>Defensive</v>
      </c>
      <c r="BA1281" s="6">
        <f t="shared" si="959"/>
        <v>302</v>
      </c>
      <c r="BB1281">
        <f t="shared" si="960"/>
        <v>18981</v>
      </c>
      <c r="BC1281" t="str">
        <f t="shared" si="961"/>
        <v>Nelson</v>
      </c>
      <c r="BD1281" t="str">
        <f t="shared" si="962"/>
        <v>Velodrome</v>
      </c>
      <c r="BE1281" t="s">
        <v>7</v>
      </c>
      <c r="BF1281" t="s">
        <v>172</v>
      </c>
      <c r="BG1281" t="s">
        <v>68</v>
      </c>
      <c r="BI1281" cm="1">
        <f t="array" ref="BI1281">IFERROR(_xlfn._xlws.FILTER(shifts!A:A,(shifts!B:B=events!AD1281)*(shifts!AG:AG&gt;=events!BK1281)*(shifts!AH:AH&lt;=events!BL1281)),BI1280)</f>
        <v>58</v>
      </c>
      <c r="BJ1281" s="15">
        <f t="shared" si="963"/>
        <v>0</v>
      </c>
      <c r="BK1281">
        <f t="shared" si="971"/>
        <v>445</v>
      </c>
      <c r="BL1281">
        <f t="shared" si="972"/>
        <v>445</v>
      </c>
      <c r="BM1281" s="15">
        <f>SUMIFS(BJ$2:BJ1281,K$2:K1281,"=Intermission")+SUMIFS(BJ$2:BJ1281,K$2:K1281,"=Timeout")</f>
        <v>72</v>
      </c>
      <c r="BN1281">
        <f t="shared" si="973"/>
        <v>1152</v>
      </c>
      <c r="BO1281" s="19">
        <f t="shared" si="974"/>
        <v>1787</v>
      </c>
      <c r="BP1281">
        <f t="shared" si="975"/>
        <v>1782</v>
      </c>
      <c r="BQ1281" s="17">
        <f t="shared" si="976"/>
        <v>1787</v>
      </c>
      <c r="BR1281" t="str">
        <f t="shared" si="977"/>
        <v>opp_team_player_1</v>
      </c>
      <c r="BS1281">
        <f>COUNTIFS(S$3:S1281,"="&amp;S1281,AI$3:AI1281,"="&amp;AI1281)</f>
        <v>1</v>
      </c>
      <c r="BT1281" t="str">
        <f>IFERROR(VLOOKUP(BB1281&amp;BU1281&amp;X1281,game_rosters!U:W,3,FALSE),"")</f>
        <v>P100093</v>
      </c>
      <c r="BU1281" t="str">
        <f t="shared" si="978"/>
        <v>Velodrome</v>
      </c>
    </row>
    <row r="1282" spans="1:73" x14ac:dyDescent="0.2">
      <c r="A1282">
        <f t="shared" si="964"/>
        <v>1</v>
      </c>
      <c r="J1282" s="44" t="str">
        <f t="shared" si="979"/>
        <v/>
      </c>
      <c r="K1282" t="s">
        <v>7</v>
      </c>
      <c r="L1282" t="s">
        <v>172</v>
      </c>
      <c r="M1282" t="s">
        <v>68</v>
      </c>
      <c r="S1282">
        <v>690</v>
      </c>
      <c r="W1282" t="str">
        <f t="shared" si="955"/>
        <v>h</v>
      </c>
      <c r="X1282">
        <v>22</v>
      </c>
      <c r="Y1282" t="e">
        <f>IF(X1282&lt;&gt;"",VLOOKUP(X1282,game_rosters!$C$43:$E$64,3,FALSE))</f>
        <v>#N/A</v>
      </c>
      <c r="Z1282" t="str" cm="1">
        <f t="array" ref="Z1282">IFERROR(IF(_xlfn._xlws.FILTER(game_rosters!$J:$J,(game_rosters!$G:$G=events!$AN1282)*(game_rosters!$J:$J=events!$X1282))&gt;0,1,""),"")</f>
        <v/>
      </c>
      <c r="AA1282">
        <f t="shared" si="1003"/>
        <v>1690</v>
      </c>
      <c r="AB1282" t="str">
        <f t="shared" si="1004"/>
        <v/>
      </c>
      <c r="AC1282">
        <f t="shared" ref="AC1282:AC1345" si="1042">IF(AB1282&lt;&gt;"",AB1282,S1282+1000)</f>
        <v>1690</v>
      </c>
      <c r="AD1282" s="6">
        <v>2</v>
      </c>
      <c r="AE1282" t="s">
        <v>937</v>
      </c>
      <c r="AF1282" t="s">
        <v>740</v>
      </c>
      <c r="AG1282" t="s">
        <v>756</v>
      </c>
      <c r="AH1282" t="s">
        <v>756</v>
      </c>
      <c r="AI1282" t="s">
        <v>368</v>
      </c>
      <c r="AJ1282" t="str">
        <f t="shared" ref="AJ1282:AK1282" si="1043">IF($J1282&lt;&gt;"",$J1282,IF($AC1282=$AC1281,AJ1281,""))</f>
        <v/>
      </c>
      <c r="AK1282" t="str">
        <f t="shared" si="1043"/>
        <v/>
      </c>
      <c r="AL1282" t="str">
        <f t="shared" si="957"/>
        <v/>
      </c>
      <c r="AN1282" t="s">
        <v>861</v>
      </c>
      <c r="AO1282" t="str">
        <f t="shared" si="958"/>
        <v>h</v>
      </c>
      <c r="AP1282" t="str">
        <f t="shared" si="966"/>
        <v/>
      </c>
      <c r="AQ1282" t="str">
        <f t="shared" si="967"/>
        <v/>
      </c>
      <c r="AR1282" t="str">
        <f t="shared" si="968"/>
        <v>Home</v>
      </c>
      <c r="AS1282" t="str">
        <f t="shared" si="969"/>
        <v>h</v>
      </c>
      <c r="AT1282" t="str">
        <f t="shared" si="970"/>
        <v>Defensive</v>
      </c>
      <c r="BA1282" s="6">
        <f t="shared" si="959"/>
        <v>302</v>
      </c>
      <c r="BB1282">
        <f t="shared" si="960"/>
        <v>18981</v>
      </c>
      <c r="BC1282" t="str">
        <f t="shared" si="961"/>
        <v>Nelson</v>
      </c>
      <c r="BD1282" t="str">
        <f t="shared" si="962"/>
        <v>Velodrome</v>
      </c>
      <c r="BE1282" t="s">
        <v>7</v>
      </c>
      <c r="BF1282" t="s">
        <v>172</v>
      </c>
      <c r="BG1282" t="s">
        <v>68</v>
      </c>
      <c r="BI1282" cm="1">
        <f t="array" ref="BI1282">IFERROR(_xlfn._xlws.FILTER(shifts!A:A,(shifts!B:B=events!AD1282)*(shifts!AG:AG&gt;=events!BK1282)*(shifts!AH:AH&lt;=events!BL1282)),BI1281)</f>
        <v>58</v>
      </c>
      <c r="BJ1282" s="15">
        <f t="shared" si="963"/>
        <v>0</v>
      </c>
      <c r="BK1282">
        <f t="shared" si="971"/>
        <v>445</v>
      </c>
      <c r="BL1282">
        <f t="shared" si="972"/>
        <v>445</v>
      </c>
      <c r="BM1282" s="15">
        <f>SUMIFS(BJ$2:BJ1282,K$2:K1282,"=Intermission")+SUMIFS(BJ$2:BJ1282,K$2:K1282,"=Timeout")</f>
        <v>72</v>
      </c>
      <c r="BN1282">
        <f t="shared" si="973"/>
        <v>1152</v>
      </c>
      <c r="BO1282" s="19">
        <f t="shared" si="974"/>
        <v>1787</v>
      </c>
      <c r="BP1282">
        <f t="shared" si="975"/>
        <v>1782</v>
      </c>
      <c r="BQ1282" s="17">
        <f t="shared" si="976"/>
        <v>1787</v>
      </c>
      <c r="BR1282" t="str">
        <f t="shared" si="977"/>
        <v>opp_team_player_2</v>
      </c>
      <c r="BS1282">
        <f>COUNTIFS(S$3:S1282,"="&amp;S1282,AI$3:AI1282,"="&amp;AI1282)</f>
        <v>2</v>
      </c>
      <c r="BT1282" t="str">
        <f>IFERROR(VLOOKUP(BB1282&amp;BU1282&amp;X1282,game_rosters!U:W,3,FALSE),"")</f>
        <v>P100108</v>
      </c>
      <c r="BU1282" t="str">
        <f t="shared" si="978"/>
        <v>Velodrome</v>
      </c>
    </row>
    <row r="1283" spans="1:73" x14ac:dyDescent="0.2">
      <c r="A1283">
        <f t="shared" si="964"/>
        <v>1</v>
      </c>
      <c r="J1283" s="44" t="str">
        <f t="shared" si="979"/>
        <v>o</v>
      </c>
      <c r="K1283" t="s">
        <v>6</v>
      </c>
      <c r="L1283" t="s">
        <v>205</v>
      </c>
      <c r="M1283" t="s">
        <v>54</v>
      </c>
      <c r="S1283">
        <v>691</v>
      </c>
      <c r="W1283" t="str">
        <f t="shared" si="955"/>
        <v>h</v>
      </c>
      <c r="X1283">
        <v>3</v>
      </c>
      <c r="Y1283" t="b">
        <f>IF(X1283&lt;&gt;"",VLOOKUP(X1283,game_rosters!$C$43:$E$64,3,FALSE))</f>
        <v>0</v>
      </c>
      <c r="Z1283" cm="1">
        <f t="array" ref="Z1283">IFERROR(IF(_xlfn._xlws.FILTER(game_rosters!$J:$J,(game_rosters!$G:$G=events!$AN1283)*(game_rosters!$J:$J=events!$X1283))&gt;0,1,""),"")</f>
        <v>1</v>
      </c>
      <c r="AA1283">
        <f t="shared" si="1003"/>
        <v>1691</v>
      </c>
      <c r="AB1283" t="str">
        <f t="shared" si="1004"/>
        <v/>
      </c>
      <c r="AC1283">
        <f t="shared" si="1042"/>
        <v>1691</v>
      </c>
      <c r="AD1283" s="6">
        <v>2</v>
      </c>
      <c r="AE1283" t="s">
        <v>937</v>
      </c>
      <c r="AF1283" t="s">
        <v>907</v>
      </c>
      <c r="AG1283" t="s">
        <v>756</v>
      </c>
      <c r="AH1283" t="s">
        <v>756</v>
      </c>
      <c r="AI1283" t="s">
        <v>367</v>
      </c>
      <c r="AJ1283" t="str">
        <f t="shared" ref="AJ1283:AK1283" si="1044">IF($J1283&lt;&gt;"",$J1283,IF($AC1283=$AC1282,AJ1282,""))</f>
        <v>o</v>
      </c>
      <c r="AK1283" t="str">
        <f t="shared" si="1044"/>
        <v>o</v>
      </c>
      <c r="AL1283" t="str">
        <f t="shared" si="957"/>
        <v>o</v>
      </c>
      <c r="AN1283" t="s">
        <v>861</v>
      </c>
      <c r="AO1283" t="str">
        <f t="shared" si="958"/>
        <v>h</v>
      </c>
      <c r="AP1283" t="str">
        <f t="shared" si="966"/>
        <v>o</v>
      </c>
      <c r="AQ1283" t="str">
        <f t="shared" si="967"/>
        <v/>
      </c>
      <c r="AR1283" t="str">
        <f t="shared" si="968"/>
        <v>Home</v>
      </c>
      <c r="AS1283" t="str">
        <f t="shared" si="969"/>
        <v>h</v>
      </c>
      <c r="AT1283" t="str">
        <f t="shared" si="970"/>
        <v>Offensive</v>
      </c>
      <c r="BA1283" s="6">
        <f t="shared" si="959"/>
        <v>302</v>
      </c>
      <c r="BB1283">
        <f t="shared" si="960"/>
        <v>18981</v>
      </c>
      <c r="BC1283" t="str">
        <f t="shared" si="961"/>
        <v>Nelson</v>
      </c>
      <c r="BD1283" t="str">
        <f t="shared" si="962"/>
        <v>Velodrome</v>
      </c>
      <c r="BE1283" t="s">
        <v>6</v>
      </c>
      <c r="BF1283" t="s">
        <v>205</v>
      </c>
      <c r="BG1283" t="s">
        <v>54</v>
      </c>
      <c r="BI1283" cm="1">
        <f t="array" ref="BI1283">IFERROR(_xlfn._xlws.FILTER(shifts!A:A,(shifts!B:B=events!AD1283)*(shifts!AG:AG&gt;=events!BK1283)*(shifts!AH:AH&lt;=events!BL1283)),BI1282)</f>
        <v>58</v>
      </c>
      <c r="BJ1283" s="15">
        <f t="shared" si="963"/>
        <v>0</v>
      </c>
      <c r="BK1283">
        <f t="shared" si="971"/>
        <v>444</v>
      </c>
      <c r="BL1283">
        <f t="shared" si="972"/>
        <v>444</v>
      </c>
      <c r="BM1283" s="15">
        <f>SUMIFS(BJ$2:BJ1283,K$2:K1283,"=Intermission")+SUMIFS(BJ$2:BJ1283,K$2:K1283,"=Timeout")</f>
        <v>72</v>
      </c>
      <c r="BN1283">
        <f t="shared" si="973"/>
        <v>1152</v>
      </c>
      <c r="BO1283" s="19">
        <f t="shared" si="974"/>
        <v>1788</v>
      </c>
      <c r="BP1283">
        <f t="shared" si="975"/>
        <v>1783</v>
      </c>
      <c r="BQ1283" s="17">
        <f t="shared" si="976"/>
        <v>1788</v>
      </c>
      <c r="BR1283" t="str">
        <f t="shared" si="977"/>
        <v>event_team_player_1</v>
      </c>
      <c r="BS1283">
        <f>COUNTIFS(S$3:S1283,"="&amp;S1283,AI$3:AI1283,"="&amp;AI1283)</f>
        <v>1</v>
      </c>
      <c r="BT1283" t="str">
        <f>IFERROR(VLOOKUP(BB1283&amp;BU1283&amp;X1283,game_rosters!U:W,3,FALSE),"")</f>
        <v>P100111</v>
      </c>
      <c r="BU1283" t="str">
        <f t="shared" si="978"/>
        <v>Nelson</v>
      </c>
    </row>
    <row r="1284" spans="1:73" x14ac:dyDescent="0.2">
      <c r="A1284">
        <f t="shared" si="964"/>
        <v>1</v>
      </c>
      <c r="J1284" s="44" t="str">
        <f t="shared" si="979"/>
        <v>o</v>
      </c>
      <c r="K1284" t="s">
        <v>6</v>
      </c>
      <c r="L1284" t="s">
        <v>205</v>
      </c>
      <c r="M1284" t="s">
        <v>54</v>
      </c>
      <c r="S1284">
        <v>691</v>
      </c>
      <c r="W1284" t="str">
        <f t="shared" ref="W1284:W1347" si="1045">IF(AN1284="Away","a",IF(AN1284="Home","h",""))</f>
        <v>h</v>
      </c>
      <c r="X1284">
        <v>39</v>
      </c>
      <c r="Y1284" t="e">
        <f>IF(X1284&lt;&gt;"",VLOOKUP(X1284,game_rosters!$C$43:$E$64,3,FALSE))</f>
        <v>#N/A</v>
      </c>
      <c r="Z1284" t="str" cm="1">
        <f t="array" ref="Z1284">IFERROR(IF(_xlfn._xlws.FILTER(game_rosters!$J:$J,(game_rosters!$G:$G=events!$AN1284)*(game_rosters!$J:$J=events!$X1284))&gt;0,1,""),"")</f>
        <v/>
      </c>
      <c r="AA1284">
        <f t="shared" si="1003"/>
        <v>1691</v>
      </c>
      <c r="AB1284" t="str">
        <f t="shared" si="1004"/>
        <v/>
      </c>
      <c r="AC1284">
        <f t="shared" si="1042"/>
        <v>1691</v>
      </c>
      <c r="AD1284" s="6">
        <v>2</v>
      </c>
      <c r="AE1284" t="s">
        <v>937</v>
      </c>
      <c r="AF1284" t="s">
        <v>907</v>
      </c>
      <c r="AG1284" t="s">
        <v>756</v>
      </c>
      <c r="AH1284" t="s">
        <v>756</v>
      </c>
      <c r="AI1284" t="s">
        <v>368</v>
      </c>
      <c r="AJ1284" t="str">
        <f t="shared" ref="AJ1284:AK1284" si="1046">IF($J1284&lt;&gt;"",$J1284,IF($AC1284=$AC1283,AJ1283,""))</f>
        <v>o</v>
      </c>
      <c r="AK1284" t="str">
        <f t="shared" si="1046"/>
        <v>o</v>
      </c>
      <c r="AL1284" t="str">
        <f t="shared" ref="AL1284:AL1347" si="1047">IF($W1284="","",IF($AJ1284="","",IF($W1284="h",$AJ1284,IF($AJ1284="n","n",IF(AND($W1284="a",$AJ1284="d"),"o",IF(AND($W1284="a",$AJ1284="o"),"d"))))))</f>
        <v>o</v>
      </c>
      <c r="AN1284" t="s">
        <v>861</v>
      </c>
      <c r="AO1284" t="str">
        <f t="shared" ref="AO1284:AO1347" si="1048">IF($W1284&lt;&gt;"",$W1284,IF($AC1284=$AC1283,AO1283,""))</f>
        <v>h</v>
      </c>
      <c r="AP1284" t="str">
        <f t="shared" si="966"/>
        <v>o</v>
      </c>
      <c r="AQ1284" t="str">
        <f t="shared" si="967"/>
        <v/>
      </c>
      <c r="AR1284" t="str">
        <f t="shared" si="968"/>
        <v>Home</v>
      </c>
      <c r="AS1284" t="str">
        <f t="shared" si="969"/>
        <v>h</v>
      </c>
      <c r="AT1284" t="str">
        <f t="shared" si="970"/>
        <v>Defensive</v>
      </c>
      <c r="BA1284" s="6">
        <f t="shared" ref="BA1284:BA1347" si="1049">IF(OR(L1284="Zone_Entry",L1284="Zone_Exit"),BA1283+1,BA1283)</f>
        <v>302</v>
      </c>
      <c r="BB1284">
        <f t="shared" ref="BB1284:BB1347" si="1050">BB1283</f>
        <v>18981</v>
      </c>
      <c r="BC1284" t="str">
        <f t="shared" ref="BC1284:BC1347" si="1051">BC1283</f>
        <v>Nelson</v>
      </c>
      <c r="BD1284" t="str">
        <f t="shared" ref="BD1284:BD1347" si="1052">BD1283</f>
        <v>Velodrome</v>
      </c>
      <c r="BE1284" t="s">
        <v>6</v>
      </c>
      <c r="BF1284" t="s">
        <v>205</v>
      </c>
      <c r="BG1284" t="s">
        <v>54</v>
      </c>
      <c r="BI1284" cm="1">
        <f t="array" ref="BI1284">IFERROR(_xlfn._xlws.FILTER(shifts!A:A,(shifts!B:B=events!AD1284)*(shifts!AG:AG&gt;=events!BK1284)*(shifts!AH:AH&lt;=events!BL1284)),BI1283)</f>
        <v>58</v>
      </c>
      <c r="BJ1284" s="15">
        <f t="shared" ref="BJ1284:BJ1347" si="1053">IF(AND(AG1284="",AH1284=""),0,((AE1284*60)+AF1284)-((AG1284*60)+AH1284))</f>
        <v>0</v>
      </c>
      <c r="BK1284">
        <f t="shared" si="971"/>
        <v>444</v>
      </c>
      <c r="BL1284">
        <f t="shared" si="972"/>
        <v>444</v>
      </c>
      <c r="BM1284" s="15">
        <f>SUMIFS(BJ$2:BJ1284,K$2:K1284,"=Intermission")+SUMIFS(BJ$2:BJ1284,K$2:K1284,"=Timeout")</f>
        <v>72</v>
      </c>
      <c r="BN1284">
        <f t="shared" si="973"/>
        <v>1152</v>
      </c>
      <c r="BO1284" s="19">
        <f t="shared" si="974"/>
        <v>1788</v>
      </c>
      <c r="BP1284">
        <f t="shared" si="975"/>
        <v>1783</v>
      </c>
      <c r="BQ1284" s="17">
        <f t="shared" si="976"/>
        <v>1788</v>
      </c>
      <c r="BR1284" t="str">
        <f t="shared" si="977"/>
        <v>opp_team_player_1</v>
      </c>
      <c r="BS1284">
        <f>COUNTIFS(S$3:S1284,"="&amp;S1284,AI$3:AI1284,"="&amp;AI1284)</f>
        <v>1</v>
      </c>
      <c r="BT1284" t="str">
        <f>IFERROR(VLOOKUP(BB1284&amp;BU1284&amp;X1284,game_rosters!U:W,3,FALSE),"")</f>
        <v>P100016</v>
      </c>
      <c r="BU1284" t="str">
        <f t="shared" si="978"/>
        <v>Velodrome</v>
      </c>
    </row>
    <row r="1285" spans="1:73" x14ac:dyDescent="0.2">
      <c r="A1285">
        <f t="shared" ref="A1285:A1348" si="1054">IF(K1285&lt;&gt;"",1,IF(D1285="x","x",""))</f>
        <v>1</v>
      </c>
      <c r="J1285" s="44" t="str">
        <f t="shared" si="979"/>
        <v>d</v>
      </c>
      <c r="K1285" t="s">
        <v>15</v>
      </c>
      <c r="L1285" t="s">
        <v>189</v>
      </c>
      <c r="M1285" t="s">
        <v>96</v>
      </c>
      <c r="S1285">
        <v>692</v>
      </c>
      <c r="W1285" t="str">
        <f t="shared" si="1045"/>
        <v>a</v>
      </c>
      <c r="X1285">
        <v>39</v>
      </c>
      <c r="Y1285" t="e">
        <f>IF(X1285&lt;&gt;"",VLOOKUP(X1285,game_rosters!$C$43:$E$64,3,FALSE))</f>
        <v>#N/A</v>
      </c>
      <c r="Z1285" cm="1">
        <f t="array" ref="Z1285">IFERROR(IF(_xlfn._xlws.FILTER(game_rosters!$J:$J,(game_rosters!$G:$G=events!$AN1285)*(game_rosters!$J:$J=events!$X1285))&gt;0,1,""),"")</f>
        <v>1</v>
      </c>
      <c r="AA1285">
        <f t="shared" si="1003"/>
        <v>1692</v>
      </c>
      <c r="AB1285" t="str">
        <f t="shared" si="1004"/>
        <v/>
      </c>
      <c r="AC1285">
        <f t="shared" si="1042"/>
        <v>1692</v>
      </c>
      <c r="AD1285" s="6">
        <v>2</v>
      </c>
      <c r="AE1285" t="s">
        <v>937</v>
      </c>
      <c r="AF1285" t="s">
        <v>907</v>
      </c>
      <c r="AG1285" t="s">
        <v>756</v>
      </c>
      <c r="AH1285" t="s">
        <v>756</v>
      </c>
      <c r="AI1285" t="s">
        <v>367</v>
      </c>
      <c r="AJ1285" t="str">
        <f t="shared" ref="AJ1285:AK1285" si="1055">IF($J1285&lt;&gt;"",$J1285,IF($AC1285=$AC1284,AJ1284,""))</f>
        <v>d</v>
      </c>
      <c r="AK1285" t="str">
        <f t="shared" si="1055"/>
        <v>d</v>
      </c>
      <c r="AL1285" t="str">
        <f t="shared" si="1047"/>
        <v>o</v>
      </c>
      <c r="AN1285" t="s">
        <v>862</v>
      </c>
      <c r="AO1285" t="str">
        <f t="shared" si="1048"/>
        <v>a</v>
      </c>
      <c r="AP1285" t="str">
        <f t="shared" ref="AP1285:AP1348" si="1056">IF(AL1285&lt;&gt;"",AL1285,IF($AC1285=$AC1284,AP1284,""))</f>
        <v>o</v>
      </c>
      <c r="AQ1285" t="str">
        <f t="shared" ref="AQ1285:AQ1348" si="1057">IF(AM1285&lt;&gt;"",AM1285,IF($AC1285=$AC1284,AQ1284,""))</f>
        <v/>
      </c>
      <c r="AR1285" t="str">
        <f t="shared" ref="AR1285:AR1348" si="1058">IF(AN1285&lt;&gt;"",AN1285,IF($AC1285=$AC1284,AR1284,""))</f>
        <v>Away</v>
      </c>
      <c r="AS1285" t="str">
        <f t="shared" ref="AS1285:AS1348" si="1059">IF(AO1285&lt;&gt;"",AO1285,IF($AC1285=$AC1284,AS1284,""))</f>
        <v>a</v>
      </c>
      <c r="AT1285" t="str">
        <f t="shared" ref="AT1285:AT1348" si="1060">IF(AND(AI1285="e",OR(BE1285="Save",BF1285="Turnover_Takeaway",BF1285="Play_Defensive")),"Defensive",IF(AND(AI1285="o",OR(BE1285="Save",BF1285="Turnover_Takeaway",BF1285="Play_Defensive")),"Offensive",IF(OR(BE1285="Deadice",BE1285="Stoppage",BE1285="Intermission"),"",IF(AI1285="e","Offensive",IF(AI1285="o","Defensive","")))))</f>
        <v>Defensive</v>
      </c>
      <c r="BA1285" s="6">
        <f t="shared" si="1049"/>
        <v>302</v>
      </c>
      <c r="BB1285">
        <f t="shared" si="1050"/>
        <v>18981</v>
      </c>
      <c r="BC1285" t="str">
        <f t="shared" si="1051"/>
        <v>Nelson</v>
      </c>
      <c r="BD1285" t="str">
        <f t="shared" si="1052"/>
        <v>Velodrome</v>
      </c>
      <c r="BE1285" t="s">
        <v>15</v>
      </c>
      <c r="BF1285" t="s">
        <v>189</v>
      </c>
      <c r="BG1285" t="s">
        <v>96</v>
      </c>
      <c r="BI1285" cm="1">
        <f t="array" ref="BI1285">IFERROR(_xlfn._xlws.FILTER(shifts!A:A,(shifts!B:B=events!AD1285)*(shifts!AG:AG&gt;=events!BK1285)*(shifts!AH:AH&lt;=events!BL1285)),BI1284)</f>
        <v>58</v>
      </c>
      <c r="BJ1285" s="15">
        <f t="shared" si="1053"/>
        <v>0</v>
      </c>
      <c r="BK1285">
        <f t="shared" ref="BK1285:BK1348" si="1061">(AE1285*60)+AF1285</f>
        <v>444</v>
      </c>
      <c r="BL1285">
        <f t="shared" ref="BL1285:BL1348" si="1062">IF(AND(AG1285="",AH1285=""),BK1285,((AG1285*60)+AH1285))</f>
        <v>444</v>
      </c>
      <c r="BM1285" s="15">
        <f>SUMIFS(BJ$2:BJ1285,K$2:K1285,"=Intermission")+SUMIFS(BJ$2:BJ1285,K$2:K1285,"=Timeout")</f>
        <v>72</v>
      </c>
      <c r="BN1285">
        <f t="shared" ref="BN1285:BN1348" si="1063">IF(AD1285=1,0,IF(AD1285=2,1080+BM1285,IF(AD1285=3,(1080*2)+BM1285,0)))</f>
        <v>1152</v>
      </c>
      <c r="BO1285" s="19">
        <f t="shared" ref="BO1285:BO1348" si="1064">IF(K1285="Intermission",BO1284,((1080)-((AE1285*60)+AF1285))+BN1285)</f>
        <v>1788</v>
      </c>
      <c r="BP1285">
        <f t="shared" ref="BP1285:BP1348" si="1065">IF(BO1285&lt;5,0,BO1285-5)</f>
        <v>1783</v>
      </c>
      <c r="BQ1285" s="17">
        <f t="shared" ref="BQ1285:BQ1348" si="1066">BP1285+BJ1285+5</f>
        <v>1788</v>
      </c>
      <c r="BR1285" t="str">
        <f t="shared" ref="BR1285:BR1348" si="1067">IF(AI1285="e","event_team_player_"&amp;BS1285,IF(AI1285="o","opp_team_player_"&amp;BS1285,""))</f>
        <v>event_team_player_1</v>
      </c>
      <c r="BS1285">
        <f>COUNTIFS(S$3:S1285,"="&amp;S1285,AI$3:AI1285,"="&amp;AI1285)</f>
        <v>1</v>
      </c>
      <c r="BT1285" t="str">
        <f>IFERROR(VLOOKUP(BB1285&amp;BU1285&amp;X1285,game_rosters!U:W,3,FALSE),"")</f>
        <v>P100016</v>
      </c>
      <c r="BU1285" t="str">
        <f t="shared" ref="BU1285:BU1348" si="1068">IF(AR1285="","",IF(AND(AR1285="Away",AI1285="e"),BD1285,IF(AND(AR1285="Home",AI1285="e"),BC1285,IF(AND(AR1285="Away",AI1285="o"),BC1285,IF(AND(AR1285="Home",AI1285="o"),BD1285)))))</f>
        <v>Velodrome</v>
      </c>
    </row>
    <row r="1286" spans="1:73" x14ac:dyDescent="0.2">
      <c r="A1286">
        <f t="shared" si="1054"/>
        <v>1</v>
      </c>
      <c r="J1286" s="44" t="str">
        <f t="shared" ref="J1286:J1349" si="1069">IF(OR(K1286="Goal",K1286="Shot",L1286="Zone_Entry",M1286="Stoppage-Goal",M1285="Stoppage-Goal"),"o",IF(OR(K1286="Save",K1286="Rebound",L1286="Zone_Exit",M1286="Stoppage-GoalieStoppage",M1285="Stoppage-GoalieStoppage"),"d",IF(OR(L1286="Faceoff_AfterGoal",L1286="Faceoff_PeriodStart",698="Faceoff_GameStart",M1285="Stoppage-Goal"),"n","")))</f>
        <v>d</v>
      </c>
      <c r="K1286" t="s">
        <v>15</v>
      </c>
      <c r="L1286" t="s">
        <v>189</v>
      </c>
      <c r="M1286" t="s">
        <v>96</v>
      </c>
      <c r="S1286">
        <v>692</v>
      </c>
      <c r="W1286" t="str">
        <f t="shared" si="1045"/>
        <v>a</v>
      </c>
      <c r="X1286">
        <v>3</v>
      </c>
      <c r="Y1286" t="b">
        <f>IF(X1286&lt;&gt;"",VLOOKUP(X1286,game_rosters!$C$43:$E$64,3,FALSE))</f>
        <v>0</v>
      </c>
      <c r="Z1286" t="str" cm="1">
        <f t="array" ref="Z1286">IFERROR(IF(_xlfn._xlws.FILTER(game_rosters!$J:$J,(game_rosters!$G:$G=events!$AN1286)*(game_rosters!$J:$J=events!$X1286))&gt;0,1,""),"")</f>
        <v/>
      </c>
      <c r="AA1286">
        <f t="shared" si="1003"/>
        <v>1692</v>
      </c>
      <c r="AB1286" t="str">
        <f t="shared" si="1004"/>
        <v/>
      </c>
      <c r="AC1286">
        <f t="shared" si="1042"/>
        <v>1692</v>
      </c>
      <c r="AD1286" s="6">
        <v>2</v>
      </c>
      <c r="AE1286" t="s">
        <v>937</v>
      </c>
      <c r="AF1286" t="s">
        <v>907</v>
      </c>
      <c r="AG1286" t="s">
        <v>756</v>
      </c>
      <c r="AH1286" t="s">
        <v>756</v>
      </c>
      <c r="AI1286" t="s">
        <v>368</v>
      </c>
      <c r="AJ1286" t="str">
        <f t="shared" ref="AJ1286:AK1286" si="1070">IF($J1286&lt;&gt;"",$J1286,IF($AC1286=$AC1285,AJ1285,""))</f>
        <v>d</v>
      </c>
      <c r="AK1286" t="str">
        <f t="shared" si="1070"/>
        <v>d</v>
      </c>
      <c r="AL1286" t="str">
        <f t="shared" si="1047"/>
        <v>o</v>
      </c>
      <c r="AN1286" t="s">
        <v>862</v>
      </c>
      <c r="AO1286" t="str">
        <f t="shared" si="1048"/>
        <v>a</v>
      </c>
      <c r="AP1286" t="str">
        <f t="shared" si="1056"/>
        <v>o</v>
      </c>
      <c r="AQ1286" t="str">
        <f t="shared" si="1057"/>
        <v/>
      </c>
      <c r="AR1286" t="str">
        <f t="shared" si="1058"/>
        <v>Away</v>
      </c>
      <c r="AS1286" t="str">
        <f t="shared" si="1059"/>
        <v>a</v>
      </c>
      <c r="AT1286" t="str">
        <f t="shared" si="1060"/>
        <v>Offensive</v>
      </c>
      <c r="BA1286" s="6">
        <f t="shared" si="1049"/>
        <v>302</v>
      </c>
      <c r="BB1286">
        <f t="shared" si="1050"/>
        <v>18981</v>
      </c>
      <c r="BC1286" t="str">
        <f t="shared" si="1051"/>
        <v>Nelson</v>
      </c>
      <c r="BD1286" t="str">
        <f t="shared" si="1052"/>
        <v>Velodrome</v>
      </c>
      <c r="BE1286" t="s">
        <v>15</v>
      </c>
      <c r="BF1286" t="s">
        <v>189</v>
      </c>
      <c r="BG1286" t="s">
        <v>96</v>
      </c>
      <c r="BI1286" cm="1">
        <f t="array" ref="BI1286">IFERROR(_xlfn._xlws.FILTER(shifts!A:A,(shifts!B:B=events!AD1286)*(shifts!AG:AG&gt;=events!BK1286)*(shifts!AH:AH&lt;=events!BL1286)),BI1285)</f>
        <v>58</v>
      </c>
      <c r="BJ1286" s="15">
        <f t="shared" si="1053"/>
        <v>0</v>
      </c>
      <c r="BK1286">
        <f t="shared" si="1061"/>
        <v>444</v>
      </c>
      <c r="BL1286">
        <f t="shared" si="1062"/>
        <v>444</v>
      </c>
      <c r="BM1286" s="15">
        <f>SUMIFS(BJ$2:BJ1286,K$2:K1286,"=Intermission")+SUMIFS(BJ$2:BJ1286,K$2:K1286,"=Timeout")</f>
        <v>72</v>
      </c>
      <c r="BN1286">
        <f t="shared" si="1063"/>
        <v>1152</v>
      </c>
      <c r="BO1286" s="19">
        <f t="shared" si="1064"/>
        <v>1788</v>
      </c>
      <c r="BP1286">
        <f t="shared" si="1065"/>
        <v>1783</v>
      </c>
      <c r="BQ1286" s="17">
        <f t="shared" si="1066"/>
        <v>1788</v>
      </c>
      <c r="BR1286" t="str">
        <f t="shared" si="1067"/>
        <v>opp_team_player_1</v>
      </c>
      <c r="BS1286">
        <f>COUNTIFS(S$3:S1286,"="&amp;S1286,AI$3:AI1286,"="&amp;AI1286)</f>
        <v>1</v>
      </c>
      <c r="BT1286" t="str">
        <f>IFERROR(VLOOKUP(BB1286&amp;BU1286&amp;X1286,game_rosters!U:W,3,FALSE),"")</f>
        <v>P100111</v>
      </c>
      <c r="BU1286" t="str">
        <f t="shared" si="1068"/>
        <v>Nelson</v>
      </c>
    </row>
    <row r="1287" spans="1:73" x14ac:dyDescent="0.2">
      <c r="A1287">
        <f t="shared" si="1054"/>
        <v>1</v>
      </c>
      <c r="J1287" s="44" t="str">
        <f t="shared" si="1069"/>
        <v>d</v>
      </c>
      <c r="K1287" t="s">
        <v>11</v>
      </c>
      <c r="L1287" t="s">
        <v>187</v>
      </c>
      <c r="M1287" t="s">
        <v>108</v>
      </c>
      <c r="S1287">
        <v>693</v>
      </c>
      <c r="W1287" t="str">
        <f t="shared" si="1045"/>
        <v>a</v>
      </c>
      <c r="X1287">
        <v>39</v>
      </c>
      <c r="Y1287" t="e">
        <f>IF(X1287&lt;&gt;"",VLOOKUP(X1287,game_rosters!$C$43:$E$64,3,FALSE))</f>
        <v>#N/A</v>
      </c>
      <c r="Z1287" cm="1">
        <f t="array" ref="Z1287">IFERROR(IF(_xlfn._xlws.FILTER(game_rosters!$J:$J,(game_rosters!$G:$G=events!$AN1287)*(game_rosters!$J:$J=events!$X1287))&gt;0,1,""),"")</f>
        <v>1</v>
      </c>
      <c r="AA1287">
        <f t="shared" si="1003"/>
        <v>1693</v>
      </c>
      <c r="AB1287" t="str">
        <f t="shared" si="1004"/>
        <v/>
      </c>
      <c r="AC1287">
        <f t="shared" si="1042"/>
        <v>1693</v>
      </c>
      <c r="AD1287" s="6">
        <v>2</v>
      </c>
      <c r="AE1287" t="s">
        <v>937</v>
      </c>
      <c r="AF1287" t="s">
        <v>907</v>
      </c>
      <c r="AG1287" t="s">
        <v>756</v>
      </c>
      <c r="AH1287" t="s">
        <v>756</v>
      </c>
      <c r="AI1287" t="s">
        <v>367</v>
      </c>
      <c r="AJ1287" t="str">
        <f t="shared" ref="AJ1287:AK1287" si="1071">IF($J1287&lt;&gt;"",$J1287,IF($AC1287=$AC1286,AJ1286,""))</f>
        <v>d</v>
      </c>
      <c r="AK1287" t="str">
        <f t="shared" si="1071"/>
        <v>d</v>
      </c>
      <c r="AL1287" t="str">
        <f t="shared" si="1047"/>
        <v>o</v>
      </c>
      <c r="AN1287" t="s">
        <v>862</v>
      </c>
      <c r="AO1287" t="str">
        <f t="shared" si="1048"/>
        <v>a</v>
      </c>
      <c r="AP1287" t="str">
        <f t="shared" si="1056"/>
        <v>o</v>
      </c>
      <c r="AQ1287" t="str">
        <f t="shared" si="1057"/>
        <v/>
      </c>
      <c r="AR1287" t="str">
        <f t="shared" si="1058"/>
        <v>Away</v>
      </c>
      <c r="AS1287" t="str">
        <f t="shared" si="1059"/>
        <v>a</v>
      </c>
      <c r="AT1287" t="str">
        <f t="shared" si="1060"/>
        <v/>
      </c>
      <c r="BA1287" s="6">
        <f t="shared" si="1049"/>
        <v>302</v>
      </c>
      <c r="BB1287">
        <f t="shared" si="1050"/>
        <v>18981</v>
      </c>
      <c r="BC1287" t="str">
        <f t="shared" si="1051"/>
        <v>Nelson</v>
      </c>
      <c r="BD1287" t="str">
        <f t="shared" si="1052"/>
        <v>Velodrome</v>
      </c>
      <c r="BE1287" t="s">
        <v>11</v>
      </c>
      <c r="BF1287" t="s">
        <v>187</v>
      </c>
      <c r="BG1287" t="s">
        <v>108</v>
      </c>
      <c r="BI1287" cm="1">
        <f t="array" ref="BI1287">IFERROR(_xlfn._xlws.FILTER(shifts!A:A,(shifts!B:B=events!AD1287)*(shifts!AG:AG&gt;=events!BK1287)*(shifts!AH:AH&lt;=events!BL1287)),BI1286)</f>
        <v>58</v>
      </c>
      <c r="BJ1287" s="15">
        <f t="shared" si="1053"/>
        <v>0</v>
      </c>
      <c r="BK1287">
        <f t="shared" si="1061"/>
        <v>444</v>
      </c>
      <c r="BL1287">
        <f t="shared" si="1062"/>
        <v>444</v>
      </c>
      <c r="BM1287" s="15">
        <f>SUMIFS(BJ$2:BJ1287,K$2:K1287,"=Intermission")+SUMIFS(BJ$2:BJ1287,K$2:K1287,"=Timeout")</f>
        <v>72</v>
      </c>
      <c r="BN1287">
        <f t="shared" si="1063"/>
        <v>1152</v>
      </c>
      <c r="BO1287" s="19">
        <f t="shared" si="1064"/>
        <v>1788</v>
      </c>
      <c r="BP1287">
        <f t="shared" si="1065"/>
        <v>1783</v>
      </c>
      <c r="BQ1287" s="17">
        <f t="shared" si="1066"/>
        <v>1788</v>
      </c>
      <c r="BR1287" t="str">
        <f t="shared" si="1067"/>
        <v>event_team_player_1</v>
      </c>
      <c r="BS1287">
        <f>COUNTIFS(S$3:S1287,"="&amp;S1287,AI$3:AI1287,"="&amp;AI1287)</f>
        <v>1</v>
      </c>
      <c r="BT1287" t="str">
        <f>IFERROR(VLOOKUP(BB1287&amp;BU1287&amp;X1287,game_rosters!U:W,3,FALSE),"")</f>
        <v>P100016</v>
      </c>
      <c r="BU1287" t="str">
        <f t="shared" si="1068"/>
        <v>Velodrome</v>
      </c>
    </row>
    <row r="1288" spans="1:73" x14ac:dyDescent="0.2">
      <c r="A1288">
        <f t="shared" si="1054"/>
        <v>1</v>
      </c>
      <c r="J1288" s="44" t="str">
        <f t="shared" si="1069"/>
        <v>d</v>
      </c>
      <c r="K1288" t="s">
        <v>241</v>
      </c>
      <c r="L1288" t="s">
        <v>756</v>
      </c>
      <c r="M1288" t="s">
        <v>756</v>
      </c>
      <c r="S1288">
        <v>694</v>
      </c>
      <c r="W1288" t="str">
        <f t="shared" si="1045"/>
        <v>a</v>
      </c>
      <c r="X1288">
        <v>39</v>
      </c>
      <c r="Y1288" t="e">
        <f>IF(X1288&lt;&gt;"",VLOOKUP(X1288,game_rosters!$C$43:$E$64,3,FALSE))</f>
        <v>#N/A</v>
      </c>
      <c r="Z1288" cm="1">
        <f t="array" ref="Z1288">IFERROR(IF(_xlfn._xlws.FILTER(game_rosters!$J:$J,(game_rosters!$G:$G=events!$AN1288)*(game_rosters!$J:$J=events!$X1288))&gt;0,1,""),"")</f>
        <v>1</v>
      </c>
      <c r="AA1288">
        <f t="shared" si="1003"/>
        <v>1694</v>
      </c>
      <c r="AB1288" t="str">
        <f t="shared" si="1004"/>
        <v/>
      </c>
      <c r="AC1288">
        <f t="shared" si="1042"/>
        <v>1694</v>
      </c>
      <c r="AD1288" s="6">
        <v>2</v>
      </c>
      <c r="AE1288" t="s">
        <v>937</v>
      </c>
      <c r="AF1288" t="s">
        <v>907</v>
      </c>
      <c r="AG1288" t="s">
        <v>937</v>
      </c>
      <c r="AH1288" t="s">
        <v>913</v>
      </c>
      <c r="AI1288" t="s">
        <v>367</v>
      </c>
      <c r="AJ1288" t="str">
        <f t="shared" ref="AJ1288:AK1288" si="1072">IF($J1288&lt;&gt;"",$J1288,IF($AC1288=$AC1287,AJ1287,""))</f>
        <v>d</v>
      </c>
      <c r="AK1288" t="str">
        <f t="shared" si="1072"/>
        <v>d</v>
      </c>
      <c r="AL1288" t="str">
        <f t="shared" si="1047"/>
        <v>o</v>
      </c>
      <c r="AN1288" t="s">
        <v>862</v>
      </c>
      <c r="AO1288" t="str">
        <f t="shared" si="1048"/>
        <v>a</v>
      </c>
      <c r="AP1288" t="str">
        <f t="shared" si="1056"/>
        <v>o</v>
      </c>
      <c r="AQ1288" t="str">
        <f t="shared" si="1057"/>
        <v/>
      </c>
      <c r="AR1288" t="str">
        <f t="shared" si="1058"/>
        <v>Away</v>
      </c>
      <c r="AS1288" t="str">
        <f t="shared" si="1059"/>
        <v>a</v>
      </c>
      <c r="AT1288" t="str">
        <f t="shared" si="1060"/>
        <v/>
      </c>
      <c r="BA1288" s="6">
        <f t="shared" si="1049"/>
        <v>302</v>
      </c>
      <c r="BB1288">
        <f t="shared" si="1050"/>
        <v>18981</v>
      </c>
      <c r="BC1288" t="str">
        <f t="shared" si="1051"/>
        <v>Nelson</v>
      </c>
      <c r="BD1288" t="str">
        <f t="shared" si="1052"/>
        <v>Velodrome</v>
      </c>
      <c r="BE1288" t="s">
        <v>241</v>
      </c>
      <c r="BF1288" t="s">
        <v>756</v>
      </c>
      <c r="BG1288" t="s">
        <v>756</v>
      </c>
      <c r="BI1288" cm="1">
        <f t="array" ref="BI1288">IFERROR(_xlfn._xlws.FILTER(shifts!A:A,(shifts!B:B=events!AD1288)*(shifts!AG:AG&gt;=events!BK1288)*(shifts!AH:AH&lt;=events!BL1288)),BI1287)</f>
        <v>58</v>
      </c>
      <c r="BJ1288" s="15">
        <f t="shared" si="1053"/>
        <v>22</v>
      </c>
      <c r="BK1288">
        <f t="shared" si="1061"/>
        <v>444</v>
      </c>
      <c r="BL1288">
        <f t="shared" si="1062"/>
        <v>422</v>
      </c>
      <c r="BM1288" s="15">
        <f>SUMIFS(BJ$2:BJ1288,K$2:K1288,"=Intermission")+SUMIFS(BJ$2:BJ1288,K$2:K1288,"=Timeout")</f>
        <v>72</v>
      </c>
      <c r="BN1288">
        <f t="shared" si="1063"/>
        <v>1152</v>
      </c>
      <c r="BO1288" s="19">
        <f t="shared" si="1064"/>
        <v>1788</v>
      </c>
      <c r="BP1288">
        <f t="shared" si="1065"/>
        <v>1783</v>
      </c>
      <c r="BQ1288" s="17">
        <f t="shared" si="1066"/>
        <v>1810</v>
      </c>
      <c r="BR1288" t="str">
        <f t="shared" si="1067"/>
        <v>event_team_player_1</v>
      </c>
      <c r="BS1288">
        <f>COUNTIFS(S$3:S1288,"="&amp;S1288,AI$3:AI1288,"="&amp;AI1288)</f>
        <v>1</v>
      </c>
      <c r="BT1288" t="str">
        <f>IFERROR(VLOOKUP(BB1288&amp;BU1288&amp;X1288,game_rosters!U:W,3,FALSE),"")</f>
        <v>P100016</v>
      </c>
      <c r="BU1288" t="str">
        <f t="shared" si="1068"/>
        <v>Velodrome</v>
      </c>
    </row>
    <row r="1289" spans="1:73" x14ac:dyDescent="0.2">
      <c r="A1289">
        <f t="shared" si="1054"/>
        <v>1</v>
      </c>
      <c r="J1289" s="44" t="str">
        <f t="shared" si="1069"/>
        <v/>
      </c>
      <c r="K1289" t="s">
        <v>5</v>
      </c>
      <c r="L1289" t="s">
        <v>236</v>
      </c>
      <c r="M1289" t="s">
        <v>756</v>
      </c>
      <c r="S1289">
        <v>695</v>
      </c>
      <c r="W1289" t="str">
        <f t="shared" si="1045"/>
        <v>h</v>
      </c>
      <c r="X1289">
        <v>10</v>
      </c>
      <c r="Y1289" t="b">
        <f>IF(X1289&lt;&gt;"",VLOOKUP(X1289,game_rosters!$C$43:$E$64,3,FALSE))</f>
        <v>0</v>
      </c>
      <c r="Z1289" cm="1">
        <f t="array" ref="Z1289">IFERROR(IF(_xlfn._xlws.FILTER(game_rosters!$J:$J,(game_rosters!$G:$G=events!$AN1289)*(game_rosters!$J:$J=events!$X1289))&gt;0,1,""),"")</f>
        <v>1</v>
      </c>
      <c r="AA1289">
        <f t="shared" si="1003"/>
        <v>1695</v>
      </c>
      <c r="AB1289" t="str">
        <f t="shared" si="1004"/>
        <v/>
      </c>
      <c r="AC1289">
        <f t="shared" si="1042"/>
        <v>1695</v>
      </c>
      <c r="AD1289" s="6">
        <v>2</v>
      </c>
      <c r="AE1289" t="s">
        <v>937</v>
      </c>
      <c r="AF1289" t="s">
        <v>913</v>
      </c>
      <c r="AG1289" t="s">
        <v>756</v>
      </c>
      <c r="AH1289" t="s">
        <v>756</v>
      </c>
      <c r="AI1289" t="s">
        <v>367</v>
      </c>
      <c r="AJ1289" t="str">
        <f t="shared" ref="AJ1289:AK1289" si="1073">IF($J1289&lt;&gt;"",$J1289,IF($AC1289=$AC1288,AJ1288,""))</f>
        <v/>
      </c>
      <c r="AK1289" t="str">
        <f t="shared" si="1073"/>
        <v/>
      </c>
      <c r="AL1289" t="str">
        <f t="shared" si="1047"/>
        <v/>
      </c>
      <c r="AN1289" t="s">
        <v>861</v>
      </c>
      <c r="AO1289" t="str">
        <f t="shared" si="1048"/>
        <v>h</v>
      </c>
      <c r="AP1289" t="str">
        <f t="shared" si="1056"/>
        <v/>
      </c>
      <c r="AQ1289" t="str">
        <f t="shared" si="1057"/>
        <v/>
      </c>
      <c r="AR1289" t="str">
        <f t="shared" si="1058"/>
        <v>Home</v>
      </c>
      <c r="AS1289" t="str">
        <f t="shared" si="1059"/>
        <v>h</v>
      </c>
      <c r="AT1289" t="str">
        <f t="shared" si="1060"/>
        <v>Offensive</v>
      </c>
      <c r="BA1289" s="6">
        <f t="shared" si="1049"/>
        <v>302</v>
      </c>
      <c r="BB1289">
        <f t="shared" si="1050"/>
        <v>18981</v>
      </c>
      <c r="BC1289" t="str">
        <f t="shared" si="1051"/>
        <v>Nelson</v>
      </c>
      <c r="BD1289" t="str">
        <f t="shared" si="1052"/>
        <v>Velodrome</v>
      </c>
      <c r="BE1289" t="s">
        <v>5</v>
      </c>
      <c r="BF1289" t="s">
        <v>236</v>
      </c>
      <c r="BG1289" t="s">
        <v>756</v>
      </c>
      <c r="BI1289" cm="1">
        <f t="array" ref="BI1289">IFERROR(_xlfn._xlws.FILTER(shifts!A:A,(shifts!B:B=events!AD1289)*(shifts!AG:AG&gt;=events!BK1289)*(shifts!AH:AH&lt;=events!BL1289)),BI1288)</f>
        <v>59</v>
      </c>
      <c r="BJ1289" s="15">
        <f t="shared" si="1053"/>
        <v>0</v>
      </c>
      <c r="BK1289">
        <f t="shared" si="1061"/>
        <v>422</v>
      </c>
      <c r="BL1289">
        <f t="shared" si="1062"/>
        <v>422</v>
      </c>
      <c r="BM1289" s="15">
        <f>SUMIFS(BJ$2:BJ1289,K$2:K1289,"=Intermission")+SUMIFS(BJ$2:BJ1289,K$2:K1289,"=Timeout")</f>
        <v>72</v>
      </c>
      <c r="BN1289">
        <f t="shared" si="1063"/>
        <v>1152</v>
      </c>
      <c r="BO1289" s="19">
        <f t="shared" si="1064"/>
        <v>1810</v>
      </c>
      <c r="BP1289">
        <f t="shared" si="1065"/>
        <v>1805</v>
      </c>
      <c r="BQ1289" s="17">
        <f t="shared" si="1066"/>
        <v>1810</v>
      </c>
      <c r="BR1289" t="str">
        <f t="shared" si="1067"/>
        <v>event_team_player_1</v>
      </c>
      <c r="BS1289">
        <f>COUNTIFS(S$3:S1289,"="&amp;S1289,AI$3:AI1289,"="&amp;AI1289)</f>
        <v>1</v>
      </c>
      <c r="BT1289" t="str">
        <f>IFERROR(VLOOKUP(BB1289&amp;BU1289&amp;X1289,game_rosters!U:W,3,FALSE),"")</f>
        <v>P100078</v>
      </c>
      <c r="BU1289" t="str">
        <f t="shared" si="1068"/>
        <v>Nelson</v>
      </c>
    </row>
    <row r="1290" spans="1:73" x14ac:dyDescent="0.2">
      <c r="A1290">
        <f t="shared" si="1054"/>
        <v>1</v>
      </c>
      <c r="J1290" s="44" t="str">
        <f t="shared" si="1069"/>
        <v/>
      </c>
      <c r="K1290" t="s">
        <v>5</v>
      </c>
      <c r="L1290" t="s">
        <v>236</v>
      </c>
      <c r="M1290" t="s">
        <v>756</v>
      </c>
      <c r="S1290">
        <v>695</v>
      </c>
      <c r="W1290" t="str">
        <f t="shared" si="1045"/>
        <v>h</v>
      </c>
      <c r="X1290">
        <v>8</v>
      </c>
      <c r="Y1290" t="b">
        <f>IF(X1290&lt;&gt;"",VLOOKUP(X1290,game_rosters!$C$43:$E$64,3,FALSE))</f>
        <v>0</v>
      </c>
      <c r="Z1290" cm="1">
        <f t="array" ref="Z1290">IFERROR(IF(_xlfn._xlws.FILTER(game_rosters!$J:$J,(game_rosters!$G:$G=events!$AN1290)*(game_rosters!$J:$J=events!$X1290))&gt;0,1,""),"")</f>
        <v>1</v>
      </c>
      <c r="AA1290">
        <f t="shared" si="1003"/>
        <v>1695</v>
      </c>
      <c r="AB1290" t="str">
        <f t="shared" si="1004"/>
        <v/>
      </c>
      <c r="AC1290">
        <f t="shared" si="1042"/>
        <v>1695</v>
      </c>
      <c r="AD1290" s="6">
        <v>2</v>
      </c>
      <c r="AE1290" t="s">
        <v>937</v>
      </c>
      <c r="AF1290" t="s">
        <v>913</v>
      </c>
      <c r="AG1290" t="s">
        <v>756</v>
      </c>
      <c r="AH1290" t="s">
        <v>756</v>
      </c>
      <c r="AI1290" t="s">
        <v>367</v>
      </c>
      <c r="AJ1290" t="str">
        <f t="shared" ref="AJ1290:AK1290" si="1074">IF($J1290&lt;&gt;"",$J1290,IF($AC1290=$AC1289,AJ1289,""))</f>
        <v/>
      </c>
      <c r="AK1290" t="str">
        <f t="shared" si="1074"/>
        <v/>
      </c>
      <c r="AL1290" t="str">
        <f t="shared" si="1047"/>
        <v/>
      </c>
      <c r="AN1290" t="s">
        <v>861</v>
      </c>
      <c r="AO1290" t="str">
        <f t="shared" si="1048"/>
        <v>h</v>
      </c>
      <c r="AP1290" t="str">
        <f t="shared" si="1056"/>
        <v/>
      </c>
      <c r="AQ1290" t="str">
        <f t="shared" si="1057"/>
        <v/>
      </c>
      <c r="AR1290" t="str">
        <f t="shared" si="1058"/>
        <v>Home</v>
      </c>
      <c r="AS1290" t="str">
        <f t="shared" si="1059"/>
        <v>h</v>
      </c>
      <c r="AT1290" t="str">
        <f t="shared" si="1060"/>
        <v>Offensive</v>
      </c>
      <c r="BA1290" s="6">
        <f t="shared" si="1049"/>
        <v>302</v>
      </c>
      <c r="BB1290">
        <f t="shared" si="1050"/>
        <v>18981</v>
      </c>
      <c r="BC1290" t="str">
        <f t="shared" si="1051"/>
        <v>Nelson</v>
      </c>
      <c r="BD1290" t="str">
        <f t="shared" si="1052"/>
        <v>Velodrome</v>
      </c>
      <c r="BE1290" t="s">
        <v>5</v>
      </c>
      <c r="BF1290" t="s">
        <v>236</v>
      </c>
      <c r="BG1290" t="s">
        <v>756</v>
      </c>
      <c r="BI1290" cm="1">
        <f t="array" ref="BI1290">IFERROR(_xlfn._xlws.FILTER(shifts!A:A,(shifts!B:B=events!AD1290)*(shifts!AG:AG&gt;=events!BK1290)*(shifts!AH:AH&lt;=events!BL1290)),BI1289)</f>
        <v>59</v>
      </c>
      <c r="BJ1290" s="15">
        <f t="shared" si="1053"/>
        <v>0</v>
      </c>
      <c r="BK1290">
        <f t="shared" si="1061"/>
        <v>422</v>
      </c>
      <c r="BL1290">
        <f t="shared" si="1062"/>
        <v>422</v>
      </c>
      <c r="BM1290" s="15">
        <f>SUMIFS(BJ$2:BJ1290,K$2:K1290,"=Intermission")+SUMIFS(BJ$2:BJ1290,K$2:K1290,"=Timeout")</f>
        <v>72</v>
      </c>
      <c r="BN1290">
        <f t="shared" si="1063"/>
        <v>1152</v>
      </c>
      <c r="BO1290" s="19">
        <f t="shared" si="1064"/>
        <v>1810</v>
      </c>
      <c r="BP1290">
        <f t="shared" si="1065"/>
        <v>1805</v>
      </c>
      <c r="BQ1290" s="17">
        <f t="shared" si="1066"/>
        <v>1810</v>
      </c>
      <c r="BR1290" t="str">
        <f t="shared" si="1067"/>
        <v>event_team_player_2</v>
      </c>
      <c r="BS1290">
        <f>COUNTIFS(S$3:S1290,"="&amp;S1290,AI$3:AI1290,"="&amp;AI1290)</f>
        <v>2</v>
      </c>
      <c r="BT1290" t="str">
        <f>IFERROR(VLOOKUP(BB1290&amp;BU1290&amp;X1290,game_rosters!U:W,3,FALSE),"")</f>
        <v>P100074</v>
      </c>
      <c r="BU1290" t="str">
        <f t="shared" si="1068"/>
        <v>Nelson</v>
      </c>
    </row>
    <row r="1291" spans="1:73" x14ac:dyDescent="0.2">
      <c r="A1291">
        <f t="shared" si="1054"/>
        <v>1</v>
      </c>
      <c r="J1291" s="44" t="str">
        <f t="shared" si="1069"/>
        <v/>
      </c>
      <c r="K1291" t="s">
        <v>5</v>
      </c>
      <c r="L1291" t="s">
        <v>236</v>
      </c>
      <c r="M1291" t="s">
        <v>756</v>
      </c>
      <c r="S1291">
        <v>695</v>
      </c>
      <c r="W1291" t="str">
        <f t="shared" si="1045"/>
        <v>h</v>
      </c>
      <c r="X1291">
        <v>87</v>
      </c>
      <c r="Y1291" t="e">
        <f>IF(X1291&lt;&gt;"",VLOOKUP(X1291,game_rosters!$C$43:$E$64,3,FALSE))</f>
        <v>#N/A</v>
      </c>
      <c r="Z1291" t="str" cm="1">
        <f t="array" ref="Z1291">IFERROR(IF(_xlfn._xlws.FILTER(game_rosters!$J:$J,(game_rosters!$G:$G=events!$AN1291)*(game_rosters!$J:$J=events!$X1291))&gt;0,1,""),"")</f>
        <v/>
      </c>
      <c r="AA1291">
        <f t="shared" si="1003"/>
        <v>1695</v>
      </c>
      <c r="AB1291" t="str">
        <f t="shared" si="1004"/>
        <v/>
      </c>
      <c r="AC1291">
        <f t="shared" si="1042"/>
        <v>1695</v>
      </c>
      <c r="AD1291" s="6">
        <v>2</v>
      </c>
      <c r="AE1291" t="s">
        <v>937</v>
      </c>
      <c r="AF1291" t="s">
        <v>913</v>
      </c>
      <c r="AG1291" t="s">
        <v>756</v>
      </c>
      <c r="AH1291" t="s">
        <v>756</v>
      </c>
      <c r="AI1291" t="s">
        <v>368</v>
      </c>
      <c r="AJ1291" t="str">
        <f t="shared" ref="AJ1291:AK1291" si="1075">IF($J1291&lt;&gt;"",$J1291,IF($AC1291=$AC1290,AJ1290,""))</f>
        <v/>
      </c>
      <c r="AK1291" t="str">
        <f t="shared" si="1075"/>
        <v/>
      </c>
      <c r="AL1291" t="str">
        <f t="shared" si="1047"/>
        <v/>
      </c>
      <c r="AN1291" t="s">
        <v>861</v>
      </c>
      <c r="AO1291" t="str">
        <f t="shared" si="1048"/>
        <v>h</v>
      </c>
      <c r="AP1291" t="str">
        <f t="shared" si="1056"/>
        <v/>
      </c>
      <c r="AQ1291" t="str">
        <f t="shared" si="1057"/>
        <v/>
      </c>
      <c r="AR1291" t="str">
        <f t="shared" si="1058"/>
        <v>Home</v>
      </c>
      <c r="AS1291" t="str">
        <f t="shared" si="1059"/>
        <v>h</v>
      </c>
      <c r="AT1291" t="str">
        <f t="shared" si="1060"/>
        <v>Defensive</v>
      </c>
      <c r="BA1291" s="6">
        <f t="shared" si="1049"/>
        <v>302</v>
      </c>
      <c r="BB1291">
        <f t="shared" si="1050"/>
        <v>18981</v>
      </c>
      <c r="BC1291" t="str">
        <f t="shared" si="1051"/>
        <v>Nelson</v>
      </c>
      <c r="BD1291" t="str">
        <f t="shared" si="1052"/>
        <v>Velodrome</v>
      </c>
      <c r="BE1291" t="s">
        <v>5</v>
      </c>
      <c r="BF1291" t="s">
        <v>236</v>
      </c>
      <c r="BG1291" t="s">
        <v>756</v>
      </c>
      <c r="BI1291" cm="1">
        <f t="array" ref="BI1291">IFERROR(_xlfn._xlws.FILTER(shifts!A:A,(shifts!B:B=events!AD1291)*(shifts!AG:AG&gt;=events!BK1291)*(shifts!AH:AH&lt;=events!BL1291)),BI1290)</f>
        <v>59</v>
      </c>
      <c r="BJ1291" s="15">
        <f t="shared" si="1053"/>
        <v>0</v>
      </c>
      <c r="BK1291">
        <f t="shared" si="1061"/>
        <v>422</v>
      </c>
      <c r="BL1291">
        <f t="shared" si="1062"/>
        <v>422</v>
      </c>
      <c r="BM1291" s="15">
        <f>SUMIFS(BJ$2:BJ1291,K$2:K1291,"=Intermission")+SUMIFS(BJ$2:BJ1291,K$2:K1291,"=Timeout")</f>
        <v>72</v>
      </c>
      <c r="BN1291">
        <f t="shared" si="1063"/>
        <v>1152</v>
      </c>
      <c r="BO1291" s="19">
        <f t="shared" si="1064"/>
        <v>1810</v>
      </c>
      <c r="BP1291">
        <f t="shared" si="1065"/>
        <v>1805</v>
      </c>
      <c r="BQ1291" s="17">
        <f t="shared" si="1066"/>
        <v>1810</v>
      </c>
      <c r="BR1291" t="str">
        <f t="shared" si="1067"/>
        <v>opp_team_player_1</v>
      </c>
      <c r="BS1291">
        <f>COUNTIFS(S$3:S1291,"="&amp;S1291,AI$3:AI1291,"="&amp;AI1291)</f>
        <v>1</v>
      </c>
      <c r="BT1291" t="str">
        <f>IFERROR(VLOOKUP(BB1291&amp;BU1291&amp;X1291,game_rosters!U:W,3,FALSE),"")</f>
        <v>P100159</v>
      </c>
      <c r="BU1291" t="str">
        <f t="shared" si="1068"/>
        <v>Velodrome</v>
      </c>
    </row>
    <row r="1292" spans="1:73" x14ac:dyDescent="0.2">
      <c r="A1292">
        <f t="shared" si="1054"/>
        <v>1</v>
      </c>
      <c r="J1292" s="44" t="str">
        <f t="shared" si="1069"/>
        <v>o</v>
      </c>
      <c r="K1292" t="s">
        <v>6</v>
      </c>
      <c r="L1292" t="s">
        <v>198</v>
      </c>
      <c r="M1292" t="s">
        <v>51</v>
      </c>
      <c r="S1292">
        <v>696</v>
      </c>
      <c r="W1292" t="str">
        <f t="shared" si="1045"/>
        <v>h</v>
      </c>
      <c r="X1292">
        <v>8</v>
      </c>
      <c r="Y1292" t="b">
        <f>IF(X1292&lt;&gt;"",VLOOKUP(X1292,game_rosters!$C$43:$E$64,3,FALSE))</f>
        <v>0</v>
      </c>
      <c r="Z1292" cm="1">
        <f t="array" ref="Z1292">IFERROR(IF(_xlfn._xlws.FILTER(game_rosters!$J:$J,(game_rosters!$G:$G=events!$AN1292)*(game_rosters!$J:$J=events!$X1292))&gt;0,1,""),"")</f>
        <v>1</v>
      </c>
      <c r="AA1292">
        <f t="shared" si="1003"/>
        <v>1696</v>
      </c>
      <c r="AB1292" t="str">
        <f t="shared" si="1004"/>
        <v/>
      </c>
      <c r="AC1292">
        <f t="shared" si="1042"/>
        <v>1696</v>
      </c>
      <c r="AD1292" s="6">
        <v>2</v>
      </c>
      <c r="AE1292" t="s">
        <v>937</v>
      </c>
      <c r="AF1292" t="s">
        <v>748</v>
      </c>
      <c r="AG1292" t="s">
        <v>756</v>
      </c>
      <c r="AH1292" t="s">
        <v>756</v>
      </c>
      <c r="AI1292" t="s">
        <v>367</v>
      </c>
      <c r="AJ1292" t="str">
        <f t="shared" ref="AJ1292:AK1292" si="1076">IF($J1292&lt;&gt;"",$J1292,IF($AC1292=$AC1291,AJ1291,""))</f>
        <v>o</v>
      </c>
      <c r="AK1292" t="str">
        <f t="shared" si="1076"/>
        <v>o</v>
      </c>
      <c r="AL1292" t="str">
        <f t="shared" si="1047"/>
        <v>o</v>
      </c>
      <c r="AN1292" t="s">
        <v>861</v>
      </c>
      <c r="AO1292" t="str">
        <f t="shared" si="1048"/>
        <v>h</v>
      </c>
      <c r="AP1292" t="str">
        <f t="shared" si="1056"/>
        <v>o</v>
      </c>
      <c r="AQ1292" t="str">
        <f t="shared" si="1057"/>
        <v/>
      </c>
      <c r="AR1292" t="str">
        <f t="shared" si="1058"/>
        <v>Home</v>
      </c>
      <c r="AS1292" t="str">
        <f t="shared" si="1059"/>
        <v>h</v>
      </c>
      <c r="AT1292" t="str">
        <f t="shared" si="1060"/>
        <v>Offensive</v>
      </c>
      <c r="BA1292" s="6">
        <f t="shared" si="1049"/>
        <v>302</v>
      </c>
      <c r="BB1292">
        <f t="shared" si="1050"/>
        <v>18981</v>
      </c>
      <c r="BC1292" t="str">
        <f t="shared" si="1051"/>
        <v>Nelson</v>
      </c>
      <c r="BD1292" t="str">
        <f t="shared" si="1052"/>
        <v>Velodrome</v>
      </c>
      <c r="BE1292" t="s">
        <v>6</v>
      </c>
      <c r="BF1292" t="s">
        <v>198</v>
      </c>
      <c r="BG1292" t="s">
        <v>51</v>
      </c>
      <c r="BI1292" cm="1">
        <f t="array" ref="BI1292">IFERROR(_xlfn._xlws.FILTER(shifts!A:A,(shifts!B:B=events!AD1292)*(shifts!AG:AG&gt;=events!BK1292)*(shifts!AH:AH&lt;=events!BL1292)),BI1291)</f>
        <v>59</v>
      </c>
      <c r="BJ1292" s="15">
        <f t="shared" si="1053"/>
        <v>0</v>
      </c>
      <c r="BK1292">
        <f t="shared" si="1061"/>
        <v>421</v>
      </c>
      <c r="BL1292">
        <f t="shared" si="1062"/>
        <v>421</v>
      </c>
      <c r="BM1292" s="15">
        <f>SUMIFS(BJ$2:BJ1292,K$2:K1292,"=Intermission")+SUMIFS(BJ$2:BJ1292,K$2:K1292,"=Timeout")</f>
        <v>72</v>
      </c>
      <c r="BN1292">
        <f t="shared" si="1063"/>
        <v>1152</v>
      </c>
      <c r="BO1292" s="19">
        <f t="shared" si="1064"/>
        <v>1811</v>
      </c>
      <c r="BP1292">
        <f t="shared" si="1065"/>
        <v>1806</v>
      </c>
      <c r="BQ1292" s="17">
        <f t="shared" si="1066"/>
        <v>1811</v>
      </c>
      <c r="BR1292" t="str">
        <f t="shared" si="1067"/>
        <v>event_team_player_1</v>
      </c>
      <c r="BS1292">
        <f>COUNTIFS(S$3:S1292,"="&amp;S1292,AI$3:AI1292,"="&amp;AI1292)</f>
        <v>1</v>
      </c>
      <c r="BT1292" t="str">
        <f>IFERROR(VLOOKUP(BB1292&amp;BU1292&amp;X1292,game_rosters!U:W,3,FALSE),"")</f>
        <v>P100074</v>
      </c>
      <c r="BU1292" t="str">
        <f t="shared" si="1068"/>
        <v>Nelson</v>
      </c>
    </row>
    <row r="1293" spans="1:73" x14ac:dyDescent="0.2">
      <c r="A1293">
        <f t="shared" si="1054"/>
        <v>1</v>
      </c>
      <c r="J1293" s="44" t="str">
        <f t="shared" si="1069"/>
        <v>o</v>
      </c>
      <c r="K1293" t="s">
        <v>6</v>
      </c>
      <c r="L1293" t="s">
        <v>198</v>
      </c>
      <c r="M1293" t="s">
        <v>51</v>
      </c>
      <c r="S1293">
        <v>696</v>
      </c>
      <c r="W1293" t="str">
        <f t="shared" si="1045"/>
        <v>h</v>
      </c>
      <c r="X1293">
        <v>10</v>
      </c>
      <c r="Y1293" t="b">
        <f>IF(X1293&lt;&gt;"",VLOOKUP(X1293,game_rosters!$C$43:$E$64,3,FALSE))</f>
        <v>0</v>
      </c>
      <c r="Z1293" cm="1">
        <f t="array" ref="Z1293">IFERROR(IF(_xlfn._xlws.FILTER(game_rosters!$J:$J,(game_rosters!$G:$G=events!$AN1293)*(game_rosters!$J:$J=events!$X1293))&gt;0,1,""),"")</f>
        <v>1</v>
      </c>
      <c r="AA1293">
        <f t="shared" si="1003"/>
        <v>1696</v>
      </c>
      <c r="AB1293" t="str">
        <f t="shared" si="1004"/>
        <v/>
      </c>
      <c r="AC1293">
        <f t="shared" si="1042"/>
        <v>1696</v>
      </c>
      <c r="AD1293" s="6">
        <v>2</v>
      </c>
      <c r="AE1293" t="s">
        <v>937</v>
      </c>
      <c r="AF1293" t="s">
        <v>748</v>
      </c>
      <c r="AG1293" t="s">
        <v>756</v>
      </c>
      <c r="AH1293" t="s">
        <v>756</v>
      </c>
      <c r="AI1293" t="s">
        <v>367</v>
      </c>
      <c r="AJ1293" t="str">
        <f t="shared" ref="AJ1293:AK1293" si="1077">IF($J1293&lt;&gt;"",$J1293,IF($AC1293=$AC1292,AJ1292,""))</f>
        <v>o</v>
      </c>
      <c r="AK1293" t="str">
        <f t="shared" si="1077"/>
        <v>o</v>
      </c>
      <c r="AL1293" t="str">
        <f t="shared" si="1047"/>
        <v>o</v>
      </c>
      <c r="AN1293" t="s">
        <v>861</v>
      </c>
      <c r="AO1293" t="str">
        <f t="shared" si="1048"/>
        <v>h</v>
      </c>
      <c r="AP1293" t="str">
        <f t="shared" si="1056"/>
        <v>o</v>
      </c>
      <c r="AQ1293" t="str">
        <f t="shared" si="1057"/>
        <v/>
      </c>
      <c r="AR1293" t="str">
        <f t="shared" si="1058"/>
        <v>Home</v>
      </c>
      <c r="AS1293" t="str">
        <f t="shared" si="1059"/>
        <v>h</v>
      </c>
      <c r="AT1293" t="str">
        <f t="shared" si="1060"/>
        <v>Offensive</v>
      </c>
      <c r="BA1293" s="6">
        <f t="shared" si="1049"/>
        <v>302</v>
      </c>
      <c r="BB1293">
        <f t="shared" si="1050"/>
        <v>18981</v>
      </c>
      <c r="BC1293" t="str">
        <f t="shared" si="1051"/>
        <v>Nelson</v>
      </c>
      <c r="BD1293" t="str">
        <f t="shared" si="1052"/>
        <v>Velodrome</v>
      </c>
      <c r="BE1293" t="s">
        <v>6</v>
      </c>
      <c r="BF1293" t="s">
        <v>198</v>
      </c>
      <c r="BG1293" t="s">
        <v>51</v>
      </c>
      <c r="BI1293" cm="1">
        <f t="array" ref="BI1293">IFERROR(_xlfn._xlws.FILTER(shifts!A:A,(shifts!B:B=events!AD1293)*(shifts!AG:AG&gt;=events!BK1293)*(shifts!AH:AH&lt;=events!BL1293)),BI1292)</f>
        <v>59</v>
      </c>
      <c r="BJ1293" s="15">
        <f t="shared" si="1053"/>
        <v>0</v>
      </c>
      <c r="BK1293">
        <f t="shared" si="1061"/>
        <v>421</v>
      </c>
      <c r="BL1293">
        <f t="shared" si="1062"/>
        <v>421</v>
      </c>
      <c r="BM1293" s="15">
        <f>SUMIFS(BJ$2:BJ1293,K$2:K1293,"=Intermission")+SUMIFS(BJ$2:BJ1293,K$2:K1293,"=Timeout")</f>
        <v>72</v>
      </c>
      <c r="BN1293">
        <f t="shared" si="1063"/>
        <v>1152</v>
      </c>
      <c r="BO1293" s="19">
        <f t="shared" si="1064"/>
        <v>1811</v>
      </c>
      <c r="BP1293">
        <f t="shared" si="1065"/>
        <v>1806</v>
      </c>
      <c r="BQ1293" s="17">
        <f t="shared" si="1066"/>
        <v>1811</v>
      </c>
      <c r="BR1293" t="str">
        <f t="shared" si="1067"/>
        <v>event_team_player_2</v>
      </c>
      <c r="BS1293">
        <f>COUNTIFS(S$3:S1293,"="&amp;S1293,AI$3:AI1293,"="&amp;AI1293)</f>
        <v>2</v>
      </c>
      <c r="BT1293" t="str">
        <f>IFERROR(VLOOKUP(BB1293&amp;BU1293&amp;X1293,game_rosters!U:W,3,FALSE),"")</f>
        <v>P100078</v>
      </c>
      <c r="BU1293" t="str">
        <f t="shared" si="1068"/>
        <v>Nelson</v>
      </c>
    </row>
    <row r="1294" spans="1:73" x14ac:dyDescent="0.2">
      <c r="A1294">
        <f t="shared" si="1054"/>
        <v>1</v>
      </c>
      <c r="J1294" s="44" t="str">
        <f t="shared" si="1069"/>
        <v>o</v>
      </c>
      <c r="K1294" t="s">
        <v>6</v>
      </c>
      <c r="L1294" t="s">
        <v>198</v>
      </c>
      <c r="M1294" t="s">
        <v>51</v>
      </c>
      <c r="S1294">
        <v>696</v>
      </c>
      <c r="W1294" t="str">
        <f t="shared" si="1045"/>
        <v>h</v>
      </c>
      <c r="X1294">
        <v>93</v>
      </c>
      <c r="Y1294" t="e">
        <f>IF(X1294&lt;&gt;"",VLOOKUP(X1294,game_rosters!$C$43:$E$64,3,FALSE))</f>
        <v>#N/A</v>
      </c>
      <c r="Z1294" t="str" cm="1">
        <f t="array" ref="Z1294">IFERROR(IF(_xlfn._xlws.FILTER(game_rosters!$J:$J,(game_rosters!$G:$G=events!$AN1294)*(game_rosters!$J:$J=events!$X1294))&gt;0,1,""),"")</f>
        <v/>
      </c>
      <c r="AA1294">
        <f t="shared" si="1003"/>
        <v>1696</v>
      </c>
      <c r="AB1294" t="str">
        <f t="shared" si="1004"/>
        <v/>
      </c>
      <c r="AC1294">
        <f t="shared" si="1042"/>
        <v>1696</v>
      </c>
      <c r="AD1294" s="6">
        <v>2</v>
      </c>
      <c r="AE1294" t="s">
        <v>937</v>
      </c>
      <c r="AF1294" t="s">
        <v>748</v>
      </c>
      <c r="AG1294" t="s">
        <v>756</v>
      </c>
      <c r="AH1294" t="s">
        <v>756</v>
      </c>
      <c r="AI1294" t="s">
        <v>368</v>
      </c>
      <c r="AJ1294" t="str">
        <f t="shared" ref="AJ1294:AK1294" si="1078">IF($J1294&lt;&gt;"",$J1294,IF($AC1294=$AC1293,AJ1293,""))</f>
        <v>o</v>
      </c>
      <c r="AK1294" t="str">
        <f t="shared" si="1078"/>
        <v>o</v>
      </c>
      <c r="AL1294" t="str">
        <f t="shared" si="1047"/>
        <v>o</v>
      </c>
      <c r="AN1294" t="s">
        <v>861</v>
      </c>
      <c r="AO1294" t="str">
        <f t="shared" si="1048"/>
        <v>h</v>
      </c>
      <c r="AP1294" t="str">
        <f t="shared" si="1056"/>
        <v>o</v>
      </c>
      <c r="AQ1294" t="str">
        <f t="shared" si="1057"/>
        <v/>
      </c>
      <c r="AR1294" t="str">
        <f t="shared" si="1058"/>
        <v>Home</v>
      </c>
      <c r="AS1294" t="str">
        <f t="shared" si="1059"/>
        <v>h</v>
      </c>
      <c r="AT1294" t="str">
        <f t="shared" si="1060"/>
        <v>Defensive</v>
      </c>
      <c r="BA1294" s="6">
        <f t="shared" si="1049"/>
        <v>302</v>
      </c>
      <c r="BB1294">
        <f t="shared" si="1050"/>
        <v>18981</v>
      </c>
      <c r="BC1294" t="str">
        <f t="shared" si="1051"/>
        <v>Nelson</v>
      </c>
      <c r="BD1294" t="str">
        <f t="shared" si="1052"/>
        <v>Velodrome</v>
      </c>
      <c r="BE1294" t="s">
        <v>6</v>
      </c>
      <c r="BF1294" t="s">
        <v>198</v>
      </c>
      <c r="BG1294" t="s">
        <v>51</v>
      </c>
      <c r="BI1294" cm="1">
        <f t="array" ref="BI1294">IFERROR(_xlfn._xlws.FILTER(shifts!A:A,(shifts!B:B=events!AD1294)*(shifts!AG:AG&gt;=events!BK1294)*(shifts!AH:AH&lt;=events!BL1294)),BI1293)</f>
        <v>59</v>
      </c>
      <c r="BJ1294" s="15">
        <f t="shared" si="1053"/>
        <v>0</v>
      </c>
      <c r="BK1294">
        <f t="shared" si="1061"/>
        <v>421</v>
      </c>
      <c r="BL1294">
        <f t="shared" si="1062"/>
        <v>421</v>
      </c>
      <c r="BM1294" s="15">
        <f>SUMIFS(BJ$2:BJ1294,K$2:K1294,"=Intermission")+SUMIFS(BJ$2:BJ1294,K$2:K1294,"=Timeout")</f>
        <v>72</v>
      </c>
      <c r="BN1294">
        <f t="shared" si="1063"/>
        <v>1152</v>
      </c>
      <c r="BO1294" s="19">
        <f t="shared" si="1064"/>
        <v>1811</v>
      </c>
      <c r="BP1294">
        <f t="shared" si="1065"/>
        <v>1806</v>
      </c>
      <c r="BQ1294" s="17">
        <f t="shared" si="1066"/>
        <v>1811</v>
      </c>
      <c r="BR1294" t="str">
        <f t="shared" si="1067"/>
        <v>opp_team_player_1</v>
      </c>
      <c r="BS1294">
        <f>COUNTIFS(S$3:S1294,"="&amp;S1294,AI$3:AI1294,"="&amp;AI1294)</f>
        <v>1</v>
      </c>
      <c r="BT1294" t="str">
        <f>IFERROR(VLOOKUP(BB1294&amp;BU1294&amp;X1294,game_rosters!U:W,3,FALSE),"")</f>
        <v>P100093</v>
      </c>
      <c r="BU1294" t="str">
        <f t="shared" si="1068"/>
        <v>Velodrome</v>
      </c>
    </row>
    <row r="1295" spans="1:73" x14ac:dyDescent="0.2">
      <c r="A1295">
        <f t="shared" si="1054"/>
        <v>1</v>
      </c>
      <c r="J1295" s="44" t="str">
        <f t="shared" si="1069"/>
        <v/>
      </c>
      <c r="K1295" t="s">
        <v>13</v>
      </c>
      <c r="L1295" t="s">
        <v>756</v>
      </c>
      <c r="M1295" t="s">
        <v>756</v>
      </c>
      <c r="S1295">
        <v>697</v>
      </c>
      <c r="W1295" t="str">
        <f t="shared" si="1045"/>
        <v>h</v>
      </c>
      <c r="X1295">
        <v>3</v>
      </c>
      <c r="Y1295" t="b">
        <f>IF(X1295&lt;&gt;"",VLOOKUP(X1295,game_rosters!$C$43:$E$64,3,FALSE))</f>
        <v>0</v>
      </c>
      <c r="Z1295" cm="1">
        <f t="array" ref="Z1295">IFERROR(IF(_xlfn._xlws.FILTER(game_rosters!$J:$J,(game_rosters!$G:$G=events!$AN1295)*(game_rosters!$J:$J=events!$X1295))&gt;0,1,""),"")</f>
        <v>1</v>
      </c>
      <c r="AA1295">
        <f t="shared" si="1003"/>
        <v>1697</v>
      </c>
      <c r="AB1295" t="str">
        <f t="shared" si="1004"/>
        <v/>
      </c>
      <c r="AC1295">
        <f t="shared" si="1042"/>
        <v>1697</v>
      </c>
      <c r="AD1295" s="6">
        <v>2</v>
      </c>
      <c r="AE1295" t="s">
        <v>938</v>
      </c>
      <c r="AF1295" t="s">
        <v>733</v>
      </c>
      <c r="AG1295" t="s">
        <v>938</v>
      </c>
      <c r="AH1295" t="s">
        <v>934</v>
      </c>
      <c r="AI1295" t="s">
        <v>367</v>
      </c>
      <c r="AJ1295" t="str">
        <f t="shared" ref="AJ1295:AK1295" si="1079">IF($J1295&lt;&gt;"",$J1295,IF($AC1295=$AC1294,AJ1294,""))</f>
        <v/>
      </c>
      <c r="AK1295" t="str">
        <f t="shared" si="1079"/>
        <v/>
      </c>
      <c r="AL1295" t="str">
        <f t="shared" si="1047"/>
        <v/>
      </c>
      <c r="AN1295" t="s">
        <v>861</v>
      </c>
      <c r="AO1295" t="str">
        <f t="shared" si="1048"/>
        <v>h</v>
      </c>
      <c r="AP1295" t="str">
        <f t="shared" si="1056"/>
        <v/>
      </c>
      <c r="AQ1295" t="str">
        <f t="shared" si="1057"/>
        <v/>
      </c>
      <c r="AR1295" t="str">
        <f t="shared" si="1058"/>
        <v>Home</v>
      </c>
      <c r="AS1295" t="str">
        <f t="shared" si="1059"/>
        <v>h</v>
      </c>
      <c r="AT1295" t="str">
        <f t="shared" si="1060"/>
        <v>Offensive</v>
      </c>
      <c r="BA1295" s="6">
        <f t="shared" si="1049"/>
        <v>302</v>
      </c>
      <c r="BB1295">
        <f t="shared" si="1050"/>
        <v>18981</v>
      </c>
      <c r="BC1295" t="str">
        <f t="shared" si="1051"/>
        <v>Nelson</v>
      </c>
      <c r="BD1295" t="str">
        <f t="shared" si="1052"/>
        <v>Velodrome</v>
      </c>
      <c r="BE1295" t="s">
        <v>13</v>
      </c>
      <c r="BF1295" t="s">
        <v>756</v>
      </c>
      <c r="BG1295" t="s">
        <v>756</v>
      </c>
      <c r="BI1295" cm="1">
        <f t="array" ref="BI1295">IFERROR(_xlfn._xlws.FILTER(shifts!A:A,(shifts!B:B=events!AD1295)*(shifts!AG:AG&gt;=events!BK1295)*(shifts!AH:AH&lt;=events!BL1295)),BI1294)</f>
        <v>59</v>
      </c>
      <c r="BJ1295" s="15">
        <f t="shared" si="1053"/>
        <v>2</v>
      </c>
      <c r="BK1295">
        <f t="shared" si="1061"/>
        <v>416</v>
      </c>
      <c r="BL1295">
        <f t="shared" si="1062"/>
        <v>414</v>
      </c>
      <c r="BM1295" s="15">
        <f>SUMIFS(BJ$2:BJ1295,K$2:K1295,"=Intermission")+SUMIFS(BJ$2:BJ1295,K$2:K1295,"=Timeout")</f>
        <v>72</v>
      </c>
      <c r="BN1295">
        <f t="shared" si="1063"/>
        <v>1152</v>
      </c>
      <c r="BO1295" s="19">
        <f t="shared" si="1064"/>
        <v>1816</v>
      </c>
      <c r="BP1295">
        <f t="shared" si="1065"/>
        <v>1811</v>
      </c>
      <c r="BQ1295" s="17">
        <f t="shared" si="1066"/>
        <v>1818</v>
      </c>
      <c r="BR1295" t="str">
        <f t="shared" si="1067"/>
        <v>event_team_player_1</v>
      </c>
      <c r="BS1295">
        <f>COUNTIFS(S$3:S1295,"="&amp;S1295,AI$3:AI1295,"="&amp;AI1295)</f>
        <v>1</v>
      </c>
      <c r="BT1295" t="str">
        <f>IFERROR(VLOOKUP(BB1295&amp;BU1295&amp;X1295,game_rosters!U:W,3,FALSE),"")</f>
        <v>P100111</v>
      </c>
      <c r="BU1295" t="str">
        <f t="shared" si="1068"/>
        <v>Nelson</v>
      </c>
    </row>
    <row r="1296" spans="1:73" x14ac:dyDescent="0.2">
      <c r="A1296">
        <f t="shared" si="1054"/>
        <v>1</v>
      </c>
      <c r="J1296" s="44" t="str">
        <f t="shared" si="1069"/>
        <v/>
      </c>
      <c r="K1296" t="s">
        <v>7</v>
      </c>
      <c r="L1296" t="s">
        <v>182</v>
      </c>
      <c r="M1296" t="s">
        <v>68</v>
      </c>
      <c r="S1296">
        <v>698</v>
      </c>
      <c r="W1296" t="str">
        <f t="shared" si="1045"/>
        <v>h</v>
      </c>
      <c r="X1296">
        <v>3</v>
      </c>
      <c r="Y1296" t="b">
        <f>IF(X1296&lt;&gt;"",VLOOKUP(X1296,game_rosters!$C$43:$E$64,3,FALSE))</f>
        <v>0</v>
      </c>
      <c r="Z1296" cm="1">
        <f t="array" ref="Z1296">IFERROR(IF(_xlfn._xlws.FILTER(game_rosters!$J:$J,(game_rosters!$G:$G=events!$AN1296)*(game_rosters!$J:$J=events!$X1296))&gt;0,1,""),"")</f>
        <v>1</v>
      </c>
      <c r="AA1296">
        <f t="shared" si="1003"/>
        <v>1698</v>
      </c>
      <c r="AB1296" t="str">
        <f t="shared" si="1004"/>
        <v/>
      </c>
      <c r="AC1296">
        <f t="shared" si="1042"/>
        <v>1698</v>
      </c>
      <c r="AD1296" s="6">
        <v>2</v>
      </c>
      <c r="AE1296" t="s">
        <v>938</v>
      </c>
      <c r="AF1296" t="s">
        <v>934</v>
      </c>
      <c r="AG1296" t="s">
        <v>756</v>
      </c>
      <c r="AH1296" t="s">
        <v>756</v>
      </c>
      <c r="AI1296" t="s">
        <v>367</v>
      </c>
      <c r="AJ1296" t="str">
        <f t="shared" ref="AJ1296:AK1296" si="1080">IF($J1296&lt;&gt;"",$J1296,IF($AC1296=$AC1295,AJ1295,""))</f>
        <v/>
      </c>
      <c r="AK1296" t="str">
        <f t="shared" si="1080"/>
        <v/>
      </c>
      <c r="AL1296" t="str">
        <f t="shared" si="1047"/>
        <v/>
      </c>
      <c r="AN1296" t="s">
        <v>861</v>
      </c>
      <c r="AO1296" t="str">
        <f t="shared" si="1048"/>
        <v>h</v>
      </c>
      <c r="AP1296" t="str">
        <f t="shared" si="1056"/>
        <v/>
      </c>
      <c r="AQ1296" t="str">
        <f t="shared" si="1057"/>
        <v/>
      </c>
      <c r="AR1296" t="str">
        <f t="shared" si="1058"/>
        <v>Home</v>
      </c>
      <c r="AS1296" t="str">
        <f t="shared" si="1059"/>
        <v>h</v>
      </c>
      <c r="AT1296" t="str">
        <f t="shared" si="1060"/>
        <v>Offensive</v>
      </c>
      <c r="BA1296" s="6">
        <f t="shared" si="1049"/>
        <v>302</v>
      </c>
      <c r="BB1296">
        <f t="shared" si="1050"/>
        <v>18981</v>
      </c>
      <c r="BC1296" t="str">
        <f t="shared" si="1051"/>
        <v>Nelson</v>
      </c>
      <c r="BD1296" t="str">
        <f t="shared" si="1052"/>
        <v>Velodrome</v>
      </c>
      <c r="BE1296" t="s">
        <v>7</v>
      </c>
      <c r="BF1296" t="s">
        <v>182</v>
      </c>
      <c r="BG1296" t="s">
        <v>68</v>
      </c>
      <c r="BI1296" cm="1">
        <f t="array" ref="BI1296">IFERROR(_xlfn._xlws.FILTER(shifts!A:A,(shifts!B:B=events!AD1296)*(shifts!AG:AG&gt;=events!BK1296)*(shifts!AH:AH&lt;=events!BL1296)),BI1295)</f>
        <v>59</v>
      </c>
      <c r="BJ1296" s="15">
        <f t="shared" si="1053"/>
        <v>0</v>
      </c>
      <c r="BK1296">
        <f t="shared" si="1061"/>
        <v>414</v>
      </c>
      <c r="BL1296">
        <f t="shared" si="1062"/>
        <v>414</v>
      </c>
      <c r="BM1296" s="15">
        <f>SUMIFS(BJ$2:BJ1296,K$2:K1296,"=Intermission")+SUMIFS(BJ$2:BJ1296,K$2:K1296,"=Timeout")</f>
        <v>72</v>
      </c>
      <c r="BN1296">
        <f t="shared" si="1063"/>
        <v>1152</v>
      </c>
      <c r="BO1296" s="19">
        <f t="shared" si="1064"/>
        <v>1818</v>
      </c>
      <c r="BP1296">
        <f t="shared" si="1065"/>
        <v>1813</v>
      </c>
      <c r="BQ1296" s="17">
        <f t="shared" si="1066"/>
        <v>1818</v>
      </c>
      <c r="BR1296" t="str">
        <f t="shared" si="1067"/>
        <v>event_team_player_1</v>
      </c>
      <c r="BS1296">
        <f>COUNTIFS(S$3:S1296,"="&amp;S1296,AI$3:AI1296,"="&amp;AI1296)</f>
        <v>1</v>
      </c>
      <c r="BT1296" t="str">
        <f>IFERROR(VLOOKUP(BB1296&amp;BU1296&amp;X1296,game_rosters!U:W,3,FALSE),"")</f>
        <v>P100111</v>
      </c>
      <c r="BU1296" t="str">
        <f t="shared" si="1068"/>
        <v>Nelson</v>
      </c>
    </row>
    <row r="1297" spans="1:73" x14ac:dyDescent="0.2">
      <c r="A1297">
        <f t="shared" si="1054"/>
        <v>1</v>
      </c>
      <c r="J1297" s="44" t="str">
        <f t="shared" si="1069"/>
        <v/>
      </c>
      <c r="K1297" t="s">
        <v>7</v>
      </c>
      <c r="L1297" t="s">
        <v>182</v>
      </c>
      <c r="M1297" t="s">
        <v>68</v>
      </c>
      <c r="S1297">
        <v>698</v>
      </c>
      <c r="W1297" t="str">
        <f t="shared" si="1045"/>
        <v>h</v>
      </c>
      <c r="X1297">
        <v>10</v>
      </c>
      <c r="Y1297" t="b">
        <f>IF(X1297&lt;&gt;"",VLOOKUP(X1297,game_rosters!$C$43:$E$64,3,FALSE))</f>
        <v>0</v>
      </c>
      <c r="Z1297" cm="1">
        <f t="array" ref="Z1297">IFERROR(IF(_xlfn._xlws.FILTER(game_rosters!$J:$J,(game_rosters!$G:$G=events!$AN1297)*(game_rosters!$J:$J=events!$X1297))&gt;0,1,""),"")</f>
        <v>1</v>
      </c>
      <c r="AA1297">
        <f t="shared" si="1003"/>
        <v>1698</v>
      </c>
      <c r="AB1297" t="str">
        <f t="shared" si="1004"/>
        <v/>
      </c>
      <c r="AC1297">
        <f t="shared" si="1042"/>
        <v>1698</v>
      </c>
      <c r="AD1297" s="6">
        <v>2</v>
      </c>
      <c r="AE1297" t="s">
        <v>938</v>
      </c>
      <c r="AF1297" t="s">
        <v>934</v>
      </c>
      <c r="AG1297" t="s">
        <v>756</v>
      </c>
      <c r="AH1297" t="s">
        <v>756</v>
      </c>
      <c r="AI1297" t="s">
        <v>367</v>
      </c>
      <c r="AJ1297" t="str">
        <f t="shared" ref="AJ1297:AK1297" si="1081">IF($J1297&lt;&gt;"",$J1297,IF($AC1297=$AC1296,AJ1296,""))</f>
        <v/>
      </c>
      <c r="AK1297" t="str">
        <f t="shared" si="1081"/>
        <v/>
      </c>
      <c r="AL1297" t="str">
        <f t="shared" si="1047"/>
        <v/>
      </c>
      <c r="AN1297" t="s">
        <v>861</v>
      </c>
      <c r="AO1297" t="str">
        <f t="shared" si="1048"/>
        <v>h</v>
      </c>
      <c r="AP1297" t="str">
        <f t="shared" si="1056"/>
        <v/>
      </c>
      <c r="AQ1297" t="str">
        <f t="shared" si="1057"/>
        <v/>
      </c>
      <c r="AR1297" t="str">
        <f t="shared" si="1058"/>
        <v>Home</v>
      </c>
      <c r="AS1297" t="str">
        <f t="shared" si="1059"/>
        <v>h</v>
      </c>
      <c r="AT1297" t="str">
        <f t="shared" si="1060"/>
        <v>Offensive</v>
      </c>
      <c r="BA1297" s="6">
        <f t="shared" si="1049"/>
        <v>302</v>
      </c>
      <c r="BB1297">
        <f t="shared" si="1050"/>
        <v>18981</v>
      </c>
      <c r="BC1297" t="str">
        <f t="shared" si="1051"/>
        <v>Nelson</v>
      </c>
      <c r="BD1297" t="str">
        <f t="shared" si="1052"/>
        <v>Velodrome</v>
      </c>
      <c r="BE1297" t="s">
        <v>7</v>
      </c>
      <c r="BF1297" t="s">
        <v>182</v>
      </c>
      <c r="BG1297" t="s">
        <v>68</v>
      </c>
      <c r="BI1297" cm="1">
        <f t="array" ref="BI1297">IFERROR(_xlfn._xlws.FILTER(shifts!A:A,(shifts!B:B=events!AD1297)*(shifts!AG:AG&gt;=events!BK1297)*(shifts!AH:AH&lt;=events!BL1297)),BI1296)</f>
        <v>59</v>
      </c>
      <c r="BJ1297" s="15">
        <f t="shared" si="1053"/>
        <v>0</v>
      </c>
      <c r="BK1297">
        <f t="shared" si="1061"/>
        <v>414</v>
      </c>
      <c r="BL1297">
        <f t="shared" si="1062"/>
        <v>414</v>
      </c>
      <c r="BM1297" s="15">
        <f>SUMIFS(BJ$2:BJ1297,K$2:K1297,"=Intermission")+SUMIFS(BJ$2:BJ1297,K$2:K1297,"=Timeout")</f>
        <v>72</v>
      </c>
      <c r="BN1297">
        <f t="shared" si="1063"/>
        <v>1152</v>
      </c>
      <c r="BO1297" s="19">
        <f t="shared" si="1064"/>
        <v>1818</v>
      </c>
      <c r="BP1297">
        <f t="shared" si="1065"/>
        <v>1813</v>
      </c>
      <c r="BQ1297" s="17">
        <f t="shared" si="1066"/>
        <v>1818</v>
      </c>
      <c r="BR1297" t="str">
        <f t="shared" si="1067"/>
        <v>event_team_player_2</v>
      </c>
      <c r="BS1297">
        <f>COUNTIFS(S$3:S1297,"="&amp;S1297,AI$3:AI1297,"="&amp;AI1297)</f>
        <v>2</v>
      </c>
      <c r="BT1297" t="str">
        <f>IFERROR(VLOOKUP(BB1297&amp;BU1297&amp;X1297,game_rosters!U:W,3,FALSE),"")</f>
        <v>P100078</v>
      </c>
      <c r="BU1297" t="str">
        <f t="shared" si="1068"/>
        <v>Nelson</v>
      </c>
    </row>
    <row r="1298" spans="1:73" x14ac:dyDescent="0.2">
      <c r="A1298">
        <f t="shared" si="1054"/>
        <v>1</v>
      </c>
      <c r="J1298" s="44" t="str">
        <f t="shared" si="1069"/>
        <v/>
      </c>
      <c r="K1298" t="s">
        <v>7</v>
      </c>
      <c r="L1298" t="s">
        <v>182</v>
      </c>
      <c r="M1298" t="s">
        <v>68</v>
      </c>
      <c r="S1298">
        <v>698</v>
      </c>
      <c r="W1298" t="str">
        <f t="shared" si="1045"/>
        <v>h</v>
      </c>
      <c r="X1298">
        <v>93</v>
      </c>
      <c r="Y1298" t="e">
        <f>IF(X1298&lt;&gt;"",VLOOKUP(X1298,game_rosters!$C$43:$E$64,3,FALSE))</f>
        <v>#N/A</v>
      </c>
      <c r="Z1298" t="str" cm="1">
        <f t="array" ref="Z1298">IFERROR(IF(_xlfn._xlws.FILTER(game_rosters!$J:$J,(game_rosters!$G:$G=events!$AN1298)*(game_rosters!$J:$J=events!$X1298))&gt;0,1,""),"")</f>
        <v/>
      </c>
      <c r="AA1298">
        <f t="shared" si="1003"/>
        <v>1698</v>
      </c>
      <c r="AB1298" t="str">
        <f t="shared" si="1004"/>
        <v/>
      </c>
      <c r="AC1298">
        <f t="shared" si="1042"/>
        <v>1698</v>
      </c>
      <c r="AD1298" s="6">
        <v>2</v>
      </c>
      <c r="AE1298" t="s">
        <v>938</v>
      </c>
      <c r="AF1298" t="s">
        <v>934</v>
      </c>
      <c r="AG1298" t="s">
        <v>756</v>
      </c>
      <c r="AH1298" t="s">
        <v>756</v>
      </c>
      <c r="AI1298" t="s">
        <v>368</v>
      </c>
      <c r="AJ1298" t="str">
        <f t="shared" ref="AJ1298:AK1298" si="1082">IF($J1298&lt;&gt;"",$J1298,IF($AC1298=$AC1297,AJ1297,""))</f>
        <v/>
      </c>
      <c r="AK1298" t="str">
        <f t="shared" si="1082"/>
        <v/>
      </c>
      <c r="AL1298" t="str">
        <f t="shared" si="1047"/>
        <v/>
      </c>
      <c r="AN1298" t="s">
        <v>861</v>
      </c>
      <c r="AO1298" t="str">
        <f t="shared" si="1048"/>
        <v>h</v>
      </c>
      <c r="AP1298" t="str">
        <f t="shared" si="1056"/>
        <v/>
      </c>
      <c r="AQ1298" t="str">
        <f t="shared" si="1057"/>
        <v/>
      </c>
      <c r="AR1298" t="str">
        <f t="shared" si="1058"/>
        <v>Home</v>
      </c>
      <c r="AS1298" t="str">
        <f t="shared" si="1059"/>
        <v>h</v>
      </c>
      <c r="AT1298" t="str">
        <f t="shared" si="1060"/>
        <v>Defensive</v>
      </c>
      <c r="BA1298" s="6">
        <f t="shared" si="1049"/>
        <v>302</v>
      </c>
      <c r="BB1298">
        <f t="shared" si="1050"/>
        <v>18981</v>
      </c>
      <c r="BC1298" t="str">
        <f t="shared" si="1051"/>
        <v>Nelson</v>
      </c>
      <c r="BD1298" t="str">
        <f t="shared" si="1052"/>
        <v>Velodrome</v>
      </c>
      <c r="BE1298" t="s">
        <v>7</v>
      </c>
      <c r="BF1298" t="s">
        <v>182</v>
      </c>
      <c r="BG1298" t="s">
        <v>68</v>
      </c>
      <c r="BI1298" cm="1">
        <f t="array" ref="BI1298">IFERROR(_xlfn._xlws.FILTER(shifts!A:A,(shifts!B:B=events!AD1298)*(shifts!AG:AG&gt;=events!BK1298)*(shifts!AH:AH&lt;=events!BL1298)),BI1297)</f>
        <v>59</v>
      </c>
      <c r="BJ1298" s="15">
        <f t="shared" si="1053"/>
        <v>0</v>
      </c>
      <c r="BK1298">
        <f t="shared" si="1061"/>
        <v>414</v>
      </c>
      <c r="BL1298">
        <f t="shared" si="1062"/>
        <v>414</v>
      </c>
      <c r="BM1298" s="15">
        <f>SUMIFS(BJ$2:BJ1298,K$2:K1298,"=Intermission")+SUMIFS(BJ$2:BJ1298,K$2:K1298,"=Timeout")</f>
        <v>72</v>
      </c>
      <c r="BN1298">
        <f t="shared" si="1063"/>
        <v>1152</v>
      </c>
      <c r="BO1298" s="19">
        <f t="shared" si="1064"/>
        <v>1818</v>
      </c>
      <c r="BP1298">
        <f t="shared" si="1065"/>
        <v>1813</v>
      </c>
      <c r="BQ1298" s="17">
        <f t="shared" si="1066"/>
        <v>1818</v>
      </c>
      <c r="BR1298" t="str">
        <f t="shared" si="1067"/>
        <v>opp_team_player_1</v>
      </c>
      <c r="BS1298">
        <f>COUNTIFS(S$3:S1298,"="&amp;S1298,AI$3:AI1298,"="&amp;AI1298)</f>
        <v>1</v>
      </c>
      <c r="BT1298" t="str">
        <f>IFERROR(VLOOKUP(BB1298&amp;BU1298&amp;X1298,game_rosters!U:W,3,FALSE),"")</f>
        <v>P100093</v>
      </c>
      <c r="BU1298" t="str">
        <f t="shared" si="1068"/>
        <v>Velodrome</v>
      </c>
    </row>
    <row r="1299" spans="1:73" x14ac:dyDescent="0.2">
      <c r="A1299">
        <f t="shared" si="1054"/>
        <v>1</v>
      </c>
      <c r="J1299" s="44" t="str">
        <f t="shared" si="1069"/>
        <v/>
      </c>
      <c r="K1299" t="s">
        <v>7</v>
      </c>
      <c r="L1299" t="s">
        <v>199</v>
      </c>
      <c r="M1299" t="s">
        <v>68</v>
      </c>
      <c r="S1299">
        <v>699</v>
      </c>
      <c r="W1299" t="str">
        <f t="shared" si="1045"/>
        <v>h</v>
      </c>
      <c r="X1299">
        <v>44</v>
      </c>
      <c r="Y1299" t="b">
        <f>IF(X1299&lt;&gt;"",VLOOKUP(X1299,game_rosters!$C$43:$E$64,3,FALSE))</f>
        <v>0</v>
      </c>
      <c r="Z1299" cm="1">
        <f t="array" ref="Z1299">IFERROR(IF(_xlfn._xlws.FILTER(game_rosters!$J:$J,(game_rosters!$G:$G=events!$AN1299)*(game_rosters!$J:$J=events!$X1299))&gt;0,1,""),"")</f>
        <v>1</v>
      </c>
      <c r="AA1299">
        <f t="shared" si="1003"/>
        <v>1699</v>
      </c>
      <c r="AB1299" t="str">
        <f t="shared" si="1004"/>
        <v/>
      </c>
      <c r="AC1299">
        <f t="shared" si="1042"/>
        <v>1699</v>
      </c>
      <c r="AD1299" s="6">
        <v>2</v>
      </c>
      <c r="AE1299" t="s">
        <v>938</v>
      </c>
      <c r="AF1299" t="s">
        <v>898</v>
      </c>
      <c r="AG1299" t="s">
        <v>756</v>
      </c>
      <c r="AH1299" t="s">
        <v>756</v>
      </c>
      <c r="AI1299" t="s">
        <v>367</v>
      </c>
      <c r="AJ1299" t="str">
        <f t="shared" ref="AJ1299:AK1299" si="1083">IF($J1299&lt;&gt;"",$J1299,IF($AC1299=$AC1298,AJ1298,""))</f>
        <v/>
      </c>
      <c r="AK1299" t="str">
        <f t="shared" si="1083"/>
        <v/>
      </c>
      <c r="AL1299" t="str">
        <f t="shared" si="1047"/>
        <v/>
      </c>
      <c r="AN1299" t="s">
        <v>861</v>
      </c>
      <c r="AO1299" t="str">
        <f t="shared" si="1048"/>
        <v>h</v>
      </c>
      <c r="AP1299" t="str">
        <f t="shared" si="1056"/>
        <v/>
      </c>
      <c r="AQ1299" t="str">
        <f t="shared" si="1057"/>
        <v/>
      </c>
      <c r="AR1299" t="str">
        <f t="shared" si="1058"/>
        <v>Home</v>
      </c>
      <c r="AS1299" t="str">
        <f t="shared" si="1059"/>
        <v>h</v>
      </c>
      <c r="AT1299" t="str">
        <f t="shared" si="1060"/>
        <v>Offensive</v>
      </c>
      <c r="BA1299" s="6">
        <f t="shared" si="1049"/>
        <v>302</v>
      </c>
      <c r="BB1299">
        <f t="shared" si="1050"/>
        <v>18981</v>
      </c>
      <c r="BC1299" t="str">
        <f t="shared" si="1051"/>
        <v>Nelson</v>
      </c>
      <c r="BD1299" t="str">
        <f t="shared" si="1052"/>
        <v>Velodrome</v>
      </c>
      <c r="BE1299" t="s">
        <v>7</v>
      </c>
      <c r="BF1299" t="s">
        <v>199</v>
      </c>
      <c r="BG1299" t="s">
        <v>68</v>
      </c>
      <c r="BI1299" cm="1">
        <f t="array" ref="BI1299">IFERROR(_xlfn._xlws.FILTER(shifts!A:A,(shifts!B:B=events!AD1299)*(shifts!AG:AG&gt;=events!BK1299)*(shifts!AH:AH&lt;=events!BL1299)),BI1298)</f>
        <v>59</v>
      </c>
      <c r="BJ1299" s="15">
        <f t="shared" si="1053"/>
        <v>0</v>
      </c>
      <c r="BK1299">
        <f t="shared" si="1061"/>
        <v>411</v>
      </c>
      <c r="BL1299">
        <f t="shared" si="1062"/>
        <v>411</v>
      </c>
      <c r="BM1299" s="15">
        <f>SUMIFS(BJ$2:BJ1299,K$2:K1299,"=Intermission")+SUMIFS(BJ$2:BJ1299,K$2:K1299,"=Timeout")</f>
        <v>72</v>
      </c>
      <c r="BN1299">
        <f t="shared" si="1063"/>
        <v>1152</v>
      </c>
      <c r="BO1299" s="19">
        <f t="shared" si="1064"/>
        <v>1821</v>
      </c>
      <c r="BP1299">
        <f t="shared" si="1065"/>
        <v>1816</v>
      </c>
      <c r="BQ1299" s="17">
        <f t="shared" si="1066"/>
        <v>1821</v>
      </c>
      <c r="BR1299" t="str">
        <f t="shared" si="1067"/>
        <v>event_team_player_1</v>
      </c>
      <c r="BS1299">
        <f>COUNTIFS(S$3:S1299,"="&amp;S1299,AI$3:AI1299,"="&amp;AI1299)</f>
        <v>1</v>
      </c>
      <c r="BT1299" t="str">
        <f>IFERROR(VLOOKUP(BB1299&amp;BU1299&amp;X1299,game_rosters!U:W,3,FALSE),"")</f>
        <v>P100079</v>
      </c>
      <c r="BU1299" t="str">
        <f t="shared" si="1068"/>
        <v>Nelson</v>
      </c>
    </row>
    <row r="1300" spans="1:73" x14ac:dyDescent="0.2">
      <c r="A1300">
        <f t="shared" si="1054"/>
        <v>1</v>
      </c>
      <c r="J1300" s="44" t="str">
        <f t="shared" si="1069"/>
        <v/>
      </c>
      <c r="K1300" t="s">
        <v>7</v>
      </c>
      <c r="L1300" t="s">
        <v>199</v>
      </c>
      <c r="M1300" t="s">
        <v>68</v>
      </c>
      <c r="S1300">
        <v>699</v>
      </c>
      <c r="W1300" t="str">
        <f t="shared" si="1045"/>
        <v>h</v>
      </c>
      <c r="X1300">
        <v>87</v>
      </c>
      <c r="Y1300" t="e">
        <f>IF(X1300&lt;&gt;"",VLOOKUP(X1300,game_rosters!$C$43:$E$64,3,FALSE))</f>
        <v>#N/A</v>
      </c>
      <c r="Z1300" t="str" cm="1">
        <f t="array" ref="Z1300">IFERROR(IF(_xlfn._xlws.FILTER(game_rosters!$J:$J,(game_rosters!$G:$G=events!$AN1300)*(game_rosters!$J:$J=events!$X1300))&gt;0,1,""),"")</f>
        <v/>
      </c>
      <c r="AA1300">
        <f t="shared" si="1003"/>
        <v>1699</v>
      </c>
      <c r="AB1300" t="str">
        <f t="shared" si="1004"/>
        <v/>
      </c>
      <c r="AC1300">
        <f t="shared" si="1042"/>
        <v>1699</v>
      </c>
      <c r="AD1300" s="6">
        <v>2</v>
      </c>
      <c r="AE1300" t="s">
        <v>938</v>
      </c>
      <c r="AF1300" t="s">
        <v>898</v>
      </c>
      <c r="AG1300" t="s">
        <v>756</v>
      </c>
      <c r="AH1300" t="s">
        <v>756</v>
      </c>
      <c r="AI1300" t="s">
        <v>368</v>
      </c>
      <c r="AJ1300" t="str">
        <f t="shared" ref="AJ1300:AK1300" si="1084">IF($J1300&lt;&gt;"",$J1300,IF($AC1300=$AC1299,AJ1299,""))</f>
        <v/>
      </c>
      <c r="AK1300" t="str">
        <f t="shared" si="1084"/>
        <v/>
      </c>
      <c r="AL1300" t="str">
        <f t="shared" si="1047"/>
        <v/>
      </c>
      <c r="AN1300" t="s">
        <v>861</v>
      </c>
      <c r="AO1300" t="str">
        <f t="shared" si="1048"/>
        <v>h</v>
      </c>
      <c r="AP1300" t="str">
        <f t="shared" si="1056"/>
        <v/>
      </c>
      <c r="AQ1300" t="str">
        <f t="shared" si="1057"/>
        <v/>
      </c>
      <c r="AR1300" t="str">
        <f t="shared" si="1058"/>
        <v>Home</v>
      </c>
      <c r="AS1300" t="str">
        <f t="shared" si="1059"/>
        <v>h</v>
      </c>
      <c r="AT1300" t="str">
        <f t="shared" si="1060"/>
        <v>Defensive</v>
      </c>
      <c r="BA1300" s="6">
        <f t="shared" si="1049"/>
        <v>302</v>
      </c>
      <c r="BB1300">
        <f t="shared" si="1050"/>
        <v>18981</v>
      </c>
      <c r="BC1300" t="str">
        <f t="shared" si="1051"/>
        <v>Nelson</v>
      </c>
      <c r="BD1300" t="str">
        <f t="shared" si="1052"/>
        <v>Velodrome</v>
      </c>
      <c r="BE1300" t="s">
        <v>7</v>
      </c>
      <c r="BF1300" t="s">
        <v>199</v>
      </c>
      <c r="BG1300" t="s">
        <v>68</v>
      </c>
      <c r="BI1300" cm="1">
        <f t="array" ref="BI1300">IFERROR(_xlfn._xlws.FILTER(shifts!A:A,(shifts!B:B=events!AD1300)*(shifts!AG:AG&gt;=events!BK1300)*(shifts!AH:AH&lt;=events!BL1300)),BI1299)</f>
        <v>59</v>
      </c>
      <c r="BJ1300" s="15">
        <f t="shared" si="1053"/>
        <v>0</v>
      </c>
      <c r="BK1300">
        <f t="shared" si="1061"/>
        <v>411</v>
      </c>
      <c r="BL1300">
        <f t="shared" si="1062"/>
        <v>411</v>
      </c>
      <c r="BM1300" s="15">
        <f>SUMIFS(BJ$2:BJ1300,K$2:K1300,"=Intermission")+SUMIFS(BJ$2:BJ1300,K$2:K1300,"=Timeout")</f>
        <v>72</v>
      </c>
      <c r="BN1300">
        <f t="shared" si="1063"/>
        <v>1152</v>
      </c>
      <c r="BO1300" s="19">
        <f t="shared" si="1064"/>
        <v>1821</v>
      </c>
      <c r="BP1300">
        <f t="shared" si="1065"/>
        <v>1816</v>
      </c>
      <c r="BQ1300" s="17">
        <f t="shared" si="1066"/>
        <v>1821</v>
      </c>
      <c r="BR1300" t="str">
        <f t="shared" si="1067"/>
        <v>opp_team_player_1</v>
      </c>
      <c r="BS1300">
        <f>COUNTIFS(S$3:S1300,"="&amp;S1300,AI$3:AI1300,"="&amp;AI1300)</f>
        <v>1</v>
      </c>
      <c r="BT1300" t="str">
        <f>IFERROR(VLOOKUP(BB1300&amp;BU1300&amp;X1300,game_rosters!U:W,3,FALSE),"")</f>
        <v>P100159</v>
      </c>
      <c r="BU1300" t="str">
        <f t="shared" si="1068"/>
        <v>Velodrome</v>
      </c>
    </row>
    <row r="1301" spans="1:73" x14ac:dyDescent="0.2">
      <c r="A1301">
        <f t="shared" si="1054"/>
        <v>1</v>
      </c>
      <c r="J1301" s="44" t="str">
        <f t="shared" si="1069"/>
        <v/>
      </c>
      <c r="K1301" t="s">
        <v>7</v>
      </c>
      <c r="L1301" t="s">
        <v>199</v>
      </c>
      <c r="M1301" t="s">
        <v>68</v>
      </c>
      <c r="S1301">
        <v>699</v>
      </c>
      <c r="W1301" t="str">
        <f t="shared" si="1045"/>
        <v>h</v>
      </c>
      <c r="X1301">
        <v>9</v>
      </c>
      <c r="Y1301" t="e">
        <f>IF(X1301&lt;&gt;"",VLOOKUP(X1301,game_rosters!$C$43:$E$64,3,FALSE))</f>
        <v>#N/A</v>
      </c>
      <c r="Z1301" t="str" cm="1">
        <f t="array" ref="Z1301">IFERROR(IF(_xlfn._xlws.FILTER(game_rosters!$J:$J,(game_rosters!$G:$G=events!$AN1301)*(game_rosters!$J:$J=events!$X1301))&gt;0,1,""),"")</f>
        <v/>
      </c>
      <c r="AA1301">
        <f t="shared" si="1003"/>
        <v>1699</v>
      </c>
      <c r="AB1301" t="str">
        <f t="shared" si="1004"/>
        <v/>
      </c>
      <c r="AC1301">
        <f t="shared" si="1042"/>
        <v>1699</v>
      </c>
      <c r="AD1301" s="6">
        <v>2</v>
      </c>
      <c r="AE1301" t="s">
        <v>938</v>
      </c>
      <c r="AF1301" t="s">
        <v>898</v>
      </c>
      <c r="AG1301" t="s">
        <v>756</v>
      </c>
      <c r="AH1301" t="s">
        <v>756</v>
      </c>
      <c r="AI1301" t="s">
        <v>368</v>
      </c>
      <c r="AJ1301" t="str">
        <f t="shared" ref="AJ1301:AK1301" si="1085">IF($J1301&lt;&gt;"",$J1301,IF($AC1301=$AC1300,AJ1300,""))</f>
        <v/>
      </c>
      <c r="AK1301" t="str">
        <f t="shared" si="1085"/>
        <v/>
      </c>
      <c r="AL1301" t="str">
        <f t="shared" si="1047"/>
        <v/>
      </c>
      <c r="AN1301" t="s">
        <v>861</v>
      </c>
      <c r="AO1301" t="str">
        <f t="shared" si="1048"/>
        <v>h</v>
      </c>
      <c r="AP1301" t="str">
        <f t="shared" si="1056"/>
        <v/>
      </c>
      <c r="AQ1301" t="str">
        <f t="shared" si="1057"/>
        <v/>
      </c>
      <c r="AR1301" t="str">
        <f t="shared" si="1058"/>
        <v>Home</v>
      </c>
      <c r="AS1301" t="str">
        <f t="shared" si="1059"/>
        <v>h</v>
      </c>
      <c r="AT1301" t="str">
        <f t="shared" si="1060"/>
        <v>Defensive</v>
      </c>
      <c r="BA1301" s="6">
        <f t="shared" si="1049"/>
        <v>302</v>
      </c>
      <c r="BB1301">
        <f t="shared" si="1050"/>
        <v>18981</v>
      </c>
      <c r="BC1301" t="str">
        <f t="shared" si="1051"/>
        <v>Nelson</v>
      </c>
      <c r="BD1301" t="str">
        <f t="shared" si="1052"/>
        <v>Velodrome</v>
      </c>
      <c r="BE1301" t="s">
        <v>7</v>
      </c>
      <c r="BF1301" t="s">
        <v>199</v>
      </c>
      <c r="BG1301" t="s">
        <v>68</v>
      </c>
      <c r="BI1301" cm="1">
        <f t="array" ref="BI1301">IFERROR(_xlfn._xlws.FILTER(shifts!A:A,(shifts!B:B=events!AD1301)*(shifts!AG:AG&gt;=events!BK1301)*(shifts!AH:AH&lt;=events!BL1301)),BI1300)</f>
        <v>59</v>
      </c>
      <c r="BJ1301" s="15">
        <f t="shared" si="1053"/>
        <v>0</v>
      </c>
      <c r="BK1301">
        <f t="shared" si="1061"/>
        <v>411</v>
      </c>
      <c r="BL1301">
        <f t="shared" si="1062"/>
        <v>411</v>
      </c>
      <c r="BM1301" s="15">
        <f>SUMIFS(BJ$2:BJ1301,K$2:K1301,"=Intermission")+SUMIFS(BJ$2:BJ1301,K$2:K1301,"=Timeout")</f>
        <v>72</v>
      </c>
      <c r="BN1301">
        <f t="shared" si="1063"/>
        <v>1152</v>
      </c>
      <c r="BO1301" s="19">
        <f t="shared" si="1064"/>
        <v>1821</v>
      </c>
      <c r="BP1301">
        <f t="shared" si="1065"/>
        <v>1816</v>
      </c>
      <c r="BQ1301" s="17">
        <f t="shared" si="1066"/>
        <v>1821</v>
      </c>
      <c r="BR1301" t="str">
        <f t="shared" si="1067"/>
        <v>opp_team_player_2</v>
      </c>
      <c r="BS1301">
        <f>COUNTIFS(S$3:S1301,"="&amp;S1301,AI$3:AI1301,"="&amp;AI1301)</f>
        <v>2</v>
      </c>
      <c r="BT1301" t="str">
        <f>IFERROR(VLOOKUP(BB1301&amp;BU1301&amp;X1301,game_rosters!U:W,3,FALSE),"")</f>
        <v>P100105</v>
      </c>
      <c r="BU1301" t="str">
        <f t="shared" si="1068"/>
        <v>Velodrome</v>
      </c>
    </row>
    <row r="1302" spans="1:73" x14ac:dyDescent="0.2">
      <c r="A1302">
        <f t="shared" si="1054"/>
        <v>1</v>
      </c>
      <c r="J1302" s="44" t="str">
        <f t="shared" si="1069"/>
        <v/>
      </c>
      <c r="K1302" t="s">
        <v>9</v>
      </c>
      <c r="L1302" t="s">
        <v>173</v>
      </c>
      <c r="M1302" t="s">
        <v>73</v>
      </c>
      <c r="S1302">
        <v>700</v>
      </c>
      <c r="W1302" t="str">
        <f t="shared" si="1045"/>
        <v>h</v>
      </c>
      <c r="X1302">
        <v>44</v>
      </c>
      <c r="Y1302" t="b">
        <f>IF(X1302&lt;&gt;"",VLOOKUP(X1302,game_rosters!$C$43:$E$64,3,FALSE))</f>
        <v>0</v>
      </c>
      <c r="Z1302" cm="1">
        <f t="array" ref="Z1302">IFERROR(IF(_xlfn._xlws.FILTER(game_rosters!$J:$J,(game_rosters!$G:$G=events!$AN1302)*(game_rosters!$J:$J=events!$X1302))&gt;0,1,""),"")</f>
        <v>1</v>
      </c>
      <c r="AA1302">
        <f t="shared" si="1003"/>
        <v>1700</v>
      </c>
      <c r="AB1302" t="str">
        <f t="shared" si="1004"/>
        <v/>
      </c>
      <c r="AC1302">
        <f t="shared" si="1042"/>
        <v>1700</v>
      </c>
      <c r="AD1302" s="6">
        <v>2</v>
      </c>
      <c r="AE1302" t="s">
        <v>938</v>
      </c>
      <c r="AF1302" t="s">
        <v>898</v>
      </c>
      <c r="AG1302" t="s">
        <v>756</v>
      </c>
      <c r="AH1302" t="s">
        <v>756</v>
      </c>
      <c r="AI1302" t="s">
        <v>367</v>
      </c>
      <c r="AJ1302" t="str">
        <f t="shared" ref="AJ1302:AK1302" si="1086">IF($J1302&lt;&gt;"",$J1302,IF($AC1302=$AC1301,AJ1301,""))</f>
        <v/>
      </c>
      <c r="AK1302" t="str">
        <f t="shared" si="1086"/>
        <v/>
      </c>
      <c r="AL1302" t="str">
        <f t="shared" si="1047"/>
        <v/>
      </c>
      <c r="AN1302" t="s">
        <v>861</v>
      </c>
      <c r="AO1302" t="str">
        <f t="shared" si="1048"/>
        <v>h</v>
      </c>
      <c r="AP1302" t="str">
        <f t="shared" si="1056"/>
        <v/>
      </c>
      <c r="AQ1302" t="str">
        <f t="shared" si="1057"/>
        <v/>
      </c>
      <c r="AR1302" t="str">
        <f t="shared" si="1058"/>
        <v>Home</v>
      </c>
      <c r="AS1302" t="str">
        <f t="shared" si="1059"/>
        <v>h</v>
      </c>
      <c r="AT1302" t="str">
        <f t="shared" si="1060"/>
        <v>Offensive</v>
      </c>
      <c r="BA1302" s="6">
        <f t="shared" si="1049"/>
        <v>302</v>
      </c>
      <c r="BB1302">
        <f t="shared" si="1050"/>
        <v>18981</v>
      </c>
      <c r="BC1302" t="str">
        <f t="shared" si="1051"/>
        <v>Nelson</v>
      </c>
      <c r="BD1302" t="str">
        <f t="shared" si="1052"/>
        <v>Velodrome</v>
      </c>
      <c r="BE1302" t="s">
        <v>9</v>
      </c>
      <c r="BF1302" t="s">
        <v>173</v>
      </c>
      <c r="BG1302" t="s">
        <v>73</v>
      </c>
      <c r="BI1302" cm="1">
        <f t="array" ref="BI1302">IFERROR(_xlfn._xlws.FILTER(shifts!A:A,(shifts!B:B=events!AD1302)*(shifts!AG:AG&gt;=events!BK1302)*(shifts!AH:AH&lt;=events!BL1302)),BI1301)</f>
        <v>59</v>
      </c>
      <c r="BJ1302" s="15">
        <f t="shared" si="1053"/>
        <v>0</v>
      </c>
      <c r="BK1302">
        <f t="shared" si="1061"/>
        <v>411</v>
      </c>
      <c r="BL1302">
        <f t="shared" si="1062"/>
        <v>411</v>
      </c>
      <c r="BM1302" s="15">
        <f>SUMIFS(BJ$2:BJ1302,K$2:K1302,"=Intermission")+SUMIFS(BJ$2:BJ1302,K$2:K1302,"=Timeout")</f>
        <v>72</v>
      </c>
      <c r="BN1302">
        <f t="shared" si="1063"/>
        <v>1152</v>
      </c>
      <c r="BO1302" s="19">
        <f t="shared" si="1064"/>
        <v>1821</v>
      </c>
      <c r="BP1302">
        <f t="shared" si="1065"/>
        <v>1816</v>
      </c>
      <c r="BQ1302" s="17">
        <f t="shared" si="1066"/>
        <v>1821</v>
      </c>
      <c r="BR1302" t="str">
        <f t="shared" si="1067"/>
        <v>event_team_player_1</v>
      </c>
      <c r="BS1302">
        <f>COUNTIFS(S$3:S1302,"="&amp;S1302,AI$3:AI1302,"="&amp;AI1302)</f>
        <v>1</v>
      </c>
      <c r="BT1302" t="str">
        <f>IFERROR(VLOOKUP(BB1302&amp;BU1302&amp;X1302,game_rosters!U:W,3,FALSE),"")</f>
        <v>P100079</v>
      </c>
      <c r="BU1302" t="str">
        <f t="shared" si="1068"/>
        <v>Nelson</v>
      </c>
    </row>
    <row r="1303" spans="1:73" x14ac:dyDescent="0.2">
      <c r="A1303">
        <f t="shared" si="1054"/>
        <v>1</v>
      </c>
      <c r="J1303" s="44" t="str">
        <f t="shared" si="1069"/>
        <v/>
      </c>
      <c r="K1303" t="s">
        <v>9</v>
      </c>
      <c r="L1303" t="s">
        <v>173</v>
      </c>
      <c r="M1303" t="s">
        <v>73</v>
      </c>
      <c r="S1303">
        <v>700</v>
      </c>
      <c r="W1303" t="str">
        <f t="shared" si="1045"/>
        <v>h</v>
      </c>
      <c r="X1303">
        <v>87</v>
      </c>
      <c r="Y1303" t="e">
        <f>IF(X1303&lt;&gt;"",VLOOKUP(X1303,game_rosters!$C$43:$E$64,3,FALSE))</f>
        <v>#N/A</v>
      </c>
      <c r="Z1303" t="str" cm="1">
        <f t="array" ref="Z1303">IFERROR(IF(_xlfn._xlws.FILTER(game_rosters!$J:$J,(game_rosters!$G:$G=events!$AN1303)*(game_rosters!$J:$J=events!$X1303))&gt;0,1,""),"")</f>
        <v/>
      </c>
      <c r="AA1303">
        <f t="shared" si="1003"/>
        <v>1700</v>
      </c>
      <c r="AB1303" t="str">
        <f t="shared" si="1004"/>
        <v/>
      </c>
      <c r="AC1303">
        <f t="shared" si="1042"/>
        <v>1700</v>
      </c>
      <c r="AD1303" s="6">
        <v>2</v>
      </c>
      <c r="AE1303" t="s">
        <v>938</v>
      </c>
      <c r="AF1303" t="s">
        <v>898</v>
      </c>
      <c r="AG1303" t="s">
        <v>756</v>
      </c>
      <c r="AH1303" t="s">
        <v>756</v>
      </c>
      <c r="AI1303" t="s">
        <v>368</v>
      </c>
      <c r="AJ1303" t="str">
        <f t="shared" ref="AJ1303:AK1303" si="1087">IF($J1303&lt;&gt;"",$J1303,IF($AC1303=$AC1302,AJ1302,""))</f>
        <v/>
      </c>
      <c r="AK1303" t="str">
        <f t="shared" si="1087"/>
        <v/>
      </c>
      <c r="AL1303" t="str">
        <f t="shared" si="1047"/>
        <v/>
      </c>
      <c r="AN1303" t="s">
        <v>861</v>
      </c>
      <c r="AO1303" t="str">
        <f t="shared" si="1048"/>
        <v>h</v>
      </c>
      <c r="AP1303" t="str">
        <f t="shared" si="1056"/>
        <v/>
      </c>
      <c r="AQ1303" t="str">
        <f t="shared" si="1057"/>
        <v/>
      </c>
      <c r="AR1303" t="str">
        <f t="shared" si="1058"/>
        <v>Home</v>
      </c>
      <c r="AS1303" t="str">
        <f t="shared" si="1059"/>
        <v>h</v>
      </c>
      <c r="AT1303" t="str">
        <f t="shared" si="1060"/>
        <v>Defensive</v>
      </c>
      <c r="BA1303" s="6">
        <f t="shared" si="1049"/>
        <v>302</v>
      </c>
      <c r="BB1303">
        <f t="shared" si="1050"/>
        <v>18981</v>
      </c>
      <c r="BC1303" t="str">
        <f t="shared" si="1051"/>
        <v>Nelson</v>
      </c>
      <c r="BD1303" t="str">
        <f t="shared" si="1052"/>
        <v>Velodrome</v>
      </c>
      <c r="BE1303" t="s">
        <v>9</v>
      </c>
      <c r="BF1303" t="s">
        <v>173</v>
      </c>
      <c r="BG1303" t="s">
        <v>73</v>
      </c>
      <c r="BI1303" cm="1">
        <f t="array" ref="BI1303">IFERROR(_xlfn._xlws.FILTER(shifts!A:A,(shifts!B:B=events!AD1303)*(shifts!AG:AG&gt;=events!BK1303)*(shifts!AH:AH&lt;=events!BL1303)),BI1302)</f>
        <v>59</v>
      </c>
      <c r="BJ1303" s="15">
        <f t="shared" si="1053"/>
        <v>0</v>
      </c>
      <c r="BK1303">
        <f t="shared" si="1061"/>
        <v>411</v>
      </c>
      <c r="BL1303">
        <f t="shared" si="1062"/>
        <v>411</v>
      </c>
      <c r="BM1303" s="15">
        <f>SUMIFS(BJ$2:BJ1303,K$2:K1303,"=Intermission")+SUMIFS(BJ$2:BJ1303,K$2:K1303,"=Timeout")</f>
        <v>72</v>
      </c>
      <c r="BN1303">
        <f t="shared" si="1063"/>
        <v>1152</v>
      </c>
      <c r="BO1303" s="19">
        <f t="shared" si="1064"/>
        <v>1821</v>
      </c>
      <c r="BP1303">
        <f t="shared" si="1065"/>
        <v>1816</v>
      </c>
      <c r="BQ1303" s="17">
        <f t="shared" si="1066"/>
        <v>1821</v>
      </c>
      <c r="BR1303" t="str">
        <f t="shared" si="1067"/>
        <v>opp_team_player_1</v>
      </c>
      <c r="BS1303">
        <f>COUNTIFS(S$3:S1303,"="&amp;S1303,AI$3:AI1303,"="&amp;AI1303)</f>
        <v>1</v>
      </c>
      <c r="BT1303" t="str">
        <f>IFERROR(VLOOKUP(BB1303&amp;BU1303&amp;X1303,game_rosters!U:W,3,FALSE),"")</f>
        <v>P100159</v>
      </c>
      <c r="BU1303" t="str">
        <f t="shared" si="1068"/>
        <v>Velodrome</v>
      </c>
    </row>
    <row r="1304" spans="1:73" x14ac:dyDescent="0.2">
      <c r="A1304">
        <f t="shared" si="1054"/>
        <v>1</v>
      </c>
      <c r="J1304" s="44" t="str">
        <f t="shared" si="1069"/>
        <v/>
      </c>
      <c r="K1304" t="s">
        <v>9</v>
      </c>
      <c r="L1304" t="s">
        <v>173</v>
      </c>
      <c r="M1304" t="s">
        <v>73</v>
      </c>
      <c r="S1304">
        <v>700</v>
      </c>
      <c r="W1304" t="str">
        <f t="shared" si="1045"/>
        <v>h</v>
      </c>
      <c r="X1304">
        <v>9</v>
      </c>
      <c r="Y1304" t="e">
        <f>IF(X1304&lt;&gt;"",VLOOKUP(X1304,game_rosters!$C$43:$E$64,3,FALSE))</f>
        <v>#N/A</v>
      </c>
      <c r="Z1304" t="str" cm="1">
        <f t="array" ref="Z1304">IFERROR(IF(_xlfn._xlws.FILTER(game_rosters!$J:$J,(game_rosters!$G:$G=events!$AN1304)*(game_rosters!$J:$J=events!$X1304))&gt;0,1,""),"")</f>
        <v/>
      </c>
      <c r="AA1304">
        <f t="shared" si="1003"/>
        <v>1700</v>
      </c>
      <c r="AB1304" t="str">
        <f t="shared" si="1004"/>
        <v/>
      </c>
      <c r="AC1304">
        <f t="shared" si="1042"/>
        <v>1700</v>
      </c>
      <c r="AD1304" s="6">
        <v>2</v>
      </c>
      <c r="AE1304" t="s">
        <v>938</v>
      </c>
      <c r="AF1304" t="s">
        <v>898</v>
      </c>
      <c r="AG1304" t="s">
        <v>756</v>
      </c>
      <c r="AH1304" t="s">
        <v>756</v>
      </c>
      <c r="AI1304" t="s">
        <v>368</v>
      </c>
      <c r="AJ1304" t="str">
        <f t="shared" ref="AJ1304:AK1304" si="1088">IF($J1304&lt;&gt;"",$J1304,IF($AC1304=$AC1303,AJ1303,""))</f>
        <v/>
      </c>
      <c r="AK1304" t="str">
        <f t="shared" si="1088"/>
        <v/>
      </c>
      <c r="AL1304" t="str">
        <f t="shared" si="1047"/>
        <v/>
      </c>
      <c r="AN1304" t="s">
        <v>861</v>
      </c>
      <c r="AO1304" t="str">
        <f t="shared" si="1048"/>
        <v>h</v>
      </c>
      <c r="AP1304" t="str">
        <f t="shared" si="1056"/>
        <v/>
      </c>
      <c r="AQ1304" t="str">
        <f t="shared" si="1057"/>
        <v/>
      </c>
      <c r="AR1304" t="str">
        <f t="shared" si="1058"/>
        <v>Home</v>
      </c>
      <c r="AS1304" t="str">
        <f t="shared" si="1059"/>
        <v>h</v>
      </c>
      <c r="AT1304" t="str">
        <f t="shared" si="1060"/>
        <v>Defensive</v>
      </c>
      <c r="BA1304" s="6">
        <f t="shared" si="1049"/>
        <v>302</v>
      </c>
      <c r="BB1304">
        <f t="shared" si="1050"/>
        <v>18981</v>
      </c>
      <c r="BC1304" t="str">
        <f t="shared" si="1051"/>
        <v>Nelson</v>
      </c>
      <c r="BD1304" t="str">
        <f t="shared" si="1052"/>
        <v>Velodrome</v>
      </c>
      <c r="BE1304" t="s">
        <v>9</v>
      </c>
      <c r="BF1304" t="s">
        <v>173</v>
      </c>
      <c r="BG1304" t="s">
        <v>73</v>
      </c>
      <c r="BI1304" cm="1">
        <f t="array" ref="BI1304">IFERROR(_xlfn._xlws.FILTER(shifts!A:A,(shifts!B:B=events!AD1304)*(shifts!AG:AG&gt;=events!BK1304)*(shifts!AH:AH&lt;=events!BL1304)),BI1303)</f>
        <v>59</v>
      </c>
      <c r="BJ1304" s="15">
        <f t="shared" si="1053"/>
        <v>0</v>
      </c>
      <c r="BK1304">
        <f t="shared" si="1061"/>
        <v>411</v>
      </c>
      <c r="BL1304">
        <f t="shared" si="1062"/>
        <v>411</v>
      </c>
      <c r="BM1304" s="15">
        <f>SUMIFS(BJ$2:BJ1304,K$2:K1304,"=Intermission")+SUMIFS(BJ$2:BJ1304,K$2:K1304,"=Timeout")</f>
        <v>72</v>
      </c>
      <c r="BN1304">
        <f t="shared" si="1063"/>
        <v>1152</v>
      </c>
      <c r="BO1304" s="19">
        <f t="shared" si="1064"/>
        <v>1821</v>
      </c>
      <c r="BP1304">
        <f t="shared" si="1065"/>
        <v>1816</v>
      </c>
      <c r="BQ1304" s="17">
        <f t="shared" si="1066"/>
        <v>1821</v>
      </c>
      <c r="BR1304" t="str">
        <f t="shared" si="1067"/>
        <v>opp_team_player_2</v>
      </c>
      <c r="BS1304">
        <f>COUNTIFS(S$3:S1304,"="&amp;S1304,AI$3:AI1304,"="&amp;AI1304)</f>
        <v>2</v>
      </c>
      <c r="BT1304" t="str">
        <f>IFERROR(VLOOKUP(BB1304&amp;BU1304&amp;X1304,game_rosters!U:W,3,FALSE),"")</f>
        <v>P100105</v>
      </c>
      <c r="BU1304" t="str">
        <f t="shared" si="1068"/>
        <v>Velodrome</v>
      </c>
    </row>
    <row r="1305" spans="1:73" x14ac:dyDescent="0.2">
      <c r="A1305">
        <f t="shared" si="1054"/>
        <v>1</v>
      </c>
      <c r="J1305" s="44" t="str">
        <f t="shared" si="1069"/>
        <v/>
      </c>
      <c r="K1305" t="s">
        <v>13</v>
      </c>
      <c r="L1305" t="s">
        <v>756</v>
      </c>
      <c r="M1305" t="s">
        <v>756</v>
      </c>
      <c r="S1305">
        <v>701</v>
      </c>
      <c r="W1305" t="str">
        <f t="shared" si="1045"/>
        <v>a</v>
      </c>
      <c r="X1305">
        <v>87</v>
      </c>
      <c r="Y1305" t="e">
        <f>IF(X1305&lt;&gt;"",VLOOKUP(X1305,game_rosters!$C$43:$E$64,3,FALSE))</f>
        <v>#N/A</v>
      </c>
      <c r="Z1305" cm="1">
        <f t="array" ref="Z1305">IFERROR(IF(_xlfn._xlws.FILTER(game_rosters!$J:$J,(game_rosters!$G:$G=events!$AN1305)*(game_rosters!$J:$J=events!$X1305))&gt;0,1,""),"")</f>
        <v>1</v>
      </c>
      <c r="AA1305">
        <f t="shared" si="1003"/>
        <v>1701</v>
      </c>
      <c r="AB1305" t="str">
        <f t="shared" si="1004"/>
        <v/>
      </c>
      <c r="AC1305">
        <f t="shared" si="1042"/>
        <v>1701</v>
      </c>
      <c r="AD1305" s="6">
        <v>2</v>
      </c>
      <c r="AE1305" t="s">
        <v>938</v>
      </c>
      <c r="AF1305" t="s">
        <v>922</v>
      </c>
      <c r="AG1305" t="s">
        <v>938</v>
      </c>
      <c r="AH1305" t="s">
        <v>899</v>
      </c>
      <c r="AI1305" t="s">
        <v>367</v>
      </c>
      <c r="AJ1305" t="str">
        <f t="shared" ref="AJ1305:AK1305" si="1089">IF($J1305&lt;&gt;"",$J1305,IF($AC1305=$AC1304,AJ1304,""))</f>
        <v/>
      </c>
      <c r="AK1305" t="str">
        <f t="shared" si="1089"/>
        <v/>
      </c>
      <c r="AL1305" t="str">
        <f t="shared" si="1047"/>
        <v/>
      </c>
      <c r="AN1305" t="s">
        <v>862</v>
      </c>
      <c r="AO1305" t="str">
        <f t="shared" si="1048"/>
        <v>a</v>
      </c>
      <c r="AP1305" t="str">
        <f t="shared" si="1056"/>
        <v/>
      </c>
      <c r="AQ1305" t="str">
        <f t="shared" si="1057"/>
        <v/>
      </c>
      <c r="AR1305" t="str">
        <f t="shared" si="1058"/>
        <v>Away</v>
      </c>
      <c r="AS1305" t="str">
        <f t="shared" si="1059"/>
        <v>a</v>
      </c>
      <c r="AT1305" t="str">
        <f t="shared" si="1060"/>
        <v>Offensive</v>
      </c>
      <c r="BA1305" s="6">
        <f t="shared" si="1049"/>
        <v>302</v>
      </c>
      <c r="BB1305">
        <f t="shared" si="1050"/>
        <v>18981</v>
      </c>
      <c r="BC1305" t="str">
        <f t="shared" si="1051"/>
        <v>Nelson</v>
      </c>
      <c r="BD1305" t="str">
        <f t="shared" si="1052"/>
        <v>Velodrome</v>
      </c>
      <c r="BE1305" t="s">
        <v>13</v>
      </c>
      <c r="BF1305" t="s">
        <v>756</v>
      </c>
      <c r="BG1305" t="s">
        <v>756</v>
      </c>
      <c r="BI1305" cm="1">
        <f t="array" ref="BI1305">IFERROR(_xlfn._xlws.FILTER(shifts!A:A,(shifts!B:B=events!AD1305)*(shifts!AG:AG&gt;=events!BK1305)*(shifts!AH:AH&lt;=events!BL1305)),BI1304)</f>
        <v>59</v>
      </c>
      <c r="BJ1305" s="15">
        <f t="shared" si="1053"/>
        <v>2</v>
      </c>
      <c r="BK1305">
        <f t="shared" si="1061"/>
        <v>410</v>
      </c>
      <c r="BL1305">
        <f t="shared" si="1062"/>
        <v>408</v>
      </c>
      <c r="BM1305" s="15">
        <f>SUMIFS(BJ$2:BJ1305,K$2:K1305,"=Intermission")+SUMIFS(BJ$2:BJ1305,K$2:K1305,"=Timeout")</f>
        <v>72</v>
      </c>
      <c r="BN1305">
        <f t="shared" si="1063"/>
        <v>1152</v>
      </c>
      <c r="BO1305" s="19">
        <f t="shared" si="1064"/>
        <v>1822</v>
      </c>
      <c r="BP1305">
        <f t="shared" si="1065"/>
        <v>1817</v>
      </c>
      <c r="BQ1305" s="17">
        <f t="shared" si="1066"/>
        <v>1824</v>
      </c>
      <c r="BR1305" t="str">
        <f t="shared" si="1067"/>
        <v>event_team_player_1</v>
      </c>
      <c r="BS1305">
        <f>COUNTIFS(S$3:S1305,"="&amp;S1305,AI$3:AI1305,"="&amp;AI1305)</f>
        <v>1</v>
      </c>
      <c r="BT1305" t="str">
        <f>IFERROR(VLOOKUP(BB1305&amp;BU1305&amp;X1305,game_rosters!U:W,3,FALSE),"")</f>
        <v>P100159</v>
      </c>
      <c r="BU1305" t="str">
        <f t="shared" si="1068"/>
        <v>Velodrome</v>
      </c>
    </row>
    <row r="1306" spans="1:73" x14ac:dyDescent="0.2">
      <c r="A1306">
        <f t="shared" si="1054"/>
        <v>1</v>
      </c>
      <c r="J1306" s="44" t="str">
        <f t="shared" si="1069"/>
        <v/>
      </c>
      <c r="K1306" t="s">
        <v>13</v>
      </c>
      <c r="L1306" t="s">
        <v>756</v>
      </c>
      <c r="M1306" t="s">
        <v>756</v>
      </c>
      <c r="S1306">
        <v>701</v>
      </c>
      <c r="W1306" t="str">
        <f t="shared" si="1045"/>
        <v>a</v>
      </c>
      <c r="X1306">
        <v>44</v>
      </c>
      <c r="Y1306" t="b">
        <f>IF(X1306&lt;&gt;"",VLOOKUP(X1306,game_rosters!$C$43:$E$64,3,FALSE))</f>
        <v>0</v>
      </c>
      <c r="Z1306" t="str" cm="1">
        <f t="array" ref="Z1306">IFERROR(IF(_xlfn._xlws.FILTER(game_rosters!$J:$J,(game_rosters!$G:$G=events!$AN1306)*(game_rosters!$J:$J=events!$X1306))&gt;0,1,""),"")</f>
        <v/>
      </c>
      <c r="AA1306">
        <f t="shared" si="1003"/>
        <v>1701</v>
      </c>
      <c r="AB1306" t="str">
        <f t="shared" si="1004"/>
        <v/>
      </c>
      <c r="AC1306">
        <f t="shared" si="1042"/>
        <v>1701</v>
      </c>
      <c r="AD1306" s="6">
        <v>2</v>
      </c>
      <c r="AE1306" t="s">
        <v>938</v>
      </c>
      <c r="AF1306" t="s">
        <v>922</v>
      </c>
      <c r="AG1306" t="s">
        <v>938</v>
      </c>
      <c r="AH1306" t="s">
        <v>899</v>
      </c>
      <c r="AI1306" t="s">
        <v>368</v>
      </c>
      <c r="AJ1306" t="str">
        <f t="shared" ref="AJ1306:AK1306" si="1090">IF($J1306&lt;&gt;"",$J1306,IF($AC1306=$AC1305,AJ1305,""))</f>
        <v/>
      </c>
      <c r="AK1306" t="str">
        <f t="shared" si="1090"/>
        <v/>
      </c>
      <c r="AL1306" t="str">
        <f t="shared" si="1047"/>
        <v/>
      </c>
      <c r="AN1306" t="s">
        <v>862</v>
      </c>
      <c r="AO1306" t="str">
        <f t="shared" si="1048"/>
        <v>a</v>
      </c>
      <c r="AP1306" t="str">
        <f t="shared" si="1056"/>
        <v/>
      </c>
      <c r="AQ1306" t="str">
        <f t="shared" si="1057"/>
        <v/>
      </c>
      <c r="AR1306" t="str">
        <f t="shared" si="1058"/>
        <v>Away</v>
      </c>
      <c r="AS1306" t="str">
        <f t="shared" si="1059"/>
        <v>a</v>
      </c>
      <c r="AT1306" t="str">
        <f t="shared" si="1060"/>
        <v>Defensive</v>
      </c>
      <c r="BA1306" s="6">
        <f t="shared" si="1049"/>
        <v>302</v>
      </c>
      <c r="BB1306">
        <f t="shared" si="1050"/>
        <v>18981</v>
      </c>
      <c r="BC1306" t="str">
        <f t="shared" si="1051"/>
        <v>Nelson</v>
      </c>
      <c r="BD1306" t="str">
        <f t="shared" si="1052"/>
        <v>Velodrome</v>
      </c>
      <c r="BE1306" t="s">
        <v>13</v>
      </c>
      <c r="BF1306" t="s">
        <v>756</v>
      </c>
      <c r="BG1306" t="s">
        <v>756</v>
      </c>
      <c r="BI1306" cm="1">
        <f t="array" ref="BI1306">IFERROR(_xlfn._xlws.FILTER(shifts!A:A,(shifts!B:B=events!AD1306)*(shifts!AG:AG&gt;=events!BK1306)*(shifts!AH:AH&lt;=events!BL1306)),BI1305)</f>
        <v>59</v>
      </c>
      <c r="BJ1306" s="15">
        <f t="shared" si="1053"/>
        <v>2</v>
      </c>
      <c r="BK1306">
        <f t="shared" si="1061"/>
        <v>410</v>
      </c>
      <c r="BL1306">
        <f t="shared" si="1062"/>
        <v>408</v>
      </c>
      <c r="BM1306" s="15">
        <f>SUMIFS(BJ$2:BJ1306,K$2:K1306,"=Intermission")+SUMIFS(BJ$2:BJ1306,K$2:K1306,"=Timeout")</f>
        <v>72</v>
      </c>
      <c r="BN1306">
        <f t="shared" si="1063"/>
        <v>1152</v>
      </c>
      <c r="BO1306" s="19">
        <f t="shared" si="1064"/>
        <v>1822</v>
      </c>
      <c r="BP1306">
        <f t="shared" si="1065"/>
        <v>1817</v>
      </c>
      <c r="BQ1306" s="17">
        <f t="shared" si="1066"/>
        <v>1824</v>
      </c>
      <c r="BR1306" t="str">
        <f t="shared" si="1067"/>
        <v>opp_team_player_1</v>
      </c>
      <c r="BS1306">
        <f>COUNTIFS(S$3:S1306,"="&amp;S1306,AI$3:AI1306,"="&amp;AI1306)</f>
        <v>1</v>
      </c>
      <c r="BT1306" t="str">
        <f>IFERROR(VLOOKUP(BB1306&amp;BU1306&amp;X1306,game_rosters!U:W,3,FALSE),"")</f>
        <v>P100079</v>
      </c>
      <c r="BU1306" t="str">
        <f t="shared" si="1068"/>
        <v>Nelson</v>
      </c>
    </row>
    <row r="1307" spans="1:73" x14ac:dyDescent="0.2">
      <c r="A1307">
        <f t="shared" si="1054"/>
        <v>1</v>
      </c>
      <c r="J1307" s="44" t="str">
        <f t="shared" si="1069"/>
        <v>d</v>
      </c>
      <c r="K1307" t="s">
        <v>238</v>
      </c>
      <c r="L1307" t="s">
        <v>184</v>
      </c>
      <c r="M1307" t="s">
        <v>88</v>
      </c>
      <c r="S1307">
        <v>702</v>
      </c>
      <c r="W1307" t="str">
        <f t="shared" si="1045"/>
        <v>a</v>
      </c>
      <c r="X1307">
        <v>87</v>
      </c>
      <c r="Y1307" t="e">
        <f>IF(X1307&lt;&gt;"",VLOOKUP(X1307,game_rosters!$C$43:$E$64,3,FALSE))</f>
        <v>#N/A</v>
      </c>
      <c r="Z1307" cm="1">
        <f t="array" ref="Z1307">IFERROR(IF(_xlfn._xlws.FILTER(game_rosters!$J:$J,(game_rosters!$G:$G=events!$AN1307)*(game_rosters!$J:$J=events!$X1307))&gt;0,1,""),"")</f>
        <v>1</v>
      </c>
      <c r="AA1307">
        <f t="shared" si="1003"/>
        <v>1702</v>
      </c>
      <c r="AB1307" t="str">
        <f t="shared" si="1004"/>
        <v/>
      </c>
      <c r="AC1307">
        <f t="shared" si="1042"/>
        <v>1702</v>
      </c>
      <c r="AD1307" s="6">
        <v>2</v>
      </c>
      <c r="AE1307" t="s">
        <v>938</v>
      </c>
      <c r="AF1307" t="s">
        <v>751</v>
      </c>
      <c r="AG1307" t="s">
        <v>938</v>
      </c>
      <c r="AH1307" t="s">
        <v>737</v>
      </c>
      <c r="AI1307" t="s">
        <v>367</v>
      </c>
      <c r="AJ1307" t="str">
        <f t="shared" ref="AJ1307:AK1307" si="1091">IF($J1307&lt;&gt;"",$J1307,IF($AC1307=$AC1306,AJ1306,""))</f>
        <v>d</v>
      </c>
      <c r="AK1307" t="str">
        <f t="shared" si="1091"/>
        <v>d</v>
      </c>
      <c r="AL1307" t="str">
        <f t="shared" si="1047"/>
        <v>o</v>
      </c>
      <c r="AN1307" t="s">
        <v>862</v>
      </c>
      <c r="AO1307" t="str">
        <f t="shared" si="1048"/>
        <v>a</v>
      </c>
      <c r="AP1307" t="str">
        <f t="shared" si="1056"/>
        <v>o</v>
      </c>
      <c r="AQ1307" t="str">
        <f t="shared" si="1057"/>
        <v/>
      </c>
      <c r="AR1307" t="str">
        <f t="shared" si="1058"/>
        <v>Away</v>
      </c>
      <c r="AS1307" t="str">
        <f t="shared" si="1059"/>
        <v>a</v>
      </c>
      <c r="AT1307" t="str">
        <f t="shared" si="1060"/>
        <v>Offensive</v>
      </c>
      <c r="BA1307" s="6">
        <f t="shared" si="1049"/>
        <v>303</v>
      </c>
      <c r="BB1307">
        <f t="shared" si="1050"/>
        <v>18981</v>
      </c>
      <c r="BC1307" t="str">
        <f t="shared" si="1051"/>
        <v>Nelson</v>
      </c>
      <c r="BD1307" t="str">
        <f t="shared" si="1052"/>
        <v>Velodrome</v>
      </c>
      <c r="BE1307" t="s">
        <v>238</v>
      </c>
      <c r="BF1307" t="s">
        <v>184</v>
      </c>
      <c r="BG1307" t="s">
        <v>88</v>
      </c>
      <c r="BI1307" cm="1">
        <f t="array" ref="BI1307">IFERROR(_xlfn._xlws.FILTER(shifts!A:A,(shifts!B:B=events!AD1307)*(shifts!AG:AG&gt;=events!BK1307)*(shifts!AH:AH&lt;=events!BL1307)),BI1306)</f>
        <v>59</v>
      </c>
      <c r="BJ1307" s="15">
        <f t="shared" si="1053"/>
        <v>3</v>
      </c>
      <c r="BK1307">
        <f t="shared" si="1061"/>
        <v>409</v>
      </c>
      <c r="BL1307">
        <f t="shared" si="1062"/>
        <v>406</v>
      </c>
      <c r="BM1307" s="15">
        <f>SUMIFS(BJ$2:BJ1307,K$2:K1307,"=Intermission")+SUMIFS(BJ$2:BJ1307,K$2:K1307,"=Timeout")</f>
        <v>72</v>
      </c>
      <c r="BN1307">
        <f t="shared" si="1063"/>
        <v>1152</v>
      </c>
      <c r="BO1307" s="19">
        <f t="shared" si="1064"/>
        <v>1823</v>
      </c>
      <c r="BP1307">
        <f t="shared" si="1065"/>
        <v>1818</v>
      </c>
      <c r="BQ1307" s="17">
        <f t="shared" si="1066"/>
        <v>1826</v>
      </c>
      <c r="BR1307" t="str">
        <f t="shared" si="1067"/>
        <v>event_team_player_1</v>
      </c>
      <c r="BS1307">
        <f>COUNTIFS(S$3:S1307,"="&amp;S1307,AI$3:AI1307,"="&amp;AI1307)</f>
        <v>1</v>
      </c>
      <c r="BT1307" t="str">
        <f>IFERROR(VLOOKUP(BB1307&amp;BU1307&amp;X1307,game_rosters!U:W,3,FALSE),"")</f>
        <v>P100159</v>
      </c>
      <c r="BU1307" t="str">
        <f t="shared" si="1068"/>
        <v>Velodrome</v>
      </c>
    </row>
    <row r="1308" spans="1:73" x14ac:dyDescent="0.2">
      <c r="A1308">
        <f t="shared" si="1054"/>
        <v>1</v>
      </c>
      <c r="J1308" s="44" t="str">
        <f t="shared" si="1069"/>
        <v/>
      </c>
      <c r="K1308" t="s">
        <v>7</v>
      </c>
      <c r="L1308" t="s">
        <v>182</v>
      </c>
      <c r="M1308" t="s">
        <v>445</v>
      </c>
      <c r="S1308">
        <v>703</v>
      </c>
      <c r="W1308" t="str">
        <f t="shared" si="1045"/>
        <v>a</v>
      </c>
      <c r="X1308">
        <v>87</v>
      </c>
      <c r="Y1308" t="e">
        <f>IF(X1308&lt;&gt;"",VLOOKUP(X1308,game_rosters!$C$43:$E$64,3,FALSE))</f>
        <v>#N/A</v>
      </c>
      <c r="Z1308" cm="1">
        <f t="array" ref="Z1308">IFERROR(IF(_xlfn._xlws.FILTER(game_rosters!$J:$J,(game_rosters!$G:$G=events!$AN1308)*(game_rosters!$J:$J=events!$X1308))&gt;0,1,""),"")</f>
        <v>1</v>
      </c>
      <c r="AA1308">
        <f t="shared" si="1003"/>
        <v>1703</v>
      </c>
      <c r="AB1308" t="str">
        <f t="shared" si="1004"/>
        <v/>
      </c>
      <c r="AC1308">
        <f t="shared" si="1042"/>
        <v>1703</v>
      </c>
      <c r="AD1308" s="6">
        <v>2</v>
      </c>
      <c r="AE1308" t="s">
        <v>938</v>
      </c>
      <c r="AF1308" t="s">
        <v>737</v>
      </c>
      <c r="AG1308" t="s">
        <v>756</v>
      </c>
      <c r="AH1308" t="s">
        <v>756</v>
      </c>
      <c r="AI1308" t="s">
        <v>367</v>
      </c>
      <c r="AJ1308" t="str">
        <f t="shared" ref="AJ1308:AK1308" si="1092">IF($J1308&lt;&gt;"",$J1308,IF($AC1308=$AC1307,AJ1307,""))</f>
        <v/>
      </c>
      <c r="AK1308" t="str">
        <f t="shared" si="1092"/>
        <v/>
      </c>
      <c r="AL1308" t="str">
        <f t="shared" si="1047"/>
        <v/>
      </c>
      <c r="AN1308" t="s">
        <v>862</v>
      </c>
      <c r="AO1308" t="str">
        <f t="shared" si="1048"/>
        <v>a</v>
      </c>
      <c r="AP1308" t="str">
        <f t="shared" si="1056"/>
        <v/>
      </c>
      <c r="AQ1308" t="str">
        <f t="shared" si="1057"/>
        <v/>
      </c>
      <c r="AR1308" t="str">
        <f t="shared" si="1058"/>
        <v>Away</v>
      </c>
      <c r="AS1308" t="str">
        <f t="shared" si="1059"/>
        <v>a</v>
      </c>
      <c r="AT1308" t="str">
        <f t="shared" si="1060"/>
        <v>Offensive</v>
      </c>
      <c r="BA1308" s="6">
        <f t="shared" si="1049"/>
        <v>303</v>
      </c>
      <c r="BB1308">
        <f t="shared" si="1050"/>
        <v>18981</v>
      </c>
      <c r="BC1308" t="str">
        <f t="shared" si="1051"/>
        <v>Nelson</v>
      </c>
      <c r="BD1308" t="str">
        <f t="shared" si="1052"/>
        <v>Velodrome</v>
      </c>
      <c r="BE1308" t="s">
        <v>7</v>
      </c>
      <c r="BF1308" t="s">
        <v>182</v>
      </c>
      <c r="BG1308" t="s">
        <v>445</v>
      </c>
      <c r="BI1308" cm="1">
        <f t="array" ref="BI1308">IFERROR(_xlfn._xlws.FILTER(shifts!A:A,(shifts!B:B=events!AD1308)*(shifts!AG:AG&gt;=events!BK1308)*(shifts!AH:AH&lt;=events!BL1308)),BI1307)</f>
        <v>59</v>
      </c>
      <c r="BJ1308" s="15">
        <f t="shared" si="1053"/>
        <v>0</v>
      </c>
      <c r="BK1308">
        <f t="shared" si="1061"/>
        <v>406</v>
      </c>
      <c r="BL1308">
        <f t="shared" si="1062"/>
        <v>406</v>
      </c>
      <c r="BM1308" s="15">
        <f>SUMIFS(BJ$2:BJ1308,K$2:K1308,"=Intermission")+SUMIFS(BJ$2:BJ1308,K$2:K1308,"=Timeout")</f>
        <v>72</v>
      </c>
      <c r="BN1308">
        <f t="shared" si="1063"/>
        <v>1152</v>
      </c>
      <c r="BO1308" s="19">
        <f t="shared" si="1064"/>
        <v>1826</v>
      </c>
      <c r="BP1308">
        <f t="shared" si="1065"/>
        <v>1821</v>
      </c>
      <c r="BQ1308" s="17">
        <f t="shared" si="1066"/>
        <v>1826</v>
      </c>
      <c r="BR1308" t="str">
        <f t="shared" si="1067"/>
        <v>event_team_player_1</v>
      </c>
      <c r="BS1308">
        <f>COUNTIFS(S$3:S1308,"="&amp;S1308,AI$3:AI1308,"="&amp;AI1308)</f>
        <v>1</v>
      </c>
      <c r="BT1308" t="str">
        <f>IFERROR(VLOOKUP(BB1308&amp;BU1308&amp;X1308,game_rosters!U:W,3,FALSE),"")</f>
        <v>P100159</v>
      </c>
      <c r="BU1308" t="str">
        <f t="shared" si="1068"/>
        <v>Velodrome</v>
      </c>
    </row>
    <row r="1309" spans="1:73" x14ac:dyDescent="0.2">
      <c r="A1309">
        <f t="shared" si="1054"/>
        <v>1</v>
      </c>
      <c r="J1309" s="44" t="str">
        <f t="shared" si="1069"/>
        <v/>
      </c>
      <c r="K1309" t="s">
        <v>7</v>
      </c>
      <c r="L1309" t="s">
        <v>182</v>
      </c>
      <c r="M1309" t="s">
        <v>445</v>
      </c>
      <c r="S1309">
        <v>703</v>
      </c>
      <c r="W1309" t="str">
        <f t="shared" si="1045"/>
        <v>a</v>
      </c>
      <c r="X1309">
        <v>49</v>
      </c>
      <c r="Y1309" t="e">
        <f>IF(X1309&lt;&gt;"",VLOOKUP(X1309,game_rosters!$C$43:$E$64,3,FALSE))</f>
        <v>#N/A</v>
      </c>
      <c r="Z1309" cm="1">
        <f t="array" ref="Z1309">IFERROR(IF(_xlfn._xlws.FILTER(game_rosters!$J:$J,(game_rosters!$G:$G=events!$AN1309)*(game_rosters!$J:$J=events!$X1309))&gt;0,1,""),"")</f>
        <v>1</v>
      </c>
      <c r="AA1309">
        <f t="shared" ref="AA1309:AA1372" si="1093">S1309+1000</f>
        <v>1703</v>
      </c>
      <c r="AB1309" t="str">
        <f t="shared" ref="AB1309:AB1372" si="1094">IF(T1309&lt;&gt;"",9000+T1309,"")</f>
        <v/>
      </c>
      <c r="AC1309">
        <f t="shared" si="1042"/>
        <v>1703</v>
      </c>
      <c r="AD1309" s="6">
        <v>2</v>
      </c>
      <c r="AE1309" t="s">
        <v>938</v>
      </c>
      <c r="AF1309" t="s">
        <v>737</v>
      </c>
      <c r="AG1309" t="s">
        <v>756</v>
      </c>
      <c r="AH1309" t="s">
        <v>756</v>
      </c>
      <c r="AI1309" t="s">
        <v>368</v>
      </c>
      <c r="AJ1309" t="str">
        <f t="shared" ref="AJ1309:AK1309" si="1095">IF($J1309&lt;&gt;"",$J1309,IF($AC1309=$AC1308,AJ1308,""))</f>
        <v/>
      </c>
      <c r="AK1309" t="str">
        <f t="shared" si="1095"/>
        <v/>
      </c>
      <c r="AL1309" t="str">
        <f t="shared" si="1047"/>
        <v/>
      </c>
      <c r="AN1309" t="s">
        <v>862</v>
      </c>
      <c r="AO1309" t="str">
        <f t="shared" si="1048"/>
        <v>a</v>
      </c>
      <c r="AP1309" t="str">
        <f t="shared" si="1056"/>
        <v/>
      </c>
      <c r="AQ1309" t="str">
        <f t="shared" si="1057"/>
        <v/>
      </c>
      <c r="AR1309" t="str">
        <f t="shared" si="1058"/>
        <v>Away</v>
      </c>
      <c r="AS1309" t="str">
        <f t="shared" si="1059"/>
        <v>a</v>
      </c>
      <c r="AT1309" t="str">
        <f t="shared" si="1060"/>
        <v>Defensive</v>
      </c>
      <c r="BA1309" s="6">
        <f t="shared" si="1049"/>
        <v>303</v>
      </c>
      <c r="BB1309">
        <f t="shared" si="1050"/>
        <v>18981</v>
      </c>
      <c r="BC1309" t="str">
        <f t="shared" si="1051"/>
        <v>Nelson</v>
      </c>
      <c r="BD1309" t="str">
        <f t="shared" si="1052"/>
        <v>Velodrome</v>
      </c>
      <c r="BE1309" t="s">
        <v>7</v>
      </c>
      <c r="BF1309" t="s">
        <v>182</v>
      </c>
      <c r="BG1309" t="s">
        <v>445</v>
      </c>
      <c r="BI1309" cm="1">
        <f t="array" ref="BI1309">IFERROR(_xlfn._xlws.FILTER(shifts!A:A,(shifts!B:B=events!AD1309)*(shifts!AG:AG&gt;=events!BK1309)*(shifts!AH:AH&lt;=events!BL1309)),BI1308)</f>
        <v>59</v>
      </c>
      <c r="BJ1309" s="15">
        <f t="shared" si="1053"/>
        <v>0</v>
      </c>
      <c r="BK1309">
        <f t="shared" si="1061"/>
        <v>406</v>
      </c>
      <c r="BL1309">
        <f t="shared" si="1062"/>
        <v>406</v>
      </c>
      <c r="BM1309" s="15">
        <f>SUMIFS(BJ$2:BJ1309,K$2:K1309,"=Intermission")+SUMIFS(BJ$2:BJ1309,K$2:K1309,"=Timeout")</f>
        <v>72</v>
      </c>
      <c r="BN1309">
        <f t="shared" si="1063"/>
        <v>1152</v>
      </c>
      <c r="BO1309" s="19">
        <f t="shared" si="1064"/>
        <v>1826</v>
      </c>
      <c r="BP1309">
        <f t="shared" si="1065"/>
        <v>1821</v>
      </c>
      <c r="BQ1309" s="17">
        <f t="shared" si="1066"/>
        <v>1826</v>
      </c>
      <c r="BR1309" t="str">
        <f t="shared" si="1067"/>
        <v>opp_team_player_1</v>
      </c>
      <c r="BS1309">
        <f>COUNTIFS(S$3:S1309,"="&amp;S1309,AI$3:AI1309,"="&amp;AI1309)</f>
        <v>1</v>
      </c>
      <c r="BT1309" t="str">
        <f>IFERROR(VLOOKUP(BB1309&amp;BU1309&amp;X1309,game_rosters!U:W,3,FALSE),"")</f>
        <v>P100161</v>
      </c>
      <c r="BU1309" t="s">
        <v>521</v>
      </c>
    </row>
    <row r="1310" spans="1:73" x14ac:dyDescent="0.2">
      <c r="A1310">
        <f t="shared" si="1054"/>
        <v>1</v>
      </c>
      <c r="J1310" s="44" t="str">
        <f t="shared" si="1069"/>
        <v>o</v>
      </c>
      <c r="K1310" t="s">
        <v>238</v>
      </c>
      <c r="L1310" t="s">
        <v>174</v>
      </c>
      <c r="M1310" t="s">
        <v>390</v>
      </c>
      <c r="S1310">
        <v>704</v>
      </c>
      <c r="W1310" t="str">
        <f t="shared" si="1045"/>
        <v>a</v>
      </c>
      <c r="X1310">
        <v>87</v>
      </c>
      <c r="Y1310" t="e">
        <f>IF(X1310&lt;&gt;"",VLOOKUP(X1310,game_rosters!$C$43:$E$64,3,FALSE))</f>
        <v>#N/A</v>
      </c>
      <c r="Z1310" cm="1">
        <f t="array" ref="Z1310">IFERROR(IF(_xlfn._xlws.FILTER(game_rosters!$J:$J,(game_rosters!$G:$G=events!$AN1310)*(game_rosters!$J:$J=events!$X1310))&gt;0,1,""),"")</f>
        <v>1</v>
      </c>
      <c r="AA1310">
        <f t="shared" si="1093"/>
        <v>1704</v>
      </c>
      <c r="AB1310" t="str">
        <f t="shared" si="1094"/>
        <v/>
      </c>
      <c r="AC1310">
        <f t="shared" si="1042"/>
        <v>1704</v>
      </c>
      <c r="AD1310" s="6">
        <v>2</v>
      </c>
      <c r="AE1310" t="s">
        <v>938</v>
      </c>
      <c r="AF1310" t="s">
        <v>737</v>
      </c>
      <c r="AG1310" t="s">
        <v>756</v>
      </c>
      <c r="AH1310" t="s">
        <v>756</v>
      </c>
      <c r="AI1310" t="s">
        <v>367</v>
      </c>
      <c r="AJ1310" t="str">
        <f t="shared" ref="AJ1310:AK1310" si="1096">IF($J1310&lt;&gt;"",$J1310,IF($AC1310=$AC1309,AJ1309,""))</f>
        <v>o</v>
      </c>
      <c r="AK1310" t="str">
        <f t="shared" si="1096"/>
        <v>o</v>
      </c>
      <c r="AL1310" t="str">
        <f t="shared" si="1047"/>
        <v>d</v>
      </c>
      <c r="AN1310" t="s">
        <v>862</v>
      </c>
      <c r="AO1310" t="str">
        <f t="shared" si="1048"/>
        <v>a</v>
      </c>
      <c r="AP1310" t="str">
        <f t="shared" si="1056"/>
        <v>d</v>
      </c>
      <c r="AQ1310" t="str">
        <f t="shared" si="1057"/>
        <v/>
      </c>
      <c r="AR1310" t="str">
        <f t="shared" si="1058"/>
        <v>Away</v>
      </c>
      <c r="AS1310" t="str">
        <f t="shared" si="1059"/>
        <v>a</v>
      </c>
      <c r="AT1310" t="str">
        <f t="shared" si="1060"/>
        <v>Offensive</v>
      </c>
      <c r="BA1310" s="6">
        <f t="shared" si="1049"/>
        <v>304</v>
      </c>
      <c r="BB1310">
        <f t="shared" si="1050"/>
        <v>18981</v>
      </c>
      <c r="BC1310" t="str">
        <f t="shared" si="1051"/>
        <v>Nelson</v>
      </c>
      <c r="BD1310" t="str">
        <f t="shared" si="1052"/>
        <v>Velodrome</v>
      </c>
      <c r="BE1310" t="s">
        <v>238</v>
      </c>
      <c r="BF1310" t="s">
        <v>174</v>
      </c>
      <c r="BG1310" t="s">
        <v>390</v>
      </c>
      <c r="BI1310" cm="1">
        <f t="array" ref="BI1310">IFERROR(_xlfn._xlws.FILTER(shifts!A:A,(shifts!B:B=events!AD1310)*(shifts!AG:AG&gt;=events!BK1310)*(shifts!AH:AH&lt;=events!BL1310)),BI1309)</f>
        <v>59</v>
      </c>
      <c r="BJ1310" s="15">
        <f t="shared" si="1053"/>
        <v>0</v>
      </c>
      <c r="BK1310">
        <f t="shared" si="1061"/>
        <v>406</v>
      </c>
      <c r="BL1310">
        <f t="shared" si="1062"/>
        <v>406</v>
      </c>
      <c r="BM1310" s="15">
        <f>SUMIFS(BJ$2:BJ1310,K$2:K1310,"=Intermission")+SUMIFS(BJ$2:BJ1310,K$2:K1310,"=Timeout")</f>
        <v>72</v>
      </c>
      <c r="BN1310">
        <f t="shared" si="1063"/>
        <v>1152</v>
      </c>
      <c r="BO1310" s="19">
        <f t="shared" si="1064"/>
        <v>1826</v>
      </c>
      <c r="BP1310">
        <f t="shared" si="1065"/>
        <v>1821</v>
      </c>
      <c r="BQ1310" s="17">
        <f t="shared" si="1066"/>
        <v>1826</v>
      </c>
      <c r="BR1310" t="str">
        <f t="shared" si="1067"/>
        <v>event_team_player_1</v>
      </c>
      <c r="BS1310">
        <f>COUNTIFS(S$3:S1310,"="&amp;S1310,AI$3:AI1310,"="&amp;AI1310)</f>
        <v>1</v>
      </c>
      <c r="BT1310" t="str">
        <f>IFERROR(VLOOKUP(BB1310&amp;BU1310&amp;X1310,game_rosters!U:W,3,FALSE),"")</f>
        <v>P100159</v>
      </c>
      <c r="BU1310" t="str">
        <f t="shared" si="1068"/>
        <v>Velodrome</v>
      </c>
    </row>
    <row r="1311" spans="1:73" x14ac:dyDescent="0.2">
      <c r="A1311">
        <f t="shared" si="1054"/>
        <v>1</v>
      </c>
      <c r="J1311" s="44" t="str">
        <f t="shared" si="1069"/>
        <v>o</v>
      </c>
      <c r="K1311" t="s">
        <v>238</v>
      </c>
      <c r="L1311" t="s">
        <v>174</v>
      </c>
      <c r="M1311" t="s">
        <v>390</v>
      </c>
      <c r="S1311">
        <v>704</v>
      </c>
      <c r="W1311" t="str">
        <f t="shared" si="1045"/>
        <v>a</v>
      </c>
      <c r="X1311">
        <v>49</v>
      </c>
      <c r="Y1311" t="e">
        <f>IF(X1311&lt;&gt;"",VLOOKUP(X1311,game_rosters!$C$43:$E$64,3,FALSE))</f>
        <v>#N/A</v>
      </c>
      <c r="Z1311" cm="1">
        <f t="array" ref="Z1311">IFERROR(IF(_xlfn._xlws.FILTER(game_rosters!$J:$J,(game_rosters!$G:$G=events!$AN1311)*(game_rosters!$J:$J=events!$X1311))&gt;0,1,""),"")</f>
        <v>1</v>
      </c>
      <c r="AA1311">
        <f t="shared" si="1093"/>
        <v>1704</v>
      </c>
      <c r="AB1311" t="str">
        <f t="shared" si="1094"/>
        <v/>
      </c>
      <c r="AC1311">
        <f t="shared" si="1042"/>
        <v>1704</v>
      </c>
      <c r="AD1311" s="6">
        <v>2</v>
      </c>
      <c r="AE1311" t="s">
        <v>938</v>
      </c>
      <c r="AF1311" t="s">
        <v>737</v>
      </c>
      <c r="AG1311" t="s">
        <v>756</v>
      </c>
      <c r="AH1311" t="s">
        <v>756</v>
      </c>
      <c r="AI1311" t="s">
        <v>368</v>
      </c>
      <c r="AJ1311" t="str">
        <f t="shared" ref="AJ1311:AK1311" si="1097">IF($J1311&lt;&gt;"",$J1311,IF($AC1311=$AC1310,AJ1310,""))</f>
        <v>o</v>
      </c>
      <c r="AK1311" t="str">
        <f t="shared" si="1097"/>
        <v>o</v>
      </c>
      <c r="AL1311" t="str">
        <f t="shared" si="1047"/>
        <v>d</v>
      </c>
      <c r="AN1311" t="s">
        <v>862</v>
      </c>
      <c r="AO1311" t="str">
        <f t="shared" si="1048"/>
        <v>a</v>
      </c>
      <c r="AP1311" t="str">
        <f t="shared" si="1056"/>
        <v>d</v>
      </c>
      <c r="AQ1311" t="str">
        <f t="shared" si="1057"/>
        <v/>
      </c>
      <c r="AR1311" t="str">
        <f t="shared" si="1058"/>
        <v>Away</v>
      </c>
      <c r="AS1311" t="str">
        <f t="shared" si="1059"/>
        <v>a</v>
      </c>
      <c r="AT1311" t="str">
        <f t="shared" si="1060"/>
        <v>Defensive</v>
      </c>
      <c r="BA1311" s="6">
        <f t="shared" si="1049"/>
        <v>305</v>
      </c>
      <c r="BB1311">
        <f t="shared" si="1050"/>
        <v>18981</v>
      </c>
      <c r="BC1311" t="str">
        <f t="shared" si="1051"/>
        <v>Nelson</v>
      </c>
      <c r="BD1311" t="str">
        <f t="shared" si="1052"/>
        <v>Velodrome</v>
      </c>
      <c r="BE1311" t="s">
        <v>238</v>
      </c>
      <c r="BF1311" t="s">
        <v>174</v>
      </c>
      <c r="BG1311" t="s">
        <v>390</v>
      </c>
      <c r="BI1311" cm="1">
        <f t="array" ref="BI1311">IFERROR(_xlfn._xlws.FILTER(shifts!A:A,(shifts!B:B=events!AD1311)*(shifts!AG:AG&gt;=events!BK1311)*(shifts!AH:AH&lt;=events!BL1311)),BI1310)</f>
        <v>59</v>
      </c>
      <c r="BJ1311" s="15">
        <f t="shared" si="1053"/>
        <v>0</v>
      </c>
      <c r="BK1311">
        <f t="shared" si="1061"/>
        <v>406</v>
      </c>
      <c r="BL1311">
        <f t="shared" si="1062"/>
        <v>406</v>
      </c>
      <c r="BM1311" s="15">
        <f>SUMIFS(BJ$2:BJ1311,K$2:K1311,"=Intermission")+SUMIFS(BJ$2:BJ1311,K$2:K1311,"=Timeout")</f>
        <v>72</v>
      </c>
      <c r="BN1311">
        <f t="shared" si="1063"/>
        <v>1152</v>
      </c>
      <c r="BO1311" s="19">
        <f t="shared" si="1064"/>
        <v>1826</v>
      </c>
      <c r="BP1311">
        <f t="shared" si="1065"/>
        <v>1821</v>
      </c>
      <c r="BQ1311" s="17">
        <f t="shared" si="1066"/>
        <v>1826</v>
      </c>
      <c r="BR1311" t="str">
        <f t="shared" si="1067"/>
        <v>opp_team_player_1</v>
      </c>
      <c r="BS1311">
        <f>COUNTIFS(S$3:S1311,"="&amp;S1311,AI$3:AI1311,"="&amp;AI1311)</f>
        <v>1</v>
      </c>
      <c r="BT1311" t="str">
        <f>IFERROR(VLOOKUP(BB1311&amp;BU1311&amp;X1311,game_rosters!U:W,3,FALSE),"")</f>
        <v>P100161</v>
      </c>
      <c r="BU1311" t="s">
        <v>521</v>
      </c>
    </row>
    <row r="1312" spans="1:73" x14ac:dyDescent="0.2">
      <c r="A1312">
        <f t="shared" si="1054"/>
        <v>1</v>
      </c>
      <c r="J1312" s="44" t="str">
        <f t="shared" si="1069"/>
        <v/>
      </c>
      <c r="K1312" t="s">
        <v>9</v>
      </c>
      <c r="L1312" t="s">
        <v>173</v>
      </c>
      <c r="M1312" t="s">
        <v>383</v>
      </c>
      <c r="S1312">
        <v>705</v>
      </c>
      <c r="W1312" t="str">
        <f t="shared" si="1045"/>
        <v>a</v>
      </c>
      <c r="X1312">
        <v>87</v>
      </c>
      <c r="Y1312" t="e">
        <f>IF(X1312&lt;&gt;"",VLOOKUP(X1312,game_rosters!$C$43:$E$64,3,FALSE))</f>
        <v>#N/A</v>
      </c>
      <c r="Z1312" cm="1">
        <f t="array" ref="Z1312">IFERROR(IF(_xlfn._xlws.FILTER(game_rosters!$J:$J,(game_rosters!$G:$G=events!$AN1312)*(game_rosters!$J:$J=events!$X1312))&gt;0,1,""),"")</f>
        <v>1</v>
      </c>
      <c r="AA1312">
        <f t="shared" si="1093"/>
        <v>1705</v>
      </c>
      <c r="AB1312" t="str">
        <f t="shared" si="1094"/>
        <v/>
      </c>
      <c r="AC1312">
        <f t="shared" si="1042"/>
        <v>1705</v>
      </c>
      <c r="AD1312" s="6">
        <v>2</v>
      </c>
      <c r="AE1312" t="s">
        <v>938</v>
      </c>
      <c r="AF1312" t="s">
        <v>737</v>
      </c>
      <c r="AG1312" t="s">
        <v>756</v>
      </c>
      <c r="AH1312" t="s">
        <v>756</v>
      </c>
      <c r="AI1312" t="s">
        <v>367</v>
      </c>
      <c r="AJ1312" t="str">
        <f t="shared" ref="AJ1312:AK1312" si="1098">IF($J1312&lt;&gt;"",$J1312,IF($AC1312=$AC1311,AJ1311,""))</f>
        <v/>
      </c>
      <c r="AK1312" t="str">
        <f t="shared" si="1098"/>
        <v/>
      </c>
      <c r="AL1312" t="str">
        <f t="shared" si="1047"/>
        <v/>
      </c>
      <c r="AN1312" t="s">
        <v>862</v>
      </c>
      <c r="AO1312" t="str">
        <f t="shared" si="1048"/>
        <v>a</v>
      </c>
      <c r="AP1312" t="str">
        <f t="shared" si="1056"/>
        <v/>
      </c>
      <c r="AQ1312" t="str">
        <f t="shared" si="1057"/>
        <v/>
      </c>
      <c r="AR1312" t="str">
        <f t="shared" si="1058"/>
        <v>Away</v>
      </c>
      <c r="AS1312" t="str">
        <f t="shared" si="1059"/>
        <v>a</v>
      </c>
      <c r="AT1312" t="str">
        <f t="shared" si="1060"/>
        <v>Offensive</v>
      </c>
      <c r="BA1312" s="6">
        <f t="shared" si="1049"/>
        <v>305</v>
      </c>
      <c r="BB1312">
        <f t="shared" si="1050"/>
        <v>18981</v>
      </c>
      <c r="BC1312" t="str">
        <f t="shared" si="1051"/>
        <v>Nelson</v>
      </c>
      <c r="BD1312" t="str">
        <f t="shared" si="1052"/>
        <v>Velodrome</v>
      </c>
      <c r="BE1312" t="s">
        <v>9</v>
      </c>
      <c r="BF1312" t="s">
        <v>173</v>
      </c>
      <c r="BG1312" t="s">
        <v>383</v>
      </c>
      <c r="BI1312" cm="1">
        <f t="array" ref="BI1312">IFERROR(_xlfn._xlws.FILTER(shifts!A:A,(shifts!B:B=events!AD1312)*(shifts!AG:AG&gt;=events!BK1312)*(shifts!AH:AH&lt;=events!BL1312)),BI1311)</f>
        <v>59</v>
      </c>
      <c r="BJ1312" s="15">
        <f t="shared" si="1053"/>
        <v>0</v>
      </c>
      <c r="BK1312">
        <f t="shared" si="1061"/>
        <v>406</v>
      </c>
      <c r="BL1312">
        <f t="shared" si="1062"/>
        <v>406</v>
      </c>
      <c r="BM1312" s="15">
        <f>SUMIFS(BJ$2:BJ1312,K$2:K1312,"=Intermission")+SUMIFS(BJ$2:BJ1312,K$2:K1312,"=Timeout")</f>
        <v>72</v>
      </c>
      <c r="BN1312">
        <f t="shared" si="1063"/>
        <v>1152</v>
      </c>
      <c r="BO1312" s="19">
        <f t="shared" si="1064"/>
        <v>1826</v>
      </c>
      <c r="BP1312">
        <f t="shared" si="1065"/>
        <v>1821</v>
      </c>
      <c r="BQ1312" s="17">
        <f t="shared" si="1066"/>
        <v>1826</v>
      </c>
      <c r="BR1312" t="str">
        <f t="shared" si="1067"/>
        <v>event_team_player_1</v>
      </c>
      <c r="BS1312">
        <f>COUNTIFS(S$3:S1312,"="&amp;S1312,AI$3:AI1312,"="&amp;AI1312)</f>
        <v>1</v>
      </c>
      <c r="BT1312" t="str">
        <f>IFERROR(VLOOKUP(BB1312&amp;BU1312&amp;X1312,game_rosters!U:W,3,FALSE),"")</f>
        <v>P100159</v>
      </c>
      <c r="BU1312" t="str">
        <f t="shared" si="1068"/>
        <v>Velodrome</v>
      </c>
    </row>
    <row r="1313" spans="1:73" x14ac:dyDescent="0.2">
      <c r="A1313">
        <f t="shared" si="1054"/>
        <v>1</v>
      </c>
      <c r="J1313" s="44" t="str">
        <f t="shared" si="1069"/>
        <v/>
      </c>
      <c r="K1313" t="s">
        <v>7</v>
      </c>
      <c r="L1313" t="s">
        <v>172</v>
      </c>
      <c r="M1313" t="s">
        <v>66</v>
      </c>
      <c r="S1313">
        <v>706</v>
      </c>
      <c r="W1313" t="str">
        <f t="shared" si="1045"/>
        <v>h</v>
      </c>
      <c r="X1313">
        <v>8</v>
      </c>
      <c r="Y1313" t="b">
        <f>IF(X1313&lt;&gt;"",VLOOKUP(X1313,game_rosters!$C$43:$E$64,3,FALSE))</f>
        <v>0</v>
      </c>
      <c r="Z1313" cm="1">
        <f t="array" ref="Z1313">IFERROR(IF(_xlfn._xlws.FILTER(game_rosters!$J:$J,(game_rosters!$G:$G=events!$AN1313)*(game_rosters!$J:$J=events!$X1313))&gt;0,1,""),"")</f>
        <v>1</v>
      </c>
      <c r="AA1313">
        <f t="shared" si="1093"/>
        <v>1706</v>
      </c>
      <c r="AB1313" t="str">
        <f t="shared" si="1094"/>
        <v/>
      </c>
      <c r="AC1313">
        <f t="shared" si="1042"/>
        <v>1706</v>
      </c>
      <c r="AD1313" s="6">
        <v>2</v>
      </c>
      <c r="AE1313" t="s">
        <v>938</v>
      </c>
      <c r="AF1313" t="s">
        <v>865</v>
      </c>
      <c r="AG1313" t="s">
        <v>756</v>
      </c>
      <c r="AH1313" t="s">
        <v>756</v>
      </c>
      <c r="AI1313" t="s">
        <v>367</v>
      </c>
      <c r="AJ1313" t="str">
        <f t="shared" ref="AJ1313:AK1313" si="1099">IF($J1313&lt;&gt;"",$J1313,IF($AC1313=$AC1312,AJ1312,""))</f>
        <v/>
      </c>
      <c r="AK1313" t="str">
        <f t="shared" si="1099"/>
        <v/>
      </c>
      <c r="AL1313" t="str">
        <f t="shared" si="1047"/>
        <v/>
      </c>
      <c r="AN1313" t="s">
        <v>861</v>
      </c>
      <c r="AO1313" t="str">
        <f t="shared" si="1048"/>
        <v>h</v>
      </c>
      <c r="AP1313" t="str">
        <f t="shared" si="1056"/>
        <v/>
      </c>
      <c r="AQ1313" t="str">
        <f t="shared" si="1057"/>
        <v/>
      </c>
      <c r="AR1313" t="str">
        <f t="shared" si="1058"/>
        <v>Home</v>
      </c>
      <c r="AS1313" t="str">
        <f t="shared" si="1059"/>
        <v>h</v>
      </c>
      <c r="AT1313" t="str">
        <f t="shared" si="1060"/>
        <v>Offensive</v>
      </c>
      <c r="BA1313" s="6">
        <f t="shared" si="1049"/>
        <v>305</v>
      </c>
      <c r="BB1313">
        <f t="shared" si="1050"/>
        <v>18981</v>
      </c>
      <c r="BC1313" t="str">
        <f t="shared" si="1051"/>
        <v>Nelson</v>
      </c>
      <c r="BD1313" t="str">
        <f t="shared" si="1052"/>
        <v>Velodrome</v>
      </c>
      <c r="BE1313" t="s">
        <v>7</v>
      </c>
      <c r="BF1313" t="s">
        <v>172</v>
      </c>
      <c r="BG1313" t="s">
        <v>66</v>
      </c>
      <c r="BI1313" cm="1">
        <f t="array" ref="BI1313">IFERROR(_xlfn._xlws.FILTER(shifts!A:A,(shifts!B:B=events!AD1313)*(shifts!AG:AG&gt;=events!BK1313)*(shifts!AH:AH&lt;=events!BL1313)),BI1312)</f>
        <v>60</v>
      </c>
      <c r="BJ1313" s="15">
        <f t="shared" si="1053"/>
        <v>0</v>
      </c>
      <c r="BK1313">
        <f t="shared" si="1061"/>
        <v>398</v>
      </c>
      <c r="BL1313">
        <f t="shared" si="1062"/>
        <v>398</v>
      </c>
      <c r="BM1313" s="15">
        <f>SUMIFS(BJ$2:BJ1313,K$2:K1313,"=Intermission")+SUMIFS(BJ$2:BJ1313,K$2:K1313,"=Timeout")</f>
        <v>72</v>
      </c>
      <c r="BN1313">
        <f t="shared" si="1063"/>
        <v>1152</v>
      </c>
      <c r="BO1313" s="19">
        <f t="shared" si="1064"/>
        <v>1834</v>
      </c>
      <c r="BP1313">
        <f t="shared" si="1065"/>
        <v>1829</v>
      </c>
      <c r="BQ1313" s="17">
        <f t="shared" si="1066"/>
        <v>1834</v>
      </c>
      <c r="BR1313" t="str">
        <f t="shared" si="1067"/>
        <v>event_team_player_1</v>
      </c>
      <c r="BS1313">
        <f>COUNTIFS(S$3:S1313,"="&amp;S1313,AI$3:AI1313,"="&amp;AI1313)</f>
        <v>1</v>
      </c>
      <c r="BT1313" t="str">
        <f>IFERROR(VLOOKUP(BB1313&amp;BU1313&amp;X1313,game_rosters!U:W,3,FALSE),"")</f>
        <v>P100074</v>
      </c>
      <c r="BU1313" t="str">
        <f t="shared" si="1068"/>
        <v>Nelson</v>
      </c>
    </row>
    <row r="1314" spans="1:73" x14ac:dyDescent="0.2">
      <c r="A1314">
        <f t="shared" si="1054"/>
        <v>1</v>
      </c>
      <c r="J1314" s="44" t="str">
        <f t="shared" si="1069"/>
        <v/>
      </c>
      <c r="K1314" t="s">
        <v>7</v>
      </c>
      <c r="L1314" t="s">
        <v>172</v>
      </c>
      <c r="M1314" t="s">
        <v>66</v>
      </c>
      <c r="S1314">
        <v>706</v>
      </c>
      <c r="W1314" t="str">
        <f t="shared" si="1045"/>
        <v>h</v>
      </c>
      <c r="X1314">
        <v>44</v>
      </c>
      <c r="Y1314" t="b">
        <f>IF(X1314&lt;&gt;"",VLOOKUP(X1314,game_rosters!$C$43:$E$64,3,FALSE))</f>
        <v>0</v>
      </c>
      <c r="Z1314" cm="1">
        <f t="array" ref="Z1314">IFERROR(IF(_xlfn._xlws.FILTER(game_rosters!$J:$J,(game_rosters!$G:$G=events!$AN1314)*(game_rosters!$J:$J=events!$X1314))&gt;0,1,""),"")</f>
        <v>1</v>
      </c>
      <c r="AA1314">
        <f t="shared" si="1093"/>
        <v>1706</v>
      </c>
      <c r="AB1314" t="str">
        <f t="shared" si="1094"/>
        <v/>
      </c>
      <c r="AC1314">
        <f t="shared" si="1042"/>
        <v>1706</v>
      </c>
      <c r="AD1314" s="6">
        <v>2</v>
      </c>
      <c r="AE1314" t="s">
        <v>938</v>
      </c>
      <c r="AF1314" t="s">
        <v>865</v>
      </c>
      <c r="AG1314" t="s">
        <v>756</v>
      </c>
      <c r="AH1314" t="s">
        <v>756</v>
      </c>
      <c r="AI1314" t="s">
        <v>367</v>
      </c>
      <c r="AJ1314" t="str">
        <f t="shared" ref="AJ1314:AK1314" si="1100">IF($J1314&lt;&gt;"",$J1314,IF($AC1314=$AC1313,AJ1313,""))</f>
        <v/>
      </c>
      <c r="AK1314" t="str">
        <f t="shared" si="1100"/>
        <v/>
      </c>
      <c r="AL1314" t="str">
        <f t="shared" si="1047"/>
        <v/>
      </c>
      <c r="AN1314" t="s">
        <v>861</v>
      </c>
      <c r="AO1314" t="str">
        <f t="shared" si="1048"/>
        <v>h</v>
      </c>
      <c r="AP1314" t="str">
        <f t="shared" si="1056"/>
        <v/>
      </c>
      <c r="AQ1314" t="str">
        <f t="shared" si="1057"/>
        <v/>
      </c>
      <c r="AR1314" t="str">
        <f t="shared" si="1058"/>
        <v>Home</v>
      </c>
      <c r="AS1314" t="str">
        <f t="shared" si="1059"/>
        <v>h</v>
      </c>
      <c r="AT1314" t="str">
        <f t="shared" si="1060"/>
        <v>Offensive</v>
      </c>
      <c r="BA1314" s="6">
        <f t="shared" si="1049"/>
        <v>305</v>
      </c>
      <c r="BB1314">
        <f t="shared" si="1050"/>
        <v>18981</v>
      </c>
      <c r="BC1314" t="str">
        <f t="shared" si="1051"/>
        <v>Nelson</v>
      </c>
      <c r="BD1314" t="str">
        <f t="shared" si="1052"/>
        <v>Velodrome</v>
      </c>
      <c r="BE1314" t="s">
        <v>7</v>
      </c>
      <c r="BF1314" t="s">
        <v>172</v>
      </c>
      <c r="BG1314" t="s">
        <v>66</v>
      </c>
      <c r="BI1314" cm="1">
        <f t="array" ref="BI1314">IFERROR(_xlfn._xlws.FILTER(shifts!A:A,(shifts!B:B=events!AD1314)*(shifts!AG:AG&gt;=events!BK1314)*(shifts!AH:AH&lt;=events!BL1314)),BI1313)</f>
        <v>60</v>
      </c>
      <c r="BJ1314" s="15">
        <f t="shared" si="1053"/>
        <v>0</v>
      </c>
      <c r="BK1314">
        <f t="shared" si="1061"/>
        <v>398</v>
      </c>
      <c r="BL1314">
        <f t="shared" si="1062"/>
        <v>398</v>
      </c>
      <c r="BM1314" s="15">
        <f>SUMIFS(BJ$2:BJ1314,K$2:K1314,"=Intermission")+SUMIFS(BJ$2:BJ1314,K$2:K1314,"=Timeout")</f>
        <v>72</v>
      </c>
      <c r="BN1314">
        <f t="shared" si="1063"/>
        <v>1152</v>
      </c>
      <c r="BO1314" s="19">
        <f t="shared" si="1064"/>
        <v>1834</v>
      </c>
      <c r="BP1314">
        <f t="shared" si="1065"/>
        <v>1829</v>
      </c>
      <c r="BQ1314" s="17">
        <f t="shared" si="1066"/>
        <v>1834</v>
      </c>
      <c r="BR1314" t="str">
        <f t="shared" si="1067"/>
        <v>event_team_player_2</v>
      </c>
      <c r="BS1314">
        <f>COUNTIFS(S$3:S1314,"="&amp;S1314,AI$3:AI1314,"="&amp;AI1314)</f>
        <v>2</v>
      </c>
      <c r="BT1314" t="str">
        <f>IFERROR(VLOOKUP(BB1314&amp;BU1314&amp;X1314,game_rosters!U:W,3,FALSE),"")</f>
        <v>P100079</v>
      </c>
      <c r="BU1314" t="str">
        <f t="shared" si="1068"/>
        <v>Nelson</v>
      </c>
    </row>
    <row r="1315" spans="1:73" x14ac:dyDescent="0.2">
      <c r="A1315">
        <f t="shared" si="1054"/>
        <v>1</v>
      </c>
      <c r="J1315" s="44" t="str">
        <f t="shared" si="1069"/>
        <v/>
      </c>
      <c r="K1315" t="s">
        <v>7</v>
      </c>
      <c r="L1315" t="s">
        <v>172</v>
      </c>
      <c r="M1315" t="s">
        <v>66</v>
      </c>
      <c r="S1315">
        <v>706</v>
      </c>
      <c r="W1315" t="str">
        <f t="shared" si="1045"/>
        <v>h</v>
      </c>
      <c r="X1315">
        <v>75</v>
      </c>
      <c r="Y1315" t="e">
        <f>IF(X1315&lt;&gt;"",VLOOKUP(X1315,game_rosters!$C$43:$E$64,3,FALSE))</f>
        <v>#N/A</v>
      </c>
      <c r="Z1315" t="str" cm="1">
        <f t="array" ref="Z1315">IFERROR(IF(_xlfn._xlws.FILTER(game_rosters!$J:$J,(game_rosters!$G:$G=events!$AN1315)*(game_rosters!$J:$J=events!$X1315))&gt;0,1,""),"")</f>
        <v/>
      </c>
      <c r="AA1315">
        <f t="shared" si="1093"/>
        <v>1706</v>
      </c>
      <c r="AB1315" t="str">
        <f t="shared" si="1094"/>
        <v/>
      </c>
      <c r="AC1315">
        <f t="shared" si="1042"/>
        <v>1706</v>
      </c>
      <c r="AD1315" s="6">
        <v>2</v>
      </c>
      <c r="AE1315" t="s">
        <v>938</v>
      </c>
      <c r="AF1315" t="s">
        <v>865</v>
      </c>
      <c r="AG1315" t="s">
        <v>756</v>
      </c>
      <c r="AH1315" t="s">
        <v>756</v>
      </c>
      <c r="AI1315" t="s">
        <v>368</v>
      </c>
      <c r="AJ1315" t="str">
        <f t="shared" ref="AJ1315:AK1315" si="1101">IF($J1315&lt;&gt;"",$J1315,IF($AC1315=$AC1314,AJ1314,""))</f>
        <v/>
      </c>
      <c r="AK1315" t="str">
        <f t="shared" si="1101"/>
        <v/>
      </c>
      <c r="AL1315" t="str">
        <f t="shared" si="1047"/>
        <v/>
      </c>
      <c r="AN1315" t="s">
        <v>861</v>
      </c>
      <c r="AO1315" t="str">
        <f t="shared" si="1048"/>
        <v>h</v>
      </c>
      <c r="AP1315" t="str">
        <f t="shared" si="1056"/>
        <v/>
      </c>
      <c r="AQ1315" t="str">
        <f t="shared" si="1057"/>
        <v/>
      </c>
      <c r="AR1315" t="str">
        <f t="shared" si="1058"/>
        <v>Home</v>
      </c>
      <c r="AS1315" t="str">
        <f t="shared" si="1059"/>
        <v>h</v>
      </c>
      <c r="AT1315" t="str">
        <f t="shared" si="1060"/>
        <v>Defensive</v>
      </c>
      <c r="BA1315" s="6">
        <f t="shared" si="1049"/>
        <v>305</v>
      </c>
      <c r="BB1315">
        <f t="shared" si="1050"/>
        <v>18981</v>
      </c>
      <c r="BC1315" t="str">
        <f t="shared" si="1051"/>
        <v>Nelson</v>
      </c>
      <c r="BD1315" t="str">
        <f t="shared" si="1052"/>
        <v>Velodrome</v>
      </c>
      <c r="BE1315" t="s">
        <v>7</v>
      </c>
      <c r="BF1315" t="s">
        <v>172</v>
      </c>
      <c r="BG1315" t="s">
        <v>66</v>
      </c>
      <c r="BI1315" cm="1">
        <f t="array" ref="BI1315">IFERROR(_xlfn._xlws.FILTER(shifts!A:A,(shifts!B:B=events!AD1315)*(shifts!AG:AG&gt;=events!BK1315)*(shifts!AH:AH&lt;=events!BL1315)),BI1314)</f>
        <v>60</v>
      </c>
      <c r="BJ1315" s="15">
        <f t="shared" si="1053"/>
        <v>0</v>
      </c>
      <c r="BK1315">
        <f t="shared" si="1061"/>
        <v>398</v>
      </c>
      <c r="BL1315">
        <f t="shared" si="1062"/>
        <v>398</v>
      </c>
      <c r="BM1315" s="15">
        <f>SUMIFS(BJ$2:BJ1315,K$2:K1315,"=Intermission")+SUMIFS(BJ$2:BJ1315,K$2:K1315,"=Timeout")</f>
        <v>72</v>
      </c>
      <c r="BN1315">
        <f t="shared" si="1063"/>
        <v>1152</v>
      </c>
      <c r="BO1315" s="19">
        <f t="shared" si="1064"/>
        <v>1834</v>
      </c>
      <c r="BP1315">
        <f t="shared" si="1065"/>
        <v>1829</v>
      </c>
      <c r="BQ1315" s="17">
        <f t="shared" si="1066"/>
        <v>1834</v>
      </c>
      <c r="BR1315" t="str">
        <f t="shared" si="1067"/>
        <v>opp_team_player_1</v>
      </c>
      <c r="BS1315">
        <f>COUNTIFS(S$3:S1315,"="&amp;S1315,AI$3:AI1315,"="&amp;AI1315)</f>
        <v>1</v>
      </c>
      <c r="BT1315" t="str">
        <f>IFERROR(VLOOKUP(BB1315&amp;BU1315&amp;X1315,game_rosters!U:W,3,FALSE),"")</f>
        <v>P100039</v>
      </c>
      <c r="BU1315" t="str">
        <f t="shared" si="1068"/>
        <v>Velodrome</v>
      </c>
    </row>
    <row r="1316" spans="1:73" x14ac:dyDescent="0.2">
      <c r="A1316">
        <f t="shared" si="1054"/>
        <v>1</v>
      </c>
      <c r="J1316" s="44" t="str">
        <f t="shared" si="1069"/>
        <v/>
      </c>
      <c r="K1316" t="s">
        <v>13</v>
      </c>
      <c r="L1316" t="s">
        <v>756</v>
      </c>
      <c r="M1316" t="s">
        <v>756</v>
      </c>
      <c r="S1316">
        <v>707</v>
      </c>
      <c r="W1316" t="str">
        <f t="shared" si="1045"/>
        <v>h</v>
      </c>
      <c r="X1316">
        <v>44</v>
      </c>
      <c r="Y1316" t="b">
        <f>IF(X1316&lt;&gt;"",VLOOKUP(X1316,game_rosters!$C$43:$E$64,3,FALSE))</f>
        <v>0</v>
      </c>
      <c r="Z1316" cm="1">
        <f t="array" ref="Z1316">IFERROR(IF(_xlfn._xlws.FILTER(game_rosters!$J:$J,(game_rosters!$G:$G=events!$AN1316)*(game_rosters!$J:$J=events!$X1316))&gt;0,1,""),"")</f>
        <v>1</v>
      </c>
      <c r="AA1316">
        <f t="shared" si="1093"/>
        <v>1707</v>
      </c>
      <c r="AB1316" t="str">
        <f t="shared" si="1094"/>
        <v/>
      </c>
      <c r="AC1316">
        <f t="shared" si="1042"/>
        <v>1707</v>
      </c>
      <c r="AD1316" s="6">
        <v>2</v>
      </c>
      <c r="AE1316" t="s">
        <v>938</v>
      </c>
      <c r="AF1316" t="s">
        <v>865</v>
      </c>
      <c r="AG1316" t="s">
        <v>938</v>
      </c>
      <c r="AH1316" t="s">
        <v>929</v>
      </c>
      <c r="AI1316" t="s">
        <v>367</v>
      </c>
      <c r="AJ1316" t="str">
        <f t="shared" ref="AJ1316:AK1316" si="1102">IF($J1316&lt;&gt;"",$J1316,IF($AC1316=$AC1315,AJ1315,""))</f>
        <v/>
      </c>
      <c r="AK1316" t="str">
        <f t="shared" si="1102"/>
        <v/>
      </c>
      <c r="AL1316" t="str">
        <f t="shared" si="1047"/>
        <v/>
      </c>
      <c r="AN1316" t="s">
        <v>861</v>
      </c>
      <c r="AO1316" t="str">
        <f t="shared" si="1048"/>
        <v>h</v>
      </c>
      <c r="AP1316" t="str">
        <f t="shared" si="1056"/>
        <v/>
      </c>
      <c r="AQ1316" t="str">
        <f t="shared" si="1057"/>
        <v/>
      </c>
      <c r="AR1316" t="str">
        <f t="shared" si="1058"/>
        <v>Home</v>
      </c>
      <c r="AS1316" t="str">
        <f t="shared" si="1059"/>
        <v>h</v>
      </c>
      <c r="AT1316" t="str">
        <f t="shared" si="1060"/>
        <v>Offensive</v>
      </c>
      <c r="BA1316" s="6">
        <f t="shared" si="1049"/>
        <v>305</v>
      </c>
      <c r="BB1316">
        <f t="shared" si="1050"/>
        <v>18981</v>
      </c>
      <c r="BC1316" t="str">
        <f t="shared" si="1051"/>
        <v>Nelson</v>
      </c>
      <c r="BD1316" t="str">
        <f t="shared" si="1052"/>
        <v>Velodrome</v>
      </c>
      <c r="BE1316" t="s">
        <v>13</v>
      </c>
      <c r="BF1316" t="s">
        <v>756</v>
      </c>
      <c r="BG1316" t="s">
        <v>756</v>
      </c>
      <c r="BI1316" cm="1">
        <f t="array" ref="BI1316">IFERROR(_xlfn._xlws.FILTER(shifts!A:A,(shifts!B:B=events!AD1316)*(shifts!AG:AG&gt;=events!BK1316)*(shifts!AH:AH&lt;=events!BL1316)),BI1315)</f>
        <v>60</v>
      </c>
      <c r="BJ1316" s="15">
        <f t="shared" si="1053"/>
        <v>4</v>
      </c>
      <c r="BK1316">
        <f t="shared" si="1061"/>
        <v>398</v>
      </c>
      <c r="BL1316">
        <f t="shared" si="1062"/>
        <v>394</v>
      </c>
      <c r="BM1316" s="15">
        <f>SUMIFS(BJ$2:BJ1316,K$2:K1316,"=Intermission")+SUMIFS(BJ$2:BJ1316,K$2:K1316,"=Timeout")</f>
        <v>72</v>
      </c>
      <c r="BN1316">
        <f t="shared" si="1063"/>
        <v>1152</v>
      </c>
      <c r="BO1316" s="19">
        <f t="shared" si="1064"/>
        <v>1834</v>
      </c>
      <c r="BP1316">
        <f t="shared" si="1065"/>
        <v>1829</v>
      </c>
      <c r="BQ1316" s="17">
        <f t="shared" si="1066"/>
        <v>1838</v>
      </c>
      <c r="BR1316" t="str">
        <f t="shared" si="1067"/>
        <v>event_team_player_1</v>
      </c>
      <c r="BS1316">
        <f>COUNTIFS(S$3:S1316,"="&amp;S1316,AI$3:AI1316,"="&amp;AI1316)</f>
        <v>1</v>
      </c>
      <c r="BT1316" t="str">
        <f>IFERROR(VLOOKUP(BB1316&amp;BU1316&amp;X1316,game_rosters!U:W,3,FALSE),"")</f>
        <v>P100079</v>
      </c>
      <c r="BU1316" t="str">
        <f t="shared" si="1068"/>
        <v>Nelson</v>
      </c>
    </row>
    <row r="1317" spans="1:73" x14ac:dyDescent="0.2">
      <c r="A1317">
        <f t="shared" si="1054"/>
        <v>1</v>
      </c>
      <c r="J1317" s="44" t="str">
        <f t="shared" si="1069"/>
        <v>d</v>
      </c>
      <c r="K1317" t="s">
        <v>238</v>
      </c>
      <c r="L1317" t="s">
        <v>184</v>
      </c>
      <c r="M1317" t="s">
        <v>89</v>
      </c>
      <c r="S1317">
        <v>708</v>
      </c>
      <c r="W1317" t="str">
        <f t="shared" si="1045"/>
        <v>h</v>
      </c>
      <c r="X1317">
        <v>44</v>
      </c>
      <c r="Y1317" t="b">
        <f>IF(X1317&lt;&gt;"",VLOOKUP(X1317,game_rosters!$C$43:$E$64,3,FALSE))</f>
        <v>0</v>
      </c>
      <c r="Z1317" cm="1">
        <f t="array" ref="Z1317">IFERROR(IF(_xlfn._xlws.FILTER(game_rosters!$J:$J,(game_rosters!$G:$G=events!$AN1317)*(game_rosters!$J:$J=events!$X1317))&gt;0,1,""),"")</f>
        <v>1</v>
      </c>
      <c r="AA1317">
        <f t="shared" si="1093"/>
        <v>1708</v>
      </c>
      <c r="AB1317" t="str">
        <f t="shared" si="1094"/>
        <v/>
      </c>
      <c r="AC1317">
        <f t="shared" si="1042"/>
        <v>1708</v>
      </c>
      <c r="AD1317" s="6">
        <v>2</v>
      </c>
      <c r="AE1317" t="s">
        <v>938</v>
      </c>
      <c r="AF1317" t="s">
        <v>929</v>
      </c>
      <c r="AG1317" t="s">
        <v>756</v>
      </c>
      <c r="AH1317" t="s">
        <v>756</v>
      </c>
      <c r="AI1317" t="s">
        <v>367</v>
      </c>
      <c r="AJ1317" t="str">
        <f t="shared" ref="AJ1317:AK1317" si="1103">IF($J1317&lt;&gt;"",$J1317,IF($AC1317=$AC1316,AJ1316,""))</f>
        <v>d</v>
      </c>
      <c r="AK1317" t="str">
        <f t="shared" si="1103"/>
        <v>d</v>
      </c>
      <c r="AL1317" t="str">
        <f t="shared" si="1047"/>
        <v>d</v>
      </c>
      <c r="AN1317" t="s">
        <v>861</v>
      </c>
      <c r="AO1317" t="str">
        <f t="shared" si="1048"/>
        <v>h</v>
      </c>
      <c r="AP1317" t="str">
        <f t="shared" si="1056"/>
        <v>d</v>
      </c>
      <c r="AQ1317" t="str">
        <f t="shared" si="1057"/>
        <v/>
      </c>
      <c r="AR1317" t="str">
        <f t="shared" si="1058"/>
        <v>Home</v>
      </c>
      <c r="AS1317" t="str">
        <f t="shared" si="1059"/>
        <v>h</v>
      </c>
      <c r="AT1317" t="str">
        <f t="shared" si="1060"/>
        <v>Offensive</v>
      </c>
      <c r="BA1317" s="6">
        <f t="shared" si="1049"/>
        <v>306</v>
      </c>
      <c r="BB1317">
        <f t="shared" si="1050"/>
        <v>18981</v>
      </c>
      <c r="BC1317" t="str">
        <f t="shared" si="1051"/>
        <v>Nelson</v>
      </c>
      <c r="BD1317" t="str">
        <f t="shared" si="1052"/>
        <v>Velodrome</v>
      </c>
      <c r="BE1317" t="s">
        <v>238</v>
      </c>
      <c r="BF1317" t="s">
        <v>184</v>
      </c>
      <c r="BG1317" t="s">
        <v>89</v>
      </c>
      <c r="BI1317" cm="1">
        <f t="array" ref="BI1317">IFERROR(_xlfn._xlws.FILTER(shifts!A:A,(shifts!B:B=events!AD1317)*(shifts!AG:AG&gt;=events!BK1317)*(shifts!AH:AH&lt;=events!BL1317)),BI1316)</f>
        <v>60</v>
      </c>
      <c r="BJ1317" s="15">
        <f t="shared" si="1053"/>
        <v>0</v>
      </c>
      <c r="BK1317">
        <f t="shared" si="1061"/>
        <v>394</v>
      </c>
      <c r="BL1317">
        <f t="shared" si="1062"/>
        <v>394</v>
      </c>
      <c r="BM1317" s="15">
        <f>SUMIFS(BJ$2:BJ1317,K$2:K1317,"=Intermission")+SUMIFS(BJ$2:BJ1317,K$2:K1317,"=Timeout")</f>
        <v>72</v>
      </c>
      <c r="BN1317">
        <f t="shared" si="1063"/>
        <v>1152</v>
      </c>
      <c r="BO1317" s="19">
        <f t="shared" si="1064"/>
        <v>1838</v>
      </c>
      <c r="BP1317">
        <f t="shared" si="1065"/>
        <v>1833</v>
      </c>
      <c r="BQ1317" s="17">
        <f t="shared" si="1066"/>
        <v>1838</v>
      </c>
      <c r="BR1317" t="str">
        <f t="shared" si="1067"/>
        <v>event_team_player_1</v>
      </c>
      <c r="BS1317">
        <f>COUNTIFS(S$3:S1317,"="&amp;S1317,AI$3:AI1317,"="&amp;AI1317)</f>
        <v>1</v>
      </c>
      <c r="BT1317" t="str">
        <f>IFERROR(VLOOKUP(BB1317&amp;BU1317&amp;X1317,game_rosters!U:W,3,FALSE),"")</f>
        <v>P100079</v>
      </c>
      <c r="BU1317" t="str">
        <f t="shared" si="1068"/>
        <v>Nelson</v>
      </c>
    </row>
    <row r="1318" spans="1:73" x14ac:dyDescent="0.2">
      <c r="A1318">
        <f t="shared" si="1054"/>
        <v>1</v>
      </c>
      <c r="J1318" s="44" t="str">
        <f t="shared" si="1069"/>
        <v>d</v>
      </c>
      <c r="K1318" t="s">
        <v>238</v>
      </c>
      <c r="L1318" t="s">
        <v>184</v>
      </c>
      <c r="M1318" t="s">
        <v>89</v>
      </c>
      <c r="S1318">
        <v>708</v>
      </c>
      <c r="W1318" t="str">
        <f t="shared" si="1045"/>
        <v>h</v>
      </c>
      <c r="X1318">
        <v>10</v>
      </c>
      <c r="Y1318" t="b">
        <f>IF(X1318&lt;&gt;"",VLOOKUP(X1318,game_rosters!$C$43:$E$64,3,FALSE))</f>
        <v>0</v>
      </c>
      <c r="Z1318" cm="1">
        <f t="array" ref="Z1318">IFERROR(IF(_xlfn._xlws.FILTER(game_rosters!$J:$J,(game_rosters!$G:$G=events!$AN1318)*(game_rosters!$J:$J=events!$X1318))&gt;0,1,""),"")</f>
        <v>1</v>
      </c>
      <c r="AA1318">
        <f t="shared" si="1093"/>
        <v>1708</v>
      </c>
      <c r="AB1318" t="str">
        <f t="shared" si="1094"/>
        <v/>
      </c>
      <c r="AC1318">
        <f t="shared" si="1042"/>
        <v>1708</v>
      </c>
      <c r="AD1318" s="6">
        <v>2</v>
      </c>
      <c r="AE1318" t="s">
        <v>938</v>
      </c>
      <c r="AF1318" t="s">
        <v>929</v>
      </c>
      <c r="AG1318" t="s">
        <v>756</v>
      </c>
      <c r="AH1318" t="s">
        <v>756</v>
      </c>
      <c r="AI1318" t="s">
        <v>367</v>
      </c>
      <c r="AJ1318" t="str">
        <f t="shared" ref="AJ1318:AK1318" si="1104">IF($J1318&lt;&gt;"",$J1318,IF($AC1318=$AC1317,AJ1317,""))</f>
        <v>d</v>
      </c>
      <c r="AK1318" t="str">
        <f t="shared" si="1104"/>
        <v>d</v>
      </c>
      <c r="AL1318" t="str">
        <f t="shared" si="1047"/>
        <v>d</v>
      </c>
      <c r="AN1318" t="s">
        <v>861</v>
      </c>
      <c r="AO1318" t="str">
        <f t="shared" si="1048"/>
        <v>h</v>
      </c>
      <c r="AP1318" t="str">
        <f t="shared" si="1056"/>
        <v>d</v>
      </c>
      <c r="AQ1318" t="str">
        <f t="shared" si="1057"/>
        <v/>
      </c>
      <c r="AR1318" t="str">
        <f t="shared" si="1058"/>
        <v>Home</v>
      </c>
      <c r="AS1318" t="str">
        <f t="shared" si="1059"/>
        <v>h</v>
      </c>
      <c r="AT1318" t="str">
        <f t="shared" si="1060"/>
        <v>Offensive</v>
      </c>
      <c r="BA1318" s="6">
        <f t="shared" si="1049"/>
        <v>307</v>
      </c>
      <c r="BB1318">
        <f t="shared" si="1050"/>
        <v>18981</v>
      </c>
      <c r="BC1318" t="str">
        <f t="shared" si="1051"/>
        <v>Nelson</v>
      </c>
      <c r="BD1318" t="str">
        <f t="shared" si="1052"/>
        <v>Velodrome</v>
      </c>
      <c r="BE1318" t="s">
        <v>238</v>
      </c>
      <c r="BF1318" t="s">
        <v>184</v>
      </c>
      <c r="BG1318" t="s">
        <v>89</v>
      </c>
      <c r="BI1318" cm="1">
        <f t="array" ref="BI1318">IFERROR(_xlfn._xlws.FILTER(shifts!A:A,(shifts!B:B=events!AD1318)*(shifts!AG:AG&gt;=events!BK1318)*(shifts!AH:AH&lt;=events!BL1318)),BI1317)</f>
        <v>60</v>
      </c>
      <c r="BJ1318" s="15">
        <f t="shared" si="1053"/>
        <v>0</v>
      </c>
      <c r="BK1318">
        <f t="shared" si="1061"/>
        <v>394</v>
      </c>
      <c r="BL1318">
        <f t="shared" si="1062"/>
        <v>394</v>
      </c>
      <c r="BM1318" s="15">
        <f>SUMIFS(BJ$2:BJ1318,K$2:K1318,"=Intermission")+SUMIFS(BJ$2:BJ1318,K$2:K1318,"=Timeout")</f>
        <v>72</v>
      </c>
      <c r="BN1318">
        <f t="shared" si="1063"/>
        <v>1152</v>
      </c>
      <c r="BO1318" s="19">
        <f t="shared" si="1064"/>
        <v>1838</v>
      </c>
      <c r="BP1318">
        <f t="shared" si="1065"/>
        <v>1833</v>
      </c>
      <c r="BQ1318" s="17">
        <f t="shared" si="1066"/>
        <v>1838</v>
      </c>
      <c r="BR1318" t="str">
        <f t="shared" si="1067"/>
        <v>event_team_player_2</v>
      </c>
      <c r="BS1318">
        <f>COUNTIFS(S$3:S1318,"="&amp;S1318,AI$3:AI1318,"="&amp;AI1318)</f>
        <v>2</v>
      </c>
      <c r="BT1318" t="str">
        <f>IFERROR(VLOOKUP(BB1318&amp;BU1318&amp;X1318,game_rosters!U:W,3,FALSE),"")</f>
        <v>P100078</v>
      </c>
      <c r="BU1318" t="str">
        <f t="shared" si="1068"/>
        <v>Nelson</v>
      </c>
    </row>
    <row r="1319" spans="1:73" x14ac:dyDescent="0.2">
      <c r="A1319">
        <f t="shared" si="1054"/>
        <v>1</v>
      </c>
      <c r="J1319" s="44" t="str">
        <f t="shared" si="1069"/>
        <v>d</v>
      </c>
      <c r="K1319" t="s">
        <v>238</v>
      </c>
      <c r="L1319" t="s">
        <v>184</v>
      </c>
      <c r="M1319" t="s">
        <v>89</v>
      </c>
      <c r="S1319">
        <v>708</v>
      </c>
      <c r="W1319" t="str">
        <f t="shared" si="1045"/>
        <v>h</v>
      </c>
      <c r="X1319">
        <v>93</v>
      </c>
      <c r="Y1319" t="e">
        <f>IF(X1319&lt;&gt;"",VLOOKUP(X1319,game_rosters!$C$43:$E$64,3,FALSE))</f>
        <v>#N/A</v>
      </c>
      <c r="Z1319" t="str" cm="1">
        <f t="array" ref="Z1319">IFERROR(IF(_xlfn._xlws.FILTER(game_rosters!$J:$J,(game_rosters!$G:$G=events!$AN1319)*(game_rosters!$J:$J=events!$X1319))&gt;0,1,""),"")</f>
        <v/>
      </c>
      <c r="AA1319">
        <f t="shared" si="1093"/>
        <v>1708</v>
      </c>
      <c r="AB1319" t="str">
        <f t="shared" si="1094"/>
        <v/>
      </c>
      <c r="AC1319">
        <f t="shared" si="1042"/>
        <v>1708</v>
      </c>
      <c r="AD1319" s="6">
        <v>2</v>
      </c>
      <c r="AE1319" t="s">
        <v>938</v>
      </c>
      <c r="AF1319" t="s">
        <v>929</v>
      </c>
      <c r="AG1319" t="s">
        <v>756</v>
      </c>
      <c r="AH1319" t="s">
        <v>756</v>
      </c>
      <c r="AI1319" t="s">
        <v>368</v>
      </c>
      <c r="AJ1319" t="str">
        <f t="shared" ref="AJ1319:AK1319" si="1105">IF($J1319&lt;&gt;"",$J1319,IF($AC1319=$AC1318,AJ1318,""))</f>
        <v>d</v>
      </c>
      <c r="AK1319" t="str">
        <f t="shared" si="1105"/>
        <v>d</v>
      </c>
      <c r="AL1319" t="str">
        <f t="shared" si="1047"/>
        <v>d</v>
      </c>
      <c r="AN1319" t="s">
        <v>861</v>
      </c>
      <c r="AO1319" t="str">
        <f t="shared" si="1048"/>
        <v>h</v>
      </c>
      <c r="AP1319" t="str">
        <f t="shared" si="1056"/>
        <v>d</v>
      </c>
      <c r="AQ1319" t="str">
        <f t="shared" si="1057"/>
        <v/>
      </c>
      <c r="AR1319" t="str">
        <f t="shared" si="1058"/>
        <v>Home</v>
      </c>
      <c r="AS1319" t="str">
        <f t="shared" si="1059"/>
        <v>h</v>
      </c>
      <c r="AT1319" t="str">
        <f t="shared" si="1060"/>
        <v>Defensive</v>
      </c>
      <c r="BA1319" s="6">
        <f t="shared" si="1049"/>
        <v>308</v>
      </c>
      <c r="BB1319">
        <f t="shared" si="1050"/>
        <v>18981</v>
      </c>
      <c r="BC1319" t="str">
        <f t="shared" si="1051"/>
        <v>Nelson</v>
      </c>
      <c r="BD1319" t="str">
        <f t="shared" si="1052"/>
        <v>Velodrome</v>
      </c>
      <c r="BE1319" t="s">
        <v>238</v>
      </c>
      <c r="BF1319" t="s">
        <v>184</v>
      </c>
      <c r="BG1319" t="s">
        <v>89</v>
      </c>
      <c r="BI1319" cm="1">
        <f t="array" ref="BI1319">IFERROR(_xlfn._xlws.FILTER(shifts!A:A,(shifts!B:B=events!AD1319)*(shifts!AG:AG&gt;=events!BK1319)*(shifts!AH:AH&lt;=events!BL1319)),BI1318)</f>
        <v>60</v>
      </c>
      <c r="BJ1319" s="15">
        <f t="shared" si="1053"/>
        <v>0</v>
      </c>
      <c r="BK1319">
        <f t="shared" si="1061"/>
        <v>394</v>
      </c>
      <c r="BL1319">
        <f t="shared" si="1062"/>
        <v>394</v>
      </c>
      <c r="BM1319" s="15">
        <f>SUMIFS(BJ$2:BJ1319,K$2:K1319,"=Intermission")+SUMIFS(BJ$2:BJ1319,K$2:K1319,"=Timeout")</f>
        <v>72</v>
      </c>
      <c r="BN1319">
        <f t="shared" si="1063"/>
        <v>1152</v>
      </c>
      <c r="BO1319" s="19">
        <f t="shared" si="1064"/>
        <v>1838</v>
      </c>
      <c r="BP1319">
        <f t="shared" si="1065"/>
        <v>1833</v>
      </c>
      <c r="BQ1319" s="17">
        <f t="shared" si="1066"/>
        <v>1838</v>
      </c>
      <c r="BR1319" t="str">
        <f t="shared" si="1067"/>
        <v>opp_team_player_1</v>
      </c>
      <c r="BS1319">
        <f>COUNTIFS(S$3:S1319,"="&amp;S1319,AI$3:AI1319,"="&amp;AI1319)</f>
        <v>1</v>
      </c>
      <c r="BT1319" t="str">
        <f>IFERROR(VLOOKUP(BB1319&amp;BU1319&amp;X1319,game_rosters!U:W,3,FALSE),"")</f>
        <v>P100093</v>
      </c>
      <c r="BU1319" t="str">
        <f t="shared" si="1068"/>
        <v>Velodrome</v>
      </c>
    </row>
    <row r="1320" spans="1:73" x14ac:dyDescent="0.2">
      <c r="A1320">
        <f t="shared" si="1054"/>
        <v>1</v>
      </c>
      <c r="J1320" s="44" t="str">
        <f t="shared" si="1069"/>
        <v/>
      </c>
      <c r="K1320" t="s">
        <v>7</v>
      </c>
      <c r="L1320" t="s">
        <v>192</v>
      </c>
      <c r="M1320" t="s">
        <v>65</v>
      </c>
      <c r="S1320">
        <v>709</v>
      </c>
      <c r="W1320" t="str">
        <f t="shared" si="1045"/>
        <v>h</v>
      </c>
      <c r="X1320">
        <v>44</v>
      </c>
      <c r="Y1320" t="b">
        <f>IF(X1320&lt;&gt;"",VLOOKUP(X1320,game_rosters!$C$43:$E$64,3,FALSE))</f>
        <v>0</v>
      </c>
      <c r="Z1320" cm="1">
        <f t="array" ref="Z1320">IFERROR(IF(_xlfn._xlws.FILTER(game_rosters!$J:$J,(game_rosters!$G:$G=events!$AN1320)*(game_rosters!$J:$J=events!$X1320))&gt;0,1,""),"")</f>
        <v>1</v>
      </c>
      <c r="AA1320">
        <f t="shared" si="1093"/>
        <v>1709</v>
      </c>
      <c r="AB1320" t="str">
        <f t="shared" si="1094"/>
        <v/>
      </c>
      <c r="AC1320">
        <f t="shared" si="1042"/>
        <v>1709</v>
      </c>
      <c r="AD1320" s="6">
        <v>2</v>
      </c>
      <c r="AE1320" t="s">
        <v>938</v>
      </c>
      <c r="AF1320" t="s">
        <v>929</v>
      </c>
      <c r="AG1320" t="s">
        <v>756</v>
      </c>
      <c r="AH1320" t="s">
        <v>756</v>
      </c>
      <c r="AI1320" t="s">
        <v>367</v>
      </c>
      <c r="AJ1320" t="str">
        <f t="shared" ref="AJ1320:AK1320" si="1106">IF($J1320&lt;&gt;"",$J1320,IF($AC1320=$AC1319,AJ1319,""))</f>
        <v/>
      </c>
      <c r="AK1320" t="str">
        <f t="shared" si="1106"/>
        <v/>
      </c>
      <c r="AL1320" t="str">
        <f t="shared" si="1047"/>
        <v/>
      </c>
      <c r="AN1320" t="s">
        <v>861</v>
      </c>
      <c r="AO1320" t="str">
        <f t="shared" si="1048"/>
        <v>h</v>
      </c>
      <c r="AP1320" t="str">
        <f t="shared" si="1056"/>
        <v/>
      </c>
      <c r="AQ1320" t="str">
        <f t="shared" si="1057"/>
        <v/>
      </c>
      <c r="AR1320" t="str">
        <f t="shared" si="1058"/>
        <v>Home</v>
      </c>
      <c r="AS1320" t="str">
        <f t="shared" si="1059"/>
        <v>h</v>
      </c>
      <c r="AT1320" t="str">
        <f t="shared" si="1060"/>
        <v>Offensive</v>
      </c>
      <c r="BA1320" s="6">
        <f t="shared" si="1049"/>
        <v>308</v>
      </c>
      <c r="BB1320">
        <f t="shared" si="1050"/>
        <v>18981</v>
      </c>
      <c r="BC1320" t="str">
        <f t="shared" si="1051"/>
        <v>Nelson</v>
      </c>
      <c r="BD1320" t="str">
        <f t="shared" si="1052"/>
        <v>Velodrome</v>
      </c>
      <c r="BE1320" t="s">
        <v>7</v>
      </c>
      <c r="BF1320" t="s">
        <v>192</v>
      </c>
      <c r="BG1320" t="s">
        <v>65</v>
      </c>
      <c r="BI1320" cm="1">
        <f t="array" ref="BI1320">IFERROR(_xlfn._xlws.FILTER(shifts!A:A,(shifts!B:B=events!AD1320)*(shifts!AG:AG&gt;=events!BK1320)*(shifts!AH:AH&lt;=events!BL1320)),BI1319)</f>
        <v>60</v>
      </c>
      <c r="BJ1320" s="15">
        <f t="shared" si="1053"/>
        <v>0</v>
      </c>
      <c r="BK1320">
        <f t="shared" si="1061"/>
        <v>394</v>
      </c>
      <c r="BL1320">
        <f t="shared" si="1062"/>
        <v>394</v>
      </c>
      <c r="BM1320" s="15">
        <f>SUMIFS(BJ$2:BJ1320,K$2:K1320,"=Intermission")+SUMIFS(BJ$2:BJ1320,K$2:K1320,"=Timeout")</f>
        <v>72</v>
      </c>
      <c r="BN1320">
        <f t="shared" si="1063"/>
        <v>1152</v>
      </c>
      <c r="BO1320" s="19">
        <f t="shared" si="1064"/>
        <v>1838</v>
      </c>
      <c r="BP1320">
        <f t="shared" si="1065"/>
        <v>1833</v>
      </c>
      <c r="BQ1320" s="17">
        <f t="shared" si="1066"/>
        <v>1838</v>
      </c>
      <c r="BR1320" t="str">
        <f t="shared" si="1067"/>
        <v>event_team_player_1</v>
      </c>
      <c r="BS1320">
        <f>COUNTIFS(S$3:S1320,"="&amp;S1320,AI$3:AI1320,"="&amp;AI1320)</f>
        <v>1</v>
      </c>
      <c r="BT1320" t="str">
        <f>IFERROR(VLOOKUP(BB1320&amp;BU1320&amp;X1320,game_rosters!U:W,3,FALSE),"")</f>
        <v>P100079</v>
      </c>
      <c r="BU1320" t="str">
        <f t="shared" si="1068"/>
        <v>Nelson</v>
      </c>
    </row>
    <row r="1321" spans="1:73" x14ac:dyDescent="0.2">
      <c r="A1321">
        <f t="shared" si="1054"/>
        <v>1</v>
      </c>
      <c r="J1321" s="44" t="str">
        <f t="shared" si="1069"/>
        <v/>
      </c>
      <c r="K1321" t="s">
        <v>7</v>
      </c>
      <c r="L1321" t="s">
        <v>192</v>
      </c>
      <c r="M1321" t="s">
        <v>65</v>
      </c>
      <c r="S1321">
        <v>709</v>
      </c>
      <c r="W1321" t="str">
        <f t="shared" si="1045"/>
        <v>h</v>
      </c>
      <c r="X1321">
        <v>10</v>
      </c>
      <c r="Y1321" t="b">
        <f>IF(X1321&lt;&gt;"",VLOOKUP(X1321,game_rosters!$C$43:$E$64,3,FALSE))</f>
        <v>0</v>
      </c>
      <c r="Z1321" cm="1">
        <f t="array" ref="Z1321">IFERROR(IF(_xlfn._xlws.FILTER(game_rosters!$J:$J,(game_rosters!$G:$G=events!$AN1321)*(game_rosters!$J:$J=events!$X1321))&gt;0,1,""),"")</f>
        <v>1</v>
      </c>
      <c r="AA1321">
        <f t="shared" si="1093"/>
        <v>1709</v>
      </c>
      <c r="AB1321" t="str">
        <f t="shared" si="1094"/>
        <v/>
      </c>
      <c r="AC1321">
        <f t="shared" si="1042"/>
        <v>1709</v>
      </c>
      <c r="AD1321" s="6">
        <v>2</v>
      </c>
      <c r="AE1321" t="s">
        <v>938</v>
      </c>
      <c r="AF1321" t="s">
        <v>929</v>
      </c>
      <c r="AG1321" t="s">
        <v>756</v>
      </c>
      <c r="AH1321" t="s">
        <v>756</v>
      </c>
      <c r="AI1321" t="s">
        <v>367</v>
      </c>
      <c r="AJ1321" t="str">
        <f t="shared" ref="AJ1321:AK1321" si="1107">IF($J1321&lt;&gt;"",$J1321,IF($AC1321=$AC1320,AJ1320,""))</f>
        <v/>
      </c>
      <c r="AK1321" t="str">
        <f t="shared" si="1107"/>
        <v/>
      </c>
      <c r="AL1321" t="str">
        <f t="shared" si="1047"/>
        <v/>
      </c>
      <c r="AN1321" t="s">
        <v>861</v>
      </c>
      <c r="AO1321" t="str">
        <f t="shared" si="1048"/>
        <v>h</v>
      </c>
      <c r="AP1321" t="str">
        <f t="shared" si="1056"/>
        <v/>
      </c>
      <c r="AQ1321" t="str">
        <f t="shared" si="1057"/>
        <v/>
      </c>
      <c r="AR1321" t="str">
        <f t="shared" si="1058"/>
        <v>Home</v>
      </c>
      <c r="AS1321" t="str">
        <f t="shared" si="1059"/>
        <v>h</v>
      </c>
      <c r="AT1321" t="str">
        <f t="shared" si="1060"/>
        <v>Offensive</v>
      </c>
      <c r="BA1321" s="6">
        <f t="shared" si="1049"/>
        <v>308</v>
      </c>
      <c r="BB1321">
        <f t="shared" si="1050"/>
        <v>18981</v>
      </c>
      <c r="BC1321" t="str">
        <f t="shared" si="1051"/>
        <v>Nelson</v>
      </c>
      <c r="BD1321" t="str">
        <f t="shared" si="1052"/>
        <v>Velodrome</v>
      </c>
      <c r="BE1321" t="s">
        <v>7</v>
      </c>
      <c r="BF1321" t="s">
        <v>192</v>
      </c>
      <c r="BG1321" t="s">
        <v>65</v>
      </c>
      <c r="BI1321" cm="1">
        <f t="array" ref="BI1321">IFERROR(_xlfn._xlws.FILTER(shifts!A:A,(shifts!B:B=events!AD1321)*(shifts!AG:AG&gt;=events!BK1321)*(shifts!AH:AH&lt;=events!BL1321)),BI1320)</f>
        <v>60</v>
      </c>
      <c r="BJ1321" s="15">
        <f t="shared" si="1053"/>
        <v>0</v>
      </c>
      <c r="BK1321">
        <f t="shared" si="1061"/>
        <v>394</v>
      </c>
      <c r="BL1321">
        <f t="shared" si="1062"/>
        <v>394</v>
      </c>
      <c r="BM1321" s="15">
        <f>SUMIFS(BJ$2:BJ1321,K$2:K1321,"=Intermission")+SUMIFS(BJ$2:BJ1321,K$2:K1321,"=Timeout")</f>
        <v>72</v>
      </c>
      <c r="BN1321">
        <f t="shared" si="1063"/>
        <v>1152</v>
      </c>
      <c r="BO1321" s="19">
        <f t="shared" si="1064"/>
        <v>1838</v>
      </c>
      <c r="BP1321">
        <f t="shared" si="1065"/>
        <v>1833</v>
      </c>
      <c r="BQ1321" s="17">
        <f t="shared" si="1066"/>
        <v>1838</v>
      </c>
      <c r="BR1321" t="str">
        <f t="shared" si="1067"/>
        <v>event_team_player_2</v>
      </c>
      <c r="BS1321">
        <f>COUNTIFS(S$3:S1321,"="&amp;S1321,AI$3:AI1321,"="&amp;AI1321)</f>
        <v>2</v>
      </c>
      <c r="BT1321" t="str">
        <f>IFERROR(VLOOKUP(BB1321&amp;BU1321&amp;X1321,game_rosters!U:W,3,FALSE),"")</f>
        <v>P100078</v>
      </c>
      <c r="BU1321" t="str">
        <f t="shared" si="1068"/>
        <v>Nelson</v>
      </c>
    </row>
    <row r="1322" spans="1:73" x14ac:dyDescent="0.2">
      <c r="A1322">
        <f t="shared" si="1054"/>
        <v>1</v>
      </c>
      <c r="J1322" s="44" t="str">
        <f t="shared" si="1069"/>
        <v/>
      </c>
      <c r="K1322" t="s">
        <v>7</v>
      </c>
      <c r="L1322" t="s">
        <v>192</v>
      </c>
      <c r="M1322" t="s">
        <v>65</v>
      </c>
      <c r="S1322">
        <v>709</v>
      </c>
      <c r="W1322" t="str">
        <f t="shared" si="1045"/>
        <v>h</v>
      </c>
      <c r="X1322">
        <v>93</v>
      </c>
      <c r="Y1322" t="e">
        <f>IF(X1322&lt;&gt;"",VLOOKUP(X1322,game_rosters!$C$43:$E$64,3,FALSE))</f>
        <v>#N/A</v>
      </c>
      <c r="Z1322" t="str" cm="1">
        <f t="array" ref="Z1322">IFERROR(IF(_xlfn._xlws.FILTER(game_rosters!$J:$J,(game_rosters!$G:$G=events!$AN1322)*(game_rosters!$J:$J=events!$X1322))&gt;0,1,""),"")</f>
        <v/>
      </c>
      <c r="AA1322">
        <f t="shared" si="1093"/>
        <v>1709</v>
      </c>
      <c r="AB1322" t="str">
        <f t="shared" si="1094"/>
        <v/>
      </c>
      <c r="AC1322">
        <f t="shared" si="1042"/>
        <v>1709</v>
      </c>
      <c r="AD1322" s="6">
        <v>2</v>
      </c>
      <c r="AE1322" t="s">
        <v>938</v>
      </c>
      <c r="AF1322" t="s">
        <v>929</v>
      </c>
      <c r="AG1322" t="s">
        <v>756</v>
      </c>
      <c r="AH1322" t="s">
        <v>756</v>
      </c>
      <c r="AI1322" t="s">
        <v>368</v>
      </c>
      <c r="AJ1322" t="str">
        <f t="shared" ref="AJ1322:AK1322" si="1108">IF($J1322&lt;&gt;"",$J1322,IF($AC1322=$AC1321,AJ1321,""))</f>
        <v/>
      </c>
      <c r="AK1322" t="str">
        <f t="shared" si="1108"/>
        <v/>
      </c>
      <c r="AL1322" t="str">
        <f t="shared" si="1047"/>
        <v/>
      </c>
      <c r="AN1322" t="s">
        <v>861</v>
      </c>
      <c r="AO1322" t="str">
        <f t="shared" si="1048"/>
        <v>h</v>
      </c>
      <c r="AP1322" t="str">
        <f t="shared" si="1056"/>
        <v/>
      </c>
      <c r="AQ1322" t="str">
        <f t="shared" si="1057"/>
        <v/>
      </c>
      <c r="AR1322" t="str">
        <f t="shared" si="1058"/>
        <v>Home</v>
      </c>
      <c r="AS1322" t="str">
        <f t="shared" si="1059"/>
        <v>h</v>
      </c>
      <c r="AT1322" t="str">
        <f t="shared" si="1060"/>
        <v>Defensive</v>
      </c>
      <c r="BA1322" s="6">
        <f t="shared" si="1049"/>
        <v>308</v>
      </c>
      <c r="BB1322">
        <f t="shared" si="1050"/>
        <v>18981</v>
      </c>
      <c r="BC1322" t="str">
        <f t="shared" si="1051"/>
        <v>Nelson</v>
      </c>
      <c r="BD1322" t="str">
        <f t="shared" si="1052"/>
        <v>Velodrome</v>
      </c>
      <c r="BE1322" t="s">
        <v>7</v>
      </c>
      <c r="BF1322" t="s">
        <v>192</v>
      </c>
      <c r="BG1322" t="s">
        <v>65</v>
      </c>
      <c r="BI1322" cm="1">
        <f t="array" ref="BI1322">IFERROR(_xlfn._xlws.FILTER(shifts!A:A,(shifts!B:B=events!AD1322)*(shifts!AG:AG&gt;=events!BK1322)*(shifts!AH:AH&lt;=events!BL1322)),BI1321)</f>
        <v>60</v>
      </c>
      <c r="BJ1322" s="15">
        <f t="shared" si="1053"/>
        <v>0</v>
      </c>
      <c r="BK1322">
        <f t="shared" si="1061"/>
        <v>394</v>
      </c>
      <c r="BL1322">
        <f t="shared" si="1062"/>
        <v>394</v>
      </c>
      <c r="BM1322" s="15">
        <f>SUMIFS(BJ$2:BJ1322,K$2:K1322,"=Intermission")+SUMIFS(BJ$2:BJ1322,K$2:K1322,"=Timeout")</f>
        <v>72</v>
      </c>
      <c r="BN1322">
        <f t="shared" si="1063"/>
        <v>1152</v>
      </c>
      <c r="BO1322" s="19">
        <f t="shared" si="1064"/>
        <v>1838</v>
      </c>
      <c r="BP1322">
        <f t="shared" si="1065"/>
        <v>1833</v>
      </c>
      <c r="BQ1322" s="17">
        <f t="shared" si="1066"/>
        <v>1838</v>
      </c>
      <c r="BR1322" t="str">
        <f t="shared" si="1067"/>
        <v>opp_team_player_1</v>
      </c>
      <c r="BS1322">
        <f>COUNTIFS(S$3:S1322,"="&amp;S1322,AI$3:AI1322,"="&amp;AI1322)</f>
        <v>1</v>
      </c>
      <c r="BT1322" t="str">
        <f>IFERROR(VLOOKUP(BB1322&amp;BU1322&amp;X1322,game_rosters!U:W,3,FALSE),"")</f>
        <v>P100093</v>
      </c>
      <c r="BU1322" t="str">
        <f t="shared" si="1068"/>
        <v>Velodrome</v>
      </c>
    </row>
    <row r="1323" spans="1:73" x14ac:dyDescent="0.2">
      <c r="A1323">
        <f t="shared" si="1054"/>
        <v>1</v>
      </c>
      <c r="J1323" s="44" t="str">
        <f t="shared" si="1069"/>
        <v>o</v>
      </c>
      <c r="K1323" t="s">
        <v>238</v>
      </c>
      <c r="L1323" t="s">
        <v>174</v>
      </c>
      <c r="M1323" t="s">
        <v>390</v>
      </c>
      <c r="S1323">
        <v>710</v>
      </c>
      <c r="W1323" t="str">
        <f t="shared" si="1045"/>
        <v>h</v>
      </c>
      <c r="X1323">
        <v>44</v>
      </c>
      <c r="Y1323" t="b">
        <f>IF(X1323&lt;&gt;"",VLOOKUP(X1323,game_rosters!$C$43:$E$64,3,FALSE))</f>
        <v>0</v>
      </c>
      <c r="Z1323" cm="1">
        <f t="array" ref="Z1323">IFERROR(IF(_xlfn._xlws.FILTER(game_rosters!$J:$J,(game_rosters!$G:$G=events!$AN1323)*(game_rosters!$J:$J=events!$X1323))&gt;0,1,""),"")</f>
        <v>1</v>
      </c>
      <c r="AA1323">
        <f t="shared" si="1093"/>
        <v>1710</v>
      </c>
      <c r="AB1323" t="str">
        <f t="shared" si="1094"/>
        <v/>
      </c>
      <c r="AC1323">
        <f t="shared" si="1042"/>
        <v>1710</v>
      </c>
      <c r="AD1323" s="6">
        <v>2</v>
      </c>
      <c r="AE1323" t="s">
        <v>938</v>
      </c>
      <c r="AF1323" t="s">
        <v>905</v>
      </c>
      <c r="AG1323" t="s">
        <v>756</v>
      </c>
      <c r="AH1323" t="s">
        <v>756</v>
      </c>
      <c r="AI1323" t="s">
        <v>367</v>
      </c>
      <c r="AJ1323" t="str">
        <f t="shared" ref="AJ1323:AK1323" si="1109">IF($J1323&lt;&gt;"",$J1323,IF($AC1323=$AC1322,AJ1322,""))</f>
        <v>o</v>
      </c>
      <c r="AK1323" t="str">
        <f t="shared" si="1109"/>
        <v>o</v>
      </c>
      <c r="AL1323" t="str">
        <f t="shared" si="1047"/>
        <v>o</v>
      </c>
      <c r="AN1323" t="s">
        <v>861</v>
      </c>
      <c r="AO1323" t="str">
        <f t="shared" si="1048"/>
        <v>h</v>
      </c>
      <c r="AP1323" t="str">
        <f t="shared" si="1056"/>
        <v>o</v>
      </c>
      <c r="AQ1323" t="str">
        <f t="shared" si="1057"/>
        <v/>
      </c>
      <c r="AR1323" t="str">
        <f t="shared" si="1058"/>
        <v>Home</v>
      </c>
      <c r="AS1323" t="str">
        <f t="shared" si="1059"/>
        <v>h</v>
      </c>
      <c r="AT1323" t="str">
        <f t="shared" si="1060"/>
        <v>Offensive</v>
      </c>
      <c r="BA1323" s="6">
        <f t="shared" si="1049"/>
        <v>309</v>
      </c>
      <c r="BB1323">
        <f t="shared" si="1050"/>
        <v>18981</v>
      </c>
      <c r="BC1323" t="str">
        <f t="shared" si="1051"/>
        <v>Nelson</v>
      </c>
      <c r="BD1323" t="str">
        <f t="shared" si="1052"/>
        <v>Velodrome</v>
      </c>
      <c r="BE1323" t="s">
        <v>238</v>
      </c>
      <c r="BF1323" t="s">
        <v>174</v>
      </c>
      <c r="BG1323" t="s">
        <v>390</v>
      </c>
      <c r="BI1323" cm="1">
        <f t="array" ref="BI1323">IFERROR(_xlfn._xlws.FILTER(shifts!A:A,(shifts!B:B=events!AD1323)*(shifts!AG:AG&gt;=events!BK1323)*(shifts!AH:AH&lt;=events!BL1323)),BI1322)</f>
        <v>60</v>
      </c>
      <c r="BJ1323" s="15">
        <f t="shared" si="1053"/>
        <v>0</v>
      </c>
      <c r="BK1323">
        <f t="shared" si="1061"/>
        <v>392</v>
      </c>
      <c r="BL1323">
        <f t="shared" si="1062"/>
        <v>392</v>
      </c>
      <c r="BM1323" s="15">
        <f>SUMIFS(BJ$2:BJ1323,K$2:K1323,"=Intermission")+SUMIFS(BJ$2:BJ1323,K$2:K1323,"=Timeout")</f>
        <v>72</v>
      </c>
      <c r="BN1323">
        <f t="shared" si="1063"/>
        <v>1152</v>
      </c>
      <c r="BO1323" s="19">
        <f t="shared" si="1064"/>
        <v>1840</v>
      </c>
      <c r="BP1323">
        <f t="shared" si="1065"/>
        <v>1835</v>
      </c>
      <c r="BQ1323" s="17">
        <f t="shared" si="1066"/>
        <v>1840</v>
      </c>
      <c r="BR1323" t="str">
        <f t="shared" si="1067"/>
        <v>event_team_player_1</v>
      </c>
      <c r="BS1323">
        <f>COUNTIFS(S$3:S1323,"="&amp;S1323,AI$3:AI1323,"="&amp;AI1323)</f>
        <v>1</v>
      </c>
      <c r="BT1323" t="str">
        <f>IFERROR(VLOOKUP(BB1323&amp;BU1323&amp;X1323,game_rosters!U:W,3,FALSE),"")</f>
        <v>P100079</v>
      </c>
      <c r="BU1323" t="str">
        <f t="shared" si="1068"/>
        <v>Nelson</v>
      </c>
    </row>
    <row r="1324" spans="1:73" x14ac:dyDescent="0.2">
      <c r="A1324">
        <f t="shared" si="1054"/>
        <v>1</v>
      </c>
      <c r="J1324" s="44" t="str">
        <f t="shared" si="1069"/>
        <v/>
      </c>
      <c r="K1324" t="s">
        <v>7</v>
      </c>
      <c r="L1324" t="s">
        <v>172</v>
      </c>
      <c r="M1324" t="s">
        <v>385</v>
      </c>
      <c r="S1324">
        <v>711</v>
      </c>
      <c r="W1324" t="str">
        <f t="shared" si="1045"/>
        <v>h</v>
      </c>
      <c r="X1324">
        <v>10</v>
      </c>
      <c r="Y1324" t="b">
        <f>IF(X1324&lt;&gt;"",VLOOKUP(X1324,game_rosters!$C$43:$E$64,3,FALSE))</f>
        <v>0</v>
      </c>
      <c r="Z1324" cm="1">
        <f t="array" ref="Z1324">IFERROR(IF(_xlfn._xlws.FILTER(game_rosters!$J:$J,(game_rosters!$G:$G=events!$AN1324)*(game_rosters!$J:$J=events!$X1324))&gt;0,1,""),"")</f>
        <v>1</v>
      </c>
      <c r="AA1324">
        <f t="shared" si="1093"/>
        <v>1711</v>
      </c>
      <c r="AB1324" t="str">
        <f t="shared" si="1094"/>
        <v/>
      </c>
      <c r="AC1324">
        <f t="shared" si="1042"/>
        <v>1711</v>
      </c>
      <c r="AD1324" s="6">
        <v>2</v>
      </c>
      <c r="AE1324" t="s">
        <v>938</v>
      </c>
      <c r="AF1324" t="s">
        <v>738</v>
      </c>
      <c r="AG1324" t="s">
        <v>756</v>
      </c>
      <c r="AH1324" t="s">
        <v>756</v>
      </c>
      <c r="AI1324" t="s">
        <v>367</v>
      </c>
      <c r="AJ1324" t="str">
        <f t="shared" ref="AJ1324:AK1324" si="1110">IF($J1324&lt;&gt;"",$J1324,IF($AC1324=$AC1323,AJ1323,""))</f>
        <v/>
      </c>
      <c r="AK1324" t="str">
        <f t="shared" si="1110"/>
        <v/>
      </c>
      <c r="AL1324" t="str">
        <f t="shared" si="1047"/>
        <v/>
      </c>
      <c r="AN1324" t="s">
        <v>861</v>
      </c>
      <c r="AO1324" t="str">
        <f t="shared" si="1048"/>
        <v>h</v>
      </c>
      <c r="AP1324" t="str">
        <f t="shared" si="1056"/>
        <v/>
      </c>
      <c r="AQ1324" t="str">
        <f t="shared" si="1057"/>
        <v/>
      </c>
      <c r="AR1324" t="str">
        <f t="shared" si="1058"/>
        <v>Home</v>
      </c>
      <c r="AS1324" t="str">
        <f t="shared" si="1059"/>
        <v>h</v>
      </c>
      <c r="AT1324" t="str">
        <f t="shared" si="1060"/>
        <v>Offensive</v>
      </c>
      <c r="BA1324" s="6">
        <f t="shared" si="1049"/>
        <v>309</v>
      </c>
      <c r="BB1324">
        <f t="shared" si="1050"/>
        <v>18981</v>
      </c>
      <c r="BC1324" t="str">
        <f t="shared" si="1051"/>
        <v>Nelson</v>
      </c>
      <c r="BD1324" t="str">
        <f t="shared" si="1052"/>
        <v>Velodrome</v>
      </c>
      <c r="BE1324" t="s">
        <v>7</v>
      </c>
      <c r="BF1324" t="s">
        <v>172</v>
      </c>
      <c r="BG1324" t="s">
        <v>385</v>
      </c>
      <c r="BI1324" cm="1">
        <f t="array" ref="BI1324">IFERROR(_xlfn._xlws.FILTER(shifts!A:A,(shifts!B:B=events!AD1324)*(shifts!AG:AG&gt;=events!BK1324)*(shifts!AH:AH&lt;=events!BL1324)),BI1323)</f>
        <v>60</v>
      </c>
      <c r="BJ1324" s="15">
        <f t="shared" si="1053"/>
        <v>0</v>
      </c>
      <c r="BK1324">
        <f t="shared" si="1061"/>
        <v>391</v>
      </c>
      <c r="BL1324">
        <f t="shared" si="1062"/>
        <v>391</v>
      </c>
      <c r="BM1324" s="15">
        <f>SUMIFS(BJ$2:BJ1324,K$2:K1324,"=Intermission")+SUMIFS(BJ$2:BJ1324,K$2:K1324,"=Timeout")</f>
        <v>72</v>
      </c>
      <c r="BN1324">
        <f t="shared" si="1063"/>
        <v>1152</v>
      </c>
      <c r="BO1324" s="19">
        <f t="shared" si="1064"/>
        <v>1841</v>
      </c>
      <c r="BP1324">
        <f t="shared" si="1065"/>
        <v>1836</v>
      </c>
      <c r="BQ1324" s="17">
        <f t="shared" si="1066"/>
        <v>1841</v>
      </c>
      <c r="BR1324" t="str">
        <f t="shared" si="1067"/>
        <v>event_team_player_1</v>
      </c>
      <c r="BS1324">
        <f>COUNTIFS(S$3:S1324,"="&amp;S1324,AI$3:AI1324,"="&amp;AI1324)</f>
        <v>1</v>
      </c>
      <c r="BT1324" t="str">
        <f>IFERROR(VLOOKUP(BB1324&amp;BU1324&amp;X1324,game_rosters!U:W,3,FALSE),"")</f>
        <v>P100078</v>
      </c>
      <c r="BU1324" t="str">
        <f t="shared" si="1068"/>
        <v>Nelson</v>
      </c>
    </row>
    <row r="1325" spans="1:73" x14ac:dyDescent="0.2">
      <c r="A1325">
        <f t="shared" si="1054"/>
        <v>1</v>
      </c>
      <c r="J1325" s="44" t="str">
        <f t="shared" si="1069"/>
        <v/>
      </c>
      <c r="K1325" t="s">
        <v>7</v>
      </c>
      <c r="L1325" t="s">
        <v>172</v>
      </c>
      <c r="M1325" t="s">
        <v>385</v>
      </c>
      <c r="S1325">
        <v>711</v>
      </c>
      <c r="W1325" t="str">
        <f t="shared" si="1045"/>
        <v>h</v>
      </c>
      <c r="X1325">
        <v>80</v>
      </c>
      <c r="Y1325" t="b">
        <f>IF(X1325&lt;&gt;"",VLOOKUP(X1325,game_rosters!$C$43:$E$64,3,FALSE))</f>
        <v>0</v>
      </c>
      <c r="Z1325" cm="1">
        <f t="array" ref="Z1325">IFERROR(IF(_xlfn._xlws.FILTER(game_rosters!$J:$J,(game_rosters!$G:$G=events!$AN1325)*(game_rosters!$J:$J=events!$X1325))&gt;0,1,""),"")</f>
        <v>1</v>
      </c>
      <c r="AA1325">
        <f t="shared" si="1093"/>
        <v>1711</v>
      </c>
      <c r="AB1325" t="str">
        <f t="shared" si="1094"/>
        <v/>
      </c>
      <c r="AC1325">
        <f t="shared" si="1042"/>
        <v>1711</v>
      </c>
      <c r="AD1325" s="6">
        <v>2</v>
      </c>
      <c r="AE1325" t="s">
        <v>938</v>
      </c>
      <c r="AF1325" t="s">
        <v>738</v>
      </c>
      <c r="AG1325" t="s">
        <v>756</v>
      </c>
      <c r="AH1325" t="s">
        <v>756</v>
      </c>
      <c r="AI1325" t="s">
        <v>367</v>
      </c>
      <c r="AJ1325" t="str">
        <f t="shared" ref="AJ1325:AK1325" si="1111">IF($J1325&lt;&gt;"",$J1325,IF($AC1325=$AC1324,AJ1324,""))</f>
        <v/>
      </c>
      <c r="AK1325" t="str">
        <f t="shared" si="1111"/>
        <v/>
      </c>
      <c r="AL1325" t="str">
        <f t="shared" si="1047"/>
        <v/>
      </c>
      <c r="AN1325" t="s">
        <v>861</v>
      </c>
      <c r="AO1325" t="str">
        <f t="shared" si="1048"/>
        <v>h</v>
      </c>
      <c r="AP1325" t="str">
        <f t="shared" si="1056"/>
        <v/>
      </c>
      <c r="AQ1325" t="str">
        <f t="shared" si="1057"/>
        <v/>
      </c>
      <c r="AR1325" t="str">
        <f t="shared" si="1058"/>
        <v>Home</v>
      </c>
      <c r="AS1325" t="str">
        <f t="shared" si="1059"/>
        <v>h</v>
      </c>
      <c r="AT1325" t="str">
        <f t="shared" si="1060"/>
        <v>Offensive</v>
      </c>
      <c r="BA1325" s="6">
        <f t="shared" si="1049"/>
        <v>309</v>
      </c>
      <c r="BB1325">
        <f t="shared" si="1050"/>
        <v>18981</v>
      </c>
      <c r="BC1325" t="str">
        <f t="shared" si="1051"/>
        <v>Nelson</v>
      </c>
      <c r="BD1325" t="str">
        <f t="shared" si="1052"/>
        <v>Velodrome</v>
      </c>
      <c r="BE1325" t="s">
        <v>7</v>
      </c>
      <c r="BF1325" t="s">
        <v>172</v>
      </c>
      <c r="BG1325" t="s">
        <v>385</v>
      </c>
      <c r="BI1325" cm="1">
        <f t="array" ref="BI1325">IFERROR(_xlfn._xlws.FILTER(shifts!A:A,(shifts!B:B=events!AD1325)*(shifts!AG:AG&gt;=events!BK1325)*(shifts!AH:AH&lt;=events!BL1325)),BI1324)</f>
        <v>60</v>
      </c>
      <c r="BJ1325" s="15">
        <f t="shared" si="1053"/>
        <v>0</v>
      </c>
      <c r="BK1325">
        <f t="shared" si="1061"/>
        <v>391</v>
      </c>
      <c r="BL1325">
        <f t="shared" si="1062"/>
        <v>391</v>
      </c>
      <c r="BM1325" s="15">
        <f>SUMIFS(BJ$2:BJ1325,K$2:K1325,"=Intermission")+SUMIFS(BJ$2:BJ1325,K$2:K1325,"=Timeout")</f>
        <v>72</v>
      </c>
      <c r="BN1325">
        <f t="shared" si="1063"/>
        <v>1152</v>
      </c>
      <c r="BO1325" s="19">
        <f t="shared" si="1064"/>
        <v>1841</v>
      </c>
      <c r="BP1325">
        <f t="shared" si="1065"/>
        <v>1836</v>
      </c>
      <c r="BQ1325" s="17">
        <f t="shared" si="1066"/>
        <v>1841</v>
      </c>
      <c r="BR1325" t="str">
        <f t="shared" si="1067"/>
        <v>event_team_player_2</v>
      </c>
      <c r="BS1325">
        <f>COUNTIFS(S$3:S1325,"="&amp;S1325,AI$3:AI1325,"="&amp;AI1325)</f>
        <v>2</v>
      </c>
      <c r="BT1325" t="str">
        <f>IFERROR(VLOOKUP(BB1325&amp;BU1325&amp;X1325,game_rosters!U:W,3,FALSE),"")</f>
        <v>P100197</v>
      </c>
      <c r="BU1325" t="str">
        <f t="shared" si="1068"/>
        <v>Nelson</v>
      </c>
    </row>
    <row r="1326" spans="1:73" x14ac:dyDescent="0.2">
      <c r="A1326">
        <f t="shared" si="1054"/>
        <v>1</v>
      </c>
      <c r="J1326" s="44" t="str">
        <f t="shared" si="1069"/>
        <v/>
      </c>
      <c r="K1326" t="s">
        <v>13</v>
      </c>
      <c r="L1326" t="s">
        <v>756</v>
      </c>
      <c r="M1326" t="s">
        <v>756</v>
      </c>
      <c r="S1326">
        <v>712</v>
      </c>
      <c r="W1326" t="str">
        <f t="shared" si="1045"/>
        <v>h</v>
      </c>
      <c r="X1326">
        <v>80</v>
      </c>
      <c r="Y1326" t="b">
        <f>IF(X1326&lt;&gt;"",VLOOKUP(X1326,game_rosters!$C$43:$E$64,3,FALSE))</f>
        <v>0</v>
      </c>
      <c r="Z1326" cm="1">
        <f t="array" ref="Z1326">IFERROR(IF(_xlfn._xlws.FILTER(game_rosters!$J:$J,(game_rosters!$G:$G=events!$AN1326)*(game_rosters!$J:$J=events!$X1326))&gt;0,1,""),"")</f>
        <v>1</v>
      </c>
      <c r="AA1326">
        <f t="shared" si="1093"/>
        <v>1712</v>
      </c>
      <c r="AB1326" t="str">
        <f t="shared" si="1094"/>
        <v/>
      </c>
      <c r="AC1326">
        <f t="shared" si="1042"/>
        <v>1712</v>
      </c>
      <c r="AD1326" s="6">
        <v>2</v>
      </c>
      <c r="AE1326" t="s">
        <v>938</v>
      </c>
      <c r="AF1326" t="s">
        <v>738</v>
      </c>
      <c r="AG1326" t="s">
        <v>938</v>
      </c>
      <c r="AH1326" t="s">
        <v>739</v>
      </c>
      <c r="AI1326" t="s">
        <v>367</v>
      </c>
      <c r="AJ1326" t="str">
        <f t="shared" ref="AJ1326:AK1326" si="1112">IF($J1326&lt;&gt;"",$J1326,IF($AC1326=$AC1325,AJ1325,""))</f>
        <v/>
      </c>
      <c r="AK1326" t="str">
        <f t="shared" si="1112"/>
        <v/>
      </c>
      <c r="AL1326" t="str">
        <f t="shared" si="1047"/>
        <v/>
      </c>
      <c r="AN1326" t="s">
        <v>861</v>
      </c>
      <c r="AO1326" t="str">
        <f t="shared" si="1048"/>
        <v>h</v>
      </c>
      <c r="AP1326" t="str">
        <f t="shared" si="1056"/>
        <v/>
      </c>
      <c r="AQ1326" t="str">
        <f t="shared" si="1057"/>
        <v/>
      </c>
      <c r="AR1326" t="str">
        <f t="shared" si="1058"/>
        <v>Home</v>
      </c>
      <c r="AS1326" t="str">
        <f t="shared" si="1059"/>
        <v>h</v>
      </c>
      <c r="AT1326" t="str">
        <f t="shared" si="1060"/>
        <v>Offensive</v>
      </c>
      <c r="BA1326" s="6">
        <f t="shared" si="1049"/>
        <v>309</v>
      </c>
      <c r="BB1326">
        <f t="shared" si="1050"/>
        <v>18981</v>
      </c>
      <c r="BC1326" t="str">
        <f t="shared" si="1051"/>
        <v>Nelson</v>
      </c>
      <c r="BD1326" t="str">
        <f t="shared" si="1052"/>
        <v>Velodrome</v>
      </c>
      <c r="BE1326" t="s">
        <v>13</v>
      </c>
      <c r="BF1326" t="s">
        <v>756</v>
      </c>
      <c r="BG1326" t="s">
        <v>756</v>
      </c>
      <c r="BI1326" cm="1">
        <f t="array" ref="BI1326">IFERROR(_xlfn._xlws.FILTER(shifts!A:A,(shifts!B:B=events!AD1326)*(shifts!AG:AG&gt;=events!BK1326)*(shifts!AH:AH&lt;=events!BL1326)),BI1325)</f>
        <v>60</v>
      </c>
      <c r="BJ1326" s="15">
        <f t="shared" si="1053"/>
        <v>5</v>
      </c>
      <c r="BK1326">
        <f t="shared" si="1061"/>
        <v>391</v>
      </c>
      <c r="BL1326">
        <f t="shared" si="1062"/>
        <v>386</v>
      </c>
      <c r="BM1326" s="15">
        <f>SUMIFS(BJ$2:BJ1326,K$2:K1326,"=Intermission")+SUMIFS(BJ$2:BJ1326,K$2:K1326,"=Timeout")</f>
        <v>72</v>
      </c>
      <c r="BN1326">
        <f t="shared" si="1063"/>
        <v>1152</v>
      </c>
      <c r="BO1326" s="19">
        <f t="shared" si="1064"/>
        <v>1841</v>
      </c>
      <c r="BP1326">
        <f t="shared" si="1065"/>
        <v>1836</v>
      </c>
      <c r="BQ1326" s="17">
        <f t="shared" si="1066"/>
        <v>1846</v>
      </c>
      <c r="BR1326" t="str">
        <f t="shared" si="1067"/>
        <v>event_team_player_1</v>
      </c>
      <c r="BS1326">
        <f>COUNTIFS(S$3:S1326,"="&amp;S1326,AI$3:AI1326,"="&amp;AI1326)</f>
        <v>1</v>
      </c>
      <c r="BT1326" t="str">
        <f>IFERROR(VLOOKUP(BB1326&amp;BU1326&amp;X1326,game_rosters!U:W,3,FALSE),"")</f>
        <v>P100197</v>
      </c>
      <c r="BU1326" t="str">
        <f t="shared" si="1068"/>
        <v>Nelson</v>
      </c>
    </row>
    <row r="1327" spans="1:73" x14ac:dyDescent="0.2">
      <c r="A1327">
        <f t="shared" si="1054"/>
        <v>1</v>
      </c>
      <c r="J1327" s="44" t="str">
        <f t="shared" si="1069"/>
        <v/>
      </c>
      <c r="K1327" t="s">
        <v>13</v>
      </c>
      <c r="L1327" t="s">
        <v>756</v>
      </c>
      <c r="M1327" t="s">
        <v>756</v>
      </c>
      <c r="S1327">
        <v>712</v>
      </c>
      <c r="W1327" t="str">
        <f t="shared" si="1045"/>
        <v>h</v>
      </c>
      <c r="X1327">
        <v>70</v>
      </c>
      <c r="Y1327" t="e">
        <f>IF(X1327&lt;&gt;"",VLOOKUP(X1327,game_rosters!$C$43:$E$64,3,FALSE))</f>
        <v>#N/A</v>
      </c>
      <c r="Z1327" t="str" cm="1">
        <f t="array" ref="Z1327">IFERROR(IF(_xlfn._xlws.FILTER(game_rosters!$J:$J,(game_rosters!$G:$G=events!$AN1327)*(game_rosters!$J:$J=events!$X1327))&gt;0,1,""),"")</f>
        <v/>
      </c>
      <c r="AA1327">
        <f t="shared" si="1093"/>
        <v>1712</v>
      </c>
      <c r="AB1327" t="str">
        <f t="shared" si="1094"/>
        <v/>
      </c>
      <c r="AC1327">
        <f t="shared" si="1042"/>
        <v>1712</v>
      </c>
      <c r="AD1327" s="6">
        <v>2</v>
      </c>
      <c r="AE1327" t="s">
        <v>938</v>
      </c>
      <c r="AF1327" t="s">
        <v>738</v>
      </c>
      <c r="AG1327" t="s">
        <v>938</v>
      </c>
      <c r="AH1327" t="s">
        <v>739</v>
      </c>
      <c r="AI1327" t="s">
        <v>368</v>
      </c>
      <c r="AJ1327" t="str">
        <f t="shared" ref="AJ1327:AK1327" si="1113">IF($J1327&lt;&gt;"",$J1327,IF($AC1327=$AC1326,AJ1326,""))</f>
        <v/>
      </c>
      <c r="AK1327" t="str">
        <f t="shared" si="1113"/>
        <v/>
      </c>
      <c r="AL1327" t="str">
        <f t="shared" si="1047"/>
        <v/>
      </c>
      <c r="AN1327" t="s">
        <v>861</v>
      </c>
      <c r="AO1327" t="str">
        <f t="shared" si="1048"/>
        <v>h</v>
      </c>
      <c r="AP1327" t="str">
        <f t="shared" si="1056"/>
        <v/>
      </c>
      <c r="AQ1327" t="str">
        <f t="shared" si="1057"/>
        <v/>
      </c>
      <c r="AR1327" t="str">
        <f t="shared" si="1058"/>
        <v>Home</v>
      </c>
      <c r="AS1327" t="str">
        <f t="shared" si="1059"/>
        <v>h</v>
      </c>
      <c r="AT1327" t="str">
        <f t="shared" si="1060"/>
        <v>Defensive</v>
      </c>
      <c r="BA1327" s="6">
        <f t="shared" si="1049"/>
        <v>309</v>
      </c>
      <c r="BB1327">
        <f t="shared" si="1050"/>
        <v>18981</v>
      </c>
      <c r="BC1327" t="str">
        <f t="shared" si="1051"/>
        <v>Nelson</v>
      </c>
      <c r="BD1327" t="str">
        <f t="shared" si="1052"/>
        <v>Velodrome</v>
      </c>
      <c r="BE1327" t="s">
        <v>13</v>
      </c>
      <c r="BF1327" t="s">
        <v>756</v>
      </c>
      <c r="BG1327" t="s">
        <v>756</v>
      </c>
      <c r="BI1327" cm="1">
        <f t="array" ref="BI1327">IFERROR(_xlfn._xlws.FILTER(shifts!A:A,(shifts!B:B=events!AD1327)*(shifts!AG:AG&gt;=events!BK1327)*(shifts!AH:AH&lt;=events!BL1327)),BI1326)</f>
        <v>60</v>
      </c>
      <c r="BJ1327" s="15">
        <f t="shared" si="1053"/>
        <v>5</v>
      </c>
      <c r="BK1327">
        <f t="shared" si="1061"/>
        <v>391</v>
      </c>
      <c r="BL1327">
        <f t="shared" si="1062"/>
        <v>386</v>
      </c>
      <c r="BM1327" s="15">
        <f>SUMIFS(BJ$2:BJ1327,K$2:K1327,"=Intermission")+SUMIFS(BJ$2:BJ1327,K$2:K1327,"=Timeout")</f>
        <v>72</v>
      </c>
      <c r="BN1327">
        <f t="shared" si="1063"/>
        <v>1152</v>
      </c>
      <c r="BO1327" s="19">
        <f t="shared" si="1064"/>
        <v>1841</v>
      </c>
      <c r="BP1327">
        <f t="shared" si="1065"/>
        <v>1836</v>
      </c>
      <c r="BQ1327" s="17">
        <f t="shared" si="1066"/>
        <v>1846</v>
      </c>
      <c r="BR1327" t="str">
        <f t="shared" si="1067"/>
        <v>opp_team_player_1</v>
      </c>
      <c r="BS1327">
        <f>COUNTIFS(S$3:S1327,"="&amp;S1327,AI$3:AI1327,"="&amp;AI1327)</f>
        <v>1</v>
      </c>
      <c r="BT1327" t="str">
        <f>IFERROR(VLOOKUP(BB1327&amp;BU1327&amp;X1327,game_rosters!U:W,3,FALSE),"")</f>
        <v>P100001</v>
      </c>
      <c r="BU1327" t="str">
        <f t="shared" si="1068"/>
        <v>Velodrome</v>
      </c>
    </row>
    <row r="1328" spans="1:73" x14ac:dyDescent="0.2">
      <c r="A1328">
        <f t="shared" si="1054"/>
        <v>1</v>
      </c>
      <c r="J1328" s="44" t="str">
        <f t="shared" si="1069"/>
        <v/>
      </c>
      <c r="K1328" t="s">
        <v>230</v>
      </c>
      <c r="L1328" t="s">
        <v>388</v>
      </c>
      <c r="M1328" t="s">
        <v>431</v>
      </c>
      <c r="S1328">
        <v>713</v>
      </c>
      <c r="W1328" t="str">
        <f t="shared" si="1045"/>
        <v>h</v>
      </c>
      <c r="X1328">
        <v>80</v>
      </c>
      <c r="Y1328" t="b">
        <f>IF(X1328&lt;&gt;"",VLOOKUP(X1328,game_rosters!$C$43:$E$64,3,FALSE))</f>
        <v>0</v>
      </c>
      <c r="Z1328" cm="1">
        <f t="array" ref="Z1328">IFERROR(IF(_xlfn._xlws.FILTER(game_rosters!$J:$J,(game_rosters!$G:$G=events!$AN1328)*(game_rosters!$J:$J=events!$X1328))&gt;0,1,""),"")</f>
        <v>1</v>
      </c>
      <c r="AA1328">
        <f t="shared" si="1093"/>
        <v>1713</v>
      </c>
      <c r="AB1328" t="str">
        <f t="shared" si="1094"/>
        <v/>
      </c>
      <c r="AC1328">
        <f t="shared" si="1042"/>
        <v>1713</v>
      </c>
      <c r="AD1328" s="6">
        <v>2</v>
      </c>
      <c r="AE1328" t="s">
        <v>938</v>
      </c>
      <c r="AF1328" t="s">
        <v>739</v>
      </c>
      <c r="AG1328" t="s">
        <v>756</v>
      </c>
      <c r="AH1328" t="s">
        <v>756</v>
      </c>
      <c r="AI1328" t="s">
        <v>367</v>
      </c>
      <c r="AJ1328" t="str">
        <f t="shared" ref="AJ1328:AK1328" si="1114">IF($J1328&lt;&gt;"",$J1328,IF($AC1328=$AC1327,AJ1327,""))</f>
        <v/>
      </c>
      <c r="AK1328" t="str">
        <f t="shared" si="1114"/>
        <v/>
      </c>
      <c r="AL1328" t="str">
        <f t="shared" si="1047"/>
        <v/>
      </c>
      <c r="AN1328" t="s">
        <v>861</v>
      </c>
      <c r="AO1328" t="str">
        <f t="shared" si="1048"/>
        <v>h</v>
      </c>
      <c r="AP1328" t="str">
        <f t="shared" si="1056"/>
        <v/>
      </c>
      <c r="AQ1328" t="str">
        <f t="shared" si="1057"/>
        <v/>
      </c>
      <c r="AR1328" t="str">
        <f t="shared" si="1058"/>
        <v>Home</v>
      </c>
      <c r="AS1328" t="str">
        <f t="shared" si="1059"/>
        <v>h</v>
      </c>
      <c r="AT1328" t="str">
        <f t="shared" si="1060"/>
        <v>Offensive</v>
      </c>
      <c r="BA1328" s="6">
        <f t="shared" si="1049"/>
        <v>309</v>
      </c>
      <c r="BB1328">
        <f t="shared" si="1050"/>
        <v>18981</v>
      </c>
      <c r="BC1328" t="str">
        <f t="shared" si="1051"/>
        <v>Nelson</v>
      </c>
      <c r="BD1328" t="str">
        <f t="shared" si="1052"/>
        <v>Velodrome</v>
      </c>
      <c r="BE1328" t="s">
        <v>230</v>
      </c>
      <c r="BF1328" t="s">
        <v>388</v>
      </c>
      <c r="BG1328" t="s">
        <v>431</v>
      </c>
      <c r="BI1328" cm="1">
        <f t="array" ref="BI1328">IFERROR(_xlfn._xlws.FILTER(shifts!A:A,(shifts!B:B=events!AD1328)*(shifts!AG:AG&gt;=events!BK1328)*(shifts!AH:AH&lt;=events!BL1328)),BI1327)</f>
        <v>60</v>
      </c>
      <c r="BJ1328" s="15">
        <f t="shared" si="1053"/>
        <v>0</v>
      </c>
      <c r="BK1328">
        <f t="shared" si="1061"/>
        <v>386</v>
      </c>
      <c r="BL1328">
        <f t="shared" si="1062"/>
        <v>386</v>
      </c>
      <c r="BM1328" s="15">
        <f>SUMIFS(BJ$2:BJ1328,K$2:K1328,"=Intermission")+SUMIFS(BJ$2:BJ1328,K$2:K1328,"=Timeout")</f>
        <v>72</v>
      </c>
      <c r="BN1328">
        <f t="shared" si="1063"/>
        <v>1152</v>
      </c>
      <c r="BO1328" s="19">
        <f t="shared" si="1064"/>
        <v>1846</v>
      </c>
      <c r="BP1328">
        <f t="shared" si="1065"/>
        <v>1841</v>
      </c>
      <c r="BQ1328" s="17">
        <f t="shared" si="1066"/>
        <v>1846</v>
      </c>
      <c r="BR1328" t="str">
        <f t="shared" si="1067"/>
        <v>event_team_player_1</v>
      </c>
      <c r="BS1328">
        <f>COUNTIFS(S$3:S1328,"="&amp;S1328,AI$3:AI1328,"="&amp;AI1328)</f>
        <v>1</v>
      </c>
      <c r="BT1328" t="str">
        <f>IFERROR(VLOOKUP(BB1328&amp;BU1328&amp;X1328,game_rosters!U:W,3,FALSE),"")</f>
        <v>P100197</v>
      </c>
      <c r="BU1328" t="str">
        <f t="shared" si="1068"/>
        <v>Nelson</v>
      </c>
    </row>
    <row r="1329" spans="1:73" x14ac:dyDescent="0.2">
      <c r="A1329">
        <f t="shared" si="1054"/>
        <v>1</v>
      </c>
      <c r="J1329" s="44" t="str">
        <f t="shared" si="1069"/>
        <v/>
      </c>
      <c r="K1329" t="s">
        <v>7</v>
      </c>
      <c r="L1329" t="s">
        <v>172</v>
      </c>
      <c r="M1329" t="s">
        <v>68</v>
      </c>
      <c r="S1329">
        <v>714</v>
      </c>
      <c r="W1329" t="str">
        <f t="shared" si="1045"/>
        <v>h</v>
      </c>
      <c r="X1329">
        <v>10</v>
      </c>
      <c r="Y1329" t="b">
        <f>IF(X1329&lt;&gt;"",VLOOKUP(X1329,game_rosters!$C$43:$E$64,3,FALSE))</f>
        <v>0</v>
      </c>
      <c r="Z1329" cm="1">
        <f t="array" ref="Z1329">IFERROR(IF(_xlfn._xlws.FILTER(game_rosters!$J:$J,(game_rosters!$G:$G=events!$AN1329)*(game_rosters!$J:$J=events!$X1329))&gt;0,1,""),"")</f>
        <v>1</v>
      </c>
      <c r="AA1329">
        <f t="shared" si="1093"/>
        <v>1714</v>
      </c>
      <c r="AB1329" t="str">
        <f t="shared" si="1094"/>
        <v/>
      </c>
      <c r="AC1329">
        <f t="shared" si="1042"/>
        <v>1714</v>
      </c>
      <c r="AD1329" s="6">
        <v>2</v>
      </c>
      <c r="AE1329" t="s">
        <v>938</v>
      </c>
      <c r="AF1329" t="s">
        <v>918</v>
      </c>
      <c r="AG1329" t="s">
        <v>756</v>
      </c>
      <c r="AH1329" t="s">
        <v>756</v>
      </c>
      <c r="AI1329" t="s">
        <v>367</v>
      </c>
      <c r="AJ1329" t="str">
        <f t="shared" ref="AJ1329:AK1329" si="1115">IF($J1329&lt;&gt;"",$J1329,IF($AC1329=$AC1328,AJ1328,""))</f>
        <v/>
      </c>
      <c r="AK1329" t="str">
        <f t="shared" si="1115"/>
        <v/>
      </c>
      <c r="AL1329" t="str">
        <f t="shared" si="1047"/>
        <v/>
      </c>
      <c r="AN1329" t="s">
        <v>861</v>
      </c>
      <c r="AO1329" t="str">
        <f t="shared" si="1048"/>
        <v>h</v>
      </c>
      <c r="AP1329" t="str">
        <f t="shared" si="1056"/>
        <v/>
      </c>
      <c r="AQ1329" t="str">
        <f t="shared" si="1057"/>
        <v/>
      </c>
      <c r="AR1329" t="str">
        <f t="shared" si="1058"/>
        <v>Home</v>
      </c>
      <c r="AS1329" t="str">
        <f t="shared" si="1059"/>
        <v>h</v>
      </c>
      <c r="AT1329" t="str">
        <f t="shared" si="1060"/>
        <v>Offensive</v>
      </c>
      <c r="BA1329" s="6">
        <f t="shared" si="1049"/>
        <v>309</v>
      </c>
      <c r="BB1329">
        <f t="shared" si="1050"/>
        <v>18981</v>
      </c>
      <c r="BC1329" t="str">
        <f t="shared" si="1051"/>
        <v>Nelson</v>
      </c>
      <c r="BD1329" t="str">
        <f t="shared" si="1052"/>
        <v>Velodrome</v>
      </c>
      <c r="BE1329" t="s">
        <v>7</v>
      </c>
      <c r="BF1329" t="s">
        <v>172</v>
      </c>
      <c r="BG1329" t="s">
        <v>68</v>
      </c>
      <c r="BI1329" cm="1">
        <f t="array" ref="BI1329">IFERROR(_xlfn._xlws.FILTER(shifts!A:A,(shifts!B:B=events!AD1329)*(shifts!AG:AG&gt;=events!BK1329)*(shifts!AH:AH&lt;=events!BL1329)),BI1328)</f>
        <v>60</v>
      </c>
      <c r="BJ1329" s="15">
        <f t="shared" si="1053"/>
        <v>0</v>
      </c>
      <c r="BK1329">
        <f t="shared" si="1061"/>
        <v>382</v>
      </c>
      <c r="BL1329">
        <f t="shared" si="1062"/>
        <v>382</v>
      </c>
      <c r="BM1329" s="15">
        <f>SUMIFS(BJ$2:BJ1329,K$2:K1329,"=Intermission")+SUMIFS(BJ$2:BJ1329,K$2:K1329,"=Timeout")</f>
        <v>72</v>
      </c>
      <c r="BN1329">
        <f t="shared" si="1063"/>
        <v>1152</v>
      </c>
      <c r="BO1329" s="19">
        <f t="shared" si="1064"/>
        <v>1850</v>
      </c>
      <c r="BP1329">
        <f t="shared" si="1065"/>
        <v>1845</v>
      </c>
      <c r="BQ1329" s="17">
        <f t="shared" si="1066"/>
        <v>1850</v>
      </c>
      <c r="BR1329" t="str">
        <f t="shared" si="1067"/>
        <v>event_team_player_1</v>
      </c>
      <c r="BS1329">
        <f>COUNTIFS(S$3:S1329,"="&amp;S1329,AI$3:AI1329,"="&amp;AI1329)</f>
        <v>1</v>
      </c>
      <c r="BT1329" t="str">
        <f>IFERROR(VLOOKUP(BB1329&amp;BU1329&amp;X1329,game_rosters!U:W,3,FALSE),"")</f>
        <v>P100078</v>
      </c>
      <c r="BU1329" t="str">
        <f t="shared" si="1068"/>
        <v>Nelson</v>
      </c>
    </row>
    <row r="1330" spans="1:73" x14ac:dyDescent="0.2">
      <c r="A1330">
        <f t="shared" si="1054"/>
        <v>1</v>
      </c>
      <c r="J1330" s="44" t="str">
        <f t="shared" si="1069"/>
        <v/>
      </c>
      <c r="K1330" t="s">
        <v>7</v>
      </c>
      <c r="L1330" t="s">
        <v>172</v>
      </c>
      <c r="M1330" t="s">
        <v>68</v>
      </c>
      <c r="S1330">
        <v>714</v>
      </c>
      <c r="W1330" t="str">
        <f t="shared" si="1045"/>
        <v>h</v>
      </c>
      <c r="X1330">
        <v>44</v>
      </c>
      <c r="Y1330" t="b">
        <f>IF(X1330&lt;&gt;"",VLOOKUP(X1330,game_rosters!$C$43:$E$64,3,FALSE))</f>
        <v>0</v>
      </c>
      <c r="Z1330" cm="1">
        <f t="array" ref="Z1330">IFERROR(IF(_xlfn._xlws.FILTER(game_rosters!$J:$J,(game_rosters!$G:$G=events!$AN1330)*(game_rosters!$J:$J=events!$X1330))&gt;0,1,""),"")</f>
        <v>1</v>
      </c>
      <c r="AA1330">
        <f t="shared" si="1093"/>
        <v>1714</v>
      </c>
      <c r="AB1330" t="str">
        <f t="shared" si="1094"/>
        <v/>
      </c>
      <c r="AC1330">
        <f t="shared" si="1042"/>
        <v>1714</v>
      </c>
      <c r="AD1330" s="6">
        <v>2</v>
      </c>
      <c r="AE1330" t="s">
        <v>938</v>
      </c>
      <c r="AF1330" t="s">
        <v>918</v>
      </c>
      <c r="AG1330" t="s">
        <v>756</v>
      </c>
      <c r="AH1330" t="s">
        <v>756</v>
      </c>
      <c r="AI1330" t="s">
        <v>367</v>
      </c>
      <c r="AJ1330" t="str">
        <f t="shared" ref="AJ1330:AK1330" si="1116">IF($J1330&lt;&gt;"",$J1330,IF($AC1330=$AC1329,AJ1329,""))</f>
        <v/>
      </c>
      <c r="AK1330" t="str">
        <f t="shared" si="1116"/>
        <v/>
      </c>
      <c r="AL1330" t="str">
        <f t="shared" si="1047"/>
        <v/>
      </c>
      <c r="AN1330" t="s">
        <v>861</v>
      </c>
      <c r="AO1330" t="str">
        <f t="shared" si="1048"/>
        <v>h</v>
      </c>
      <c r="AP1330" t="str">
        <f t="shared" si="1056"/>
        <v/>
      </c>
      <c r="AQ1330" t="str">
        <f t="shared" si="1057"/>
        <v/>
      </c>
      <c r="AR1330" t="str">
        <f t="shared" si="1058"/>
        <v>Home</v>
      </c>
      <c r="AS1330" t="str">
        <f t="shared" si="1059"/>
        <v>h</v>
      </c>
      <c r="AT1330" t="str">
        <f t="shared" si="1060"/>
        <v>Offensive</v>
      </c>
      <c r="BA1330" s="6">
        <f t="shared" si="1049"/>
        <v>309</v>
      </c>
      <c r="BB1330">
        <f t="shared" si="1050"/>
        <v>18981</v>
      </c>
      <c r="BC1330" t="str">
        <f t="shared" si="1051"/>
        <v>Nelson</v>
      </c>
      <c r="BD1330" t="str">
        <f t="shared" si="1052"/>
        <v>Velodrome</v>
      </c>
      <c r="BE1330" t="s">
        <v>7</v>
      </c>
      <c r="BF1330" t="s">
        <v>172</v>
      </c>
      <c r="BG1330" t="s">
        <v>68</v>
      </c>
      <c r="BI1330" cm="1">
        <f t="array" ref="BI1330">IFERROR(_xlfn._xlws.FILTER(shifts!A:A,(shifts!B:B=events!AD1330)*(shifts!AG:AG&gt;=events!BK1330)*(shifts!AH:AH&lt;=events!BL1330)),BI1329)</f>
        <v>60</v>
      </c>
      <c r="BJ1330" s="15">
        <f t="shared" si="1053"/>
        <v>0</v>
      </c>
      <c r="BK1330">
        <f t="shared" si="1061"/>
        <v>382</v>
      </c>
      <c r="BL1330">
        <f t="shared" si="1062"/>
        <v>382</v>
      </c>
      <c r="BM1330" s="15">
        <f>SUMIFS(BJ$2:BJ1330,K$2:K1330,"=Intermission")+SUMIFS(BJ$2:BJ1330,K$2:K1330,"=Timeout")</f>
        <v>72</v>
      </c>
      <c r="BN1330">
        <f t="shared" si="1063"/>
        <v>1152</v>
      </c>
      <c r="BO1330" s="19">
        <f t="shared" si="1064"/>
        <v>1850</v>
      </c>
      <c r="BP1330">
        <f t="shared" si="1065"/>
        <v>1845</v>
      </c>
      <c r="BQ1330" s="17">
        <f t="shared" si="1066"/>
        <v>1850</v>
      </c>
      <c r="BR1330" t="str">
        <f t="shared" si="1067"/>
        <v>event_team_player_2</v>
      </c>
      <c r="BS1330">
        <f>COUNTIFS(S$3:S1330,"="&amp;S1330,AI$3:AI1330,"="&amp;AI1330)</f>
        <v>2</v>
      </c>
      <c r="BT1330" t="str">
        <f>IFERROR(VLOOKUP(BB1330&amp;BU1330&amp;X1330,game_rosters!U:W,3,FALSE),"")</f>
        <v>P100079</v>
      </c>
      <c r="BU1330" t="str">
        <f t="shared" si="1068"/>
        <v>Nelson</v>
      </c>
    </row>
    <row r="1331" spans="1:73" x14ac:dyDescent="0.2">
      <c r="A1331">
        <f t="shared" si="1054"/>
        <v>1</v>
      </c>
      <c r="J1331" s="44" t="str">
        <f t="shared" si="1069"/>
        <v/>
      </c>
      <c r="K1331" t="s">
        <v>13</v>
      </c>
      <c r="L1331" t="s">
        <v>756</v>
      </c>
      <c r="M1331" t="s">
        <v>756</v>
      </c>
      <c r="S1331">
        <v>715</v>
      </c>
      <c r="W1331" t="str">
        <f t="shared" si="1045"/>
        <v>h</v>
      </c>
      <c r="X1331">
        <v>44</v>
      </c>
      <c r="Y1331" t="b">
        <f>IF(X1331&lt;&gt;"",VLOOKUP(X1331,game_rosters!$C$43:$E$64,3,FALSE))</f>
        <v>0</v>
      </c>
      <c r="Z1331" cm="1">
        <f t="array" ref="Z1331">IFERROR(IF(_xlfn._xlws.FILTER(game_rosters!$J:$J,(game_rosters!$G:$G=events!$AN1331)*(game_rosters!$J:$J=events!$X1331))&gt;0,1,""),"")</f>
        <v>1</v>
      </c>
      <c r="AA1331">
        <f t="shared" si="1093"/>
        <v>1715</v>
      </c>
      <c r="AB1331" t="str">
        <f t="shared" si="1094"/>
        <v/>
      </c>
      <c r="AC1331">
        <f t="shared" si="1042"/>
        <v>1715</v>
      </c>
      <c r="AD1331" s="6">
        <v>2</v>
      </c>
      <c r="AE1331" t="s">
        <v>938</v>
      </c>
      <c r="AF1331" t="s">
        <v>918</v>
      </c>
      <c r="AG1331" t="s">
        <v>938</v>
      </c>
      <c r="AH1331" t="s">
        <v>919</v>
      </c>
      <c r="AI1331" t="s">
        <v>367</v>
      </c>
      <c r="AJ1331" t="str">
        <f t="shared" ref="AJ1331:AK1331" si="1117">IF($J1331&lt;&gt;"",$J1331,IF($AC1331=$AC1330,AJ1330,""))</f>
        <v/>
      </c>
      <c r="AK1331" t="str">
        <f t="shared" si="1117"/>
        <v/>
      </c>
      <c r="AL1331" t="str">
        <f t="shared" si="1047"/>
        <v/>
      </c>
      <c r="AN1331" t="s">
        <v>861</v>
      </c>
      <c r="AO1331" t="str">
        <f t="shared" si="1048"/>
        <v>h</v>
      </c>
      <c r="AP1331" t="str">
        <f t="shared" si="1056"/>
        <v/>
      </c>
      <c r="AQ1331" t="str">
        <f t="shared" si="1057"/>
        <v/>
      </c>
      <c r="AR1331" t="str">
        <f t="shared" si="1058"/>
        <v>Home</v>
      </c>
      <c r="AS1331" t="str">
        <f t="shared" si="1059"/>
        <v>h</v>
      </c>
      <c r="AT1331" t="str">
        <f t="shared" si="1060"/>
        <v>Offensive</v>
      </c>
      <c r="BA1331" s="6">
        <f t="shared" si="1049"/>
        <v>309</v>
      </c>
      <c r="BB1331">
        <f t="shared" si="1050"/>
        <v>18981</v>
      </c>
      <c r="BC1331" t="str">
        <f t="shared" si="1051"/>
        <v>Nelson</v>
      </c>
      <c r="BD1331" t="str">
        <f t="shared" si="1052"/>
        <v>Velodrome</v>
      </c>
      <c r="BE1331" t="s">
        <v>13</v>
      </c>
      <c r="BF1331" t="s">
        <v>756</v>
      </c>
      <c r="BG1331" t="s">
        <v>756</v>
      </c>
      <c r="BI1331" cm="1">
        <f t="array" ref="BI1331">IFERROR(_xlfn._xlws.FILTER(shifts!A:A,(shifts!B:B=events!AD1331)*(shifts!AG:AG&gt;=events!BK1331)*(shifts!AH:AH&lt;=events!BL1331)),BI1330)</f>
        <v>60</v>
      </c>
      <c r="BJ1331" s="15">
        <f t="shared" si="1053"/>
        <v>2</v>
      </c>
      <c r="BK1331">
        <f t="shared" si="1061"/>
        <v>382</v>
      </c>
      <c r="BL1331">
        <f t="shared" si="1062"/>
        <v>380</v>
      </c>
      <c r="BM1331" s="15">
        <f>SUMIFS(BJ$2:BJ1331,K$2:K1331,"=Intermission")+SUMIFS(BJ$2:BJ1331,K$2:K1331,"=Timeout")</f>
        <v>72</v>
      </c>
      <c r="BN1331">
        <f t="shared" si="1063"/>
        <v>1152</v>
      </c>
      <c r="BO1331" s="19">
        <f t="shared" si="1064"/>
        <v>1850</v>
      </c>
      <c r="BP1331">
        <f t="shared" si="1065"/>
        <v>1845</v>
      </c>
      <c r="BQ1331" s="17">
        <f t="shared" si="1066"/>
        <v>1852</v>
      </c>
      <c r="BR1331" t="str">
        <f t="shared" si="1067"/>
        <v>event_team_player_1</v>
      </c>
      <c r="BS1331">
        <f>COUNTIFS(S$3:S1331,"="&amp;S1331,AI$3:AI1331,"="&amp;AI1331)</f>
        <v>1</v>
      </c>
      <c r="BT1331" t="str">
        <f>IFERROR(VLOOKUP(BB1331&amp;BU1331&amp;X1331,game_rosters!U:W,3,FALSE),"")</f>
        <v>P100079</v>
      </c>
      <c r="BU1331" t="str">
        <f t="shared" si="1068"/>
        <v>Nelson</v>
      </c>
    </row>
    <row r="1332" spans="1:73" x14ac:dyDescent="0.2">
      <c r="A1332">
        <f t="shared" si="1054"/>
        <v>1</v>
      </c>
      <c r="J1332" s="44" t="str">
        <f t="shared" si="1069"/>
        <v/>
      </c>
      <c r="K1332" t="s">
        <v>7</v>
      </c>
      <c r="L1332" t="s">
        <v>199</v>
      </c>
      <c r="M1332" t="s">
        <v>68</v>
      </c>
      <c r="S1332">
        <v>716</v>
      </c>
      <c r="W1332" t="str">
        <f t="shared" si="1045"/>
        <v>h</v>
      </c>
      <c r="X1332">
        <v>44</v>
      </c>
      <c r="Y1332" t="b">
        <f>IF(X1332&lt;&gt;"",VLOOKUP(X1332,game_rosters!$C$43:$E$64,3,FALSE))</f>
        <v>0</v>
      </c>
      <c r="Z1332" cm="1">
        <f t="array" ref="Z1332">IFERROR(IF(_xlfn._xlws.FILTER(game_rosters!$J:$J,(game_rosters!$G:$G=events!$AN1332)*(game_rosters!$J:$J=events!$X1332))&gt;0,1,""),"")</f>
        <v>1</v>
      </c>
      <c r="AA1332">
        <f t="shared" si="1093"/>
        <v>1716</v>
      </c>
      <c r="AB1332" t="str">
        <f t="shared" si="1094"/>
        <v/>
      </c>
      <c r="AC1332">
        <f t="shared" si="1042"/>
        <v>1716</v>
      </c>
      <c r="AD1332" s="6">
        <v>2</v>
      </c>
      <c r="AE1332" t="s">
        <v>938</v>
      </c>
      <c r="AF1332" t="s">
        <v>919</v>
      </c>
      <c r="AG1332" t="s">
        <v>756</v>
      </c>
      <c r="AH1332" t="s">
        <v>756</v>
      </c>
      <c r="AI1332" t="s">
        <v>367</v>
      </c>
      <c r="AJ1332" t="str">
        <f t="shared" ref="AJ1332:AK1332" si="1118">IF($J1332&lt;&gt;"",$J1332,IF($AC1332=$AC1331,AJ1331,""))</f>
        <v/>
      </c>
      <c r="AK1332" t="str">
        <f t="shared" si="1118"/>
        <v/>
      </c>
      <c r="AL1332" t="str">
        <f t="shared" si="1047"/>
        <v/>
      </c>
      <c r="AN1332" t="s">
        <v>861</v>
      </c>
      <c r="AO1332" t="str">
        <f t="shared" si="1048"/>
        <v>h</v>
      </c>
      <c r="AP1332" t="str">
        <f t="shared" si="1056"/>
        <v/>
      </c>
      <c r="AQ1332" t="str">
        <f t="shared" si="1057"/>
        <v/>
      </c>
      <c r="AR1332" t="str">
        <f t="shared" si="1058"/>
        <v>Home</v>
      </c>
      <c r="AS1332" t="str">
        <f t="shared" si="1059"/>
        <v>h</v>
      </c>
      <c r="AT1332" t="str">
        <f t="shared" si="1060"/>
        <v>Offensive</v>
      </c>
      <c r="BA1332" s="6">
        <f t="shared" si="1049"/>
        <v>309</v>
      </c>
      <c r="BB1332">
        <f t="shared" si="1050"/>
        <v>18981</v>
      </c>
      <c r="BC1332" t="str">
        <f t="shared" si="1051"/>
        <v>Nelson</v>
      </c>
      <c r="BD1332" t="str">
        <f t="shared" si="1052"/>
        <v>Velodrome</v>
      </c>
      <c r="BE1332" t="s">
        <v>7</v>
      </c>
      <c r="BF1332" t="s">
        <v>199</v>
      </c>
      <c r="BG1332" t="s">
        <v>68</v>
      </c>
      <c r="BI1332" cm="1">
        <f t="array" ref="BI1332">IFERROR(_xlfn._xlws.FILTER(shifts!A:A,(shifts!B:B=events!AD1332)*(shifts!AG:AG&gt;=events!BK1332)*(shifts!AH:AH&lt;=events!BL1332)),BI1331)</f>
        <v>60</v>
      </c>
      <c r="BJ1332" s="15">
        <f t="shared" si="1053"/>
        <v>0</v>
      </c>
      <c r="BK1332">
        <f t="shared" si="1061"/>
        <v>380</v>
      </c>
      <c r="BL1332">
        <f t="shared" si="1062"/>
        <v>380</v>
      </c>
      <c r="BM1332" s="15">
        <f>SUMIFS(BJ$2:BJ1332,K$2:K1332,"=Intermission")+SUMIFS(BJ$2:BJ1332,K$2:K1332,"=Timeout")</f>
        <v>72</v>
      </c>
      <c r="BN1332">
        <f t="shared" si="1063"/>
        <v>1152</v>
      </c>
      <c r="BO1332" s="19">
        <f t="shared" si="1064"/>
        <v>1852</v>
      </c>
      <c r="BP1332">
        <f t="shared" si="1065"/>
        <v>1847</v>
      </c>
      <c r="BQ1332" s="17">
        <f t="shared" si="1066"/>
        <v>1852</v>
      </c>
      <c r="BR1332" t="str">
        <f t="shared" si="1067"/>
        <v>event_team_player_1</v>
      </c>
      <c r="BS1332">
        <f>COUNTIFS(S$3:S1332,"="&amp;S1332,AI$3:AI1332,"="&amp;AI1332)</f>
        <v>1</v>
      </c>
      <c r="BT1332" t="str">
        <f>IFERROR(VLOOKUP(BB1332&amp;BU1332&amp;X1332,game_rosters!U:W,3,FALSE),"")</f>
        <v>P100079</v>
      </c>
      <c r="BU1332" t="str">
        <f t="shared" si="1068"/>
        <v>Nelson</v>
      </c>
    </row>
    <row r="1333" spans="1:73" x14ac:dyDescent="0.2">
      <c r="A1333">
        <f t="shared" si="1054"/>
        <v>1</v>
      </c>
      <c r="J1333" s="44" t="str">
        <f t="shared" si="1069"/>
        <v/>
      </c>
      <c r="K1333" t="s">
        <v>7</v>
      </c>
      <c r="L1333" t="s">
        <v>199</v>
      </c>
      <c r="M1333" t="s">
        <v>68</v>
      </c>
      <c r="S1333">
        <v>716</v>
      </c>
      <c r="W1333" t="str">
        <f t="shared" si="1045"/>
        <v>h</v>
      </c>
      <c r="X1333">
        <v>3</v>
      </c>
      <c r="Y1333" t="b">
        <f>IF(X1333&lt;&gt;"",VLOOKUP(X1333,game_rosters!$C$43:$E$64,3,FALSE))</f>
        <v>0</v>
      </c>
      <c r="Z1333" cm="1">
        <f t="array" ref="Z1333">IFERROR(IF(_xlfn._xlws.FILTER(game_rosters!$J:$J,(game_rosters!$G:$G=events!$AN1333)*(game_rosters!$J:$J=events!$X1333))&gt;0,1,""),"")</f>
        <v>1</v>
      </c>
      <c r="AA1333">
        <f t="shared" si="1093"/>
        <v>1716</v>
      </c>
      <c r="AB1333" t="str">
        <f t="shared" si="1094"/>
        <v/>
      </c>
      <c r="AC1333">
        <f t="shared" si="1042"/>
        <v>1716</v>
      </c>
      <c r="AD1333" s="6">
        <v>2</v>
      </c>
      <c r="AE1333" t="s">
        <v>938</v>
      </c>
      <c r="AF1333" t="s">
        <v>919</v>
      </c>
      <c r="AG1333" t="s">
        <v>756</v>
      </c>
      <c r="AH1333" t="s">
        <v>756</v>
      </c>
      <c r="AI1333" t="s">
        <v>367</v>
      </c>
      <c r="AJ1333" t="str">
        <f t="shared" ref="AJ1333:AK1333" si="1119">IF($J1333&lt;&gt;"",$J1333,IF($AC1333=$AC1332,AJ1332,""))</f>
        <v/>
      </c>
      <c r="AK1333" t="str">
        <f t="shared" si="1119"/>
        <v/>
      </c>
      <c r="AL1333" t="str">
        <f t="shared" si="1047"/>
        <v/>
      </c>
      <c r="AN1333" t="s">
        <v>861</v>
      </c>
      <c r="AO1333" t="str">
        <f t="shared" si="1048"/>
        <v>h</v>
      </c>
      <c r="AP1333" t="str">
        <f t="shared" si="1056"/>
        <v/>
      </c>
      <c r="AQ1333" t="str">
        <f t="shared" si="1057"/>
        <v/>
      </c>
      <c r="AR1333" t="str">
        <f t="shared" si="1058"/>
        <v>Home</v>
      </c>
      <c r="AS1333" t="str">
        <f t="shared" si="1059"/>
        <v>h</v>
      </c>
      <c r="AT1333" t="str">
        <f t="shared" si="1060"/>
        <v>Offensive</v>
      </c>
      <c r="BA1333" s="6">
        <f t="shared" si="1049"/>
        <v>309</v>
      </c>
      <c r="BB1333">
        <f t="shared" si="1050"/>
        <v>18981</v>
      </c>
      <c r="BC1333" t="str">
        <f t="shared" si="1051"/>
        <v>Nelson</v>
      </c>
      <c r="BD1333" t="str">
        <f t="shared" si="1052"/>
        <v>Velodrome</v>
      </c>
      <c r="BE1333" t="s">
        <v>7</v>
      </c>
      <c r="BF1333" t="s">
        <v>199</v>
      </c>
      <c r="BG1333" t="s">
        <v>68</v>
      </c>
      <c r="BI1333" cm="1">
        <f t="array" ref="BI1333">IFERROR(_xlfn._xlws.FILTER(shifts!A:A,(shifts!B:B=events!AD1333)*(shifts!AG:AG&gt;=events!BK1333)*(shifts!AH:AH&lt;=events!BL1333)),BI1332)</f>
        <v>60</v>
      </c>
      <c r="BJ1333" s="15">
        <f t="shared" si="1053"/>
        <v>0</v>
      </c>
      <c r="BK1333">
        <f t="shared" si="1061"/>
        <v>380</v>
      </c>
      <c r="BL1333">
        <f t="shared" si="1062"/>
        <v>380</v>
      </c>
      <c r="BM1333" s="15">
        <f>SUMIFS(BJ$2:BJ1333,K$2:K1333,"=Intermission")+SUMIFS(BJ$2:BJ1333,K$2:K1333,"=Timeout")</f>
        <v>72</v>
      </c>
      <c r="BN1333">
        <f t="shared" si="1063"/>
        <v>1152</v>
      </c>
      <c r="BO1333" s="19">
        <f t="shared" si="1064"/>
        <v>1852</v>
      </c>
      <c r="BP1333">
        <f t="shared" si="1065"/>
        <v>1847</v>
      </c>
      <c r="BQ1333" s="17">
        <f t="shared" si="1066"/>
        <v>1852</v>
      </c>
      <c r="BR1333" t="str">
        <f t="shared" si="1067"/>
        <v>event_team_player_2</v>
      </c>
      <c r="BS1333">
        <f>COUNTIFS(S$3:S1333,"="&amp;S1333,AI$3:AI1333,"="&amp;AI1333)</f>
        <v>2</v>
      </c>
      <c r="BT1333" t="str">
        <f>IFERROR(VLOOKUP(BB1333&amp;BU1333&amp;X1333,game_rosters!U:W,3,FALSE),"")</f>
        <v>P100111</v>
      </c>
      <c r="BU1333" t="str">
        <f t="shared" si="1068"/>
        <v>Nelson</v>
      </c>
    </row>
    <row r="1334" spans="1:73" x14ac:dyDescent="0.2">
      <c r="A1334">
        <f t="shared" si="1054"/>
        <v>1</v>
      </c>
      <c r="J1334" s="44" t="str">
        <f t="shared" si="1069"/>
        <v/>
      </c>
      <c r="K1334" t="s">
        <v>7</v>
      </c>
      <c r="L1334" t="s">
        <v>199</v>
      </c>
      <c r="M1334" t="s">
        <v>68</v>
      </c>
      <c r="S1334">
        <v>716</v>
      </c>
      <c r="W1334" t="str">
        <f t="shared" si="1045"/>
        <v>h</v>
      </c>
      <c r="X1334">
        <v>93</v>
      </c>
      <c r="Y1334" t="e">
        <f>IF(X1334&lt;&gt;"",VLOOKUP(X1334,game_rosters!$C$43:$E$64,3,FALSE))</f>
        <v>#N/A</v>
      </c>
      <c r="Z1334" t="str" cm="1">
        <f t="array" ref="Z1334">IFERROR(IF(_xlfn._xlws.FILTER(game_rosters!$J:$J,(game_rosters!$G:$G=events!$AN1334)*(game_rosters!$J:$J=events!$X1334))&gt;0,1,""),"")</f>
        <v/>
      </c>
      <c r="AA1334">
        <f t="shared" si="1093"/>
        <v>1716</v>
      </c>
      <c r="AB1334" t="str">
        <f t="shared" si="1094"/>
        <v/>
      </c>
      <c r="AC1334">
        <f t="shared" si="1042"/>
        <v>1716</v>
      </c>
      <c r="AD1334" s="6">
        <v>2</v>
      </c>
      <c r="AE1334" t="s">
        <v>938</v>
      </c>
      <c r="AF1334" t="s">
        <v>919</v>
      </c>
      <c r="AG1334" t="s">
        <v>756</v>
      </c>
      <c r="AH1334" t="s">
        <v>756</v>
      </c>
      <c r="AI1334" t="s">
        <v>368</v>
      </c>
      <c r="AJ1334" t="str">
        <f t="shared" ref="AJ1334:AK1334" si="1120">IF($J1334&lt;&gt;"",$J1334,IF($AC1334=$AC1333,AJ1333,""))</f>
        <v/>
      </c>
      <c r="AK1334" t="str">
        <f t="shared" si="1120"/>
        <v/>
      </c>
      <c r="AL1334" t="str">
        <f t="shared" si="1047"/>
        <v/>
      </c>
      <c r="AN1334" t="s">
        <v>861</v>
      </c>
      <c r="AO1334" t="str">
        <f t="shared" si="1048"/>
        <v>h</v>
      </c>
      <c r="AP1334" t="str">
        <f t="shared" si="1056"/>
        <v/>
      </c>
      <c r="AQ1334" t="str">
        <f t="shared" si="1057"/>
        <v/>
      </c>
      <c r="AR1334" t="str">
        <f t="shared" si="1058"/>
        <v>Home</v>
      </c>
      <c r="AS1334" t="str">
        <f t="shared" si="1059"/>
        <v>h</v>
      </c>
      <c r="AT1334" t="str">
        <f t="shared" si="1060"/>
        <v>Defensive</v>
      </c>
      <c r="BA1334" s="6">
        <f t="shared" si="1049"/>
        <v>309</v>
      </c>
      <c r="BB1334">
        <f t="shared" si="1050"/>
        <v>18981</v>
      </c>
      <c r="BC1334" t="str">
        <f t="shared" si="1051"/>
        <v>Nelson</v>
      </c>
      <c r="BD1334" t="str">
        <f t="shared" si="1052"/>
        <v>Velodrome</v>
      </c>
      <c r="BE1334" t="s">
        <v>7</v>
      </c>
      <c r="BF1334" t="s">
        <v>199</v>
      </c>
      <c r="BG1334" t="s">
        <v>68</v>
      </c>
      <c r="BI1334" cm="1">
        <f t="array" ref="BI1334">IFERROR(_xlfn._xlws.FILTER(shifts!A:A,(shifts!B:B=events!AD1334)*(shifts!AG:AG&gt;=events!BK1334)*(shifts!AH:AH&lt;=events!BL1334)),BI1333)</f>
        <v>60</v>
      </c>
      <c r="BJ1334" s="15">
        <f t="shared" si="1053"/>
        <v>0</v>
      </c>
      <c r="BK1334">
        <f t="shared" si="1061"/>
        <v>380</v>
      </c>
      <c r="BL1334">
        <f t="shared" si="1062"/>
        <v>380</v>
      </c>
      <c r="BM1334" s="15">
        <f>SUMIFS(BJ$2:BJ1334,K$2:K1334,"=Intermission")+SUMIFS(BJ$2:BJ1334,K$2:K1334,"=Timeout")</f>
        <v>72</v>
      </c>
      <c r="BN1334">
        <f t="shared" si="1063"/>
        <v>1152</v>
      </c>
      <c r="BO1334" s="19">
        <f t="shared" si="1064"/>
        <v>1852</v>
      </c>
      <c r="BP1334">
        <f t="shared" si="1065"/>
        <v>1847</v>
      </c>
      <c r="BQ1334" s="17">
        <f t="shared" si="1066"/>
        <v>1852</v>
      </c>
      <c r="BR1334" t="str">
        <f t="shared" si="1067"/>
        <v>opp_team_player_1</v>
      </c>
      <c r="BS1334">
        <f>COUNTIFS(S$3:S1334,"="&amp;S1334,AI$3:AI1334,"="&amp;AI1334)</f>
        <v>1</v>
      </c>
      <c r="BT1334" t="str">
        <f>IFERROR(VLOOKUP(BB1334&amp;BU1334&amp;X1334,game_rosters!U:W,3,FALSE),"")</f>
        <v>P100093</v>
      </c>
      <c r="BU1334" t="str">
        <f t="shared" si="1068"/>
        <v>Velodrome</v>
      </c>
    </row>
    <row r="1335" spans="1:73" x14ac:dyDescent="0.2">
      <c r="A1335">
        <f t="shared" si="1054"/>
        <v>1</v>
      </c>
      <c r="J1335" s="44" t="str">
        <f t="shared" si="1069"/>
        <v/>
      </c>
      <c r="K1335" t="s">
        <v>9</v>
      </c>
      <c r="L1335" t="s">
        <v>173</v>
      </c>
      <c r="M1335" t="s">
        <v>73</v>
      </c>
      <c r="S1335">
        <v>717</v>
      </c>
      <c r="W1335" t="str">
        <f t="shared" si="1045"/>
        <v>h</v>
      </c>
      <c r="X1335">
        <v>44</v>
      </c>
      <c r="Y1335" t="b">
        <f>IF(X1335&lt;&gt;"",VLOOKUP(X1335,game_rosters!$C$43:$E$64,3,FALSE))</f>
        <v>0</v>
      </c>
      <c r="Z1335" cm="1">
        <f t="array" ref="Z1335">IFERROR(IF(_xlfn._xlws.FILTER(game_rosters!$J:$J,(game_rosters!$G:$G=events!$AN1335)*(game_rosters!$J:$J=events!$X1335))&gt;0,1,""),"")</f>
        <v>1</v>
      </c>
      <c r="AA1335">
        <f t="shared" si="1093"/>
        <v>1717</v>
      </c>
      <c r="AB1335" t="str">
        <f t="shared" si="1094"/>
        <v/>
      </c>
      <c r="AC1335">
        <f t="shared" si="1042"/>
        <v>1717</v>
      </c>
      <c r="AD1335" s="6">
        <v>2</v>
      </c>
      <c r="AE1335" t="s">
        <v>938</v>
      </c>
      <c r="AF1335" t="s">
        <v>919</v>
      </c>
      <c r="AG1335" t="s">
        <v>756</v>
      </c>
      <c r="AH1335" t="s">
        <v>756</v>
      </c>
      <c r="AI1335" t="s">
        <v>367</v>
      </c>
      <c r="AJ1335" t="str">
        <f t="shared" ref="AJ1335:AK1335" si="1121">IF($J1335&lt;&gt;"",$J1335,IF($AC1335=$AC1334,AJ1334,""))</f>
        <v/>
      </c>
      <c r="AK1335" t="str">
        <f t="shared" si="1121"/>
        <v/>
      </c>
      <c r="AL1335" t="str">
        <f t="shared" si="1047"/>
        <v/>
      </c>
      <c r="AN1335" t="s">
        <v>861</v>
      </c>
      <c r="AO1335" t="str">
        <f t="shared" si="1048"/>
        <v>h</v>
      </c>
      <c r="AP1335" t="str">
        <f t="shared" si="1056"/>
        <v/>
      </c>
      <c r="AQ1335" t="str">
        <f t="shared" si="1057"/>
        <v/>
      </c>
      <c r="AR1335" t="str">
        <f t="shared" si="1058"/>
        <v>Home</v>
      </c>
      <c r="AS1335" t="str">
        <f t="shared" si="1059"/>
        <v>h</v>
      </c>
      <c r="AT1335" t="str">
        <f t="shared" si="1060"/>
        <v>Offensive</v>
      </c>
      <c r="BA1335" s="6">
        <f t="shared" si="1049"/>
        <v>309</v>
      </c>
      <c r="BB1335">
        <f t="shared" si="1050"/>
        <v>18981</v>
      </c>
      <c r="BC1335" t="str">
        <f t="shared" si="1051"/>
        <v>Nelson</v>
      </c>
      <c r="BD1335" t="str">
        <f t="shared" si="1052"/>
        <v>Velodrome</v>
      </c>
      <c r="BE1335" t="s">
        <v>9</v>
      </c>
      <c r="BF1335" t="s">
        <v>173</v>
      </c>
      <c r="BG1335" t="s">
        <v>73</v>
      </c>
      <c r="BI1335" cm="1">
        <f t="array" ref="BI1335">IFERROR(_xlfn._xlws.FILTER(shifts!A:A,(shifts!B:B=events!AD1335)*(shifts!AG:AG&gt;=events!BK1335)*(shifts!AH:AH&lt;=events!BL1335)),BI1334)</f>
        <v>60</v>
      </c>
      <c r="BJ1335" s="15">
        <f t="shared" si="1053"/>
        <v>0</v>
      </c>
      <c r="BK1335">
        <f t="shared" si="1061"/>
        <v>380</v>
      </c>
      <c r="BL1335">
        <f t="shared" si="1062"/>
        <v>380</v>
      </c>
      <c r="BM1335" s="15">
        <f>SUMIFS(BJ$2:BJ1335,K$2:K1335,"=Intermission")+SUMIFS(BJ$2:BJ1335,K$2:K1335,"=Timeout")</f>
        <v>72</v>
      </c>
      <c r="BN1335">
        <f t="shared" si="1063"/>
        <v>1152</v>
      </c>
      <c r="BO1335" s="19">
        <f t="shared" si="1064"/>
        <v>1852</v>
      </c>
      <c r="BP1335">
        <f t="shared" si="1065"/>
        <v>1847</v>
      </c>
      <c r="BQ1335" s="17">
        <f t="shared" si="1066"/>
        <v>1852</v>
      </c>
      <c r="BR1335" t="str">
        <f t="shared" si="1067"/>
        <v>event_team_player_1</v>
      </c>
      <c r="BS1335">
        <f>COUNTIFS(S$3:S1335,"="&amp;S1335,AI$3:AI1335,"="&amp;AI1335)</f>
        <v>1</v>
      </c>
      <c r="BT1335" t="str">
        <f>IFERROR(VLOOKUP(BB1335&amp;BU1335&amp;X1335,game_rosters!U:W,3,FALSE),"")</f>
        <v>P100079</v>
      </c>
      <c r="BU1335" t="str">
        <f t="shared" si="1068"/>
        <v>Nelson</v>
      </c>
    </row>
    <row r="1336" spans="1:73" x14ac:dyDescent="0.2">
      <c r="A1336">
        <f t="shared" si="1054"/>
        <v>1</v>
      </c>
      <c r="J1336" s="44" t="str">
        <f t="shared" si="1069"/>
        <v/>
      </c>
      <c r="K1336" t="s">
        <v>9</v>
      </c>
      <c r="L1336" t="s">
        <v>173</v>
      </c>
      <c r="M1336" t="s">
        <v>73</v>
      </c>
      <c r="S1336">
        <v>717</v>
      </c>
      <c r="W1336" t="str">
        <f t="shared" si="1045"/>
        <v>h</v>
      </c>
      <c r="X1336">
        <v>3</v>
      </c>
      <c r="Y1336" t="b">
        <f>IF(X1336&lt;&gt;"",VLOOKUP(X1336,game_rosters!$C$43:$E$64,3,FALSE))</f>
        <v>0</v>
      </c>
      <c r="Z1336" cm="1">
        <f t="array" ref="Z1336">IFERROR(IF(_xlfn._xlws.FILTER(game_rosters!$J:$J,(game_rosters!$G:$G=events!$AN1336)*(game_rosters!$J:$J=events!$X1336))&gt;0,1,""),"")</f>
        <v>1</v>
      </c>
      <c r="AA1336">
        <f t="shared" si="1093"/>
        <v>1717</v>
      </c>
      <c r="AB1336" t="str">
        <f t="shared" si="1094"/>
        <v/>
      </c>
      <c r="AC1336">
        <f t="shared" si="1042"/>
        <v>1717</v>
      </c>
      <c r="AD1336" s="6">
        <v>2</v>
      </c>
      <c r="AE1336" t="s">
        <v>938</v>
      </c>
      <c r="AF1336" t="s">
        <v>919</v>
      </c>
      <c r="AG1336" t="s">
        <v>756</v>
      </c>
      <c r="AH1336" t="s">
        <v>756</v>
      </c>
      <c r="AI1336" t="s">
        <v>367</v>
      </c>
      <c r="AJ1336" t="str">
        <f t="shared" ref="AJ1336:AK1336" si="1122">IF($J1336&lt;&gt;"",$J1336,IF($AC1336=$AC1335,AJ1335,""))</f>
        <v/>
      </c>
      <c r="AK1336" t="str">
        <f t="shared" si="1122"/>
        <v/>
      </c>
      <c r="AL1336" t="str">
        <f t="shared" si="1047"/>
        <v/>
      </c>
      <c r="AN1336" t="s">
        <v>861</v>
      </c>
      <c r="AO1336" t="str">
        <f t="shared" si="1048"/>
        <v>h</v>
      </c>
      <c r="AP1336" t="str">
        <f t="shared" si="1056"/>
        <v/>
      </c>
      <c r="AQ1336" t="str">
        <f t="shared" si="1057"/>
        <v/>
      </c>
      <c r="AR1336" t="str">
        <f t="shared" si="1058"/>
        <v>Home</v>
      </c>
      <c r="AS1336" t="str">
        <f t="shared" si="1059"/>
        <v>h</v>
      </c>
      <c r="AT1336" t="str">
        <f t="shared" si="1060"/>
        <v>Offensive</v>
      </c>
      <c r="BA1336" s="6">
        <f t="shared" si="1049"/>
        <v>309</v>
      </c>
      <c r="BB1336">
        <f t="shared" si="1050"/>
        <v>18981</v>
      </c>
      <c r="BC1336" t="str">
        <f t="shared" si="1051"/>
        <v>Nelson</v>
      </c>
      <c r="BD1336" t="str">
        <f t="shared" si="1052"/>
        <v>Velodrome</v>
      </c>
      <c r="BE1336" t="s">
        <v>9</v>
      </c>
      <c r="BF1336" t="s">
        <v>173</v>
      </c>
      <c r="BG1336" t="s">
        <v>73</v>
      </c>
      <c r="BI1336" cm="1">
        <f t="array" ref="BI1336">IFERROR(_xlfn._xlws.FILTER(shifts!A:A,(shifts!B:B=events!AD1336)*(shifts!AG:AG&gt;=events!BK1336)*(shifts!AH:AH&lt;=events!BL1336)),BI1335)</f>
        <v>60</v>
      </c>
      <c r="BJ1336" s="15">
        <f t="shared" si="1053"/>
        <v>0</v>
      </c>
      <c r="BK1336">
        <f t="shared" si="1061"/>
        <v>380</v>
      </c>
      <c r="BL1336">
        <f t="shared" si="1062"/>
        <v>380</v>
      </c>
      <c r="BM1336" s="15">
        <f>SUMIFS(BJ$2:BJ1336,K$2:K1336,"=Intermission")+SUMIFS(BJ$2:BJ1336,K$2:K1336,"=Timeout")</f>
        <v>72</v>
      </c>
      <c r="BN1336">
        <f t="shared" si="1063"/>
        <v>1152</v>
      </c>
      <c r="BO1336" s="19">
        <f t="shared" si="1064"/>
        <v>1852</v>
      </c>
      <c r="BP1336">
        <f t="shared" si="1065"/>
        <v>1847</v>
      </c>
      <c r="BQ1336" s="17">
        <f t="shared" si="1066"/>
        <v>1852</v>
      </c>
      <c r="BR1336" t="str">
        <f t="shared" si="1067"/>
        <v>event_team_player_2</v>
      </c>
      <c r="BS1336">
        <f>COUNTIFS(S$3:S1336,"="&amp;S1336,AI$3:AI1336,"="&amp;AI1336)</f>
        <v>2</v>
      </c>
      <c r="BT1336" t="str">
        <f>IFERROR(VLOOKUP(BB1336&amp;BU1336&amp;X1336,game_rosters!U:W,3,FALSE),"")</f>
        <v>P100111</v>
      </c>
      <c r="BU1336" t="str">
        <f t="shared" si="1068"/>
        <v>Nelson</v>
      </c>
    </row>
    <row r="1337" spans="1:73" x14ac:dyDescent="0.2">
      <c r="A1337">
        <f t="shared" si="1054"/>
        <v>1</v>
      </c>
      <c r="J1337" s="44" t="str">
        <f t="shared" si="1069"/>
        <v/>
      </c>
      <c r="K1337" t="s">
        <v>9</v>
      </c>
      <c r="L1337" t="s">
        <v>173</v>
      </c>
      <c r="M1337" t="s">
        <v>73</v>
      </c>
      <c r="S1337">
        <v>717</v>
      </c>
      <c r="W1337" t="str">
        <f t="shared" si="1045"/>
        <v>h</v>
      </c>
      <c r="X1337">
        <v>93</v>
      </c>
      <c r="Y1337" t="e">
        <f>IF(X1337&lt;&gt;"",VLOOKUP(X1337,game_rosters!$C$43:$E$64,3,FALSE))</f>
        <v>#N/A</v>
      </c>
      <c r="Z1337" t="str" cm="1">
        <f t="array" ref="Z1337">IFERROR(IF(_xlfn._xlws.FILTER(game_rosters!$J:$J,(game_rosters!$G:$G=events!$AN1337)*(game_rosters!$J:$J=events!$X1337))&gt;0,1,""),"")</f>
        <v/>
      </c>
      <c r="AA1337">
        <f t="shared" si="1093"/>
        <v>1717</v>
      </c>
      <c r="AB1337" t="str">
        <f t="shared" si="1094"/>
        <v/>
      </c>
      <c r="AC1337">
        <f t="shared" si="1042"/>
        <v>1717</v>
      </c>
      <c r="AD1337" s="6">
        <v>2</v>
      </c>
      <c r="AE1337" t="s">
        <v>938</v>
      </c>
      <c r="AF1337" t="s">
        <v>919</v>
      </c>
      <c r="AG1337" t="s">
        <v>756</v>
      </c>
      <c r="AH1337" t="s">
        <v>756</v>
      </c>
      <c r="AI1337" t="s">
        <v>368</v>
      </c>
      <c r="AJ1337" t="str">
        <f t="shared" ref="AJ1337:AK1337" si="1123">IF($J1337&lt;&gt;"",$J1337,IF($AC1337=$AC1336,AJ1336,""))</f>
        <v/>
      </c>
      <c r="AK1337" t="str">
        <f t="shared" si="1123"/>
        <v/>
      </c>
      <c r="AL1337" t="str">
        <f t="shared" si="1047"/>
        <v/>
      </c>
      <c r="AN1337" t="s">
        <v>861</v>
      </c>
      <c r="AO1337" t="str">
        <f t="shared" si="1048"/>
        <v>h</v>
      </c>
      <c r="AP1337" t="str">
        <f t="shared" si="1056"/>
        <v/>
      </c>
      <c r="AQ1337" t="str">
        <f t="shared" si="1057"/>
        <v/>
      </c>
      <c r="AR1337" t="str">
        <f t="shared" si="1058"/>
        <v>Home</v>
      </c>
      <c r="AS1337" t="str">
        <f t="shared" si="1059"/>
        <v>h</v>
      </c>
      <c r="AT1337" t="str">
        <f t="shared" si="1060"/>
        <v>Defensive</v>
      </c>
      <c r="BA1337" s="6">
        <f t="shared" si="1049"/>
        <v>309</v>
      </c>
      <c r="BB1337">
        <f t="shared" si="1050"/>
        <v>18981</v>
      </c>
      <c r="BC1337" t="str">
        <f t="shared" si="1051"/>
        <v>Nelson</v>
      </c>
      <c r="BD1337" t="str">
        <f t="shared" si="1052"/>
        <v>Velodrome</v>
      </c>
      <c r="BE1337" t="s">
        <v>9</v>
      </c>
      <c r="BF1337" t="s">
        <v>173</v>
      </c>
      <c r="BG1337" t="s">
        <v>73</v>
      </c>
      <c r="BI1337" cm="1">
        <f t="array" ref="BI1337">IFERROR(_xlfn._xlws.FILTER(shifts!A:A,(shifts!B:B=events!AD1337)*(shifts!AG:AG&gt;=events!BK1337)*(shifts!AH:AH&lt;=events!BL1337)),BI1336)</f>
        <v>60</v>
      </c>
      <c r="BJ1337" s="15">
        <f t="shared" si="1053"/>
        <v>0</v>
      </c>
      <c r="BK1337">
        <f t="shared" si="1061"/>
        <v>380</v>
      </c>
      <c r="BL1337">
        <f t="shared" si="1062"/>
        <v>380</v>
      </c>
      <c r="BM1337" s="15">
        <f>SUMIFS(BJ$2:BJ1337,K$2:K1337,"=Intermission")+SUMIFS(BJ$2:BJ1337,K$2:K1337,"=Timeout")</f>
        <v>72</v>
      </c>
      <c r="BN1337">
        <f t="shared" si="1063"/>
        <v>1152</v>
      </c>
      <c r="BO1337" s="19">
        <f t="shared" si="1064"/>
        <v>1852</v>
      </c>
      <c r="BP1337">
        <f t="shared" si="1065"/>
        <v>1847</v>
      </c>
      <c r="BQ1337" s="17">
        <f t="shared" si="1066"/>
        <v>1852</v>
      </c>
      <c r="BR1337" t="str">
        <f t="shared" si="1067"/>
        <v>opp_team_player_1</v>
      </c>
      <c r="BS1337">
        <f>COUNTIFS(S$3:S1337,"="&amp;S1337,AI$3:AI1337,"="&amp;AI1337)</f>
        <v>1</v>
      </c>
      <c r="BT1337" t="str">
        <f>IFERROR(VLOOKUP(BB1337&amp;BU1337&amp;X1337,game_rosters!U:W,3,FALSE),"")</f>
        <v>P100093</v>
      </c>
      <c r="BU1337" t="str">
        <f t="shared" si="1068"/>
        <v>Velodrome</v>
      </c>
    </row>
    <row r="1338" spans="1:73" x14ac:dyDescent="0.2">
      <c r="A1338">
        <f t="shared" si="1054"/>
        <v>1</v>
      </c>
      <c r="J1338" s="44" t="str">
        <f t="shared" si="1069"/>
        <v>d</v>
      </c>
      <c r="K1338" t="s">
        <v>238</v>
      </c>
      <c r="L1338" t="s">
        <v>184</v>
      </c>
      <c r="M1338" t="s">
        <v>88</v>
      </c>
      <c r="S1338">
        <v>718</v>
      </c>
      <c r="W1338" t="str">
        <f t="shared" si="1045"/>
        <v>a</v>
      </c>
      <c r="X1338">
        <v>93</v>
      </c>
      <c r="Y1338" t="e">
        <f>IF(X1338&lt;&gt;"",VLOOKUP(X1338,game_rosters!$C$43:$E$64,3,FALSE))</f>
        <v>#N/A</v>
      </c>
      <c r="Z1338" cm="1">
        <f t="array" ref="Z1338">IFERROR(IF(_xlfn._xlws.FILTER(game_rosters!$J:$J,(game_rosters!$G:$G=events!$AN1338)*(game_rosters!$J:$J=events!$X1338))&gt;0,1,""),"")</f>
        <v>1</v>
      </c>
      <c r="AA1338">
        <f t="shared" si="1093"/>
        <v>1718</v>
      </c>
      <c r="AB1338" t="str">
        <f t="shared" si="1094"/>
        <v/>
      </c>
      <c r="AC1338">
        <f t="shared" si="1042"/>
        <v>1718</v>
      </c>
      <c r="AD1338" s="6">
        <v>2</v>
      </c>
      <c r="AE1338" t="s">
        <v>938</v>
      </c>
      <c r="AF1338" t="s">
        <v>908</v>
      </c>
      <c r="AG1338" t="s">
        <v>938</v>
      </c>
      <c r="AH1338" t="s">
        <v>909</v>
      </c>
      <c r="AI1338" t="s">
        <v>367</v>
      </c>
      <c r="AJ1338" t="str">
        <f t="shared" ref="AJ1338:AK1338" si="1124">IF($J1338&lt;&gt;"",$J1338,IF($AC1338=$AC1337,AJ1337,""))</f>
        <v>d</v>
      </c>
      <c r="AK1338" t="str">
        <f t="shared" si="1124"/>
        <v>d</v>
      </c>
      <c r="AL1338" t="str">
        <f t="shared" si="1047"/>
        <v>o</v>
      </c>
      <c r="AN1338" t="s">
        <v>862</v>
      </c>
      <c r="AO1338" t="str">
        <f t="shared" si="1048"/>
        <v>a</v>
      </c>
      <c r="AP1338" t="str">
        <f t="shared" si="1056"/>
        <v>o</v>
      </c>
      <c r="AQ1338" t="str">
        <f t="shared" si="1057"/>
        <v/>
      </c>
      <c r="AR1338" t="str">
        <f t="shared" si="1058"/>
        <v>Away</v>
      </c>
      <c r="AS1338" t="str">
        <f t="shared" si="1059"/>
        <v>a</v>
      </c>
      <c r="AT1338" t="str">
        <f t="shared" si="1060"/>
        <v>Offensive</v>
      </c>
      <c r="BA1338" s="6">
        <f t="shared" si="1049"/>
        <v>310</v>
      </c>
      <c r="BB1338">
        <f t="shared" si="1050"/>
        <v>18981</v>
      </c>
      <c r="BC1338" t="str">
        <f t="shared" si="1051"/>
        <v>Nelson</v>
      </c>
      <c r="BD1338" t="str">
        <f t="shared" si="1052"/>
        <v>Velodrome</v>
      </c>
      <c r="BE1338" t="s">
        <v>238</v>
      </c>
      <c r="BF1338" t="s">
        <v>184</v>
      </c>
      <c r="BG1338" t="s">
        <v>88</v>
      </c>
      <c r="BI1338" cm="1">
        <f t="array" ref="BI1338">IFERROR(_xlfn._xlws.FILTER(shifts!A:A,(shifts!B:B=events!AD1338)*(shifts!AG:AG&gt;=events!BK1338)*(shifts!AH:AH&lt;=events!BL1338)),BI1337)</f>
        <v>60</v>
      </c>
      <c r="BJ1338" s="15">
        <f t="shared" si="1053"/>
        <v>3</v>
      </c>
      <c r="BK1338">
        <f t="shared" si="1061"/>
        <v>379</v>
      </c>
      <c r="BL1338">
        <f t="shared" si="1062"/>
        <v>376</v>
      </c>
      <c r="BM1338" s="15">
        <f>SUMIFS(BJ$2:BJ1338,K$2:K1338,"=Intermission")+SUMIFS(BJ$2:BJ1338,K$2:K1338,"=Timeout")</f>
        <v>72</v>
      </c>
      <c r="BN1338">
        <f t="shared" si="1063"/>
        <v>1152</v>
      </c>
      <c r="BO1338" s="19">
        <f t="shared" si="1064"/>
        <v>1853</v>
      </c>
      <c r="BP1338">
        <f t="shared" si="1065"/>
        <v>1848</v>
      </c>
      <c r="BQ1338" s="17">
        <f t="shared" si="1066"/>
        <v>1856</v>
      </c>
      <c r="BR1338" t="str">
        <f t="shared" si="1067"/>
        <v>event_team_player_1</v>
      </c>
      <c r="BS1338">
        <f>COUNTIFS(S$3:S1338,"="&amp;S1338,AI$3:AI1338,"="&amp;AI1338)</f>
        <v>1</v>
      </c>
      <c r="BT1338" t="str">
        <f>IFERROR(VLOOKUP(BB1338&amp;BU1338&amp;X1338,game_rosters!U:W,3,FALSE),"")</f>
        <v>P100093</v>
      </c>
      <c r="BU1338" t="str">
        <f t="shared" si="1068"/>
        <v>Velodrome</v>
      </c>
    </row>
    <row r="1339" spans="1:73" x14ac:dyDescent="0.2">
      <c r="A1339">
        <f t="shared" si="1054"/>
        <v>1</v>
      </c>
      <c r="J1339" s="44" t="str">
        <f t="shared" si="1069"/>
        <v/>
      </c>
      <c r="K1339" t="s">
        <v>13</v>
      </c>
      <c r="L1339" t="s">
        <v>756</v>
      </c>
      <c r="M1339" t="s">
        <v>756</v>
      </c>
      <c r="S1339">
        <v>719</v>
      </c>
      <c r="W1339" t="str">
        <f t="shared" si="1045"/>
        <v>a</v>
      </c>
      <c r="X1339">
        <v>93</v>
      </c>
      <c r="Y1339" t="e">
        <f>IF(X1339&lt;&gt;"",VLOOKUP(X1339,game_rosters!$C$43:$E$64,3,FALSE))</f>
        <v>#N/A</v>
      </c>
      <c r="Z1339" cm="1">
        <f t="array" ref="Z1339">IFERROR(IF(_xlfn._xlws.FILTER(game_rosters!$J:$J,(game_rosters!$G:$G=events!$AN1339)*(game_rosters!$J:$J=events!$X1339))&gt;0,1,""),"")</f>
        <v>1</v>
      </c>
      <c r="AA1339">
        <f t="shared" si="1093"/>
        <v>1719</v>
      </c>
      <c r="AB1339" t="str">
        <f t="shared" si="1094"/>
        <v/>
      </c>
      <c r="AC1339">
        <f t="shared" si="1042"/>
        <v>1719</v>
      </c>
      <c r="AD1339" s="6">
        <v>2</v>
      </c>
      <c r="AE1339" t="s">
        <v>938</v>
      </c>
      <c r="AF1339" t="s">
        <v>909</v>
      </c>
      <c r="AG1339" t="s">
        <v>938</v>
      </c>
      <c r="AH1339" t="s">
        <v>745</v>
      </c>
      <c r="AI1339" t="s">
        <v>367</v>
      </c>
      <c r="AJ1339" t="str">
        <f t="shared" ref="AJ1339:AK1339" si="1125">IF($J1339&lt;&gt;"",$J1339,IF($AC1339=$AC1338,AJ1338,""))</f>
        <v/>
      </c>
      <c r="AK1339" t="str">
        <f t="shared" si="1125"/>
        <v/>
      </c>
      <c r="AL1339" t="str">
        <f t="shared" si="1047"/>
        <v/>
      </c>
      <c r="AN1339" t="s">
        <v>862</v>
      </c>
      <c r="AO1339" t="str">
        <f t="shared" si="1048"/>
        <v>a</v>
      </c>
      <c r="AP1339" t="str">
        <f t="shared" si="1056"/>
        <v/>
      </c>
      <c r="AQ1339" t="str">
        <f t="shared" si="1057"/>
        <v/>
      </c>
      <c r="AR1339" t="str">
        <f t="shared" si="1058"/>
        <v>Away</v>
      </c>
      <c r="AS1339" t="str">
        <f t="shared" si="1059"/>
        <v>a</v>
      </c>
      <c r="AT1339" t="str">
        <f t="shared" si="1060"/>
        <v>Offensive</v>
      </c>
      <c r="BA1339" s="6">
        <f t="shared" si="1049"/>
        <v>310</v>
      </c>
      <c r="BB1339">
        <f t="shared" si="1050"/>
        <v>18981</v>
      </c>
      <c r="BC1339" t="str">
        <f t="shared" si="1051"/>
        <v>Nelson</v>
      </c>
      <c r="BD1339" t="str">
        <f t="shared" si="1052"/>
        <v>Velodrome</v>
      </c>
      <c r="BE1339" t="s">
        <v>13</v>
      </c>
      <c r="BF1339" t="s">
        <v>756</v>
      </c>
      <c r="BG1339" t="s">
        <v>756</v>
      </c>
      <c r="BI1339" cm="1">
        <f t="array" ref="BI1339">IFERROR(_xlfn._xlws.FILTER(shifts!A:A,(shifts!B:B=events!AD1339)*(shifts!AG:AG&gt;=events!BK1339)*(shifts!AH:AH&lt;=events!BL1339)),BI1338)</f>
        <v>60</v>
      </c>
      <c r="BJ1339" s="15">
        <f t="shared" si="1053"/>
        <v>2</v>
      </c>
      <c r="BK1339">
        <f t="shared" si="1061"/>
        <v>376</v>
      </c>
      <c r="BL1339">
        <f t="shared" si="1062"/>
        <v>374</v>
      </c>
      <c r="BM1339" s="15">
        <f>SUMIFS(BJ$2:BJ1339,K$2:K1339,"=Intermission")+SUMIFS(BJ$2:BJ1339,K$2:K1339,"=Timeout")</f>
        <v>72</v>
      </c>
      <c r="BN1339">
        <f t="shared" si="1063"/>
        <v>1152</v>
      </c>
      <c r="BO1339" s="19">
        <f t="shared" si="1064"/>
        <v>1856</v>
      </c>
      <c r="BP1339">
        <f t="shared" si="1065"/>
        <v>1851</v>
      </c>
      <c r="BQ1339" s="17">
        <f t="shared" si="1066"/>
        <v>1858</v>
      </c>
      <c r="BR1339" t="str">
        <f t="shared" si="1067"/>
        <v>event_team_player_1</v>
      </c>
      <c r="BS1339">
        <f>COUNTIFS(S$3:S1339,"="&amp;S1339,AI$3:AI1339,"="&amp;AI1339)</f>
        <v>1</v>
      </c>
      <c r="BT1339" t="str">
        <f>IFERROR(VLOOKUP(BB1339&amp;BU1339&amp;X1339,game_rosters!U:W,3,FALSE),"")</f>
        <v>P100093</v>
      </c>
      <c r="BU1339" t="str">
        <f t="shared" si="1068"/>
        <v>Velodrome</v>
      </c>
    </row>
    <row r="1340" spans="1:73" x14ac:dyDescent="0.2">
      <c r="A1340">
        <f t="shared" si="1054"/>
        <v>1</v>
      </c>
      <c r="J1340" s="44" t="str">
        <f t="shared" si="1069"/>
        <v>o</v>
      </c>
      <c r="K1340" t="s">
        <v>238</v>
      </c>
      <c r="L1340" t="s">
        <v>174</v>
      </c>
      <c r="M1340" t="s">
        <v>85</v>
      </c>
      <c r="S1340">
        <v>720</v>
      </c>
      <c r="W1340" t="str">
        <f t="shared" si="1045"/>
        <v>a</v>
      </c>
      <c r="X1340">
        <v>93</v>
      </c>
      <c r="Y1340" t="e">
        <f>IF(X1340&lt;&gt;"",VLOOKUP(X1340,game_rosters!$C$43:$E$64,3,FALSE))</f>
        <v>#N/A</v>
      </c>
      <c r="Z1340" cm="1">
        <f t="array" ref="Z1340">IFERROR(IF(_xlfn._xlws.FILTER(game_rosters!$J:$J,(game_rosters!$G:$G=events!$AN1340)*(game_rosters!$J:$J=events!$X1340))&gt;0,1,""),"")</f>
        <v>1</v>
      </c>
      <c r="AA1340">
        <f t="shared" si="1093"/>
        <v>1720</v>
      </c>
      <c r="AB1340" t="str">
        <f t="shared" si="1094"/>
        <v/>
      </c>
      <c r="AC1340">
        <f t="shared" si="1042"/>
        <v>1720</v>
      </c>
      <c r="AD1340" s="6">
        <v>2</v>
      </c>
      <c r="AE1340" t="s">
        <v>938</v>
      </c>
      <c r="AF1340" t="s">
        <v>745</v>
      </c>
      <c r="AG1340" t="s">
        <v>938</v>
      </c>
      <c r="AH1340" t="s">
        <v>926</v>
      </c>
      <c r="AI1340" t="s">
        <v>367</v>
      </c>
      <c r="AJ1340" t="str">
        <f t="shared" ref="AJ1340:AK1340" si="1126">IF($J1340&lt;&gt;"",$J1340,IF($AC1340=$AC1339,AJ1339,""))</f>
        <v>o</v>
      </c>
      <c r="AK1340" t="str">
        <f t="shared" si="1126"/>
        <v>o</v>
      </c>
      <c r="AL1340" t="str">
        <f t="shared" si="1047"/>
        <v>d</v>
      </c>
      <c r="AN1340" t="s">
        <v>862</v>
      </c>
      <c r="AO1340" t="str">
        <f t="shared" si="1048"/>
        <v>a</v>
      </c>
      <c r="AP1340" t="str">
        <f t="shared" si="1056"/>
        <v>d</v>
      </c>
      <c r="AQ1340" t="str">
        <f t="shared" si="1057"/>
        <v/>
      </c>
      <c r="AR1340" t="str">
        <f t="shared" si="1058"/>
        <v>Away</v>
      </c>
      <c r="AS1340" t="str">
        <f t="shared" si="1059"/>
        <v>a</v>
      </c>
      <c r="AT1340" t="str">
        <f t="shared" si="1060"/>
        <v>Offensive</v>
      </c>
      <c r="BA1340" s="6">
        <f t="shared" si="1049"/>
        <v>311</v>
      </c>
      <c r="BB1340">
        <f t="shared" si="1050"/>
        <v>18981</v>
      </c>
      <c r="BC1340" t="str">
        <f t="shared" si="1051"/>
        <v>Nelson</v>
      </c>
      <c r="BD1340" t="str">
        <f t="shared" si="1052"/>
        <v>Velodrome</v>
      </c>
      <c r="BE1340" t="s">
        <v>238</v>
      </c>
      <c r="BF1340" t="s">
        <v>174</v>
      </c>
      <c r="BG1340" t="s">
        <v>85</v>
      </c>
      <c r="BI1340" cm="1">
        <f t="array" ref="BI1340">IFERROR(_xlfn._xlws.FILTER(shifts!A:A,(shifts!B:B=events!AD1340)*(shifts!AG:AG&gt;=events!BK1340)*(shifts!AH:AH&lt;=events!BL1340)),BI1339)</f>
        <v>60</v>
      </c>
      <c r="BJ1340" s="15">
        <f t="shared" si="1053"/>
        <v>1</v>
      </c>
      <c r="BK1340">
        <f t="shared" si="1061"/>
        <v>374</v>
      </c>
      <c r="BL1340">
        <f t="shared" si="1062"/>
        <v>373</v>
      </c>
      <c r="BM1340" s="15">
        <f>SUMIFS(BJ$2:BJ1340,K$2:K1340,"=Intermission")+SUMIFS(BJ$2:BJ1340,K$2:K1340,"=Timeout")</f>
        <v>72</v>
      </c>
      <c r="BN1340">
        <f t="shared" si="1063"/>
        <v>1152</v>
      </c>
      <c r="BO1340" s="19">
        <f t="shared" si="1064"/>
        <v>1858</v>
      </c>
      <c r="BP1340">
        <f t="shared" si="1065"/>
        <v>1853</v>
      </c>
      <c r="BQ1340" s="17">
        <f t="shared" si="1066"/>
        <v>1859</v>
      </c>
      <c r="BR1340" t="str">
        <f t="shared" si="1067"/>
        <v>event_team_player_1</v>
      </c>
      <c r="BS1340">
        <f>COUNTIFS(S$3:S1340,"="&amp;S1340,AI$3:AI1340,"="&amp;AI1340)</f>
        <v>1</v>
      </c>
      <c r="BT1340" t="str">
        <f>IFERROR(VLOOKUP(BB1340&amp;BU1340&amp;X1340,game_rosters!U:W,3,FALSE),"")</f>
        <v>P100093</v>
      </c>
      <c r="BU1340" t="str">
        <f t="shared" si="1068"/>
        <v>Velodrome</v>
      </c>
    </row>
    <row r="1341" spans="1:73" x14ac:dyDescent="0.2">
      <c r="A1341">
        <f t="shared" si="1054"/>
        <v>1</v>
      </c>
      <c r="J1341" s="44" t="str">
        <f t="shared" si="1069"/>
        <v>o</v>
      </c>
      <c r="K1341" t="s">
        <v>238</v>
      </c>
      <c r="L1341" t="s">
        <v>174</v>
      </c>
      <c r="M1341" t="s">
        <v>85</v>
      </c>
      <c r="S1341">
        <v>720</v>
      </c>
      <c r="W1341" t="str">
        <f t="shared" si="1045"/>
        <v>a</v>
      </c>
      <c r="X1341">
        <v>8</v>
      </c>
      <c r="Y1341" t="b">
        <f>IF(X1341&lt;&gt;"",VLOOKUP(X1341,game_rosters!$C$43:$E$64,3,FALSE))</f>
        <v>0</v>
      </c>
      <c r="Z1341" t="str" cm="1">
        <f t="array" ref="Z1341">IFERROR(IF(_xlfn._xlws.FILTER(game_rosters!$J:$J,(game_rosters!$G:$G=events!$AN1341)*(game_rosters!$J:$J=events!$X1341))&gt;0,1,""),"")</f>
        <v/>
      </c>
      <c r="AA1341">
        <f t="shared" si="1093"/>
        <v>1720</v>
      </c>
      <c r="AB1341" t="str">
        <f t="shared" si="1094"/>
        <v/>
      </c>
      <c r="AC1341">
        <f t="shared" si="1042"/>
        <v>1720</v>
      </c>
      <c r="AD1341" s="6">
        <v>2</v>
      </c>
      <c r="AE1341" t="s">
        <v>938</v>
      </c>
      <c r="AF1341" t="s">
        <v>745</v>
      </c>
      <c r="AG1341" t="s">
        <v>938</v>
      </c>
      <c r="AH1341" t="s">
        <v>926</v>
      </c>
      <c r="AI1341" t="s">
        <v>368</v>
      </c>
      <c r="AJ1341" t="str">
        <f t="shared" ref="AJ1341:AK1341" si="1127">IF($J1341&lt;&gt;"",$J1341,IF($AC1341=$AC1340,AJ1340,""))</f>
        <v>o</v>
      </c>
      <c r="AK1341" t="str">
        <f t="shared" si="1127"/>
        <v>o</v>
      </c>
      <c r="AL1341" t="str">
        <f t="shared" si="1047"/>
        <v>d</v>
      </c>
      <c r="AN1341" t="s">
        <v>862</v>
      </c>
      <c r="AO1341" t="str">
        <f t="shared" si="1048"/>
        <v>a</v>
      </c>
      <c r="AP1341" t="str">
        <f t="shared" si="1056"/>
        <v>d</v>
      </c>
      <c r="AQ1341" t="str">
        <f t="shared" si="1057"/>
        <v/>
      </c>
      <c r="AR1341" t="str">
        <f t="shared" si="1058"/>
        <v>Away</v>
      </c>
      <c r="AS1341" t="str">
        <f t="shared" si="1059"/>
        <v>a</v>
      </c>
      <c r="AT1341" t="str">
        <f t="shared" si="1060"/>
        <v>Defensive</v>
      </c>
      <c r="BA1341" s="6">
        <f t="shared" si="1049"/>
        <v>312</v>
      </c>
      <c r="BB1341">
        <f t="shared" si="1050"/>
        <v>18981</v>
      </c>
      <c r="BC1341" t="str">
        <f t="shared" si="1051"/>
        <v>Nelson</v>
      </c>
      <c r="BD1341" t="str">
        <f t="shared" si="1052"/>
        <v>Velodrome</v>
      </c>
      <c r="BE1341" t="s">
        <v>238</v>
      </c>
      <c r="BF1341" t="s">
        <v>174</v>
      </c>
      <c r="BG1341" t="s">
        <v>85</v>
      </c>
      <c r="BI1341" cm="1">
        <f t="array" ref="BI1341">IFERROR(_xlfn._xlws.FILTER(shifts!A:A,(shifts!B:B=events!AD1341)*(shifts!AG:AG&gt;=events!BK1341)*(shifts!AH:AH&lt;=events!BL1341)),BI1340)</f>
        <v>60</v>
      </c>
      <c r="BJ1341" s="15">
        <f t="shared" si="1053"/>
        <v>1</v>
      </c>
      <c r="BK1341">
        <f t="shared" si="1061"/>
        <v>374</v>
      </c>
      <c r="BL1341">
        <f t="shared" si="1062"/>
        <v>373</v>
      </c>
      <c r="BM1341" s="15">
        <f>SUMIFS(BJ$2:BJ1341,K$2:K1341,"=Intermission")+SUMIFS(BJ$2:BJ1341,K$2:K1341,"=Timeout")</f>
        <v>72</v>
      </c>
      <c r="BN1341">
        <f t="shared" si="1063"/>
        <v>1152</v>
      </c>
      <c r="BO1341" s="19">
        <f t="shared" si="1064"/>
        <v>1858</v>
      </c>
      <c r="BP1341">
        <f t="shared" si="1065"/>
        <v>1853</v>
      </c>
      <c r="BQ1341" s="17">
        <f t="shared" si="1066"/>
        <v>1859</v>
      </c>
      <c r="BR1341" t="str">
        <f t="shared" si="1067"/>
        <v>opp_team_player_1</v>
      </c>
      <c r="BS1341">
        <f>COUNTIFS(S$3:S1341,"="&amp;S1341,AI$3:AI1341,"="&amp;AI1341)</f>
        <v>1</v>
      </c>
      <c r="BT1341" t="str">
        <f>IFERROR(VLOOKUP(BB1341&amp;BU1341&amp;X1341,game_rosters!U:W,3,FALSE),"")</f>
        <v>P100074</v>
      </c>
      <c r="BU1341" t="str">
        <f t="shared" si="1068"/>
        <v>Nelson</v>
      </c>
    </row>
    <row r="1342" spans="1:73" x14ac:dyDescent="0.2">
      <c r="A1342">
        <f t="shared" si="1054"/>
        <v>1</v>
      </c>
      <c r="J1342" s="44" t="str">
        <f t="shared" si="1069"/>
        <v>o</v>
      </c>
      <c r="K1342" t="s">
        <v>6</v>
      </c>
      <c r="L1342" t="s">
        <v>181</v>
      </c>
      <c r="M1342" t="s">
        <v>51</v>
      </c>
      <c r="S1342">
        <v>721</v>
      </c>
      <c r="W1342" t="str">
        <f t="shared" si="1045"/>
        <v>a</v>
      </c>
      <c r="X1342">
        <v>93</v>
      </c>
      <c r="Y1342" t="e">
        <f>IF(X1342&lt;&gt;"",VLOOKUP(X1342,game_rosters!$C$43:$E$64,3,FALSE))</f>
        <v>#N/A</v>
      </c>
      <c r="Z1342" cm="1">
        <f t="array" ref="Z1342">IFERROR(IF(_xlfn._xlws.FILTER(game_rosters!$J:$J,(game_rosters!$G:$G=events!$AN1342)*(game_rosters!$J:$J=events!$X1342))&gt;0,1,""),"")</f>
        <v>1</v>
      </c>
      <c r="AA1342">
        <f t="shared" si="1093"/>
        <v>1721</v>
      </c>
      <c r="AB1342" t="str">
        <f t="shared" si="1094"/>
        <v/>
      </c>
      <c r="AC1342">
        <f t="shared" si="1042"/>
        <v>1721</v>
      </c>
      <c r="AD1342" s="6">
        <v>2</v>
      </c>
      <c r="AE1342" t="s">
        <v>938</v>
      </c>
      <c r="AF1342" t="s">
        <v>926</v>
      </c>
      <c r="AG1342" t="s">
        <v>756</v>
      </c>
      <c r="AH1342" t="s">
        <v>756</v>
      </c>
      <c r="AI1342" t="s">
        <v>367</v>
      </c>
      <c r="AJ1342" t="str">
        <f t="shared" ref="AJ1342:AK1342" si="1128">IF($J1342&lt;&gt;"",$J1342,IF($AC1342=$AC1341,AJ1341,""))</f>
        <v>o</v>
      </c>
      <c r="AK1342" t="str">
        <f t="shared" si="1128"/>
        <v>o</v>
      </c>
      <c r="AL1342" t="str">
        <f t="shared" si="1047"/>
        <v>d</v>
      </c>
      <c r="AN1342" t="s">
        <v>862</v>
      </c>
      <c r="AO1342" t="str">
        <f t="shared" si="1048"/>
        <v>a</v>
      </c>
      <c r="AP1342" t="str">
        <f t="shared" si="1056"/>
        <v>d</v>
      </c>
      <c r="AQ1342" t="str">
        <f t="shared" si="1057"/>
        <v/>
      </c>
      <c r="AR1342" t="str">
        <f t="shared" si="1058"/>
        <v>Away</v>
      </c>
      <c r="AS1342" t="str">
        <f t="shared" si="1059"/>
        <v>a</v>
      </c>
      <c r="AT1342" t="str">
        <f t="shared" si="1060"/>
        <v>Offensive</v>
      </c>
      <c r="BA1342" s="6">
        <f t="shared" si="1049"/>
        <v>312</v>
      </c>
      <c r="BB1342">
        <f t="shared" si="1050"/>
        <v>18981</v>
      </c>
      <c r="BC1342" t="str">
        <f t="shared" si="1051"/>
        <v>Nelson</v>
      </c>
      <c r="BD1342" t="str">
        <f t="shared" si="1052"/>
        <v>Velodrome</v>
      </c>
      <c r="BE1342" t="s">
        <v>6</v>
      </c>
      <c r="BF1342" t="s">
        <v>181</v>
      </c>
      <c r="BG1342" t="s">
        <v>51</v>
      </c>
      <c r="BI1342" cm="1">
        <f t="array" ref="BI1342">IFERROR(_xlfn._xlws.FILTER(shifts!A:A,(shifts!B:B=events!AD1342)*(shifts!AG:AG&gt;=events!BK1342)*(shifts!AH:AH&lt;=events!BL1342)),BI1341)</f>
        <v>60</v>
      </c>
      <c r="BJ1342" s="15">
        <f t="shared" si="1053"/>
        <v>0</v>
      </c>
      <c r="BK1342">
        <f t="shared" si="1061"/>
        <v>373</v>
      </c>
      <c r="BL1342">
        <f t="shared" si="1062"/>
        <v>373</v>
      </c>
      <c r="BM1342" s="15">
        <f>SUMIFS(BJ$2:BJ1342,K$2:K1342,"=Intermission")+SUMIFS(BJ$2:BJ1342,K$2:K1342,"=Timeout")</f>
        <v>72</v>
      </c>
      <c r="BN1342">
        <f t="shared" si="1063"/>
        <v>1152</v>
      </c>
      <c r="BO1342" s="19">
        <f t="shared" si="1064"/>
        <v>1859</v>
      </c>
      <c r="BP1342">
        <f t="shared" si="1065"/>
        <v>1854</v>
      </c>
      <c r="BQ1342" s="17">
        <f t="shared" si="1066"/>
        <v>1859</v>
      </c>
      <c r="BR1342" t="str">
        <f t="shared" si="1067"/>
        <v>event_team_player_1</v>
      </c>
      <c r="BS1342">
        <f>COUNTIFS(S$3:S1342,"="&amp;S1342,AI$3:AI1342,"="&amp;AI1342)</f>
        <v>1</v>
      </c>
      <c r="BT1342" t="str">
        <f>IFERROR(VLOOKUP(BB1342&amp;BU1342&amp;X1342,game_rosters!U:W,3,FALSE),"")</f>
        <v>P100093</v>
      </c>
      <c r="BU1342" t="str">
        <f t="shared" si="1068"/>
        <v>Velodrome</v>
      </c>
    </row>
    <row r="1343" spans="1:73" x14ac:dyDescent="0.2">
      <c r="A1343">
        <f t="shared" si="1054"/>
        <v>1</v>
      </c>
      <c r="J1343" s="44" t="str">
        <f t="shared" si="1069"/>
        <v/>
      </c>
      <c r="K1343" t="s">
        <v>13</v>
      </c>
      <c r="L1343" t="s">
        <v>756</v>
      </c>
      <c r="M1343" t="s">
        <v>756</v>
      </c>
      <c r="S1343">
        <v>722</v>
      </c>
      <c r="W1343" t="str">
        <f t="shared" si="1045"/>
        <v>h</v>
      </c>
      <c r="X1343">
        <v>80</v>
      </c>
      <c r="Y1343" t="b">
        <f>IF(X1343&lt;&gt;"",VLOOKUP(X1343,game_rosters!$C$43:$E$64,3,FALSE))</f>
        <v>0</v>
      </c>
      <c r="Z1343" cm="1">
        <f t="array" ref="Z1343">IFERROR(IF(_xlfn._xlws.FILTER(game_rosters!$J:$J,(game_rosters!$G:$G=events!$AN1343)*(game_rosters!$J:$J=events!$X1343))&gt;0,1,""),"")</f>
        <v>1</v>
      </c>
      <c r="AA1343">
        <f t="shared" si="1093"/>
        <v>1722</v>
      </c>
      <c r="AB1343" t="str">
        <f t="shared" si="1094"/>
        <v/>
      </c>
      <c r="AC1343">
        <f t="shared" si="1042"/>
        <v>1722</v>
      </c>
      <c r="AD1343" s="6">
        <v>2</v>
      </c>
      <c r="AE1343" t="s">
        <v>938</v>
      </c>
      <c r="AF1343" t="s">
        <v>911</v>
      </c>
      <c r="AG1343" t="s">
        <v>938</v>
      </c>
      <c r="AH1343" t="s">
        <v>931</v>
      </c>
      <c r="AI1343" t="s">
        <v>367</v>
      </c>
      <c r="AJ1343" t="str">
        <f t="shared" ref="AJ1343:AK1343" si="1129">IF($J1343&lt;&gt;"",$J1343,IF($AC1343=$AC1342,AJ1342,""))</f>
        <v/>
      </c>
      <c r="AK1343" t="str">
        <f t="shared" si="1129"/>
        <v/>
      </c>
      <c r="AL1343" t="str">
        <f t="shared" si="1047"/>
        <v/>
      </c>
      <c r="AN1343" t="s">
        <v>861</v>
      </c>
      <c r="AO1343" t="str">
        <f t="shared" si="1048"/>
        <v>h</v>
      </c>
      <c r="AP1343" t="str">
        <f t="shared" si="1056"/>
        <v/>
      </c>
      <c r="AQ1343" t="str">
        <f t="shared" si="1057"/>
        <v/>
      </c>
      <c r="AR1343" t="str">
        <f t="shared" si="1058"/>
        <v>Home</v>
      </c>
      <c r="AS1343" t="str">
        <f t="shared" si="1059"/>
        <v>h</v>
      </c>
      <c r="AT1343" t="str">
        <f t="shared" si="1060"/>
        <v>Offensive</v>
      </c>
      <c r="BA1343" s="6">
        <f t="shared" si="1049"/>
        <v>312</v>
      </c>
      <c r="BB1343">
        <f t="shared" si="1050"/>
        <v>18981</v>
      </c>
      <c r="BC1343" t="str">
        <f t="shared" si="1051"/>
        <v>Nelson</v>
      </c>
      <c r="BD1343" t="str">
        <f t="shared" si="1052"/>
        <v>Velodrome</v>
      </c>
      <c r="BE1343" t="s">
        <v>13</v>
      </c>
      <c r="BF1343" t="s">
        <v>756</v>
      </c>
      <c r="BG1343" t="s">
        <v>756</v>
      </c>
      <c r="BI1343" cm="1">
        <f t="array" ref="BI1343">IFERROR(_xlfn._xlws.FILTER(shifts!A:A,(shifts!B:B=events!AD1343)*(shifts!AG:AG&gt;=events!BK1343)*(shifts!AH:AH&lt;=events!BL1343)),BI1342)</f>
        <v>61</v>
      </c>
      <c r="BJ1343" s="15">
        <f t="shared" si="1053"/>
        <v>2</v>
      </c>
      <c r="BK1343">
        <f t="shared" si="1061"/>
        <v>366</v>
      </c>
      <c r="BL1343">
        <f t="shared" si="1062"/>
        <v>364</v>
      </c>
      <c r="BM1343" s="15">
        <f>SUMIFS(BJ$2:BJ1343,K$2:K1343,"=Intermission")+SUMIFS(BJ$2:BJ1343,K$2:K1343,"=Timeout")</f>
        <v>72</v>
      </c>
      <c r="BN1343">
        <f t="shared" si="1063"/>
        <v>1152</v>
      </c>
      <c r="BO1343" s="19">
        <f t="shared" si="1064"/>
        <v>1866</v>
      </c>
      <c r="BP1343">
        <f t="shared" si="1065"/>
        <v>1861</v>
      </c>
      <c r="BQ1343" s="17">
        <f t="shared" si="1066"/>
        <v>1868</v>
      </c>
      <c r="BR1343" t="str">
        <f t="shared" si="1067"/>
        <v>event_team_player_1</v>
      </c>
      <c r="BS1343">
        <f>COUNTIFS(S$3:S1343,"="&amp;S1343,AI$3:AI1343,"="&amp;AI1343)</f>
        <v>1</v>
      </c>
      <c r="BT1343" t="str">
        <f>IFERROR(VLOOKUP(BB1343&amp;BU1343&amp;X1343,game_rosters!U:W,3,FALSE),"")</f>
        <v>P100197</v>
      </c>
      <c r="BU1343" t="str">
        <f t="shared" si="1068"/>
        <v>Nelson</v>
      </c>
    </row>
    <row r="1344" spans="1:73" x14ac:dyDescent="0.2">
      <c r="A1344">
        <f t="shared" si="1054"/>
        <v>1</v>
      </c>
      <c r="J1344" s="44" t="str">
        <f t="shared" si="1069"/>
        <v/>
      </c>
      <c r="K1344" t="s">
        <v>7</v>
      </c>
      <c r="L1344" t="s">
        <v>182</v>
      </c>
      <c r="M1344" t="s">
        <v>65</v>
      </c>
      <c r="S1344">
        <v>723</v>
      </c>
      <c r="W1344" t="str">
        <f t="shared" si="1045"/>
        <v>h</v>
      </c>
      <c r="X1344">
        <v>80</v>
      </c>
      <c r="Y1344" t="b">
        <f>IF(X1344&lt;&gt;"",VLOOKUP(X1344,game_rosters!$C$43:$E$64,3,FALSE))</f>
        <v>0</v>
      </c>
      <c r="Z1344" cm="1">
        <f t="array" ref="Z1344">IFERROR(IF(_xlfn._xlws.FILTER(game_rosters!$J:$J,(game_rosters!$G:$G=events!$AN1344)*(game_rosters!$J:$J=events!$X1344))&gt;0,1,""),"")</f>
        <v>1</v>
      </c>
      <c r="AA1344">
        <f t="shared" si="1093"/>
        <v>1723</v>
      </c>
      <c r="AB1344" t="str">
        <f t="shared" si="1094"/>
        <v/>
      </c>
      <c r="AC1344">
        <f t="shared" si="1042"/>
        <v>1723</v>
      </c>
      <c r="AD1344" s="6">
        <v>2</v>
      </c>
      <c r="AE1344" t="s">
        <v>938</v>
      </c>
      <c r="AF1344" t="s">
        <v>931</v>
      </c>
      <c r="AG1344" t="s">
        <v>756</v>
      </c>
      <c r="AH1344" t="s">
        <v>756</v>
      </c>
      <c r="AI1344" t="s">
        <v>367</v>
      </c>
      <c r="AJ1344" t="str">
        <f t="shared" ref="AJ1344:AK1344" si="1130">IF($J1344&lt;&gt;"",$J1344,IF($AC1344=$AC1343,AJ1343,""))</f>
        <v/>
      </c>
      <c r="AK1344" t="str">
        <f t="shared" si="1130"/>
        <v/>
      </c>
      <c r="AL1344" t="str">
        <f t="shared" si="1047"/>
        <v/>
      </c>
      <c r="AN1344" t="s">
        <v>861</v>
      </c>
      <c r="AO1344" t="str">
        <f t="shared" si="1048"/>
        <v>h</v>
      </c>
      <c r="AP1344" t="str">
        <f t="shared" si="1056"/>
        <v/>
      </c>
      <c r="AQ1344" t="str">
        <f t="shared" si="1057"/>
        <v/>
      </c>
      <c r="AR1344" t="str">
        <f t="shared" si="1058"/>
        <v>Home</v>
      </c>
      <c r="AS1344" t="str">
        <f t="shared" si="1059"/>
        <v>h</v>
      </c>
      <c r="AT1344" t="str">
        <f t="shared" si="1060"/>
        <v>Offensive</v>
      </c>
      <c r="BA1344" s="6">
        <f t="shared" si="1049"/>
        <v>312</v>
      </c>
      <c r="BB1344">
        <f t="shared" si="1050"/>
        <v>18981</v>
      </c>
      <c r="BC1344" t="str">
        <f t="shared" si="1051"/>
        <v>Nelson</v>
      </c>
      <c r="BD1344" t="str">
        <f t="shared" si="1052"/>
        <v>Velodrome</v>
      </c>
      <c r="BE1344" t="s">
        <v>7</v>
      </c>
      <c r="BF1344" t="s">
        <v>182</v>
      </c>
      <c r="BG1344" t="s">
        <v>65</v>
      </c>
      <c r="BI1344" cm="1">
        <f t="array" ref="BI1344">IFERROR(_xlfn._xlws.FILTER(shifts!A:A,(shifts!B:B=events!AD1344)*(shifts!AG:AG&gt;=events!BK1344)*(shifts!AH:AH&lt;=events!BL1344)),BI1343)</f>
        <v>61</v>
      </c>
      <c r="BJ1344" s="15">
        <f t="shared" si="1053"/>
        <v>0</v>
      </c>
      <c r="BK1344">
        <f t="shared" si="1061"/>
        <v>364</v>
      </c>
      <c r="BL1344">
        <f t="shared" si="1062"/>
        <v>364</v>
      </c>
      <c r="BM1344" s="15">
        <f>SUMIFS(BJ$2:BJ1344,K$2:K1344,"=Intermission")+SUMIFS(BJ$2:BJ1344,K$2:K1344,"=Timeout")</f>
        <v>72</v>
      </c>
      <c r="BN1344">
        <f t="shared" si="1063"/>
        <v>1152</v>
      </c>
      <c r="BO1344" s="19">
        <f t="shared" si="1064"/>
        <v>1868</v>
      </c>
      <c r="BP1344">
        <f t="shared" si="1065"/>
        <v>1863</v>
      </c>
      <c r="BQ1344" s="17">
        <f t="shared" si="1066"/>
        <v>1868</v>
      </c>
      <c r="BR1344" t="str">
        <f t="shared" si="1067"/>
        <v>event_team_player_1</v>
      </c>
      <c r="BS1344">
        <f>COUNTIFS(S$3:S1344,"="&amp;S1344,AI$3:AI1344,"="&amp;AI1344)</f>
        <v>1</v>
      </c>
      <c r="BT1344" t="str">
        <f>IFERROR(VLOOKUP(BB1344&amp;BU1344&amp;X1344,game_rosters!U:W,3,FALSE),"")</f>
        <v>P100197</v>
      </c>
      <c r="BU1344" t="str">
        <f t="shared" si="1068"/>
        <v>Nelson</v>
      </c>
    </row>
    <row r="1345" spans="1:73" x14ac:dyDescent="0.2">
      <c r="A1345">
        <f t="shared" si="1054"/>
        <v>1</v>
      </c>
      <c r="J1345" s="44" t="str">
        <f t="shared" si="1069"/>
        <v/>
      </c>
      <c r="K1345" t="s">
        <v>7</v>
      </c>
      <c r="L1345" t="s">
        <v>182</v>
      </c>
      <c r="M1345" t="s">
        <v>65</v>
      </c>
      <c r="S1345">
        <v>723</v>
      </c>
      <c r="W1345" t="str">
        <f t="shared" si="1045"/>
        <v>h</v>
      </c>
      <c r="X1345">
        <v>7</v>
      </c>
      <c r="Y1345" t="b">
        <f>IF(X1345&lt;&gt;"",VLOOKUP(X1345,game_rosters!$C$43:$E$64,3,FALSE))</f>
        <v>0</v>
      </c>
      <c r="Z1345" cm="1">
        <f t="array" ref="Z1345">IFERROR(IF(_xlfn._xlws.FILTER(game_rosters!$J:$J,(game_rosters!$G:$G=events!$AN1345)*(game_rosters!$J:$J=events!$X1345))&gt;0,1,""),"")</f>
        <v>1</v>
      </c>
      <c r="AA1345">
        <f t="shared" si="1093"/>
        <v>1723</v>
      </c>
      <c r="AB1345" t="str">
        <f t="shared" si="1094"/>
        <v/>
      </c>
      <c r="AC1345">
        <f t="shared" si="1042"/>
        <v>1723</v>
      </c>
      <c r="AD1345" s="6">
        <v>2</v>
      </c>
      <c r="AE1345" t="s">
        <v>938</v>
      </c>
      <c r="AF1345" t="s">
        <v>931</v>
      </c>
      <c r="AG1345" t="s">
        <v>756</v>
      </c>
      <c r="AH1345" t="s">
        <v>756</v>
      </c>
      <c r="AI1345" t="s">
        <v>367</v>
      </c>
      <c r="AJ1345" t="str">
        <f t="shared" ref="AJ1345:AK1345" si="1131">IF($J1345&lt;&gt;"",$J1345,IF($AC1345=$AC1344,AJ1344,""))</f>
        <v/>
      </c>
      <c r="AK1345" t="str">
        <f t="shared" si="1131"/>
        <v/>
      </c>
      <c r="AL1345" t="str">
        <f t="shared" si="1047"/>
        <v/>
      </c>
      <c r="AN1345" t="s">
        <v>861</v>
      </c>
      <c r="AO1345" t="str">
        <f t="shared" si="1048"/>
        <v>h</v>
      </c>
      <c r="AP1345" t="str">
        <f t="shared" si="1056"/>
        <v/>
      </c>
      <c r="AQ1345" t="str">
        <f t="shared" si="1057"/>
        <v/>
      </c>
      <c r="AR1345" t="str">
        <f t="shared" si="1058"/>
        <v>Home</v>
      </c>
      <c r="AS1345" t="str">
        <f t="shared" si="1059"/>
        <v>h</v>
      </c>
      <c r="AT1345" t="str">
        <f t="shared" si="1060"/>
        <v>Offensive</v>
      </c>
      <c r="BA1345" s="6">
        <f t="shared" si="1049"/>
        <v>312</v>
      </c>
      <c r="BB1345">
        <f t="shared" si="1050"/>
        <v>18981</v>
      </c>
      <c r="BC1345" t="str">
        <f t="shared" si="1051"/>
        <v>Nelson</v>
      </c>
      <c r="BD1345" t="str">
        <f t="shared" si="1052"/>
        <v>Velodrome</v>
      </c>
      <c r="BE1345" t="s">
        <v>7</v>
      </c>
      <c r="BF1345" t="s">
        <v>182</v>
      </c>
      <c r="BG1345" t="s">
        <v>65</v>
      </c>
      <c r="BI1345" cm="1">
        <f t="array" ref="BI1345">IFERROR(_xlfn._xlws.FILTER(shifts!A:A,(shifts!B:B=events!AD1345)*(shifts!AG:AG&gt;=events!BK1345)*(shifts!AH:AH&lt;=events!BL1345)),BI1344)</f>
        <v>61</v>
      </c>
      <c r="BJ1345" s="15">
        <f t="shared" si="1053"/>
        <v>0</v>
      </c>
      <c r="BK1345">
        <f t="shared" si="1061"/>
        <v>364</v>
      </c>
      <c r="BL1345">
        <f t="shared" si="1062"/>
        <v>364</v>
      </c>
      <c r="BM1345" s="15">
        <f>SUMIFS(BJ$2:BJ1345,K$2:K1345,"=Intermission")+SUMIFS(BJ$2:BJ1345,K$2:K1345,"=Timeout")</f>
        <v>72</v>
      </c>
      <c r="BN1345">
        <f t="shared" si="1063"/>
        <v>1152</v>
      </c>
      <c r="BO1345" s="19">
        <f t="shared" si="1064"/>
        <v>1868</v>
      </c>
      <c r="BP1345">
        <f t="shared" si="1065"/>
        <v>1863</v>
      </c>
      <c r="BQ1345" s="17">
        <f t="shared" si="1066"/>
        <v>1868</v>
      </c>
      <c r="BR1345" t="str">
        <f t="shared" si="1067"/>
        <v>event_team_player_2</v>
      </c>
      <c r="BS1345">
        <f>COUNTIFS(S$3:S1345,"="&amp;S1345,AI$3:AI1345,"="&amp;AI1345)</f>
        <v>2</v>
      </c>
      <c r="BT1345" t="str">
        <f>IFERROR(VLOOKUP(BB1345&amp;BU1345&amp;X1345,game_rosters!U:W,3,FALSE),"")</f>
        <v>P100072</v>
      </c>
      <c r="BU1345" t="str">
        <f t="shared" si="1068"/>
        <v>Nelson</v>
      </c>
    </row>
    <row r="1346" spans="1:73" x14ac:dyDescent="0.2">
      <c r="A1346">
        <f t="shared" si="1054"/>
        <v>1</v>
      </c>
      <c r="J1346" s="44" t="str">
        <f t="shared" si="1069"/>
        <v/>
      </c>
      <c r="K1346" t="s">
        <v>7</v>
      </c>
      <c r="L1346" t="s">
        <v>182</v>
      </c>
      <c r="M1346" t="s">
        <v>65</v>
      </c>
      <c r="S1346">
        <v>723</v>
      </c>
      <c r="W1346" t="str">
        <f t="shared" si="1045"/>
        <v>h</v>
      </c>
      <c r="X1346">
        <v>70</v>
      </c>
      <c r="Y1346" t="e">
        <f>IF(X1346&lt;&gt;"",VLOOKUP(X1346,game_rosters!$C$43:$E$64,3,FALSE))</f>
        <v>#N/A</v>
      </c>
      <c r="Z1346" t="str" cm="1">
        <f t="array" ref="Z1346">IFERROR(IF(_xlfn._xlws.FILTER(game_rosters!$J:$J,(game_rosters!$G:$G=events!$AN1346)*(game_rosters!$J:$J=events!$X1346))&gt;0,1,""),"")</f>
        <v/>
      </c>
      <c r="AA1346">
        <f t="shared" si="1093"/>
        <v>1723</v>
      </c>
      <c r="AB1346" t="str">
        <f t="shared" si="1094"/>
        <v/>
      </c>
      <c r="AC1346">
        <f t="shared" ref="AC1346:AC1409" si="1132">IF(AB1346&lt;&gt;"",AB1346,S1346+1000)</f>
        <v>1723</v>
      </c>
      <c r="AD1346" s="6">
        <v>2</v>
      </c>
      <c r="AE1346" t="s">
        <v>938</v>
      </c>
      <c r="AF1346" t="s">
        <v>931</v>
      </c>
      <c r="AG1346" t="s">
        <v>756</v>
      </c>
      <c r="AH1346" t="s">
        <v>756</v>
      </c>
      <c r="AI1346" t="s">
        <v>368</v>
      </c>
      <c r="AJ1346" t="str">
        <f t="shared" ref="AJ1346:AK1346" si="1133">IF($J1346&lt;&gt;"",$J1346,IF($AC1346=$AC1345,AJ1345,""))</f>
        <v/>
      </c>
      <c r="AK1346" t="str">
        <f t="shared" si="1133"/>
        <v/>
      </c>
      <c r="AL1346" t="str">
        <f t="shared" si="1047"/>
        <v/>
      </c>
      <c r="AN1346" t="s">
        <v>861</v>
      </c>
      <c r="AO1346" t="str">
        <f t="shared" si="1048"/>
        <v>h</v>
      </c>
      <c r="AP1346" t="str">
        <f t="shared" si="1056"/>
        <v/>
      </c>
      <c r="AQ1346" t="str">
        <f t="shared" si="1057"/>
        <v/>
      </c>
      <c r="AR1346" t="str">
        <f t="shared" si="1058"/>
        <v>Home</v>
      </c>
      <c r="AS1346" t="str">
        <f t="shared" si="1059"/>
        <v>h</v>
      </c>
      <c r="AT1346" t="str">
        <f t="shared" si="1060"/>
        <v>Defensive</v>
      </c>
      <c r="BA1346" s="6">
        <f t="shared" si="1049"/>
        <v>312</v>
      </c>
      <c r="BB1346">
        <f t="shared" si="1050"/>
        <v>18981</v>
      </c>
      <c r="BC1346" t="str">
        <f t="shared" si="1051"/>
        <v>Nelson</v>
      </c>
      <c r="BD1346" t="str">
        <f t="shared" si="1052"/>
        <v>Velodrome</v>
      </c>
      <c r="BE1346" t="s">
        <v>7</v>
      </c>
      <c r="BF1346" t="s">
        <v>182</v>
      </c>
      <c r="BG1346" t="s">
        <v>65</v>
      </c>
      <c r="BI1346" cm="1">
        <f t="array" ref="BI1346">IFERROR(_xlfn._xlws.FILTER(shifts!A:A,(shifts!B:B=events!AD1346)*(shifts!AG:AG&gt;=events!BK1346)*(shifts!AH:AH&lt;=events!BL1346)),BI1345)</f>
        <v>61</v>
      </c>
      <c r="BJ1346" s="15">
        <f t="shared" si="1053"/>
        <v>0</v>
      </c>
      <c r="BK1346">
        <f t="shared" si="1061"/>
        <v>364</v>
      </c>
      <c r="BL1346">
        <f t="shared" si="1062"/>
        <v>364</v>
      </c>
      <c r="BM1346" s="15">
        <f>SUMIFS(BJ$2:BJ1346,K$2:K1346,"=Intermission")+SUMIFS(BJ$2:BJ1346,K$2:K1346,"=Timeout")</f>
        <v>72</v>
      </c>
      <c r="BN1346">
        <f t="shared" si="1063"/>
        <v>1152</v>
      </c>
      <c r="BO1346" s="19">
        <f t="shared" si="1064"/>
        <v>1868</v>
      </c>
      <c r="BP1346">
        <f t="shared" si="1065"/>
        <v>1863</v>
      </c>
      <c r="BQ1346" s="17">
        <f t="shared" si="1066"/>
        <v>1868</v>
      </c>
      <c r="BR1346" t="str">
        <f t="shared" si="1067"/>
        <v>opp_team_player_1</v>
      </c>
      <c r="BS1346">
        <f>COUNTIFS(S$3:S1346,"="&amp;S1346,AI$3:AI1346,"="&amp;AI1346)</f>
        <v>1</v>
      </c>
      <c r="BT1346" t="str">
        <f>IFERROR(VLOOKUP(BB1346&amp;BU1346&amp;X1346,game_rosters!U:W,3,FALSE),"")</f>
        <v>P100001</v>
      </c>
      <c r="BU1346" t="str">
        <f t="shared" si="1068"/>
        <v>Velodrome</v>
      </c>
    </row>
    <row r="1347" spans="1:73" x14ac:dyDescent="0.2">
      <c r="A1347">
        <f t="shared" si="1054"/>
        <v>1</v>
      </c>
      <c r="J1347" s="44" t="str">
        <f t="shared" si="1069"/>
        <v>d</v>
      </c>
      <c r="K1347" t="s">
        <v>238</v>
      </c>
      <c r="L1347" t="s">
        <v>184</v>
      </c>
      <c r="M1347" t="s">
        <v>89</v>
      </c>
      <c r="S1347">
        <v>724</v>
      </c>
      <c r="W1347" t="str">
        <f t="shared" si="1045"/>
        <v>h</v>
      </c>
      <c r="X1347">
        <v>80</v>
      </c>
      <c r="Y1347" t="b">
        <f>IF(X1347&lt;&gt;"",VLOOKUP(X1347,game_rosters!$C$43:$E$64,3,FALSE))</f>
        <v>0</v>
      </c>
      <c r="Z1347" cm="1">
        <f t="array" ref="Z1347">IFERROR(IF(_xlfn._xlws.FILTER(game_rosters!$J:$J,(game_rosters!$G:$G=events!$AN1347)*(game_rosters!$J:$J=events!$X1347))&gt;0,1,""),"")</f>
        <v>1</v>
      </c>
      <c r="AA1347">
        <f t="shared" si="1093"/>
        <v>1724</v>
      </c>
      <c r="AB1347" t="str">
        <f t="shared" si="1094"/>
        <v/>
      </c>
      <c r="AC1347">
        <f t="shared" si="1132"/>
        <v>1724</v>
      </c>
      <c r="AD1347" s="6">
        <v>2</v>
      </c>
      <c r="AE1347" t="s">
        <v>938</v>
      </c>
      <c r="AF1347" t="s">
        <v>931</v>
      </c>
      <c r="AG1347" t="s">
        <v>756</v>
      </c>
      <c r="AH1347" t="s">
        <v>756</v>
      </c>
      <c r="AI1347" t="s">
        <v>367</v>
      </c>
      <c r="AJ1347" t="str">
        <f t="shared" ref="AJ1347:AK1347" si="1134">IF($J1347&lt;&gt;"",$J1347,IF($AC1347=$AC1346,AJ1346,""))</f>
        <v>d</v>
      </c>
      <c r="AK1347" t="str">
        <f t="shared" si="1134"/>
        <v>d</v>
      </c>
      <c r="AL1347" t="str">
        <f t="shared" si="1047"/>
        <v>d</v>
      </c>
      <c r="AN1347" t="s">
        <v>861</v>
      </c>
      <c r="AO1347" t="str">
        <f t="shared" si="1048"/>
        <v>h</v>
      </c>
      <c r="AP1347" t="str">
        <f t="shared" si="1056"/>
        <v>d</v>
      </c>
      <c r="AQ1347" t="str">
        <f t="shared" si="1057"/>
        <v/>
      </c>
      <c r="AR1347" t="str">
        <f t="shared" si="1058"/>
        <v>Home</v>
      </c>
      <c r="AS1347" t="str">
        <f t="shared" si="1059"/>
        <v>h</v>
      </c>
      <c r="AT1347" t="str">
        <f t="shared" si="1060"/>
        <v>Offensive</v>
      </c>
      <c r="BA1347" s="6">
        <f t="shared" si="1049"/>
        <v>313</v>
      </c>
      <c r="BB1347">
        <f t="shared" si="1050"/>
        <v>18981</v>
      </c>
      <c r="BC1347" t="str">
        <f t="shared" si="1051"/>
        <v>Nelson</v>
      </c>
      <c r="BD1347" t="str">
        <f t="shared" si="1052"/>
        <v>Velodrome</v>
      </c>
      <c r="BE1347" t="s">
        <v>238</v>
      </c>
      <c r="BF1347" t="s">
        <v>184</v>
      </c>
      <c r="BG1347" t="s">
        <v>89</v>
      </c>
      <c r="BI1347" cm="1">
        <f t="array" ref="BI1347">IFERROR(_xlfn._xlws.FILTER(shifts!A:A,(shifts!B:B=events!AD1347)*(shifts!AG:AG&gt;=events!BK1347)*(shifts!AH:AH&lt;=events!BL1347)),BI1346)</f>
        <v>61</v>
      </c>
      <c r="BJ1347" s="15">
        <f t="shared" si="1053"/>
        <v>0</v>
      </c>
      <c r="BK1347">
        <f t="shared" si="1061"/>
        <v>364</v>
      </c>
      <c r="BL1347">
        <f t="shared" si="1062"/>
        <v>364</v>
      </c>
      <c r="BM1347" s="15">
        <f>SUMIFS(BJ$2:BJ1347,K$2:K1347,"=Intermission")+SUMIFS(BJ$2:BJ1347,K$2:K1347,"=Timeout")</f>
        <v>72</v>
      </c>
      <c r="BN1347">
        <f t="shared" si="1063"/>
        <v>1152</v>
      </c>
      <c r="BO1347" s="19">
        <f t="shared" si="1064"/>
        <v>1868</v>
      </c>
      <c r="BP1347">
        <f t="shared" si="1065"/>
        <v>1863</v>
      </c>
      <c r="BQ1347" s="17">
        <f t="shared" si="1066"/>
        <v>1868</v>
      </c>
      <c r="BR1347" t="str">
        <f t="shared" si="1067"/>
        <v>event_team_player_1</v>
      </c>
      <c r="BS1347">
        <f>COUNTIFS(S$3:S1347,"="&amp;S1347,AI$3:AI1347,"="&amp;AI1347)</f>
        <v>1</v>
      </c>
      <c r="BT1347" t="str">
        <f>IFERROR(VLOOKUP(BB1347&amp;BU1347&amp;X1347,game_rosters!U:W,3,FALSE),"")</f>
        <v>P100197</v>
      </c>
      <c r="BU1347" t="str">
        <f t="shared" si="1068"/>
        <v>Nelson</v>
      </c>
    </row>
    <row r="1348" spans="1:73" x14ac:dyDescent="0.2">
      <c r="A1348">
        <f t="shared" si="1054"/>
        <v>1</v>
      </c>
      <c r="J1348" s="44" t="str">
        <f t="shared" si="1069"/>
        <v>d</v>
      </c>
      <c r="K1348" t="s">
        <v>238</v>
      </c>
      <c r="L1348" t="s">
        <v>184</v>
      </c>
      <c r="M1348" t="s">
        <v>89</v>
      </c>
      <c r="S1348">
        <v>724</v>
      </c>
      <c r="W1348" t="str">
        <f t="shared" ref="W1348:W1411" si="1135">IF(AN1348="Away","a",IF(AN1348="Home","h",""))</f>
        <v>h</v>
      </c>
      <c r="X1348">
        <v>7</v>
      </c>
      <c r="Y1348" t="b">
        <f>IF(X1348&lt;&gt;"",VLOOKUP(X1348,game_rosters!$C$43:$E$64,3,FALSE))</f>
        <v>0</v>
      </c>
      <c r="Z1348" cm="1">
        <f t="array" ref="Z1348">IFERROR(IF(_xlfn._xlws.FILTER(game_rosters!$J:$J,(game_rosters!$G:$G=events!$AN1348)*(game_rosters!$J:$J=events!$X1348))&gt;0,1,""),"")</f>
        <v>1</v>
      </c>
      <c r="AA1348">
        <f t="shared" si="1093"/>
        <v>1724</v>
      </c>
      <c r="AB1348" t="str">
        <f t="shared" si="1094"/>
        <v/>
      </c>
      <c r="AC1348">
        <f t="shared" si="1132"/>
        <v>1724</v>
      </c>
      <c r="AD1348" s="6">
        <v>2</v>
      </c>
      <c r="AE1348" t="s">
        <v>938</v>
      </c>
      <c r="AF1348" t="s">
        <v>931</v>
      </c>
      <c r="AG1348" t="s">
        <v>756</v>
      </c>
      <c r="AH1348" t="s">
        <v>756</v>
      </c>
      <c r="AI1348" t="s">
        <v>367</v>
      </c>
      <c r="AJ1348" t="str">
        <f t="shared" ref="AJ1348:AK1348" si="1136">IF($J1348&lt;&gt;"",$J1348,IF($AC1348=$AC1347,AJ1347,""))</f>
        <v>d</v>
      </c>
      <c r="AK1348" t="str">
        <f t="shared" si="1136"/>
        <v>d</v>
      </c>
      <c r="AL1348" t="str">
        <f t="shared" ref="AL1348:AL1411" si="1137">IF($W1348="","",IF($AJ1348="","",IF($W1348="h",$AJ1348,IF($AJ1348="n","n",IF(AND($W1348="a",$AJ1348="d"),"o",IF(AND($W1348="a",$AJ1348="o"),"d"))))))</f>
        <v>d</v>
      </c>
      <c r="AN1348" t="s">
        <v>861</v>
      </c>
      <c r="AO1348" t="str">
        <f t="shared" ref="AO1348:AO1411" si="1138">IF($W1348&lt;&gt;"",$W1348,IF($AC1348=$AC1347,AO1347,""))</f>
        <v>h</v>
      </c>
      <c r="AP1348" t="str">
        <f t="shared" si="1056"/>
        <v>d</v>
      </c>
      <c r="AQ1348" t="str">
        <f t="shared" si="1057"/>
        <v/>
      </c>
      <c r="AR1348" t="str">
        <f t="shared" si="1058"/>
        <v>Home</v>
      </c>
      <c r="AS1348" t="str">
        <f t="shared" si="1059"/>
        <v>h</v>
      </c>
      <c r="AT1348" t="str">
        <f t="shared" si="1060"/>
        <v>Offensive</v>
      </c>
      <c r="BA1348" s="6">
        <f t="shared" ref="BA1348:BA1411" si="1139">IF(OR(L1348="Zone_Entry",L1348="Zone_Exit"),BA1347+1,BA1347)</f>
        <v>314</v>
      </c>
      <c r="BB1348">
        <f t="shared" ref="BB1348:BB1411" si="1140">BB1347</f>
        <v>18981</v>
      </c>
      <c r="BC1348" t="str">
        <f t="shared" ref="BC1348:BC1411" si="1141">BC1347</f>
        <v>Nelson</v>
      </c>
      <c r="BD1348" t="str">
        <f t="shared" ref="BD1348:BD1411" si="1142">BD1347</f>
        <v>Velodrome</v>
      </c>
      <c r="BE1348" t="s">
        <v>238</v>
      </c>
      <c r="BF1348" t="s">
        <v>184</v>
      </c>
      <c r="BG1348" t="s">
        <v>89</v>
      </c>
      <c r="BI1348" cm="1">
        <f t="array" ref="BI1348">IFERROR(_xlfn._xlws.FILTER(shifts!A:A,(shifts!B:B=events!AD1348)*(shifts!AG:AG&gt;=events!BK1348)*(shifts!AH:AH&lt;=events!BL1348)),BI1347)</f>
        <v>61</v>
      </c>
      <c r="BJ1348" s="15">
        <f t="shared" ref="BJ1348:BJ1411" si="1143">IF(AND(AG1348="",AH1348=""),0,((AE1348*60)+AF1348)-((AG1348*60)+AH1348))</f>
        <v>0</v>
      </c>
      <c r="BK1348">
        <f t="shared" si="1061"/>
        <v>364</v>
      </c>
      <c r="BL1348">
        <f t="shared" si="1062"/>
        <v>364</v>
      </c>
      <c r="BM1348" s="15">
        <f>SUMIFS(BJ$2:BJ1348,K$2:K1348,"=Intermission")+SUMIFS(BJ$2:BJ1348,K$2:K1348,"=Timeout")</f>
        <v>72</v>
      </c>
      <c r="BN1348">
        <f t="shared" si="1063"/>
        <v>1152</v>
      </c>
      <c r="BO1348" s="19">
        <f t="shared" si="1064"/>
        <v>1868</v>
      </c>
      <c r="BP1348">
        <f t="shared" si="1065"/>
        <v>1863</v>
      </c>
      <c r="BQ1348" s="17">
        <f t="shared" si="1066"/>
        <v>1868</v>
      </c>
      <c r="BR1348" t="str">
        <f t="shared" si="1067"/>
        <v>event_team_player_2</v>
      </c>
      <c r="BS1348">
        <f>COUNTIFS(S$3:S1348,"="&amp;S1348,AI$3:AI1348,"="&amp;AI1348)</f>
        <v>2</v>
      </c>
      <c r="BT1348" t="str">
        <f>IFERROR(VLOOKUP(BB1348&amp;BU1348&amp;X1348,game_rosters!U:W,3,FALSE),"")</f>
        <v>P100072</v>
      </c>
      <c r="BU1348" t="str">
        <f t="shared" si="1068"/>
        <v>Nelson</v>
      </c>
    </row>
    <row r="1349" spans="1:73" x14ac:dyDescent="0.2">
      <c r="A1349">
        <f t="shared" ref="A1349:A1412" si="1144">IF(K1349&lt;&gt;"",1,IF(D1349="x","x",""))</f>
        <v>1</v>
      </c>
      <c r="J1349" s="44" t="str">
        <f t="shared" si="1069"/>
        <v>d</v>
      </c>
      <c r="K1349" t="s">
        <v>238</v>
      </c>
      <c r="L1349" t="s">
        <v>184</v>
      </c>
      <c r="M1349" t="s">
        <v>89</v>
      </c>
      <c r="S1349">
        <v>724</v>
      </c>
      <c r="W1349" t="str">
        <f t="shared" si="1135"/>
        <v>h</v>
      </c>
      <c r="X1349">
        <v>70</v>
      </c>
      <c r="Y1349" t="e">
        <f>IF(X1349&lt;&gt;"",VLOOKUP(X1349,game_rosters!$C$43:$E$64,3,FALSE))</f>
        <v>#N/A</v>
      </c>
      <c r="Z1349" t="str" cm="1">
        <f t="array" ref="Z1349">IFERROR(IF(_xlfn._xlws.FILTER(game_rosters!$J:$J,(game_rosters!$G:$G=events!$AN1349)*(game_rosters!$J:$J=events!$X1349))&gt;0,1,""),"")</f>
        <v/>
      </c>
      <c r="AA1349">
        <f t="shared" si="1093"/>
        <v>1724</v>
      </c>
      <c r="AB1349" t="str">
        <f t="shared" si="1094"/>
        <v/>
      </c>
      <c r="AC1349">
        <f t="shared" si="1132"/>
        <v>1724</v>
      </c>
      <c r="AD1349" s="6">
        <v>2</v>
      </c>
      <c r="AE1349" t="s">
        <v>938</v>
      </c>
      <c r="AF1349" t="s">
        <v>931</v>
      </c>
      <c r="AG1349" t="s">
        <v>756</v>
      </c>
      <c r="AH1349" t="s">
        <v>756</v>
      </c>
      <c r="AI1349" t="s">
        <v>368</v>
      </c>
      <c r="AJ1349" t="str">
        <f t="shared" ref="AJ1349:AK1349" si="1145">IF($J1349&lt;&gt;"",$J1349,IF($AC1349=$AC1348,AJ1348,""))</f>
        <v>d</v>
      </c>
      <c r="AK1349" t="str">
        <f t="shared" si="1145"/>
        <v>d</v>
      </c>
      <c r="AL1349" t="str">
        <f t="shared" si="1137"/>
        <v>d</v>
      </c>
      <c r="AN1349" t="s">
        <v>861</v>
      </c>
      <c r="AO1349" t="str">
        <f t="shared" si="1138"/>
        <v>h</v>
      </c>
      <c r="AP1349" t="str">
        <f t="shared" ref="AP1349:AP1412" si="1146">IF(AL1349&lt;&gt;"",AL1349,IF($AC1349=$AC1348,AP1348,""))</f>
        <v>d</v>
      </c>
      <c r="AQ1349" t="str">
        <f t="shared" ref="AQ1349:AQ1412" si="1147">IF(AM1349&lt;&gt;"",AM1349,IF($AC1349=$AC1348,AQ1348,""))</f>
        <v/>
      </c>
      <c r="AR1349" t="str">
        <f t="shared" ref="AR1349:AR1412" si="1148">IF(AN1349&lt;&gt;"",AN1349,IF($AC1349=$AC1348,AR1348,""))</f>
        <v>Home</v>
      </c>
      <c r="AS1349" t="str">
        <f t="shared" ref="AS1349:AS1412" si="1149">IF(AO1349&lt;&gt;"",AO1349,IF($AC1349=$AC1348,AS1348,""))</f>
        <v>h</v>
      </c>
      <c r="AT1349" t="str">
        <f t="shared" ref="AT1349:AT1412" si="1150">IF(AND(AI1349="e",OR(BE1349="Save",BF1349="Turnover_Takeaway",BF1349="Play_Defensive")),"Defensive",IF(AND(AI1349="o",OR(BE1349="Save",BF1349="Turnover_Takeaway",BF1349="Play_Defensive")),"Offensive",IF(OR(BE1349="Deadice",BE1349="Stoppage",BE1349="Intermission"),"",IF(AI1349="e","Offensive",IF(AI1349="o","Defensive","")))))</f>
        <v>Defensive</v>
      </c>
      <c r="BA1349" s="6">
        <f t="shared" si="1139"/>
        <v>315</v>
      </c>
      <c r="BB1349">
        <f t="shared" si="1140"/>
        <v>18981</v>
      </c>
      <c r="BC1349" t="str">
        <f t="shared" si="1141"/>
        <v>Nelson</v>
      </c>
      <c r="BD1349" t="str">
        <f t="shared" si="1142"/>
        <v>Velodrome</v>
      </c>
      <c r="BE1349" t="s">
        <v>238</v>
      </c>
      <c r="BF1349" t="s">
        <v>184</v>
      </c>
      <c r="BG1349" t="s">
        <v>89</v>
      </c>
      <c r="BI1349" cm="1">
        <f t="array" ref="BI1349">IFERROR(_xlfn._xlws.FILTER(shifts!A:A,(shifts!B:B=events!AD1349)*(shifts!AG:AG&gt;=events!BK1349)*(shifts!AH:AH&lt;=events!BL1349)),BI1348)</f>
        <v>61</v>
      </c>
      <c r="BJ1349" s="15">
        <f t="shared" si="1143"/>
        <v>0</v>
      </c>
      <c r="BK1349">
        <f t="shared" ref="BK1349:BK1412" si="1151">(AE1349*60)+AF1349</f>
        <v>364</v>
      </c>
      <c r="BL1349">
        <f t="shared" ref="BL1349:BL1412" si="1152">IF(AND(AG1349="",AH1349=""),BK1349,((AG1349*60)+AH1349))</f>
        <v>364</v>
      </c>
      <c r="BM1349" s="15">
        <f>SUMIFS(BJ$2:BJ1349,K$2:K1349,"=Intermission")+SUMIFS(BJ$2:BJ1349,K$2:K1349,"=Timeout")</f>
        <v>72</v>
      </c>
      <c r="BN1349">
        <f t="shared" ref="BN1349:BN1412" si="1153">IF(AD1349=1,0,IF(AD1349=2,1080+BM1349,IF(AD1349=3,(1080*2)+BM1349,0)))</f>
        <v>1152</v>
      </c>
      <c r="BO1349" s="19">
        <f t="shared" ref="BO1349:BO1412" si="1154">IF(K1349="Intermission",BO1348,((1080)-((AE1349*60)+AF1349))+BN1349)</f>
        <v>1868</v>
      </c>
      <c r="BP1349">
        <f t="shared" ref="BP1349:BP1412" si="1155">IF(BO1349&lt;5,0,BO1349-5)</f>
        <v>1863</v>
      </c>
      <c r="BQ1349" s="17">
        <f t="shared" ref="BQ1349:BQ1412" si="1156">BP1349+BJ1349+5</f>
        <v>1868</v>
      </c>
      <c r="BR1349" t="str">
        <f t="shared" ref="BR1349:BR1412" si="1157">IF(AI1349="e","event_team_player_"&amp;BS1349,IF(AI1349="o","opp_team_player_"&amp;BS1349,""))</f>
        <v>opp_team_player_1</v>
      </c>
      <c r="BS1349">
        <f>COUNTIFS(S$3:S1349,"="&amp;S1349,AI$3:AI1349,"="&amp;AI1349)</f>
        <v>1</v>
      </c>
      <c r="BT1349" t="str">
        <f>IFERROR(VLOOKUP(BB1349&amp;BU1349&amp;X1349,game_rosters!U:W,3,FALSE),"")</f>
        <v>P100001</v>
      </c>
      <c r="BU1349" t="str">
        <f t="shared" ref="BU1349:BU1412" si="1158">IF(AR1349="","",IF(AND(AR1349="Away",AI1349="e"),BD1349,IF(AND(AR1349="Home",AI1349="e"),BC1349,IF(AND(AR1349="Away",AI1349="o"),BC1349,IF(AND(AR1349="Home",AI1349="o"),BD1349)))))</f>
        <v>Velodrome</v>
      </c>
    </row>
    <row r="1350" spans="1:73" x14ac:dyDescent="0.2">
      <c r="A1350">
        <f t="shared" si="1144"/>
        <v>1</v>
      </c>
      <c r="J1350" s="44" t="str">
        <f t="shared" ref="J1350:J1413" si="1159">IF(OR(K1350="Goal",K1350="Shot",L1350="Zone_Entry",M1350="Stoppage-Goal",M1349="Stoppage-Goal"),"o",IF(OR(K1350="Save",K1350="Rebound",L1350="Zone_Exit",M1350="Stoppage-GoalieStoppage",M1349="Stoppage-GoalieStoppage"),"d",IF(OR(L1350="Faceoff_AfterGoal",L1350="Faceoff_PeriodStart",698="Faceoff_GameStart",M1349="Stoppage-Goal"),"n","")))</f>
        <v>o</v>
      </c>
      <c r="K1350" t="s">
        <v>238</v>
      </c>
      <c r="L1350" t="s">
        <v>174</v>
      </c>
      <c r="M1350" t="s">
        <v>390</v>
      </c>
      <c r="S1350">
        <v>725</v>
      </c>
      <c r="W1350" t="str">
        <f t="shared" si="1135"/>
        <v>h</v>
      </c>
      <c r="X1350">
        <v>80</v>
      </c>
      <c r="Y1350" t="b">
        <f>IF(X1350&lt;&gt;"",VLOOKUP(X1350,game_rosters!$C$43:$E$64,3,FALSE))</f>
        <v>0</v>
      </c>
      <c r="Z1350" cm="1">
        <f t="array" ref="Z1350">IFERROR(IF(_xlfn._xlws.FILTER(game_rosters!$J:$J,(game_rosters!$G:$G=events!$AN1350)*(game_rosters!$J:$J=events!$X1350))&gt;0,1,""),"")</f>
        <v>1</v>
      </c>
      <c r="AA1350">
        <f t="shared" si="1093"/>
        <v>1725</v>
      </c>
      <c r="AB1350" t="str">
        <f t="shared" si="1094"/>
        <v/>
      </c>
      <c r="AC1350">
        <f t="shared" si="1132"/>
        <v>1725</v>
      </c>
      <c r="AD1350" s="6">
        <v>2</v>
      </c>
      <c r="AE1350" t="s">
        <v>938</v>
      </c>
      <c r="AF1350" t="s">
        <v>931</v>
      </c>
      <c r="AG1350" t="s">
        <v>756</v>
      </c>
      <c r="AH1350" t="s">
        <v>756</v>
      </c>
      <c r="AI1350" t="s">
        <v>367</v>
      </c>
      <c r="AJ1350" t="str">
        <f t="shared" ref="AJ1350:AK1350" si="1160">IF($J1350&lt;&gt;"",$J1350,IF($AC1350=$AC1349,AJ1349,""))</f>
        <v>o</v>
      </c>
      <c r="AK1350" t="str">
        <f t="shared" si="1160"/>
        <v>o</v>
      </c>
      <c r="AL1350" t="str">
        <f t="shared" si="1137"/>
        <v>o</v>
      </c>
      <c r="AN1350" t="s">
        <v>861</v>
      </c>
      <c r="AO1350" t="str">
        <f t="shared" si="1138"/>
        <v>h</v>
      </c>
      <c r="AP1350" t="str">
        <f t="shared" si="1146"/>
        <v>o</v>
      </c>
      <c r="AQ1350" t="str">
        <f t="shared" si="1147"/>
        <v/>
      </c>
      <c r="AR1350" t="str">
        <f t="shared" si="1148"/>
        <v>Home</v>
      </c>
      <c r="AS1350" t="str">
        <f t="shared" si="1149"/>
        <v>h</v>
      </c>
      <c r="AT1350" t="str">
        <f t="shared" si="1150"/>
        <v>Offensive</v>
      </c>
      <c r="BA1350" s="6">
        <f t="shared" si="1139"/>
        <v>316</v>
      </c>
      <c r="BB1350">
        <f t="shared" si="1140"/>
        <v>18981</v>
      </c>
      <c r="BC1350" t="str">
        <f t="shared" si="1141"/>
        <v>Nelson</v>
      </c>
      <c r="BD1350" t="str">
        <f t="shared" si="1142"/>
        <v>Velodrome</v>
      </c>
      <c r="BE1350" t="s">
        <v>238</v>
      </c>
      <c r="BF1350" t="s">
        <v>174</v>
      </c>
      <c r="BG1350" t="s">
        <v>390</v>
      </c>
      <c r="BI1350" cm="1">
        <f t="array" ref="BI1350">IFERROR(_xlfn._xlws.FILTER(shifts!A:A,(shifts!B:B=events!AD1350)*(shifts!AG:AG&gt;=events!BK1350)*(shifts!AH:AH&lt;=events!BL1350)),BI1349)</f>
        <v>61</v>
      </c>
      <c r="BJ1350" s="15">
        <f t="shared" si="1143"/>
        <v>0</v>
      </c>
      <c r="BK1350">
        <f t="shared" si="1151"/>
        <v>364</v>
      </c>
      <c r="BL1350">
        <f t="shared" si="1152"/>
        <v>364</v>
      </c>
      <c r="BM1350" s="15">
        <f>SUMIFS(BJ$2:BJ1350,K$2:K1350,"=Intermission")+SUMIFS(BJ$2:BJ1350,K$2:K1350,"=Timeout")</f>
        <v>72</v>
      </c>
      <c r="BN1350">
        <f t="shared" si="1153"/>
        <v>1152</v>
      </c>
      <c r="BO1350" s="19">
        <f t="shared" si="1154"/>
        <v>1868</v>
      </c>
      <c r="BP1350">
        <f t="shared" si="1155"/>
        <v>1863</v>
      </c>
      <c r="BQ1350" s="17">
        <f t="shared" si="1156"/>
        <v>1868</v>
      </c>
      <c r="BR1350" t="str">
        <f t="shared" si="1157"/>
        <v>event_team_player_1</v>
      </c>
      <c r="BS1350">
        <f>COUNTIFS(S$3:S1350,"="&amp;S1350,AI$3:AI1350,"="&amp;AI1350)</f>
        <v>1</v>
      </c>
      <c r="BT1350" t="str">
        <f>IFERROR(VLOOKUP(BB1350&amp;BU1350&amp;X1350,game_rosters!U:W,3,FALSE),"")</f>
        <v>P100197</v>
      </c>
      <c r="BU1350" t="str">
        <f t="shared" si="1158"/>
        <v>Nelson</v>
      </c>
    </row>
    <row r="1351" spans="1:73" x14ac:dyDescent="0.2">
      <c r="A1351">
        <f t="shared" si="1144"/>
        <v>1</v>
      </c>
      <c r="J1351" s="44" t="str">
        <f t="shared" si="1159"/>
        <v/>
      </c>
      <c r="K1351" t="s">
        <v>9</v>
      </c>
      <c r="L1351" t="s">
        <v>173</v>
      </c>
      <c r="M1351" t="s">
        <v>383</v>
      </c>
      <c r="S1351">
        <v>726</v>
      </c>
      <c r="W1351" t="str">
        <f t="shared" si="1135"/>
        <v>h</v>
      </c>
      <c r="X1351">
        <v>80</v>
      </c>
      <c r="Y1351" t="b">
        <f>IF(X1351&lt;&gt;"",VLOOKUP(X1351,game_rosters!$C$43:$E$64,3,FALSE))</f>
        <v>0</v>
      </c>
      <c r="Z1351" cm="1">
        <f t="array" ref="Z1351">IFERROR(IF(_xlfn._xlws.FILTER(game_rosters!$J:$J,(game_rosters!$G:$G=events!$AN1351)*(game_rosters!$J:$J=events!$X1351))&gt;0,1,""),"")</f>
        <v>1</v>
      </c>
      <c r="AA1351">
        <f t="shared" si="1093"/>
        <v>1726</v>
      </c>
      <c r="AB1351" t="str">
        <f t="shared" si="1094"/>
        <v/>
      </c>
      <c r="AC1351">
        <f t="shared" si="1132"/>
        <v>1726</v>
      </c>
      <c r="AD1351" s="6">
        <v>2</v>
      </c>
      <c r="AE1351" t="s">
        <v>938</v>
      </c>
      <c r="AF1351" t="s">
        <v>931</v>
      </c>
      <c r="AG1351" t="s">
        <v>756</v>
      </c>
      <c r="AH1351" t="s">
        <v>756</v>
      </c>
      <c r="AI1351" t="s">
        <v>367</v>
      </c>
      <c r="AJ1351" t="str">
        <f t="shared" ref="AJ1351:AK1351" si="1161">IF($J1351&lt;&gt;"",$J1351,IF($AC1351=$AC1350,AJ1350,""))</f>
        <v/>
      </c>
      <c r="AK1351" t="str">
        <f t="shared" si="1161"/>
        <v/>
      </c>
      <c r="AL1351" t="str">
        <f t="shared" si="1137"/>
        <v/>
      </c>
      <c r="AN1351" t="s">
        <v>861</v>
      </c>
      <c r="AO1351" t="str">
        <f t="shared" si="1138"/>
        <v>h</v>
      </c>
      <c r="AP1351" t="str">
        <f t="shared" si="1146"/>
        <v/>
      </c>
      <c r="AQ1351" t="str">
        <f t="shared" si="1147"/>
        <v/>
      </c>
      <c r="AR1351" t="str">
        <f t="shared" si="1148"/>
        <v>Home</v>
      </c>
      <c r="AS1351" t="str">
        <f t="shared" si="1149"/>
        <v>h</v>
      </c>
      <c r="AT1351" t="str">
        <f t="shared" si="1150"/>
        <v>Offensive</v>
      </c>
      <c r="BA1351" s="6">
        <f t="shared" si="1139"/>
        <v>316</v>
      </c>
      <c r="BB1351">
        <f t="shared" si="1140"/>
        <v>18981</v>
      </c>
      <c r="BC1351" t="str">
        <f t="shared" si="1141"/>
        <v>Nelson</v>
      </c>
      <c r="BD1351" t="str">
        <f t="shared" si="1142"/>
        <v>Velodrome</v>
      </c>
      <c r="BE1351" t="s">
        <v>9</v>
      </c>
      <c r="BF1351" t="s">
        <v>173</v>
      </c>
      <c r="BG1351" t="s">
        <v>383</v>
      </c>
      <c r="BI1351" cm="1">
        <f t="array" ref="BI1351">IFERROR(_xlfn._xlws.FILTER(shifts!A:A,(shifts!B:B=events!AD1351)*(shifts!AG:AG&gt;=events!BK1351)*(shifts!AH:AH&lt;=events!BL1351)),BI1350)</f>
        <v>61</v>
      </c>
      <c r="BJ1351" s="15">
        <f t="shared" si="1143"/>
        <v>0</v>
      </c>
      <c r="BK1351">
        <f t="shared" si="1151"/>
        <v>364</v>
      </c>
      <c r="BL1351">
        <f t="shared" si="1152"/>
        <v>364</v>
      </c>
      <c r="BM1351" s="15">
        <f>SUMIFS(BJ$2:BJ1351,K$2:K1351,"=Intermission")+SUMIFS(BJ$2:BJ1351,K$2:K1351,"=Timeout")</f>
        <v>72</v>
      </c>
      <c r="BN1351">
        <f t="shared" si="1153"/>
        <v>1152</v>
      </c>
      <c r="BO1351" s="19">
        <f t="shared" si="1154"/>
        <v>1868</v>
      </c>
      <c r="BP1351">
        <f t="shared" si="1155"/>
        <v>1863</v>
      </c>
      <c r="BQ1351" s="17">
        <f t="shared" si="1156"/>
        <v>1868</v>
      </c>
      <c r="BR1351" t="str">
        <f t="shared" si="1157"/>
        <v>event_team_player_1</v>
      </c>
      <c r="BS1351">
        <f>COUNTIFS(S$3:S1351,"="&amp;S1351,AI$3:AI1351,"="&amp;AI1351)</f>
        <v>1</v>
      </c>
      <c r="BT1351" t="str">
        <f>IFERROR(VLOOKUP(BB1351&amp;BU1351&amp;X1351,game_rosters!U:W,3,FALSE),"")</f>
        <v>P100197</v>
      </c>
      <c r="BU1351" t="str">
        <f t="shared" si="1158"/>
        <v>Nelson</v>
      </c>
    </row>
    <row r="1352" spans="1:73" x14ac:dyDescent="0.2">
      <c r="A1352">
        <f t="shared" si="1144"/>
        <v>1</v>
      </c>
      <c r="J1352" s="44" t="str">
        <f t="shared" si="1159"/>
        <v/>
      </c>
      <c r="K1352" t="s">
        <v>9</v>
      </c>
      <c r="L1352" t="s">
        <v>173</v>
      </c>
      <c r="M1352" t="s">
        <v>365</v>
      </c>
      <c r="S1352">
        <v>727</v>
      </c>
      <c r="W1352" t="str">
        <f t="shared" si="1135"/>
        <v>a</v>
      </c>
      <c r="X1352">
        <v>9</v>
      </c>
      <c r="Y1352" t="e">
        <f>IF(X1352&lt;&gt;"",VLOOKUP(X1352,game_rosters!$C$43:$E$64,3,FALSE))</f>
        <v>#N/A</v>
      </c>
      <c r="Z1352" cm="1">
        <f t="array" ref="Z1352">IFERROR(IF(_xlfn._xlws.FILTER(game_rosters!$J:$J,(game_rosters!$G:$G=events!$AN1352)*(game_rosters!$J:$J=events!$X1352))&gt;0,1,""),"")</f>
        <v>1</v>
      </c>
      <c r="AA1352">
        <f t="shared" si="1093"/>
        <v>1727</v>
      </c>
      <c r="AB1352" t="str">
        <f t="shared" si="1094"/>
        <v/>
      </c>
      <c r="AC1352">
        <f t="shared" si="1132"/>
        <v>1727</v>
      </c>
      <c r="AD1352" s="6">
        <v>2</v>
      </c>
      <c r="AE1352" t="s">
        <v>752</v>
      </c>
      <c r="AF1352" t="s">
        <v>927</v>
      </c>
      <c r="AG1352" t="s">
        <v>756</v>
      </c>
      <c r="AH1352" t="s">
        <v>756</v>
      </c>
      <c r="AI1352" t="s">
        <v>367</v>
      </c>
      <c r="AJ1352" t="str">
        <f t="shared" ref="AJ1352:AK1352" si="1162">IF($J1352&lt;&gt;"",$J1352,IF($AC1352=$AC1351,AJ1351,""))</f>
        <v/>
      </c>
      <c r="AK1352" t="str">
        <f t="shared" si="1162"/>
        <v/>
      </c>
      <c r="AL1352" t="str">
        <f t="shared" si="1137"/>
        <v/>
      </c>
      <c r="AN1352" t="s">
        <v>862</v>
      </c>
      <c r="AO1352" t="str">
        <f t="shared" si="1138"/>
        <v>a</v>
      </c>
      <c r="AP1352" t="str">
        <f t="shared" si="1146"/>
        <v/>
      </c>
      <c r="AQ1352" t="str">
        <f t="shared" si="1147"/>
        <v/>
      </c>
      <c r="AR1352" t="str">
        <f t="shared" si="1148"/>
        <v>Away</v>
      </c>
      <c r="AS1352" t="str">
        <f t="shared" si="1149"/>
        <v>a</v>
      </c>
      <c r="AT1352" t="str">
        <f t="shared" si="1150"/>
        <v>Offensive</v>
      </c>
      <c r="BA1352" s="6">
        <f t="shared" si="1139"/>
        <v>316</v>
      </c>
      <c r="BB1352">
        <f t="shared" si="1140"/>
        <v>18981</v>
      </c>
      <c r="BC1352" t="str">
        <f t="shared" si="1141"/>
        <v>Nelson</v>
      </c>
      <c r="BD1352" t="str">
        <f t="shared" si="1142"/>
        <v>Velodrome</v>
      </c>
      <c r="BE1352" t="s">
        <v>9</v>
      </c>
      <c r="BF1352" t="s">
        <v>173</v>
      </c>
      <c r="BG1352" t="s">
        <v>365</v>
      </c>
      <c r="BI1352" cm="1">
        <f t="array" ref="BI1352">IFERROR(_xlfn._xlws.FILTER(shifts!A:A,(shifts!B:B=events!AD1352)*(shifts!AG:AG&gt;=events!BK1352)*(shifts!AH:AH&lt;=events!BL1352)),BI1351)</f>
        <v>61</v>
      </c>
      <c r="BJ1352" s="15">
        <f t="shared" si="1143"/>
        <v>0</v>
      </c>
      <c r="BK1352">
        <f t="shared" si="1151"/>
        <v>357</v>
      </c>
      <c r="BL1352">
        <f t="shared" si="1152"/>
        <v>357</v>
      </c>
      <c r="BM1352" s="15">
        <f>SUMIFS(BJ$2:BJ1352,K$2:K1352,"=Intermission")+SUMIFS(BJ$2:BJ1352,K$2:K1352,"=Timeout")</f>
        <v>72</v>
      </c>
      <c r="BN1352">
        <f t="shared" si="1153"/>
        <v>1152</v>
      </c>
      <c r="BO1352" s="19">
        <f t="shared" si="1154"/>
        <v>1875</v>
      </c>
      <c r="BP1352">
        <f t="shared" si="1155"/>
        <v>1870</v>
      </c>
      <c r="BQ1352" s="17">
        <f t="shared" si="1156"/>
        <v>1875</v>
      </c>
      <c r="BR1352" t="str">
        <f t="shared" si="1157"/>
        <v>event_team_player_1</v>
      </c>
      <c r="BS1352">
        <f>COUNTIFS(S$3:S1352,"="&amp;S1352,AI$3:AI1352,"="&amp;AI1352)</f>
        <v>1</v>
      </c>
      <c r="BT1352" t="str">
        <f>IFERROR(VLOOKUP(BB1352&amp;BU1352&amp;X1352,game_rosters!U:W,3,FALSE),"")</f>
        <v>P100105</v>
      </c>
      <c r="BU1352" t="str">
        <f t="shared" si="1158"/>
        <v>Velodrome</v>
      </c>
    </row>
    <row r="1353" spans="1:73" x14ac:dyDescent="0.2">
      <c r="A1353">
        <f t="shared" si="1144"/>
        <v>1</v>
      </c>
      <c r="J1353" s="44" t="str">
        <f t="shared" si="1159"/>
        <v/>
      </c>
      <c r="K1353" t="s">
        <v>238</v>
      </c>
      <c r="L1353" t="s">
        <v>193</v>
      </c>
      <c r="M1353" t="s">
        <v>91</v>
      </c>
      <c r="S1353">
        <v>728</v>
      </c>
      <c r="W1353" t="str">
        <f t="shared" si="1135"/>
        <v>h</v>
      </c>
      <c r="X1353">
        <v>80</v>
      </c>
      <c r="Y1353" t="b">
        <f>IF(X1353&lt;&gt;"",VLOOKUP(X1353,game_rosters!$C$43:$E$64,3,FALSE))</f>
        <v>0</v>
      </c>
      <c r="Z1353" cm="1">
        <f t="array" ref="Z1353">IFERROR(IF(_xlfn._xlws.FILTER(game_rosters!$J:$J,(game_rosters!$G:$G=events!$AN1353)*(game_rosters!$J:$J=events!$X1353))&gt;0,1,""),"")</f>
        <v>1</v>
      </c>
      <c r="AA1353">
        <f t="shared" si="1093"/>
        <v>1728</v>
      </c>
      <c r="AB1353" t="str">
        <f t="shared" si="1094"/>
        <v/>
      </c>
      <c r="AC1353">
        <f t="shared" si="1132"/>
        <v>1728</v>
      </c>
      <c r="AD1353" s="6">
        <v>2</v>
      </c>
      <c r="AE1353" t="s">
        <v>752</v>
      </c>
      <c r="AF1353" t="s">
        <v>753</v>
      </c>
      <c r="AG1353" t="s">
        <v>756</v>
      </c>
      <c r="AH1353" t="s">
        <v>756</v>
      </c>
      <c r="AI1353" t="s">
        <v>367</v>
      </c>
      <c r="AJ1353" t="str">
        <f t="shared" ref="AJ1353:AK1353" si="1163">IF($J1353&lt;&gt;"",$J1353,IF($AC1353=$AC1352,AJ1352,""))</f>
        <v/>
      </c>
      <c r="AK1353" t="str">
        <f t="shared" si="1163"/>
        <v/>
      </c>
      <c r="AL1353" t="str">
        <f t="shared" si="1137"/>
        <v/>
      </c>
      <c r="AN1353" t="s">
        <v>861</v>
      </c>
      <c r="AO1353" t="str">
        <f t="shared" si="1138"/>
        <v>h</v>
      </c>
      <c r="AP1353" t="str">
        <f t="shared" si="1146"/>
        <v/>
      </c>
      <c r="AQ1353" t="str">
        <f t="shared" si="1147"/>
        <v/>
      </c>
      <c r="AR1353" t="str">
        <f t="shared" si="1148"/>
        <v>Home</v>
      </c>
      <c r="AS1353" t="str">
        <f t="shared" si="1149"/>
        <v>h</v>
      </c>
      <c r="AT1353" t="str">
        <f t="shared" si="1150"/>
        <v>Offensive</v>
      </c>
      <c r="BA1353" s="6">
        <f t="shared" si="1139"/>
        <v>316</v>
      </c>
      <c r="BB1353">
        <f t="shared" si="1140"/>
        <v>18981</v>
      </c>
      <c r="BC1353" t="str">
        <f t="shared" si="1141"/>
        <v>Nelson</v>
      </c>
      <c r="BD1353" t="str">
        <f t="shared" si="1142"/>
        <v>Velodrome</v>
      </c>
      <c r="BE1353" t="s">
        <v>238</v>
      </c>
      <c r="BF1353" t="s">
        <v>193</v>
      </c>
      <c r="BG1353" t="s">
        <v>91</v>
      </c>
      <c r="BI1353" cm="1">
        <f t="array" ref="BI1353">IFERROR(_xlfn._xlws.FILTER(shifts!A:A,(shifts!B:B=events!AD1353)*(shifts!AG:AG&gt;=events!BK1353)*(shifts!AH:AH&lt;=events!BL1353)),BI1352)</f>
        <v>61</v>
      </c>
      <c r="BJ1353" s="15">
        <f t="shared" si="1143"/>
        <v>0</v>
      </c>
      <c r="BK1353">
        <f t="shared" si="1151"/>
        <v>355</v>
      </c>
      <c r="BL1353">
        <f t="shared" si="1152"/>
        <v>355</v>
      </c>
      <c r="BM1353" s="15">
        <f>SUMIFS(BJ$2:BJ1353,K$2:K1353,"=Intermission")+SUMIFS(BJ$2:BJ1353,K$2:K1353,"=Timeout")</f>
        <v>72</v>
      </c>
      <c r="BN1353">
        <f t="shared" si="1153"/>
        <v>1152</v>
      </c>
      <c r="BO1353" s="19">
        <f t="shared" si="1154"/>
        <v>1877</v>
      </c>
      <c r="BP1353">
        <f t="shared" si="1155"/>
        <v>1872</v>
      </c>
      <c r="BQ1353" s="17">
        <f t="shared" si="1156"/>
        <v>1877</v>
      </c>
      <c r="BR1353" t="str">
        <f t="shared" si="1157"/>
        <v>event_team_player_1</v>
      </c>
      <c r="BS1353">
        <f>COUNTIFS(S$3:S1353,"="&amp;S1353,AI$3:AI1353,"="&amp;AI1353)</f>
        <v>1</v>
      </c>
      <c r="BT1353" t="str">
        <f>IFERROR(VLOOKUP(BB1353&amp;BU1353&amp;X1353,game_rosters!U:W,3,FALSE),"")</f>
        <v>P100197</v>
      </c>
      <c r="BU1353" t="str">
        <f t="shared" si="1158"/>
        <v>Nelson</v>
      </c>
    </row>
    <row r="1354" spans="1:73" x14ac:dyDescent="0.2">
      <c r="A1354">
        <f t="shared" si="1144"/>
        <v>1</v>
      </c>
      <c r="J1354" s="44" t="str">
        <f t="shared" si="1159"/>
        <v/>
      </c>
      <c r="K1354" t="s">
        <v>13</v>
      </c>
      <c r="L1354" t="s">
        <v>756</v>
      </c>
      <c r="M1354" t="s">
        <v>756</v>
      </c>
      <c r="S1354">
        <v>729</v>
      </c>
      <c r="W1354" t="str">
        <f t="shared" si="1135"/>
        <v>h</v>
      </c>
      <c r="X1354">
        <v>80</v>
      </c>
      <c r="Y1354" t="b">
        <f>IF(X1354&lt;&gt;"",VLOOKUP(X1354,game_rosters!$C$43:$E$64,3,FALSE))</f>
        <v>0</v>
      </c>
      <c r="Z1354" cm="1">
        <f t="array" ref="Z1354">IFERROR(IF(_xlfn._xlws.FILTER(game_rosters!$J:$J,(game_rosters!$G:$G=events!$AN1354)*(game_rosters!$J:$J=events!$X1354))&gt;0,1,""),"")</f>
        <v>1</v>
      </c>
      <c r="AA1354">
        <f t="shared" si="1093"/>
        <v>1729</v>
      </c>
      <c r="AB1354" t="str">
        <f t="shared" si="1094"/>
        <v/>
      </c>
      <c r="AC1354">
        <f t="shared" si="1132"/>
        <v>1729</v>
      </c>
      <c r="AD1354" s="6">
        <v>2</v>
      </c>
      <c r="AE1354" t="s">
        <v>752</v>
      </c>
      <c r="AF1354" t="s">
        <v>753</v>
      </c>
      <c r="AG1354" t="s">
        <v>752</v>
      </c>
      <c r="AH1354" t="s">
        <v>921</v>
      </c>
      <c r="AI1354" t="s">
        <v>367</v>
      </c>
      <c r="AJ1354" t="str">
        <f t="shared" ref="AJ1354:AK1354" si="1164">IF($J1354&lt;&gt;"",$J1354,IF($AC1354=$AC1353,AJ1353,""))</f>
        <v/>
      </c>
      <c r="AK1354" t="str">
        <f t="shared" si="1164"/>
        <v/>
      </c>
      <c r="AL1354" t="str">
        <f t="shared" si="1137"/>
        <v/>
      </c>
      <c r="AN1354" t="s">
        <v>861</v>
      </c>
      <c r="AO1354" t="str">
        <f t="shared" si="1138"/>
        <v>h</v>
      </c>
      <c r="AP1354" t="str">
        <f t="shared" si="1146"/>
        <v/>
      </c>
      <c r="AQ1354" t="str">
        <f t="shared" si="1147"/>
        <v/>
      </c>
      <c r="AR1354" t="str">
        <f t="shared" si="1148"/>
        <v>Home</v>
      </c>
      <c r="AS1354" t="str">
        <f t="shared" si="1149"/>
        <v>h</v>
      </c>
      <c r="AT1354" t="str">
        <f t="shared" si="1150"/>
        <v>Offensive</v>
      </c>
      <c r="BA1354" s="6">
        <f t="shared" si="1139"/>
        <v>316</v>
      </c>
      <c r="BB1354">
        <f t="shared" si="1140"/>
        <v>18981</v>
      </c>
      <c r="BC1354" t="str">
        <f t="shared" si="1141"/>
        <v>Nelson</v>
      </c>
      <c r="BD1354" t="str">
        <f t="shared" si="1142"/>
        <v>Velodrome</v>
      </c>
      <c r="BE1354" t="s">
        <v>13</v>
      </c>
      <c r="BF1354" t="s">
        <v>756</v>
      </c>
      <c r="BG1354" t="s">
        <v>756</v>
      </c>
      <c r="BI1354" cm="1">
        <f t="array" ref="BI1354">IFERROR(_xlfn._xlws.FILTER(shifts!A:A,(shifts!B:B=events!AD1354)*(shifts!AG:AG&gt;=events!BK1354)*(shifts!AH:AH&lt;=events!BL1354)),BI1353)</f>
        <v>61</v>
      </c>
      <c r="BJ1354" s="15">
        <f t="shared" si="1143"/>
        <v>2</v>
      </c>
      <c r="BK1354">
        <f t="shared" si="1151"/>
        <v>355</v>
      </c>
      <c r="BL1354">
        <f t="shared" si="1152"/>
        <v>353</v>
      </c>
      <c r="BM1354" s="15">
        <f>SUMIFS(BJ$2:BJ1354,K$2:K1354,"=Intermission")+SUMIFS(BJ$2:BJ1354,K$2:K1354,"=Timeout")</f>
        <v>72</v>
      </c>
      <c r="BN1354">
        <f t="shared" si="1153"/>
        <v>1152</v>
      </c>
      <c r="BO1354" s="19">
        <f t="shared" si="1154"/>
        <v>1877</v>
      </c>
      <c r="BP1354">
        <f t="shared" si="1155"/>
        <v>1872</v>
      </c>
      <c r="BQ1354" s="17">
        <f t="shared" si="1156"/>
        <v>1879</v>
      </c>
      <c r="BR1354" t="str">
        <f t="shared" si="1157"/>
        <v>event_team_player_1</v>
      </c>
      <c r="BS1354">
        <f>COUNTIFS(S$3:S1354,"="&amp;S1354,AI$3:AI1354,"="&amp;AI1354)</f>
        <v>1</v>
      </c>
      <c r="BT1354" t="str">
        <f>IFERROR(VLOOKUP(BB1354&amp;BU1354&amp;X1354,game_rosters!U:W,3,FALSE),"")</f>
        <v>P100197</v>
      </c>
      <c r="BU1354" t="str">
        <f t="shared" si="1158"/>
        <v>Nelson</v>
      </c>
    </row>
    <row r="1355" spans="1:73" x14ac:dyDescent="0.2">
      <c r="A1355">
        <f t="shared" si="1144"/>
        <v>1</v>
      </c>
      <c r="J1355" s="44" t="str">
        <f t="shared" si="1159"/>
        <v/>
      </c>
      <c r="K1355" t="s">
        <v>13</v>
      </c>
      <c r="L1355" t="s">
        <v>756</v>
      </c>
      <c r="M1355" t="s">
        <v>756</v>
      </c>
      <c r="S1355">
        <v>729</v>
      </c>
      <c r="W1355" t="str">
        <f t="shared" si="1135"/>
        <v>h</v>
      </c>
      <c r="X1355">
        <v>93</v>
      </c>
      <c r="Y1355" t="e">
        <f>IF(X1355&lt;&gt;"",VLOOKUP(X1355,game_rosters!$C$43:$E$64,3,FALSE))</f>
        <v>#N/A</v>
      </c>
      <c r="Z1355" t="str" cm="1">
        <f t="array" ref="Z1355">IFERROR(IF(_xlfn._xlws.FILTER(game_rosters!$J:$J,(game_rosters!$G:$G=events!$AN1355)*(game_rosters!$J:$J=events!$X1355))&gt;0,1,""),"")</f>
        <v/>
      </c>
      <c r="AA1355">
        <f t="shared" si="1093"/>
        <v>1729</v>
      </c>
      <c r="AB1355" t="str">
        <f t="shared" si="1094"/>
        <v/>
      </c>
      <c r="AC1355">
        <f t="shared" si="1132"/>
        <v>1729</v>
      </c>
      <c r="AD1355" s="6">
        <v>2</v>
      </c>
      <c r="AE1355" t="s">
        <v>752</v>
      </c>
      <c r="AF1355" t="s">
        <v>753</v>
      </c>
      <c r="AG1355" t="s">
        <v>752</v>
      </c>
      <c r="AH1355" t="s">
        <v>921</v>
      </c>
      <c r="AI1355" t="s">
        <v>368</v>
      </c>
      <c r="AJ1355" t="str">
        <f t="shared" ref="AJ1355:AK1355" si="1165">IF($J1355&lt;&gt;"",$J1355,IF($AC1355=$AC1354,AJ1354,""))</f>
        <v/>
      </c>
      <c r="AK1355" t="str">
        <f t="shared" si="1165"/>
        <v/>
      </c>
      <c r="AL1355" t="str">
        <f t="shared" si="1137"/>
        <v/>
      </c>
      <c r="AN1355" t="s">
        <v>861</v>
      </c>
      <c r="AO1355" t="str">
        <f t="shared" si="1138"/>
        <v>h</v>
      </c>
      <c r="AP1355" t="str">
        <f t="shared" si="1146"/>
        <v/>
      </c>
      <c r="AQ1355" t="str">
        <f t="shared" si="1147"/>
        <v/>
      </c>
      <c r="AR1355" t="str">
        <f t="shared" si="1148"/>
        <v>Home</v>
      </c>
      <c r="AS1355" t="str">
        <f t="shared" si="1149"/>
        <v>h</v>
      </c>
      <c r="AT1355" t="str">
        <f t="shared" si="1150"/>
        <v>Defensive</v>
      </c>
      <c r="BA1355" s="6">
        <f t="shared" si="1139"/>
        <v>316</v>
      </c>
      <c r="BB1355">
        <f t="shared" si="1140"/>
        <v>18981</v>
      </c>
      <c r="BC1355" t="str">
        <f t="shared" si="1141"/>
        <v>Nelson</v>
      </c>
      <c r="BD1355" t="str">
        <f t="shared" si="1142"/>
        <v>Velodrome</v>
      </c>
      <c r="BE1355" t="s">
        <v>13</v>
      </c>
      <c r="BF1355" t="s">
        <v>756</v>
      </c>
      <c r="BG1355" t="s">
        <v>756</v>
      </c>
      <c r="BI1355" cm="1">
        <f t="array" ref="BI1355">IFERROR(_xlfn._xlws.FILTER(shifts!A:A,(shifts!B:B=events!AD1355)*(shifts!AG:AG&gt;=events!BK1355)*(shifts!AH:AH&lt;=events!BL1355)),BI1354)</f>
        <v>61</v>
      </c>
      <c r="BJ1355" s="15">
        <f t="shared" si="1143"/>
        <v>2</v>
      </c>
      <c r="BK1355">
        <f t="shared" si="1151"/>
        <v>355</v>
      </c>
      <c r="BL1355">
        <f t="shared" si="1152"/>
        <v>353</v>
      </c>
      <c r="BM1355" s="15">
        <f>SUMIFS(BJ$2:BJ1355,K$2:K1355,"=Intermission")+SUMIFS(BJ$2:BJ1355,K$2:K1355,"=Timeout")</f>
        <v>72</v>
      </c>
      <c r="BN1355">
        <f t="shared" si="1153"/>
        <v>1152</v>
      </c>
      <c r="BO1355" s="19">
        <f t="shared" si="1154"/>
        <v>1877</v>
      </c>
      <c r="BP1355">
        <f t="shared" si="1155"/>
        <v>1872</v>
      </c>
      <c r="BQ1355" s="17">
        <f t="shared" si="1156"/>
        <v>1879</v>
      </c>
      <c r="BR1355" t="str">
        <f t="shared" si="1157"/>
        <v>opp_team_player_1</v>
      </c>
      <c r="BS1355">
        <f>COUNTIFS(S$3:S1355,"="&amp;S1355,AI$3:AI1355,"="&amp;AI1355)</f>
        <v>1</v>
      </c>
      <c r="BT1355" t="str">
        <f>IFERROR(VLOOKUP(BB1355&amp;BU1355&amp;X1355,game_rosters!U:W,3,FALSE),"")</f>
        <v>P100093</v>
      </c>
      <c r="BU1355" t="str">
        <f t="shared" si="1158"/>
        <v>Velodrome</v>
      </c>
    </row>
    <row r="1356" spans="1:73" x14ac:dyDescent="0.2">
      <c r="A1356">
        <f t="shared" si="1144"/>
        <v>1</v>
      </c>
      <c r="J1356" s="44" t="str">
        <f t="shared" si="1159"/>
        <v/>
      </c>
      <c r="K1356" t="s">
        <v>7</v>
      </c>
      <c r="L1356" t="s">
        <v>192</v>
      </c>
      <c r="M1356" t="s">
        <v>67</v>
      </c>
      <c r="S1356">
        <v>730</v>
      </c>
      <c r="W1356" t="str">
        <f t="shared" si="1135"/>
        <v>h</v>
      </c>
      <c r="X1356">
        <v>80</v>
      </c>
      <c r="Y1356" t="b">
        <f>IF(X1356&lt;&gt;"",VLOOKUP(X1356,game_rosters!$C$43:$E$64,3,FALSE))</f>
        <v>0</v>
      </c>
      <c r="Z1356" cm="1">
        <f t="array" ref="Z1356">IFERROR(IF(_xlfn._xlws.FILTER(game_rosters!$J:$J,(game_rosters!$G:$G=events!$AN1356)*(game_rosters!$J:$J=events!$X1356))&gt;0,1,""),"")</f>
        <v>1</v>
      </c>
      <c r="AA1356">
        <f t="shared" si="1093"/>
        <v>1730</v>
      </c>
      <c r="AB1356" t="str">
        <f t="shared" si="1094"/>
        <v/>
      </c>
      <c r="AC1356">
        <f t="shared" si="1132"/>
        <v>1730</v>
      </c>
      <c r="AD1356" s="6">
        <v>2</v>
      </c>
      <c r="AE1356" t="s">
        <v>752</v>
      </c>
      <c r="AF1356" t="s">
        <v>921</v>
      </c>
      <c r="AG1356" t="s">
        <v>756</v>
      </c>
      <c r="AH1356" t="s">
        <v>756</v>
      </c>
      <c r="AI1356" t="s">
        <v>367</v>
      </c>
      <c r="AJ1356" t="str">
        <f t="shared" ref="AJ1356:AK1356" si="1166">IF($J1356&lt;&gt;"",$J1356,IF($AC1356=$AC1355,AJ1355,""))</f>
        <v/>
      </c>
      <c r="AK1356" t="str">
        <f t="shared" si="1166"/>
        <v/>
      </c>
      <c r="AL1356" t="str">
        <f t="shared" si="1137"/>
        <v/>
      </c>
      <c r="AN1356" t="s">
        <v>861</v>
      </c>
      <c r="AO1356" t="str">
        <f t="shared" si="1138"/>
        <v>h</v>
      </c>
      <c r="AP1356" t="str">
        <f t="shared" si="1146"/>
        <v/>
      </c>
      <c r="AQ1356" t="str">
        <f t="shared" si="1147"/>
        <v/>
      </c>
      <c r="AR1356" t="str">
        <f t="shared" si="1148"/>
        <v>Home</v>
      </c>
      <c r="AS1356" t="str">
        <f t="shared" si="1149"/>
        <v>h</v>
      </c>
      <c r="AT1356" t="str">
        <f t="shared" si="1150"/>
        <v>Offensive</v>
      </c>
      <c r="BA1356" s="6">
        <f t="shared" si="1139"/>
        <v>316</v>
      </c>
      <c r="BB1356">
        <f t="shared" si="1140"/>
        <v>18981</v>
      </c>
      <c r="BC1356" t="str">
        <f t="shared" si="1141"/>
        <v>Nelson</v>
      </c>
      <c r="BD1356" t="str">
        <f t="shared" si="1142"/>
        <v>Velodrome</v>
      </c>
      <c r="BE1356" t="s">
        <v>7</v>
      </c>
      <c r="BF1356" t="s">
        <v>192</v>
      </c>
      <c r="BG1356" t="s">
        <v>67</v>
      </c>
      <c r="BI1356" cm="1">
        <f t="array" ref="BI1356">IFERROR(_xlfn._xlws.FILTER(shifts!A:A,(shifts!B:B=events!AD1356)*(shifts!AG:AG&gt;=events!BK1356)*(shifts!AH:AH&lt;=events!BL1356)),BI1355)</f>
        <v>61</v>
      </c>
      <c r="BJ1356" s="15">
        <f t="shared" si="1143"/>
        <v>0</v>
      </c>
      <c r="BK1356">
        <f t="shared" si="1151"/>
        <v>353</v>
      </c>
      <c r="BL1356">
        <f t="shared" si="1152"/>
        <v>353</v>
      </c>
      <c r="BM1356" s="15">
        <f>SUMIFS(BJ$2:BJ1356,K$2:K1356,"=Intermission")+SUMIFS(BJ$2:BJ1356,K$2:K1356,"=Timeout")</f>
        <v>72</v>
      </c>
      <c r="BN1356">
        <f t="shared" si="1153"/>
        <v>1152</v>
      </c>
      <c r="BO1356" s="19">
        <f t="shared" si="1154"/>
        <v>1879</v>
      </c>
      <c r="BP1356">
        <f t="shared" si="1155"/>
        <v>1874</v>
      </c>
      <c r="BQ1356" s="17">
        <f t="shared" si="1156"/>
        <v>1879</v>
      </c>
      <c r="BR1356" t="str">
        <f t="shared" si="1157"/>
        <v>event_team_player_1</v>
      </c>
      <c r="BS1356">
        <f>COUNTIFS(S$3:S1356,"="&amp;S1356,AI$3:AI1356,"="&amp;AI1356)</f>
        <v>1</v>
      </c>
      <c r="BT1356" t="str">
        <f>IFERROR(VLOOKUP(BB1356&amp;BU1356&amp;X1356,game_rosters!U:W,3,FALSE),"")</f>
        <v>P100197</v>
      </c>
      <c r="BU1356" t="str">
        <f t="shared" si="1158"/>
        <v>Nelson</v>
      </c>
    </row>
    <row r="1357" spans="1:73" x14ac:dyDescent="0.2">
      <c r="A1357">
        <f t="shared" si="1144"/>
        <v>1</v>
      </c>
      <c r="J1357" s="44" t="str">
        <f t="shared" si="1159"/>
        <v/>
      </c>
      <c r="K1357" t="s">
        <v>7</v>
      </c>
      <c r="L1357" t="s">
        <v>192</v>
      </c>
      <c r="M1357" t="s">
        <v>67</v>
      </c>
      <c r="S1357">
        <v>730</v>
      </c>
      <c r="W1357" t="str">
        <f t="shared" si="1135"/>
        <v>h</v>
      </c>
      <c r="X1357">
        <v>7</v>
      </c>
      <c r="Y1357" t="b">
        <f>IF(X1357&lt;&gt;"",VLOOKUP(X1357,game_rosters!$C$43:$E$64,3,FALSE))</f>
        <v>0</v>
      </c>
      <c r="Z1357" cm="1">
        <f t="array" ref="Z1357">IFERROR(IF(_xlfn._xlws.FILTER(game_rosters!$J:$J,(game_rosters!$G:$G=events!$AN1357)*(game_rosters!$J:$J=events!$X1357))&gt;0,1,""),"")</f>
        <v>1</v>
      </c>
      <c r="AA1357">
        <f t="shared" si="1093"/>
        <v>1730</v>
      </c>
      <c r="AB1357" t="str">
        <f t="shared" si="1094"/>
        <v/>
      </c>
      <c r="AC1357">
        <f t="shared" si="1132"/>
        <v>1730</v>
      </c>
      <c r="AD1357" s="6">
        <v>2</v>
      </c>
      <c r="AE1357" t="s">
        <v>752</v>
      </c>
      <c r="AF1357" t="s">
        <v>921</v>
      </c>
      <c r="AG1357" t="s">
        <v>756</v>
      </c>
      <c r="AH1357" t="s">
        <v>756</v>
      </c>
      <c r="AI1357" t="s">
        <v>367</v>
      </c>
      <c r="AJ1357" t="str">
        <f t="shared" ref="AJ1357:AK1357" si="1167">IF($J1357&lt;&gt;"",$J1357,IF($AC1357=$AC1356,AJ1356,""))</f>
        <v/>
      </c>
      <c r="AK1357" t="str">
        <f t="shared" si="1167"/>
        <v/>
      </c>
      <c r="AL1357" t="str">
        <f t="shared" si="1137"/>
        <v/>
      </c>
      <c r="AN1357" t="s">
        <v>861</v>
      </c>
      <c r="AO1357" t="str">
        <f t="shared" si="1138"/>
        <v>h</v>
      </c>
      <c r="AP1357" t="str">
        <f t="shared" si="1146"/>
        <v/>
      </c>
      <c r="AQ1357" t="str">
        <f t="shared" si="1147"/>
        <v/>
      </c>
      <c r="AR1357" t="str">
        <f t="shared" si="1148"/>
        <v>Home</v>
      </c>
      <c r="AS1357" t="str">
        <f t="shared" si="1149"/>
        <v>h</v>
      </c>
      <c r="AT1357" t="str">
        <f t="shared" si="1150"/>
        <v>Offensive</v>
      </c>
      <c r="BA1357" s="6">
        <f t="shared" si="1139"/>
        <v>316</v>
      </c>
      <c r="BB1357">
        <f t="shared" si="1140"/>
        <v>18981</v>
      </c>
      <c r="BC1357" t="str">
        <f t="shared" si="1141"/>
        <v>Nelson</v>
      </c>
      <c r="BD1357" t="str">
        <f t="shared" si="1142"/>
        <v>Velodrome</v>
      </c>
      <c r="BE1357" t="s">
        <v>7</v>
      </c>
      <c r="BF1357" t="s">
        <v>192</v>
      </c>
      <c r="BG1357" t="s">
        <v>67</v>
      </c>
      <c r="BI1357" cm="1">
        <f t="array" ref="BI1357">IFERROR(_xlfn._xlws.FILTER(shifts!A:A,(shifts!B:B=events!AD1357)*(shifts!AG:AG&gt;=events!BK1357)*(shifts!AH:AH&lt;=events!BL1357)),BI1356)</f>
        <v>61</v>
      </c>
      <c r="BJ1357" s="15">
        <f t="shared" si="1143"/>
        <v>0</v>
      </c>
      <c r="BK1357">
        <f t="shared" si="1151"/>
        <v>353</v>
      </c>
      <c r="BL1357">
        <f t="shared" si="1152"/>
        <v>353</v>
      </c>
      <c r="BM1357" s="15">
        <f>SUMIFS(BJ$2:BJ1357,K$2:K1357,"=Intermission")+SUMIFS(BJ$2:BJ1357,K$2:K1357,"=Timeout")</f>
        <v>72</v>
      </c>
      <c r="BN1357">
        <f t="shared" si="1153"/>
        <v>1152</v>
      </c>
      <c r="BO1357" s="19">
        <f t="shared" si="1154"/>
        <v>1879</v>
      </c>
      <c r="BP1357">
        <f t="shared" si="1155"/>
        <v>1874</v>
      </c>
      <c r="BQ1357" s="17">
        <f t="shared" si="1156"/>
        <v>1879</v>
      </c>
      <c r="BR1357" t="str">
        <f t="shared" si="1157"/>
        <v>event_team_player_2</v>
      </c>
      <c r="BS1357">
        <f>COUNTIFS(S$3:S1357,"="&amp;S1357,AI$3:AI1357,"="&amp;AI1357)</f>
        <v>2</v>
      </c>
      <c r="BT1357" t="str">
        <f>IFERROR(VLOOKUP(BB1357&amp;BU1357&amp;X1357,game_rosters!U:W,3,FALSE),"")</f>
        <v>P100072</v>
      </c>
      <c r="BU1357" t="str">
        <f t="shared" si="1158"/>
        <v>Nelson</v>
      </c>
    </row>
    <row r="1358" spans="1:73" x14ac:dyDescent="0.2">
      <c r="A1358">
        <f t="shared" si="1144"/>
        <v>1</v>
      </c>
      <c r="J1358" s="44" t="str">
        <f t="shared" si="1159"/>
        <v/>
      </c>
      <c r="K1358" t="s">
        <v>7</v>
      </c>
      <c r="L1358" t="s">
        <v>192</v>
      </c>
      <c r="M1358" t="s">
        <v>67</v>
      </c>
      <c r="S1358">
        <v>730</v>
      </c>
      <c r="W1358" t="str">
        <f t="shared" si="1135"/>
        <v>h</v>
      </c>
      <c r="X1358">
        <v>9</v>
      </c>
      <c r="Y1358" t="e">
        <f>IF(X1358&lt;&gt;"",VLOOKUP(X1358,game_rosters!$C$43:$E$64,3,FALSE))</f>
        <v>#N/A</v>
      </c>
      <c r="Z1358" t="str" cm="1">
        <f t="array" ref="Z1358">IFERROR(IF(_xlfn._xlws.FILTER(game_rosters!$J:$J,(game_rosters!$G:$G=events!$AN1358)*(game_rosters!$J:$J=events!$X1358))&gt;0,1,""),"")</f>
        <v/>
      </c>
      <c r="AA1358">
        <f t="shared" si="1093"/>
        <v>1730</v>
      </c>
      <c r="AB1358" t="str">
        <f t="shared" si="1094"/>
        <v/>
      </c>
      <c r="AC1358">
        <f t="shared" si="1132"/>
        <v>1730</v>
      </c>
      <c r="AD1358" s="6">
        <v>2</v>
      </c>
      <c r="AE1358" t="s">
        <v>752</v>
      </c>
      <c r="AF1358" t="s">
        <v>921</v>
      </c>
      <c r="AG1358" t="s">
        <v>756</v>
      </c>
      <c r="AH1358" t="s">
        <v>756</v>
      </c>
      <c r="AI1358" t="s">
        <v>368</v>
      </c>
      <c r="AJ1358" t="str">
        <f t="shared" ref="AJ1358:AK1358" si="1168">IF($J1358&lt;&gt;"",$J1358,IF($AC1358=$AC1357,AJ1357,""))</f>
        <v/>
      </c>
      <c r="AK1358" t="str">
        <f t="shared" si="1168"/>
        <v/>
      </c>
      <c r="AL1358" t="str">
        <f t="shared" si="1137"/>
        <v/>
      </c>
      <c r="AN1358" t="s">
        <v>861</v>
      </c>
      <c r="AO1358" t="str">
        <f t="shared" si="1138"/>
        <v>h</v>
      </c>
      <c r="AP1358" t="str">
        <f t="shared" si="1146"/>
        <v/>
      </c>
      <c r="AQ1358" t="str">
        <f t="shared" si="1147"/>
        <v/>
      </c>
      <c r="AR1358" t="str">
        <f t="shared" si="1148"/>
        <v>Home</v>
      </c>
      <c r="AS1358" t="str">
        <f t="shared" si="1149"/>
        <v>h</v>
      </c>
      <c r="AT1358" t="str">
        <f t="shared" si="1150"/>
        <v>Defensive</v>
      </c>
      <c r="BA1358" s="6">
        <f t="shared" si="1139"/>
        <v>316</v>
      </c>
      <c r="BB1358">
        <f t="shared" si="1140"/>
        <v>18981</v>
      </c>
      <c r="BC1358" t="str">
        <f t="shared" si="1141"/>
        <v>Nelson</v>
      </c>
      <c r="BD1358" t="str">
        <f t="shared" si="1142"/>
        <v>Velodrome</v>
      </c>
      <c r="BE1358" t="s">
        <v>7</v>
      </c>
      <c r="BF1358" t="s">
        <v>192</v>
      </c>
      <c r="BG1358" t="s">
        <v>67</v>
      </c>
      <c r="BI1358" cm="1">
        <f t="array" ref="BI1358">IFERROR(_xlfn._xlws.FILTER(shifts!A:A,(shifts!B:B=events!AD1358)*(shifts!AG:AG&gt;=events!BK1358)*(shifts!AH:AH&lt;=events!BL1358)),BI1357)</f>
        <v>61</v>
      </c>
      <c r="BJ1358" s="15">
        <f t="shared" si="1143"/>
        <v>0</v>
      </c>
      <c r="BK1358">
        <f t="shared" si="1151"/>
        <v>353</v>
      </c>
      <c r="BL1358">
        <f t="shared" si="1152"/>
        <v>353</v>
      </c>
      <c r="BM1358" s="15">
        <f>SUMIFS(BJ$2:BJ1358,K$2:K1358,"=Intermission")+SUMIFS(BJ$2:BJ1358,K$2:K1358,"=Timeout")</f>
        <v>72</v>
      </c>
      <c r="BN1358">
        <f t="shared" si="1153"/>
        <v>1152</v>
      </c>
      <c r="BO1358" s="19">
        <f t="shared" si="1154"/>
        <v>1879</v>
      </c>
      <c r="BP1358">
        <f t="shared" si="1155"/>
        <v>1874</v>
      </c>
      <c r="BQ1358" s="17">
        <f t="shared" si="1156"/>
        <v>1879</v>
      </c>
      <c r="BR1358" t="str">
        <f t="shared" si="1157"/>
        <v>opp_team_player_1</v>
      </c>
      <c r="BS1358">
        <f>COUNTIFS(S$3:S1358,"="&amp;S1358,AI$3:AI1358,"="&amp;AI1358)</f>
        <v>1</v>
      </c>
      <c r="BT1358" t="str">
        <f>IFERROR(VLOOKUP(BB1358&amp;BU1358&amp;X1358,game_rosters!U:W,3,FALSE),"")</f>
        <v>P100105</v>
      </c>
      <c r="BU1358" t="str">
        <f t="shared" si="1158"/>
        <v>Velodrome</v>
      </c>
    </row>
    <row r="1359" spans="1:73" x14ac:dyDescent="0.2">
      <c r="A1359">
        <f t="shared" si="1144"/>
        <v>1</v>
      </c>
      <c r="J1359" s="44" t="str">
        <f t="shared" si="1159"/>
        <v/>
      </c>
      <c r="K1359" t="s">
        <v>238</v>
      </c>
      <c r="L1359" t="s">
        <v>193</v>
      </c>
      <c r="M1359" t="s">
        <v>91</v>
      </c>
      <c r="S1359">
        <v>731</v>
      </c>
      <c r="W1359" t="str">
        <f t="shared" si="1135"/>
        <v>h</v>
      </c>
      <c r="X1359">
        <v>44</v>
      </c>
      <c r="Y1359" t="b">
        <f>IF(X1359&lt;&gt;"",VLOOKUP(X1359,game_rosters!$C$43:$E$64,3,FALSE))</f>
        <v>0</v>
      </c>
      <c r="Z1359" cm="1">
        <f t="array" ref="Z1359">IFERROR(IF(_xlfn._xlws.FILTER(game_rosters!$J:$J,(game_rosters!$G:$G=events!$AN1359)*(game_rosters!$J:$J=events!$X1359))&gt;0,1,""),"")</f>
        <v>1</v>
      </c>
      <c r="AA1359">
        <f t="shared" si="1093"/>
        <v>1731</v>
      </c>
      <c r="AB1359" t="str">
        <f t="shared" si="1094"/>
        <v/>
      </c>
      <c r="AC1359">
        <f t="shared" si="1132"/>
        <v>1731</v>
      </c>
      <c r="AD1359" s="6">
        <v>2</v>
      </c>
      <c r="AE1359" t="s">
        <v>752</v>
      </c>
      <c r="AF1359" t="s">
        <v>751</v>
      </c>
      <c r="AG1359" t="s">
        <v>756</v>
      </c>
      <c r="AH1359" t="s">
        <v>756</v>
      </c>
      <c r="AI1359" t="s">
        <v>367</v>
      </c>
      <c r="AJ1359" t="str">
        <f t="shared" ref="AJ1359:AK1359" si="1169">IF($J1359&lt;&gt;"",$J1359,IF($AC1359=$AC1358,AJ1358,""))</f>
        <v/>
      </c>
      <c r="AK1359" t="str">
        <f t="shared" si="1169"/>
        <v/>
      </c>
      <c r="AL1359" t="str">
        <f t="shared" si="1137"/>
        <v/>
      </c>
      <c r="AN1359" t="s">
        <v>861</v>
      </c>
      <c r="AO1359" t="str">
        <f t="shared" si="1138"/>
        <v>h</v>
      </c>
      <c r="AP1359" t="str">
        <f t="shared" si="1146"/>
        <v/>
      </c>
      <c r="AQ1359" t="str">
        <f t="shared" si="1147"/>
        <v/>
      </c>
      <c r="AR1359" t="str">
        <f t="shared" si="1148"/>
        <v>Home</v>
      </c>
      <c r="AS1359" t="str">
        <f t="shared" si="1149"/>
        <v>h</v>
      </c>
      <c r="AT1359" t="str">
        <f t="shared" si="1150"/>
        <v>Offensive</v>
      </c>
      <c r="BA1359" s="6">
        <f t="shared" si="1139"/>
        <v>316</v>
      </c>
      <c r="BB1359">
        <f t="shared" si="1140"/>
        <v>18981</v>
      </c>
      <c r="BC1359" t="str">
        <f t="shared" si="1141"/>
        <v>Nelson</v>
      </c>
      <c r="BD1359" t="str">
        <f t="shared" si="1142"/>
        <v>Velodrome</v>
      </c>
      <c r="BE1359" t="s">
        <v>238</v>
      </c>
      <c r="BF1359" t="s">
        <v>193</v>
      </c>
      <c r="BG1359" t="s">
        <v>91</v>
      </c>
      <c r="BI1359" cm="1">
        <f t="array" ref="BI1359">IFERROR(_xlfn._xlws.FILTER(shifts!A:A,(shifts!B:B=events!AD1359)*(shifts!AG:AG&gt;=events!BK1359)*(shifts!AH:AH&lt;=events!BL1359)),BI1358)</f>
        <v>61</v>
      </c>
      <c r="BJ1359" s="15">
        <f t="shared" si="1143"/>
        <v>0</v>
      </c>
      <c r="BK1359">
        <f t="shared" si="1151"/>
        <v>349</v>
      </c>
      <c r="BL1359">
        <f t="shared" si="1152"/>
        <v>349</v>
      </c>
      <c r="BM1359" s="15">
        <f>SUMIFS(BJ$2:BJ1359,K$2:K1359,"=Intermission")+SUMIFS(BJ$2:BJ1359,K$2:K1359,"=Timeout")</f>
        <v>72</v>
      </c>
      <c r="BN1359">
        <f t="shared" si="1153"/>
        <v>1152</v>
      </c>
      <c r="BO1359" s="19">
        <f t="shared" si="1154"/>
        <v>1883</v>
      </c>
      <c r="BP1359">
        <f t="shared" si="1155"/>
        <v>1878</v>
      </c>
      <c r="BQ1359" s="17">
        <f t="shared" si="1156"/>
        <v>1883</v>
      </c>
      <c r="BR1359" t="str">
        <f t="shared" si="1157"/>
        <v>event_team_player_1</v>
      </c>
      <c r="BS1359">
        <f>COUNTIFS(S$3:S1359,"="&amp;S1359,AI$3:AI1359,"="&amp;AI1359)</f>
        <v>1</v>
      </c>
      <c r="BT1359" t="str">
        <f>IFERROR(VLOOKUP(BB1359&amp;BU1359&amp;X1359,game_rosters!U:W,3,FALSE),"")</f>
        <v>P100079</v>
      </c>
      <c r="BU1359" t="str">
        <f t="shared" si="1158"/>
        <v>Nelson</v>
      </c>
    </row>
    <row r="1360" spans="1:73" x14ac:dyDescent="0.2">
      <c r="A1360">
        <f t="shared" si="1144"/>
        <v>1</v>
      </c>
      <c r="J1360" s="44" t="str">
        <f t="shared" si="1159"/>
        <v/>
      </c>
      <c r="K1360" t="s">
        <v>13</v>
      </c>
      <c r="L1360" t="s">
        <v>756</v>
      </c>
      <c r="M1360" t="s">
        <v>756</v>
      </c>
      <c r="S1360">
        <v>732</v>
      </c>
      <c r="W1360" t="str">
        <f t="shared" si="1135"/>
        <v>h</v>
      </c>
      <c r="X1360">
        <v>44</v>
      </c>
      <c r="Y1360" t="b">
        <f>IF(X1360&lt;&gt;"",VLOOKUP(X1360,game_rosters!$C$43:$E$64,3,FALSE))</f>
        <v>0</v>
      </c>
      <c r="Z1360" cm="1">
        <f t="array" ref="Z1360">IFERROR(IF(_xlfn._xlws.FILTER(game_rosters!$J:$J,(game_rosters!$G:$G=events!$AN1360)*(game_rosters!$J:$J=events!$X1360))&gt;0,1,""),"")</f>
        <v>1</v>
      </c>
      <c r="AA1360">
        <f t="shared" si="1093"/>
        <v>1732</v>
      </c>
      <c r="AB1360" t="str">
        <f t="shared" si="1094"/>
        <v/>
      </c>
      <c r="AC1360">
        <f t="shared" si="1132"/>
        <v>1732</v>
      </c>
      <c r="AD1360" s="6">
        <v>2</v>
      </c>
      <c r="AE1360" t="s">
        <v>752</v>
      </c>
      <c r="AF1360" t="s">
        <v>751</v>
      </c>
      <c r="AG1360" t="s">
        <v>752</v>
      </c>
      <c r="AH1360" t="s">
        <v>737</v>
      </c>
      <c r="AI1360" t="s">
        <v>367</v>
      </c>
      <c r="AJ1360" t="str">
        <f t="shared" ref="AJ1360:AK1360" si="1170">IF($J1360&lt;&gt;"",$J1360,IF($AC1360=$AC1359,AJ1359,""))</f>
        <v/>
      </c>
      <c r="AK1360" t="str">
        <f t="shared" si="1170"/>
        <v/>
      </c>
      <c r="AL1360" t="str">
        <f t="shared" si="1137"/>
        <v/>
      </c>
      <c r="AN1360" t="s">
        <v>861</v>
      </c>
      <c r="AO1360" t="str">
        <f t="shared" si="1138"/>
        <v>h</v>
      </c>
      <c r="AP1360" t="str">
        <f t="shared" si="1146"/>
        <v/>
      </c>
      <c r="AQ1360" t="str">
        <f t="shared" si="1147"/>
        <v/>
      </c>
      <c r="AR1360" t="str">
        <f t="shared" si="1148"/>
        <v>Home</v>
      </c>
      <c r="AS1360" t="str">
        <f t="shared" si="1149"/>
        <v>h</v>
      </c>
      <c r="AT1360" t="str">
        <f t="shared" si="1150"/>
        <v>Offensive</v>
      </c>
      <c r="BA1360" s="6">
        <f t="shared" si="1139"/>
        <v>316</v>
      </c>
      <c r="BB1360">
        <f t="shared" si="1140"/>
        <v>18981</v>
      </c>
      <c r="BC1360" t="str">
        <f t="shared" si="1141"/>
        <v>Nelson</v>
      </c>
      <c r="BD1360" t="str">
        <f t="shared" si="1142"/>
        <v>Velodrome</v>
      </c>
      <c r="BE1360" t="s">
        <v>13</v>
      </c>
      <c r="BF1360" t="s">
        <v>756</v>
      </c>
      <c r="BG1360" t="s">
        <v>756</v>
      </c>
      <c r="BI1360" cm="1">
        <f t="array" ref="BI1360">IFERROR(_xlfn._xlws.FILTER(shifts!A:A,(shifts!B:B=events!AD1360)*(shifts!AG:AG&gt;=events!BK1360)*(shifts!AH:AH&lt;=events!BL1360)),BI1359)</f>
        <v>61</v>
      </c>
      <c r="BJ1360" s="15">
        <f t="shared" si="1143"/>
        <v>3</v>
      </c>
      <c r="BK1360">
        <f t="shared" si="1151"/>
        <v>349</v>
      </c>
      <c r="BL1360">
        <f t="shared" si="1152"/>
        <v>346</v>
      </c>
      <c r="BM1360" s="15">
        <f>SUMIFS(BJ$2:BJ1360,K$2:K1360,"=Intermission")+SUMIFS(BJ$2:BJ1360,K$2:K1360,"=Timeout")</f>
        <v>72</v>
      </c>
      <c r="BN1360">
        <f t="shared" si="1153"/>
        <v>1152</v>
      </c>
      <c r="BO1360" s="19">
        <f t="shared" si="1154"/>
        <v>1883</v>
      </c>
      <c r="BP1360">
        <f t="shared" si="1155"/>
        <v>1878</v>
      </c>
      <c r="BQ1360" s="17">
        <f t="shared" si="1156"/>
        <v>1886</v>
      </c>
      <c r="BR1360" t="str">
        <f t="shared" si="1157"/>
        <v>event_team_player_1</v>
      </c>
      <c r="BS1360">
        <f>COUNTIFS(S$3:S1360,"="&amp;S1360,AI$3:AI1360,"="&amp;AI1360)</f>
        <v>1</v>
      </c>
      <c r="BT1360" t="str">
        <f>IFERROR(VLOOKUP(BB1360&amp;BU1360&amp;X1360,game_rosters!U:W,3,FALSE),"")</f>
        <v>P100079</v>
      </c>
      <c r="BU1360" t="str">
        <f t="shared" si="1158"/>
        <v>Nelson</v>
      </c>
    </row>
    <row r="1361" spans="1:73" x14ac:dyDescent="0.2">
      <c r="A1361">
        <f t="shared" si="1144"/>
        <v>1</v>
      </c>
      <c r="J1361" s="44" t="str">
        <f t="shared" si="1159"/>
        <v/>
      </c>
      <c r="K1361" t="s">
        <v>13</v>
      </c>
      <c r="L1361" t="s">
        <v>756</v>
      </c>
      <c r="M1361" t="s">
        <v>756</v>
      </c>
      <c r="S1361">
        <v>732</v>
      </c>
      <c r="W1361" t="str">
        <f t="shared" si="1135"/>
        <v>h</v>
      </c>
      <c r="X1361">
        <v>70</v>
      </c>
      <c r="Y1361" t="e">
        <f>IF(X1361&lt;&gt;"",VLOOKUP(X1361,game_rosters!$C$43:$E$64,3,FALSE))</f>
        <v>#N/A</v>
      </c>
      <c r="Z1361" t="str" cm="1">
        <f t="array" ref="Z1361">IFERROR(IF(_xlfn._xlws.FILTER(game_rosters!$J:$J,(game_rosters!$G:$G=events!$AN1361)*(game_rosters!$J:$J=events!$X1361))&gt;0,1,""),"")</f>
        <v/>
      </c>
      <c r="AA1361">
        <f t="shared" si="1093"/>
        <v>1732</v>
      </c>
      <c r="AB1361" t="str">
        <f t="shared" si="1094"/>
        <v/>
      </c>
      <c r="AC1361">
        <f t="shared" si="1132"/>
        <v>1732</v>
      </c>
      <c r="AD1361" s="6">
        <v>2</v>
      </c>
      <c r="AE1361" t="s">
        <v>752</v>
      </c>
      <c r="AF1361" t="s">
        <v>751</v>
      </c>
      <c r="AG1361" t="s">
        <v>752</v>
      </c>
      <c r="AH1361" t="s">
        <v>737</v>
      </c>
      <c r="AI1361" t="s">
        <v>368</v>
      </c>
      <c r="AJ1361" t="str">
        <f t="shared" ref="AJ1361:AK1361" si="1171">IF($J1361&lt;&gt;"",$J1361,IF($AC1361=$AC1360,AJ1360,""))</f>
        <v/>
      </c>
      <c r="AK1361" t="str">
        <f t="shared" si="1171"/>
        <v/>
      </c>
      <c r="AL1361" t="str">
        <f t="shared" si="1137"/>
        <v/>
      </c>
      <c r="AN1361" t="s">
        <v>861</v>
      </c>
      <c r="AO1361" t="str">
        <f t="shared" si="1138"/>
        <v>h</v>
      </c>
      <c r="AP1361" t="str">
        <f t="shared" si="1146"/>
        <v/>
      </c>
      <c r="AQ1361" t="str">
        <f t="shared" si="1147"/>
        <v/>
      </c>
      <c r="AR1361" t="str">
        <f t="shared" si="1148"/>
        <v>Home</v>
      </c>
      <c r="AS1361" t="str">
        <f t="shared" si="1149"/>
        <v>h</v>
      </c>
      <c r="AT1361" t="str">
        <f t="shared" si="1150"/>
        <v>Defensive</v>
      </c>
      <c r="BA1361" s="6">
        <f t="shared" si="1139"/>
        <v>316</v>
      </c>
      <c r="BB1361">
        <f t="shared" si="1140"/>
        <v>18981</v>
      </c>
      <c r="BC1361" t="str">
        <f t="shared" si="1141"/>
        <v>Nelson</v>
      </c>
      <c r="BD1361" t="str">
        <f t="shared" si="1142"/>
        <v>Velodrome</v>
      </c>
      <c r="BE1361" t="s">
        <v>13</v>
      </c>
      <c r="BF1361" t="s">
        <v>756</v>
      </c>
      <c r="BG1361" t="s">
        <v>756</v>
      </c>
      <c r="BI1361" cm="1">
        <f t="array" ref="BI1361">IFERROR(_xlfn._xlws.FILTER(shifts!A:A,(shifts!B:B=events!AD1361)*(shifts!AG:AG&gt;=events!BK1361)*(shifts!AH:AH&lt;=events!BL1361)),BI1360)</f>
        <v>61</v>
      </c>
      <c r="BJ1361" s="15">
        <f t="shared" si="1143"/>
        <v>3</v>
      </c>
      <c r="BK1361">
        <f t="shared" si="1151"/>
        <v>349</v>
      </c>
      <c r="BL1361">
        <f t="shared" si="1152"/>
        <v>346</v>
      </c>
      <c r="BM1361" s="15">
        <f>SUMIFS(BJ$2:BJ1361,K$2:K1361,"=Intermission")+SUMIFS(BJ$2:BJ1361,K$2:K1361,"=Timeout")</f>
        <v>72</v>
      </c>
      <c r="BN1361">
        <f t="shared" si="1153"/>
        <v>1152</v>
      </c>
      <c r="BO1361" s="19">
        <f t="shared" si="1154"/>
        <v>1883</v>
      </c>
      <c r="BP1361">
        <f t="shared" si="1155"/>
        <v>1878</v>
      </c>
      <c r="BQ1361" s="17">
        <f t="shared" si="1156"/>
        <v>1886</v>
      </c>
      <c r="BR1361" t="str">
        <f t="shared" si="1157"/>
        <v>opp_team_player_1</v>
      </c>
      <c r="BS1361">
        <f>COUNTIFS(S$3:S1361,"="&amp;S1361,AI$3:AI1361,"="&amp;AI1361)</f>
        <v>1</v>
      </c>
      <c r="BT1361" t="str">
        <f>IFERROR(VLOOKUP(BB1361&amp;BU1361&amp;X1361,game_rosters!U:W,3,FALSE),"")</f>
        <v>P100001</v>
      </c>
      <c r="BU1361" t="str">
        <f t="shared" si="1158"/>
        <v>Velodrome</v>
      </c>
    </row>
    <row r="1362" spans="1:73" x14ac:dyDescent="0.2">
      <c r="A1362">
        <f t="shared" si="1144"/>
        <v>1</v>
      </c>
      <c r="J1362" s="44" t="str">
        <f t="shared" si="1159"/>
        <v>o</v>
      </c>
      <c r="K1362" t="s">
        <v>6</v>
      </c>
      <c r="L1362" t="s">
        <v>205</v>
      </c>
      <c r="M1362" t="s">
        <v>51</v>
      </c>
      <c r="S1362">
        <v>733</v>
      </c>
      <c r="W1362" t="str">
        <f t="shared" si="1135"/>
        <v>h</v>
      </c>
      <c r="X1362">
        <v>44</v>
      </c>
      <c r="Y1362" t="b">
        <f>IF(X1362&lt;&gt;"",VLOOKUP(X1362,game_rosters!$C$43:$E$64,3,FALSE))</f>
        <v>0</v>
      </c>
      <c r="Z1362" cm="1">
        <f t="array" ref="Z1362">IFERROR(IF(_xlfn._xlws.FILTER(game_rosters!$J:$J,(game_rosters!$G:$G=events!$AN1362)*(game_rosters!$J:$J=events!$X1362))&gt;0,1,""),"")</f>
        <v>1</v>
      </c>
      <c r="AA1362">
        <f t="shared" si="1093"/>
        <v>1733</v>
      </c>
      <c r="AB1362" t="str">
        <f t="shared" si="1094"/>
        <v/>
      </c>
      <c r="AC1362">
        <f t="shared" si="1132"/>
        <v>1733</v>
      </c>
      <c r="AD1362" s="6">
        <v>2</v>
      </c>
      <c r="AE1362" t="s">
        <v>752</v>
      </c>
      <c r="AF1362" t="s">
        <v>737</v>
      </c>
      <c r="AG1362" t="s">
        <v>756</v>
      </c>
      <c r="AH1362" t="s">
        <v>756</v>
      </c>
      <c r="AI1362" t="s">
        <v>367</v>
      </c>
      <c r="AJ1362" t="str">
        <f t="shared" ref="AJ1362:AK1362" si="1172">IF($J1362&lt;&gt;"",$J1362,IF($AC1362=$AC1361,AJ1361,""))</f>
        <v>o</v>
      </c>
      <c r="AK1362" t="str">
        <f t="shared" si="1172"/>
        <v>o</v>
      </c>
      <c r="AL1362" t="str">
        <f t="shared" si="1137"/>
        <v>o</v>
      </c>
      <c r="AN1362" t="s">
        <v>861</v>
      </c>
      <c r="AO1362" t="str">
        <f t="shared" si="1138"/>
        <v>h</v>
      </c>
      <c r="AP1362" t="str">
        <f t="shared" si="1146"/>
        <v>o</v>
      </c>
      <c r="AQ1362" t="str">
        <f t="shared" si="1147"/>
        <v/>
      </c>
      <c r="AR1362" t="str">
        <f t="shared" si="1148"/>
        <v>Home</v>
      </c>
      <c r="AS1362" t="str">
        <f t="shared" si="1149"/>
        <v>h</v>
      </c>
      <c r="AT1362" t="str">
        <f t="shared" si="1150"/>
        <v>Offensive</v>
      </c>
      <c r="BA1362" s="6">
        <f t="shared" si="1139"/>
        <v>316</v>
      </c>
      <c r="BB1362">
        <f t="shared" si="1140"/>
        <v>18981</v>
      </c>
      <c r="BC1362" t="str">
        <f t="shared" si="1141"/>
        <v>Nelson</v>
      </c>
      <c r="BD1362" t="str">
        <f t="shared" si="1142"/>
        <v>Velodrome</v>
      </c>
      <c r="BE1362" t="s">
        <v>6</v>
      </c>
      <c r="BF1362" t="s">
        <v>205</v>
      </c>
      <c r="BG1362" t="s">
        <v>51</v>
      </c>
      <c r="BI1362" cm="1">
        <f t="array" ref="BI1362">IFERROR(_xlfn._xlws.FILTER(shifts!A:A,(shifts!B:B=events!AD1362)*(shifts!AG:AG&gt;=events!BK1362)*(shifts!AH:AH&lt;=events!BL1362)),BI1361)</f>
        <v>61</v>
      </c>
      <c r="BJ1362" s="15">
        <f t="shared" si="1143"/>
        <v>0</v>
      </c>
      <c r="BK1362">
        <f t="shared" si="1151"/>
        <v>346</v>
      </c>
      <c r="BL1362">
        <f t="shared" si="1152"/>
        <v>346</v>
      </c>
      <c r="BM1362" s="15">
        <f>SUMIFS(BJ$2:BJ1362,K$2:K1362,"=Intermission")+SUMIFS(BJ$2:BJ1362,K$2:K1362,"=Timeout")</f>
        <v>72</v>
      </c>
      <c r="BN1362">
        <f t="shared" si="1153"/>
        <v>1152</v>
      </c>
      <c r="BO1362" s="19">
        <f t="shared" si="1154"/>
        <v>1886</v>
      </c>
      <c r="BP1362">
        <f t="shared" si="1155"/>
        <v>1881</v>
      </c>
      <c r="BQ1362" s="17">
        <f t="shared" si="1156"/>
        <v>1886</v>
      </c>
      <c r="BR1362" t="str">
        <f t="shared" si="1157"/>
        <v>event_team_player_1</v>
      </c>
      <c r="BS1362">
        <f>COUNTIFS(S$3:S1362,"="&amp;S1362,AI$3:AI1362,"="&amp;AI1362)</f>
        <v>1</v>
      </c>
      <c r="BT1362" t="str">
        <f>IFERROR(VLOOKUP(BB1362&amp;BU1362&amp;X1362,game_rosters!U:W,3,FALSE),"")</f>
        <v>P100079</v>
      </c>
      <c r="BU1362" t="str">
        <f t="shared" si="1158"/>
        <v>Nelson</v>
      </c>
    </row>
    <row r="1363" spans="1:73" x14ac:dyDescent="0.2">
      <c r="A1363">
        <f t="shared" si="1144"/>
        <v>1</v>
      </c>
      <c r="J1363" s="44" t="str">
        <f t="shared" si="1159"/>
        <v>o</v>
      </c>
      <c r="K1363" t="s">
        <v>6</v>
      </c>
      <c r="L1363" t="s">
        <v>205</v>
      </c>
      <c r="M1363" t="s">
        <v>51</v>
      </c>
      <c r="S1363">
        <v>733</v>
      </c>
      <c r="W1363" t="str">
        <f t="shared" si="1135"/>
        <v>h</v>
      </c>
      <c r="X1363">
        <v>39</v>
      </c>
      <c r="Y1363" t="e">
        <f>IF(X1363&lt;&gt;"",VLOOKUP(X1363,game_rosters!$C$43:$E$64,3,FALSE))</f>
        <v>#N/A</v>
      </c>
      <c r="Z1363" t="str" cm="1">
        <f t="array" ref="Z1363">IFERROR(IF(_xlfn._xlws.FILTER(game_rosters!$J:$J,(game_rosters!$G:$G=events!$AN1363)*(game_rosters!$J:$J=events!$X1363))&gt;0,1,""),"")</f>
        <v/>
      </c>
      <c r="AA1363">
        <f t="shared" si="1093"/>
        <v>1733</v>
      </c>
      <c r="AB1363" t="str">
        <f t="shared" si="1094"/>
        <v/>
      </c>
      <c r="AC1363">
        <f t="shared" si="1132"/>
        <v>1733</v>
      </c>
      <c r="AD1363" s="6">
        <v>2</v>
      </c>
      <c r="AE1363" t="s">
        <v>752</v>
      </c>
      <c r="AF1363" t="s">
        <v>737</v>
      </c>
      <c r="AG1363" t="s">
        <v>756</v>
      </c>
      <c r="AH1363" t="s">
        <v>756</v>
      </c>
      <c r="AI1363" t="s">
        <v>368</v>
      </c>
      <c r="AJ1363" t="str">
        <f t="shared" ref="AJ1363:AK1363" si="1173">IF($J1363&lt;&gt;"",$J1363,IF($AC1363=$AC1362,AJ1362,""))</f>
        <v>o</v>
      </c>
      <c r="AK1363" t="str">
        <f t="shared" si="1173"/>
        <v>o</v>
      </c>
      <c r="AL1363" t="str">
        <f t="shared" si="1137"/>
        <v>o</v>
      </c>
      <c r="AN1363" t="s">
        <v>861</v>
      </c>
      <c r="AO1363" t="str">
        <f t="shared" si="1138"/>
        <v>h</v>
      </c>
      <c r="AP1363" t="str">
        <f t="shared" si="1146"/>
        <v>o</v>
      </c>
      <c r="AQ1363" t="str">
        <f t="shared" si="1147"/>
        <v/>
      </c>
      <c r="AR1363" t="str">
        <f t="shared" si="1148"/>
        <v>Home</v>
      </c>
      <c r="AS1363" t="str">
        <f t="shared" si="1149"/>
        <v>h</v>
      </c>
      <c r="AT1363" t="str">
        <f t="shared" si="1150"/>
        <v>Defensive</v>
      </c>
      <c r="BA1363" s="6">
        <f t="shared" si="1139"/>
        <v>316</v>
      </c>
      <c r="BB1363">
        <f t="shared" si="1140"/>
        <v>18981</v>
      </c>
      <c r="BC1363" t="str">
        <f t="shared" si="1141"/>
        <v>Nelson</v>
      </c>
      <c r="BD1363" t="str">
        <f t="shared" si="1142"/>
        <v>Velodrome</v>
      </c>
      <c r="BE1363" t="s">
        <v>6</v>
      </c>
      <c r="BF1363" t="s">
        <v>205</v>
      </c>
      <c r="BG1363" t="s">
        <v>51</v>
      </c>
      <c r="BI1363" cm="1">
        <f t="array" ref="BI1363">IFERROR(_xlfn._xlws.FILTER(shifts!A:A,(shifts!B:B=events!AD1363)*(shifts!AG:AG&gt;=events!BK1363)*(shifts!AH:AH&lt;=events!BL1363)),BI1362)</f>
        <v>61</v>
      </c>
      <c r="BJ1363" s="15">
        <f t="shared" si="1143"/>
        <v>0</v>
      </c>
      <c r="BK1363">
        <f t="shared" si="1151"/>
        <v>346</v>
      </c>
      <c r="BL1363">
        <f t="shared" si="1152"/>
        <v>346</v>
      </c>
      <c r="BM1363" s="15">
        <f>SUMIFS(BJ$2:BJ1363,K$2:K1363,"=Intermission")+SUMIFS(BJ$2:BJ1363,K$2:K1363,"=Timeout")</f>
        <v>72</v>
      </c>
      <c r="BN1363">
        <f t="shared" si="1153"/>
        <v>1152</v>
      </c>
      <c r="BO1363" s="19">
        <f t="shared" si="1154"/>
        <v>1886</v>
      </c>
      <c r="BP1363">
        <f t="shared" si="1155"/>
        <v>1881</v>
      </c>
      <c r="BQ1363" s="17">
        <f t="shared" si="1156"/>
        <v>1886</v>
      </c>
      <c r="BR1363" t="str">
        <f t="shared" si="1157"/>
        <v>opp_team_player_1</v>
      </c>
      <c r="BS1363">
        <f>COUNTIFS(S$3:S1363,"="&amp;S1363,AI$3:AI1363,"="&amp;AI1363)</f>
        <v>1</v>
      </c>
      <c r="BT1363" t="str">
        <f>IFERROR(VLOOKUP(BB1363&amp;BU1363&amp;X1363,game_rosters!U:W,3,FALSE),"")</f>
        <v>P100016</v>
      </c>
      <c r="BU1363" t="str">
        <f t="shared" si="1158"/>
        <v>Velodrome</v>
      </c>
    </row>
    <row r="1364" spans="1:73" x14ac:dyDescent="0.2">
      <c r="A1364">
        <f t="shared" si="1144"/>
        <v>1</v>
      </c>
      <c r="J1364" s="44" t="str">
        <f t="shared" si="1159"/>
        <v>o</v>
      </c>
      <c r="K1364" t="s">
        <v>6</v>
      </c>
      <c r="L1364" t="s">
        <v>205</v>
      </c>
      <c r="M1364" t="s">
        <v>51</v>
      </c>
      <c r="S1364">
        <v>733</v>
      </c>
      <c r="W1364" t="str">
        <f t="shared" si="1135"/>
        <v>h</v>
      </c>
      <c r="X1364">
        <v>9</v>
      </c>
      <c r="Y1364" t="e">
        <f>IF(X1364&lt;&gt;"",VLOOKUP(X1364,game_rosters!$C$43:$E$64,3,FALSE))</f>
        <v>#N/A</v>
      </c>
      <c r="Z1364" t="str" cm="1">
        <f t="array" ref="Z1364">IFERROR(IF(_xlfn._xlws.FILTER(game_rosters!$J:$J,(game_rosters!$G:$G=events!$AN1364)*(game_rosters!$J:$J=events!$X1364))&gt;0,1,""),"")</f>
        <v/>
      </c>
      <c r="AA1364">
        <f t="shared" si="1093"/>
        <v>1733</v>
      </c>
      <c r="AB1364" t="str">
        <f t="shared" si="1094"/>
        <v/>
      </c>
      <c r="AC1364">
        <f t="shared" si="1132"/>
        <v>1733</v>
      </c>
      <c r="AD1364" s="6">
        <v>2</v>
      </c>
      <c r="AE1364" t="s">
        <v>752</v>
      </c>
      <c r="AF1364" t="s">
        <v>737</v>
      </c>
      <c r="AG1364" t="s">
        <v>756</v>
      </c>
      <c r="AH1364" t="s">
        <v>756</v>
      </c>
      <c r="AI1364" t="s">
        <v>368</v>
      </c>
      <c r="AJ1364" t="str">
        <f t="shared" ref="AJ1364:AK1364" si="1174">IF($J1364&lt;&gt;"",$J1364,IF($AC1364=$AC1363,AJ1363,""))</f>
        <v>o</v>
      </c>
      <c r="AK1364" t="str">
        <f t="shared" si="1174"/>
        <v>o</v>
      </c>
      <c r="AL1364" t="str">
        <f t="shared" si="1137"/>
        <v>o</v>
      </c>
      <c r="AN1364" t="s">
        <v>861</v>
      </c>
      <c r="AO1364" t="str">
        <f t="shared" si="1138"/>
        <v>h</v>
      </c>
      <c r="AP1364" t="str">
        <f t="shared" si="1146"/>
        <v>o</v>
      </c>
      <c r="AQ1364" t="str">
        <f t="shared" si="1147"/>
        <v/>
      </c>
      <c r="AR1364" t="str">
        <f t="shared" si="1148"/>
        <v>Home</v>
      </c>
      <c r="AS1364" t="str">
        <f t="shared" si="1149"/>
        <v>h</v>
      </c>
      <c r="AT1364" t="str">
        <f t="shared" si="1150"/>
        <v>Defensive</v>
      </c>
      <c r="BA1364" s="6">
        <f t="shared" si="1139"/>
        <v>316</v>
      </c>
      <c r="BB1364">
        <f t="shared" si="1140"/>
        <v>18981</v>
      </c>
      <c r="BC1364" t="str">
        <f t="shared" si="1141"/>
        <v>Nelson</v>
      </c>
      <c r="BD1364" t="str">
        <f t="shared" si="1142"/>
        <v>Velodrome</v>
      </c>
      <c r="BE1364" t="s">
        <v>6</v>
      </c>
      <c r="BF1364" t="s">
        <v>205</v>
      </c>
      <c r="BG1364" t="s">
        <v>51</v>
      </c>
      <c r="BI1364" cm="1">
        <f t="array" ref="BI1364">IFERROR(_xlfn._xlws.FILTER(shifts!A:A,(shifts!B:B=events!AD1364)*(shifts!AG:AG&gt;=events!BK1364)*(shifts!AH:AH&lt;=events!BL1364)),BI1363)</f>
        <v>61</v>
      </c>
      <c r="BJ1364" s="15">
        <f t="shared" si="1143"/>
        <v>0</v>
      </c>
      <c r="BK1364">
        <f t="shared" si="1151"/>
        <v>346</v>
      </c>
      <c r="BL1364">
        <f t="shared" si="1152"/>
        <v>346</v>
      </c>
      <c r="BM1364" s="15">
        <f>SUMIFS(BJ$2:BJ1364,K$2:K1364,"=Intermission")+SUMIFS(BJ$2:BJ1364,K$2:K1364,"=Timeout")</f>
        <v>72</v>
      </c>
      <c r="BN1364">
        <f t="shared" si="1153"/>
        <v>1152</v>
      </c>
      <c r="BO1364" s="19">
        <f t="shared" si="1154"/>
        <v>1886</v>
      </c>
      <c r="BP1364">
        <f t="shared" si="1155"/>
        <v>1881</v>
      </c>
      <c r="BQ1364" s="17">
        <f t="shared" si="1156"/>
        <v>1886</v>
      </c>
      <c r="BR1364" t="str">
        <f t="shared" si="1157"/>
        <v>opp_team_player_2</v>
      </c>
      <c r="BS1364">
        <f>COUNTIFS(S$3:S1364,"="&amp;S1364,AI$3:AI1364,"="&amp;AI1364)</f>
        <v>2</v>
      </c>
      <c r="BT1364" t="str">
        <f>IFERROR(VLOOKUP(BB1364&amp;BU1364&amp;X1364,game_rosters!U:W,3,FALSE),"")</f>
        <v>P100105</v>
      </c>
      <c r="BU1364" t="str">
        <f t="shared" si="1158"/>
        <v>Velodrome</v>
      </c>
    </row>
    <row r="1365" spans="1:73" x14ac:dyDescent="0.2">
      <c r="A1365">
        <f t="shared" si="1144"/>
        <v>1</v>
      </c>
      <c r="J1365" s="44" t="str">
        <f t="shared" si="1159"/>
        <v>d</v>
      </c>
      <c r="K1365" t="s">
        <v>15</v>
      </c>
      <c r="L1365" t="s">
        <v>179</v>
      </c>
      <c r="M1365" t="s">
        <v>101</v>
      </c>
      <c r="S1365">
        <v>734</v>
      </c>
      <c r="W1365" t="str">
        <f t="shared" si="1135"/>
        <v>a</v>
      </c>
      <c r="X1365">
        <v>39</v>
      </c>
      <c r="Y1365" t="e">
        <f>IF(X1365&lt;&gt;"",VLOOKUP(X1365,game_rosters!$C$43:$E$64,3,FALSE))</f>
        <v>#N/A</v>
      </c>
      <c r="Z1365" cm="1">
        <f t="array" ref="Z1365">IFERROR(IF(_xlfn._xlws.FILTER(game_rosters!$J:$J,(game_rosters!$G:$G=events!$AN1365)*(game_rosters!$J:$J=events!$X1365))&gt;0,1,""),"")</f>
        <v>1</v>
      </c>
      <c r="AA1365">
        <f t="shared" si="1093"/>
        <v>1734</v>
      </c>
      <c r="AB1365" t="str">
        <f t="shared" si="1094"/>
        <v/>
      </c>
      <c r="AC1365">
        <f t="shared" si="1132"/>
        <v>1734</v>
      </c>
      <c r="AD1365" s="6">
        <v>2</v>
      </c>
      <c r="AE1365" t="s">
        <v>752</v>
      </c>
      <c r="AF1365" t="s">
        <v>737</v>
      </c>
      <c r="AG1365" t="s">
        <v>756</v>
      </c>
      <c r="AH1365" t="s">
        <v>756</v>
      </c>
      <c r="AI1365" t="s">
        <v>367</v>
      </c>
      <c r="AJ1365" t="str">
        <f t="shared" ref="AJ1365:AK1365" si="1175">IF($J1365&lt;&gt;"",$J1365,IF($AC1365=$AC1364,AJ1364,""))</f>
        <v>d</v>
      </c>
      <c r="AK1365" t="str">
        <f t="shared" si="1175"/>
        <v>d</v>
      </c>
      <c r="AL1365" t="str">
        <f t="shared" si="1137"/>
        <v>o</v>
      </c>
      <c r="AN1365" t="s">
        <v>862</v>
      </c>
      <c r="AO1365" t="str">
        <f t="shared" si="1138"/>
        <v>a</v>
      </c>
      <c r="AP1365" t="str">
        <f t="shared" si="1146"/>
        <v>o</v>
      </c>
      <c r="AQ1365" t="str">
        <f t="shared" si="1147"/>
        <v/>
      </c>
      <c r="AR1365" t="str">
        <f t="shared" si="1148"/>
        <v>Away</v>
      </c>
      <c r="AS1365" t="str">
        <f t="shared" si="1149"/>
        <v>a</v>
      </c>
      <c r="AT1365" t="str">
        <f t="shared" si="1150"/>
        <v>Defensive</v>
      </c>
      <c r="BA1365" s="6">
        <f t="shared" si="1139"/>
        <v>316</v>
      </c>
      <c r="BB1365">
        <f t="shared" si="1140"/>
        <v>18981</v>
      </c>
      <c r="BC1365" t="str">
        <f t="shared" si="1141"/>
        <v>Nelson</v>
      </c>
      <c r="BD1365" t="str">
        <f t="shared" si="1142"/>
        <v>Velodrome</v>
      </c>
      <c r="BE1365" t="s">
        <v>15</v>
      </c>
      <c r="BF1365" t="s">
        <v>179</v>
      </c>
      <c r="BG1365" t="s">
        <v>101</v>
      </c>
      <c r="BI1365" cm="1">
        <f t="array" ref="BI1365">IFERROR(_xlfn._xlws.FILTER(shifts!A:A,(shifts!B:B=events!AD1365)*(shifts!AG:AG&gt;=events!BK1365)*(shifts!AH:AH&lt;=events!BL1365)),BI1364)</f>
        <v>61</v>
      </c>
      <c r="BJ1365" s="15">
        <f t="shared" si="1143"/>
        <v>0</v>
      </c>
      <c r="BK1365">
        <f t="shared" si="1151"/>
        <v>346</v>
      </c>
      <c r="BL1365">
        <f t="shared" si="1152"/>
        <v>346</v>
      </c>
      <c r="BM1365" s="15">
        <f>SUMIFS(BJ$2:BJ1365,K$2:K1365,"=Intermission")+SUMIFS(BJ$2:BJ1365,K$2:K1365,"=Timeout")</f>
        <v>72</v>
      </c>
      <c r="BN1365">
        <f t="shared" si="1153"/>
        <v>1152</v>
      </c>
      <c r="BO1365" s="19">
        <f t="shared" si="1154"/>
        <v>1886</v>
      </c>
      <c r="BP1365">
        <f t="shared" si="1155"/>
        <v>1881</v>
      </c>
      <c r="BQ1365" s="17">
        <f t="shared" si="1156"/>
        <v>1886</v>
      </c>
      <c r="BR1365" t="str">
        <f t="shared" si="1157"/>
        <v>event_team_player_1</v>
      </c>
      <c r="BS1365">
        <f>COUNTIFS(S$3:S1365,"="&amp;S1365,AI$3:AI1365,"="&amp;AI1365)</f>
        <v>1</v>
      </c>
      <c r="BT1365" t="str">
        <f>IFERROR(VLOOKUP(BB1365&amp;BU1365&amp;X1365,game_rosters!U:W,3,FALSE),"")</f>
        <v>P100016</v>
      </c>
      <c r="BU1365" t="str">
        <f t="shared" si="1158"/>
        <v>Velodrome</v>
      </c>
    </row>
    <row r="1366" spans="1:73" x14ac:dyDescent="0.2">
      <c r="A1366">
        <f t="shared" si="1144"/>
        <v>1</v>
      </c>
      <c r="J1366" s="44" t="str">
        <f t="shared" si="1159"/>
        <v>d</v>
      </c>
      <c r="K1366" t="s">
        <v>15</v>
      </c>
      <c r="L1366" t="s">
        <v>179</v>
      </c>
      <c r="M1366" t="s">
        <v>101</v>
      </c>
      <c r="S1366">
        <v>734</v>
      </c>
      <c r="W1366" t="str">
        <f t="shared" si="1135"/>
        <v>a</v>
      </c>
      <c r="X1366">
        <v>9</v>
      </c>
      <c r="Y1366" t="e">
        <f>IF(X1366&lt;&gt;"",VLOOKUP(X1366,game_rosters!$C$43:$E$64,3,FALSE))</f>
        <v>#N/A</v>
      </c>
      <c r="Z1366" cm="1">
        <f t="array" ref="Z1366">IFERROR(IF(_xlfn._xlws.FILTER(game_rosters!$J:$J,(game_rosters!$G:$G=events!$AN1366)*(game_rosters!$J:$J=events!$X1366))&gt;0,1,""),"")</f>
        <v>1</v>
      </c>
      <c r="AA1366">
        <f t="shared" si="1093"/>
        <v>1734</v>
      </c>
      <c r="AB1366" t="str">
        <f t="shared" si="1094"/>
        <v/>
      </c>
      <c r="AC1366">
        <f t="shared" si="1132"/>
        <v>1734</v>
      </c>
      <c r="AD1366" s="6">
        <v>2</v>
      </c>
      <c r="AE1366" t="s">
        <v>752</v>
      </c>
      <c r="AF1366" t="s">
        <v>737</v>
      </c>
      <c r="AG1366" t="s">
        <v>756</v>
      </c>
      <c r="AH1366" t="s">
        <v>756</v>
      </c>
      <c r="AI1366" t="s">
        <v>367</v>
      </c>
      <c r="AJ1366" t="str">
        <f t="shared" ref="AJ1366:AK1366" si="1176">IF($J1366&lt;&gt;"",$J1366,IF($AC1366=$AC1365,AJ1365,""))</f>
        <v>d</v>
      </c>
      <c r="AK1366" t="str">
        <f t="shared" si="1176"/>
        <v>d</v>
      </c>
      <c r="AL1366" t="str">
        <f t="shared" si="1137"/>
        <v>o</v>
      </c>
      <c r="AN1366" t="s">
        <v>862</v>
      </c>
      <c r="AO1366" t="str">
        <f t="shared" si="1138"/>
        <v>a</v>
      </c>
      <c r="AP1366" t="str">
        <f t="shared" si="1146"/>
        <v>o</v>
      </c>
      <c r="AQ1366" t="str">
        <f t="shared" si="1147"/>
        <v/>
      </c>
      <c r="AR1366" t="str">
        <f t="shared" si="1148"/>
        <v>Away</v>
      </c>
      <c r="AS1366" t="str">
        <f t="shared" si="1149"/>
        <v>a</v>
      </c>
      <c r="AT1366" t="str">
        <f t="shared" si="1150"/>
        <v>Defensive</v>
      </c>
      <c r="BA1366" s="6">
        <f t="shared" si="1139"/>
        <v>316</v>
      </c>
      <c r="BB1366">
        <f t="shared" si="1140"/>
        <v>18981</v>
      </c>
      <c r="BC1366" t="str">
        <f t="shared" si="1141"/>
        <v>Nelson</v>
      </c>
      <c r="BD1366" t="str">
        <f t="shared" si="1142"/>
        <v>Velodrome</v>
      </c>
      <c r="BE1366" t="s">
        <v>15</v>
      </c>
      <c r="BF1366" t="s">
        <v>179</v>
      </c>
      <c r="BG1366" t="s">
        <v>101</v>
      </c>
      <c r="BI1366" cm="1">
        <f t="array" ref="BI1366">IFERROR(_xlfn._xlws.FILTER(shifts!A:A,(shifts!B:B=events!AD1366)*(shifts!AG:AG&gt;=events!BK1366)*(shifts!AH:AH&lt;=events!BL1366)),BI1365)</f>
        <v>61</v>
      </c>
      <c r="BJ1366" s="15">
        <f t="shared" si="1143"/>
        <v>0</v>
      </c>
      <c r="BK1366">
        <f t="shared" si="1151"/>
        <v>346</v>
      </c>
      <c r="BL1366">
        <f t="shared" si="1152"/>
        <v>346</v>
      </c>
      <c r="BM1366" s="15">
        <f>SUMIFS(BJ$2:BJ1366,K$2:K1366,"=Intermission")+SUMIFS(BJ$2:BJ1366,K$2:K1366,"=Timeout")</f>
        <v>72</v>
      </c>
      <c r="BN1366">
        <f t="shared" si="1153"/>
        <v>1152</v>
      </c>
      <c r="BO1366" s="19">
        <f t="shared" si="1154"/>
        <v>1886</v>
      </c>
      <c r="BP1366">
        <f t="shared" si="1155"/>
        <v>1881</v>
      </c>
      <c r="BQ1366" s="17">
        <f t="shared" si="1156"/>
        <v>1886</v>
      </c>
      <c r="BR1366" t="str">
        <f t="shared" si="1157"/>
        <v>event_team_player_2</v>
      </c>
      <c r="BS1366">
        <f>COUNTIFS(S$3:S1366,"="&amp;S1366,AI$3:AI1366,"="&amp;AI1366)</f>
        <v>2</v>
      </c>
      <c r="BT1366" t="str">
        <f>IFERROR(VLOOKUP(BB1366&amp;BU1366&amp;X1366,game_rosters!U:W,3,FALSE),"")</f>
        <v>P100105</v>
      </c>
      <c r="BU1366" t="str">
        <f t="shared" si="1158"/>
        <v>Velodrome</v>
      </c>
    </row>
    <row r="1367" spans="1:73" x14ac:dyDescent="0.2">
      <c r="A1367">
        <f t="shared" si="1144"/>
        <v>1</v>
      </c>
      <c r="J1367" s="44" t="str">
        <f t="shared" si="1159"/>
        <v>d</v>
      </c>
      <c r="K1367" t="s">
        <v>15</v>
      </c>
      <c r="L1367" t="s">
        <v>179</v>
      </c>
      <c r="M1367" t="s">
        <v>101</v>
      </c>
      <c r="S1367">
        <v>734</v>
      </c>
      <c r="W1367" t="str">
        <f t="shared" si="1135"/>
        <v>a</v>
      </c>
      <c r="X1367">
        <v>44</v>
      </c>
      <c r="Y1367" t="b">
        <f>IF(X1367&lt;&gt;"",VLOOKUP(X1367,game_rosters!$C$43:$E$64,3,FALSE))</f>
        <v>0</v>
      </c>
      <c r="Z1367" t="str" cm="1">
        <f t="array" ref="Z1367">IFERROR(IF(_xlfn._xlws.FILTER(game_rosters!$J:$J,(game_rosters!$G:$G=events!$AN1367)*(game_rosters!$J:$J=events!$X1367))&gt;0,1,""),"")</f>
        <v/>
      </c>
      <c r="AA1367">
        <f t="shared" si="1093"/>
        <v>1734</v>
      </c>
      <c r="AB1367" t="str">
        <f t="shared" si="1094"/>
        <v/>
      </c>
      <c r="AC1367">
        <f t="shared" si="1132"/>
        <v>1734</v>
      </c>
      <c r="AD1367" s="6">
        <v>2</v>
      </c>
      <c r="AE1367" t="s">
        <v>752</v>
      </c>
      <c r="AF1367" t="s">
        <v>737</v>
      </c>
      <c r="AG1367" t="s">
        <v>756</v>
      </c>
      <c r="AH1367" t="s">
        <v>756</v>
      </c>
      <c r="AI1367" t="s">
        <v>368</v>
      </c>
      <c r="AJ1367" t="str">
        <f t="shared" ref="AJ1367:AK1367" si="1177">IF($J1367&lt;&gt;"",$J1367,IF($AC1367=$AC1366,AJ1366,""))</f>
        <v>d</v>
      </c>
      <c r="AK1367" t="str">
        <f t="shared" si="1177"/>
        <v>d</v>
      </c>
      <c r="AL1367" t="str">
        <f t="shared" si="1137"/>
        <v>o</v>
      </c>
      <c r="AN1367" t="s">
        <v>862</v>
      </c>
      <c r="AO1367" t="str">
        <f t="shared" si="1138"/>
        <v>a</v>
      </c>
      <c r="AP1367" t="str">
        <f t="shared" si="1146"/>
        <v>o</v>
      </c>
      <c r="AQ1367" t="str">
        <f t="shared" si="1147"/>
        <v/>
      </c>
      <c r="AR1367" t="str">
        <f t="shared" si="1148"/>
        <v>Away</v>
      </c>
      <c r="AS1367" t="str">
        <f t="shared" si="1149"/>
        <v>a</v>
      </c>
      <c r="AT1367" t="str">
        <f t="shared" si="1150"/>
        <v>Offensive</v>
      </c>
      <c r="BA1367" s="6">
        <f t="shared" si="1139"/>
        <v>316</v>
      </c>
      <c r="BB1367">
        <f t="shared" si="1140"/>
        <v>18981</v>
      </c>
      <c r="BC1367" t="str">
        <f t="shared" si="1141"/>
        <v>Nelson</v>
      </c>
      <c r="BD1367" t="str">
        <f t="shared" si="1142"/>
        <v>Velodrome</v>
      </c>
      <c r="BE1367" t="s">
        <v>15</v>
      </c>
      <c r="BF1367" t="s">
        <v>179</v>
      </c>
      <c r="BG1367" t="s">
        <v>101</v>
      </c>
      <c r="BI1367" cm="1">
        <f t="array" ref="BI1367">IFERROR(_xlfn._xlws.FILTER(shifts!A:A,(shifts!B:B=events!AD1367)*(shifts!AG:AG&gt;=events!BK1367)*(shifts!AH:AH&lt;=events!BL1367)),BI1366)</f>
        <v>61</v>
      </c>
      <c r="BJ1367" s="15">
        <f t="shared" si="1143"/>
        <v>0</v>
      </c>
      <c r="BK1367">
        <f t="shared" si="1151"/>
        <v>346</v>
      </c>
      <c r="BL1367">
        <f t="shared" si="1152"/>
        <v>346</v>
      </c>
      <c r="BM1367" s="15">
        <f>SUMIFS(BJ$2:BJ1367,K$2:K1367,"=Intermission")+SUMIFS(BJ$2:BJ1367,K$2:K1367,"=Timeout")</f>
        <v>72</v>
      </c>
      <c r="BN1367">
        <f t="shared" si="1153"/>
        <v>1152</v>
      </c>
      <c r="BO1367" s="19">
        <f t="shared" si="1154"/>
        <v>1886</v>
      </c>
      <c r="BP1367">
        <f t="shared" si="1155"/>
        <v>1881</v>
      </c>
      <c r="BQ1367" s="17">
        <f t="shared" si="1156"/>
        <v>1886</v>
      </c>
      <c r="BR1367" t="str">
        <f t="shared" si="1157"/>
        <v>opp_team_player_1</v>
      </c>
      <c r="BS1367">
        <f>COUNTIFS(S$3:S1367,"="&amp;S1367,AI$3:AI1367,"="&amp;AI1367)</f>
        <v>1</v>
      </c>
      <c r="BT1367" t="str">
        <f>IFERROR(VLOOKUP(BB1367&amp;BU1367&amp;X1367,game_rosters!U:W,3,FALSE),"")</f>
        <v>P100079</v>
      </c>
      <c r="BU1367" t="str">
        <f t="shared" si="1158"/>
        <v>Nelson</v>
      </c>
    </row>
    <row r="1368" spans="1:73" x14ac:dyDescent="0.2">
      <c r="A1368">
        <f t="shared" si="1144"/>
        <v>1</v>
      </c>
      <c r="J1368" s="44" t="str">
        <f t="shared" si="1159"/>
        <v>d</v>
      </c>
      <c r="K1368" t="s">
        <v>231</v>
      </c>
      <c r="L1368" t="s">
        <v>232</v>
      </c>
      <c r="M1368" t="s">
        <v>756</v>
      </c>
      <c r="S1368">
        <v>735</v>
      </c>
      <c r="W1368" t="str">
        <f t="shared" si="1135"/>
        <v>a</v>
      </c>
      <c r="X1368">
        <v>39</v>
      </c>
      <c r="Y1368" t="e">
        <f>IF(X1368&lt;&gt;"",VLOOKUP(X1368,game_rosters!$C$43:$E$64,3,FALSE))</f>
        <v>#N/A</v>
      </c>
      <c r="Z1368" cm="1">
        <f t="array" ref="Z1368">IFERROR(IF(_xlfn._xlws.FILTER(game_rosters!$J:$J,(game_rosters!$G:$G=events!$AN1368)*(game_rosters!$J:$J=events!$X1368))&gt;0,1,""),"")</f>
        <v>1</v>
      </c>
      <c r="AA1368">
        <f t="shared" si="1093"/>
        <v>1735</v>
      </c>
      <c r="AB1368" t="str">
        <f t="shared" si="1094"/>
        <v/>
      </c>
      <c r="AC1368">
        <f t="shared" si="1132"/>
        <v>1735</v>
      </c>
      <c r="AD1368" s="6">
        <v>2</v>
      </c>
      <c r="AE1368" t="s">
        <v>752</v>
      </c>
      <c r="AF1368" t="s">
        <v>737</v>
      </c>
      <c r="AG1368" t="s">
        <v>756</v>
      </c>
      <c r="AH1368" t="s">
        <v>756</v>
      </c>
      <c r="AI1368" t="s">
        <v>367</v>
      </c>
      <c r="AJ1368" t="str">
        <f t="shared" ref="AJ1368:AK1368" si="1178">IF($J1368&lt;&gt;"",$J1368,IF($AC1368=$AC1367,AJ1367,""))</f>
        <v>d</v>
      </c>
      <c r="AK1368" t="str">
        <f t="shared" si="1178"/>
        <v>d</v>
      </c>
      <c r="AL1368" t="str">
        <f t="shared" si="1137"/>
        <v>o</v>
      </c>
      <c r="AN1368" t="s">
        <v>862</v>
      </c>
      <c r="AO1368" t="str">
        <f t="shared" si="1138"/>
        <v>a</v>
      </c>
      <c r="AP1368" t="str">
        <f t="shared" si="1146"/>
        <v>o</v>
      </c>
      <c r="AQ1368" t="str">
        <f t="shared" si="1147"/>
        <v/>
      </c>
      <c r="AR1368" t="str">
        <f t="shared" si="1148"/>
        <v>Away</v>
      </c>
      <c r="AS1368" t="str">
        <f t="shared" si="1149"/>
        <v>a</v>
      </c>
      <c r="AT1368" t="str">
        <f t="shared" si="1150"/>
        <v>Offensive</v>
      </c>
      <c r="BA1368" s="6">
        <f t="shared" si="1139"/>
        <v>316</v>
      </c>
      <c r="BB1368">
        <f t="shared" si="1140"/>
        <v>18981</v>
      </c>
      <c r="BC1368" t="str">
        <f t="shared" si="1141"/>
        <v>Nelson</v>
      </c>
      <c r="BD1368" t="str">
        <f t="shared" si="1142"/>
        <v>Velodrome</v>
      </c>
      <c r="BE1368" t="s">
        <v>231</v>
      </c>
      <c r="BF1368" t="s">
        <v>232</v>
      </c>
      <c r="BG1368" t="s">
        <v>756</v>
      </c>
      <c r="BI1368" cm="1">
        <f t="array" ref="BI1368">IFERROR(_xlfn._xlws.FILTER(shifts!A:A,(shifts!B:B=events!AD1368)*(shifts!AG:AG&gt;=events!BK1368)*(shifts!AH:AH&lt;=events!BL1368)),BI1367)</f>
        <v>61</v>
      </c>
      <c r="BJ1368" s="15">
        <f t="shared" si="1143"/>
        <v>0</v>
      </c>
      <c r="BK1368">
        <f t="shared" si="1151"/>
        <v>346</v>
      </c>
      <c r="BL1368">
        <f t="shared" si="1152"/>
        <v>346</v>
      </c>
      <c r="BM1368" s="15">
        <f>SUMIFS(BJ$2:BJ1368,K$2:K1368,"=Intermission")+SUMIFS(BJ$2:BJ1368,K$2:K1368,"=Timeout")</f>
        <v>72</v>
      </c>
      <c r="BN1368">
        <f t="shared" si="1153"/>
        <v>1152</v>
      </c>
      <c r="BO1368" s="19">
        <f t="shared" si="1154"/>
        <v>1886</v>
      </c>
      <c r="BP1368">
        <f t="shared" si="1155"/>
        <v>1881</v>
      </c>
      <c r="BQ1368" s="17">
        <f t="shared" si="1156"/>
        <v>1886</v>
      </c>
      <c r="BR1368" t="str">
        <f t="shared" si="1157"/>
        <v>event_team_player_1</v>
      </c>
      <c r="BS1368">
        <f>COUNTIFS(S$3:S1368,"="&amp;S1368,AI$3:AI1368,"="&amp;AI1368)</f>
        <v>1</v>
      </c>
      <c r="BT1368" t="str">
        <f>IFERROR(VLOOKUP(BB1368&amp;BU1368&amp;X1368,game_rosters!U:W,3,FALSE),"")</f>
        <v>P100016</v>
      </c>
      <c r="BU1368" t="str">
        <f t="shared" si="1158"/>
        <v>Velodrome</v>
      </c>
    </row>
    <row r="1369" spans="1:73" x14ac:dyDescent="0.2">
      <c r="A1369">
        <f t="shared" si="1144"/>
        <v>1</v>
      </c>
      <c r="J1369" s="44" t="str">
        <f t="shared" si="1159"/>
        <v/>
      </c>
      <c r="K1369" t="s">
        <v>9</v>
      </c>
      <c r="L1369" t="s">
        <v>173</v>
      </c>
      <c r="M1369" t="s">
        <v>365</v>
      </c>
      <c r="S1369">
        <v>736</v>
      </c>
      <c r="W1369" t="str">
        <f t="shared" si="1135"/>
        <v>a</v>
      </c>
      <c r="X1369">
        <v>9</v>
      </c>
      <c r="Y1369" t="e">
        <f>IF(X1369&lt;&gt;"",VLOOKUP(X1369,game_rosters!$C$43:$E$64,3,FALSE))</f>
        <v>#N/A</v>
      </c>
      <c r="Z1369" cm="1">
        <f t="array" ref="Z1369">IFERROR(IF(_xlfn._xlws.FILTER(game_rosters!$J:$J,(game_rosters!$G:$G=events!$AN1369)*(game_rosters!$J:$J=events!$X1369))&gt;0,1,""),"")</f>
        <v>1</v>
      </c>
      <c r="AA1369">
        <f t="shared" si="1093"/>
        <v>1736</v>
      </c>
      <c r="AB1369" t="str">
        <f t="shared" si="1094"/>
        <v/>
      </c>
      <c r="AC1369">
        <f t="shared" si="1132"/>
        <v>1736</v>
      </c>
      <c r="AD1369" s="6">
        <v>2</v>
      </c>
      <c r="AE1369" t="s">
        <v>752</v>
      </c>
      <c r="AF1369" t="s">
        <v>923</v>
      </c>
      <c r="AG1369" t="s">
        <v>756</v>
      </c>
      <c r="AH1369" t="s">
        <v>756</v>
      </c>
      <c r="AI1369" t="s">
        <v>367</v>
      </c>
      <c r="AJ1369" t="str">
        <f t="shared" ref="AJ1369:AK1369" si="1179">IF($J1369&lt;&gt;"",$J1369,IF($AC1369=$AC1368,AJ1368,""))</f>
        <v/>
      </c>
      <c r="AK1369" t="str">
        <f t="shared" si="1179"/>
        <v/>
      </c>
      <c r="AL1369" t="str">
        <f t="shared" si="1137"/>
        <v/>
      </c>
      <c r="AN1369" t="s">
        <v>862</v>
      </c>
      <c r="AO1369" t="str">
        <f t="shared" si="1138"/>
        <v>a</v>
      </c>
      <c r="AP1369" t="str">
        <f t="shared" si="1146"/>
        <v/>
      </c>
      <c r="AQ1369" t="str">
        <f t="shared" si="1147"/>
        <v/>
      </c>
      <c r="AR1369" t="str">
        <f t="shared" si="1148"/>
        <v>Away</v>
      </c>
      <c r="AS1369" t="str">
        <f t="shared" si="1149"/>
        <v>a</v>
      </c>
      <c r="AT1369" t="str">
        <f t="shared" si="1150"/>
        <v>Offensive</v>
      </c>
      <c r="BA1369" s="6">
        <f t="shared" si="1139"/>
        <v>316</v>
      </c>
      <c r="BB1369">
        <f t="shared" si="1140"/>
        <v>18981</v>
      </c>
      <c r="BC1369" t="str">
        <f t="shared" si="1141"/>
        <v>Nelson</v>
      </c>
      <c r="BD1369" t="str">
        <f t="shared" si="1142"/>
        <v>Velodrome</v>
      </c>
      <c r="BE1369" t="s">
        <v>9</v>
      </c>
      <c r="BF1369" t="s">
        <v>173</v>
      </c>
      <c r="BG1369" t="s">
        <v>365</v>
      </c>
      <c r="BI1369" cm="1">
        <f t="array" ref="BI1369">IFERROR(_xlfn._xlws.FILTER(shifts!A:A,(shifts!B:B=events!AD1369)*(shifts!AG:AG&gt;=events!BK1369)*(shifts!AH:AH&lt;=events!BL1369)),BI1368)</f>
        <v>61</v>
      </c>
      <c r="BJ1369" s="15">
        <f t="shared" si="1143"/>
        <v>0</v>
      </c>
      <c r="BK1369">
        <f t="shared" si="1151"/>
        <v>344</v>
      </c>
      <c r="BL1369">
        <f t="shared" si="1152"/>
        <v>344</v>
      </c>
      <c r="BM1369" s="15">
        <f>SUMIFS(BJ$2:BJ1369,K$2:K1369,"=Intermission")+SUMIFS(BJ$2:BJ1369,K$2:K1369,"=Timeout")</f>
        <v>72</v>
      </c>
      <c r="BN1369">
        <f t="shared" si="1153"/>
        <v>1152</v>
      </c>
      <c r="BO1369" s="19">
        <f t="shared" si="1154"/>
        <v>1888</v>
      </c>
      <c r="BP1369">
        <f t="shared" si="1155"/>
        <v>1883</v>
      </c>
      <c r="BQ1369" s="17">
        <f t="shared" si="1156"/>
        <v>1888</v>
      </c>
      <c r="BR1369" t="str">
        <f t="shared" si="1157"/>
        <v>event_team_player_1</v>
      </c>
      <c r="BS1369">
        <f>COUNTIFS(S$3:S1369,"="&amp;S1369,AI$3:AI1369,"="&amp;AI1369)</f>
        <v>1</v>
      </c>
      <c r="BT1369" t="str">
        <f>IFERROR(VLOOKUP(BB1369&amp;BU1369&amp;X1369,game_rosters!U:W,3,FALSE),"")</f>
        <v>P100105</v>
      </c>
      <c r="BU1369" t="str">
        <f t="shared" si="1158"/>
        <v>Velodrome</v>
      </c>
    </row>
    <row r="1370" spans="1:73" x14ac:dyDescent="0.2">
      <c r="A1370">
        <f t="shared" si="1144"/>
        <v>1</v>
      </c>
      <c r="J1370" s="44" t="str">
        <f t="shared" si="1159"/>
        <v/>
      </c>
      <c r="K1370" t="s">
        <v>238</v>
      </c>
      <c r="L1370" t="s">
        <v>193</v>
      </c>
      <c r="M1370" t="s">
        <v>91</v>
      </c>
      <c r="S1370">
        <v>737</v>
      </c>
      <c r="W1370" t="str">
        <f t="shared" si="1135"/>
        <v>h</v>
      </c>
      <c r="X1370">
        <v>80</v>
      </c>
      <c r="Y1370" t="b">
        <f>IF(X1370&lt;&gt;"",VLOOKUP(X1370,game_rosters!$C$43:$E$64,3,FALSE))</f>
        <v>0</v>
      </c>
      <c r="Z1370" cm="1">
        <f t="array" ref="Z1370">IFERROR(IF(_xlfn._xlws.FILTER(game_rosters!$J:$J,(game_rosters!$G:$G=events!$AN1370)*(game_rosters!$J:$J=events!$X1370))&gt;0,1,""),"")</f>
        <v>1</v>
      </c>
      <c r="AA1370">
        <f t="shared" si="1093"/>
        <v>1737</v>
      </c>
      <c r="AB1370" t="str">
        <f t="shared" si="1094"/>
        <v/>
      </c>
      <c r="AC1370">
        <f t="shared" si="1132"/>
        <v>1737</v>
      </c>
      <c r="AD1370" s="6">
        <v>2</v>
      </c>
      <c r="AE1370" t="s">
        <v>752</v>
      </c>
      <c r="AF1370" t="s">
        <v>901</v>
      </c>
      <c r="AG1370" t="s">
        <v>756</v>
      </c>
      <c r="AH1370" t="s">
        <v>756</v>
      </c>
      <c r="AI1370" t="s">
        <v>367</v>
      </c>
      <c r="AJ1370" t="str">
        <f t="shared" ref="AJ1370:AK1370" si="1180">IF($J1370&lt;&gt;"",$J1370,IF($AC1370=$AC1369,AJ1369,""))</f>
        <v/>
      </c>
      <c r="AK1370" t="str">
        <f t="shared" si="1180"/>
        <v/>
      </c>
      <c r="AL1370" t="str">
        <f t="shared" si="1137"/>
        <v/>
      </c>
      <c r="AN1370" t="s">
        <v>861</v>
      </c>
      <c r="AO1370" t="str">
        <f t="shared" si="1138"/>
        <v>h</v>
      </c>
      <c r="AP1370" t="str">
        <f t="shared" si="1146"/>
        <v/>
      </c>
      <c r="AQ1370" t="str">
        <f t="shared" si="1147"/>
        <v/>
      </c>
      <c r="AR1370" t="str">
        <f t="shared" si="1148"/>
        <v>Home</v>
      </c>
      <c r="AS1370" t="str">
        <f t="shared" si="1149"/>
        <v>h</v>
      </c>
      <c r="AT1370" t="str">
        <f t="shared" si="1150"/>
        <v>Offensive</v>
      </c>
      <c r="BA1370" s="6">
        <f t="shared" si="1139"/>
        <v>316</v>
      </c>
      <c r="BB1370">
        <f t="shared" si="1140"/>
        <v>18981</v>
      </c>
      <c r="BC1370" t="str">
        <f t="shared" si="1141"/>
        <v>Nelson</v>
      </c>
      <c r="BD1370" t="str">
        <f t="shared" si="1142"/>
        <v>Velodrome</v>
      </c>
      <c r="BE1370" t="s">
        <v>238</v>
      </c>
      <c r="BF1370" t="s">
        <v>193</v>
      </c>
      <c r="BG1370" t="s">
        <v>91</v>
      </c>
      <c r="BI1370" cm="1">
        <f t="array" ref="BI1370">IFERROR(_xlfn._xlws.FILTER(shifts!A:A,(shifts!B:B=events!AD1370)*(shifts!AG:AG&gt;=events!BK1370)*(shifts!AH:AH&lt;=events!BL1370)),BI1369)</f>
        <v>61</v>
      </c>
      <c r="BJ1370" s="15">
        <f t="shared" si="1143"/>
        <v>0</v>
      </c>
      <c r="BK1370">
        <f t="shared" si="1151"/>
        <v>343</v>
      </c>
      <c r="BL1370">
        <f t="shared" si="1152"/>
        <v>343</v>
      </c>
      <c r="BM1370" s="15">
        <f>SUMIFS(BJ$2:BJ1370,K$2:K1370,"=Intermission")+SUMIFS(BJ$2:BJ1370,K$2:K1370,"=Timeout")</f>
        <v>72</v>
      </c>
      <c r="BN1370">
        <f t="shared" si="1153"/>
        <v>1152</v>
      </c>
      <c r="BO1370" s="19">
        <f t="shared" si="1154"/>
        <v>1889</v>
      </c>
      <c r="BP1370">
        <f t="shared" si="1155"/>
        <v>1884</v>
      </c>
      <c r="BQ1370" s="17">
        <f t="shared" si="1156"/>
        <v>1889</v>
      </c>
      <c r="BR1370" t="str">
        <f t="shared" si="1157"/>
        <v>event_team_player_1</v>
      </c>
      <c r="BS1370">
        <f>COUNTIFS(S$3:S1370,"="&amp;S1370,AI$3:AI1370,"="&amp;AI1370)</f>
        <v>1</v>
      </c>
      <c r="BT1370" t="str">
        <f>IFERROR(VLOOKUP(BB1370&amp;BU1370&amp;X1370,game_rosters!U:W,3,FALSE),"")</f>
        <v>P100197</v>
      </c>
      <c r="BU1370" t="str">
        <f t="shared" si="1158"/>
        <v>Nelson</v>
      </c>
    </row>
    <row r="1371" spans="1:73" x14ac:dyDescent="0.2">
      <c r="A1371">
        <f t="shared" si="1144"/>
        <v>1</v>
      </c>
      <c r="J1371" s="44" t="str">
        <f t="shared" si="1159"/>
        <v/>
      </c>
      <c r="K1371" t="s">
        <v>13</v>
      </c>
      <c r="L1371" t="s">
        <v>756</v>
      </c>
      <c r="M1371" t="s">
        <v>756</v>
      </c>
      <c r="S1371">
        <v>738</v>
      </c>
      <c r="W1371" t="str">
        <f t="shared" si="1135"/>
        <v>h</v>
      </c>
      <c r="X1371">
        <v>80</v>
      </c>
      <c r="Y1371" t="b">
        <f>IF(X1371&lt;&gt;"",VLOOKUP(X1371,game_rosters!$C$43:$E$64,3,FALSE))</f>
        <v>0</v>
      </c>
      <c r="Z1371" cm="1">
        <f t="array" ref="Z1371">IFERROR(IF(_xlfn._xlws.FILTER(game_rosters!$J:$J,(game_rosters!$G:$G=events!$AN1371)*(game_rosters!$J:$J=events!$X1371))&gt;0,1,""),"")</f>
        <v>1</v>
      </c>
      <c r="AA1371">
        <f t="shared" si="1093"/>
        <v>1738</v>
      </c>
      <c r="AB1371" t="str">
        <f t="shared" si="1094"/>
        <v/>
      </c>
      <c r="AC1371">
        <f t="shared" si="1132"/>
        <v>1738</v>
      </c>
      <c r="AD1371" s="6">
        <v>2</v>
      </c>
      <c r="AE1371" t="s">
        <v>752</v>
      </c>
      <c r="AF1371" t="s">
        <v>901</v>
      </c>
      <c r="AG1371" t="s">
        <v>752</v>
      </c>
      <c r="AH1371" t="s">
        <v>903</v>
      </c>
      <c r="AI1371" t="s">
        <v>367</v>
      </c>
      <c r="AJ1371" t="str">
        <f t="shared" ref="AJ1371:AK1371" si="1181">IF($J1371&lt;&gt;"",$J1371,IF($AC1371=$AC1370,AJ1370,""))</f>
        <v/>
      </c>
      <c r="AK1371" t="str">
        <f t="shared" si="1181"/>
        <v/>
      </c>
      <c r="AL1371" t="str">
        <f t="shared" si="1137"/>
        <v/>
      </c>
      <c r="AN1371" t="s">
        <v>861</v>
      </c>
      <c r="AO1371" t="str">
        <f t="shared" si="1138"/>
        <v>h</v>
      </c>
      <c r="AP1371" t="str">
        <f t="shared" si="1146"/>
        <v/>
      </c>
      <c r="AQ1371" t="str">
        <f t="shared" si="1147"/>
        <v/>
      </c>
      <c r="AR1371" t="str">
        <f t="shared" si="1148"/>
        <v>Home</v>
      </c>
      <c r="AS1371" t="str">
        <f t="shared" si="1149"/>
        <v>h</v>
      </c>
      <c r="AT1371" t="str">
        <f t="shared" si="1150"/>
        <v>Offensive</v>
      </c>
      <c r="BA1371" s="6">
        <f t="shared" si="1139"/>
        <v>316</v>
      </c>
      <c r="BB1371">
        <f t="shared" si="1140"/>
        <v>18981</v>
      </c>
      <c r="BC1371" t="str">
        <f t="shared" si="1141"/>
        <v>Nelson</v>
      </c>
      <c r="BD1371" t="str">
        <f t="shared" si="1142"/>
        <v>Velodrome</v>
      </c>
      <c r="BE1371" t="s">
        <v>13</v>
      </c>
      <c r="BF1371" t="s">
        <v>756</v>
      </c>
      <c r="BG1371" t="s">
        <v>756</v>
      </c>
      <c r="BI1371" cm="1">
        <f t="array" ref="BI1371">IFERROR(_xlfn._xlws.FILTER(shifts!A:A,(shifts!B:B=events!AD1371)*(shifts!AG:AG&gt;=events!BK1371)*(shifts!AH:AH&lt;=events!BL1371)),BI1370)</f>
        <v>61</v>
      </c>
      <c r="BJ1371" s="15">
        <f t="shared" si="1143"/>
        <v>3</v>
      </c>
      <c r="BK1371">
        <f t="shared" si="1151"/>
        <v>343</v>
      </c>
      <c r="BL1371">
        <f t="shared" si="1152"/>
        <v>340</v>
      </c>
      <c r="BM1371" s="15">
        <f>SUMIFS(BJ$2:BJ1371,K$2:K1371,"=Intermission")+SUMIFS(BJ$2:BJ1371,K$2:K1371,"=Timeout")</f>
        <v>72</v>
      </c>
      <c r="BN1371">
        <f t="shared" si="1153"/>
        <v>1152</v>
      </c>
      <c r="BO1371" s="19">
        <f t="shared" si="1154"/>
        <v>1889</v>
      </c>
      <c r="BP1371">
        <f t="shared" si="1155"/>
        <v>1884</v>
      </c>
      <c r="BQ1371" s="17">
        <f t="shared" si="1156"/>
        <v>1892</v>
      </c>
      <c r="BR1371" t="str">
        <f t="shared" si="1157"/>
        <v>event_team_player_1</v>
      </c>
      <c r="BS1371">
        <f>COUNTIFS(S$3:S1371,"="&amp;S1371,AI$3:AI1371,"="&amp;AI1371)</f>
        <v>1</v>
      </c>
      <c r="BT1371" t="str">
        <f>IFERROR(VLOOKUP(BB1371&amp;BU1371&amp;X1371,game_rosters!U:W,3,FALSE),"")</f>
        <v>P100197</v>
      </c>
      <c r="BU1371" t="str">
        <f t="shared" si="1158"/>
        <v>Nelson</v>
      </c>
    </row>
    <row r="1372" spans="1:73" x14ac:dyDescent="0.2">
      <c r="A1372">
        <f t="shared" si="1144"/>
        <v>1</v>
      </c>
      <c r="J1372" s="44" t="str">
        <f t="shared" si="1159"/>
        <v/>
      </c>
      <c r="K1372" t="s">
        <v>13</v>
      </c>
      <c r="L1372" t="s">
        <v>756</v>
      </c>
      <c r="M1372" t="s">
        <v>756</v>
      </c>
      <c r="S1372">
        <v>738</v>
      </c>
      <c r="W1372" t="str">
        <f t="shared" si="1135"/>
        <v>h</v>
      </c>
      <c r="X1372">
        <v>70</v>
      </c>
      <c r="Y1372" t="e">
        <f>IF(X1372&lt;&gt;"",VLOOKUP(X1372,game_rosters!$C$43:$E$64,3,FALSE))</f>
        <v>#N/A</v>
      </c>
      <c r="Z1372" t="str" cm="1">
        <f t="array" ref="Z1372">IFERROR(IF(_xlfn._xlws.FILTER(game_rosters!$J:$J,(game_rosters!$G:$G=events!$AN1372)*(game_rosters!$J:$J=events!$X1372))&gt;0,1,""),"")</f>
        <v/>
      </c>
      <c r="AA1372">
        <f t="shared" si="1093"/>
        <v>1738</v>
      </c>
      <c r="AB1372" t="str">
        <f t="shared" si="1094"/>
        <v/>
      </c>
      <c r="AC1372">
        <f t="shared" si="1132"/>
        <v>1738</v>
      </c>
      <c r="AD1372" s="6">
        <v>2</v>
      </c>
      <c r="AE1372" t="s">
        <v>752</v>
      </c>
      <c r="AF1372" t="s">
        <v>901</v>
      </c>
      <c r="AG1372" t="s">
        <v>752</v>
      </c>
      <c r="AH1372" t="s">
        <v>903</v>
      </c>
      <c r="AI1372" t="s">
        <v>368</v>
      </c>
      <c r="AJ1372" t="str">
        <f t="shared" ref="AJ1372:AK1372" si="1182">IF($J1372&lt;&gt;"",$J1372,IF($AC1372=$AC1371,AJ1371,""))</f>
        <v/>
      </c>
      <c r="AK1372" t="str">
        <f t="shared" si="1182"/>
        <v/>
      </c>
      <c r="AL1372" t="str">
        <f t="shared" si="1137"/>
        <v/>
      </c>
      <c r="AN1372" t="s">
        <v>861</v>
      </c>
      <c r="AO1372" t="str">
        <f t="shared" si="1138"/>
        <v>h</v>
      </c>
      <c r="AP1372" t="str">
        <f t="shared" si="1146"/>
        <v/>
      </c>
      <c r="AQ1372" t="str">
        <f t="shared" si="1147"/>
        <v/>
      </c>
      <c r="AR1372" t="str">
        <f t="shared" si="1148"/>
        <v>Home</v>
      </c>
      <c r="AS1372" t="str">
        <f t="shared" si="1149"/>
        <v>h</v>
      </c>
      <c r="AT1372" t="str">
        <f t="shared" si="1150"/>
        <v>Defensive</v>
      </c>
      <c r="BA1372" s="6">
        <f t="shared" si="1139"/>
        <v>316</v>
      </c>
      <c r="BB1372">
        <f t="shared" si="1140"/>
        <v>18981</v>
      </c>
      <c r="BC1372" t="str">
        <f t="shared" si="1141"/>
        <v>Nelson</v>
      </c>
      <c r="BD1372" t="str">
        <f t="shared" si="1142"/>
        <v>Velodrome</v>
      </c>
      <c r="BE1372" t="s">
        <v>13</v>
      </c>
      <c r="BF1372" t="s">
        <v>756</v>
      </c>
      <c r="BG1372" t="s">
        <v>756</v>
      </c>
      <c r="BI1372" cm="1">
        <f t="array" ref="BI1372">IFERROR(_xlfn._xlws.FILTER(shifts!A:A,(shifts!B:B=events!AD1372)*(shifts!AG:AG&gt;=events!BK1372)*(shifts!AH:AH&lt;=events!BL1372)),BI1371)</f>
        <v>61</v>
      </c>
      <c r="BJ1372" s="15">
        <f t="shared" si="1143"/>
        <v>3</v>
      </c>
      <c r="BK1372">
        <f t="shared" si="1151"/>
        <v>343</v>
      </c>
      <c r="BL1372">
        <f t="shared" si="1152"/>
        <v>340</v>
      </c>
      <c r="BM1372" s="15">
        <f>SUMIFS(BJ$2:BJ1372,K$2:K1372,"=Intermission")+SUMIFS(BJ$2:BJ1372,K$2:K1372,"=Timeout")</f>
        <v>72</v>
      </c>
      <c r="BN1372">
        <f t="shared" si="1153"/>
        <v>1152</v>
      </c>
      <c r="BO1372" s="19">
        <f t="shared" si="1154"/>
        <v>1889</v>
      </c>
      <c r="BP1372">
        <f t="shared" si="1155"/>
        <v>1884</v>
      </c>
      <c r="BQ1372" s="17">
        <f t="shared" si="1156"/>
        <v>1892</v>
      </c>
      <c r="BR1372" t="str">
        <f t="shared" si="1157"/>
        <v>opp_team_player_1</v>
      </c>
      <c r="BS1372">
        <f>COUNTIFS(S$3:S1372,"="&amp;S1372,AI$3:AI1372,"="&amp;AI1372)</f>
        <v>1</v>
      </c>
      <c r="BT1372" t="str">
        <f>IFERROR(VLOOKUP(BB1372&amp;BU1372&amp;X1372,game_rosters!U:W,3,FALSE),"")</f>
        <v>P100001</v>
      </c>
      <c r="BU1372" t="str">
        <f t="shared" si="1158"/>
        <v>Velodrome</v>
      </c>
    </row>
    <row r="1373" spans="1:73" x14ac:dyDescent="0.2">
      <c r="A1373">
        <f t="shared" si="1144"/>
        <v>1</v>
      </c>
      <c r="J1373" s="44" t="str">
        <f t="shared" si="1159"/>
        <v/>
      </c>
      <c r="K1373" t="s">
        <v>230</v>
      </c>
      <c r="L1373" t="s">
        <v>389</v>
      </c>
      <c r="M1373" t="s">
        <v>432</v>
      </c>
      <c r="S1373">
        <v>739</v>
      </c>
      <c r="W1373" t="str">
        <f t="shared" si="1135"/>
        <v>a</v>
      </c>
      <c r="X1373">
        <v>70</v>
      </c>
      <c r="Y1373" t="e">
        <f>IF(X1373&lt;&gt;"",VLOOKUP(X1373,game_rosters!$C$43:$E$64,3,FALSE))</f>
        <v>#N/A</v>
      </c>
      <c r="Z1373" cm="1">
        <f t="array" ref="Z1373">IFERROR(IF(_xlfn._xlws.FILTER(game_rosters!$J:$J,(game_rosters!$G:$G=events!$AN1373)*(game_rosters!$J:$J=events!$X1373))&gt;0,1,""),"")</f>
        <v>1</v>
      </c>
      <c r="AA1373">
        <f t="shared" ref="AA1373:AA1436" si="1183">S1373+1000</f>
        <v>1739</v>
      </c>
      <c r="AB1373" t="str">
        <f t="shared" ref="AB1373:AB1436" si="1184">IF(T1373&lt;&gt;"",9000+T1373,"")</f>
        <v/>
      </c>
      <c r="AC1373">
        <f t="shared" si="1132"/>
        <v>1739</v>
      </c>
      <c r="AD1373" s="6">
        <v>2</v>
      </c>
      <c r="AE1373" t="s">
        <v>752</v>
      </c>
      <c r="AF1373" t="s">
        <v>903</v>
      </c>
      <c r="AG1373" t="s">
        <v>756</v>
      </c>
      <c r="AH1373" t="s">
        <v>756</v>
      </c>
      <c r="AI1373" t="s">
        <v>367</v>
      </c>
      <c r="AJ1373" t="str">
        <f t="shared" ref="AJ1373:AK1373" si="1185">IF($J1373&lt;&gt;"",$J1373,IF($AC1373=$AC1372,AJ1372,""))</f>
        <v/>
      </c>
      <c r="AK1373" t="str">
        <f t="shared" si="1185"/>
        <v/>
      </c>
      <c r="AL1373" t="str">
        <f t="shared" si="1137"/>
        <v/>
      </c>
      <c r="AN1373" t="s">
        <v>862</v>
      </c>
      <c r="AO1373" t="str">
        <f t="shared" si="1138"/>
        <v>a</v>
      </c>
      <c r="AP1373" t="str">
        <f t="shared" si="1146"/>
        <v/>
      </c>
      <c r="AQ1373" t="str">
        <f t="shared" si="1147"/>
        <v/>
      </c>
      <c r="AR1373" t="str">
        <f t="shared" si="1148"/>
        <v>Away</v>
      </c>
      <c r="AS1373" t="str">
        <f t="shared" si="1149"/>
        <v>a</v>
      </c>
      <c r="AT1373" t="str">
        <f t="shared" si="1150"/>
        <v>Defensive</v>
      </c>
      <c r="BA1373" s="6">
        <f t="shared" si="1139"/>
        <v>316</v>
      </c>
      <c r="BB1373">
        <f t="shared" si="1140"/>
        <v>18981</v>
      </c>
      <c r="BC1373" t="str">
        <f t="shared" si="1141"/>
        <v>Nelson</v>
      </c>
      <c r="BD1373" t="str">
        <f t="shared" si="1142"/>
        <v>Velodrome</v>
      </c>
      <c r="BE1373" t="s">
        <v>230</v>
      </c>
      <c r="BF1373" t="s">
        <v>389</v>
      </c>
      <c r="BG1373" t="s">
        <v>432</v>
      </c>
      <c r="BI1373" cm="1">
        <f t="array" ref="BI1373">IFERROR(_xlfn._xlws.FILTER(shifts!A:A,(shifts!B:B=events!AD1373)*(shifts!AG:AG&gt;=events!BK1373)*(shifts!AH:AH&lt;=events!BL1373)),BI1372)</f>
        <v>61</v>
      </c>
      <c r="BJ1373" s="15">
        <f t="shared" si="1143"/>
        <v>0</v>
      </c>
      <c r="BK1373">
        <f t="shared" si="1151"/>
        <v>340</v>
      </c>
      <c r="BL1373">
        <f t="shared" si="1152"/>
        <v>340</v>
      </c>
      <c r="BM1373" s="15">
        <f>SUMIFS(BJ$2:BJ1373,K$2:K1373,"=Intermission")+SUMIFS(BJ$2:BJ1373,K$2:K1373,"=Timeout")</f>
        <v>72</v>
      </c>
      <c r="BN1373">
        <f t="shared" si="1153"/>
        <v>1152</v>
      </c>
      <c r="BO1373" s="19">
        <f t="shared" si="1154"/>
        <v>1892</v>
      </c>
      <c r="BP1373">
        <f t="shared" si="1155"/>
        <v>1887</v>
      </c>
      <c r="BQ1373" s="17">
        <f t="shared" si="1156"/>
        <v>1892</v>
      </c>
      <c r="BR1373" t="str">
        <f t="shared" si="1157"/>
        <v>event_team_player_1</v>
      </c>
      <c r="BS1373">
        <f>COUNTIFS(S$3:S1373,"="&amp;S1373,AI$3:AI1373,"="&amp;AI1373)</f>
        <v>1</v>
      </c>
      <c r="BT1373" t="str">
        <f>IFERROR(VLOOKUP(BB1373&amp;BU1373&amp;X1373,game_rosters!U:W,3,FALSE),"")</f>
        <v>P100001</v>
      </c>
      <c r="BU1373" t="str">
        <f t="shared" si="1158"/>
        <v>Velodrome</v>
      </c>
    </row>
    <row r="1374" spans="1:73" x14ac:dyDescent="0.2">
      <c r="A1374">
        <f t="shared" si="1144"/>
        <v>1</v>
      </c>
      <c r="J1374" s="44" t="str">
        <f t="shared" si="1159"/>
        <v/>
      </c>
      <c r="K1374" t="s">
        <v>230</v>
      </c>
      <c r="L1374" t="s">
        <v>389</v>
      </c>
      <c r="M1374" t="s">
        <v>432</v>
      </c>
      <c r="S1374">
        <v>739</v>
      </c>
      <c r="W1374" t="str">
        <f t="shared" si="1135"/>
        <v>a</v>
      </c>
      <c r="X1374">
        <v>80</v>
      </c>
      <c r="Y1374" t="b">
        <f>IF(X1374&lt;&gt;"",VLOOKUP(X1374,game_rosters!$C$43:$E$64,3,FALSE))</f>
        <v>0</v>
      </c>
      <c r="Z1374" t="str" cm="1">
        <f t="array" ref="Z1374">IFERROR(IF(_xlfn._xlws.FILTER(game_rosters!$J:$J,(game_rosters!$G:$G=events!$AN1374)*(game_rosters!$J:$J=events!$X1374))&gt;0,1,""),"")</f>
        <v/>
      </c>
      <c r="AA1374">
        <f t="shared" si="1183"/>
        <v>1739</v>
      </c>
      <c r="AB1374" t="str">
        <f t="shared" si="1184"/>
        <v/>
      </c>
      <c r="AC1374">
        <f t="shared" si="1132"/>
        <v>1739</v>
      </c>
      <c r="AD1374" s="6">
        <v>2</v>
      </c>
      <c r="AE1374" t="s">
        <v>752</v>
      </c>
      <c r="AF1374" t="s">
        <v>903</v>
      </c>
      <c r="AG1374" t="s">
        <v>756</v>
      </c>
      <c r="AH1374" t="s">
        <v>756</v>
      </c>
      <c r="AI1374" t="s">
        <v>368</v>
      </c>
      <c r="AJ1374" t="str">
        <f t="shared" ref="AJ1374:AK1374" si="1186">IF($J1374&lt;&gt;"",$J1374,IF($AC1374=$AC1373,AJ1373,""))</f>
        <v/>
      </c>
      <c r="AK1374" t="str">
        <f t="shared" si="1186"/>
        <v/>
      </c>
      <c r="AL1374" t="str">
        <f t="shared" si="1137"/>
        <v/>
      </c>
      <c r="AN1374" t="s">
        <v>862</v>
      </c>
      <c r="AO1374" t="str">
        <f t="shared" si="1138"/>
        <v>a</v>
      </c>
      <c r="AP1374" t="str">
        <f t="shared" si="1146"/>
        <v/>
      </c>
      <c r="AQ1374" t="str">
        <f t="shared" si="1147"/>
        <v/>
      </c>
      <c r="AR1374" t="str">
        <f t="shared" si="1148"/>
        <v>Away</v>
      </c>
      <c r="AS1374" t="str">
        <f t="shared" si="1149"/>
        <v>a</v>
      </c>
      <c r="AT1374" t="str">
        <f t="shared" si="1150"/>
        <v>Offensive</v>
      </c>
      <c r="BA1374" s="6">
        <f t="shared" si="1139"/>
        <v>316</v>
      </c>
      <c r="BB1374">
        <f t="shared" si="1140"/>
        <v>18981</v>
      </c>
      <c r="BC1374" t="str">
        <f t="shared" si="1141"/>
        <v>Nelson</v>
      </c>
      <c r="BD1374" t="str">
        <f t="shared" si="1142"/>
        <v>Velodrome</v>
      </c>
      <c r="BE1374" t="s">
        <v>230</v>
      </c>
      <c r="BF1374" t="s">
        <v>389</v>
      </c>
      <c r="BG1374" t="s">
        <v>432</v>
      </c>
      <c r="BI1374" cm="1">
        <f t="array" ref="BI1374">IFERROR(_xlfn._xlws.FILTER(shifts!A:A,(shifts!B:B=events!AD1374)*(shifts!AG:AG&gt;=events!BK1374)*(shifts!AH:AH&lt;=events!BL1374)),BI1373)</f>
        <v>61</v>
      </c>
      <c r="BJ1374" s="15">
        <f t="shared" si="1143"/>
        <v>0</v>
      </c>
      <c r="BK1374">
        <f t="shared" si="1151"/>
        <v>340</v>
      </c>
      <c r="BL1374">
        <f t="shared" si="1152"/>
        <v>340</v>
      </c>
      <c r="BM1374" s="15">
        <f>SUMIFS(BJ$2:BJ1374,K$2:K1374,"=Intermission")+SUMIFS(BJ$2:BJ1374,K$2:K1374,"=Timeout")</f>
        <v>72</v>
      </c>
      <c r="BN1374">
        <f t="shared" si="1153"/>
        <v>1152</v>
      </c>
      <c r="BO1374" s="19">
        <f t="shared" si="1154"/>
        <v>1892</v>
      </c>
      <c r="BP1374">
        <f t="shared" si="1155"/>
        <v>1887</v>
      </c>
      <c r="BQ1374" s="17">
        <f t="shared" si="1156"/>
        <v>1892</v>
      </c>
      <c r="BR1374" t="str">
        <f t="shared" si="1157"/>
        <v>opp_team_player_1</v>
      </c>
      <c r="BS1374">
        <f>COUNTIFS(S$3:S1374,"="&amp;S1374,AI$3:AI1374,"="&amp;AI1374)</f>
        <v>1</v>
      </c>
      <c r="BT1374" t="str">
        <f>IFERROR(VLOOKUP(BB1374&amp;BU1374&amp;X1374,game_rosters!U:W,3,FALSE),"")</f>
        <v>P100197</v>
      </c>
      <c r="BU1374" t="str">
        <f t="shared" si="1158"/>
        <v>Nelson</v>
      </c>
    </row>
    <row r="1375" spans="1:73" x14ac:dyDescent="0.2">
      <c r="A1375">
        <f t="shared" si="1144"/>
        <v>1</v>
      </c>
      <c r="J1375" s="44" t="str">
        <f t="shared" si="1159"/>
        <v>o</v>
      </c>
      <c r="K1375" t="s">
        <v>6</v>
      </c>
      <c r="L1375" t="s">
        <v>191</v>
      </c>
      <c r="M1375" t="s">
        <v>51</v>
      </c>
      <c r="S1375">
        <v>740</v>
      </c>
      <c r="W1375" t="str">
        <f t="shared" si="1135"/>
        <v>h</v>
      </c>
      <c r="X1375">
        <v>44</v>
      </c>
      <c r="Y1375" t="b">
        <f>IF(X1375&lt;&gt;"",VLOOKUP(X1375,game_rosters!$C$43:$E$64,3,FALSE))</f>
        <v>0</v>
      </c>
      <c r="Z1375" cm="1">
        <f t="array" ref="Z1375">IFERROR(IF(_xlfn._xlws.FILTER(game_rosters!$J:$J,(game_rosters!$G:$G=events!$AN1375)*(game_rosters!$J:$J=events!$X1375))&gt;0,1,""),"")</f>
        <v>1</v>
      </c>
      <c r="AA1375">
        <f t="shared" si="1183"/>
        <v>1740</v>
      </c>
      <c r="AB1375" t="str">
        <f t="shared" si="1184"/>
        <v/>
      </c>
      <c r="AC1375">
        <f t="shared" si="1132"/>
        <v>1740</v>
      </c>
      <c r="AD1375" s="6">
        <v>2</v>
      </c>
      <c r="AE1375" t="s">
        <v>752</v>
      </c>
      <c r="AF1375" t="s">
        <v>749</v>
      </c>
      <c r="AG1375" t="s">
        <v>756</v>
      </c>
      <c r="AH1375" t="s">
        <v>756</v>
      </c>
      <c r="AI1375" t="s">
        <v>367</v>
      </c>
      <c r="AJ1375" t="str">
        <f t="shared" ref="AJ1375:AK1375" si="1187">IF($J1375&lt;&gt;"",$J1375,IF($AC1375=$AC1374,AJ1374,""))</f>
        <v>o</v>
      </c>
      <c r="AK1375" t="str">
        <f t="shared" si="1187"/>
        <v>o</v>
      </c>
      <c r="AL1375" t="str">
        <f t="shared" si="1137"/>
        <v>o</v>
      </c>
      <c r="AN1375" t="s">
        <v>861</v>
      </c>
      <c r="AO1375" t="str">
        <f t="shared" si="1138"/>
        <v>h</v>
      </c>
      <c r="AP1375" t="str">
        <f t="shared" si="1146"/>
        <v>o</v>
      </c>
      <c r="AQ1375" t="str">
        <f t="shared" si="1147"/>
        <v/>
      </c>
      <c r="AR1375" t="str">
        <f t="shared" si="1148"/>
        <v>Home</v>
      </c>
      <c r="AS1375" t="str">
        <f t="shared" si="1149"/>
        <v>h</v>
      </c>
      <c r="AT1375" t="str">
        <f t="shared" si="1150"/>
        <v>Offensive</v>
      </c>
      <c r="BA1375" s="6">
        <f t="shared" si="1139"/>
        <v>316</v>
      </c>
      <c r="BB1375">
        <f t="shared" si="1140"/>
        <v>18981</v>
      </c>
      <c r="BC1375" t="str">
        <f t="shared" si="1141"/>
        <v>Nelson</v>
      </c>
      <c r="BD1375" t="str">
        <f t="shared" si="1142"/>
        <v>Velodrome</v>
      </c>
      <c r="BE1375" t="s">
        <v>6</v>
      </c>
      <c r="BF1375" t="s">
        <v>191</v>
      </c>
      <c r="BG1375" t="s">
        <v>51</v>
      </c>
      <c r="BI1375" cm="1">
        <f t="array" ref="BI1375">IFERROR(_xlfn._xlws.FILTER(shifts!A:A,(shifts!B:B=events!AD1375)*(shifts!AG:AG&gt;=events!BK1375)*(shifts!AH:AH&lt;=events!BL1375)),BI1374)</f>
        <v>61</v>
      </c>
      <c r="BJ1375" s="15">
        <f t="shared" si="1143"/>
        <v>0</v>
      </c>
      <c r="BK1375">
        <f t="shared" si="1151"/>
        <v>339</v>
      </c>
      <c r="BL1375">
        <f t="shared" si="1152"/>
        <v>339</v>
      </c>
      <c r="BM1375" s="15">
        <f>SUMIFS(BJ$2:BJ1375,K$2:K1375,"=Intermission")+SUMIFS(BJ$2:BJ1375,K$2:K1375,"=Timeout")</f>
        <v>72</v>
      </c>
      <c r="BN1375">
        <f t="shared" si="1153"/>
        <v>1152</v>
      </c>
      <c r="BO1375" s="19">
        <f t="shared" si="1154"/>
        <v>1893</v>
      </c>
      <c r="BP1375">
        <f t="shared" si="1155"/>
        <v>1888</v>
      </c>
      <c r="BQ1375" s="17">
        <f t="shared" si="1156"/>
        <v>1893</v>
      </c>
      <c r="BR1375" t="str">
        <f t="shared" si="1157"/>
        <v>event_team_player_1</v>
      </c>
      <c r="BS1375">
        <f>COUNTIFS(S$3:S1375,"="&amp;S1375,AI$3:AI1375,"="&amp;AI1375)</f>
        <v>1</v>
      </c>
      <c r="BT1375" t="str">
        <f>IFERROR(VLOOKUP(BB1375&amp;BU1375&amp;X1375,game_rosters!U:W,3,FALSE),"")</f>
        <v>P100079</v>
      </c>
      <c r="BU1375" t="str">
        <f t="shared" si="1158"/>
        <v>Nelson</v>
      </c>
    </row>
    <row r="1376" spans="1:73" x14ac:dyDescent="0.2">
      <c r="A1376">
        <f t="shared" si="1144"/>
        <v>1</v>
      </c>
      <c r="J1376" s="44" t="str">
        <f t="shared" si="1159"/>
        <v>o</v>
      </c>
      <c r="K1376" t="s">
        <v>6</v>
      </c>
      <c r="L1376" t="s">
        <v>191</v>
      </c>
      <c r="M1376" t="s">
        <v>51</v>
      </c>
      <c r="S1376">
        <v>740</v>
      </c>
      <c r="W1376" t="str">
        <f t="shared" si="1135"/>
        <v>h</v>
      </c>
      <c r="X1376">
        <v>70</v>
      </c>
      <c r="Y1376" t="e">
        <f>IF(X1376&lt;&gt;"",VLOOKUP(X1376,game_rosters!$C$43:$E$64,3,FALSE))</f>
        <v>#N/A</v>
      </c>
      <c r="Z1376" t="str" cm="1">
        <f t="array" ref="Z1376">IFERROR(IF(_xlfn._xlws.FILTER(game_rosters!$J:$J,(game_rosters!$G:$G=events!$AN1376)*(game_rosters!$J:$J=events!$X1376))&gt;0,1,""),"")</f>
        <v/>
      </c>
      <c r="AA1376">
        <f t="shared" si="1183"/>
        <v>1740</v>
      </c>
      <c r="AB1376" t="str">
        <f t="shared" si="1184"/>
        <v/>
      </c>
      <c r="AC1376">
        <f t="shared" si="1132"/>
        <v>1740</v>
      </c>
      <c r="AD1376" s="6">
        <v>2</v>
      </c>
      <c r="AE1376" t="s">
        <v>752</v>
      </c>
      <c r="AF1376" t="s">
        <v>749</v>
      </c>
      <c r="AG1376" t="s">
        <v>756</v>
      </c>
      <c r="AH1376" t="s">
        <v>756</v>
      </c>
      <c r="AI1376" t="s">
        <v>368</v>
      </c>
      <c r="AJ1376" t="str">
        <f t="shared" ref="AJ1376:AK1376" si="1188">IF($J1376&lt;&gt;"",$J1376,IF($AC1376=$AC1375,AJ1375,""))</f>
        <v>o</v>
      </c>
      <c r="AK1376" t="str">
        <f t="shared" si="1188"/>
        <v>o</v>
      </c>
      <c r="AL1376" t="str">
        <f t="shared" si="1137"/>
        <v>o</v>
      </c>
      <c r="AN1376" t="s">
        <v>861</v>
      </c>
      <c r="AO1376" t="str">
        <f t="shared" si="1138"/>
        <v>h</v>
      </c>
      <c r="AP1376" t="str">
        <f t="shared" si="1146"/>
        <v>o</v>
      </c>
      <c r="AQ1376" t="str">
        <f t="shared" si="1147"/>
        <v/>
      </c>
      <c r="AR1376" t="str">
        <f t="shared" si="1148"/>
        <v>Home</v>
      </c>
      <c r="AS1376" t="str">
        <f t="shared" si="1149"/>
        <v>h</v>
      </c>
      <c r="AT1376" t="str">
        <f t="shared" si="1150"/>
        <v>Defensive</v>
      </c>
      <c r="BA1376" s="6">
        <f t="shared" si="1139"/>
        <v>316</v>
      </c>
      <c r="BB1376">
        <f t="shared" si="1140"/>
        <v>18981</v>
      </c>
      <c r="BC1376" t="str">
        <f t="shared" si="1141"/>
        <v>Nelson</v>
      </c>
      <c r="BD1376" t="str">
        <f t="shared" si="1142"/>
        <v>Velodrome</v>
      </c>
      <c r="BE1376" t="s">
        <v>6</v>
      </c>
      <c r="BF1376" t="s">
        <v>191</v>
      </c>
      <c r="BG1376" t="s">
        <v>51</v>
      </c>
      <c r="BI1376" cm="1">
        <f t="array" ref="BI1376">IFERROR(_xlfn._xlws.FILTER(shifts!A:A,(shifts!B:B=events!AD1376)*(shifts!AG:AG&gt;=events!BK1376)*(shifts!AH:AH&lt;=events!BL1376)),BI1375)</f>
        <v>61</v>
      </c>
      <c r="BJ1376" s="15">
        <f t="shared" si="1143"/>
        <v>0</v>
      </c>
      <c r="BK1376">
        <f t="shared" si="1151"/>
        <v>339</v>
      </c>
      <c r="BL1376">
        <f t="shared" si="1152"/>
        <v>339</v>
      </c>
      <c r="BM1376" s="15">
        <f>SUMIFS(BJ$2:BJ1376,K$2:K1376,"=Intermission")+SUMIFS(BJ$2:BJ1376,K$2:K1376,"=Timeout")</f>
        <v>72</v>
      </c>
      <c r="BN1376">
        <f t="shared" si="1153"/>
        <v>1152</v>
      </c>
      <c r="BO1376" s="19">
        <f t="shared" si="1154"/>
        <v>1893</v>
      </c>
      <c r="BP1376">
        <f t="shared" si="1155"/>
        <v>1888</v>
      </c>
      <c r="BQ1376" s="17">
        <f t="shared" si="1156"/>
        <v>1893</v>
      </c>
      <c r="BR1376" t="str">
        <f t="shared" si="1157"/>
        <v>opp_team_player_1</v>
      </c>
      <c r="BS1376">
        <f>COUNTIFS(S$3:S1376,"="&amp;S1376,AI$3:AI1376,"="&amp;AI1376)</f>
        <v>1</v>
      </c>
      <c r="BT1376" t="str">
        <f>IFERROR(VLOOKUP(BB1376&amp;BU1376&amp;X1376,game_rosters!U:W,3,FALSE),"")</f>
        <v>P100001</v>
      </c>
      <c r="BU1376" t="str">
        <f t="shared" si="1158"/>
        <v>Velodrome</v>
      </c>
    </row>
    <row r="1377" spans="1:73" x14ac:dyDescent="0.2">
      <c r="A1377">
        <f t="shared" si="1144"/>
        <v>1</v>
      </c>
      <c r="J1377" s="44" t="str">
        <f t="shared" si="1159"/>
        <v/>
      </c>
      <c r="K1377" t="s">
        <v>9</v>
      </c>
      <c r="L1377" t="s">
        <v>173</v>
      </c>
      <c r="M1377" t="s">
        <v>76</v>
      </c>
      <c r="S1377">
        <v>741</v>
      </c>
      <c r="W1377" t="str">
        <f t="shared" si="1135"/>
        <v>h</v>
      </c>
      <c r="X1377">
        <v>44</v>
      </c>
      <c r="Y1377" t="b">
        <f>IF(X1377&lt;&gt;"",VLOOKUP(X1377,game_rosters!$C$43:$E$64,3,FALSE))</f>
        <v>0</v>
      </c>
      <c r="Z1377" cm="1">
        <f t="array" ref="Z1377">IFERROR(IF(_xlfn._xlws.FILTER(game_rosters!$J:$J,(game_rosters!$G:$G=events!$AN1377)*(game_rosters!$J:$J=events!$X1377))&gt;0,1,""),"")</f>
        <v>1</v>
      </c>
      <c r="AA1377">
        <f t="shared" si="1183"/>
        <v>1741</v>
      </c>
      <c r="AB1377" t="str">
        <f t="shared" si="1184"/>
        <v/>
      </c>
      <c r="AC1377">
        <f t="shared" si="1132"/>
        <v>1741</v>
      </c>
      <c r="AD1377" s="6">
        <v>2</v>
      </c>
      <c r="AE1377" t="s">
        <v>752</v>
      </c>
      <c r="AF1377" t="s">
        <v>749</v>
      </c>
      <c r="AG1377" t="s">
        <v>756</v>
      </c>
      <c r="AH1377" t="s">
        <v>756</v>
      </c>
      <c r="AI1377" t="s">
        <v>367</v>
      </c>
      <c r="AJ1377" t="str">
        <f t="shared" ref="AJ1377:AK1377" si="1189">IF($J1377&lt;&gt;"",$J1377,IF($AC1377=$AC1376,AJ1376,""))</f>
        <v/>
      </c>
      <c r="AK1377" t="str">
        <f t="shared" si="1189"/>
        <v/>
      </c>
      <c r="AL1377" t="str">
        <f t="shared" si="1137"/>
        <v/>
      </c>
      <c r="AN1377" t="s">
        <v>861</v>
      </c>
      <c r="AO1377" t="str">
        <f t="shared" si="1138"/>
        <v>h</v>
      </c>
      <c r="AP1377" t="str">
        <f t="shared" si="1146"/>
        <v/>
      </c>
      <c r="AQ1377" t="str">
        <f t="shared" si="1147"/>
        <v/>
      </c>
      <c r="AR1377" t="str">
        <f t="shared" si="1148"/>
        <v>Home</v>
      </c>
      <c r="AS1377" t="str">
        <f t="shared" si="1149"/>
        <v>h</v>
      </c>
      <c r="AT1377" t="str">
        <f t="shared" si="1150"/>
        <v>Offensive</v>
      </c>
      <c r="BA1377" s="6">
        <f t="shared" si="1139"/>
        <v>316</v>
      </c>
      <c r="BB1377">
        <f t="shared" si="1140"/>
        <v>18981</v>
      </c>
      <c r="BC1377" t="str">
        <f t="shared" si="1141"/>
        <v>Nelson</v>
      </c>
      <c r="BD1377" t="str">
        <f t="shared" si="1142"/>
        <v>Velodrome</v>
      </c>
      <c r="BE1377" t="s">
        <v>9</v>
      </c>
      <c r="BF1377" t="s">
        <v>173</v>
      </c>
      <c r="BG1377" t="s">
        <v>76</v>
      </c>
      <c r="BI1377" cm="1">
        <f t="array" ref="BI1377">IFERROR(_xlfn._xlws.FILTER(shifts!A:A,(shifts!B:B=events!AD1377)*(shifts!AG:AG&gt;=events!BK1377)*(shifts!AH:AH&lt;=events!BL1377)),BI1376)</f>
        <v>61</v>
      </c>
      <c r="BJ1377" s="15">
        <f t="shared" si="1143"/>
        <v>0</v>
      </c>
      <c r="BK1377">
        <f t="shared" si="1151"/>
        <v>339</v>
      </c>
      <c r="BL1377">
        <f t="shared" si="1152"/>
        <v>339</v>
      </c>
      <c r="BM1377" s="15">
        <f>SUMIFS(BJ$2:BJ1377,K$2:K1377,"=Intermission")+SUMIFS(BJ$2:BJ1377,K$2:K1377,"=Timeout")</f>
        <v>72</v>
      </c>
      <c r="BN1377">
        <f t="shared" si="1153"/>
        <v>1152</v>
      </c>
      <c r="BO1377" s="19">
        <f t="shared" si="1154"/>
        <v>1893</v>
      </c>
      <c r="BP1377">
        <f t="shared" si="1155"/>
        <v>1888</v>
      </c>
      <c r="BQ1377" s="17">
        <f t="shared" si="1156"/>
        <v>1893</v>
      </c>
      <c r="BR1377" t="str">
        <f t="shared" si="1157"/>
        <v>event_team_player_1</v>
      </c>
      <c r="BS1377">
        <f>COUNTIFS(S$3:S1377,"="&amp;S1377,AI$3:AI1377,"="&amp;AI1377)</f>
        <v>1</v>
      </c>
      <c r="BT1377" t="str">
        <f>IFERROR(VLOOKUP(BB1377&amp;BU1377&amp;X1377,game_rosters!U:W,3,FALSE),"")</f>
        <v>P100079</v>
      </c>
      <c r="BU1377" t="str">
        <f t="shared" si="1158"/>
        <v>Nelson</v>
      </c>
    </row>
    <row r="1378" spans="1:73" x14ac:dyDescent="0.2">
      <c r="A1378">
        <f t="shared" si="1144"/>
        <v>1</v>
      </c>
      <c r="J1378" s="44" t="str">
        <f t="shared" si="1159"/>
        <v>d</v>
      </c>
      <c r="K1378" t="s">
        <v>238</v>
      </c>
      <c r="L1378" t="s">
        <v>184</v>
      </c>
      <c r="M1378" t="s">
        <v>90</v>
      </c>
      <c r="S1378">
        <v>742</v>
      </c>
      <c r="W1378" t="str">
        <f t="shared" si="1135"/>
        <v>a</v>
      </c>
      <c r="X1378">
        <v>70</v>
      </c>
      <c r="Y1378" t="e">
        <f>IF(X1378&lt;&gt;"",VLOOKUP(X1378,game_rosters!$C$43:$E$64,3,FALSE))</f>
        <v>#N/A</v>
      </c>
      <c r="Z1378" cm="1">
        <f t="array" ref="Z1378">IFERROR(IF(_xlfn._xlws.FILTER(game_rosters!$J:$J,(game_rosters!$G:$G=events!$AN1378)*(game_rosters!$J:$J=events!$X1378))&gt;0,1,""),"")</f>
        <v>1</v>
      </c>
      <c r="AA1378">
        <f t="shared" si="1183"/>
        <v>1742</v>
      </c>
      <c r="AB1378" t="str">
        <f t="shared" si="1184"/>
        <v/>
      </c>
      <c r="AC1378">
        <f t="shared" si="1132"/>
        <v>1742</v>
      </c>
      <c r="AD1378" s="6">
        <v>2</v>
      </c>
      <c r="AE1378" t="s">
        <v>752</v>
      </c>
      <c r="AF1378" t="s">
        <v>750</v>
      </c>
      <c r="AG1378" t="s">
        <v>756</v>
      </c>
      <c r="AH1378" t="s">
        <v>756</v>
      </c>
      <c r="AI1378" t="s">
        <v>367</v>
      </c>
      <c r="AJ1378" t="str">
        <f t="shared" ref="AJ1378:AK1378" si="1190">IF($J1378&lt;&gt;"",$J1378,IF($AC1378=$AC1377,AJ1377,""))</f>
        <v>d</v>
      </c>
      <c r="AK1378" t="str">
        <f t="shared" si="1190"/>
        <v>d</v>
      </c>
      <c r="AL1378" t="str">
        <f t="shared" si="1137"/>
        <v>o</v>
      </c>
      <c r="AN1378" t="s">
        <v>862</v>
      </c>
      <c r="AO1378" t="str">
        <f t="shared" si="1138"/>
        <v>a</v>
      </c>
      <c r="AP1378" t="str">
        <f t="shared" si="1146"/>
        <v>o</v>
      </c>
      <c r="AQ1378" t="str">
        <f t="shared" si="1147"/>
        <v/>
      </c>
      <c r="AR1378" t="str">
        <f t="shared" si="1148"/>
        <v>Away</v>
      </c>
      <c r="AS1378" t="str">
        <f t="shared" si="1149"/>
        <v>a</v>
      </c>
      <c r="AT1378" t="str">
        <f t="shared" si="1150"/>
        <v>Offensive</v>
      </c>
      <c r="BA1378" s="6">
        <f t="shared" si="1139"/>
        <v>317</v>
      </c>
      <c r="BB1378">
        <f t="shared" si="1140"/>
        <v>18981</v>
      </c>
      <c r="BC1378" t="str">
        <f t="shared" si="1141"/>
        <v>Nelson</v>
      </c>
      <c r="BD1378" t="str">
        <f t="shared" si="1142"/>
        <v>Velodrome</v>
      </c>
      <c r="BE1378" t="s">
        <v>238</v>
      </c>
      <c r="BF1378" t="s">
        <v>184</v>
      </c>
      <c r="BG1378" t="s">
        <v>90</v>
      </c>
      <c r="BI1378" cm="1">
        <f t="array" ref="BI1378">IFERROR(_xlfn._xlws.FILTER(shifts!A:A,(shifts!B:B=events!AD1378)*(shifts!AG:AG&gt;=events!BK1378)*(shifts!AH:AH&lt;=events!BL1378)),BI1377)</f>
        <v>61</v>
      </c>
      <c r="BJ1378" s="15">
        <f t="shared" si="1143"/>
        <v>0</v>
      </c>
      <c r="BK1378">
        <f t="shared" si="1151"/>
        <v>335</v>
      </c>
      <c r="BL1378">
        <f t="shared" si="1152"/>
        <v>335</v>
      </c>
      <c r="BM1378" s="15">
        <f>SUMIFS(BJ$2:BJ1378,K$2:K1378,"=Intermission")+SUMIFS(BJ$2:BJ1378,K$2:K1378,"=Timeout")</f>
        <v>72</v>
      </c>
      <c r="BN1378">
        <f t="shared" si="1153"/>
        <v>1152</v>
      </c>
      <c r="BO1378" s="19">
        <f t="shared" si="1154"/>
        <v>1897</v>
      </c>
      <c r="BP1378">
        <f t="shared" si="1155"/>
        <v>1892</v>
      </c>
      <c r="BQ1378" s="17">
        <f t="shared" si="1156"/>
        <v>1897</v>
      </c>
      <c r="BR1378" t="str">
        <f t="shared" si="1157"/>
        <v>event_team_player_1</v>
      </c>
      <c r="BS1378">
        <f>COUNTIFS(S$3:S1378,"="&amp;S1378,AI$3:AI1378,"="&amp;AI1378)</f>
        <v>1</v>
      </c>
      <c r="BT1378" t="str">
        <f>IFERROR(VLOOKUP(BB1378&amp;BU1378&amp;X1378,game_rosters!U:W,3,FALSE),"")</f>
        <v>P100001</v>
      </c>
      <c r="BU1378" t="str">
        <f t="shared" si="1158"/>
        <v>Velodrome</v>
      </c>
    </row>
    <row r="1379" spans="1:73" x14ac:dyDescent="0.2">
      <c r="A1379">
        <f t="shared" si="1144"/>
        <v>1</v>
      </c>
      <c r="J1379" s="44" t="str">
        <f t="shared" si="1159"/>
        <v/>
      </c>
      <c r="K1379" t="s">
        <v>9</v>
      </c>
      <c r="L1379" t="s">
        <v>173</v>
      </c>
      <c r="M1379" t="s">
        <v>365</v>
      </c>
      <c r="S1379">
        <v>743</v>
      </c>
      <c r="W1379" t="str">
        <f t="shared" si="1135"/>
        <v>a</v>
      </c>
      <c r="X1379">
        <v>70</v>
      </c>
      <c r="Y1379" t="e">
        <f>IF(X1379&lt;&gt;"",VLOOKUP(X1379,game_rosters!$C$43:$E$64,3,FALSE))</f>
        <v>#N/A</v>
      </c>
      <c r="Z1379" cm="1">
        <f t="array" ref="Z1379">IFERROR(IF(_xlfn._xlws.FILTER(game_rosters!$J:$J,(game_rosters!$G:$G=events!$AN1379)*(game_rosters!$J:$J=events!$X1379))&gt;0,1,""),"")</f>
        <v>1</v>
      </c>
      <c r="AA1379">
        <f t="shared" si="1183"/>
        <v>1743</v>
      </c>
      <c r="AB1379" t="str">
        <f t="shared" si="1184"/>
        <v/>
      </c>
      <c r="AC1379">
        <f t="shared" si="1132"/>
        <v>1743</v>
      </c>
      <c r="AD1379" s="6">
        <v>2</v>
      </c>
      <c r="AE1379" t="s">
        <v>752</v>
      </c>
      <c r="AF1379" t="s">
        <v>750</v>
      </c>
      <c r="AG1379" t="s">
        <v>756</v>
      </c>
      <c r="AH1379" t="s">
        <v>756</v>
      </c>
      <c r="AI1379" t="s">
        <v>367</v>
      </c>
      <c r="AJ1379" t="str">
        <f t="shared" ref="AJ1379:AK1379" si="1191">IF($J1379&lt;&gt;"",$J1379,IF($AC1379=$AC1378,AJ1378,""))</f>
        <v/>
      </c>
      <c r="AK1379" t="str">
        <f t="shared" si="1191"/>
        <v/>
      </c>
      <c r="AL1379" t="str">
        <f t="shared" si="1137"/>
        <v/>
      </c>
      <c r="AN1379" t="s">
        <v>862</v>
      </c>
      <c r="AO1379" t="str">
        <f t="shared" si="1138"/>
        <v>a</v>
      </c>
      <c r="AP1379" t="str">
        <f t="shared" si="1146"/>
        <v/>
      </c>
      <c r="AQ1379" t="str">
        <f t="shared" si="1147"/>
        <v/>
      </c>
      <c r="AR1379" t="str">
        <f t="shared" si="1148"/>
        <v>Away</v>
      </c>
      <c r="AS1379" t="str">
        <f t="shared" si="1149"/>
        <v>a</v>
      </c>
      <c r="AT1379" t="str">
        <f t="shared" si="1150"/>
        <v>Offensive</v>
      </c>
      <c r="BA1379" s="6">
        <f t="shared" si="1139"/>
        <v>317</v>
      </c>
      <c r="BB1379">
        <f t="shared" si="1140"/>
        <v>18981</v>
      </c>
      <c r="BC1379" t="str">
        <f t="shared" si="1141"/>
        <v>Nelson</v>
      </c>
      <c r="BD1379" t="str">
        <f t="shared" si="1142"/>
        <v>Velodrome</v>
      </c>
      <c r="BE1379" t="s">
        <v>9</v>
      </c>
      <c r="BF1379" t="s">
        <v>173</v>
      </c>
      <c r="BG1379" t="s">
        <v>365</v>
      </c>
      <c r="BI1379" cm="1">
        <f t="array" ref="BI1379">IFERROR(_xlfn._xlws.FILTER(shifts!A:A,(shifts!B:B=events!AD1379)*(shifts!AG:AG&gt;=events!BK1379)*(shifts!AH:AH&lt;=events!BL1379)),BI1378)</f>
        <v>61</v>
      </c>
      <c r="BJ1379" s="15">
        <f t="shared" si="1143"/>
        <v>0</v>
      </c>
      <c r="BK1379">
        <f t="shared" si="1151"/>
        <v>335</v>
      </c>
      <c r="BL1379">
        <f t="shared" si="1152"/>
        <v>335</v>
      </c>
      <c r="BM1379" s="15">
        <f>SUMIFS(BJ$2:BJ1379,K$2:K1379,"=Intermission")+SUMIFS(BJ$2:BJ1379,K$2:K1379,"=Timeout")</f>
        <v>72</v>
      </c>
      <c r="BN1379">
        <f t="shared" si="1153"/>
        <v>1152</v>
      </c>
      <c r="BO1379" s="19">
        <f t="shared" si="1154"/>
        <v>1897</v>
      </c>
      <c r="BP1379">
        <f t="shared" si="1155"/>
        <v>1892</v>
      </c>
      <c r="BQ1379" s="17">
        <f t="shared" si="1156"/>
        <v>1897</v>
      </c>
      <c r="BR1379" t="str">
        <f t="shared" si="1157"/>
        <v>event_team_player_1</v>
      </c>
      <c r="BS1379">
        <f>COUNTIFS(S$3:S1379,"="&amp;S1379,AI$3:AI1379,"="&amp;AI1379)</f>
        <v>1</v>
      </c>
      <c r="BT1379" t="str">
        <f>IFERROR(VLOOKUP(BB1379&amp;BU1379&amp;X1379,game_rosters!U:W,3,FALSE),"")</f>
        <v>P100001</v>
      </c>
      <c r="BU1379" t="str">
        <f t="shared" si="1158"/>
        <v>Velodrome</v>
      </c>
    </row>
    <row r="1380" spans="1:73" x14ac:dyDescent="0.2">
      <c r="A1380">
        <f t="shared" si="1144"/>
        <v>1</v>
      </c>
      <c r="J1380" s="44" t="str">
        <f t="shared" si="1159"/>
        <v/>
      </c>
      <c r="K1380" t="s">
        <v>13</v>
      </c>
      <c r="L1380" t="s">
        <v>756</v>
      </c>
      <c r="M1380" t="s">
        <v>756</v>
      </c>
      <c r="S1380">
        <v>744</v>
      </c>
      <c r="W1380" t="str">
        <f t="shared" si="1135"/>
        <v>h</v>
      </c>
      <c r="X1380">
        <v>80</v>
      </c>
      <c r="Y1380" t="b">
        <f>IF(X1380&lt;&gt;"",VLOOKUP(X1380,game_rosters!$C$43:$E$64,3,FALSE))</f>
        <v>0</v>
      </c>
      <c r="Z1380" cm="1">
        <f t="array" ref="Z1380">IFERROR(IF(_xlfn._xlws.FILTER(game_rosters!$J:$J,(game_rosters!$G:$G=events!$AN1380)*(game_rosters!$J:$J=events!$X1380))&gt;0,1,""),"")</f>
        <v>1</v>
      </c>
      <c r="AA1380">
        <f t="shared" si="1183"/>
        <v>1744</v>
      </c>
      <c r="AB1380" t="str">
        <f t="shared" si="1184"/>
        <v/>
      </c>
      <c r="AC1380">
        <f t="shared" si="1132"/>
        <v>1744</v>
      </c>
      <c r="AD1380" s="6">
        <v>2</v>
      </c>
      <c r="AE1380" t="s">
        <v>752</v>
      </c>
      <c r="AF1380" t="s">
        <v>905</v>
      </c>
      <c r="AG1380" t="s">
        <v>752</v>
      </c>
      <c r="AH1380" t="s">
        <v>930</v>
      </c>
      <c r="AI1380" t="s">
        <v>367</v>
      </c>
      <c r="AJ1380" t="str">
        <f t="shared" ref="AJ1380:AK1380" si="1192">IF($J1380&lt;&gt;"",$J1380,IF($AC1380=$AC1379,AJ1379,""))</f>
        <v/>
      </c>
      <c r="AK1380" t="str">
        <f t="shared" si="1192"/>
        <v/>
      </c>
      <c r="AL1380" t="str">
        <f t="shared" si="1137"/>
        <v/>
      </c>
      <c r="AN1380" t="s">
        <v>861</v>
      </c>
      <c r="AO1380" t="str">
        <f t="shared" si="1138"/>
        <v>h</v>
      </c>
      <c r="AP1380" t="str">
        <f t="shared" si="1146"/>
        <v/>
      </c>
      <c r="AQ1380" t="str">
        <f t="shared" si="1147"/>
        <v/>
      </c>
      <c r="AR1380" t="str">
        <f t="shared" si="1148"/>
        <v>Home</v>
      </c>
      <c r="AS1380" t="str">
        <f t="shared" si="1149"/>
        <v>h</v>
      </c>
      <c r="AT1380" t="str">
        <f t="shared" si="1150"/>
        <v>Offensive</v>
      </c>
      <c r="BA1380" s="6">
        <f t="shared" si="1139"/>
        <v>317</v>
      </c>
      <c r="BB1380">
        <f t="shared" si="1140"/>
        <v>18981</v>
      </c>
      <c r="BC1380" t="str">
        <f t="shared" si="1141"/>
        <v>Nelson</v>
      </c>
      <c r="BD1380" t="str">
        <f t="shared" si="1142"/>
        <v>Velodrome</v>
      </c>
      <c r="BE1380" t="s">
        <v>13</v>
      </c>
      <c r="BF1380" t="s">
        <v>756</v>
      </c>
      <c r="BG1380" t="s">
        <v>756</v>
      </c>
      <c r="BI1380" cm="1">
        <f t="array" ref="BI1380">IFERROR(_xlfn._xlws.FILTER(shifts!A:A,(shifts!B:B=events!AD1380)*(shifts!AG:AG&gt;=events!BK1380)*(shifts!AH:AH&lt;=events!BL1380)),BI1379)</f>
        <v>61</v>
      </c>
      <c r="BJ1380" s="15">
        <f t="shared" si="1143"/>
        <v>4</v>
      </c>
      <c r="BK1380">
        <f t="shared" si="1151"/>
        <v>332</v>
      </c>
      <c r="BL1380">
        <f t="shared" si="1152"/>
        <v>328</v>
      </c>
      <c r="BM1380" s="15">
        <f>SUMIFS(BJ$2:BJ1380,K$2:K1380,"=Intermission")+SUMIFS(BJ$2:BJ1380,K$2:K1380,"=Timeout")</f>
        <v>72</v>
      </c>
      <c r="BN1380">
        <f t="shared" si="1153"/>
        <v>1152</v>
      </c>
      <c r="BO1380" s="19">
        <f t="shared" si="1154"/>
        <v>1900</v>
      </c>
      <c r="BP1380">
        <f t="shared" si="1155"/>
        <v>1895</v>
      </c>
      <c r="BQ1380" s="17">
        <f t="shared" si="1156"/>
        <v>1904</v>
      </c>
      <c r="BR1380" t="str">
        <f t="shared" si="1157"/>
        <v>event_team_player_1</v>
      </c>
      <c r="BS1380">
        <f>COUNTIFS(S$3:S1380,"="&amp;S1380,AI$3:AI1380,"="&amp;AI1380)</f>
        <v>1</v>
      </c>
      <c r="BT1380" t="str">
        <f>IFERROR(VLOOKUP(BB1380&amp;BU1380&amp;X1380,game_rosters!U:W,3,FALSE),"")</f>
        <v>P100197</v>
      </c>
      <c r="BU1380" t="str">
        <f t="shared" si="1158"/>
        <v>Nelson</v>
      </c>
    </row>
    <row r="1381" spans="1:73" x14ac:dyDescent="0.2">
      <c r="A1381">
        <f t="shared" si="1144"/>
        <v>1</v>
      </c>
      <c r="J1381" s="44" t="str">
        <f t="shared" si="1159"/>
        <v/>
      </c>
      <c r="K1381" t="s">
        <v>11</v>
      </c>
      <c r="L1381" t="s">
        <v>187</v>
      </c>
      <c r="M1381" t="s">
        <v>107</v>
      </c>
      <c r="S1381">
        <v>745</v>
      </c>
      <c r="W1381" t="str">
        <f t="shared" si="1135"/>
        <v>h</v>
      </c>
      <c r="X1381">
        <v>80</v>
      </c>
      <c r="Y1381" t="b">
        <f>IF(X1381&lt;&gt;"",VLOOKUP(X1381,game_rosters!$C$43:$E$64,3,FALSE))</f>
        <v>0</v>
      </c>
      <c r="Z1381" cm="1">
        <f t="array" ref="Z1381">IFERROR(IF(_xlfn._xlws.FILTER(game_rosters!$J:$J,(game_rosters!$G:$G=events!$AN1381)*(game_rosters!$J:$J=events!$X1381))&gt;0,1,""),"")</f>
        <v>1</v>
      </c>
      <c r="AA1381">
        <f t="shared" si="1183"/>
        <v>1745</v>
      </c>
      <c r="AB1381" t="str">
        <f t="shared" si="1184"/>
        <v/>
      </c>
      <c r="AC1381">
        <f t="shared" si="1132"/>
        <v>1745</v>
      </c>
      <c r="AD1381" s="6">
        <v>2</v>
      </c>
      <c r="AE1381" t="s">
        <v>752</v>
      </c>
      <c r="AF1381" t="s">
        <v>930</v>
      </c>
      <c r="AG1381" t="s">
        <v>756</v>
      </c>
      <c r="AH1381" t="s">
        <v>756</v>
      </c>
      <c r="AI1381" t="s">
        <v>367</v>
      </c>
      <c r="AJ1381" t="str">
        <f t="shared" ref="AJ1381:AK1381" si="1193">IF($J1381&lt;&gt;"",$J1381,IF($AC1381=$AC1380,AJ1380,""))</f>
        <v/>
      </c>
      <c r="AK1381" t="str">
        <f t="shared" si="1193"/>
        <v/>
      </c>
      <c r="AL1381" t="str">
        <f t="shared" si="1137"/>
        <v/>
      </c>
      <c r="AN1381" t="s">
        <v>861</v>
      </c>
      <c r="AO1381" t="str">
        <f t="shared" si="1138"/>
        <v>h</v>
      </c>
      <c r="AP1381" t="str">
        <f t="shared" si="1146"/>
        <v/>
      </c>
      <c r="AQ1381" t="str">
        <f t="shared" si="1147"/>
        <v/>
      </c>
      <c r="AR1381" t="str">
        <f t="shared" si="1148"/>
        <v>Home</v>
      </c>
      <c r="AS1381" t="str">
        <f t="shared" si="1149"/>
        <v>h</v>
      </c>
      <c r="AT1381" t="str">
        <f t="shared" si="1150"/>
        <v/>
      </c>
      <c r="BA1381" s="6">
        <f t="shared" si="1139"/>
        <v>317</v>
      </c>
      <c r="BB1381">
        <f t="shared" si="1140"/>
        <v>18981</v>
      </c>
      <c r="BC1381" t="str">
        <f t="shared" si="1141"/>
        <v>Nelson</v>
      </c>
      <c r="BD1381" t="str">
        <f t="shared" si="1142"/>
        <v>Velodrome</v>
      </c>
      <c r="BE1381" t="s">
        <v>11</v>
      </c>
      <c r="BF1381" t="s">
        <v>187</v>
      </c>
      <c r="BG1381" t="s">
        <v>107</v>
      </c>
      <c r="BI1381" cm="1">
        <f t="array" ref="BI1381">IFERROR(_xlfn._xlws.FILTER(shifts!A:A,(shifts!B:B=events!AD1381)*(shifts!AG:AG&gt;=events!BK1381)*(shifts!AH:AH&lt;=events!BL1381)),BI1380)</f>
        <v>61</v>
      </c>
      <c r="BJ1381" s="15">
        <f t="shared" si="1143"/>
        <v>0</v>
      </c>
      <c r="BK1381">
        <f t="shared" si="1151"/>
        <v>328</v>
      </c>
      <c r="BL1381">
        <f t="shared" si="1152"/>
        <v>328</v>
      </c>
      <c r="BM1381" s="15">
        <f>SUMIFS(BJ$2:BJ1381,K$2:K1381,"=Intermission")+SUMIFS(BJ$2:BJ1381,K$2:K1381,"=Timeout")</f>
        <v>72</v>
      </c>
      <c r="BN1381">
        <f t="shared" si="1153"/>
        <v>1152</v>
      </c>
      <c r="BO1381" s="19">
        <f t="shared" si="1154"/>
        <v>1904</v>
      </c>
      <c r="BP1381">
        <f t="shared" si="1155"/>
        <v>1899</v>
      </c>
      <c r="BQ1381" s="17">
        <f t="shared" si="1156"/>
        <v>1904</v>
      </c>
      <c r="BR1381" t="str">
        <f t="shared" si="1157"/>
        <v>event_team_player_1</v>
      </c>
      <c r="BS1381">
        <f>COUNTIFS(S$3:S1381,"="&amp;S1381,AI$3:AI1381,"="&amp;AI1381)</f>
        <v>1</v>
      </c>
      <c r="BT1381" t="str">
        <f>IFERROR(VLOOKUP(BB1381&amp;BU1381&amp;X1381,game_rosters!U:W,3,FALSE),"")</f>
        <v>P100197</v>
      </c>
      <c r="BU1381" t="str">
        <f t="shared" si="1158"/>
        <v>Nelson</v>
      </c>
    </row>
    <row r="1382" spans="1:73" x14ac:dyDescent="0.2">
      <c r="A1382">
        <f t="shared" si="1144"/>
        <v>1</v>
      </c>
      <c r="J1382" s="44" t="str">
        <f t="shared" si="1159"/>
        <v/>
      </c>
      <c r="K1382" t="s">
        <v>241</v>
      </c>
      <c r="L1382" t="s">
        <v>756</v>
      </c>
      <c r="M1382" t="s">
        <v>756</v>
      </c>
      <c r="S1382">
        <v>746</v>
      </c>
      <c r="W1382" t="str">
        <f t="shared" si="1135"/>
        <v>h</v>
      </c>
      <c r="X1382">
        <v>80</v>
      </c>
      <c r="Y1382" t="b">
        <f>IF(X1382&lt;&gt;"",VLOOKUP(X1382,game_rosters!$C$43:$E$64,3,FALSE))</f>
        <v>0</v>
      </c>
      <c r="Z1382" cm="1">
        <f t="array" ref="Z1382">IFERROR(IF(_xlfn._xlws.FILTER(game_rosters!$J:$J,(game_rosters!$G:$G=events!$AN1382)*(game_rosters!$J:$J=events!$X1382))&gt;0,1,""),"")</f>
        <v>1</v>
      </c>
      <c r="AA1382">
        <f t="shared" si="1183"/>
        <v>1746</v>
      </c>
      <c r="AB1382" t="str">
        <f t="shared" si="1184"/>
        <v/>
      </c>
      <c r="AC1382">
        <f t="shared" si="1132"/>
        <v>1746</v>
      </c>
      <c r="AD1382" s="6">
        <v>2</v>
      </c>
      <c r="AE1382" t="s">
        <v>752</v>
      </c>
      <c r="AF1382" t="s">
        <v>930</v>
      </c>
      <c r="AG1382" t="s">
        <v>941</v>
      </c>
      <c r="AH1382" t="s">
        <v>896</v>
      </c>
      <c r="AI1382" t="s">
        <v>367</v>
      </c>
      <c r="AJ1382" t="str">
        <f t="shared" ref="AJ1382:AK1382" si="1194">IF($J1382&lt;&gt;"",$J1382,IF($AC1382=$AC1381,AJ1381,""))</f>
        <v/>
      </c>
      <c r="AK1382" t="str">
        <f t="shared" si="1194"/>
        <v/>
      </c>
      <c r="AL1382" t="str">
        <f t="shared" si="1137"/>
        <v/>
      </c>
      <c r="AN1382" t="s">
        <v>861</v>
      </c>
      <c r="AO1382" t="str">
        <f t="shared" si="1138"/>
        <v>h</v>
      </c>
      <c r="AP1382" t="str">
        <f t="shared" si="1146"/>
        <v/>
      </c>
      <c r="AQ1382" t="str">
        <f t="shared" si="1147"/>
        <v/>
      </c>
      <c r="AR1382" t="str">
        <f t="shared" si="1148"/>
        <v>Home</v>
      </c>
      <c r="AS1382" t="str">
        <f t="shared" si="1149"/>
        <v>h</v>
      </c>
      <c r="AT1382" t="str">
        <f t="shared" si="1150"/>
        <v/>
      </c>
      <c r="BA1382" s="6">
        <f t="shared" si="1139"/>
        <v>317</v>
      </c>
      <c r="BB1382">
        <f t="shared" si="1140"/>
        <v>18981</v>
      </c>
      <c r="BC1382" t="str">
        <f t="shared" si="1141"/>
        <v>Nelson</v>
      </c>
      <c r="BD1382" t="str">
        <f t="shared" si="1142"/>
        <v>Velodrome</v>
      </c>
      <c r="BE1382" t="s">
        <v>241</v>
      </c>
      <c r="BF1382" t="s">
        <v>756</v>
      </c>
      <c r="BG1382" t="s">
        <v>756</v>
      </c>
      <c r="BI1382" cm="1">
        <f t="array" ref="BI1382">IFERROR(_xlfn._xlws.FILTER(shifts!A:A,(shifts!B:B=events!AD1382)*(shifts!AG:AG&gt;=events!BK1382)*(shifts!AH:AH&lt;=events!BL1382)),BI1381)</f>
        <v>61</v>
      </c>
      <c r="BJ1382" s="15">
        <f t="shared" si="1143"/>
        <v>29</v>
      </c>
      <c r="BK1382">
        <f t="shared" si="1151"/>
        <v>328</v>
      </c>
      <c r="BL1382">
        <f t="shared" si="1152"/>
        <v>299</v>
      </c>
      <c r="BM1382" s="15">
        <f>SUMIFS(BJ$2:BJ1382,K$2:K1382,"=Intermission")+SUMIFS(BJ$2:BJ1382,K$2:K1382,"=Timeout")</f>
        <v>72</v>
      </c>
      <c r="BN1382">
        <f t="shared" si="1153"/>
        <v>1152</v>
      </c>
      <c r="BO1382" s="19">
        <f t="shared" si="1154"/>
        <v>1904</v>
      </c>
      <c r="BP1382">
        <f t="shared" si="1155"/>
        <v>1899</v>
      </c>
      <c r="BQ1382" s="17">
        <f t="shared" si="1156"/>
        <v>1933</v>
      </c>
      <c r="BR1382" t="str">
        <f t="shared" si="1157"/>
        <v>event_team_player_1</v>
      </c>
      <c r="BS1382">
        <f>COUNTIFS(S$3:S1382,"="&amp;S1382,AI$3:AI1382,"="&amp;AI1382)</f>
        <v>1</v>
      </c>
      <c r="BT1382" t="str">
        <f>IFERROR(VLOOKUP(BB1382&amp;BU1382&amp;X1382,game_rosters!U:W,3,FALSE),"")</f>
        <v>P100197</v>
      </c>
      <c r="BU1382" t="str">
        <f t="shared" si="1158"/>
        <v>Nelson</v>
      </c>
    </row>
    <row r="1383" spans="1:73" x14ac:dyDescent="0.2">
      <c r="A1383">
        <f t="shared" si="1144"/>
        <v>1</v>
      </c>
      <c r="J1383" s="44" t="str">
        <f t="shared" si="1159"/>
        <v/>
      </c>
      <c r="K1383" t="s">
        <v>5</v>
      </c>
      <c r="L1383" t="s">
        <v>236</v>
      </c>
      <c r="M1383" t="s">
        <v>756</v>
      </c>
      <c r="S1383">
        <v>747</v>
      </c>
      <c r="W1383" t="str">
        <f t="shared" si="1135"/>
        <v>h</v>
      </c>
      <c r="X1383">
        <v>79</v>
      </c>
      <c r="Y1383" t="b">
        <f>IF(X1383&lt;&gt;"",VLOOKUP(X1383,game_rosters!$C$43:$E$64,3,FALSE))</f>
        <v>0</v>
      </c>
      <c r="Z1383" cm="1">
        <f t="array" ref="Z1383">IFERROR(IF(_xlfn._xlws.FILTER(game_rosters!$J:$J,(game_rosters!$G:$G=events!$AN1383)*(game_rosters!$J:$J=events!$X1383))&gt;0,1,""),"")</f>
        <v>1</v>
      </c>
      <c r="AA1383">
        <f t="shared" si="1183"/>
        <v>1747</v>
      </c>
      <c r="AB1383" t="str">
        <f t="shared" si="1184"/>
        <v/>
      </c>
      <c r="AC1383">
        <f t="shared" si="1132"/>
        <v>1747</v>
      </c>
      <c r="AD1383" s="6">
        <v>2</v>
      </c>
      <c r="AE1383" t="s">
        <v>941</v>
      </c>
      <c r="AF1383" t="s">
        <v>896</v>
      </c>
      <c r="AG1383" t="s">
        <v>756</v>
      </c>
      <c r="AH1383" t="s">
        <v>756</v>
      </c>
      <c r="AI1383" t="s">
        <v>367</v>
      </c>
      <c r="AJ1383" t="str">
        <f t="shared" ref="AJ1383:AK1383" si="1195">IF($J1383&lt;&gt;"",$J1383,IF($AC1383=$AC1382,AJ1382,""))</f>
        <v/>
      </c>
      <c r="AK1383" t="str">
        <f t="shared" si="1195"/>
        <v/>
      </c>
      <c r="AL1383" t="str">
        <f t="shared" si="1137"/>
        <v/>
      </c>
      <c r="AN1383" t="s">
        <v>861</v>
      </c>
      <c r="AO1383" t="str">
        <f t="shared" si="1138"/>
        <v>h</v>
      </c>
      <c r="AP1383" t="str">
        <f t="shared" si="1146"/>
        <v/>
      </c>
      <c r="AQ1383" t="str">
        <f t="shared" si="1147"/>
        <v/>
      </c>
      <c r="AR1383" t="str">
        <f t="shared" si="1148"/>
        <v>Home</v>
      </c>
      <c r="AS1383" t="str">
        <f t="shared" si="1149"/>
        <v>h</v>
      </c>
      <c r="AT1383" t="str">
        <f t="shared" si="1150"/>
        <v>Offensive</v>
      </c>
      <c r="BA1383" s="6">
        <f t="shared" si="1139"/>
        <v>317</v>
      </c>
      <c r="BB1383">
        <f t="shared" si="1140"/>
        <v>18981</v>
      </c>
      <c r="BC1383" t="str">
        <f t="shared" si="1141"/>
        <v>Nelson</v>
      </c>
      <c r="BD1383" t="str">
        <f t="shared" si="1142"/>
        <v>Velodrome</v>
      </c>
      <c r="BE1383" t="s">
        <v>5</v>
      </c>
      <c r="BF1383" t="s">
        <v>236</v>
      </c>
      <c r="BG1383" t="s">
        <v>756</v>
      </c>
      <c r="BI1383" cm="1">
        <f t="array" ref="BI1383">IFERROR(_xlfn._xlws.FILTER(shifts!A:A,(shifts!B:B=events!AD1383)*(shifts!AG:AG&gt;=events!BK1383)*(shifts!AH:AH&lt;=events!BL1383)),BI1382)</f>
        <v>62</v>
      </c>
      <c r="BJ1383" s="15">
        <f t="shared" si="1143"/>
        <v>0</v>
      </c>
      <c r="BK1383">
        <f t="shared" si="1151"/>
        <v>299</v>
      </c>
      <c r="BL1383">
        <f t="shared" si="1152"/>
        <v>299</v>
      </c>
      <c r="BM1383" s="15">
        <f>SUMIFS(BJ$2:BJ1383,K$2:K1383,"=Intermission")+SUMIFS(BJ$2:BJ1383,K$2:K1383,"=Timeout")</f>
        <v>72</v>
      </c>
      <c r="BN1383">
        <f t="shared" si="1153"/>
        <v>1152</v>
      </c>
      <c r="BO1383" s="19">
        <f t="shared" si="1154"/>
        <v>1933</v>
      </c>
      <c r="BP1383">
        <f t="shared" si="1155"/>
        <v>1928</v>
      </c>
      <c r="BQ1383" s="17">
        <f t="shared" si="1156"/>
        <v>1933</v>
      </c>
      <c r="BR1383" t="str">
        <f t="shared" si="1157"/>
        <v>event_team_player_1</v>
      </c>
      <c r="BS1383">
        <f>COUNTIFS(S$3:S1383,"="&amp;S1383,AI$3:AI1383,"="&amp;AI1383)</f>
        <v>1</v>
      </c>
      <c r="BT1383" t="str">
        <f>IFERROR(VLOOKUP(BB1383&amp;BU1383&amp;X1383,game_rosters!U:W,3,FALSE),"")</f>
        <v>P100066</v>
      </c>
      <c r="BU1383" t="str">
        <f t="shared" si="1158"/>
        <v>Nelson</v>
      </c>
    </row>
    <row r="1384" spans="1:73" x14ac:dyDescent="0.2">
      <c r="A1384">
        <f t="shared" si="1144"/>
        <v>1</v>
      </c>
      <c r="J1384" s="44" t="str">
        <f t="shared" si="1159"/>
        <v/>
      </c>
      <c r="K1384" t="s">
        <v>5</v>
      </c>
      <c r="L1384" t="s">
        <v>236</v>
      </c>
      <c r="M1384" t="s">
        <v>756</v>
      </c>
      <c r="S1384">
        <v>747</v>
      </c>
      <c r="W1384" t="str">
        <f t="shared" si="1135"/>
        <v>h</v>
      </c>
      <c r="X1384">
        <v>42</v>
      </c>
      <c r="Y1384" t="e">
        <f>IF(X1384&lt;&gt;"",VLOOKUP(X1384,game_rosters!$C$43:$E$64,3,FALSE))</f>
        <v>#N/A</v>
      </c>
      <c r="Z1384" t="str" cm="1">
        <f t="array" ref="Z1384">IFERROR(IF(_xlfn._xlws.FILTER(game_rosters!$J:$J,(game_rosters!$G:$G=events!$AN1384)*(game_rosters!$J:$J=events!$X1384))&gt;0,1,""),"")</f>
        <v/>
      </c>
      <c r="AA1384">
        <f t="shared" si="1183"/>
        <v>1747</v>
      </c>
      <c r="AB1384" t="str">
        <f t="shared" si="1184"/>
        <v/>
      </c>
      <c r="AC1384">
        <f t="shared" si="1132"/>
        <v>1747</v>
      </c>
      <c r="AD1384" s="6">
        <v>2</v>
      </c>
      <c r="AE1384" t="s">
        <v>941</v>
      </c>
      <c r="AF1384" t="s">
        <v>896</v>
      </c>
      <c r="AG1384" t="s">
        <v>756</v>
      </c>
      <c r="AH1384" t="s">
        <v>756</v>
      </c>
      <c r="AI1384" t="s">
        <v>368</v>
      </c>
      <c r="AJ1384" t="str">
        <f t="shared" ref="AJ1384:AK1384" si="1196">IF($J1384&lt;&gt;"",$J1384,IF($AC1384=$AC1383,AJ1383,""))</f>
        <v/>
      </c>
      <c r="AK1384" t="str">
        <f t="shared" si="1196"/>
        <v/>
      </c>
      <c r="AL1384" t="str">
        <f t="shared" si="1137"/>
        <v/>
      </c>
      <c r="AN1384" t="s">
        <v>861</v>
      </c>
      <c r="AO1384" t="str">
        <f t="shared" si="1138"/>
        <v>h</v>
      </c>
      <c r="AP1384" t="str">
        <f t="shared" si="1146"/>
        <v/>
      </c>
      <c r="AQ1384" t="str">
        <f t="shared" si="1147"/>
        <v/>
      </c>
      <c r="AR1384" t="str">
        <f t="shared" si="1148"/>
        <v>Home</v>
      </c>
      <c r="AS1384" t="str">
        <f t="shared" si="1149"/>
        <v>h</v>
      </c>
      <c r="AT1384" t="str">
        <f t="shared" si="1150"/>
        <v>Defensive</v>
      </c>
      <c r="BA1384" s="6">
        <f t="shared" si="1139"/>
        <v>317</v>
      </c>
      <c r="BB1384">
        <f t="shared" si="1140"/>
        <v>18981</v>
      </c>
      <c r="BC1384" t="str">
        <f t="shared" si="1141"/>
        <v>Nelson</v>
      </c>
      <c r="BD1384" t="str">
        <f t="shared" si="1142"/>
        <v>Velodrome</v>
      </c>
      <c r="BE1384" t="s">
        <v>5</v>
      </c>
      <c r="BF1384" t="s">
        <v>236</v>
      </c>
      <c r="BG1384" t="s">
        <v>756</v>
      </c>
      <c r="BI1384" cm="1">
        <f t="array" ref="BI1384">IFERROR(_xlfn._xlws.FILTER(shifts!A:A,(shifts!B:B=events!AD1384)*(shifts!AG:AG&gt;=events!BK1384)*(shifts!AH:AH&lt;=events!BL1384)),BI1383)</f>
        <v>62</v>
      </c>
      <c r="BJ1384" s="15">
        <f t="shared" si="1143"/>
        <v>0</v>
      </c>
      <c r="BK1384">
        <f t="shared" si="1151"/>
        <v>299</v>
      </c>
      <c r="BL1384">
        <f t="shared" si="1152"/>
        <v>299</v>
      </c>
      <c r="BM1384" s="15">
        <f>SUMIFS(BJ$2:BJ1384,K$2:K1384,"=Intermission")+SUMIFS(BJ$2:BJ1384,K$2:K1384,"=Timeout")</f>
        <v>72</v>
      </c>
      <c r="BN1384">
        <f t="shared" si="1153"/>
        <v>1152</v>
      </c>
      <c r="BO1384" s="19">
        <f t="shared" si="1154"/>
        <v>1933</v>
      </c>
      <c r="BP1384">
        <f t="shared" si="1155"/>
        <v>1928</v>
      </c>
      <c r="BQ1384" s="17">
        <f t="shared" si="1156"/>
        <v>1933</v>
      </c>
      <c r="BR1384" t="str">
        <f t="shared" si="1157"/>
        <v>opp_team_player_1</v>
      </c>
      <c r="BS1384">
        <f>COUNTIFS(S$3:S1384,"="&amp;S1384,AI$3:AI1384,"="&amp;AI1384)</f>
        <v>1</v>
      </c>
      <c r="BT1384" t="str">
        <f>IFERROR(VLOOKUP(BB1384&amp;BU1384&amp;X1384,game_rosters!U:W,3,FALSE),"")</f>
        <v>P100201</v>
      </c>
      <c r="BU1384" t="str">
        <f t="shared" si="1158"/>
        <v>Velodrome</v>
      </c>
    </row>
    <row r="1385" spans="1:73" x14ac:dyDescent="0.2">
      <c r="A1385">
        <f t="shared" si="1144"/>
        <v>1</v>
      </c>
      <c r="J1385" s="44" t="str">
        <f t="shared" si="1159"/>
        <v>o</v>
      </c>
      <c r="K1385" t="s">
        <v>238</v>
      </c>
      <c r="L1385" t="s">
        <v>174</v>
      </c>
      <c r="M1385" t="s">
        <v>85</v>
      </c>
      <c r="S1385">
        <v>748</v>
      </c>
      <c r="W1385" t="str">
        <f t="shared" si="1135"/>
        <v>h</v>
      </c>
      <c r="X1385">
        <v>79</v>
      </c>
      <c r="Y1385" t="b">
        <f>IF(X1385&lt;&gt;"",VLOOKUP(X1385,game_rosters!$C$43:$E$64,3,FALSE))</f>
        <v>0</v>
      </c>
      <c r="Z1385" cm="1">
        <f t="array" ref="Z1385">IFERROR(IF(_xlfn._xlws.FILTER(game_rosters!$J:$J,(game_rosters!$G:$G=events!$AN1385)*(game_rosters!$J:$J=events!$X1385))&gt;0,1,""),"")</f>
        <v>1</v>
      </c>
      <c r="AA1385">
        <f t="shared" si="1183"/>
        <v>1748</v>
      </c>
      <c r="AB1385" t="str">
        <f t="shared" si="1184"/>
        <v/>
      </c>
      <c r="AC1385">
        <f t="shared" si="1132"/>
        <v>1748</v>
      </c>
      <c r="AD1385" s="6">
        <v>2</v>
      </c>
      <c r="AE1385" t="s">
        <v>941</v>
      </c>
      <c r="AF1385" t="s">
        <v>932</v>
      </c>
      <c r="AG1385" t="s">
        <v>941</v>
      </c>
      <c r="AH1385" t="s">
        <v>753</v>
      </c>
      <c r="AI1385" t="s">
        <v>367</v>
      </c>
      <c r="AJ1385" t="str">
        <f t="shared" ref="AJ1385:AK1385" si="1197">IF($J1385&lt;&gt;"",$J1385,IF($AC1385=$AC1384,AJ1384,""))</f>
        <v>o</v>
      </c>
      <c r="AK1385" t="str">
        <f t="shared" si="1197"/>
        <v>o</v>
      </c>
      <c r="AL1385" t="str">
        <f t="shared" si="1137"/>
        <v>o</v>
      </c>
      <c r="AN1385" t="s">
        <v>861</v>
      </c>
      <c r="AO1385" t="str">
        <f t="shared" si="1138"/>
        <v>h</v>
      </c>
      <c r="AP1385" t="str">
        <f t="shared" si="1146"/>
        <v>o</v>
      </c>
      <c r="AQ1385" t="str">
        <f t="shared" si="1147"/>
        <v/>
      </c>
      <c r="AR1385" t="str">
        <f t="shared" si="1148"/>
        <v>Home</v>
      </c>
      <c r="AS1385" t="str">
        <f t="shared" si="1149"/>
        <v>h</v>
      </c>
      <c r="AT1385" t="str">
        <f t="shared" si="1150"/>
        <v>Offensive</v>
      </c>
      <c r="BA1385" s="6">
        <f t="shared" si="1139"/>
        <v>318</v>
      </c>
      <c r="BB1385">
        <f t="shared" si="1140"/>
        <v>18981</v>
      </c>
      <c r="BC1385" t="str">
        <f t="shared" si="1141"/>
        <v>Nelson</v>
      </c>
      <c r="BD1385" t="str">
        <f t="shared" si="1142"/>
        <v>Velodrome</v>
      </c>
      <c r="BE1385" t="s">
        <v>238</v>
      </c>
      <c r="BF1385" t="s">
        <v>174</v>
      </c>
      <c r="BG1385" t="s">
        <v>85</v>
      </c>
      <c r="BI1385" cm="1">
        <f t="array" ref="BI1385">IFERROR(_xlfn._xlws.FILTER(shifts!A:A,(shifts!B:B=events!AD1385)*(shifts!AG:AG&gt;=events!BK1385)*(shifts!AH:AH&lt;=events!BL1385)),BI1384)</f>
        <v>62</v>
      </c>
      <c r="BJ1385" s="15">
        <f t="shared" si="1143"/>
        <v>3</v>
      </c>
      <c r="BK1385">
        <f t="shared" si="1151"/>
        <v>298</v>
      </c>
      <c r="BL1385">
        <f t="shared" si="1152"/>
        <v>295</v>
      </c>
      <c r="BM1385" s="15">
        <f>SUMIFS(BJ$2:BJ1385,K$2:K1385,"=Intermission")+SUMIFS(BJ$2:BJ1385,K$2:K1385,"=Timeout")</f>
        <v>72</v>
      </c>
      <c r="BN1385">
        <f t="shared" si="1153"/>
        <v>1152</v>
      </c>
      <c r="BO1385" s="19">
        <f t="shared" si="1154"/>
        <v>1934</v>
      </c>
      <c r="BP1385">
        <f t="shared" si="1155"/>
        <v>1929</v>
      </c>
      <c r="BQ1385" s="17">
        <f t="shared" si="1156"/>
        <v>1937</v>
      </c>
      <c r="BR1385" t="str">
        <f t="shared" si="1157"/>
        <v>event_team_player_1</v>
      </c>
      <c r="BS1385">
        <f>COUNTIFS(S$3:S1385,"="&amp;S1385,AI$3:AI1385,"="&amp;AI1385)</f>
        <v>1</v>
      </c>
      <c r="BT1385" t="str">
        <f>IFERROR(VLOOKUP(BB1385&amp;BU1385&amp;X1385,game_rosters!U:W,3,FALSE),"")</f>
        <v>P100066</v>
      </c>
      <c r="BU1385" t="str">
        <f t="shared" si="1158"/>
        <v>Nelson</v>
      </c>
    </row>
    <row r="1386" spans="1:73" x14ac:dyDescent="0.2">
      <c r="A1386">
        <f t="shared" si="1144"/>
        <v>1</v>
      </c>
      <c r="J1386" s="44" t="str">
        <f t="shared" si="1159"/>
        <v>o</v>
      </c>
      <c r="K1386" t="s">
        <v>238</v>
      </c>
      <c r="L1386" t="s">
        <v>174</v>
      </c>
      <c r="M1386" t="s">
        <v>85</v>
      </c>
      <c r="S1386">
        <v>748</v>
      </c>
      <c r="W1386" t="str">
        <f t="shared" si="1135"/>
        <v>h</v>
      </c>
      <c r="X1386">
        <v>15</v>
      </c>
      <c r="Y1386" t="b">
        <f>IF(X1386&lt;&gt;"",VLOOKUP(X1386,game_rosters!$C$43:$E$64,3,FALSE))</f>
        <v>0</v>
      </c>
      <c r="Z1386" cm="1">
        <f t="array" ref="Z1386">IFERROR(IF(_xlfn._xlws.FILTER(game_rosters!$J:$J,(game_rosters!$G:$G=events!$AN1386)*(game_rosters!$J:$J=events!$X1386))&gt;0,1,""),"")</f>
        <v>1</v>
      </c>
      <c r="AA1386">
        <f t="shared" si="1183"/>
        <v>1748</v>
      </c>
      <c r="AB1386" t="str">
        <f t="shared" si="1184"/>
        <v/>
      </c>
      <c r="AC1386">
        <f t="shared" si="1132"/>
        <v>1748</v>
      </c>
      <c r="AD1386" s="6">
        <v>2</v>
      </c>
      <c r="AE1386" t="s">
        <v>941</v>
      </c>
      <c r="AF1386" t="s">
        <v>932</v>
      </c>
      <c r="AG1386" t="s">
        <v>941</v>
      </c>
      <c r="AH1386" t="s">
        <v>753</v>
      </c>
      <c r="AI1386" t="s">
        <v>367</v>
      </c>
      <c r="AJ1386" t="str">
        <f t="shared" ref="AJ1386:AK1386" si="1198">IF($J1386&lt;&gt;"",$J1386,IF($AC1386=$AC1385,AJ1385,""))</f>
        <v>o</v>
      </c>
      <c r="AK1386" t="str">
        <f t="shared" si="1198"/>
        <v>o</v>
      </c>
      <c r="AL1386" t="str">
        <f t="shared" si="1137"/>
        <v>o</v>
      </c>
      <c r="AN1386" t="s">
        <v>861</v>
      </c>
      <c r="AO1386" t="str">
        <f t="shared" si="1138"/>
        <v>h</v>
      </c>
      <c r="AP1386" t="str">
        <f t="shared" si="1146"/>
        <v>o</v>
      </c>
      <c r="AQ1386" t="str">
        <f t="shared" si="1147"/>
        <v/>
      </c>
      <c r="AR1386" t="str">
        <f t="shared" si="1148"/>
        <v>Home</v>
      </c>
      <c r="AS1386" t="str">
        <f t="shared" si="1149"/>
        <v>h</v>
      </c>
      <c r="AT1386" t="str">
        <f t="shared" si="1150"/>
        <v>Offensive</v>
      </c>
      <c r="BA1386" s="6">
        <f t="shared" si="1139"/>
        <v>319</v>
      </c>
      <c r="BB1386">
        <f t="shared" si="1140"/>
        <v>18981</v>
      </c>
      <c r="BC1386" t="str">
        <f t="shared" si="1141"/>
        <v>Nelson</v>
      </c>
      <c r="BD1386" t="str">
        <f t="shared" si="1142"/>
        <v>Velodrome</v>
      </c>
      <c r="BE1386" t="s">
        <v>238</v>
      </c>
      <c r="BF1386" t="s">
        <v>174</v>
      </c>
      <c r="BG1386" t="s">
        <v>85</v>
      </c>
      <c r="BI1386" cm="1">
        <f t="array" ref="BI1386">IFERROR(_xlfn._xlws.FILTER(shifts!A:A,(shifts!B:B=events!AD1386)*(shifts!AG:AG&gt;=events!BK1386)*(shifts!AH:AH&lt;=events!BL1386)),BI1385)</f>
        <v>62</v>
      </c>
      <c r="BJ1386" s="15">
        <f t="shared" si="1143"/>
        <v>3</v>
      </c>
      <c r="BK1386">
        <f t="shared" si="1151"/>
        <v>298</v>
      </c>
      <c r="BL1386">
        <f t="shared" si="1152"/>
        <v>295</v>
      </c>
      <c r="BM1386" s="15">
        <f>SUMIFS(BJ$2:BJ1386,K$2:K1386,"=Intermission")+SUMIFS(BJ$2:BJ1386,K$2:K1386,"=Timeout")</f>
        <v>72</v>
      </c>
      <c r="BN1386">
        <f t="shared" si="1153"/>
        <v>1152</v>
      </c>
      <c r="BO1386" s="19">
        <f t="shared" si="1154"/>
        <v>1934</v>
      </c>
      <c r="BP1386">
        <f t="shared" si="1155"/>
        <v>1929</v>
      </c>
      <c r="BQ1386" s="17">
        <f t="shared" si="1156"/>
        <v>1937</v>
      </c>
      <c r="BR1386" t="str">
        <f t="shared" si="1157"/>
        <v>event_team_player_2</v>
      </c>
      <c r="BS1386">
        <f>COUNTIFS(S$3:S1386,"="&amp;S1386,AI$3:AI1386,"="&amp;AI1386)</f>
        <v>2</v>
      </c>
      <c r="BT1386" t="str">
        <f>IFERROR(VLOOKUP(BB1386&amp;BU1386&amp;X1386,game_rosters!U:W,3,FALSE),"")</f>
        <v>P100071</v>
      </c>
      <c r="BU1386" t="str">
        <f t="shared" si="1158"/>
        <v>Nelson</v>
      </c>
    </row>
    <row r="1387" spans="1:73" x14ac:dyDescent="0.2">
      <c r="A1387">
        <f t="shared" si="1144"/>
        <v>1</v>
      </c>
      <c r="J1387" s="44" t="str">
        <f t="shared" si="1159"/>
        <v>o</v>
      </c>
      <c r="K1387" t="s">
        <v>238</v>
      </c>
      <c r="L1387" t="s">
        <v>174</v>
      </c>
      <c r="M1387" t="s">
        <v>85</v>
      </c>
      <c r="S1387">
        <v>748</v>
      </c>
      <c r="W1387" t="str">
        <f t="shared" si="1135"/>
        <v>h</v>
      </c>
      <c r="X1387">
        <v>16</v>
      </c>
      <c r="Y1387" t="b">
        <f>IF(X1387&lt;&gt;"",VLOOKUP(X1387,game_rosters!$C$43:$E$64,3,FALSE))</f>
        <v>0</v>
      </c>
      <c r="Z1387" cm="1">
        <f t="array" ref="Z1387">IFERROR(IF(_xlfn._xlws.FILTER(game_rosters!$J:$J,(game_rosters!$G:$G=events!$AN1387)*(game_rosters!$J:$J=events!$X1387))&gt;0,1,""),"")</f>
        <v>1</v>
      </c>
      <c r="AA1387">
        <f t="shared" si="1183"/>
        <v>1748</v>
      </c>
      <c r="AB1387" t="str">
        <f t="shared" si="1184"/>
        <v/>
      </c>
      <c r="AC1387">
        <f t="shared" si="1132"/>
        <v>1748</v>
      </c>
      <c r="AD1387" s="6">
        <v>2</v>
      </c>
      <c r="AE1387" t="s">
        <v>941</v>
      </c>
      <c r="AF1387" t="s">
        <v>932</v>
      </c>
      <c r="AG1387" t="s">
        <v>941</v>
      </c>
      <c r="AH1387" t="s">
        <v>753</v>
      </c>
      <c r="AI1387" t="s">
        <v>367</v>
      </c>
      <c r="AJ1387" t="str">
        <f t="shared" ref="AJ1387:AK1387" si="1199">IF($J1387&lt;&gt;"",$J1387,IF($AC1387=$AC1386,AJ1386,""))</f>
        <v>o</v>
      </c>
      <c r="AK1387" t="str">
        <f t="shared" si="1199"/>
        <v>o</v>
      </c>
      <c r="AL1387" t="str">
        <f t="shared" si="1137"/>
        <v>o</v>
      </c>
      <c r="AN1387" t="s">
        <v>861</v>
      </c>
      <c r="AO1387" t="str">
        <f t="shared" si="1138"/>
        <v>h</v>
      </c>
      <c r="AP1387" t="str">
        <f t="shared" si="1146"/>
        <v>o</v>
      </c>
      <c r="AQ1387" t="str">
        <f t="shared" si="1147"/>
        <v/>
      </c>
      <c r="AR1387" t="str">
        <f t="shared" si="1148"/>
        <v>Home</v>
      </c>
      <c r="AS1387" t="str">
        <f t="shared" si="1149"/>
        <v>h</v>
      </c>
      <c r="AT1387" t="str">
        <f t="shared" si="1150"/>
        <v>Offensive</v>
      </c>
      <c r="BA1387" s="6">
        <f t="shared" si="1139"/>
        <v>320</v>
      </c>
      <c r="BB1387">
        <f t="shared" si="1140"/>
        <v>18981</v>
      </c>
      <c r="BC1387" t="str">
        <f t="shared" si="1141"/>
        <v>Nelson</v>
      </c>
      <c r="BD1387" t="str">
        <f t="shared" si="1142"/>
        <v>Velodrome</v>
      </c>
      <c r="BE1387" t="s">
        <v>238</v>
      </c>
      <c r="BF1387" t="s">
        <v>174</v>
      </c>
      <c r="BG1387" t="s">
        <v>85</v>
      </c>
      <c r="BI1387" cm="1">
        <f t="array" ref="BI1387">IFERROR(_xlfn._xlws.FILTER(shifts!A:A,(shifts!B:B=events!AD1387)*(shifts!AG:AG&gt;=events!BK1387)*(shifts!AH:AH&lt;=events!BL1387)),BI1386)</f>
        <v>62</v>
      </c>
      <c r="BJ1387" s="15">
        <f t="shared" si="1143"/>
        <v>3</v>
      </c>
      <c r="BK1387">
        <f t="shared" si="1151"/>
        <v>298</v>
      </c>
      <c r="BL1387">
        <f t="shared" si="1152"/>
        <v>295</v>
      </c>
      <c r="BM1387" s="15">
        <f>SUMIFS(BJ$2:BJ1387,K$2:K1387,"=Intermission")+SUMIFS(BJ$2:BJ1387,K$2:K1387,"=Timeout")</f>
        <v>72</v>
      </c>
      <c r="BN1387">
        <f t="shared" si="1153"/>
        <v>1152</v>
      </c>
      <c r="BO1387" s="19">
        <f t="shared" si="1154"/>
        <v>1934</v>
      </c>
      <c r="BP1387">
        <f t="shared" si="1155"/>
        <v>1929</v>
      </c>
      <c r="BQ1387" s="17">
        <f t="shared" si="1156"/>
        <v>1937</v>
      </c>
      <c r="BR1387" t="str">
        <f t="shared" si="1157"/>
        <v>event_team_player_3</v>
      </c>
      <c r="BS1387">
        <f>COUNTIFS(S$3:S1387,"="&amp;S1387,AI$3:AI1387,"="&amp;AI1387)</f>
        <v>3</v>
      </c>
      <c r="BT1387" t="str">
        <f>IFERROR(VLOOKUP(BB1387&amp;BU1387&amp;X1387,game_rosters!U:W,3,FALSE),"")</f>
        <v>P100164</v>
      </c>
      <c r="BU1387" t="str">
        <f t="shared" si="1158"/>
        <v>Nelson</v>
      </c>
    </row>
    <row r="1388" spans="1:73" x14ac:dyDescent="0.2">
      <c r="A1388">
        <f t="shared" si="1144"/>
        <v>1</v>
      </c>
      <c r="J1388" s="44" t="str">
        <f t="shared" si="1159"/>
        <v>o</v>
      </c>
      <c r="K1388" t="s">
        <v>238</v>
      </c>
      <c r="L1388" t="s">
        <v>174</v>
      </c>
      <c r="M1388" t="s">
        <v>85</v>
      </c>
      <c r="S1388">
        <v>748</v>
      </c>
      <c r="W1388" t="str">
        <f t="shared" si="1135"/>
        <v>h</v>
      </c>
      <c r="X1388">
        <v>42</v>
      </c>
      <c r="Y1388" t="e">
        <f>IF(X1388&lt;&gt;"",VLOOKUP(X1388,game_rosters!$C$43:$E$64,3,FALSE))</f>
        <v>#N/A</v>
      </c>
      <c r="Z1388" t="str" cm="1">
        <f t="array" ref="Z1388">IFERROR(IF(_xlfn._xlws.FILTER(game_rosters!$J:$J,(game_rosters!$G:$G=events!$AN1388)*(game_rosters!$J:$J=events!$X1388))&gt;0,1,""),"")</f>
        <v/>
      </c>
      <c r="AA1388">
        <f t="shared" si="1183"/>
        <v>1748</v>
      </c>
      <c r="AB1388" t="str">
        <f t="shared" si="1184"/>
        <v/>
      </c>
      <c r="AC1388">
        <f t="shared" si="1132"/>
        <v>1748</v>
      </c>
      <c r="AD1388" s="6">
        <v>2</v>
      </c>
      <c r="AE1388" t="s">
        <v>941</v>
      </c>
      <c r="AF1388" t="s">
        <v>932</v>
      </c>
      <c r="AG1388" t="s">
        <v>941</v>
      </c>
      <c r="AH1388" t="s">
        <v>753</v>
      </c>
      <c r="AI1388" t="s">
        <v>368</v>
      </c>
      <c r="AJ1388" t="str">
        <f t="shared" ref="AJ1388:AK1388" si="1200">IF($J1388&lt;&gt;"",$J1388,IF($AC1388=$AC1387,AJ1387,""))</f>
        <v>o</v>
      </c>
      <c r="AK1388" t="str">
        <f t="shared" si="1200"/>
        <v>o</v>
      </c>
      <c r="AL1388" t="str">
        <f t="shared" si="1137"/>
        <v>o</v>
      </c>
      <c r="AN1388" t="s">
        <v>861</v>
      </c>
      <c r="AO1388" t="str">
        <f t="shared" si="1138"/>
        <v>h</v>
      </c>
      <c r="AP1388" t="str">
        <f t="shared" si="1146"/>
        <v>o</v>
      </c>
      <c r="AQ1388" t="str">
        <f t="shared" si="1147"/>
        <v/>
      </c>
      <c r="AR1388" t="str">
        <f t="shared" si="1148"/>
        <v>Home</v>
      </c>
      <c r="AS1388" t="str">
        <f t="shared" si="1149"/>
        <v>h</v>
      </c>
      <c r="AT1388" t="str">
        <f t="shared" si="1150"/>
        <v>Defensive</v>
      </c>
      <c r="BA1388" s="6">
        <f t="shared" si="1139"/>
        <v>321</v>
      </c>
      <c r="BB1388">
        <f t="shared" si="1140"/>
        <v>18981</v>
      </c>
      <c r="BC1388" t="str">
        <f t="shared" si="1141"/>
        <v>Nelson</v>
      </c>
      <c r="BD1388" t="str">
        <f t="shared" si="1142"/>
        <v>Velodrome</v>
      </c>
      <c r="BE1388" t="s">
        <v>238</v>
      </c>
      <c r="BF1388" t="s">
        <v>174</v>
      </c>
      <c r="BG1388" t="s">
        <v>85</v>
      </c>
      <c r="BI1388" cm="1">
        <f t="array" ref="BI1388">IFERROR(_xlfn._xlws.FILTER(shifts!A:A,(shifts!B:B=events!AD1388)*(shifts!AG:AG&gt;=events!BK1388)*(shifts!AH:AH&lt;=events!BL1388)),BI1387)</f>
        <v>62</v>
      </c>
      <c r="BJ1388" s="15">
        <f t="shared" si="1143"/>
        <v>3</v>
      </c>
      <c r="BK1388">
        <f t="shared" si="1151"/>
        <v>298</v>
      </c>
      <c r="BL1388">
        <f t="shared" si="1152"/>
        <v>295</v>
      </c>
      <c r="BM1388" s="15">
        <f>SUMIFS(BJ$2:BJ1388,K$2:K1388,"=Intermission")+SUMIFS(BJ$2:BJ1388,K$2:K1388,"=Timeout")</f>
        <v>72</v>
      </c>
      <c r="BN1388">
        <f t="shared" si="1153"/>
        <v>1152</v>
      </c>
      <c r="BO1388" s="19">
        <f t="shared" si="1154"/>
        <v>1934</v>
      </c>
      <c r="BP1388">
        <f t="shared" si="1155"/>
        <v>1929</v>
      </c>
      <c r="BQ1388" s="17">
        <f t="shared" si="1156"/>
        <v>1937</v>
      </c>
      <c r="BR1388" t="str">
        <f t="shared" si="1157"/>
        <v>opp_team_player_1</v>
      </c>
      <c r="BS1388">
        <f>COUNTIFS(S$3:S1388,"="&amp;S1388,AI$3:AI1388,"="&amp;AI1388)</f>
        <v>1</v>
      </c>
      <c r="BT1388" t="str">
        <f>IFERROR(VLOOKUP(BB1388&amp;BU1388&amp;X1388,game_rosters!U:W,3,FALSE),"")</f>
        <v>P100201</v>
      </c>
      <c r="BU1388" t="str">
        <f t="shared" si="1158"/>
        <v>Velodrome</v>
      </c>
    </row>
    <row r="1389" spans="1:73" x14ac:dyDescent="0.2">
      <c r="A1389">
        <f t="shared" si="1144"/>
        <v>1</v>
      </c>
      <c r="J1389" s="44" t="str">
        <f t="shared" si="1159"/>
        <v>o</v>
      </c>
      <c r="K1389" t="s">
        <v>238</v>
      </c>
      <c r="L1389" t="s">
        <v>174</v>
      </c>
      <c r="M1389" t="s">
        <v>85</v>
      </c>
      <c r="S1389">
        <v>748</v>
      </c>
      <c r="W1389" t="str">
        <f t="shared" si="1135"/>
        <v>h</v>
      </c>
      <c r="X1389">
        <v>84</v>
      </c>
      <c r="Y1389" t="e">
        <f>IF(X1389&lt;&gt;"",VLOOKUP(X1389,game_rosters!$C$43:$E$64,3,FALSE))</f>
        <v>#N/A</v>
      </c>
      <c r="Z1389" t="str" cm="1">
        <f t="array" ref="Z1389">IFERROR(IF(_xlfn._xlws.FILTER(game_rosters!$J:$J,(game_rosters!$G:$G=events!$AN1389)*(game_rosters!$J:$J=events!$X1389))&gt;0,1,""),"")</f>
        <v/>
      </c>
      <c r="AA1389">
        <f t="shared" si="1183"/>
        <v>1748</v>
      </c>
      <c r="AB1389" t="str">
        <f t="shared" si="1184"/>
        <v/>
      </c>
      <c r="AC1389">
        <f t="shared" si="1132"/>
        <v>1748</v>
      </c>
      <c r="AD1389" s="6">
        <v>2</v>
      </c>
      <c r="AE1389" t="s">
        <v>941</v>
      </c>
      <c r="AF1389" t="s">
        <v>932</v>
      </c>
      <c r="AG1389" t="s">
        <v>941</v>
      </c>
      <c r="AH1389" t="s">
        <v>753</v>
      </c>
      <c r="AI1389" t="s">
        <v>368</v>
      </c>
      <c r="AJ1389" t="str">
        <f t="shared" ref="AJ1389:AK1389" si="1201">IF($J1389&lt;&gt;"",$J1389,IF($AC1389=$AC1388,AJ1388,""))</f>
        <v>o</v>
      </c>
      <c r="AK1389" t="str">
        <f t="shared" si="1201"/>
        <v>o</v>
      </c>
      <c r="AL1389" t="str">
        <f t="shared" si="1137"/>
        <v>o</v>
      </c>
      <c r="AN1389" t="s">
        <v>861</v>
      </c>
      <c r="AO1389" t="str">
        <f t="shared" si="1138"/>
        <v>h</v>
      </c>
      <c r="AP1389" t="str">
        <f t="shared" si="1146"/>
        <v>o</v>
      </c>
      <c r="AQ1389" t="str">
        <f t="shared" si="1147"/>
        <v/>
      </c>
      <c r="AR1389" t="str">
        <f t="shared" si="1148"/>
        <v>Home</v>
      </c>
      <c r="AS1389" t="str">
        <f t="shared" si="1149"/>
        <v>h</v>
      </c>
      <c r="AT1389" t="str">
        <f t="shared" si="1150"/>
        <v>Defensive</v>
      </c>
      <c r="BA1389" s="6">
        <f t="shared" si="1139"/>
        <v>322</v>
      </c>
      <c r="BB1389">
        <f t="shared" si="1140"/>
        <v>18981</v>
      </c>
      <c r="BC1389" t="str">
        <f t="shared" si="1141"/>
        <v>Nelson</v>
      </c>
      <c r="BD1389" t="str">
        <f t="shared" si="1142"/>
        <v>Velodrome</v>
      </c>
      <c r="BE1389" t="s">
        <v>238</v>
      </c>
      <c r="BF1389" t="s">
        <v>174</v>
      </c>
      <c r="BG1389" t="s">
        <v>85</v>
      </c>
      <c r="BI1389" cm="1">
        <f t="array" ref="BI1389">IFERROR(_xlfn._xlws.FILTER(shifts!A:A,(shifts!B:B=events!AD1389)*(shifts!AG:AG&gt;=events!BK1389)*(shifts!AH:AH&lt;=events!BL1389)),BI1388)</f>
        <v>62</v>
      </c>
      <c r="BJ1389" s="15">
        <f t="shared" si="1143"/>
        <v>3</v>
      </c>
      <c r="BK1389">
        <f t="shared" si="1151"/>
        <v>298</v>
      </c>
      <c r="BL1389">
        <f t="shared" si="1152"/>
        <v>295</v>
      </c>
      <c r="BM1389" s="15">
        <f>SUMIFS(BJ$2:BJ1389,K$2:K1389,"=Intermission")+SUMIFS(BJ$2:BJ1389,K$2:K1389,"=Timeout")</f>
        <v>72</v>
      </c>
      <c r="BN1389">
        <f t="shared" si="1153"/>
        <v>1152</v>
      </c>
      <c r="BO1389" s="19">
        <f t="shared" si="1154"/>
        <v>1934</v>
      </c>
      <c r="BP1389">
        <f t="shared" si="1155"/>
        <v>1929</v>
      </c>
      <c r="BQ1389" s="17">
        <f t="shared" si="1156"/>
        <v>1937</v>
      </c>
      <c r="BR1389" t="str">
        <f t="shared" si="1157"/>
        <v>opp_team_player_2</v>
      </c>
      <c r="BS1389">
        <f>COUNTIFS(S$3:S1389,"="&amp;S1389,AI$3:AI1389,"="&amp;AI1389)</f>
        <v>2</v>
      </c>
      <c r="BT1389" t="str">
        <f>IFERROR(VLOOKUP(BB1389&amp;BU1389&amp;X1389,game_rosters!U:W,3,FALSE),"")</f>
        <v>P100198</v>
      </c>
      <c r="BU1389" t="str">
        <f t="shared" si="1158"/>
        <v>Velodrome</v>
      </c>
    </row>
    <row r="1390" spans="1:73" x14ac:dyDescent="0.2">
      <c r="A1390">
        <f t="shared" si="1144"/>
        <v>1</v>
      </c>
      <c r="J1390" s="44" t="str">
        <f t="shared" si="1159"/>
        <v>o</v>
      </c>
      <c r="K1390" t="s">
        <v>238</v>
      </c>
      <c r="L1390" t="s">
        <v>174</v>
      </c>
      <c r="M1390" t="s">
        <v>85</v>
      </c>
      <c r="S1390">
        <v>748</v>
      </c>
      <c r="W1390" t="str">
        <f t="shared" si="1135"/>
        <v>h</v>
      </c>
      <c r="X1390">
        <v>9</v>
      </c>
      <c r="Y1390" t="e">
        <f>IF(X1390&lt;&gt;"",VLOOKUP(X1390,game_rosters!$C$43:$E$64,3,FALSE))</f>
        <v>#N/A</v>
      </c>
      <c r="Z1390" t="str" cm="1">
        <f t="array" ref="Z1390">IFERROR(IF(_xlfn._xlws.FILTER(game_rosters!$J:$J,(game_rosters!$G:$G=events!$AN1390)*(game_rosters!$J:$J=events!$X1390))&gt;0,1,""),"")</f>
        <v/>
      </c>
      <c r="AA1390">
        <f t="shared" si="1183"/>
        <v>1748</v>
      </c>
      <c r="AB1390" t="str">
        <f t="shared" si="1184"/>
        <v/>
      </c>
      <c r="AC1390">
        <f t="shared" si="1132"/>
        <v>1748</v>
      </c>
      <c r="AD1390" s="6">
        <v>2</v>
      </c>
      <c r="AE1390" t="s">
        <v>941</v>
      </c>
      <c r="AF1390" t="s">
        <v>932</v>
      </c>
      <c r="AG1390" t="s">
        <v>941</v>
      </c>
      <c r="AH1390" t="s">
        <v>753</v>
      </c>
      <c r="AI1390" t="s">
        <v>368</v>
      </c>
      <c r="AJ1390" t="str">
        <f t="shared" ref="AJ1390:AK1390" si="1202">IF($J1390&lt;&gt;"",$J1390,IF($AC1390=$AC1389,AJ1389,""))</f>
        <v>o</v>
      </c>
      <c r="AK1390" t="str">
        <f t="shared" si="1202"/>
        <v>o</v>
      </c>
      <c r="AL1390" t="str">
        <f t="shared" si="1137"/>
        <v>o</v>
      </c>
      <c r="AN1390" t="s">
        <v>861</v>
      </c>
      <c r="AO1390" t="str">
        <f t="shared" si="1138"/>
        <v>h</v>
      </c>
      <c r="AP1390" t="str">
        <f t="shared" si="1146"/>
        <v>o</v>
      </c>
      <c r="AQ1390" t="str">
        <f t="shared" si="1147"/>
        <v/>
      </c>
      <c r="AR1390" t="str">
        <f t="shared" si="1148"/>
        <v>Home</v>
      </c>
      <c r="AS1390" t="str">
        <f t="shared" si="1149"/>
        <v>h</v>
      </c>
      <c r="AT1390" t="str">
        <f t="shared" si="1150"/>
        <v>Defensive</v>
      </c>
      <c r="BA1390" s="6">
        <f t="shared" si="1139"/>
        <v>323</v>
      </c>
      <c r="BB1390">
        <f t="shared" si="1140"/>
        <v>18981</v>
      </c>
      <c r="BC1390" t="str">
        <f t="shared" si="1141"/>
        <v>Nelson</v>
      </c>
      <c r="BD1390" t="str">
        <f t="shared" si="1142"/>
        <v>Velodrome</v>
      </c>
      <c r="BE1390" t="s">
        <v>238</v>
      </c>
      <c r="BF1390" t="s">
        <v>174</v>
      </c>
      <c r="BG1390" t="s">
        <v>85</v>
      </c>
      <c r="BI1390" cm="1">
        <f t="array" ref="BI1390">IFERROR(_xlfn._xlws.FILTER(shifts!A:A,(shifts!B:B=events!AD1390)*(shifts!AG:AG&gt;=events!BK1390)*(shifts!AH:AH&lt;=events!BL1390)),BI1389)</f>
        <v>62</v>
      </c>
      <c r="BJ1390" s="15">
        <f t="shared" si="1143"/>
        <v>3</v>
      </c>
      <c r="BK1390">
        <f t="shared" si="1151"/>
        <v>298</v>
      </c>
      <c r="BL1390">
        <f t="shared" si="1152"/>
        <v>295</v>
      </c>
      <c r="BM1390" s="15">
        <f>SUMIFS(BJ$2:BJ1390,K$2:K1390,"=Intermission")+SUMIFS(BJ$2:BJ1390,K$2:K1390,"=Timeout")</f>
        <v>72</v>
      </c>
      <c r="BN1390">
        <f t="shared" si="1153"/>
        <v>1152</v>
      </c>
      <c r="BO1390" s="19">
        <f t="shared" si="1154"/>
        <v>1934</v>
      </c>
      <c r="BP1390">
        <f t="shared" si="1155"/>
        <v>1929</v>
      </c>
      <c r="BQ1390" s="17">
        <f t="shared" si="1156"/>
        <v>1937</v>
      </c>
      <c r="BR1390" t="str">
        <f t="shared" si="1157"/>
        <v>opp_team_player_3</v>
      </c>
      <c r="BS1390">
        <f>COUNTIFS(S$3:S1390,"="&amp;S1390,AI$3:AI1390,"="&amp;AI1390)</f>
        <v>3</v>
      </c>
      <c r="BT1390" t="str">
        <f>IFERROR(VLOOKUP(BB1390&amp;BU1390&amp;X1390,game_rosters!U:W,3,FALSE),"")</f>
        <v>P100105</v>
      </c>
      <c r="BU1390" t="str">
        <f t="shared" si="1158"/>
        <v>Velodrome</v>
      </c>
    </row>
    <row r="1391" spans="1:73" x14ac:dyDescent="0.2">
      <c r="A1391">
        <f t="shared" si="1144"/>
        <v>1</v>
      </c>
      <c r="J1391" s="44" t="str">
        <f t="shared" si="1159"/>
        <v>o</v>
      </c>
      <c r="K1391" t="s">
        <v>6</v>
      </c>
      <c r="L1391" t="s">
        <v>205</v>
      </c>
      <c r="M1391" t="s">
        <v>51</v>
      </c>
      <c r="S1391">
        <v>749</v>
      </c>
      <c r="W1391" t="str">
        <f t="shared" si="1135"/>
        <v>h</v>
      </c>
      <c r="X1391">
        <v>79</v>
      </c>
      <c r="Y1391" t="b">
        <f>IF(X1391&lt;&gt;"",VLOOKUP(X1391,game_rosters!$C$43:$E$64,3,FALSE))</f>
        <v>0</v>
      </c>
      <c r="Z1391" cm="1">
        <f t="array" ref="Z1391">IFERROR(IF(_xlfn._xlws.FILTER(game_rosters!$J:$J,(game_rosters!$G:$G=events!$AN1391)*(game_rosters!$J:$J=events!$X1391))&gt;0,1,""),"")</f>
        <v>1</v>
      </c>
      <c r="AA1391">
        <f t="shared" si="1183"/>
        <v>1749</v>
      </c>
      <c r="AB1391" t="str">
        <f t="shared" si="1184"/>
        <v/>
      </c>
      <c r="AC1391">
        <f t="shared" si="1132"/>
        <v>1749</v>
      </c>
      <c r="AD1391" s="6">
        <v>2</v>
      </c>
      <c r="AE1391" t="s">
        <v>941</v>
      </c>
      <c r="AF1391" t="s">
        <v>753</v>
      </c>
      <c r="AG1391" t="s">
        <v>756</v>
      </c>
      <c r="AH1391" t="s">
        <v>756</v>
      </c>
      <c r="AI1391" t="s">
        <v>367</v>
      </c>
      <c r="AJ1391" t="str">
        <f t="shared" ref="AJ1391:AK1391" si="1203">IF($J1391&lt;&gt;"",$J1391,IF($AC1391=$AC1390,AJ1390,""))</f>
        <v>o</v>
      </c>
      <c r="AK1391" t="str">
        <f t="shared" si="1203"/>
        <v>o</v>
      </c>
      <c r="AL1391" t="str">
        <f t="shared" si="1137"/>
        <v>o</v>
      </c>
      <c r="AN1391" t="s">
        <v>861</v>
      </c>
      <c r="AO1391" t="str">
        <f t="shared" si="1138"/>
        <v>h</v>
      </c>
      <c r="AP1391" t="str">
        <f t="shared" si="1146"/>
        <v>o</v>
      </c>
      <c r="AQ1391" t="str">
        <f t="shared" si="1147"/>
        <v/>
      </c>
      <c r="AR1391" t="str">
        <f t="shared" si="1148"/>
        <v>Home</v>
      </c>
      <c r="AS1391" t="str">
        <f t="shared" si="1149"/>
        <v>h</v>
      </c>
      <c r="AT1391" t="str">
        <f t="shared" si="1150"/>
        <v>Offensive</v>
      </c>
      <c r="BA1391" s="6">
        <f t="shared" si="1139"/>
        <v>323</v>
      </c>
      <c r="BB1391">
        <f t="shared" si="1140"/>
        <v>18981</v>
      </c>
      <c r="BC1391" t="str">
        <f t="shared" si="1141"/>
        <v>Nelson</v>
      </c>
      <c r="BD1391" t="str">
        <f t="shared" si="1142"/>
        <v>Velodrome</v>
      </c>
      <c r="BE1391" t="s">
        <v>6</v>
      </c>
      <c r="BF1391" t="s">
        <v>205</v>
      </c>
      <c r="BG1391" t="s">
        <v>51</v>
      </c>
      <c r="BI1391" cm="1">
        <f t="array" ref="BI1391">IFERROR(_xlfn._xlws.FILTER(shifts!A:A,(shifts!B:B=events!AD1391)*(shifts!AG:AG&gt;=events!BK1391)*(shifts!AH:AH&lt;=events!BL1391)),BI1390)</f>
        <v>62</v>
      </c>
      <c r="BJ1391" s="15">
        <f t="shared" si="1143"/>
        <v>0</v>
      </c>
      <c r="BK1391">
        <f t="shared" si="1151"/>
        <v>295</v>
      </c>
      <c r="BL1391">
        <f t="shared" si="1152"/>
        <v>295</v>
      </c>
      <c r="BM1391" s="15">
        <f>SUMIFS(BJ$2:BJ1391,K$2:K1391,"=Intermission")+SUMIFS(BJ$2:BJ1391,K$2:K1391,"=Timeout")</f>
        <v>72</v>
      </c>
      <c r="BN1391">
        <f t="shared" si="1153"/>
        <v>1152</v>
      </c>
      <c r="BO1391" s="19">
        <f t="shared" si="1154"/>
        <v>1937</v>
      </c>
      <c r="BP1391">
        <f t="shared" si="1155"/>
        <v>1932</v>
      </c>
      <c r="BQ1391" s="17">
        <f t="shared" si="1156"/>
        <v>1937</v>
      </c>
      <c r="BR1391" t="str">
        <f t="shared" si="1157"/>
        <v>event_team_player_1</v>
      </c>
      <c r="BS1391">
        <f>COUNTIFS(S$3:S1391,"="&amp;S1391,AI$3:AI1391,"="&amp;AI1391)</f>
        <v>1</v>
      </c>
      <c r="BT1391" t="str">
        <f>IFERROR(VLOOKUP(BB1391&amp;BU1391&amp;X1391,game_rosters!U:W,3,FALSE),"")</f>
        <v>P100066</v>
      </c>
      <c r="BU1391" t="str">
        <f t="shared" si="1158"/>
        <v>Nelson</v>
      </c>
    </row>
    <row r="1392" spans="1:73" x14ac:dyDescent="0.2">
      <c r="A1392">
        <f t="shared" si="1144"/>
        <v>1</v>
      </c>
      <c r="J1392" s="44" t="str">
        <f t="shared" si="1159"/>
        <v>o</v>
      </c>
      <c r="K1392" t="s">
        <v>6</v>
      </c>
      <c r="L1392" t="s">
        <v>205</v>
      </c>
      <c r="M1392" t="s">
        <v>51</v>
      </c>
      <c r="S1392">
        <v>749</v>
      </c>
      <c r="W1392" t="str">
        <f t="shared" si="1135"/>
        <v>h</v>
      </c>
      <c r="X1392">
        <v>39</v>
      </c>
      <c r="Y1392" t="e">
        <f>IF(X1392&lt;&gt;"",VLOOKUP(X1392,game_rosters!$C$43:$E$64,3,FALSE))</f>
        <v>#N/A</v>
      </c>
      <c r="Z1392" t="str" cm="1">
        <f t="array" ref="Z1392">IFERROR(IF(_xlfn._xlws.FILTER(game_rosters!$J:$J,(game_rosters!$G:$G=events!$AN1392)*(game_rosters!$J:$J=events!$X1392))&gt;0,1,""),"")</f>
        <v/>
      </c>
      <c r="AA1392">
        <f t="shared" si="1183"/>
        <v>1749</v>
      </c>
      <c r="AB1392" t="str">
        <f t="shared" si="1184"/>
        <v/>
      </c>
      <c r="AC1392">
        <f t="shared" si="1132"/>
        <v>1749</v>
      </c>
      <c r="AD1392" s="6">
        <v>2</v>
      </c>
      <c r="AE1392" t="s">
        <v>941</v>
      </c>
      <c r="AF1392" t="s">
        <v>753</v>
      </c>
      <c r="AG1392" t="s">
        <v>756</v>
      </c>
      <c r="AH1392" t="s">
        <v>756</v>
      </c>
      <c r="AI1392" t="s">
        <v>368</v>
      </c>
      <c r="AJ1392" t="str">
        <f t="shared" ref="AJ1392:AK1392" si="1204">IF($J1392&lt;&gt;"",$J1392,IF($AC1392=$AC1391,AJ1391,""))</f>
        <v>o</v>
      </c>
      <c r="AK1392" t="str">
        <f t="shared" si="1204"/>
        <v>o</v>
      </c>
      <c r="AL1392" t="str">
        <f t="shared" si="1137"/>
        <v>o</v>
      </c>
      <c r="AN1392" t="s">
        <v>861</v>
      </c>
      <c r="AO1392" t="str">
        <f t="shared" si="1138"/>
        <v>h</v>
      </c>
      <c r="AP1392" t="str">
        <f t="shared" si="1146"/>
        <v>o</v>
      </c>
      <c r="AQ1392" t="str">
        <f t="shared" si="1147"/>
        <v/>
      </c>
      <c r="AR1392" t="str">
        <f t="shared" si="1148"/>
        <v>Home</v>
      </c>
      <c r="AS1392" t="str">
        <f t="shared" si="1149"/>
        <v>h</v>
      </c>
      <c r="AT1392" t="str">
        <f t="shared" si="1150"/>
        <v>Defensive</v>
      </c>
      <c r="BA1392" s="6">
        <f t="shared" si="1139"/>
        <v>323</v>
      </c>
      <c r="BB1392">
        <f t="shared" si="1140"/>
        <v>18981</v>
      </c>
      <c r="BC1392" t="str">
        <f t="shared" si="1141"/>
        <v>Nelson</v>
      </c>
      <c r="BD1392" t="str">
        <f t="shared" si="1142"/>
        <v>Velodrome</v>
      </c>
      <c r="BE1392" t="s">
        <v>6</v>
      </c>
      <c r="BF1392" t="s">
        <v>205</v>
      </c>
      <c r="BG1392" t="s">
        <v>51</v>
      </c>
      <c r="BI1392" cm="1">
        <f t="array" ref="BI1392">IFERROR(_xlfn._xlws.FILTER(shifts!A:A,(shifts!B:B=events!AD1392)*(shifts!AG:AG&gt;=events!BK1392)*(shifts!AH:AH&lt;=events!BL1392)),BI1391)</f>
        <v>62</v>
      </c>
      <c r="BJ1392" s="15">
        <f t="shared" si="1143"/>
        <v>0</v>
      </c>
      <c r="BK1392">
        <f t="shared" si="1151"/>
        <v>295</v>
      </c>
      <c r="BL1392">
        <f t="shared" si="1152"/>
        <v>295</v>
      </c>
      <c r="BM1392" s="15">
        <f>SUMIFS(BJ$2:BJ1392,K$2:K1392,"=Intermission")+SUMIFS(BJ$2:BJ1392,K$2:K1392,"=Timeout")</f>
        <v>72</v>
      </c>
      <c r="BN1392">
        <f t="shared" si="1153"/>
        <v>1152</v>
      </c>
      <c r="BO1392" s="19">
        <f t="shared" si="1154"/>
        <v>1937</v>
      </c>
      <c r="BP1392">
        <f t="shared" si="1155"/>
        <v>1932</v>
      </c>
      <c r="BQ1392" s="17">
        <f t="shared" si="1156"/>
        <v>1937</v>
      </c>
      <c r="BR1392" t="str">
        <f t="shared" si="1157"/>
        <v>opp_team_player_1</v>
      </c>
      <c r="BS1392">
        <f>COUNTIFS(S$3:S1392,"="&amp;S1392,AI$3:AI1392,"="&amp;AI1392)</f>
        <v>1</v>
      </c>
      <c r="BT1392" t="str">
        <f>IFERROR(VLOOKUP(BB1392&amp;BU1392&amp;X1392,game_rosters!U:W,3,FALSE),"")</f>
        <v>P100016</v>
      </c>
      <c r="BU1392" t="str">
        <f t="shared" si="1158"/>
        <v>Velodrome</v>
      </c>
    </row>
    <row r="1393" spans="1:73" x14ac:dyDescent="0.2">
      <c r="A1393">
        <f t="shared" si="1144"/>
        <v>1</v>
      </c>
      <c r="J1393" s="44" t="str">
        <f t="shared" si="1159"/>
        <v>o</v>
      </c>
      <c r="K1393" t="s">
        <v>6</v>
      </c>
      <c r="L1393" t="s">
        <v>205</v>
      </c>
      <c r="M1393" t="s">
        <v>51</v>
      </c>
      <c r="S1393">
        <v>749</v>
      </c>
      <c r="W1393" t="str">
        <f t="shared" si="1135"/>
        <v>h</v>
      </c>
      <c r="X1393">
        <v>84</v>
      </c>
      <c r="Y1393" t="e">
        <f>IF(X1393&lt;&gt;"",VLOOKUP(X1393,game_rosters!$C$43:$E$64,3,FALSE))</f>
        <v>#N/A</v>
      </c>
      <c r="Z1393" t="str" cm="1">
        <f t="array" ref="Z1393">IFERROR(IF(_xlfn._xlws.FILTER(game_rosters!$J:$J,(game_rosters!$G:$G=events!$AN1393)*(game_rosters!$J:$J=events!$X1393))&gt;0,1,""),"")</f>
        <v/>
      </c>
      <c r="AA1393">
        <f t="shared" si="1183"/>
        <v>1749</v>
      </c>
      <c r="AB1393" t="str">
        <f t="shared" si="1184"/>
        <v/>
      </c>
      <c r="AC1393">
        <f t="shared" si="1132"/>
        <v>1749</v>
      </c>
      <c r="AD1393" s="6">
        <v>2</v>
      </c>
      <c r="AE1393" t="s">
        <v>941</v>
      </c>
      <c r="AF1393" t="s">
        <v>753</v>
      </c>
      <c r="AG1393" t="s">
        <v>756</v>
      </c>
      <c r="AH1393" t="s">
        <v>756</v>
      </c>
      <c r="AI1393" t="s">
        <v>368</v>
      </c>
      <c r="AJ1393" t="str">
        <f t="shared" ref="AJ1393:AK1393" si="1205">IF($J1393&lt;&gt;"",$J1393,IF($AC1393=$AC1392,AJ1392,""))</f>
        <v>o</v>
      </c>
      <c r="AK1393" t="str">
        <f t="shared" si="1205"/>
        <v>o</v>
      </c>
      <c r="AL1393" t="str">
        <f t="shared" si="1137"/>
        <v>o</v>
      </c>
      <c r="AN1393" t="s">
        <v>861</v>
      </c>
      <c r="AO1393" t="str">
        <f t="shared" si="1138"/>
        <v>h</v>
      </c>
      <c r="AP1393" t="str">
        <f t="shared" si="1146"/>
        <v>o</v>
      </c>
      <c r="AQ1393" t="str">
        <f t="shared" si="1147"/>
        <v/>
      </c>
      <c r="AR1393" t="str">
        <f t="shared" si="1148"/>
        <v>Home</v>
      </c>
      <c r="AS1393" t="str">
        <f t="shared" si="1149"/>
        <v>h</v>
      </c>
      <c r="AT1393" t="str">
        <f t="shared" si="1150"/>
        <v>Defensive</v>
      </c>
      <c r="BA1393" s="6">
        <f t="shared" si="1139"/>
        <v>323</v>
      </c>
      <c r="BB1393">
        <f t="shared" si="1140"/>
        <v>18981</v>
      </c>
      <c r="BC1393" t="str">
        <f t="shared" si="1141"/>
        <v>Nelson</v>
      </c>
      <c r="BD1393" t="str">
        <f t="shared" si="1142"/>
        <v>Velodrome</v>
      </c>
      <c r="BE1393" t="s">
        <v>6</v>
      </c>
      <c r="BF1393" t="s">
        <v>205</v>
      </c>
      <c r="BG1393" t="s">
        <v>51</v>
      </c>
      <c r="BI1393" cm="1">
        <f t="array" ref="BI1393">IFERROR(_xlfn._xlws.FILTER(shifts!A:A,(shifts!B:B=events!AD1393)*(shifts!AG:AG&gt;=events!BK1393)*(shifts!AH:AH&lt;=events!BL1393)),BI1392)</f>
        <v>62</v>
      </c>
      <c r="BJ1393" s="15">
        <f t="shared" si="1143"/>
        <v>0</v>
      </c>
      <c r="BK1393">
        <f t="shared" si="1151"/>
        <v>295</v>
      </c>
      <c r="BL1393">
        <f t="shared" si="1152"/>
        <v>295</v>
      </c>
      <c r="BM1393" s="15">
        <f>SUMIFS(BJ$2:BJ1393,K$2:K1393,"=Intermission")+SUMIFS(BJ$2:BJ1393,K$2:K1393,"=Timeout")</f>
        <v>72</v>
      </c>
      <c r="BN1393">
        <f t="shared" si="1153"/>
        <v>1152</v>
      </c>
      <c r="BO1393" s="19">
        <f t="shared" si="1154"/>
        <v>1937</v>
      </c>
      <c r="BP1393">
        <f t="shared" si="1155"/>
        <v>1932</v>
      </c>
      <c r="BQ1393" s="17">
        <f t="shared" si="1156"/>
        <v>1937</v>
      </c>
      <c r="BR1393" t="str">
        <f t="shared" si="1157"/>
        <v>opp_team_player_2</v>
      </c>
      <c r="BS1393">
        <f>COUNTIFS(S$3:S1393,"="&amp;S1393,AI$3:AI1393,"="&amp;AI1393)</f>
        <v>2</v>
      </c>
      <c r="BT1393" t="str">
        <f>IFERROR(VLOOKUP(BB1393&amp;BU1393&amp;X1393,game_rosters!U:W,3,FALSE),"")</f>
        <v>P100198</v>
      </c>
      <c r="BU1393" t="str">
        <f t="shared" si="1158"/>
        <v>Velodrome</v>
      </c>
    </row>
    <row r="1394" spans="1:73" x14ac:dyDescent="0.2">
      <c r="A1394">
        <f t="shared" si="1144"/>
        <v>1</v>
      </c>
      <c r="J1394" s="44" t="str">
        <f t="shared" si="1159"/>
        <v>d</v>
      </c>
      <c r="K1394" t="s">
        <v>15</v>
      </c>
      <c r="L1394" t="s">
        <v>179</v>
      </c>
      <c r="M1394" t="s">
        <v>97</v>
      </c>
      <c r="S1394">
        <v>750</v>
      </c>
      <c r="W1394" t="str">
        <f t="shared" si="1135"/>
        <v>a</v>
      </c>
      <c r="X1394">
        <v>39</v>
      </c>
      <c r="Y1394" t="e">
        <f>IF(X1394&lt;&gt;"",VLOOKUP(X1394,game_rosters!$C$43:$E$64,3,FALSE))</f>
        <v>#N/A</v>
      </c>
      <c r="Z1394" cm="1">
        <f t="array" ref="Z1394">IFERROR(IF(_xlfn._xlws.FILTER(game_rosters!$J:$J,(game_rosters!$G:$G=events!$AN1394)*(game_rosters!$J:$J=events!$X1394))&gt;0,1,""),"")</f>
        <v>1</v>
      </c>
      <c r="AA1394">
        <f t="shared" si="1183"/>
        <v>1750</v>
      </c>
      <c r="AB1394" t="str">
        <f t="shared" si="1184"/>
        <v/>
      </c>
      <c r="AC1394">
        <f t="shared" si="1132"/>
        <v>1750</v>
      </c>
      <c r="AD1394" s="6">
        <v>2</v>
      </c>
      <c r="AE1394" t="s">
        <v>941</v>
      </c>
      <c r="AF1394" t="s">
        <v>753</v>
      </c>
      <c r="AG1394" t="s">
        <v>756</v>
      </c>
      <c r="AH1394" t="s">
        <v>756</v>
      </c>
      <c r="AI1394" t="s">
        <v>367</v>
      </c>
      <c r="AJ1394" t="str">
        <f t="shared" ref="AJ1394:AK1394" si="1206">IF($J1394&lt;&gt;"",$J1394,IF($AC1394=$AC1393,AJ1393,""))</f>
        <v>d</v>
      </c>
      <c r="AK1394" t="str">
        <f t="shared" si="1206"/>
        <v>d</v>
      </c>
      <c r="AL1394" t="str">
        <f t="shared" si="1137"/>
        <v>o</v>
      </c>
      <c r="AN1394" t="s">
        <v>862</v>
      </c>
      <c r="AO1394" t="str">
        <f t="shared" si="1138"/>
        <v>a</v>
      </c>
      <c r="AP1394" t="str">
        <f t="shared" si="1146"/>
        <v>o</v>
      </c>
      <c r="AQ1394" t="str">
        <f t="shared" si="1147"/>
        <v/>
      </c>
      <c r="AR1394" t="str">
        <f t="shared" si="1148"/>
        <v>Away</v>
      </c>
      <c r="AS1394" t="str">
        <f t="shared" si="1149"/>
        <v>a</v>
      </c>
      <c r="AT1394" t="str">
        <f t="shared" si="1150"/>
        <v>Defensive</v>
      </c>
      <c r="BA1394" s="6">
        <f t="shared" si="1139"/>
        <v>323</v>
      </c>
      <c r="BB1394">
        <f t="shared" si="1140"/>
        <v>18981</v>
      </c>
      <c r="BC1394" t="str">
        <f t="shared" si="1141"/>
        <v>Nelson</v>
      </c>
      <c r="BD1394" t="str">
        <f t="shared" si="1142"/>
        <v>Velodrome</v>
      </c>
      <c r="BE1394" t="s">
        <v>15</v>
      </c>
      <c r="BF1394" t="s">
        <v>179</v>
      </c>
      <c r="BG1394" t="s">
        <v>97</v>
      </c>
      <c r="BI1394" cm="1">
        <f t="array" ref="BI1394">IFERROR(_xlfn._xlws.FILTER(shifts!A:A,(shifts!B:B=events!AD1394)*(shifts!AG:AG&gt;=events!BK1394)*(shifts!AH:AH&lt;=events!BL1394)),BI1393)</f>
        <v>62</v>
      </c>
      <c r="BJ1394" s="15">
        <f t="shared" si="1143"/>
        <v>0</v>
      </c>
      <c r="BK1394">
        <f t="shared" si="1151"/>
        <v>295</v>
      </c>
      <c r="BL1394">
        <f t="shared" si="1152"/>
        <v>295</v>
      </c>
      <c r="BM1394" s="15">
        <f>SUMIFS(BJ$2:BJ1394,K$2:K1394,"=Intermission")+SUMIFS(BJ$2:BJ1394,K$2:K1394,"=Timeout")</f>
        <v>72</v>
      </c>
      <c r="BN1394">
        <f t="shared" si="1153"/>
        <v>1152</v>
      </c>
      <c r="BO1394" s="19">
        <f t="shared" si="1154"/>
        <v>1937</v>
      </c>
      <c r="BP1394">
        <f t="shared" si="1155"/>
        <v>1932</v>
      </c>
      <c r="BQ1394" s="17">
        <f t="shared" si="1156"/>
        <v>1937</v>
      </c>
      <c r="BR1394" t="str">
        <f t="shared" si="1157"/>
        <v>event_team_player_1</v>
      </c>
      <c r="BS1394">
        <f>COUNTIFS(S$3:S1394,"="&amp;S1394,AI$3:AI1394,"="&amp;AI1394)</f>
        <v>1</v>
      </c>
      <c r="BT1394" t="str">
        <f>IFERROR(VLOOKUP(BB1394&amp;BU1394&amp;X1394,game_rosters!U:W,3,FALSE),"")</f>
        <v>P100016</v>
      </c>
      <c r="BU1394" t="str">
        <f t="shared" si="1158"/>
        <v>Velodrome</v>
      </c>
    </row>
    <row r="1395" spans="1:73" x14ac:dyDescent="0.2">
      <c r="A1395">
        <f t="shared" si="1144"/>
        <v>1</v>
      </c>
      <c r="J1395" s="44" t="str">
        <f t="shared" si="1159"/>
        <v>d</v>
      </c>
      <c r="K1395" t="s">
        <v>15</v>
      </c>
      <c r="L1395" t="s">
        <v>179</v>
      </c>
      <c r="M1395" t="s">
        <v>97</v>
      </c>
      <c r="S1395">
        <v>750</v>
      </c>
      <c r="W1395" t="str">
        <f t="shared" si="1135"/>
        <v>a</v>
      </c>
      <c r="X1395">
        <v>84</v>
      </c>
      <c r="Y1395" t="e">
        <f>IF(X1395&lt;&gt;"",VLOOKUP(X1395,game_rosters!$C$43:$E$64,3,FALSE))</f>
        <v>#N/A</v>
      </c>
      <c r="Z1395" cm="1">
        <f t="array" ref="Z1395">IFERROR(IF(_xlfn._xlws.FILTER(game_rosters!$J:$J,(game_rosters!$G:$G=events!$AN1395)*(game_rosters!$J:$J=events!$X1395))&gt;0,1,""),"")</f>
        <v>1</v>
      </c>
      <c r="AA1395">
        <f t="shared" si="1183"/>
        <v>1750</v>
      </c>
      <c r="AB1395" t="str">
        <f t="shared" si="1184"/>
        <v/>
      </c>
      <c r="AC1395">
        <f t="shared" si="1132"/>
        <v>1750</v>
      </c>
      <c r="AD1395" s="6">
        <v>2</v>
      </c>
      <c r="AE1395" t="s">
        <v>941</v>
      </c>
      <c r="AF1395" t="s">
        <v>753</v>
      </c>
      <c r="AG1395" t="s">
        <v>756</v>
      </c>
      <c r="AH1395" t="s">
        <v>756</v>
      </c>
      <c r="AI1395" t="s">
        <v>367</v>
      </c>
      <c r="AJ1395" t="str">
        <f t="shared" ref="AJ1395:AK1395" si="1207">IF($J1395&lt;&gt;"",$J1395,IF($AC1395=$AC1394,AJ1394,""))</f>
        <v>d</v>
      </c>
      <c r="AK1395" t="str">
        <f t="shared" si="1207"/>
        <v>d</v>
      </c>
      <c r="AL1395" t="str">
        <f t="shared" si="1137"/>
        <v>o</v>
      </c>
      <c r="AN1395" t="s">
        <v>862</v>
      </c>
      <c r="AO1395" t="str">
        <f t="shared" si="1138"/>
        <v>a</v>
      </c>
      <c r="AP1395" t="str">
        <f t="shared" si="1146"/>
        <v>o</v>
      </c>
      <c r="AQ1395" t="str">
        <f t="shared" si="1147"/>
        <v/>
      </c>
      <c r="AR1395" t="str">
        <f t="shared" si="1148"/>
        <v>Away</v>
      </c>
      <c r="AS1395" t="str">
        <f t="shared" si="1149"/>
        <v>a</v>
      </c>
      <c r="AT1395" t="str">
        <f t="shared" si="1150"/>
        <v>Defensive</v>
      </c>
      <c r="BA1395" s="6">
        <f t="shared" si="1139"/>
        <v>323</v>
      </c>
      <c r="BB1395">
        <f t="shared" si="1140"/>
        <v>18981</v>
      </c>
      <c r="BC1395" t="str">
        <f t="shared" si="1141"/>
        <v>Nelson</v>
      </c>
      <c r="BD1395" t="str">
        <f t="shared" si="1142"/>
        <v>Velodrome</v>
      </c>
      <c r="BE1395" t="s">
        <v>15</v>
      </c>
      <c r="BF1395" t="s">
        <v>179</v>
      </c>
      <c r="BG1395" t="s">
        <v>97</v>
      </c>
      <c r="BI1395" cm="1">
        <f t="array" ref="BI1395">IFERROR(_xlfn._xlws.FILTER(shifts!A:A,(shifts!B:B=events!AD1395)*(shifts!AG:AG&gt;=events!BK1395)*(shifts!AH:AH&lt;=events!BL1395)),BI1394)</f>
        <v>62</v>
      </c>
      <c r="BJ1395" s="15">
        <f t="shared" si="1143"/>
        <v>0</v>
      </c>
      <c r="BK1395">
        <f t="shared" si="1151"/>
        <v>295</v>
      </c>
      <c r="BL1395">
        <f t="shared" si="1152"/>
        <v>295</v>
      </c>
      <c r="BM1395" s="15">
        <f>SUMIFS(BJ$2:BJ1395,K$2:K1395,"=Intermission")+SUMIFS(BJ$2:BJ1395,K$2:K1395,"=Timeout")</f>
        <v>72</v>
      </c>
      <c r="BN1395">
        <f t="shared" si="1153"/>
        <v>1152</v>
      </c>
      <c r="BO1395" s="19">
        <f t="shared" si="1154"/>
        <v>1937</v>
      </c>
      <c r="BP1395">
        <f t="shared" si="1155"/>
        <v>1932</v>
      </c>
      <c r="BQ1395" s="17">
        <f t="shared" si="1156"/>
        <v>1937</v>
      </c>
      <c r="BR1395" t="str">
        <f t="shared" si="1157"/>
        <v>event_team_player_2</v>
      </c>
      <c r="BS1395">
        <f>COUNTIFS(S$3:S1395,"="&amp;S1395,AI$3:AI1395,"="&amp;AI1395)</f>
        <v>2</v>
      </c>
      <c r="BT1395" t="str">
        <f>IFERROR(VLOOKUP(BB1395&amp;BU1395&amp;X1395,game_rosters!U:W,3,FALSE),"")</f>
        <v>P100198</v>
      </c>
      <c r="BU1395" t="str">
        <f t="shared" si="1158"/>
        <v>Velodrome</v>
      </c>
    </row>
    <row r="1396" spans="1:73" x14ac:dyDescent="0.2">
      <c r="A1396">
        <f t="shared" si="1144"/>
        <v>1</v>
      </c>
      <c r="J1396" s="44" t="str">
        <f t="shared" si="1159"/>
        <v>d</v>
      </c>
      <c r="K1396" t="s">
        <v>15</v>
      </c>
      <c r="L1396" t="s">
        <v>179</v>
      </c>
      <c r="M1396" t="s">
        <v>97</v>
      </c>
      <c r="S1396">
        <v>750</v>
      </c>
      <c r="W1396" t="str">
        <f t="shared" si="1135"/>
        <v>a</v>
      </c>
      <c r="X1396">
        <v>79</v>
      </c>
      <c r="Y1396" t="b">
        <f>IF(X1396&lt;&gt;"",VLOOKUP(X1396,game_rosters!$C$43:$E$64,3,FALSE))</f>
        <v>0</v>
      </c>
      <c r="Z1396" t="str" cm="1">
        <f t="array" ref="Z1396">IFERROR(IF(_xlfn._xlws.FILTER(game_rosters!$J:$J,(game_rosters!$G:$G=events!$AN1396)*(game_rosters!$J:$J=events!$X1396))&gt;0,1,""),"")</f>
        <v/>
      </c>
      <c r="AA1396">
        <f t="shared" si="1183"/>
        <v>1750</v>
      </c>
      <c r="AB1396" t="str">
        <f t="shared" si="1184"/>
        <v/>
      </c>
      <c r="AC1396">
        <f t="shared" si="1132"/>
        <v>1750</v>
      </c>
      <c r="AD1396" s="6">
        <v>2</v>
      </c>
      <c r="AE1396" t="s">
        <v>941</v>
      </c>
      <c r="AF1396" t="s">
        <v>753</v>
      </c>
      <c r="AG1396" t="s">
        <v>756</v>
      </c>
      <c r="AH1396" t="s">
        <v>756</v>
      </c>
      <c r="AI1396" t="s">
        <v>368</v>
      </c>
      <c r="AJ1396" t="str">
        <f t="shared" ref="AJ1396:AK1396" si="1208">IF($J1396&lt;&gt;"",$J1396,IF($AC1396=$AC1395,AJ1395,""))</f>
        <v>d</v>
      </c>
      <c r="AK1396" t="str">
        <f t="shared" si="1208"/>
        <v>d</v>
      </c>
      <c r="AL1396" t="str">
        <f t="shared" si="1137"/>
        <v>o</v>
      </c>
      <c r="AN1396" t="s">
        <v>862</v>
      </c>
      <c r="AO1396" t="str">
        <f t="shared" si="1138"/>
        <v>a</v>
      </c>
      <c r="AP1396" t="str">
        <f t="shared" si="1146"/>
        <v>o</v>
      </c>
      <c r="AQ1396" t="str">
        <f t="shared" si="1147"/>
        <v/>
      </c>
      <c r="AR1396" t="str">
        <f t="shared" si="1148"/>
        <v>Away</v>
      </c>
      <c r="AS1396" t="str">
        <f t="shared" si="1149"/>
        <v>a</v>
      </c>
      <c r="AT1396" t="str">
        <f t="shared" si="1150"/>
        <v>Offensive</v>
      </c>
      <c r="BA1396" s="6">
        <f t="shared" si="1139"/>
        <v>323</v>
      </c>
      <c r="BB1396">
        <f t="shared" si="1140"/>
        <v>18981</v>
      </c>
      <c r="BC1396" t="str">
        <f t="shared" si="1141"/>
        <v>Nelson</v>
      </c>
      <c r="BD1396" t="str">
        <f t="shared" si="1142"/>
        <v>Velodrome</v>
      </c>
      <c r="BE1396" t="s">
        <v>15</v>
      </c>
      <c r="BF1396" t="s">
        <v>179</v>
      </c>
      <c r="BG1396" t="s">
        <v>97</v>
      </c>
      <c r="BI1396" cm="1">
        <f t="array" ref="BI1396">IFERROR(_xlfn._xlws.FILTER(shifts!A:A,(shifts!B:B=events!AD1396)*(shifts!AG:AG&gt;=events!BK1396)*(shifts!AH:AH&lt;=events!BL1396)),BI1395)</f>
        <v>62</v>
      </c>
      <c r="BJ1396" s="15">
        <f t="shared" si="1143"/>
        <v>0</v>
      </c>
      <c r="BK1396">
        <f t="shared" si="1151"/>
        <v>295</v>
      </c>
      <c r="BL1396">
        <f t="shared" si="1152"/>
        <v>295</v>
      </c>
      <c r="BM1396" s="15">
        <f>SUMIFS(BJ$2:BJ1396,K$2:K1396,"=Intermission")+SUMIFS(BJ$2:BJ1396,K$2:K1396,"=Timeout")</f>
        <v>72</v>
      </c>
      <c r="BN1396">
        <f t="shared" si="1153"/>
        <v>1152</v>
      </c>
      <c r="BO1396" s="19">
        <f t="shared" si="1154"/>
        <v>1937</v>
      </c>
      <c r="BP1396">
        <f t="shared" si="1155"/>
        <v>1932</v>
      </c>
      <c r="BQ1396" s="17">
        <f t="shared" si="1156"/>
        <v>1937</v>
      </c>
      <c r="BR1396" t="str">
        <f t="shared" si="1157"/>
        <v>opp_team_player_1</v>
      </c>
      <c r="BS1396">
        <f>COUNTIFS(S$3:S1396,"="&amp;S1396,AI$3:AI1396,"="&amp;AI1396)</f>
        <v>1</v>
      </c>
      <c r="BT1396" t="str">
        <f>IFERROR(VLOOKUP(BB1396&amp;BU1396&amp;X1396,game_rosters!U:W,3,FALSE),"")</f>
        <v>P100066</v>
      </c>
      <c r="BU1396" t="str">
        <f t="shared" si="1158"/>
        <v>Nelson</v>
      </c>
    </row>
    <row r="1397" spans="1:73" x14ac:dyDescent="0.2">
      <c r="A1397">
        <f t="shared" si="1144"/>
        <v>1</v>
      </c>
      <c r="J1397" s="44" t="str">
        <f t="shared" si="1159"/>
        <v>d</v>
      </c>
      <c r="K1397" t="s">
        <v>231</v>
      </c>
      <c r="L1397" t="s">
        <v>233</v>
      </c>
      <c r="M1397" t="s">
        <v>756</v>
      </c>
      <c r="S1397">
        <v>751</v>
      </c>
      <c r="W1397" t="str">
        <f t="shared" si="1135"/>
        <v>a</v>
      </c>
      <c r="X1397">
        <v>39</v>
      </c>
      <c r="Y1397" t="e">
        <f>IF(X1397&lt;&gt;"",VLOOKUP(X1397,game_rosters!$C$43:$E$64,3,FALSE))</f>
        <v>#N/A</v>
      </c>
      <c r="Z1397" cm="1">
        <f t="array" ref="Z1397">IFERROR(IF(_xlfn._xlws.FILTER(game_rosters!$J:$J,(game_rosters!$G:$G=events!$AN1397)*(game_rosters!$J:$J=events!$X1397))&gt;0,1,""),"")</f>
        <v>1</v>
      </c>
      <c r="AA1397">
        <f t="shared" si="1183"/>
        <v>1751</v>
      </c>
      <c r="AB1397" t="str">
        <f t="shared" si="1184"/>
        <v/>
      </c>
      <c r="AC1397">
        <f t="shared" si="1132"/>
        <v>1751</v>
      </c>
      <c r="AD1397" s="6">
        <v>2</v>
      </c>
      <c r="AE1397" t="s">
        <v>941</v>
      </c>
      <c r="AF1397" t="s">
        <v>753</v>
      </c>
      <c r="AG1397" t="s">
        <v>756</v>
      </c>
      <c r="AH1397" t="s">
        <v>756</v>
      </c>
      <c r="AI1397" t="s">
        <v>367</v>
      </c>
      <c r="AJ1397" t="str">
        <f t="shared" ref="AJ1397:AK1397" si="1209">IF($J1397&lt;&gt;"",$J1397,IF($AC1397=$AC1396,AJ1396,""))</f>
        <v>d</v>
      </c>
      <c r="AK1397" t="str">
        <f t="shared" si="1209"/>
        <v>d</v>
      </c>
      <c r="AL1397" t="str">
        <f t="shared" si="1137"/>
        <v>o</v>
      </c>
      <c r="AN1397" t="s">
        <v>862</v>
      </c>
      <c r="AO1397" t="str">
        <f t="shared" si="1138"/>
        <v>a</v>
      </c>
      <c r="AP1397" t="str">
        <f t="shared" si="1146"/>
        <v>o</v>
      </c>
      <c r="AQ1397" t="str">
        <f t="shared" si="1147"/>
        <v/>
      </c>
      <c r="AR1397" t="str">
        <f t="shared" si="1148"/>
        <v>Away</v>
      </c>
      <c r="AS1397" t="str">
        <f t="shared" si="1149"/>
        <v>a</v>
      </c>
      <c r="AT1397" t="str">
        <f t="shared" si="1150"/>
        <v>Offensive</v>
      </c>
      <c r="BA1397" s="6">
        <f t="shared" si="1139"/>
        <v>323</v>
      </c>
      <c r="BB1397">
        <f t="shared" si="1140"/>
        <v>18981</v>
      </c>
      <c r="BC1397" t="str">
        <f t="shared" si="1141"/>
        <v>Nelson</v>
      </c>
      <c r="BD1397" t="str">
        <f t="shared" si="1142"/>
        <v>Velodrome</v>
      </c>
      <c r="BE1397" t="s">
        <v>231</v>
      </c>
      <c r="BF1397" t="s">
        <v>233</v>
      </c>
      <c r="BG1397" t="s">
        <v>756</v>
      </c>
      <c r="BI1397" cm="1">
        <f t="array" ref="BI1397">IFERROR(_xlfn._xlws.FILTER(shifts!A:A,(shifts!B:B=events!AD1397)*(shifts!AG:AG&gt;=events!BK1397)*(shifts!AH:AH&lt;=events!BL1397)),BI1396)</f>
        <v>62</v>
      </c>
      <c r="BJ1397" s="15">
        <f t="shared" si="1143"/>
        <v>0</v>
      </c>
      <c r="BK1397">
        <f t="shared" si="1151"/>
        <v>295</v>
      </c>
      <c r="BL1397">
        <f t="shared" si="1152"/>
        <v>295</v>
      </c>
      <c r="BM1397" s="15">
        <f>SUMIFS(BJ$2:BJ1397,K$2:K1397,"=Intermission")+SUMIFS(BJ$2:BJ1397,K$2:K1397,"=Timeout")</f>
        <v>72</v>
      </c>
      <c r="BN1397">
        <f t="shared" si="1153"/>
        <v>1152</v>
      </c>
      <c r="BO1397" s="19">
        <f t="shared" si="1154"/>
        <v>1937</v>
      </c>
      <c r="BP1397">
        <f t="shared" si="1155"/>
        <v>1932</v>
      </c>
      <c r="BQ1397" s="17">
        <f t="shared" si="1156"/>
        <v>1937</v>
      </c>
      <c r="BR1397" t="str">
        <f t="shared" si="1157"/>
        <v>event_team_player_1</v>
      </c>
      <c r="BS1397">
        <f>COUNTIFS(S$3:S1397,"="&amp;S1397,AI$3:AI1397,"="&amp;AI1397)</f>
        <v>1</v>
      </c>
      <c r="BT1397" t="str">
        <f>IFERROR(VLOOKUP(BB1397&amp;BU1397&amp;X1397,game_rosters!U:W,3,FALSE),"")</f>
        <v>P100016</v>
      </c>
      <c r="BU1397" t="str">
        <f t="shared" si="1158"/>
        <v>Velodrome</v>
      </c>
    </row>
    <row r="1398" spans="1:73" x14ac:dyDescent="0.2">
      <c r="A1398">
        <f t="shared" si="1144"/>
        <v>1</v>
      </c>
      <c r="J1398" s="44" t="str">
        <f t="shared" si="1159"/>
        <v/>
      </c>
      <c r="K1398" t="s">
        <v>238</v>
      </c>
      <c r="L1398" t="s">
        <v>193</v>
      </c>
      <c r="M1398" t="s">
        <v>91</v>
      </c>
      <c r="S1398">
        <v>752</v>
      </c>
      <c r="W1398" t="str">
        <f t="shared" si="1135"/>
        <v>h</v>
      </c>
      <c r="X1398">
        <v>80</v>
      </c>
      <c r="Y1398" t="b">
        <f>IF(X1398&lt;&gt;"",VLOOKUP(X1398,game_rosters!$C$43:$E$64,3,FALSE))</f>
        <v>0</v>
      </c>
      <c r="Z1398" cm="1">
        <f t="array" ref="Z1398">IFERROR(IF(_xlfn._xlws.FILTER(game_rosters!$J:$J,(game_rosters!$G:$G=events!$AN1398)*(game_rosters!$J:$J=events!$X1398))&gt;0,1,""),"")</f>
        <v>1</v>
      </c>
      <c r="AA1398">
        <f t="shared" si="1183"/>
        <v>1752</v>
      </c>
      <c r="AB1398" t="str">
        <f t="shared" si="1184"/>
        <v/>
      </c>
      <c r="AC1398">
        <f t="shared" si="1132"/>
        <v>1752</v>
      </c>
      <c r="AD1398" s="6">
        <v>2</v>
      </c>
      <c r="AE1398" t="s">
        <v>941</v>
      </c>
      <c r="AF1398" t="s">
        <v>898</v>
      </c>
      <c r="AG1398" t="s">
        <v>756</v>
      </c>
      <c r="AH1398" t="s">
        <v>756</v>
      </c>
      <c r="AI1398" t="s">
        <v>367</v>
      </c>
      <c r="AJ1398" t="str">
        <f t="shared" ref="AJ1398:AK1398" si="1210">IF($J1398&lt;&gt;"",$J1398,IF($AC1398=$AC1397,AJ1397,""))</f>
        <v/>
      </c>
      <c r="AK1398" t="str">
        <f t="shared" si="1210"/>
        <v/>
      </c>
      <c r="AL1398" t="str">
        <f t="shared" si="1137"/>
        <v/>
      </c>
      <c r="AN1398" t="s">
        <v>861</v>
      </c>
      <c r="AO1398" t="str">
        <f t="shared" si="1138"/>
        <v>h</v>
      </c>
      <c r="AP1398" t="str">
        <f t="shared" si="1146"/>
        <v/>
      </c>
      <c r="AQ1398" t="str">
        <f t="shared" si="1147"/>
        <v/>
      </c>
      <c r="AR1398" t="str">
        <f t="shared" si="1148"/>
        <v>Home</v>
      </c>
      <c r="AS1398" t="str">
        <f t="shared" si="1149"/>
        <v>h</v>
      </c>
      <c r="AT1398" t="str">
        <f t="shared" si="1150"/>
        <v>Offensive</v>
      </c>
      <c r="BA1398" s="6">
        <f t="shared" si="1139"/>
        <v>323</v>
      </c>
      <c r="BB1398">
        <f t="shared" si="1140"/>
        <v>18981</v>
      </c>
      <c r="BC1398" t="str">
        <f t="shared" si="1141"/>
        <v>Nelson</v>
      </c>
      <c r="BD1398" t="str">
        <f t="shared" si="1142"/>
        <v>Velodrome</v>
      </c>
      <c r="BE1398" t="s">
        <v>238</v>
      </c>
      <c r="BF1398" t="s">
        <v>193</v>
      </c>
      <c r="BG1398" t="s">
        <v>91</v>
      </c>
      <c r="BI1398" cm="1">
        <f t="array" ref="BI1398">IFERROR(_xlfn._xlws.FILTER(shifts!A:A,(shifts!B:B=events!AD1398)*(shifts!AG:AG&gt;=events!BK1398)*(shifts!AH:AH&lt;=events!BL1398)),BI1397)</f>
        <v>62</v>
      </c>
      <c r="BJ1398" s="15">
        <f t="shared" si="1143"/>
        <v>0</v>
      </c>
      <c r="BK1398">
        <f t="shared" si="1151"/>
        <v>291</v>
      </c>
      <c r="BL1398">
        <f t="shared" si="1152"/>
        <v>291</v>
      </c>
      <c r="BM1398" s="15">
        <f>SUMIFS(BJ$2:BJ1398,K$2:K1398,"=Intermission")+SUMIFS(BJ$2:BJ1398,K$2:K1398,"=Timeout")</f>
        <v>72</v>
      </c>
      <c r="BN1398">
        <f t="shared" si="1153"/>
        <v>1152</v>
      </c>
      <c r="BO1398" s="19">
        <f t="shared" si="1154"/>
        <v>1941</v>
      </c>
      <c r="BP1398">
        <f t="shared" si="1155"/>
        <v>1936</v>
      </c>
      <c r="BQ1398" s="17">
        <f t="shared" si="1156"/>
        <v>1941</v>
      </c>
      <c r="BR1398" t="str">
        <f t="shared" si="1157"/>
        <v>event_team_player_1</v>
      </c>
      <c r="BS1398">
        <f>COUNTIFS(S$3:S1398,"="&amp;S1398,AI$3:AI1398,"="&amp;AI1398)</f>
        <v>1</v>
      </c>
      <c r="BT1398" t="str">
        <f>IFERROR(VLOOKUP(BB1398&amp;BU1398&amp;X1398,game_rosters!U:W,3,FALSE),"")</f>
        <v>P100197</v>
      </c>
      <c r="BU1398" t="str">
        <f t="shared" si="1158"/>
        <v>Nelson</v>
      </c>
    </row>
    <row r="1399" spans="1:73" x14ac:dyDescent="0.2">
      <c r="A1399">
        <f t="shared" si="1144"/>
        <v>1</v>
      </c>
      <c r="J1399" s="44" t="str">
        <f t="shared" si="1159"/>
        <v/>
      </c>
      <c r="K1399" t="s">
        <v>13</v>
      </c>
      <c r="L1399" t="s">
        <v>756</v>
      </c>
      <c r="M1399" t="s">
        <v>756</v>
      </c>
      <c r="S1399">
        <v>753</v>
      </c>
      <c r="W1399" t="str">
        <f t="shared" si="1135"/>
        <v>h</v>
      </c>
      <c r="X1399">
        <v>80</v>
      </c>
      <c r="Y1399" t="b">
        <f>IF(X1399&lt;&gt;"",VLOOKUP(X1399,game_rosters!$C$43:$E$64,3,FALSE))</f>
        <v>0</v>
      </c>
      <c r="Z1399" cm="1">
        <f t="array" ref="Z1399">IFERROR(IF(_xlfn._xlws.FILTER(game_rosters!$J:$J,(game_rosters!$G:$G=events!$AN1399)*(game_rosters!$J:$J=events!$X1399))&gt;0,1,""),"")</f>
        <v>1</v>
      </c>
      <c r="AA1399">
        <f t="shared" si="1183"/>
        <v>1753</v>
      </c>
      <c r="AB1399" t="str">
        <f t="shared" si="1184"/>
        <v/>
      </c>
      <c r="AC1399">
        <f t="shared" si="1132"/>
        <v>1753</v>
      </c>
      <c r="AD1399" s="6">
        <v>2</v>
      </c>
      <c r="AE1399" t="s">
        <v>941</v>
      </c>
      <c r="AF1399" t="s">
        <v>898</v>
      </c>
      <c r="AG1399" t="s">
        <v>941</v>
      </c>
      <c r="AH1399" t="s">
        <v>922</v>
      </c>
      <c r="AI1399" t="s">
        <v>367</v>
      </c>
      <c r="AJ1399" t="str">
        <f t="shared" ref="AJ1399:AK1399" si="1211">IF($J1399&lt;&gt;"",$J1399,IF($AC1399=$AC1398,AJ1398,""))</f>
        <v/>
      </c>
      <c r="AK1399" t="str">
        <f t="shared" si="1211"/>
        <v/>
      </c>
      <c r="AL1399" t="str">
        <f t="shared" si="1137"/>
        <v/>
      </c>
      <c r="AN1399" t="s">
        <v>861</v>
      </c>
      <c r="AO1399" t="str">
        <f t="shared" si="1138"/>
        <v>h</v>
      </c>
      <c r="AP1399" t="str">
        <f t="shared" si="1146"/>
        <v/>
      </c>
      <c r="AQ1399" t="str">
        <f t="shared" si="1147"/>
        <v/>
      </c>
      <c r="AR1399" t="str">
        <f t="shared" si="1148"/>
        <v>Home</v>
      </c>
      <c r="AS1399" t="str">
        <f t="shared" si="1149"/>
        <v>h</v>
      </c>
      <c r="AT1399" t="str">
        <f t="shared" si="1150"/>
        <v>Offensive</v>
      </c>
      <c r="BA1399" s="6">
        <f t="shared" si="1139"/>
        <v>323</v>
      </c>
      <c r="BB1399">
        <f t="shared" si="1140"/>
        <v>18981</v>
      </c>
      <c r="BC1399" t="str">
        <f t="shared" si="1141"/>
        <v>Nelson</v>
      </c>
      <c r="BD1399" t="str">
        <f t="shared" si="1142"/>
        <v>Velodrome</v>
      </c>
      <c r="BE1399" t="s">
        <v>13</v>
      </c>
      <c r="BF1399" t="s">
        <v>756</v>
      </c>
      <c r="BG1399" t="s">
        <v>756</v>
      </c>
      <c r="BI1399" cm="1">
        <f t="array" ref="BI1399">IFERROR(_xlfn._xlws.FILTER(shifts!A:A,(shifts!B:B=events!AD1399)*(shifts!AG:AG&gt;=events!BK1399)*(shifts!AH:AH&lt;=events!BL1399)),BI1398)</f>
        <v>62</v>
      </c>
      <c r="BJ1399" s="15">
        <f t="shared" si="1143"/>
        <v>1</v>
      </c>
      <c r="BK1399">
        <f t="shared" si="1151"/>
        <v>291</v>
      </c>
      <c r="BL1399">
        <f t="shared" si="1152"/>
        <v>290</v>
      </c>
      <c r="BM1399" s="15">
        <f>SUMIFS(BJ$2:BJ1399,K$2:K1399,"=Intermission")+SUMIFS(BJ$2:BJ1399,K$2:K1399,"=Timeout")</f>
        <v>72</v>
      </c>
      <c r="BN1399">
        <f t="shared" si="1153"/>
        <v>1152</v>
      </c>
      <c r="BO1399" s="19">
        <f t="shared" si="1154"/>
        <v>1941</v>
      </c>
      <c r="BP1399">
        <f t="shared" si="1155"/>
        <v>1936</v>
      </c>
      <c r="BQ1399" s="17">
        <f t="shared" si="1156"/>
        <v>1942</v>
      </c>
      <c r="BR1399" t="str">
        <f t="shared" si="1157"/>
        <v>event_team_player_1</v>
      </c>
      <c r="BS1399">
        <f>COUNTIFS(S$3:S1399,"="&amp;S1399,AI$3:AI1399,"="&amp;AI1399)</f>
        <v>1</v>
      </c>
      <c r="BT1399" t="str">
        <f>IFERROR(VLOOKUP(BB1399&amp;BU1399&amp;X1399,game_rosters!U:W,3,FALSE),"")</f>
        <v>P100197</v>
      </c>
      <c r="BU1399" t="str">
        <f t="shared" si="1158"/>
        <v>Nelson</v>
      </c>
    </row>
    <row r="1400" spans="1:73" x14ac:dyDescent="0.2">
      <c r="A1400">
        <f t="shared" si="1144"/>
        <v>1</v>
      </c>
      <c r="J1400" s="44" t="str">
        <f t="shared" si="1159"/>
        <v/>
      </c>
      <c r="K1400" t="s">
        <v>13</v>
      </c>
      <c r="L1400" t="s">
        <v>756</v>
      </c>
      <c r="M1400" t="s">
        <v>756</v>
      </c>
      <c r="S1400">
        <v>753</v>
      </c>
      <c r="W1400" t="str">
        <f t="shared" si="1135"/>
        <v>h</v>
      </c>
      <c r="X1400">
        <v>24</v>
      </c>
      <c r="Y1400" t="e">
        <f>IF(X1400&lt;&gt;"",VLOOKUP(X1400,game_rosters!$C$43:$E$64,3,FALSE))</f>
        <v>#N/A</v>
      </c>
      <c r="Z1400" t="str" cm="1">
        <f t="array" ref="Z1400">IFERROR(IF(_xlfn._xlws.FILTER(game_rosters!$J:$J,(game_rosters!$G:$G=events!$AN1400)*(game_rosters!$J:$J=events!$X1400))&gt;0,1,""),"")</f>
        <v/>
      </c>
      <c r="AA1400">
        <f t="shared" si="1183"/>
        <v>1753</v>
      </c>
      <c r="AB1400" t="str">
        <f t="shared" si="1184"/>
        <v/>
      </c>
      <c r="AC1400">
        <f t="shared" si="1132"/>
        <v>1753</v>
      </c>
      <c r="AD1400" s="6">
        <v>2</v>
      </c>
      <c r="AE1400" t="s">
        <v>941</v>
      </c>
      <c r="AF1400" t="s">
        <v>898</v>
      </c>
      <c r="AG1400" t="s">
        <v>941</v>
      </c>
      <c r="AH1400" t="s">
        <v>922</v>
      </c>
      <c r="AI1400" t="s">
        <v>368</v>
      </c>
      <c r="AJ1400" t="str">
        <f t="shared" ref="AJ1400:AK1400" si="1212">IF($J1400&lt;&gt;"",$J1400,IF($AC1400=$AC1399,AJ1399,""))</f>
        <v/>
      </c>
      <c r="AK1400" t="str">
        <f t="shared" si="1212"/>
        <v/>
      </c>
      <c r="AL1400" t="str">
        <f t="shared" si="1137"/>
        <v/>
      </c>
      <c r="AN1400" t="s">
        <v>861</v>
      </c>
      <c r="AO1400" t="str">
        <f t="shared" si="1138"/>
        <v>h</v>
      </c>
      <c r="AP1400" t="str">
        <f t="shared" si="1146"/>
        <v/>
      </c>
      <c r="AQ1400" t="str">
        <f t="shared" si="1147"/>
        <v/>
      </c>
      <c r="AR1400" t="str">
        <f t="shared" si="1148"/>
        <v>Home</v>
      </c>
      <c r="AS1400" t="str">
        <f t="shared" si="1149"/>
        <v>h</v>
      </c>
      <c r="AT1400" t="str">
        <f t="shared" si="1150"/>
        <v>Defensive</v>
      </c>
      <c r="BA1400" s="6">
        <f t="shared" si="1139"/>
        <v>323</v>
      </c>
      <c r="BB1400">
        <f t="shared" si="1140"/>
        <v>18981</v>
      </c>
      <c r="BC1400" t="str">
        <f t="shared" si="1141"/>
        <v>Nelson</v>
      </c>
      <c r="BD1400" t="str">
        <f t="shared" si="1142"/>
        <v>Velodrome</v>
      </c>
      <c r="BE1400" t="s">
        <v>13</v>
      </c>
      <c r="BF1400" t="s">
        <v>756</v>
      </c>
      <c r="BG1400" t="s">
        <v>756</v>
      </c>
      <c r="BI1400" cm="1">
        <f t="array" ref="BI1400">IFERROR(_xlfn._xlws.FILTER(shifts!A:A,(shifts!B:B=events!AD1400)*(shifts!AG:AG&gt;=events!BK1400)*(shifts!AH:AH&lt;=events!BL1400)),BI1399)</f>
        <v>62</v>
      </c>
      <c r="BJ1400" s="15">
        <f t="shared" si="1143"/>
        <v>1</v>
      </c>
      <c r="BK1400">
        <f t="shared" si="1151"/>
        <v>291</v>
      </c>
      <c r="BL1400">
        <f t="shared" si="1152"/>
        <v>290</v>
      </c>
      <c r="BM1400" s="15">
        <f>SUMIFS(BJ$2:BJ1400,K$2:K1400,"=Intermission")+SUMIFS(BJ$2:BJ1400,K$2:K1400,"=Timeout")</f>
        <v>72</v>
      </c>
      <c r="BN1400">
        <f t="shared" si="1153"/>
        <v>1152</v>
      </c>
      <c r="BO1400" s="19">
        <f t="shared" si="1154"/>
        <v>1941</v>
      </c>
      <c r="BP1400">
        <f t="shared" si="1155"/>
        <v>1936</v>
      </c>
      <c r="BQ1400" s="17">
        <f t="shared" si="1156"/>
        <v>1942</v>
      </c>
      <c r="BR1400" t="str">
        <f t="shared" si="1157"/>
        <v>opp_team_player_1</v>
      </c>
      <c r="BS1400">
        <f>COUNTIFS(S$3:S1400,"="&amp;S1400,AI$3:AI1400,"="&amp;AI1400)</f>
        <v>1</v>
      </c>
      <c r="BT1400" t="str">
        <f>IFERROR(VLOOKUP(BB1400&amp;BU1400&amp;X1400,game_rosters!U:W,3,FALSE),"")</f>
        <v>P100230</v>
      </c>
      <c r="BU1400" t="str">
        <f t="shared" si="1158"/>
        <v>Velodrome</v>
      </c>
    </row>
    <row r="1401" spans="1:73" x14ac:dyDescent="0.2">
      <c r="A1401">
        <f t="shared" si="1144"/>
        <v>1</v>
      </c>
      <c r="J1401" s="44" t="str">
        <f t="shared" si="1159"/>
        <v>o</v>
      </c>
      <c r="K1401" t="s">
        <v>6</v>
      </c>
      <c r="L1401" t="s">
        <v>181</v>
      </c>
      <c r="M1401" t="s">
        <v>51</v>
      </c>
      <c r="S1401">
        <v>754</v>
      </c>
      <c r="W1401" t="str">
        <f t="shared" si="1135"/>
        <v>h</v>
      </c>
      <c r="X1401">
        <v>80</v>
      </c>
      <c r="Y1401" t="b">
        <f>IF(X1401&lt;&gt;"",VLOOKUP(X1401,game_rosters!$C$43:$E$64,3,FALSE))</f>
        <v>0</v>
      </c>
      <c r="Z1401" cm="1">
        <f t="array" ref="Z1401">IFERROR(IF(_xlfn._xlws.FILTER(game_rosters!$J:$J,(game_rosters!$G:$G=events!$AN1401)*(game_rosters!$J:$J=events!$X1401))&gt;0,1,""),"")</f>
        <v>1</v>
      </c>
      <c r="AA1401">
        <f t="shared" si="1183"/>
        <v>1754</v>
      </c>
      <c r="AB1401" t="str">
        <f t="shared" si="1184"/>
        <v/>
      </c>
      <c r="AC1401">
        <f t="shared" si="1132"/>
        <v>1754</v>
      </c>
      <c r="AD1401" s="6">
        <v>2</v>
      </c>
      <c r="AE1401" t="s">
        <v>941</v>
      </c>
      <c r="AF1401" t="s">
        <v>922</v>
      </c>
      <c r="AG1401" t="s">
        <v>756</v>
      </c>
      <c r="AH1401" t="s">
        <v>756</v>
      </c>
      <c r="AI1401" t="s">
        <v>367</v>
      </c>
      <c r="AJ1401" t="str">
        <f t="shared" ref="AJ1401:AK1401" si="1213">IF($J1401&lt;&gt;"",$J1401,IF($AC1401=$AC1400,AJ1400,""))</f>
        <v>o</v>
      </c>
      <c r="AK1401" t="str">
        <f t="shared" si="1213"/>
        <v>o</v>
      </c>
      <c r="AL1401" t="str">
        <f t="shared" si="1137"/>
        <v>o</v>
      </c>
      <c r="AN1401" t="s">
        <v>861</v>
      </c>
      <c r="AO1401" t="str">
        <f t="shared" si="1138"/>
        <v>h</v>
      </c>
      <c r="AP1401" t="str">
        <f t="shared" si="1146"/>
        <v>o</v>
      </c>
      <c r="AQ1401" t="str">
        <f t="shared" si="1147"/>
        <v/>
      </c>
      <c r="AR1401" t="str">
        <f t="shared" si="1148"/>
        <v>Home</v>
      </c>
      <c r="AS1401" t="str">
        <f t="shared" si="1149"/>
        <v>h</v>
      </c>
      <c r="AT1401" t="str">
        <f t="shared" si="1150"/>
        <v>Offensive</v>
      </c>
      <c r="BA1401" s="6">
        <f t="shared" si="1139"/>
        <v>323</v>
      </c>
      <c r="BB1401">
        <f t="shared" si="1140"/>
        <v>18981</v>
      </c>
      <c r="BC1401" t="str">
        <f t="shared" si="1141"/>
        <v>Nelson</v>
      </c>
      <c r="BD1401" t="str">
        <f t="shared" si="1142"/>
        <v>Velodrome</v>
      </c>
      <c r="BE1401" t="s">
        <v>6</v>
      </c>
      <c r="BF1401" t="s">
        <v>181</v>
      </c>
      <c r="BG1401" t="s">
        <v>51</v>
      </c>
      <c r="BI1401" cm="1">
        <f t="array" ref="BI1401">IFERROR(_xlfn._xlws.FILTER(shifts!A:A,(shifts!B:B=events!AD1401)*(shifts!AG:AG&gt;=events!BK1401)*(shifts!AH:AH&lt;=events!BL1401)),BI1400)</f>
        <v>62</v>
      </c>
      <c r="BJ1401" s="15">
        <f t="shared" si="1143"/>
        <v>0</v>
      </c>
      <c r="BK1401">
        <f t="shared" si="1151"/>
        <v>290</v>
      </c>
      <c r="BL1401">
        <f t="shared" si="1152"/>
        <v>290</v>
      </c>
      <c r="BM1401" s="15">
        <f>SUMIFS(BJ$2:BJ1401,K$2:K1401,"=Intermission")+SUMIFS(BJ$2:BJ1401,K$2:K1401,"=Timeout")</f>
        <v>72</v>
      </c>
      <c r="BN1401">
        <f t="shared" si="1153"/>
        <v>1152</v>
      </c>
      <c r="BO1401" s="19">
        <f t="shared" si="1154"/>
        <v>1942</v>
      </c>
      <c r="BP1401">
        <f t="shared" si="1155"/>
        <v>1937</v>
      </c>
      <c r="BQ1401" s="17">
        <f t="shared" si="1156"/>
        <v>1942</v>
      </c>
      <c r="BR1401" t="str">
        <f t="shared" si="1157"/>
        <v>event_team_player_1</v>
      </c>
      <c r="BS1401">
        <f>COUNTIFS(S$3:S1401,"="&amp;S1401,AI$3:AI1401,"="&amp;AI1401)</f>
        <v>1</v>
      </c>
      <c r="BT1401" t="str">
        <f>IFERROR(VLOOKUP(BB1401&amp;BU1401&amp;X1401,game_rosters!U:W,3,FALSE),"")</f>
        <v>P100197</v>
      </c>
      <c r="BU1401" t="str">
        <f t="shared" si="1158"/>
        <v>Nelson</v>
      </c>
    </row>
    <row r="1402" spans="1:73" x14ac:dyDescent="0.2">
      <c r="A1402">
        <f t="shared" si="1144"/>
        <v>1</v>
      </c>
      <c r="J1402" s="44" t="str">
        <f t="shared" si="1159"/>
        <v>o</v>
      </c>
      <c r="K1402" t="s">
        <v>6</v>
      </c>
      <c r="L1402" t="s">
        <v>181</v>
      </c>
      <c r="M1402" t="s">
        <v>51</v>
      </c>
      <c r="S1402">
        <v>754</v>
      </c>
      <c r="W1402" t="str">
        <f t="shared" si="1135"/>
        <v>h</v>
      </c>
      <c r="X1402">
        <v>24</v>
      </c>
      <c r="Y1402" t="e">
        <f>IF(X1402&lt;&gt;"",VLOOKUP(X1402,game_rosters!$C$43:$E$64,3,FALSE))</f>
        <v>#N/A</v>
      </c>
      <c r="Z1402" t="str" cm="1">
        <f t="array" ref="Z1402">IFERROR(IF(_xlfn._xlws.FILTER(game_rosters!$J:$J,(game_rosters!$G:$G=events!$AN1402)*(game_rosters!$J:$J=events!$X1402))&gt;0,1,""),"")</f>
        <v/>
      </c>
      <c r="AA1402">
        <f t="shared" si="1183"/>
        <v>1754</v>
      </c>
      <c r="AB1402" t="str">
        <f t="shared" si="1184"/>
        <v/>
      </c>
      <c r="AC1402">
        <f t="shared" si="1132"/>
        <v>1754</v>
      </c>
      <c r="AD1402" s="6">
        <v>2</v>
      </c>
      <c r="AE1402" t="s">
        <v>941</v>
      </c>
      <c r="AF1402" t="s">
        <v>922</v>
      </c>
      <c r="AG1402" t="s">
        <v>756</v>
      </c>
      <c r="AH1402" t="s">
        <v>756</v>
      </c>
      <c r="AI1402" t="s">
        <v>368</v>
      </c>
      <c r="AJ1402" t="str">
        <f t="shared" ref="AJ1402:AK1402" si="1214">IF($J1402&lt;&gt;"",$J1402,IF($AC1402=$AC1401,AJ1401,""))</f>
        <v>o</v>
      </c>
      <c r="AK1402" t="str">
        <f t="shared" si="1214"/>
        <v>o</v>
      </c>
      <c r="AL1402" t="str">
        <f t="shared" si="1137"/>
        <v>o</v>
      </c>
      <c r="AN1402" t="s">
        <v>861</v>
      </c>
      <c r="AO1402" t="str">
        <f t="shared" si="1138"/>
        <v>h</v>
      </c>
      <c r="AP1402" t="str">
        <f t="shared" si="1146"/>
        <v>o</v>
      </c>
      <c r="AQ1402" t="str">
        <f t="shared" si="1147"/>
        <v/>
      </c>
      <c r="AR1402" t="str">
        <f t="shared" si="1148"/>
        <v>Home</v>
      </c>
      <c r="AS1402" t="str">
        <f t="shared" si="1149"/>
        <v>h</v>
      </c>
      <c r="AT1402" t="str">
        <f t="shared" si="1150"/>
        <v>Defensive</v>
      </c>
      <c r="BA1402" s="6">
        <f t="shared" si="1139"/>
        <v>323</v>
      </c>
      <c r="BB1402">
        <f t="shared" si="1140"/>
        <v>18981</v>
      </c>
      <c r="BC1402" t="str">
        <f t="shared" si="1141"/>
        <v>Nelson</v>
      </c>
      <c r="BD1402" t="str">
        <f t="shared" si="1142"/>
        <v>Velodrome</v>
      </c>
      <c r="BE1402" t="s">
        <v>6</v>
      </c>
      <c r="BF1402" t="s">
        <v>181</v>
      </c>
      <c r="BG1402" t="s">
        <v>51</v>
      </c>
      <c r="BI1402" cm="1">
        <f t="array" ref="BI1402">IFERROR(_xlfn._xlws.FILTER(shifts!A:A,(shifts!B:B=events!AD1402)*(shifts!AG:AG&gt;=events!BK1402)*(shifts!AH:AH&lt;=events!BL1402)),BI1401)</f>
        <v>62</v>
      </c>
      <c r="BJ1402" s="15">
        <f t="shared" si="1143"/>
        <v>0</v>
      </c>
      <c r="BK1402">
        <f t="shared" si="1151"/>
        <v>290</v>
      </c>
      <c r="BL1402">
        <f t="shared" si="1152"/>
        <v>290</v>
      </c>
      <c r="BM1402" s="15">
        <f>SUMIFS(BJ$2:BJ1402,K$2:K1402,"=Intermission")+SUMIFS(BJ$2:BJ1402,K$2:K1402,"=Timeout")</f>
        <v>72</v>
      </c>
      <c r="BN1402">
        <f t="shared" si="1153"/>
        <v>1152</v>
      </c>
      <c r="BO1402" s="19">
        <f t="shared" si="1154"/>
        <v>1942</v>
      </c>
      <c r="BP1402">
        <f t="shared" si="1155"/>
        <v>1937</v>
      </c>
      <c r="BQ1402" s="17">
        <f t="shared" si="1156"/>
        <v>1942</v>
      </c>
      <c r="BR1402" t="str">
        <f t="shared" si="1157"/>
        <v>opp_team_player_1</v>
      </c>
      <c r="BS1402">
        <f>COUNTIFS(S$3:S1402,"="&amp;S1402,AI$3:AI1402,"="&amp;AI1402)</f>
        <v>1</v>
      </c>
      <c r="BT1402" t="str">
        <f>IFERROR(VLOOKUP(BB1402&amp;BU1402&amp;X1402,game_rosters!U:W,3,FALSE),"")</f>
        <v>P100230</v>
      </c>
      <c r="BU1402" t="str">
        <f t="shared" si="1158"/>
        <v>Velodrome</v>
      </c>
    </row>
    <row r="1403" spans="1:73" x14ac:dyDescent="0.2">
      <c r="A1403">
        <f t="shared" si="1144"/>
        <v>1</v>
      </c>
      <c r="J1403" s="44" t="str">
        <f t="shared" si="1159"/>
        <v/>
      </c>
      <c r="K1403" t="s">
        <v>7</v>
      </c>
      <c r="L1403" t="s">
        <v>172</v>
      </c>
      <c r="M1403" t="s">
        <v>67</v>
      </c>
      <c r="S1403">
        <v>755</v>
      </c>
      <c r="W1403" t="str">
        <f t="shared" si="1135"/>
        <v>h</v>
      </c>
      <c r="X1403">
        <v>79</v>
      </c>
      <c r="Y1403" t="b">
        <f>IF(X1403&lt;&gt;"",VLOOKUP(X1403,game_rosters!$C$43:$E$64,3,FALSE))</f>
        <v>0</v>
      </c>
      <c r="Z1403" cm="1">
        <f t="array" ref="Z1403">IFERROR(IF(_xlfn._xlws.FILTER(game_rosters!$J:$J,(game_rosters!$G:$G=events!$AN1403)*(game_rosters!$J:$J=events!$X1403))&gt;0,1,""),"")</f>
        <v>1</v>
      </c>
      <c r="AA1403">
        <f t="shared" si="1183"/>
        <v>1755</v>
      </c>
      <c r="AB1403" t="str">
        <f t="shared" si="1184"/>
        <v/>
      </c>
      <c r="AC1403">
        <f t="shared" si="1132"/>
        <v>1755</v>
      </c>
      <c r="AD1403" s="6">
        <v>2</v>
      </c>
      <c r="AE1403" t="s">
        <v>941</v>
      </c>
      <c r="AF1403" t="s">
        <v>899</v>
      </c>
      <c r="AG1403" t="s">
        <v>756</v>
      </c>
      <c r="AH1403" t="s">
        <v>756</v>
      </c>
      <c r="AI1403" t="s">
        <v>367</v>
      </c>
      <c r="AJ1403" t="str">
        <f t="shared" ref="AJ1403:AK1403" si="1215">IF($J1403&lt;&gt;"",$J1403,IF($AC1403=$AC1402,AJ1402,""))</f>
        <v/>
      </c>
      <c r="AK1403" t="str">
        <f t="shared" si="1215"/>
        <v/>
      </c>
      <c r="AL1403" t="str">
        <f t="shared" si="1137"/>
        <v/>
      </c>
      <c r="AN1403" t="s">
        <v>861</v>
      </c>
      <c r="AO1403" t="str">
        <f t="shared" si="1138"/>
        <v>h</v>
      </c>
      <c r="AP1403" t="str">
        <f t="shared" si="1146"/>
        <v/>
      </c>
      <c r="AQ1403" t="str">
        <f t="shared" si="1147"/>
        <v/>
      </c>
      <c r="AR1403" t="str">
        <f t="shared" si="1148"/>
        <v>Home</v>
      </c>
      <c r="AS1403" t="str">
        <f t="shared" si="1149"/>
        <v>h</v>
      </c>
      <c r="AT1403" t="str">
        <f t="shared" si="1150"/>
        <v>Offensive</v>
      </c>
      <c r="BA1403" s="6">
        <f t="shared" si="1139"/>
        <v>323</v>
      </c>
      <c r="BB1403">
        <f t="shared" si="1140"/>
        <v>18981</v>
      </c>
      <c r="BC1403" t="str">
        <f t="shared" si="1141"/>
        <v>Nelson</v>
      </c>
      <c r="BD1403" t="str">
        <f t="shared" si="1142"/>
        <v>Velodrome</v>
      </c>
      <c r="BE1403" t="s">
        <v>7</v>
      </c>
      <c r="BF1403" t="s">
        <v>172</v>
      </c>
      <c r="BG1403" t="s">
        <v>67</v>
      </c>
      <c r="BI1403" cm="1">
        <f t="array" ref="BI1403">IFERROR(_xlfn._xlws.FILTER(shifts!A:A,(shifts!B:B=events!AD1403)*(shifts!AG:AG&gt;=events!BK1403)*(shifts!AH:AH&lt;=events!BL1403)),BI1402)</f>
        <v>62</v>
      </c>
      <c r="BJ1403" s="15">
        <f t="shared" si="1143"/>
        <v>0</v>
      </c>
      <c r="BK1403">
        <f t="shared" si="1151"/>
        <v>288</v>
      </c>
      <c r="BL1403">
        <f t="shared" si="1152"/>
        <v>288</v>
      </c>
      <c r="BM1403" s="15">
        <f>SUMIFS(BJ$2:BJ1403,K$2:K1403,"=Intermission")+SUMIFS(BJ$2:BJ1403,K$2:K1403,"=Timeout")</f>
        <v>72</v>
      </c>
      <c r="BN1403">
        <f t="shared" si="1153"/>
        <v>1152</v>
      </c>
      <c r="BO1403" s="19">
        <f t="shared" si="1154"/>
        <v>1944</v>
      </c>
      <c r="BP1403">
        <f t="shared" si="1155"/>
        <v>1939</v>
      </c>
      <c r="BQ1403" s="17">
        <f t="shared" si="1156"/>
        <v>1944</v>
      </c>
      <c r="BR1403" t="str">
        <f t="shared" si="1157"/>
        <v>event_team_player_1</v>
      </c>
      <c r="BS1403">
        <f>COUNTIFS(S$3:S1403,"="&amp;S1403,AI$3:AI1403,"="&amp;AI1403)</f>
        <v>1</v>
      </c>
      <c r="BT1403" t="str">
        <f>IFERROR(VLOOKUP(BB1403&amp;BU1403&amp;X1403,game_rosters!U:W,3,FALSE),"")</f>
        <v>P100066</v>
      </c>
      <c r="BU1403" t="str">
        <f t="shared" si="1158"/>
        <v>Nelson</v>
      </c>
    </row>
    <row r="1404" spans="1:73" x14ac:dyDescent="0.2">
      <c r="A1404">
        <f t="shared" si="1144"/>
        <v>1</v>
      </c>
      <c r="J1404" s="44" t="str">
        <f t="shared" si="1159"/>
        <v/>
      </c>
      <c r="K1404" t="s">
        <v>7</v>
      </c>
      <c r="L1404" t="s">
        <v>172</v>
      </c>
      <c r="M1404" t="s">
        <v>67</v>
      </c>
      <c r="S1404">
        <v>755</v>
      </c>
      <c r="W1404" t="str">
        <f t="shared" si="1135"/>
        <v>h</v>
      </c>
      <c r="X1404">
        <v>15</v>
      </c>
      <c r="Y1404" t="b">
        <f>IF(X1404&lt;&gt;"",VLOOKUP(X1404,game_rosters!$C$43:$E$64,3,FALSE))</f>
        <v>0</v>
      </c>
      <c r="Z1404" cm="1">
        <f t="array" ref="Z1404">IFERROR(IF(_xlfn._xlws.FILTER(game_rosters!$J:$J,(game_rosters!$G:$G=events!$AN1404)*(game_rosters!$J:$J=events!$X1404))&gt;0,1,""),"")</f>
        <v>1</v>
      </c>
      <c r="AA1404">
        <f t="shared" si="1183"/>
        <v>1755</v>
      </c>
      <c r="AB1404" t="str">
        <f t="shared" si="1184"/>
        <v/>
      </c>
      <c r="AC1404">
        <f t="shared" si="1132"/>
        <v>1755</v>
      </c>
      <c r="AD1404" s="6">
        <v>2</v>
      </c>
      <c r="AE1404" t="s">
        <v>941</v>
      </c>
      <c r="AF1404" t="s">
        <v>899</v>
      </c>
      <c r="AG1404" t="s">
        <v>756</v>
      </c>
      <c r="AH1404" t="s">
        <v>756</v>
      </c>
      <c r="AI1404" t="s">
        <v>367</v>
      </c>
      <c r="AJ1404" t="str">
        <f t="shared" ref="AJ1404:AK1404" si="1216">IF($J1404&lt;&gt;"",$J1404,IF($AC1404=$AC1403,AJ1403,""))</f>
        <v/>
      </c>
      <c r="AK1404" t="str">
        <f t="shared" si="1216"/>
        <v/>
      </c>
      <c r="AL1404" t="str">
        <f t="shared" si="1137"/>
        <v/>
      </c>
      <c r="AN1404" t="s">
        <v>861</v>
      </c>
      <c r="AO1404" t="str">
        <f t="shared" si="1138"/>
        <v>h</v>
      </c>
      <c r="AP1404" t="str">
        <f t="shared" si="1146"/>
        <v/>
      </c>
      <c r="AQ1404" t="str">
        <f t="shared" si="1147"/>
        <v/>
      </c>
      <c r="AR1404" t="str">
        <f t="shared" si="1148"/>
        <v>Home</v>
      </c>
      <c r="AS1404" t="str">
        <f t="shared" si="1149"/>
        <v>h</v>
      </c>
      <c r="AT1404" t="str">
        <f t="shared" si="1150"/>
        <v>Offensive</v>
      </c>
      <c r="BA1404" s="6">
        <f t="shared" si="1139"/>
        <v>323</v>
      </c>
      <c r="BB1404">
        <f t="shared" si="1140"/>
        <v>18981</v>
      </c>
      <c r="BC1404" t="str">
        <f t="shared" si="1141"/>
        <v>Nelson</v>
      </c>
      <c r="BD1404" t="str">
        <f t="shared" si="1142"/>
        <v>Velodrome</v>
      </c>
      <c r="BE1404" t="s">
        <v>7</v>
      </c>
      <c r="BF1404" t="s">
        <v>172</v>
      </c>
      <c r="BG1404" t="s">
        <v>67</v>
      </c>
      <c r="BI1404" cm="1">
        <f t="array" ref="BI1404">IFERROR(_xlfn._xlws.FILTER(shifts!A:A,(shifts!B:B=events!AD1404)*(shifts!AG:AG&gt;=events!BK1404)*(shifts!AH:AH&lt;=events!BL1404)),BI1403)</f>
        <v>62</v>
      </c>
      <c r="BJ1404" s="15">
        <f t="shared" si="1143"/>
        <v>0</v>
      </c>
      <c r="BK1404">
        <f t="shared" si="1151"/>
        <v>288</v>
      </c>
      <c r="BL1404">
        <f t="shared" si="1152"/>
        <v>288</v>
      </c>
      <c r="BM1404" s="15">
        <f>SUMIFS(BJ$2:BJ1404,K$2:K1404,"=Intermission")+SUMIFS(BJ$2:BJ1404,K$2:K1404,"=Timeout")</f>
        <v>72</v>
      </c>
      <c r="BN1404">
        <f t="shared" si="1153"/>
        <v>1152</v>
      </c>
      <c r="BO1404" s="19">
        <f t="shared" si="1154"/>
        <v>1944</v>
      </c>
      <c r="BP1404">
        <f t="shared" si="1155"/>
        <v>1939</v>
      </c>
      <c r="BQ1404" s="17">
        <f t="shared" si="1156"/>
        <v>1944</v>
      </c>
      <c r="BR1404" t="str">
        <f t="shared" si="1157"/>
        <v>event_team_player_2</v>
      </c>
      <c r="BS1404">
        <f>COUNTIFS(S$3:S1404,"="&amp;S1404,AI$3:AI1404,"="&amp;AI1404)</f>
        <v>2</v>
      </c>
      <c r="BT1404" t="str">
        <f>IFERROR(VLOOKUP(BB1404&amp;BU1404&amp;X1404,game_rosters!U:W,3,FALSE),"")</f>
        <v>P100071</v>
      </c>
      <c r="BU1404" t="str">
        <f t="shared" si="1158"/>
        <v>Nelson</v>
      </c>
    </row>
    <row r="1405" spans="1:73" x14ac:dyDescent="0.2">
      <c r="A1405">
        <f t="shared" si="1144"/>
        <v>1</v>
      </c>
      <c r="J1405" s="44" t="str">
        <f t="shared" si="1159"/>
        <v/>
      </c>
      <c r="K1405" t="s">
        <v>7</v>
      </c>
      <c r="L1405" t="s">
        <v>172</v>
      </c>
      <c r="M1405" t="s">
        <v>67</v>
      </c>
      <c r="S1405">
        <v>755</v>
      </c>
      <c r="W1405" t="str">
        <f t="shared" si="1135"/>
        <v>h</v>
      </c>
      <c r="X1405">
        <v>9</v>
      </c>
      <c r="Y1405" t="e">
        <f>IF(X1405&lt;&gt;"",VLOOKUP(X1405,game_rosters!$C$43:$E$64,3,FALSE))</f>
        <v>#N/A</v>
      </c>
      <c r="Z1405" t="str" cm="1">
        <f t="array" ref="Z1405">IFERROR(IF(_xlfn._xlws.FILTER(game_rosters!$J:$J,(game_rosters!$G:$G=events!$AN1405)*(game_rosters!$J:$J=events!$X1405))&gt;0,1,""),"")</f>
        <v/>
      </c>
      <c r="AA1405">
        <f t="shared" si="1183"/>
        <v>1755</v>
      </c>
      <c r="AB1405" t="str">
        <f t="shared" si="1184"/>
        <v/>
      </c>
      <c r="AC1405">
        <f t="shared" si="1132"/>
        <v>1755</v>
      </c>
      <c r="AD1405" s="6">
        <v>2</v>
      </c>
      <c r="AE1405" t="s">
        <v>941</v>
      </c>
      <c r="AF1405" t="s">
        <v>899</v>
      </c>
      <c r="AG1405" t="s">
        <v>756</v>
      </c>
      <c r="AH1405" t="s">
        <v>756</v>
      </c>
      <c r="AI1405" t="s">
        <v>368</v>
      </c>
      <c r="AJ1405" t="str">
        <f t="shared" ref="AJ1405:AK1405" si="1217">IF($J1405&lt;&gt;"",$J1405,IF($AC1405=$AC1404,AJ1404,""))</f>
        <v/>
      </c>
      <c r="AK1405" t="str">
        <f t="shared" si="1217"/>
        <v/>
      </c>
      <c r="AL1405" t="str">
        <f t="shared" si="1137"/>
        <v/>
      </c>
      <c r="AN1405" t="s">
        <v>861</v>
      </c>
      <c r="AO1405" t="str">
        <f t="shared" si="1138"/>
        <v>h</v>
      </c>
      <c r="AP1405" t="str">
        <f t="shared" si="1146"/>
        <v/>
      </c>
      <c r="AQ1405" t="str">
        <f t="shared" si="1147"/>
        <v/>
      </c>
      <c r="AR1405" t="str">
        <f t="shared" si="1148"/>
        <v>Home</v>
      </c>
      <c r="AS1405" t="str">
        <f t="shared" si="1149"/>
        <v>h</v>
      </c>
      <c r="AT1405" t="str">
        <f t="shared" si="1150"/>
        <v>Defensive</v>
      </c>
      <c r="BA1405" s="6">
        <f t="shared" si="1139"/>
        <v>323</v>
      </c>
      <c r="BB1405">
        <f t="shared" si="1140"/>
        <v>18981</v>
      </c>
      <c r="BC1405" t="str">
        <f t="shared" si="1141"/>
        <v>Nelson</v>
      </c>
      <c r="BD1405" t="str">
        <f t="shared" si="1142"/>
        <v>Velodrome</v>
      </c>
      <c r="BE1405" t="s">
        <v>7</v>
      </c>
      <c r="BF1405" t="s">
        <v>172</v>
      </c>
      <c r="BG1405" t="s">
        <v>67</v>
      </c>
      <c r="BI1405" cm="1">
        <f t="array" ref="BI1405">IFERROR(_xlfn._xlws.FILTER(shifts!A:A,(shifts!B:B=events!AD1405)*(shifts!AG:AG&gt;=events!BK1405)*(shifts!AH:AH&lt;=events!BL1405)),BI1404)</f>
        <v>62</v>
      </c>
      <c r="BJ1405" s="15">
        <f t="shared" si="1143"/>
        <v>0</v>
      </c>
      <c r="BK1405">
        <f t="shared" si="1151"/>
        <v>288</v>
      </c>
      <c r="BL1405">
        <f t="shared" si="1152"/>
        <v>288</v>
      </c>
      <c r="BM1405" s="15">
        <f>SUMIFS(BJ$2:BJ1405,K$2:K1405,"=Intermission")+SUMIFS(BJ$2:BJ1405,K$2:K1405,"=Timeout")</f>
        <v>72</v>
      </c>
      <c r="BN1405">
        <f t="shared" si="1153"/>
        <v>1152</v>
      </c>
      <c r="BO1405" s="19">
        <f t="shared" si="1154"/>
        <v>1944</v>
      </c>
      <c r="BP1405">
        <f t="shared" si="1155"/>
        <v>1939</v>
      </c>
      <c r="BQ1405" s="17">
        <f t="shared" si="1156"/>
        <v>1944</v>
      </c>
      <c r="BR1405" t="str">
        <f t="shared" si="1157"/>
        <v>opp_team_player_1</v>
      </c>
      <c r="BS1405">
        <f>COUNTIFS(S$3:S1405,"="&amp;S1405,AI$3:AI1405,"="&amp;AI1405)</f>
        <v>1</v>
      </c>
      <c r="BT1405" t="str">
        <f>IFERROR(VLOOKUP(BB1405&amp;BU1405&amp;X1405,game_rosters!U:W,3,FALSE),"")</f>
        <v>P100105</v>
      </c>
      <c r="BU1405" t="str">
        <f t="shared" si="1158"/>
        <v>Velodrome</v>
      </c>
    </row>
    <row r="1406" spans="1:73" x14ac:dyDescent="0.2">
      <c r="A1406">
        <f t="shared" si="1144"/>
        <v>1</v>
      </c>
      <c r="J1406" s="44" t="str">
        <f t="shared" si="1159"/>
        <v/>
      </c>
      <c r="K1406" t="s">
        <v>7</v>
      </c>
      <c r="L1406" t="s">
        <v>182</v>
      </c>
      <c r="M1406" t="s">
        <v>68</v>
      </c>
      <c r="S1406">
        <v>756</v>
      </c>
      <c r="W1406" t="str">
        <f t="shared" si="1135"/>
        <v>h</v>
      </c>
      <c r="X1406">
        <v>15</v>
      </c>
      <c r="Y1406" t="b">
        <f>IF(X1406&lt;&gt;"",VLOOKUP(X1406,game_rosters!$C$43:$E$64,3,FALSE))</f>
        <v>0</v>
      </c>
      <c r="Z1406" cm="1">
        <f t="array" ref="Z1406">IFERROR(IF(_xlfn._xlws.FILTER(game_rosters!$J:$J,(game_rosters!$G:$G=events!$AN1406)*(game_rosters!$J:$J=events!$X1406))&gt;0,1,""),"")</f>
        <v>1</v>
      </c>
      <c r="AA1406">
        <f t="shared" si="1183"/>
        <v>1756</v>
      </c>
      <c r="AB1406" t="str">
        <f t="shared" si="1184"/>
        <v/>
      </c>
      <c r="AC1406">
        <f t="shared" si="1132"/>
        <v>1756</v>
      </c>
      <c r="AD1406" s="6">
        <v>2</v>
      </c>
      <c r="AE1406" t="s">
        <v>941</v>
      </c>
      <c r="AF1406" t="s">
        <v>935</v>
      </c>
      <c r="AG1406" t="s">
        <v>756</v>
      </c>
      <c r="AH1406" t="s">
        <v>756</v>
      </c>
      <c r="AI1406" t="s">
        <v>367</v>
      </c>
      <c r="AJ1406" t="str">
        <f t="shared" ref="AJ1406:AK1406" si="1218">IF($J1406&lt;&gt;"",$J1406,IF($AC1406=$AC1405,AJ1405,""))</f>
        <v/>
      </c>
      <c r="AK1406" t="str">
        <f t="shared" si="1218"/>
        <v/>
      </c>
      <c r="AL1406" t="str">
        <f t="shared" si="1137"/>
        <v/>
      </c>
      <c r="AN1406" t="s">
        <v>861</v>
      </c>
      <c r="AO1406" t="str">
        <f t="shared" si="1138"/>
        <v>h</v>
      </c>
      <c r="AP1406" t="str">
        <f t="shared" si="1146"/>
        <v/>
      </c>
      <c r="AQ1406" t="str">
        <f t="shared" si="1147"/>
        <v/>
      </c>
      <c r="AR1406" t="str">
        <f t="shared" si="1148"/>
        <v>Home</v>
      </c>
      <c r="AS1406" t="str">
        <f t="shared" si="1149"/>
        <v>h</v>
      </c>
      <c r="AT1406" t="str">
        <f t="shared" si="1150"/>
        <v>Offensive</v>
      </c>
      <c r="BA1406" s="6">
        <f t="shared" si="1139"/>
        <v>323</v>
      </c>
      <c r="BB1406">
        <f t="shared" si="1140"/>
        <v>18981</v>
      </c>
      <c r="BC1406" t="str">
        <f t="shared" si="1141"/>
        <v>Nelson</v>
      </c>
      <c r="BD1406" t="str">
        <f t="shared" si="1142"/>
        <v>Velodrome</v>
      </c>
      <c r="BE1406" t="s">
        <v>7</v>
      </c>
      <c r="BF1406" t="s">
        <v>182</v>
      </c>
      <c r="BG1406" t="s">
        <v>68</v>
      </c>
      <c r="BI1406" cm="1">
        <f t="array" ref="BI1406">IFERROR(_xlfn._xlws.FILTER(shifts!A:A,(shifts!B:B=events!AD1406)*(shifts!AG:AG&gt;=events!BK1406)*(shifts!AH:AH&lt;=events!BL1406)),BI1405)</f>
        <v>62</v>
      </c>
      <c r="BJ1406" s="15">
        <f t="shared" si="1143"/>
        <v>0</v>
      </c>
      <c r="BK1406">
        <f t="shared" si="1151"/>
        <v>285</v>
      </c>
      <c r="BL1406">
        <f t="shared" si="1152"/>
        <v>285</v>
      </c>
      <c r="BM1406" s="15">
        <f>SUMIFS(BJ$2:BJ1406,K$2:K1406,"=Intermission")+SUMIFS(BJ$2:BJ1406,K$2:K1406,"=Timeout")</f>
        <v>72</v>
      </c>
      <c r="BN1406">
        <f t="shared" si="1153"/>
        <v>1152</v>
      </c>
      <c r="BO1406" s="19">
        <f t="shared" si="1154"/>
        <v>1947</v>
      </c>
      <c r="BP1406">
        <f t="shared" si="1155"/>
        <v>1942</v>
      </c>
      <c r="BQ1406" s="17">
        <f t="shared" si="1156"/>
        <v>1947</v>
      </c>
      <c r="BR1406" t="str">
        <f t="shared" si="1157"/>
        <v>event_team_player_1</v>
      </c>
      <c r="BS1406">
        <f>COUNTIFS(S$3:S1406,"="&amp;S1406,AI$3:AI1406,"="&amp;AI1406)</f>
        <v>1</v>
      </c>
      <c r="BT1406" t="str">
        <f>IFERROR(VLOOKUP(BB1406&amp;BU1406&amp;X1406,game_rosters!U:W,3,FALSE),"")</f>
        <v>P100071</v>
      </c>
      <c r="BU1406" t="str">
        <f t="shared" si="1158"/>
        <v>Nelson</v>
      </c>
    </row>
    <row r="1407" spans="1:73" x14ac:dyDescent="0.2">
      <c r="A1407">
        <f t="shared" si="1144"/>
        <v>1</v>
      </c>
      <c r="J1407" s="44" t="str">
        <f t="shared" si="1159"/>
        <v/>
      </c>
      <c r="K1407" t="s">
        <v>7</v>
      </c>
      <c r="L1407" t="s">
        <v>182</v>
      </c>
      <c r="M1407" t="s">
        <v>68</v>
      </c>
      <c r="S1407">
        <v>756</v>
      </c>
      <c r="W1407" t="str">
        <f t="shared" si="1135"/>
        <v>h</v>
      </c>
      <c r="X1407">
        <v>16</v>
      </c>
      <c r="Y1407" t="b">
        <f>IF(X1407&lt;&gt;"",VLOOKUP(X1407,game_rosters!$C$43:$E$64,3,FALSE))</f>
        <v>0</v>
      </c>
      <c r="Z1407" cm="1">
        <f t="array" ref="Z1407">IFERROR(IF(_xlfn._xlws.FILTER(game_rosters!$J:$J,(game_rosters!$G:$G=events!$AN1407)*(game_rosters!$J:$J=events!$X1407))&gt;0,1,""),"")</f>
        <v>1</v>
      </c>
      <c r="AA1407">
        <f t="shared" si="1183"/>
        <v>1756</v>
      </c>
      <c r="AB1407" t="str">
        <f t="shared" si="1184"/>
        <v/>
      </c>
      <c r="AC1407">
        <f t="shared" si="1132"/>
        <v>1756</v>
      </c>
      <c r="AD1407" s="6">
        <v>2</v>
      </c>
      <c r="AE1407" t="s">
        <v>941</v>
      </c>
      <c r="AF1407" t="s">
        <v>935</v>
      </c>
      <c r="AG1407" t="s">
        <v>756</v>
      </c>
      <c r="AH1407" t="s">
        <v>756</v>
      </c>
      <c r="AI1407" t="s">
        <v>367</v>
      </c>
      <c r="AJ1407" t="str">
        <f t="shared" ref="AJ1407:AK1407" si="1219">IF($J1407&lt;&gt;"",$J1407,IF($AC1407=$AC1406,AJ1406,""))</f>
        <v/>
      </c>
      <c r="AK1407" t="str">
        <f t="shared" si="1219"/>
        <v/>
      </c>
      <c r="AL1407" t="str">
        <f t="shared" si="1137"/>
        <v/>
      </c>
      <c r="AN1407" t="s">
        <v>861</v>
      </c>
      <c r="AO1407" t="str">
        <f t="shared" si="1138"/>
        <v>h</v>
      </c>
      <c r="AP1407" t="str">
        <f t="shared" si="1146"/>
        <v/>
      </c>
      <c r="AQ1407" t="str">
        <f t="shared" si="1147"/>
        <v/>
      </c>
      <c r="AR1407" t="str">
        <f t="shared" si="1148"/>
        <v>Home</v>
      </c>
      <c r="AS1407" t="str">
        <f t="shared" si="1149"/>
        <v>h</v>
      </c>
      <c r="AT1407" t="str">
        <f t="shared" si="1150"/>
        <v>Offensive</v>
      </c>
      <c r="BA1407" s="6">
        <f t="shared" si="1139"/>
        <v>323</v>
      </c>
      <c r="BB1407">
        <f t="shared" si="1140"/>
        <v>18981</v>
      </c>
      <c r="BC1407" t="str">
        <f t="shared" si="1141"/>
        <v>Nelson</v>
      </c>
      <c r="BD1407" t="str">
        <f t="shared" si="1142"/>
        <v>Velodrome</v>
      </c>
      <c r="BE1407" t="s">
        <v>7</v>
      </c>
      <c r="BF1407" t="s">
        <v>182</v>
      </c>
      <c r="BG1407" t="s">
        <v>68</v>
      </c>
      <c r="BI1407" cm="1">
        <f t="array" ref="BI1407">IFERROR(_xlfn._xlws.FILTER(shifts!A:A,(shifts!B:B=events!AD1407)*(shifts!AG:AG&gt;=events!BK1407)*(shifts!AH:AH&lt;=events!BL1407)),BI1406)</f>
        <v>62</v>
      </c>
      <c r="BJ1407" s="15">
        <f t="shared" si="1143"/>
        <v>0</v>
      </c>
      <c r="BK1407">
        <f t="shared" si="1151"/>
        <v>285</v>
      </c>
      <c r="BL1407">
        <f t="shared" si="1152"/>
        <v>285</v>
      </c>
      <c r="BM1407" s="15">
        <f>SUMIFS(BJ$2:BJ1407,K$2:K1407,"=Intermission")+SUMIFS(BJ$2:BJ1407,K$2:K1407,"=Timeout")</f>
        <v>72</v>
      </c>
      <c r="BN1407">
        <f t="shared" si="1153"/>
        <v>1152</v>
      </c>
      <c r="BO1407" s="19">
        <f t="shared" si="1154"/>
        <v>1947</v>
      </c>
      <c r="BP1407">
        <f t="shared" si="1155"/>
        <v>1942</v>
      </c>
      <c r="BQ1407" s="17">
        <f t="shared" si="1156"/>
        <v>1947</v>
      </c>
      <c r="BR1407" t="str">
        <f t="shared" si="1157"/>
        <v>event_team_player_2</v>
      </c>
      <c r="BS1407">
        <f>COUNTIFS(S$3:S1407,"="&amp;S1407,AI$3:AI1407,"="&amp;AI1407)</f>
        <v>2</v>
      </c>
      <c r="BT1407" t="str">
        <f>IFERROR(VLOOKUP(BB1407&amp;BU1407&amp;X1407,game_rosters!U:W,3,FALSE),"")</f>
        <v>P100164</v>
      </c>
      <c r="BU1407" t="str">
        <f t="shared" si="1158"/>
        <v>Nelson</v>
      </c>
    </row>
    <row r="1408" spans="1:73" x14ac:dyDescent="0.2">
      <c r="A1408">
        <f t="shared" si="1144"/>
        <v>1</v>
      </c>
      <c r="J1408" s="44" t="str">
        <f t="shared" si="1159"/>
        <v/>
      </c>
      <c r="K1408" t="s">
        <v>7</v>
      </c>
      <c r="L1408" t="s">
        <v>182</v>
      </c>
      <c r="M1408" t="s">
        <v>68</v>
      </c>
      <c r="S1408">
        <v>756</v>
      </c>
      <c r="W1408" t="str">
        <f t="shared" si="1135"/>
        <v>h</v>
      </c>
      <c r="X1408">
        <v>42</v>
      </c>
      <c r="Y1408" t="e">
        <f>IF(X1408&lt;&gt;"",VLOOKUP(X1408,game_rosters!$C$43:$E$64,3,FALSE))</f>
        <v>#N/A</v>
      </c>
      <c r="Z1408" t="str" cm="1">
        <f t="array" ref="Z1408">IFERROR(IF(_xlfn._xlws.FILTER(game_rosters!$J:$J,(game_rosters!$G:$G=events!$AN1408)*(game_rosters!$J:$J=events!$X1408))&gt;0,1,""),"")</f>
        <v/>
      </c>
      <c r="AA1408">
        <f t="shared" si="1183"/>
        <v>1756</v>
      </c>
      <c r="AB1408" t="str">
        <f t="shared" si="1184"/>
        <v/>
      </c>
      <c r="AC1408">
        <f t="shared" si="1132"/>
        <v>1756</v>
      </c>
      <c r="AD1408" s="6">
        <v>2</v>
      </c>
      <c r="AE1408" t="s">
        <v>941</v>
      </c>
      <c r="AF1408" t="s">
        <v>935</v>
      </c>
      <c r="AG1408" t="s">
        <v>756</v>
      </c>
      <c r="AH1408" t="s">
        <v>756</v>
      </c>
      <c r="AI1408" t="s">
        <v>368</v>
      </c>
      <c r="AJ1408" t="str">
        <f t="shared" ref="AJ1408:AK1408" si="1220">IF($J1408&lt;&gt;"",$J1408,IF($AC1408=$AC1407,AJ1407,""))</f>
        <v/>
      </c>
      <c r="AK1408" t="str">
        <f t="shared" si="1220"/>
        <v/>
      </c>
      <c r="AL1408" t="str">
        <f t="shared" si="1137"/>
        <v/>
      </c>
      <c r="AN1408" t="s">
        <v>861</v>
      </c>
      <c r="AO1408" t="str">
        <f t="shared" si="1138"/>
        <v>h</v>
      </c>
      <c r="AP1408" t="str">
        <f t="shared" si="1146"/>
        <v/>
      </c>
      <c r="AQ1408" t="str">
        <f t="shared" si="1147"/>
        <v/>
      </c>
      <c r="AR1408" t="str">
        <f t="shared" si="1148"/>
        <v>Home</v>
      </c>
      <c r="AS1408" t="str">
        <f t="shared" si="1149"/>
        <v>h</v>
      </c>
      <c r="AT1408" t="str">
        <f t="shared" si="1150"/>
        <v>Defensive</v>
      </c>
      <c r="BA1408" s="6">
        <f t="shared" si="1139"/>
        <v>323</v>
      </c>
      <c r="BB1408">
        <f t="shared" si="1140"/>
        <v>18981</v>
      </c>
      <c r="BC1408" t="str">
        <f t="shared" si="1141"/>
        <v>Nelson</v>
      </c>
      <c r="BD1408" t="str">
        <f t="shared" si="1142"/>
        <v>Velodrome</v>
      </c>
      <c r="BE1408" t="s">
        <v>7</v>
      </c>
      <c r="BF1408" t="s">
        <v>182</v>
      </c>
      <c r="BG1408" t="s">
        <v>68</v>
      </c>
      <c r="BI1408" cm="1">
        <f t="array" ref="BI1408">IFERROR(_xlfn._xlws.FILTER(shifts!A:A,(shifts!B:B=events!AD1408)*(shifts!AG:AG&gt;=events!BK1408)*(shifts!AH:AH&lt;=events!BL1408)),BI1407)</f>
        <v>62</v>
      </c>
      <c r="BJ1408" s="15">
        <f t="shared" si="1143"/>
        <v>0</v>
      </c>
      <c r="BK1408">
        <f t="shared" si="1151"/>
        <v>285</v>
      </c>
      <c r="BL1408">
        <f t="shared" si="1152"/>
        <v>285</v>
      </c>
      <c r="BM1408" s="15">
        <f>SUMIFS(BJ$2:BJ1408,K$2:K1408,"=Intermission")+SUMIFS(BJ$2:BJ1408,K$2:K1408,"=Timeout")</f>
        <v>72</v>
      </c>
      <c r="BN1408">
        <f t="shared" si="1153"/>
        <v>1152</v>
      </c>
      <c r="BO1408" s="19">
        <f t="shared" si="1154"/>
        <v>1947</v>
      </c>
      <c r="BP1408">
        <f t="shared" si="1155"/>
        <v>1942</v>
      </c>
      <c r="BQ1408" s="17">
        <f t="shared" si="1156"/>
        <v>1947</v>
      </c>
      <c r="BR1408" t="str">
        <f t="shared" si="1157"/>
        <v>opp_team_player_1</v>
      </c>
      <c r="BS1408">
        <f>COUNTIFS(S$3:S1408,"="&amp;S1408,AI$3:AI1408,"="&amp;AI1408)</f>
        <v>1</v>
      </c>
      <c r="BT1408" t="str">
        <f>IFERROR(VLOOKUP(BB1408&amp;BU1408&amp;X1408,game_rosters!U:W,3,FALSE),"")</f>
        <v>P100201</v>
      </c>
      <c r="BU1408" t="str">
        <f t="shared" si="1158"/>
        <v>Velodrome</v>
      </c>
    </row>
    <row r="1409" spans="1:73" x14ac:dyDescent="0.2">
      <c r="A1409">
        <f t="shared" si="1144"/>
        <v>1</v>
      </c>
      <c r="J1409" s="44" t="str">
        <f t="shared" si="1159"/>
        <v/>
      </c>
      <c r="K1409" t="s">
        <v>238</v>
      </c>
      <c r="L1409" t="s">
        <v>193</v>
      </c>
      <c r="M1409" t="s">
        <v>91</v>
      </c>
      <c r="S1409">
        <v>757</v>
      </c>
      <c r="W1409" t="str">
        <f t="shared" si="1135"/>
        <v>h</v>
      </c>
      <c r="X1409">
        <v>8</v>
      </c>
      <c r="Y1409" t="b">
        <f>IF(X1409&lt;&gt;"",VLOOKUP(X1409,game_rosters!$C$43:$E$64,3,FALSE))</f>
        <v>0</v>
      </c>
      <c r="Z1409" cm="1">
        <f t="array" ref="Z1409">IFERROR(IF(_xlfn._xlws.FILTER(game_rosters!$J:$J,(game_rosters!$G:$G=events!$AN1409)*(game_rosters!$J:$J=events!$X1409))&gt;0,1,""),"")</f>
        <v>1</v>
      </c>
      <c r="AA1409">
        <f t="shared" si="1183"/>
        <v>1757</v>
      </c>
      <c r="AB1409" t="str">
        <f t="shared" si="1184"/>
        <v/>
      </c>
      <c r="AC1409">
        <f t="shared" si="1132"/>
        <v>1757</v>
      </c>
      <c r="AD1409" s="6">
        <v>2</v>
      </c>
      <c r="AE1409" t="s">
        <v>941</v>
      </c>
      <c r="AF1409" t="s">
        <v>901</v>
      </c>
      <c r="AG1409" t="s">
        <v>756</v>
      </c>
      <c r="AH1409" t="s">
        <v>756</v>
      </c>
      <c r="AI1409" t="s">
        <v>367</v>
      </c>
      <c r="AJ1409" t="str">
        <f t="shared" ref="AJ1409:AK1409" si="1221">IF($J1409&lt;&gt;"",$J1409,IF($AC1409=$AC1408,AJ1408,""))</f>
        <v/>
      </c>
      <c r="AK1409" t="str">
        <f t="shared" si="1221"/>
        <v/>
      </c>
      <c r="AL1409" t="str">
        <f t="shared" si="1137"/>
        <v/>
      </c>
      <c r="AN1409" t="s">
        <v>861</v>
      </c>
      <c r="AO1409" t="str">
        <f t="shared" si="1138"/>
        <v>h</v>
      </c>
      <c r="AP1409" t="str">
        <f t="shared" si="1146"/>
        <v/>
      </c>
      <c r="AQ1409" t="str">
        <f t="shared" si="1147"/>
        <v/>
      </c>
      <c r="AR1409" t="str">
        <f t="shared" si="1148"/>
        <v>Home</v>
      </c>
      <c r="AS1409" t="str">
        <f t="shared" si="1149"/>
        <v>h</v>
      </c>
      <c r="AT1409" t="str">
        <f t="shared" si="1150"/>
        <v>Offensive</v>
      </c>
      <c r="BA1409" s="6">
        <f t="shared" si="1139"/>
        <v>323</v>
      </c>
      <c r="BB1409">
        <f t="shared" si="1140"/>
        <v>18981</v>
      </c>
      <c r="BC1409" t="str">
        <f t="shared" si="1141"/>
        <v>Nelson</v>
      </c>
      <c r="BD1409" t="str">
        <f t="shared" si="1142"/>
        <v>Velodrome</v>
      </c>
      <c r="BE1409" t="s">
        <v>238</v>
      </c>
      <c r="BF1409" t="s">
        <v>193</v>
      </c>
      <c r="BG1409" t="s">
        <v>91</v>
      </c>
      <c r="BI1409" cm="1">
        <f t="array" ref="BI1409">IFERROR(_xlfn._xlws.FILTER(shifts!A:A,(shifts!B:B=events!AD1409)*(shifts!AG:AG&gt;=events!BK1409)*(shifts!AH:AH&lt;=events!BL1409)),BI1408)</f>
        <v>62</v>
      </c>
      <c r="BJ1409" s="15">
        <f t="shared" si="1143"/>
        <v>0</v>
      </c>
      <c r="BK1409">
        <f t="shared" si="1151"/>
        <v>283</v>
      </c>
      <c r="BL1409">
        <f t="shared" si="1152"/>
        <v>283</v>
      </c>
      <c r="BM1409" s="15">
        <f>SUMIFS(BJ$2:BJ1409,K$2:K1409,"=Intermission")+SUMIFS(BJ$2:BJ1409,K$2:K1409,"=Timeout")</f>
        <v>72</v>
      </c>
      <c r="BN1409">
        <f t="shared" si="1153"/>
        <v>1152</v>
      </c>
      <c r="BO1409" s="19">
        <f t="shared" si="1154"/>
        <v>1949</v>
      </c>
      <c r="BP1409">
        <f t="shared" si="1155"/>
        <v>1944</v>
      </c>
      <c r="BQ1409" s="17">
        <f t="shared" si="1156"/>
        <v>1949</v>
      </c>
      <c r="BR1409" t="str">
        <f t="shared" si="1157"/>
        <v>event_team_player_1</v>
      </c>
      <c r="BS1409">
        <f>COUNTIFS(S$3:S1409,"="&amp;S1409,AI$3:AI1409,"="&amp;AI1409)</f>
        <v>1</v>
      </c>
      <c r="BT1409" t="str">
        <f>IFERROR(VLOOKUP(BB1409&amp;BU1409&amp;X1409,game_rosters!U:W,3,FALSE),"")</f>
        <v>P100074</v>
      </c>
      <c r="BU1409" t="str">
        <f t="shared" si="1158"/>
        <v>Nelson</v>
      </c>
    </row>
    <row r="1410" spans="1:73" x14ac:dyDescent="0.2">
      <c r="A1410">
        <f t="shared" si="1144"/>
        <v>1</v>
      </c>
      <c r="J1410" s="44" t="str">
        <f t="shared" si="1159"/>
        <v>o</v>
      </c>
      <c r="K1410" t="s">
        <v>6</v>
      </c>
      <c r="L1410" t="s">
        <v>191</v>
      </c>
      <c r="M1410" t="s">
        <v>51</v>
      </c>
      <c r="S1410">
        <v>758</v>
      </c>
      <c r="W1410" t="str">
        <f t="shared" si="1135"/>
        <v>h</v>
      </c>
      <c r="X1410">
        <v>8</v>
      </c>
      <c r="Y1410" t="b">
        <f>IF(X1410&lt;&gt;"",VLOOKUP(X1410,game_rosters!$C$43:$E$64,3,FALSE))</f>
        <v>0</v>
      </c>
      <c r="Z1410" cm="1">
        <f t="array" ref="Z1410">IFERROR(IF(_xlfn._xlws.FILTER(game_rosters!$J:$J,(game_rosters!$G:$G=events!$AN1410)*(game_rosters!$J:$J=events!$X1410))&gt;0,1,""),"")</f>
        <v>1</v>
      </c>
      <c r="AA1410">
        <f t="shared" si="1183"/>
        <v>1758</v>
      </c>
      <c r="AB1410" t="str">
        <f t="shared" si="1184"/>
        <v/>
      </c>
      <c r="AC1410">
        <f t="shared" ref="AC1410:AC1473" si="1222">IF(AB1410&lt;&gt;"",AB1410,S1410+1000)</f>
        <v>1758</v>
      </c>
      <c r="AD1410" s="6">
        <v>2</v>
      </c>
      <c r="AE1410" t="s">
        <v>941</v>
      </c>
      <c r="AF1410" t="s">
        <v>902</v>
      </c>
      <c r="AG1410" t="s">
        <v>756</v>
      </c>
      <c r="AH1410" t="s">
        <v>756</v>
      </c>
      <c r="AI1410" t="s">
        <v>367</v>
      </c>
      <c r="AJ1410" t="str">
        <f t="shared" ref="AJ1410:AK1410" si="1223">IF($J1410&lt;&gt;"",$J1410,IF($AC1410=$AC1409,AJ1409,""))</f>
        <v>o</v>
      </c>
      <c r="AK1410" t="str">
        <f t="shared" si="1223"/>
        <v>o</v>
      </c>
      <c r="AL1410" t="str">
        <f t="shared" si="1137"/>
        <v>o</v>
      </c>
      <c r="AN1410" t="s">
        <v>861</v>
      </c>
      <c r="AO1410" t="str">
        <f t="shared" si="1138"/>
        <v>h</v>
      </c>
      <c r="AP1410" t="str">
        <f t="shared" si="1146"/>
        <v>o</v>
      </c>
      <c r="AQ1410" t="str">
        <f t="shared" si="1147"/>
        <v/>
      </c>
      <c r="AR1410" t="str">
        <f t="shared" si="1148"/>
        <v>Home</v>
      </c>
      <c r="AS1410" t="str">
        <f t="shared" si="1149"/>
        <v>h</v>
      </c>
      <c r="AT1410" t="str">
        <f t="shared" si="1150"/>
        <v>Offensive</v>
      </c>
      <c r="BA1410" s="6">
        <f t="shared" si="1139"/>
        <v>323</v>
      </c>
      <c r="BB1410">
        <f t="shared" si="1140"/>
        <v>18981</v>
      </c>
      <c r="BC1410" t="str">
        <f t="shared" si="1141"/>
        <v>Nelson</v>
      </c>
      <c r="BD1410" t="str">
        <f t="shared" si="1142"/>
        <v>Velodrome</v>
      </c>
      <c r="BE1410" t="s">
        <v>6</v>
      </c>
      <c r="BF1410" t="s">
        <v>191</v>
      </c>
      <c r="BG1410" t="s">
        <v>51</v>
      </c>
      <c r="BI1410" cm="1">
        <f t="array" ref="BI1410">IFERROR(_xlfn._xlws.FILTER(shifts!A:A,(shifts!B:B=events!AD1410)*(shifts!AG:AG&gt;=events!BK1410)*(shifts!AH:AH&lt;=events!BL1410)),BI1409)</f>
        <v>62</v>
      </c>
      <c r="BJ1410" s="15">
        <f t="shared" si="1143"/>
        <v>0</v>
      </c>
      <c r="BK1410">
        <f t="shared" si="1151"/>
        <v>282</v>
      </c>
      <c r="BL1410">
        <f t="shared" si="1152"/>
        <v>282</v>
      </c>
      <c r="BM1410" s="15">
        <f>SUMIFS(BJ$2:BJ1410,K$2:K1410,"=Intermission")+SUMIFS(BJ$2:BJ1410,K$2:K1410,"=Timeout")</f>
        <v>72</v>
      </c>
      <c r="BN1410">
        <f t="shared" si="1153"/>
        <v>1152</v>
      </c>
      <c r="BO1410" s="19">
        <f t="shared" si="1154"/>
        <v>1950</v>
      </c>
      <c r="BP1410">
        <f t="shared" si="1155"/>
        <v>1945</v>
      </c>
      <c r="BQ1410" s="17">
        <f t="shared" si="1156"/>
        <v>1950</v>
      </c>
      <c r="BR1410" t="str">
        <f t="shared" si="1157"/>
        <v>event_team_player_1</v>
      </c>
      <c r="BS1410">
        <f>COUNTIFS(S$3:S1410,"="&amp;S1410,AI$3:AI1410,"="&amp;AI1410)</f>
        <v>1</v>
      </c>
      <c r="BT1410" t="str">
        <f>IFERROR(VLOOKUP(BB1410&amp;BU1410&amp;X1410,game_rosters!U:W,3,FALSE),"")</f>
        <v>P100074</v>
      </c>
      <c r="BU1410" t="str">
        <f t="shared" si="1158"/>
        <v>Nelson</v>
      </c>
    </row>
    <row r="1411" spans="1:73" x14ac:dyDescent="0.2">
      <c r="A1411">
        <f t="shared" si="1144"/>
        <v>1</v>
      </c>
      <c r="J1411" s="44" t="str">
        <f t="shared" si="1159"/>
        <v>o</v>
      </c>
      <c r="K1411" t="s">
        <v>6</v>
      </c>
      <c r="L1411" t="s">
        <v>191</v>
      </c>
      <c r="M1411" t="s">
        <v>51</v>
      </c>
      <c r="S1411">
        <v>758</v>
      </c>
      <c r="W1411" t="str">
        <f t="shared" si="1135"/>
        <v>h</v>
      </c>
      <c r="X1411">
        <v>91</v>
      </c>
      <c r="Y1411" t="e">
        <f>IF(X1411&lt;&gt;"",VLOOKUP(X1411,game_rosters!$C$43:$E$64,3,FALSE))</f>
        <v>#N/A</v>
      </c>
      <c r="Z1411" t="str" cm="1">
        <f t="array" ref="Z1411">IFERROR(IF(_xlfn._xlws.FILTER(game_rosters!$J:$J,(game_rosters!$G:$G=events!$AN1411)*(game_rosters!$J:$J=events!$X1411))&gt;0,1,""),"")</f>
        <v/>
      </c>
      <c r="AA1411">
        <f t="shared" si="1183"/>
        <v>1758</v>
      </c>
      <c r="AB1411" t="str">
        <f t="shared" si="1184"/>
        <v/>
      </c>
      <c r="AC1411">
        <f t="shared" si="1222"/>
        <v>1758</v>
      </c>
      <c r="AD1411" s="6">
        <v>2</v>
      </c>
      <c r="AE1411" t="s">
        <v>941</v>
      </c>
      <c r="AF1411" t="s">
        <v>902</v>
      </c>
      <c r="AG1411" t="s">
        <v>756</v>
      </c>
      <c r="AH1411" t="s">
        <v>756</v>
      </c>
      <c r="AI1411" t="s">
        <v>368</v>
      </c>
      <c r="AJ1411" t="str">
        <f t="shared" ref="AJ1411:AK1411" si="1224">IF($J1411&lt;&gt;"",$J1411,IF($AC1411=$AC1410,AJ1410,""))</f>
        <v>o</v>
      </c>
      <c r="AK1411" t="str">
        <f t="shared" si="1224"/>
        <v>o</v>
      </c>
      <c r="AL1411" t="str">
        <f t="shared" si="1137"/>
        <v>o</v>
      </c>
      <c r="AN1411" t="s">
        <v>861</v>
      </c>
      <c r="AO1411" t="str">
        <f t="shared" si="1138"/>
        <v>h</v>
      </c>
      <c r="AP1411" t="str">
        <f t="shared" si="1146"/>
        <v>o</v>
      </c>
      <c r="AQ1411" t="str">
        <f t="shared" si="1147"/>
        <v/>
      </c>
      <c r="AR1411" t="str">
        <f t="shared" si="1148"/>
        <v>Home</v>
      </c>
      <c r="AS1411" t="str">
        <f t="shared" si="1149"/>
        <v>h</v>
      </c>
      <c r="AT1411" t="str">
        <f t="shared" si="1150"/>
        <v>Defensive</v>
      </c>
      <c r="BA1411" s="6">
        <f t="shared" si="1139"/>
        <v>323</v>
      </c>
      <c r="BB1411">
        <f t="shared" si="1140"/>
        <v>18981</v>
      </c>
      <c r="BC1411" t="str">
        <f t="shared" si="1141"/>
        <v>Nelson</v>
      </c>
      <c r="BD1411" t="str">
        <f t="shared" si="1142"/>
        <v>Velodrome</v>
      </c>
      <c r="BE1411" t="s">
        <v>6</v>
      </c>
      <c r="BF1411" t="s">
        <v>191</v>
      </c>
      <c r="BG1411" t="s">
        <v>51</v>
      </c>
      <c r="BI1411" cm="1">
        <f t="array" ref="BI1411">IFERROR(_xlfn._xlws.FILTER(shifts!A:A,(shifts!B:B=events!AD1411)*(shifts!AG:AG&gt;=events!BK1411)*(shifts!AH:AH&lt;=events!BL1411)),BI1410)</f>
        <v>62</v>
      </c>
      <c r="BJ1411" s="15">
        <f t="shared" si="1143"/>
        <v>0</v>
      </c>
      <c r="BK1411">
        <f t="shared" si="1151"/>
        <v>282</v>
      </c>
      <c r="BL1411">
        <f t="shared" si="1152"/>
        <v>282</v>
      </c>
      <c r="BM1411" s="15">
        <f>SUMIFS(BJ$2:BJ1411,K$2:K1411,"=Intermission")+SUMIFS(BJ$2:BJ1411,K$2:K1411,"=Timeout")</f>
        <v>72</v>
      </c>
      <c r="BN1411">
        <f t="shared" si="1153"/>
        <v>1152</v>
      </c>
      <c r="BO1411" s="19">
        <f t="shared" si="1154"/>
        <v>1950</v>
      </c>
      <c r="BP1411">
        <f t="shared" si="1155"/>
        <v>1945</v>
      </c>
      <c r="BQ1411" s="17">
        <f t="shared" si="1156"/>
        <v>1950</v>
      </c>
      <c r="BR1411" t="str">
        <f t="shared" si="1157"/>
        <v>opp_team_player_1</v>
      </c>
      <c r="BS1411">
        <f>COUNTIFS(S$3:S1411,"="&amp;S1411,AI$3:AI1411,"="&amp;AI1411)</f>
        <v>1</v>
      </c>
      <c r="BT1411" t="str">
        <f>IFERROR(VLOOKUP(BB1411&amp;BU1411&amp;X1411,game_rosters!U:W,3,FALSE),"")</f>
        <v>P100002</v>
      </c>
      <c r="BU1411" t="str">
        <f t="shared" si="1158"/>
        <v>Velodrome</v>
      </c>
    </row>
    <row r="1412" spans="1:73" x14ac:dyDescent="0.2">
      <c r="A1412">
        <f t="shared" si="1144"/>
        <v>1</v>
      </c>
      <c r="J1412" s="44" t="str">
        <f t="shared" si="1159"/>
        <v/>
      </c>
      <c r="K1412" t="s">
        <v>7</v>
      </c>
      <c r="L1412" t="s">
        <v>182</v>
      </c>
      <c r="M1412" t="s">
        <v>66</v>
      </c>
      <c r="S1412">
        <v>759</v>
      </c>
      <c r="W1412" t="str">
        <f t="shared" ref="W1412:W1475" si="1225">IF(AN1412="Away","a",IF(AN1412="Home","h",""))</f>
        <v>a</v>
      </c>
      <c r="X1412">
        <v>84</v>
      </c>
      <c r="Y1412" t="e">
        <f>IF(X1412&lt;&gt;"",VLOOKUP(X1412,game_rosters!$C$43:$E$64,3,FALSE))</f>
        <v>#N/A</v>
      </c>
      <c r="Z1412" cm="1">
        <f t="array" ref="Z1412">IFERROR(IF(_xlfn._xlws.FILTER(game_rosters!$J:$J,(game_rosters!$G:$G=events!$AN1412)*(game_rosters!$J:$J=events!$X1412))&gt;0,1,""),"")</f>
        <v>1</v>
      </c>
      <c r="AA1412">
        <f t="shared" si="1183"/>
        <v>1759</v>
      </c>
      <c r="AB1412" t="str">
        <f t="shared" si="1184"/>
        <v/>
      </c>
      <c r="AC1412">
        <f t="shared" si="1222"/>
        <v>1759</v>
      </c>
      <c r="AD1412" s="6">
        <v>2</v>
      </c>
      <c r="AE1412" t="s">
        <v>941</v>
      </c>
      <c r="AF1412" t="s">
        <v>929</v>
      </c>
      <c r="AG1412" t="s">
        <v>756</v>
      </c>
      <c r="AH1412" t="s">
        <v>756</v>
      </c>
      <c r="AI1412" t="s">
        <v>367</v>
      </c>
      <c r="AJ1412" t="str">
        <f t="shared" ref="AJ1412:AK1412" si="1226">IF($J1412&lt;&gt;"",$J1412,IF($AC1412=$AC1411,AJ1411,""))</f>
        <v/>
      </c>
      <c r="AK1412" t="str">
        <f t="shared" si="1226"/>
        <v/>
      </c>
      <c r="AL1412" t="str">
        <f t="shared" ref="AL1412:AL1475" si="1227">IF($W1412="","",IF($AJ1412="","",IF($W1412="h",$AJ1412,IF($AJ1412="n","n",IF(AND($W1412="a",$AJ1412="d"),"o",IF(AND($W1412="a",$AJ1412="o"),"d"))))))</f>
        <v/>
      </c>
      <c r="AN1412" t="s">
        <v>862</v>
      </c>
      <c r="AO1412" t="str">
        <f t="shared" ref="AO1412:AO1475" si="1228">IF($W1412&lt;&gt;"",$W1412,IF($AC1412=$AC1411,AO1411,""))</f>
        <v>a</v>
      </c>
      <c r="AP1412" t="str">
        <f t="shared" si="1146"/>
        <v/>
      </c>
      <c r="AQ1412" t="str">
        <f t="shared" si="1147"/>
        <v/>
      </c>
      <c r="AR1412" t="str">
        <f t="shared" si="1148"/>
        <v>Away</v>
      </c>
      <c r="AS1412" t="str">
        <f t="shared" si="1149"/>
        <v>a</v>
      </c>
      <c r="AT1412" t="str">
        <f t="shared" si="1150"/>
        <v>Offensive</v>
      </c>
      <c r="BA1412" s="6">
        <f t="shared" ref="BA1412:BA1475" si="1229">IF(OR(L1412="Zone_Entry",L1412="Zone_Exit"),BA1411+1,BA1411)</f>
        <v>323</v>
      </c>
      <c r="BB1412">
        <f t="shared" ref="BB1412:BB1475" si="1230">BB1411</f>
        <v>18981</v>
      </c>
      <c r="BC1412" t="str">
        <f t="shared" ref="BC1412:BC1475" si="1231">BC1411</f>
        <v>Nelson</v>
      </c>
      <c r="BD1412" t="str">
        <f t="shared" ref="BD1412:BD1475" si="1232">BD1411</f>
        <v>Velodrome</v>
      </c>
      <c r="BE1412" t="s">
        <v>7</v>
      </c>
      <c r="BF1412" t="s">
        <v>182</v>
      </c>
      <c r="BG1412" t="s">
        <v>66</v>
      </c>
      <c r="BI1412" cm="1">
        <f t="array" ref="BI1412">IFERROR(_xlfn._xlws.FILTER(shifts!A:A,(shifts!B:B=events!AD1412)*(shifts!AG:AG&gt;=events!BK1412)*(shifts!AH:AH&lt;=events!BL1412)),BI1411)</f>
        <v>62</v>
      </c>
      <c r="BJ1412" s="15">
        <f t="shared" ref="BJ1412:BJ1475" si="1233">IF(AND(AG1412="",AH1412=""),0,((AE1412*60)+AF1412)-((AG1412*60)+AH1412))</f>
        <v>0</v>
      </c>
      <c r="BK1412">
        <f t="shared" si="1151"/>
        <v>274</v>
      </c>
      <c r="BL1412">
        <f t="shared" si="1152"/>
        <v>274</v>
      </c>
      <c r="BM1412" s="15">
        <f>SUMIFS(BJ$2:BJ1412,K$2:K1412,"=Intermission")+SUMIFS(BJ$2:BJ1412,K$2:K1412,"=Timeout")</f>
        <v>72</v>
      </c>
      <c r="BN1412">
        <f t="shared" si="1153"/>
        <v>1152</v>
      </c>
      <c r="BO1412" s="19">
        <f t="shared" si="1154"/>
        <v>1958</v>
      </c>
      <c r="BP1412">
        <f t="shared" si="1155"/>
        <v>1953</v>
      </c>
      <c r="BQ1412" s="17">
        <f t="shared" si="1156"/>
        <v>1958</v>
      </c>
      <c r="BR1412" t="str">
        <f t="shared" si="1157"/>
        <v>event_team_player_1</v>
      </c>
      <c r="BS1412">
        <f>COUNTIFS(S$3:S1412,"="&amp;S1412,AI$3:AI1412,"="&amp;AI1412)</f>
        <v>1</v>
      </c>
      <c r="BT1412" t="str">
        <f>IFERROR(VLOOKUP(BB1412&amp;BU1412&amp;X1412,game_rosters!U:W,3,FALSE),"")</f>
        <v>P100198</v>
      </c>
      <c r="BU1412" t="str">
        <f t="shared" si="1158"/>
        <v>Velodrome</v>
      </c>
    </row>
    <row r="1413" spans="1:73" x14ac:dyDescent="0.2">
      <c r="A1413">
        <f t="shared" ref="A1413:A1476" si="1234">IF(K1413&lt;&gt;"",1,IF(D1413="x","x",""))</f>
        <v>1</v>
      </c>
      <c r="J1413" s="44" t="str">
        <f t="shared" si="1159"/>
        <v/>
      </c>
      <c r="K1413" t="s">
        <v>7</v>
      </c>
      <c r="L1413" t="s">
        <v>182</v>
      </c>
      <c r="M1413" t="s">
        <v>66</v>
      </c>
      <c r="S1413">
        <v>759</v>
      </c>
      <c r="W1413" t="str">
        <f t="shared" si="1225"/>
        <v>a</v>
      </c>
      <c r="X1413">
        <v>91</v>
      </c>
      <c r="Y1413" t="e">
        <f>IF(X1413&lt;&gt;"",VLOOKUP(X1413,game_rosters!$C$43:$E$64,3,FALSE))</f>
        <v>#N/A</v>
      </c>
      <c r="Z1413" cm="1">
        <f t="array" ref="Z1413">IFERROR(IF(_xlfn._xlws.FILTER(game_rosters!$J:$J,(game_rosters!$G:$G=events!$AN1413)*(game_rosters!$J:$J=events!$X1413))&gt;0,1,""),"")</f>
        <v>1</v>
      </c>
      <c r="AA1413">
        <f t="shared" si="1183"/>
        <v>1759</v>
      </c>
      <c r="AB1413" t="str">
        <f t="shared" si="1184"/>
        <v/>
      </c>
      <c r="AC1413">
        <f t="shared" si="1222"/>
        <v>1759</v>
      </c>
      <c r="AD1413" s="6">
        <v>2</v>
      </c>
      <c r="AE1413" t="s">
        <v>941</v>
      </c>
      <c r="AF1413" t="s">
        <v>929</v>
      </c>
      <c r="AG1413" t="s">
        <v>756</v>
      </c>
      <c r="AH1413" t="s">
        <v>756</v>
      </c>
      <c r="AI1413" t="s">
        <v>367</v>
      </c>
      <c r="AJ1413" t="str">
        <f t="shared" ref="AJ1413:AK1413" si="1235">IF($J1413&lt;&gt;"",$J1413,IF($AC1413=$AC1412,AJ1412,""))</f>
        <v/>
      </c>
      <c r="AK1413" t="str">
        <f t="shared" si="1235"/>
        <v/>
      </c>
      <c r="AL1413" t="str">
        <f t="shared" si="1227"/>
        <v/>
      </c>
      <c r="AN1413" t="s">
        <v>862</v>
      </c>
      <c r="AO1413" t="str">
        <f t="shared" si="1228"/>
        <v>a</v>
      </c>
      <c r="AP1413" t="str">
        <f t="shared" ref="AP1413:AP1476" si="1236">IF(AL1413&lt;&gt;"",AL1413,IF($AC1413=$AC1412,AP1412,""))</f>
        <v/>
      </c>
      <c r="AQ1413" t="str">
        <f t="shared" ref="AQ1413:AQ1476" si="1237">IF(AM1413&lt;&gt;"",AM1413,IF($AC1413=$AC1412,AQ1412,""))</f>
        <v/>
      </c>
      <c r="AR1413" t="str">
        <f t="shared" ref="AR1413:AR1476" si="1238">IF(AN1413&lt;&gt;"",AN1413,IF($AC1413=$AC1412,AR1412,""))</f>
        <v>Away</v>
      </c>
      <c r="AS1413" t="str">
        <f t="shared" ref="AS1413:AS1476" si="1239">IF(AO1413&lt;&gt;"",AO1413,IF($AC1413=$AC1412,AS1412,""))</f>
        <v>a</v>
      </c>
      <c r="AT1413" t="str">
        <f t="shared" ref="AT1413:AT1476" si="1240">IF(AND(AI1413="e",OR(BE1413="Save",BF1413="Turnover_Takeaway",BF1413="Play_Defensive")),"Defensive",IF(AND(AI1413="o",OR(BE1413="Save",BF1413="Turnover_Takeaway",BF1413="Play_Defensive")),"Offensive",IF(OR(BE1413="Deadice",BE1413="Stoppage",BE1413="Intermission"),"",IF(AI1413="e","Offensive",IF(AI1413="o","Defensive","")))))</f>
        <v>Offensive</v>
      </c>
      <c r="BA1413" s="6">
        <f t="shared" si="1229"/>
        <v>323</v>
      </c>
      <c r="BB1413">
        <f t="shared" si="1230"/>
        <v>18981</v>
      </c>
      <c r="BC1413" t="str">
        <f t="shared" si="1231"/>
        <v>Nelson</v>
      </c>
      <c r="BD1413" t="str">
        <f t="shared" si="1232"/>
        <v>Velodrome</v>
      </c>
      <c r="BE1413" t="s">
        <v>7</v>
      </c>
      <c r="BF1413" t="s">
        <v>182</v>
      </c>
      <c r="BG1413" t="s">
        <v>66</v>
      </c>
      <c r="BI1413" cm="1">
        <f t="array" ref="BI1413">IFERROR(_xlfn._xlws.FILTER(shifts!A:A,(shifts!B:B=events!AD1413)*(shifts!AG:AG&gt;=events!BK1413)*(shifts!AH:AH&lt;=events!BL1413)),BI1412)</f>
        <v>62</v>
      </c>
      <c r="BJ1413" s="15">
        <f t="shared" si="1233"/>
        <v>0</v>
      </c>
      <c r="BK1413">
        <f t="shared" ref="BK1413:BK1476" si="1241">(AE1413*60)+AF1413</f>
        <v>274</v>
      </c>
      <c r="BL1413">
        <f t="shared" ref="BL1413:BL1476" si="1242">IF(AND(AG1413="",AH1413=""),BK1413,((AG1413*60)+AH1413))</f>
        <v>274</v>
      </c>
      <c r="BM1413" s="15">
        <f>SUMIFS(BJ$2:BJ1413,K$2:K1413,"=Intermission")+SUMIFS(BJ$2:BJ1413,K$2:K1413,"=Timeout")</f>
        <v>72</v>
      </c>
      <c r="BN1413">
        <f t="shared" ref="BN1413:BN1476" si="1243">IF(AD1413=1,0,IF(AD1413=2,1080+BM1413,IF(AD1413=3,(1080*2)+BM1413,0)))</f>
        <v>1152</v>
      </c>
      <c r="BO1413" s="19">
        <f t="shared" ref="BO1413:BO1476" si="1244">IF(K1413="Intermission",BO1412,((1080)-((AE1413*60)+AF1413))+BN1413)</f>
        <v>1958</v>
      </c>
      <c r="BP1413">
        <f t="shared" ref="BP1413:BP1476" si="1245">IF(BO1413&lt;5,0,BO1413-5)</f>
        <v>1953</v>
      </c>
      <c r="BQ1413" s="17">
        <f t="shared" ref="BQ1413:BQ1476" si="1246">BP1413+BJ1413+5</f>
        <v>1958</v>
      </c>
      <c r="BR1413" t="str">
        <f t="shared" ref="BR1413:BR1476" si="1247">IF(AI1413="e","event_team_player_"&amp;BS1413,IF(AI1413="o","opp_team_player_"&amp;BS1413,""))</f>
        <v>event_team_player_2</v>
      </c>
      <c r="BS1413">
        <f>COUNTIFS(S$3:S1413,"="&amp;S1413,AI$3:AI1413,"="&amp;AI1413)</f>
        <v>2</v>
      </c>
      <c r="BT1413" t="str">
        <f>IFERROR(VLOOKUP(BB1413&amp;BU1413&amp;X1413,game_rosters!U:W,3,FALSE),"")</f>
        <v>P100002</v>
      </c>
      <c r="BU1413" t="str">
        <f t="shared" ref="BU1413:BU1476" si="1248">IF(AR1413="","",IF(AND(AR1413="Away",AI1413="e"),BD1413,IF(AND(AR1413="Home",AI1413="e"),BC1413,IF(AND(AR1413="Away",AI1413="o"),BC1413,IF(AND(AR1413="Home",AI1413="o"),BD1413)))))</f>
        <v>Velodrome</v>
      </c>
    </row>
    <row r="1414" spans="1:73" x14ac:dyDescent="0.2">
      <c r="A1414">
        <f t="shared" si="1234"/>
        <v>1</v>
      </c>
      <c r="J1414" s="44" t="str">
        <f t="shared" ref="J1414:J1477" si="1249">IF(OR(K1414="Goal",K1414="Shot",L1414="Zone_Entry",M1414="Stoppage-Goal",M1413="Stoppage-Goal"),"o",IF(OR(K1414="Save",K1414="Rebound",L1414="Zone_Exit",M1414="Stoppage-GoalieStoppage",M1413="Stoppage-GoalieStoppage"),"d",IF(OR(L1414="Faceoff_AfterGoal",L1414="Faceoff_PeriodStart",698="Faceoff_GameStart",M1413="Stoppage-Goal"),"n","")))</f>
        <v/>
      </c>
      <c r="K1414" t="s">
        <v>7</v>
      </c>
      <c r="L1414" t="s">
        <v>182</v>
      </c>
      <c r="M1414" t="s">
        <v>66</v>
      </c>
      <c r="S1414">
        <v>759</v>
      </c>
      <c r="W1414" t="str">
        <f t="shared" si="1225"/>
        <v>a</v>
      </c>
      <c r="X1414">
        <v>79</v>
      </c>
      <c r="Y1414" t="b">
        <f>IF(X1414&lt;&gt;"",VLOOKUP(X1414,game_rosters!$C$43:$E$64,3,FALSE))</f>
        <v>0</v>
      </c>
      <c r="Z1414" t="str" cm="1">
        <f t="array" ref="Z1414">IFERROR(IF(_xlfn._xlws.FILTER(game_rosters!$J:$J,(game_rosters!$G:$G=events!$AN1414)*(game_rosters!$J:$J=events!$X1414))&gt;0,1,""),"")</f>
        <v/>
      </c>
      <c r="AA1414">
        <f t="shared" si="1183"/>
        <v>1759</v>
      </c>
      <c r="AB1414" t="str">
        <f t="shared" si="1184"/>
        <v/>
      </c>
      <c r="AC1414">
        <f t="shared" si="1222"/>
        <v>1759</v>
      </c>
      <c r="AD1414" s="6">
        <v>2</v>
      </c>
      <c r="AE1414" t="s">
        <v>941</v>
      </c>
      <c r="AF1414" t="s">
        <v>929</v>
      </c>
      <c r="AG1414" t="s">
        <v>756</v>
      </c>
      <c r="AH1414" t="s">
        <v>756</v>
      </c>
      <c r="AI1414" t="s">
        <v>368</v>
      </c>
      <c r="AJ1414" t="str">
        <f t="shared" ref="AJ1414:AK1414" si="1250">IF($J1414&lt;&gt;"",$J1414,IF($AC1414=$AC1413,AJ1413,""))</f>
        <v/>
      </c>
      <c r="AK1414" t="str">
        <f t="shared" si="1250"/>
        <v/>
      </c>
      <c r="AL1414" t="str">
        <f t="shared" si="1227"/>
        <v/>
      </c>
      <c r="AN1414" t="s">
        <v>862</v>
      </c>
      <c r="AO1414" t="str">
        <f t="shared" si="1228"/>
        <v>a</v>
      </c>
      <c r="AP1414" t="str">
        <f t="shared" si="1236"/>
        <v/>
      </c>
      <c r="AQ1414" t="str">
        <f t="shared" si="1237"/>
        <v/>
      </c>
      <c r="AR1414" t="str">
        <f t="shared" si="1238"/>
        <v>Away</v>
      </c>
      <c r="AS1414" t="str">
        <f t="shared" si="1239"/>
        <v>a</v>
      </c>
      <c r="AT1414" t="str">
        <f t="shared" si="1240"/>
        <v>Defensive</v>
      </c>
      <c r="BA1414" s="6">
        <f t="shared" si="1229"/>
        <v>323</v>
      </c>
      <c r="BB1414">
        <f t="shared" si="1230"/>
        <v>18981</v>
      </c>
      <c r="BC1414" t="str">
        <f t="shared" si="1231"/>
        <v>Nelson</v>
      </c>
      <c r="BD1414" t="str">
        <f t="shared" si="1232"/>
        <v>Velodrome</v>
      </c>
      <c r="BE1414" t="s">
        <v>7</v>
      </c>
      <c r="BF1414" t="s">
        <v>182</v>
      </c>
      <c r="BG1414" t="s">
        <v>66</v>
      </c>
      <c r="BI1414" cm="1">
        <f t="array" ref="BI1414">IFERROR(_xlfn._xlws.FILTER(shifts!A:A,(shifts!B:B=events!AD1414)*(shifts!AG:AG&gt;=events!BK1414)*(shifts!AH:AH&lt;=events!BL1414)),BI1413)</f>
        <v>62</v>
      </c>
      <c r="BJ1414" s="15">
        <f t="shared" si="1233"/>
        <v>0</v>
      </c>
      <c r="BK1414">
        <f t="shared" si="1241"/>
        <v>274</v>
      </c>
      <c r="BL1414">
        <f t="shared" si="1242"/>
        <v>274</v>
      </c>
      <c r="BM1414" s="15">
        <f>SUMIFS(BJ$2:BJ1414,K$2:K1414,"=Intermission")+SUMIFS(BJ$2:BJ1414,K$2:K1414,"=Timeout")</f>
        <v>72</v>
      </c>
      <c r="BN1414">
        <f t="shared" si="1243"/>
        <v>1152</v>
      </c>
      <c r="BO1414" s="19">
        <f t="shared" si="1244"/>
        <v>1958</v>
      </c>
      <c r="BP1414">
        <f t="shared" si="1245"/>
        <v>1953</v>
      </c>
      <c r="BQ1414" s="17">
        <f t="shared" si="1246"/>
        <v>1958</v>
      </c>
      <c r="BR1414" t="str">
        <f t="shared" si="1247"/>
        <v>opp_team_player_1</v>
      </c>
      <c r="BS1414">
        <f>COUNTIFS(S$3:S1414,"="&amp;S1414,AI$3:AI1414,"="&amp;AI1414)</f>
        <v>1</v>
      </c>
      <c r="BT1414" t="str">
        <f>IFERROR(VLOOKUP(BB1414&amp;BU1414&amp;X1414,game_rosters!U:W,3,FALSE),"")</f>
        <v>P100066</v>
      </c>
      <c r="BU1414" t="str">
        <f t="shared" si="1248"/>
        <v>Nelson</v>
      </c>
    </row>
    <row r="1415" spans="1:73" x14ac:dyDescent="0.2">
      <c r="A1415">
        <f t="shared" si="1234"/>
        <v>1</v>
      </c>
      <c r="J1415" s="44" t="str">
        <f t="shared" si="1249"/>
        <v/>
      </c>
      <c r="K1415" t="s">
        <v>7</v>
      </c>
      <c r="L1415" t="s">
        <v>182</v>
      </c>
      <c r="M1415" t="s">
        <v>66</v>
      </c>
      <c r="S1415">
        <v>759</v>
      </c>
      <c r="W1415" t="str">
        <f t="shared" si="1225"/>
        <v>a</v>
      </c>
      <c r="X1415">
        <v>15</v>
      </c>
      <c r="Y1415" t="b">
        <f>IF(X1415&lt;&gt;"",VLOOKUP(X1415,game_rosters!$C$43:$E$64,3,FALSE))</f>
        <v>0</v>
      </c>
      <c r="Z1415" t="str" cm="1">
        <f t="array" ref="Z1415">IFERROR(IF(_xlfn._xlws.FILTER(game_rosters!$J:$J,(game_rosters!$G:$G=events!$AN1415)*(game_rosters!$J:$J=events!$X1415))&gt;0,1,""),"")</f>
        <v/>
      </c>
      <c r="AA1415">
        <f t="shared" si="1183"/>
        <v>1759</v>
      </c>
      <c r="AB1415" t="str">
        <f t="shared" si="1184"/>
        <v/>
      </c>
      <c r="AC1415">
        <f t="shared" si="1222"/>
        <v>1759</v>
      </c>
      <c r="AD1415" s="6">
        <v>2</v>
      </c>
      <c r="AE1415" t="s">
        <v>941</v>
      </c>
      <c r="AF1415" t="s">
        <v>929</v>
      </c>
      <c r="AG1415" t="s">
        <v>756</v>
      </c>
      <c r="AH1415" t="s">
        <v>756</v>
      </c>
      <c r="AI1415" t="s">
        <v>368</v>
      </c>
      <c r="AJ1415" t="str">
        <f t="shared" ref="AJ1415:AK1415" si="1251">IF($J1415&lt;&gt;"",$J1415,IF($AC1415=$AC1414,AJ1414,""))</f>
        <v/>
      </c>
      <c r="AK1415" t="str">
        <f t="shared" si="1251"/>
        <v/>
      </c>
      <c r="AL1415" t="str">
        <f t="shared" si="1227"/>
        <v/>
      </c>
      <c r="AN1415" t="s">
        <v>862</v>
      </c>
      <c r="AO1415" t="str">
        <f t="shared" si="1228"/>
        <v>a</v>
      </c>
      <c r="AP1415" t="str">
        <f t="shared" si="1236"/>
        <v/>
      </c>
      <c r="AQ1415" t="str">
        <f t="shared" si="1237"/>
        <v/>
      </c>
      <c r="AR1415" t="str">
        <f t="shared" si="1238"/>
        <v>Away</v>
      </c>
      <c r="AS1415" t="str">
        <f t="shared" si="1239"/>
        <v>a</v>
      </c>
      <c r="AT1415" t="str">
        <f t="shared" si="1240"/>
        <v>Defensive</v>
      </c>
      <c r="BA1415" s="6">
        <f t="shared" si="1229"/>
        <v>323</v>
      </c>
      <c r="BB1415">
        <f t="shared" si="1230"/>
        <v>18981</v>
      </c>
      <c r="BC1415" t="str">
        <f t="shared" si="1231"/>
        <v>Nelson</v>
      </c>
      <c r="BD1415" t="str">
        <f t="shared" si="1232"/>
        <v>Velodrome</v>
      </c>
      <c r="BE1415" t="s">
        <v>7</v>
      </c>
      <c r="BF1415" t="s">
        <v>182</v>
      </c>
      <c r="BG1415" t="s">
        <v>66</v>
      </c>
      <c r="BI1415" cm="1">
        <f t="array" ref="BI1415">IFERROR(_xlfn._xlws.FILTER(shifts!A:A,(shifts!B:B=events!AD1415)*(shifts!AG:AG&gt;=events!BK1415)*(shifts!AH:AH&lt;=events!BL1415)),BI1414)</f>
        <v>62</v>
      </c>
      <c r="BJ1415" s="15">
        <f t="shared" si="1233"/>
        <v>0</v>
      </c>
      <c r="BK1415">
        <f t="shared" si="1241"/>
        <v>274</v>
      </c>
      <c r="BL1415">
        <f t="shared" si="1242"/>
        <v>274</v>
      </c>
      <c r="BM1415" s="15">
        <f>SUMIFS(BJ$2:BJ1415,K$2:K1415,"=Intermission")+SUMIFS(BJ$2:BJ1415,K$2:K1415,"=Timeout")</f>
        <v>72</v>
      </c>
      <c r="BN1415">
        <f t="shared" si="1243"/>
        <v>1152</v>
      </c>
      <c r="BO1415" s="19">
        <f t="shared" si="1244"/>
        <v>1958</v>
      </c>
      <c r="BP1415">
        <f t="shared" si="1245"/>
        <v>1953</v>
      </c>
      <c r="BQ1415" s="17">
        <f t="shared" si="1246"/>
        <v>1958</v>
      </c>
      <c r="BR1415" t="str">
        <f t="shared" si="1247"/>
        <v>opp_team_player_2</v>
      </c>
      <c r="BS1415">
        <f>COUNTIFS(S$3:S1415,"="&amp;S1415,AI$3:AI1415,"="&amp;AI1415)</f>
        <v>2</v>
      </c>
      <c r="BT1415" t="str">
        <f>IFERROR(VLOOKUP(BB1415&amp;BU1415&amp;X1415,game_rosters!U:W,3,FALSE),"")</f>
        <v>P100071</v>
      </c>
      <c r="BU1415" t="str">
        <f t="shared" si="1248"/>
        <v>Nelson</v>
      </c>
    </row>
    <row r="1416" spans="1:73" x14ac:dyDescent="0.2">
      <c r="A1416">
        <f t="shared" si="1234"/>
        <v>1</v>
      </c>
      <c r="J1416" s="44" t="str">
        <f t="shared" si="1249"/>
        <v/>
      </c>
      <c r="K1416" t="s">
        <v>9</v>
      </c>
      <c r="L1416" t="s">
        <v>173</v>
      </c>
      <c r="M1416" t="s">
        <v>74</v>
      </c>
      <c r="S1416">
        <v>760</v>
      </c>
      <c r="W1416" t="str">
        <f t="shared" si="1225"/>
        <v>a</v>
      </c>
      <c r="X1416">
        <v>84</v>
      </c>
      <c r="Y1416" t="e">
        <f>IF(X1416&lt;&gt;"",VLOOKUP(X1416,game_rosters!$C$43:$E$64,3,FALSE))</f>
        <v>#N/A</v>
      </c>
      <c r="Z1416" cm="1">
        <f t="array" ref="Z1416">IFERROR(IF(_xlfn._xlws.FILTER(game_rosters!$J:$J,(game_rosters!$G:$G=events!$AN1416)*(game_rosters!$J:$J=events!$X1416))&gt;0,1,""),"")</f>
        <v>1</v>
      </c>
      <c r="AA1416">
        <f t="shared" si="1183"/>
        <v>1760</v>
      </c>
      <c r="AB1416" t="str">
        <f t="shared" si="1184"/>
        <v/>
      </c>
      <c r="AC1416">
        <f t="shared" si="1222"/>
        <v>1760</v>
      </c>
      <c r="AD1416" s="6">
        <v>2</v>
      </c>
      <c r="AE1416" t="s">
        <v>941</v>
      </c>
      <c r="AF1416" t="s">
        <v>929</v>
      </c>
      <c r="AG1416" t="s">
        <v>756</v>
      </c>
      <c r="AH1416" t="s">
        <v>756</v>
      </c>
      <c r="AI1416" t="s">
        <v>367</v>
      </c>
      <c r="AJ1416" t="str">
        <f t="shared" ref="AJ1416:AK1416" si="1252">IF($J1416&lt;&gt;"",$J1416,IF($AC1416=$AC1415,AJ1415,""))</f>
        <v/>
      </c>
      <c r="AK1416" t="str">
        <f t="shared" si="1252"/>
        <v/>
      </c>
      <c r="AL1416" t="str">
        <f t="shared" si="1227"/>
        <v/>
      </c>
      <c r="AN1416" t="s">
        <v>862</v>
      </c>
      <c r="AO1416" t="str">
        <f t="shared" si="1228"/>
        <v>a</v>
      </c>
      <c r="AP1416" t="str">
        <f t="shared" si="1236"/>
        <v/>
      </c>
      <c r="AQ1416" t="str">
        <f t="shared" si="1237"/>
        <v/>
      </c>
      <c r="AR1416" t="str">
        <f t="shared" si="1238"/>
        <v>Away</v>
      </c>
      <c r="AS1416" t="str">
        <f t="shared" si="1239"/>
        <v>a</v>
      </c>
      <c r="AT1416" t="str">
        <f t="shared" si="1240"/>
        <v>Offensive</v>
      </c>
      <c r="BA1416" s="6">
        <f t="shared" si="1229"/>
        <v>323</v>
      </c>
      <c r="BB1416">
        <f t="shared" si="1230"/>
        <v>18981</v>
      </c>
      <c r="BC1416" t="str">
        <f t="shared" si="1231"/>
        <v>Nelson</v>
      </c>
      <c r="BD1416" t="str">
        <f t="shared" si="1232"/>
        <v>Velodrome</v>
      </c>
      <c r="BE1416" t="s">
        <v>9</v>
      </c>
      <c r="BF1416" t="s">
        <v>173</v>
      </c>
      <c r="BG1416" t="s">
        <v>74</v>
      </c>
      <c r="BI1416" cm="1">
        <f t="array" ref="BI1416">IFERROR(_xlfn._xlws.FILTER(shifts!A:A,(shifts!B:B=events!AD1416)*(shifts!AG:AG&gt;=events!BK1416)*(shifts!AH:AH&lt;=events!BL1416)),BI1415)</f>
        <v>62</v>
      </c>
      <c r="BJ1416" s="15">
        <f t="shared" si="1233"/>
        <v>0</v>
      </c>
      <c r="BK1416">
        <f t="shared" si="1241"/>
        <v>274</v>
      </c>
      <c r="BL1416">
        <f t="shared" si="1242"/>
        <v>274</v>
      </c>
      <c r="BM1416" s="15">
        <f>SUMIFS(BJ$2:BJ1416,K$2:K1416,"=Intermission")+SUMIFS(BJ$2:BJ1416,K$2:K1416,"=Timeout")</f>
        <v>72</v>
      </c>
      <c r="BN1416">
        <f t="shared" si="1243"/>
        <v>1152</v>
      </c>
      <c r="BO1416" s="19">
        <f t="shared" si="1244"/>
        <v>1958</v>
      </c>
      <c r="BP1416">
        <f t="shared" si="1245"/>
        <v>1953</v>
      </c>
      <c r="BQ1416" s="17">
        <f t="shared" si="1246"/>
        <v>1958</v>
      </c>
      <c r="BR1416" t="str">
        <f t="shared" si="1247"/>
        <v>event_team_player_1</v>
      </c>
      <c r="BS1416">
        <f>COUNTIFS(S$3:S1416,"="&amp;S1416,AI$3:AI1416,"="&amp;AI1416)</f>
        <v>1</v>
      </c>
      <c r="BT1416" t="str">
        <f>IFERROR(VLOOKUP(BB1416&amp;BU1416&amp;X1416,game_rosters!U:W,3,FALSE),"")</f>
        <v>P100198</v>
      </c>
      <c r="BU1416" t="str">
        <f t="shared" si="1248"/>
        <v>Velodrome</v>
      </c>
    </row>
    <row r="1417" spans="1:73" x14ac:dyDescent="0.2">
      <c r="A1417">
        <f t="shared" si="1234"/>
        <v>1</v>
      </c>
      <c r="J1417" s="44" t="str">
        <f t="shared" si="1249"/>
        <v/>
      </c>
      <c r="K1417" t="s">
        <v>9</v>
      </c>
      <c r="L1417" t="s">
        <v>173</v>
      </c>
      <c r="M1417" t="s">
        <v>74</v>
      </c>
      <c r="S1417">
        <v>760</v>
      </c>
      <c r="W1417" t="str">
        <f t="shared" si="1225"/>
        <v>a</v>
      </c>
      <c r="X1417">
        <v>79</v>
      </c>
      <c r="Y1417" t="b">
        <f>IF(X1417&lt;&gt;"",VLOOKUP(X1417,game_rosters!$C$43:$E$64,3,FALSE))</f>
        <v>0</v>
      </c>
      <c r="Z1417" t="str" cm="1">
        <f t="array" ref="Z1417">IFERROR(IF(_xlfn._xlws.FILTER(game_rosters!$J:$J,(game_rosters!$G:$G=events!$AN1417)*(game_rosters!$J:$J=events!$X1417))&gt;0,1,""),"")</f>
        <v/>
      </c>
      <c r="AA1417">
        <f t="shared" si="1183"/>
        <v>1760</v>
      </c>
      <c r="AB1417" t="str">
        <f t="shared" si="1184"/>
        <v/>
      </c>
      <c r="AC1417">
        <f t="shared" si="1222"/>
        <v>1760</v>
      </c>
      <c r="AD1417" s="6">
        <v>2</v>
      </c>
      <c r="AE1417" t="s">
        <v>941</v>
      </c>
      <c r="AF1417" t="s">
        <v>929</v>
      </c>
      <c r="AG1417" t="s">
        <v>756</v>
      </c>
      <c r="AH1417" t="s">
        <v>756</v>
      </c>
      <c r="AI1417" t="s">
        <v>368</v>
      </c>
      <c r="AJ1417" t="str">
        <f t="shared" ref="AJ1417:AK1417" si="1253">IF($J1417&lt;&gt;"",$J1417,IF($AC1417=$AC1416,AJ1416,""))</f>
        <v/>
      </c>
      <c r="AK1417" t="str">
        <f t="shared" si="1253"/>
        <v/>
      </c>
      <c r="AL1417" t="str">
        <f t="shared" si="1227"/>
        <v/>
      </c>
      <c r="AN1417" t="s">
        <v>862</v>
      </c>
      <c r="AO1417" t="str">
        <f t="shared" si="1228"/>
        <v>a</v>
      </c>
      <c r="AP1417" t="str">
        <f t="shared" si="1236"/>
        <v/>
      </c>
      <c r="AQ1417" t="str">
        <f t="shared" si="1237"/>
        <v/>
      </c>
      <c r="AR1417" t="str">
        <f t="shared" si="1238"/>
        <v>Away</v>
      </c>
      <c r="AS1417" t="str">
        <f t="shared" si="1239"/>
        <v>a</v>
      </c>
      <c r="AT1417" t="str">
        <f t="shared" si="1240"/>
        <v>Defensive</v>
      </c>
      <c r="BA1417" s="6">
        <f t="shared" si="1229"/>
        <v>323</v>
      </c>
      <c r="BB1417">
        <f t="shared" si="1230"/>
        <v>18981</v>
      </c>
      <c r="BC1417" t="str">
        <f t="shared" si="1231"/>
        <v>Nelson</v>
      </c>
      <c r="BD1417" t="str">
        <f t="shared" si="1232"/>
        <v>Velodrome</v>
      </c>
      <c r="BE1417" t="s">
        <v>9</v>
      </c>
      <c r="BF1417" t="s">
        <v>173</v>
      </c>
      <c r="BG1417" t="s">
        <v>74</v>
      </c>
      <c r="BI1417" cm="1">
        <f t="array" ref="BI1417">IFERROR(_xlfn._xlws.FILTER(shifts!A:A,(shifts!B:B=events!AD1417)*(shifts!AG:AG&gt;=events!BK1417)*(shifts!AH:AH&lt;=events!BL1417)),BI1416)</f>
        <v>62</v>
      </c>
      <c r="BJ1417" s="15">
        <f t="shared" si="1233"/>
        <v>0</v>
      </c>
      <c r="BK1417">
        <f t="shared" si="1241"/>
        <v>274</v>
      </c>
      <c r="BL1417">
        <f t="shared" si="1242"/>
        <v>274</v>
      </c>
      <c r="BM1417" s="15">
        <f>SUMIFS(BJ$2:BJ1417,K$2:K1417,"=Intermission")+SUMIFS(BJ$2:BJ1417,K$2:K1417,"=Timeout")</f>
        <v>72</v>
      </c>
      <c r="BN1417">
        <f t="shared" si="1243"/>
        <v>1152</v>
      </c>
      <c r="BO1417" s="19">
        <f t="shared" si="1244"/>
        <v>1958</v>
      </c>
      <c r="BP1417">
        <f t="shared" si="1245"/>
        <v>1953</v>
      </c>
      <c r="BQ1417" s="17">
        <f t="shared" si="1246"/>
        <v>1958</v>
      </c>
      <c r="BR1417" t="str">
        <f t="shared" si="1247"/>
        <v>opp_team_player_1</v>
      </c>
      <c r="BS1417">
        <f>COUNTIFS(S$3:S1417,"="&amp;S1417,AI$3:AI1417,"="&amp;AI1417)</f>
        <v>1</v>
      </c>
      <c r="BT1417" t="str">
        <f>IFERROR(VLOOKUP(BB1417&amp;BU1417&amp;X1417,game_rosters!U:W,3,FALSE),"")</f>
        <v>P100066</v>
      </c>
      <c r="BU1417" t="str">
        <f t="shared" si="1248"/>
        <v>Nelson</v>
      </c>
    </row>
    <row r="1418" spans="1:73" x14ac:dyDescent="0.2">
      <c r="A1418">
        <f t="shared" si="1234"/>
        <v>1</v>
      </c>
      <c r="J1418" s="44" t="str">
        <f t="shared" si="1249"/>
        <v/>
      </c>
      <c r="K1418" t="s">
        <v>9</v>
      </c>
      <c r="L1418" t="s">
        <v>173</v>
      </c>
      <c r="M1418" t="s">
        <v>74</v>
      </c>
      <c r="S1418">
        <v>760</v>
      </c>
      <c r="W1418" t="str">
        <f t="shared" si="1225"/>
        <v>a</v>
      </c>
      <c r="X1418">
        <v>15</v>
      </c>
      <c r="Y1418" t="b">
        <f>IF(X1418&lt;&gt;"",VLOOKUP(X1418,game_rosters!$C$43:$E$64,3,FALSE))</f>
        <v>0</v>
      </c>
      <c r="Z1418" t="str" cm="1">
        <f t="array" ref="Z1418">IFERROR(IF(_xlfn._xlws.FILTER(game_rosters!$J:$J,(game_rosters!$G:$G=events!$AN1418)*(game_rosters!$J:$J=events!$X1418))&gt;0,1,""),"")</f>
        <v/>
      </c>
      <c r="AA1418">
        <f t="shared" si="1183"/>
        <v>1760</v>
      </c>
      <c r="AB1418" t="str">
        <f t="shared" si="1184"/>
        <v/>
      </c>
      <c r="AC1418">
        <f t="shared" si="1222"/>
        <v>1760</v>
      </c>
      <c r="AD1418" s="6">
        <v>2</v>
      </c>
      <c r="AE1418" t="s">
        <v>941</v>
      </c>
      <c r="AF1418" t="s">
        <v>929</v>
      </c>
      <c r="AG1418" t="s">
        <v>756</v>
      </c>
      <c r="AH1418" t="s">
        <v>756</v>
      </c>
      <c r="AI1418" t="s">
        <v>368</v>
      </c>
      <c r="AJ1418" t="str">
        <f t="shared" ref="AJ1418:AK1418" si="1254">IF($J1418&lt;&gt;"",$J1418,IF($AC1418=$AC1417,AJ1417,""))</f>
        <v/>
      </c>
      <c r="AK1418" t="str">
        <f t="shared" si="1254"/>
        <v/>
      </c>
      <c r="AL1418" t="str">
        <f t="shared" si="1227"/>
        <v/>
      </c>
      <c r="AN1418" t="s">
        <v>862</v>
      </c>
      <c r="AO1418" t="str">
        <f t="shared" si="1228"/>
        <v>a</v>
      </c>
      <c r="AP1418" t="str">
        <f t="shared" si="1236"/>
        <v/>
      </c>
      <c r="AQ1418" t="str">
        <f t="shared" si="1237"/>
        <v/>
      </c>
      <c r="AR1418" t="str">
        <f t="shared" si="1238"/>
        <v>Away</v>
      </c>
      <c r="AS1418" t="str">
        <f t="shared" si="1239"/>
        <v>a</v>
      </c>
      <c r="AT1418" t="str">
        <f t="shared" si="1240"/>
        <v>Defensive</v>
      </c>
      <c r="BA1418" s="6">
        <f t="shared" si="1229"/>
        <v>323</v>
      </c>
      <c r="BB1418">
        <f t="shared" si="1230"/>
        <v>18981</v>
      </c>
      <c r="BC1418" t="str">
        <f t="shared" si="1231"/>
        <v>Nelson</v>
      </c>
      <c r="BD1418" t="str">
        <f t="shared" si="1232"/>
        <v>Velodrome</v>
      </c>
      <c r="BE1418" t="s">
        <v>9</v>
      </c>
      <c r="BF1418" t="s">
        <v>173</v>
      </c>
      <c r="BG1418" t="s">
        <v>74</v>
      </c>
      <c r="BI1418" cm="1">
        <f t="array" ref="BI1418">IFERROR(_xlfn._xlws.FILTER(shifts!A:A,(shifts!B:B=events!AD1418)*(shifts!AG:AG&gt;=events!BK1418)*(shifts!AH:AH&lt;=events!BL1418)),BI1417)</f>
        <v>62</v>
      </c>
      <c r="BJ1418" s="15">
        <f t="shared" si="1233"/>
        <v>0</v>
      </c>
      <c r="BK1418">
        <f t="shared" si="1241"/>
        <v>274</v>
      </c>
      <c r="BL1418">
        <f t="shared" si="1242"/>
        <v>274</v>
      </c>
      <c r="BM1418" s="15">
        <f>SUMIFS(BJ$2:BJ1418,K$2:K1418,"=Intermission")+SUMIFS(BJ$2:BJ1418,K$2:K1418,"=Timeout")</f>
        <v>72</v>
      </c>
      <c r="BN1418">
        <f t="shared" si="1243"/>
        <v>1152</v>
      </c>
      <c r="BO1418" s="19">
        <f t="shared" si="1244"/>
        <v>1958</v>
      </c>
      <c r="BP1418">
        <f t="shared" si="1245"/>
        <v>1953</v>
      </c>
      <c r="BQ1418" s="17">
        <f t="shared" si="1246"/>
        <v>1958</v>
      </c>
      <c r="BR1418" t="str">
        <f t="shared" si="1247"/>
        <v>opp_team_player_2</v>
      </c>
      <c r="BS1418">
        <f>COUNTIFS(S$3:S1418,"="&amp;S1418,AI$3:AI1418,"="&amp;AI1418)</f>
        <v>2</v>
      </c>
      <c r="BT1418" t="str">
        <f>IFERROR(VLOOKUP(BB1418&amp;BU1418&amp;X1418,game_rosters!U:W,3,FALSE),"")</f>
        <v>P100071</v>
      </c>
      <c r="BU1418" t="str">
        <f t="shared" si="1248"/>
        <v>Nelson</v>
      </c>
    </row>
    <row r="1419" spans="1:73" x14ac:dyDescent="0.2">
      <c r="A1419">
        <f t="shared" si="1234"/>
        <v>1</v>
      </c>
      <c r="J1419" s="44" t="str">
        <f t="shared" si="1249"/>
        <v/>
      </c>
      <c r="K1419" t="s">
        <v>13</v>
      </c>
      <c r="L1419" t="s">
        <v>756</v>
      </c>
      <c r="M1419" t="s">
        <v>756</v>
      </c>
      <c r="S1419">
        <v>761</v>
      </c>
      <c r="W1419" t="str">
        <f t="shared" si="1225"/>
        <v>h</v>
      </c>
      <c r="X1419">
        <v>79</v>
      </c>
      <c r="Y1419" t="b">
        <f>IF(X1419&lt;&gt;"",VLOOKUP(X1419,game_rosters!$C$43:$E$64,3,FALSE))</f>
        <v>0</v>
      </c>
      <c r="Z1419" cm="1">
        <f t="array" ref="Z1419">IFERROR(IF(_xlfn._xlws.FILTER(game_rosters!$J:$J,(game_rosters!$G:$G=events!$AN1419)*(game_rosters!$J:$J=events!$X1419))&gt;0,1,""),"")</f>
        <v>1</v>
      </c>
      <c r="AA1419">
        <f t="shared" si="1183"/>
        <v>1761</v>
      </c>
      <c r="AB1419" t="str">
        <f t="shared" si="1184"/>
        <v/>
      </c>
      <c r="AC1419">
        <f t="shared" si="1222"/>
        <v>1761</v>
      </c>
      <c r="AD1419" s="6">
        <v>2</v>
      </c>
      <c r="AE1419" t="s">
        <v>941</v>
      </c>
      <c r="AF1419" t="s">
        <v>929</v>
      </c>
      <c r="AG1419" t="s">
        <v>941</v>
      </c>
      <c r="AH1419" t="s">
        <v>738</v>
      </c>
      <c r="AI1419" t="s">
        <v>367</v>
      </c>
      <c r="AJ1419" t="str">
        <f t="shared" ref="AJ1419:AK1419" si="1255">IF($J1419&lt;&gt;"",$J1419,IF($AC1419=$AC1418,AJ1418,""))</f>
        <v/>
      </c>
      <c r="AK1419" t="str">
        <f t="shared" si="1255"/>
        <v/>
      </c>
      <c r="AL1419" t="str">
        <f t="shared" si="1227"/>
        <v/>
      </c>
      <c r="AN1419" t="s">
        <v>861</v>
      </c>
      <c r="AO1419" t="str">
        <f t="shared" si="1228"/>
        <v>h</v>
      </c>
      <c r="AP1419" t="str">
        <f t="shared" si="1236"/>
        <v/>
      </c>
      <c r="AQ1419" t="str">
        <f t="shared" si="1237"/>
        <v/>
      </c>
      <c r="AR1419" t="str">
        <f t="shared" si="1238"/>
        <v>Home</v>
      </c>
      <c r="AS1419" t="str">
        <f t="shared" si="1239"/>
        <v>h</v>
      </c>
      <c r="AT1419" t="str">
        <f t="shared" si="1240"/>
        <v>Offensive</v>
      </c>
      <c r="BA1419" s="6">
        <f t="shared" si="1229"/>
        <v>323</v>
      </c>
      <c r="BB1419">
        <f t="shared" si="1230"/>
        <v>18981</v>
      </c>
      <c r="BC1419" t="str">
        <f t="shared" si="1231"/>
        <v>Nelson</v>
      </c>
      <c r="BD1419" t="str">
        <f t="shared" si="1232"/>
        <v>Velodrome</v>
      </c>
      <c r="BE1419" t="s">
        <v>13</v>
      </c>
      <c r="BF1419" t="s">
        <v>756</v>
      </c>
      <c r="BG1419" t="s">
        <v>756</v>
      </c>
      <c r="BI1419" cm="1">
        <f t="array" ref="BI1419">IFERROR(_xlfn._xlws.FILTER(shifts!A:A,(shifts!B:B=events!AD1419)*(shifts!AG:AG&gt;=events!BK1419)*(shifts!AH:AH&lt;=events!BL1419)),BI1418)</f>
        <v>62</v>
      </c>
      <c r="BJ1419" s="15">
        <f t="shared" si="1233"/>
        <v>3</v>
      </c>
      <c r="BK1419">
        <f t="shared" si="1241"/>
        <v>274</v>
      </c>
      <c r="BL1419">
        <f t="shared" si="1242"/>
        <v>271</v>
      </c>
      <c r="BM1419" s="15">
        <f>SUMIFS(BJ$2:BJ1419,K$2:K1419,"=Intermission")+SUMIFS(BJ$2:BJ1419,K$2:K1419,"=Timeout")</f>
        <v>72</v>
      </c>
      <c r="BN1419">
        <f t="shared" si="1243"/>
        <v>1152</v>
      </c>
      <c r="BO1419" s="19">
        <f t="shared" si="1244"/>
        <v>1958</v>
      </c>
      <c r="BP1419">
        <f t="shared" si="1245"/>
        <v>1953</v>
      </c>
      <c r="BQ1419" s="17">
        <f t="shared" si="1246"/>
        <v>1961</v>
      </c>
      <c r="BR1419" t="str">
        <f t="shared" si="1247"/>
        <v>event_team_player_1</v>
      </c>
      <c r="BS1419">
        <f>COUNTIFS(S$3:S1419,"="&amp;S1419,AI$3:AI1419,"="&amp;AI1419)</f>
        <v>1</v>
      </c>
      <c r="BT1419" t="str">
        <f>IFERROR(VLOOKUP(BB1419&amp;BU1419&amp;X1419,game_rosters!U:W,3,FALSE),"")</f>
        <v>P100066</v>
      </c>
      <c r="BU1419" t="str">
        <f t="shared" si="1248"/>
        <v>Nelson</v>
      </c>
    </row>
    <row r="1420" spans="1:73" x14ac:dyDescent="0.2">
      <c r="A1420">
        <f t="shared" si="1234"/>
        <v>1</v>
      </c>
      <c r="J1420" s="44" t="str">
        <f t="shared" si="1249"/>
        <v/>
      </c>
      <c r="K1420" t="s">
        <v>7</v>
      </c>
      <c r="L1420" t="s">
        <v>172</v>
      </c>
      <c r="M1420" t="s">
        <v>68</v>
      </c>
      <c r="S1420">
        <v>762</v>
      </c>
      <c r="W1420" t="str">
        <f t="shared" si="1225"/>
        <v>h</v>
      </c>
      <c r="X1420">
        <v>79</v>
      </c>
      <c r="Y1420" t="b">
        <f>IF(X1420&lt;&gt;"",VLOOKUP(X1420,game_rosters!$C$43:$E$64,3,FALSE))</f>
        <v>0</v>
      </c>
      <c r="Z1420" cm="1">
        <f t="array" ref="Z1420">IFERROR(IF(_xlfn._xlws.FILTER(game_rosters!$J:$J,(game_rosters!$G:$G=events!$AN1420)*(game_rosters!$J:$J=events!$X1420))&gt;0,1,""),"")</f>
        <v>1</v>
      </c>
      <c r="AA1420">
        <f t="shared" si="1183"/>
        <v>1762</v>
      </c>
      <c r="AB1420" t="str">
        <f t="shared" si="1184"/>
        <v/>
      </c>
      <c r="AC1420">
        <f t="shared" si="1222"/>
        <v>1762</v>
      </c>
      <c r="AD1420" s="6">
        <v>2</v>
      </c>
      <c r="AE1420" t="s">
        <v>941</v>
      </c>
      <c r="AF1420" t="s">
        <v>738</v>
      </c>
      <c r="AG1420" t="s">
        <v>756</v>
      </c>
      <c r="AH1420" t="s">
        <v>756</v>
      </c>
      <c r="AI1420" t="s">
        <v>367</v>
      </c>
      <c r="AJ1420" t="str">
        <f t="shared" ref="AJ1420:AK1420" si="1256">IF($J1420&lt;&gt;"",$J1420,IF($AC1420=$AC1419,AJ1419,""))</f>
        <v/>
      </c>
      <c r="AK1420" t="str">
        <f t="shared" si="1256"/>
        <v/>
      </c>
      <c r="AL1420" t="str">
        <f t="shared" si="1227"/>
        <v/>
      </c>
      <c r="AN1420" t="s">
        <v>861</v>
      </c>
      <c r="AO1420" t="str">
        <f t="shared" si="1228"/>
        <v>h</v>
      </c>
      <c r="AP1420" t="str">
        <f t="shared" si="1236"/>
        <v/>
      </c>
      <c r="AQ1420" t="str">
        <f t="shared" si="1237"/>
        <v/>
      </c>
      <c r="AR1420" t="str">
        <f t="shared" si="1238"/>
        <v>Home</v>
      </c>
      <c r="AS1420" t="str">
        <f t="shared" si="1239"/>
        <v>h</v>
      </c>
      <c r="AT1420" t="str">
        <f t="shared" si="1240"/>
        <v>Offensive</v>
      </c>
      <c r="BA1420" s="6">
        <f t="shared" si="1229"/>
        <v>323</v>
      </c>
      <c r="BB1420">
        <f t="shared" si="1230"/>
        <v>18981</v>
      </c>
      <c r="BC1420" t="str">
        <f t="shared" si="1231"/>
        <v>Nelson</v>
      </c>
      <c r="BD1420" t="str">
        <f t="shared" si="1232"/>
        <v>Velodrome</v>
      </c>
      <c r="BE1420" t="s">
        <v>7</v>
      </c>
      <c r="BF1420" t="s">
        <v>172</v>
      </c>
      <c r="BG1420" t="s">
        <v>68</v>
      </c>
      <c r="BI1420" cm="1">
        <f t="array" ref="BI1420">IFERROR(_xlfn._xlws.FILTER(shifts!A:A,(shifts!B:B=events!AD1420)*(shifts!AG:AG&gt;=events!BK1420)*(shifts!AH:AH&lt;=events!BL1420)),BI1419)</f>
        <v>62</v>
      </c>
      <c r="BJ1420" s="15">
        <f t="shared" si="1233"/>
        <v>0</v>
      </c>
      <c r="BK1420">
        <f t="shared" si="1241"/>
        <v>271</v>
      </c>
      <c r="BL1420">
        <f t="shared" si="1242"/>
        <v>271</v>
      </c>
      <c r="BM1420" s="15">
        <f>SUMIFS(BJ$2:BJ1420,K$2:K1420,"=Intermission")+SUMIFS(BJ$2:BJ1420,K$2:K1420,"=Timeout")</f>
        <v>72</v>
      </c>
      <c r="BN1420">
        <f t="shared" si="1243"/>
        <v>1152</v>
      </c>
      <c r="BO1420" s="19">
        <f t="shared" si="1244"/>
        <v>1961</v>
      </c>
      <c r="BP1420">
        <f t="shared" si="1245"/>
        <v>1956</v>
      </c>
      <c r="BQ1420" s="17">
        <f t="shared" si="1246"/>
        <v>1961</v>
      </c>
      <c r="BR1420" t="str">
        <f t="shared" si="1247"/>
        <v>event_team_player_1</v>
      </c>
      <c r="BS1420">
        <f>COUNTIFS(S$3:S1420,"="&amp;S1420,AI$3:AI1420,"="&amp;AI1420)</f>
        <v>1</v>
      </c>
      <c r="BT1420" t="str">
        <f>IFERROR(VLOOKUP(BB1420&amp;BU1420&amp;X1420,game_rosters!U:W,3,FALSE),"")</f>
        <v>P100066</v>
      </c>
      <c r="BU1420" t="str">
        <f t="shared" si="1248"/>
        <v>Nelson</v>
      </c>
    </row>
    <row r="1421" spans="1:73" x14ac:dyDescent="0.2">
      <c r="A1421">
        <f t="shared" si="1234"/>
        <v>1</v>
      </c>
      <c r="J1421" s="44" t="str">
        <f t="shared" si="1249"/>
        <v/>
      </c>
      <c r="K1421" t="s">
        <v>7</v>
      </c>
      <c r="L1421" t="s">
        <v>172</v>
      </c>
      <c r="M1421" t="s">
        <v>68</v>
      </c>
      <c r="S1421">
        <v>762</v>
      </c>
      <c r="W1421" t="str">
        <f t="shared" si="1225"/>
        <v>h</v>
      </c>
      <c r="X1421">
        <v>16</v>
      </c>
      <c r="Y1421" t="b">
        <f>IF(X1421&lt;&gt;"",VLOOKUP(X1421,game_rosters!$C$43:$E$64,3,FALSE))</f>
        <v>0</v>
      </c>
      <c r="Z1421" cm="1">
        <f t="array" ref="Z1421">IFERROR(IF(_xlfn._xlws.FILTER(game_rosters!$J:$J,(game_rosters!$G:$G=events!$AN1421)*(game_rosters!$J:$J=events!$X1421))&gt;0,1,""),"")</f>
        <v>1</v>
      </c>
      <c r="AA1421">
        <f t="shared" si="1183"/>
        <v>1762</v>
      </c>
      <c r="AB1421" t="str">
        <f t="shared" si="1184"/>
        <v/>
      </c>
      <c r="AC1421">
        <f t="shared" si="1222"/>
        <v>1762</v>
      </c>
      <c r="AD1421" s="6">
        <v>2</v>
      </c>
      <c r="AE1421" t="s">
        <v>941</v>
      </c>
      <c r="AF1421" t="s">
        <v>738</v>
      </c>
      <c r="AG1421" t="s">
        <v>756</v>
      </c>
      <c r="AH1421" t="s">
        <v>756</v>
      </c>
      <c r="AI1421" t="s">
        <v>367</v>
      </c>
      <c r="AJ1421" t="str">
        <f t="shared" ref="AJ1421:AK1421" si="1257">IF($J1421&lt;&gt;"",$J1421,IF($AC1421=$AC1420,AJ1420,""))</f>
        <v/>
      </c>
      <c r="AK1421" t="str">
        <f t="shared" si="1257"/>
        <v/>
      </c>
      <c r="AL1421" t="str">
        <f t="shared" si="1227"/>
        <v/>
      </c>
      <c r="AN1421" t="s">
        <v>861</v>
      </c>
      <c r="AO1421" t="str">
        <f t="shared" si="1228"/>
        <v>h</v>
      </c>
      <c r="AP1421" t="str">
        <f t="shared" si="1236"/>
        <v/>
      </c>
      <c r="AQ1421" t="str">
        <f t="shared" si="1237"/>
        <v/>
      </c>
      <c r="AR1421" t="str">
        <f t="shared" si="1238"/>
        <v>Home</v>
      </c>
      <c r="AS1421" t="str">
        <f t="shared" si="1239"/>
        <v>h</v>
      </c>
      <c r="AT1421" t="str">
        <f t="shared" si="1240"/>
        <v>Offensive</v>
      </c>
      <c r="BA1421" s="6">
        <f t="shared" si="1229"/>
        <v>323</v>
      </c>
      <c r="BB1421">
        <f t="shared" si="1230"/>
        <v>18981</v>
      </c>
      <c r="BC1421" t="str">
        <f t="shared" si="1231"/>
        <v>Nelson</v>
      </c>
      <c r="BD1421" t="str">
        <f t="shared" si="1232"/>
        <v>Velodrome</v>
      </c>
      <c r="BE1421" t="s">
        <v>7</v>
      </c>
      <c r="BF1421" t="s">
        <v>172</v>
      </c>
      <c r="BG1421" t="s">
        <v>68</v>
      </c>
      <c r="BI1421" cm="1">
        <f t="array" ref="BI1421">IFERROR(_xlfn._xlws.FILTER(shifts!A:A,(shifts!B:B=events!AD1421)*(shifts!AG:AG&gt;=events!BK1421)*(shifts!AH:AH&lt;=events!BL1421)),BI1420)</f>
        <v>62</v>
      </c>
      <c r="BJ1421" s="15">
        <f t="shared" si="1233"/>
        <v>0</v>
      </c>
      <c r="BK1421">
        <f t="shared" si="1241"/>
        <v>271</v>
      </c>
      <c r="BL1421">
        <f t="shared" si="1242"/>
        <v>271</v>
      </c>
      <c r="BM1421" s="15">
        <f>SUMIFS(BJ$2:BJ1421,K$2:K1421,"=Intermission")+SUMIFS(BJ$2:BJ1421,K$2:K1421,"=Timeout")</f>
        <v>72</v>
      </c>
      <c r="BN1421">
        <f t="shared" si="1243"/>
        <v>1152</v>
      </c>
      <c r="BO1421" s="19">
        <f t="shared" si="1244"/>
        <v>1961</v>
      </c>
      <c r="BP1421">
        <f t="shared" si="1245"/>
        <v>1956</v>
      </c>
      <c r="BQ1421" s="17">
        <f t="shared" si="1246"/>
        <v>1961</v>
      </c>
      <c r="BR1421" t="str">
        <f t="shared" si="1247"/>
        <v>event_team_player_2</v>
      </c>
      <c r="BS1421">
        <f>COUNTIFS(S$3:S1421,"="&amp;S1421,AI$3:AI1421,"="&amp;AI1421)</f>
        <v>2</v>
      </c>
      <c r="BT1421" t="str">
        <f>IFERROR(VLOOKUP(BB1421&amp;BU1421&amp;X1421,game_rosters!U:W,3,FALSE),"")</f>
        <v>P100164</v>
      </c>
      <c r="BU1421" t="str">
        <f t="shared" si="1248"/>
        <v>Nelson</v>
      </c>
    </row>
    <row r="1422" spans="1:73" x14ac:dyDescent="0.2">
      <c r="A1422">
        <f t="shared" si="1234"/>
        <v>1</v>
      </c>
      <c r="J1422" s="44" t="str">
        <f t="shared" si="1249"/>
        <v>o</v>
      </c>
      <c r="K1422" t="s">
        <v>6</v>
      </c>
      <c r="L1422" t="s">
        <v>205</v>
      </c>
      <c r="M1422" t="s">
        <v>51</v>
      </c>
      <c r="S1422">
        <v>763</v>
      </c>
      <c r="W1422" t="str">
        <f t="shared" si="1225"/>
        <v>h</v>
      </c>
      <c r="X1422">
        <v>16</v>
      </c>
      <c r="Y1422" t="b">
        <f>IF(X1422&lt;&gt;"",VLOOKUP(X1422,game_rosters!$C$43:$E$64,3,FALSE))</f>
        <v>0</v>
      </c>
      <c r="Z1422" cm="1">
        <f t="array" ref="Z1422">IFERROR(IF(_xlfn._xlws.FILTER(game_rosters!$J:$J,(game_rosters!$G:$G=events!$AN1422)*(game_rosters!$J:$J=events!$X1422))&gt;0,1,""),"")</f>
        <v>1</v>
      </c>
      <c r="AA1422">
        <f t="shared" si="1183"/>
        <v>1763</v>
      </c>
      <c r="AB1422" t="str">
        <f t="shared" si="1184"/>
        <v/>
      </c>
      <c r="AC1422">
        <f t="shared" si="1222"/>
        <v>1763</v>
      </c>
      <c r="AD1422" s="6">
        <v>2</v>
      </c>
      <c r="AE1422" t="s">
        <v>941</v>
      </c>
      <c r="AF1422" t="s">
        <v>915</v>
      </c>
      <c r="AG1422" t="s">
        <v>756</v>
      </c>
      <c r="AH1422" t="s">
        <v>756</v>
      </c>
      <c r="AI1422" t="s">
        <v>367</v>
      </c>
      <c r="AJ1422" t="str">
        <f t="shared" ref="AJ1422:AK1422" si="1258">IF($J1422&lt;&gt;"",$J1422,IF($AC1422=$AC1421,AJ1421,""))</f>
        <v>o</v>
      </c>
      <c r="AK1422" t="str">
        <f t="shared" si="1258"/>
        <v>o</v>
      </c>
      <c r="AL1422" t="str">
        <f t="shared" si="1227"/>
        <v>o</v>
      </c>
      <c r="AN1422" t="s">
        <v>861</v>
      </c>
      <c r="AO1422" t="str">
        <f t="shared" si="1228"/>
        <v>h</v>
      </c>
      <c r="AP1422" t="str">
        <f t="shared" si="1236"/>
        <v>o</v>
      </c>
      <c r="AQ1422" t="str">
        <f t="shared" si="1237"/>
        <v/>
      </c>
      <c r="AR1422" t="str">
        <f t="shared" si="1238"/>
        <v>Home</v>
      </c>
      <c r="AS1422" t="str">
        <f t="shared" si="1239"/>
        <v>h</v>
      </c>
      <c r="AT1422" t="str">
        <f t="shared" si="1240"/>
        <v>Offensive</v>
      </c>
      <c r="BA1422" s="6">
        <f t="shared" si="1229"/>
        <v>323</v>
      </c>
      <c r="BB1422">
        <f t="shared" si="1230"/>
        <v>18981</v>
      </c>
      <c r="BC1422" t="str">
        <f t="shared" si="1231"/>
        <v>Nelson</v>
      </c>
      <c r="BD1422" t="str">
        <f t="shared" si="1232"/>
        <v>Velodrome</v>
      </c>
      <c r="BE1422" t="s">
        <v>6</v>
      </c>
      <c r="BF1422" t="s">
        <v>205</v>
      </c>
      <c r="BG1422" t="s">
        <v>51</v>
      </c>
      <c r="BI1422" cm="1">
        <f t="array" ref="BI1422">IFERROR(_xlfn._xlws.FILTER(shifts!A:A,(shifts!B:B=events!AD1422)*(shifts!AG:AG&gt;=events!BK1422)*(shifts!AH:AH&lt;=events!BL1422)),BI1421)</f>
        <v>62</v>
      </c>
      <c r="BJ1422" s="15">
        <f t="shared" si="1233"/>
        <v>0</v>
      </c>
      <c r="BK1422">
        <f t="shared" si="1241"/>
        <v>270</v>
      </c>
      <c r="BL1422">
        <f t="shared" si="1242"/>
        <v>270</v>
      </c>
      <c r="BM1422" s="15">
        <f>SUMIFS(BJ$2:BJ1422,K$2:K1422,"=Intermission")+SUMIFS(BJ$2:BJ1422,K$2:K1422,"=Timeout")</f>
        <v>72</v>
      </c>
      <c r="BN1422">
        <f t="shared" si="1243"/>
        <v>1152</v>
      </c>
      <c r="BO1422" s="19">
        <f t="shared" si="1244"/>
        <v>1962</v>
      </c>
      <c r="BP1422">
        <f t="shared" si="1245"/>
        <v>1957</v>
      </c>
      <c r="BQ1422" s="17">
        <f t="shared" si="1246"/>
        <v>1962</v>
      </c>
      <c r="BR1422" t="str">
        <f t="shared" si="1247"/>
        <v>event_team_player_1</v>
      </c>
      <c r="BS1422">
        <f>COUNTIFS(S$3:S1422,"="&amp;S1422,AI$3:AI1422,"="&amp;AI1422)</f>
        <v>1</v>
      </c>
      <c r="BT1422" t="str">
        <f>IFERROR(VLOOKUP(BB1422&amp;BU1422&amp;X1422,game_rosters!U:W,3,FALSE),"")</f>
        <v>P100164</v>
      </c>
      <c r="BU1422" t="str">
        <f t="shared" si="1248"/>
        <v>Nelson</v>
      </c>
    </row>
    <row r="1423" spans="1:73" x14ac:dyDescent="0.2">
      <c r="A1423">
        <f t="shared" si="1234"/>
        <v>1</v>
      </c>
      <c r="J1423" s="44" t="str">
        <f t="shared" si="1249"/>
        <v>o</v>
      </c>
      <c r="K1423" t="s">
        <v>6</v>
      </c>
      <c r="L1423" t="s">
        <v>205</v>
      </c>
      <c r="M1423" t="s">
        <v>51</v>
      </c>
      <c r="S1423">
        <v>763</v>
      </c>
      <c r="W1423" t="str">
        <f t="shared" si="1225"/>
        <v>h</v>
      </c>
      <c r="X1423">
        <v>39</v>
      </c>
      <c r="Y1423" t="e">
        <f>IF(X1423&lt;&gt;"",VLOOKUP(X1423,game_rosters!$C$43:$E$64,3,FALSE))</f>
        <v>#N/A</v>
      </c>
      <c r="Z1423" t="str" cm="1">
        <f t="array" ref="Z1423">IFERROR(IF(_xlfn._xlws.FILTER(game_rosters!$J:$J,(game_rosters!$G:$G=events!$AN1423)*(game_rosters!$J:$J=events!$X1423))&gt;0,1,""),"")</f>
        <v/>
      </c>
      <c r="AA1423">
        <f t="shared" si="1183"/>
        <v>1763</v>
      </c>
      <c r="AB1423" t="str">
        <f t="shared" si="1184"/>
        <v/>
      </c>
      <c r="AC1423">
        <f t="shared" si="1222"/>
        <v>1763</v>
      </c>
      <c r="AD1423" s="6">
        <v>2</v>
      </c>
      <c r="AE1423" t="s">
        <v>941</v>
      </c>
      <c r="AF1423" t="s">
        <v>915</v>
      </c>
      <c r="AG1423" t="s">
        <v>756</v>
      </c>
      <c r="AH1423" t="s">
        <v>756</v>
      </c>
      <c r="AI1423" t="s">
        <v>368</v>
      </c>
      <c r="AJ1423" t="str">
        <f t="shared" ref="AJ1423:AK1423" si="1259">IF($J1423&lt;&gt;"",$J1423,IF($AC1423=$AC1422,AJ1422,""))</f>
        <v>o</v>
      </c>
      <c r="AK1423" t="str">
        <f t="shared" si="1259"/>
        <v>o</v>
      </c>
      <c r="AL1423" t="str">
        <f t="shared" si="1227"/>
        <v>o</v>
      </c>
      <c r="AN1423" t="s">
        <v>861</v>
      </c>
      <c r="AO1423" t="str">
        <f t="shared" si="1228"/>
        <v>h</v>
      </c>
      <c r="AP1423" t="str">
        <f t="shared" si="1236"/>
        <v>o</v>
      </c>
      <c r="AQ1423" t="str">
        <f t="shared" si="1237"/>
        <v/>
      </c>
      <c r="AR1423" t="str">
        <f t="shared" si="1238"/>
        <v>Home</v>
      </c>
      <c r="AS1423" t="str">
        <f t="shared" si="1239"/>
        <v>h</v>
      </c>
      <c r="AT1423" t="str">
        <f t="shared" si="1240"/>
        <v>Defensive</v>
      </c>
      <c r="BA1423" s="6">
        <f t="shared" si="1229"/>
        <v>323</v>
      </c>
      <c r="BB1423">
        <f t="shared" si="1230"/>
        <v>18981</v>
      </c>
      <c r="BC1423" t="str">
        <f t="shared" si="1231"/>
        <v>Nelson</v>
      </c>
      <c r="BD1423" t="str">
        <f t="shared" si="1232"/>
        <v>Velodrome</v>
      </c>
      <c r="BE1423" t="s">
        <v>6</v>
      </c>
      <c r="BF1423" t="s">
        <v>205</v>
      </c>
      <c r="BG1423" t="s">
        <v>51</v>
      </c>
      <c r="BI1423" cm="1">
        <f t="array" ref="BI1423">IFERROR(_xlfn._xlws.FILTER(shifts!A:A,(shifts!B:B=events!AD1423)*(shifts!AG:AG&gt;=events!BK1423)*(shifts!AH:AH&lt;=events!BL1423)),BI1422)</f>
        <v>62</v>
      </c>
      <c r="BJ1423" s="15">
        <f t="shared" si="1233"/>
        <v>0</v>
      </c>
      <c r="BK1423">
        <f t="shared" si="1241"/>
        <v>270</v>
      </c>
      <c r="BL1423">
        <f t="shared" si="1242"/>
        <v>270</v>
      </c>
      <c r="BM1423" s="15">
        <f>SUMIFS(BJ$2:BJ1423,K$2:K1423,"=Intermission")+SUMIFS(BJ$2:BJ1423,K$2:K1423,"=Timeout")</f>
        <v>72</v>
      </c>
      <c r="BN1423">
        <f t="shared" si="1243"/>
        <v>1152</v>
      </c>
      <c r="BO1423" s="19">
        <f t="shared" si="1244"/>
        <v>1962</v>
      </c>
      <c r="BP1423">
        <f t="shared" si="1245"/>
        <v>1957</v>
      </c>
      <c r="BQ1423" s="17">
        <f t="shared" si="1246"/>
        <v>1962</v>
      </c>
      <c r="BR1423" t="str">
        <f t="shared" si="1247"/>
        <v>opp_team_player_1</v>
      </c>
      <c r="BS1423">
        <f>COUNTIFS(S$3:S1423,"="&amp;S1423,AI$3:AI1423,"="&amp;AI1423)</f>
        <v>1</v>
      </c>
      <c r="BT1423" t="str">
        <f>IFERROR(VLOOKUP(BB1423&amp;BU1423&amp;X1423,game_rosters!U:W,3,FALSE),"")</f>
        <v>P100016</v>
      </c>
      <c r="BU1423" t="str">
        <f t="shared" si="1248"/>
        <v>Velodrome</v>
      </c>
    </row>
    <row r="1424" spans="1:73" x14ac:dyDescent="0.2">
      <c r="A1424">
        <f t="shared" si="1234"/>
        <v>1</v>
      </c>
      <c r="J1424" s="44" t="str">
        <f t="shared" si="1249"/>
        <v>o</v>
      </c>
      <c r="K1424" t="s">
        <v>6</v>
      </c>
      <c r="L1424" t="s">
        <v>205</v>
      </c>
      <c r="M1424" t="s">
        <v>51</v>
      </c>
      <c r="S1424">
        <v>763</v>
      </c>
      <c r="W1424" t="str">
        <f t="shared" si="1225"/>
        <v>h</v>
      </c>
      <c r="X1424">
        <v>9</v>
      </c>
      <c r="Y1424" t="e">
        <f>IF(X1424&lt;&gt;"",VLOOKUP(X1424,game_rosters!$C$43:$E$64,3,FALSE))</f>
        <v>#N/A</v>
      </c>
      <c r="Z1424" t="str" cm="1">
        <f t="array" ref="Z1424">IFERROR(IF(_xlfn._xlws.FILTER(game_rosters!$J:$J,(game_rosters!$G:$G=events!$AN1424)*(game_rosters!$J:$J=events!$X1424))&gt;0,1,""),"")</f>
        <v/>
      </c>
      <c r="AA1424">
        <f t="shared" si="1183"/>
        <v>1763</v>
      </c>
      <c r="AB1424" t="str">
        <f t="shared" si="1184"/>
        <v/>
      </c>
      <c r="AC1424">
        <f t="shared" si="1222"/>
        <v>1763</v>
      </c>
      <c r="AD1424" s="6">
        <v>2</v>
      </c>
      <c r="AE1424" t="s">
        <v>941</v>
      </c>
      <c r="AF1424" t="s">
        <v>915</v>
      </c>
      <c r="AG1424" t="s">
        <v>756</v>
      </c>
      <c r="AH1424" t="s">
        <v>756</v>
      </c>
      <c r="AI1424" t="s">
        <v>368</v>
      </c>
      <c r="AJ1424" t="str">
        <f t="shared" ref="AJ1424:AK1424" si="1260">IF($J1424&lt;&gt;"",$J1424,IF($AC1424=$AC1423,AJ1423,""))</f>
        <v>o</v>
      </c>
      <c r="AK1424" t="str">
        <f t="shared" si="1260"/>
        <v>o</v>
      </c>
      <c r="AL1424" t="str">
        <f t="shared" si="1227"/>
        <v>o</v>
      </c>
      <c r="AN1424" t="s">
        <v>861</v>
      </c>
      <c r="AO1424" t="str">
        <f t="shared" si="1228"/>
        <v>h</v>
      </c>
      <c r="AP1424" t="str">
        <f t="shared" si="1236"/>
        <v>o</v>
      </c>
      <c r="AQ1424" t="str">
        <f t="shared" si="1237"/>
        <v/>
      </c>
      <c r="AR1424" t="str">
        <f t="shared" si="1238"/>
        <v>Home</v>
      </c>
      <c r="AS1424" t="str">
        <f t="shared" si="1239"/>
        <v>h</v>
      </c>
      <c r="AT1424" t="str">
        <f t="shared" si="1240"/>
        <v>Defensive</v>
      </c>
      <c r="BA1424" s="6">
        <f t="shared" si="1229"/>
        <v>323</v>
      </c>
      <c r="BB1424">
        <f t="shared" si="1230"/>
        <v>18981</v>
      </c>
      <c r="BC1424" t="str">
        <f t="shared" si="1231"/>
        <v>Nelson</v>
      </c>
      <c r="BD1424" t="str">
        <f t="shared" si="1232"/>
        <v>Velodrome</v>
      </c>
      <c r="BE1424" t="s">
        <v>6</v>
      </c>
      <c r="BF1424" t="s">
        <v>205</v>
      </c>
      <c r="BG1424" t="s">
        <v>51</v>
      </c>
      <c r="BI1424" cm="1">
        <f t="array" ref="BI1424">IFERROR(_xlfn._xlws.FILTER(shifts!A:A,(shifts!B:B=events!AD1424)*(shifts!AG:AG&gt;=events!BK1424)*(shifts!AH:AH&lt;=events!BL1424)),BI1423)</f>
        <v>62</v>
      </c>
      <c r="BJ1424" s="15">
        <f t="shared" si="1233"/>
        <v>0</v>
      </c>
      <c r="BK1424">
        <f t="shared" si="1241"/>
        <v>270</v>
      </c>
      <c r="BL1424">
        <f t="shared" si="1242"/>
        <v>270</v>
      </c>
      <c r="BM1424" s="15">
        <f>SUMIFS(BJ$2:BJ1424,K$2:K1424,"=Intermission")+SUMIFS(BJ$2:BJ1424,K$2:K1424,"=Timeout")</f>
        <v>72</v>
      </c>
      <c r="BN1424">
        <f t="shared" si="1243"/>
        <v>1152</v>
      </c>
      <c r="BO1424" s="19">
        <f t="shared" si="1244"/>
        <v>1962</v>
      </c>
      <c r="BP1424">
        <f t="shared" si="1245"/>
        <v>1957</v>
      </c>
      <c r="BQ1424" s="17">
        <f t="shared" si="1246"/>
        <v>1962</v>
      </c>
      <c r="BR1424" t="str">
        <f t="shared" si="1247"/>
        <v>opp_team_player_2</v>
      </c>
      <c r="BS1424">
        <f>COUNTIFS(S$3:S1424,"="&amp;S1424,AI$3:AI1424,"="&amp;AI1424)</f>
        <v>2</v>
      </c>
      <c r="BT1424" t="str">
        <f>IFERROR(VLOOKUP(BB1424&amp;BU1424&amp;X1424,game_rosters!U:W,3,FALSE),"")</f>
        <v>P100105</v>
      </c>
      <c r="BU1424" t="str">
        <f t="shared" si="1248"/>
        <v>Velodrome</v>
      </c>
    </row>
    <row r="1425" spans="1:73" x14ac:dyDescent="0.2">
      <c r="A1425">
        <f t="shared" si="1234"/>
        <v>1</v>
      </c>
      <c r="J1425" s="44" t="str">
        <f t="shared" si="1249"/>
        <v>d</v>
      </c>
      <c r="K1425" t="s">
        <v>15</v>
      </c>
      <c r="L1425" t="s">
        <v>189</v>
      </c>
      <c r="M1425" t="s">
        <v>100</v>
      </c>
      <c r="S1425">
        <v>764</v>
      </c>
      <c r="W1425" t="str">
        <f t="shared" si="1225"/>
        <v>a</v>
      </c>
      <c r="X1425">
        <v>39</v>
      </c>
      <c r="Y1425" t="e">
        <f>IF(X1425&lt;&gt;"",VLOOKUP(X1425,game_rosters!$C$43:$E$64,3,FALSE))</f>
        <v>#N/A</v>
      </c>
      <c r="Z1425" cm="1">
        <f t="array" ref="Z1425">IFERROR(IF(_xlfn._xlws.FILTER(game_rosters!$J:$J,(game_rosters!$G:$G=events!$AN1425)*(game_rosters!$J:$J=events!$X1425))&gt;0,1,""),"")</f>
        <v>1</v>
      </c>
      <c r="AA1425">
        <f t="shared" si="1183"/>
        <v>1764</v>
      </c>
      <c r="AB1425" t="str">
        <f t="shared" si="1184"/>
        <v/>
      </c>
      <c r="AC1425">
        <f t="shared" si="1222"/>
        <v>1764</v>
      </c>
      <c r="AD1425" s="6">
        <v>2</v>
      </c>
      <c r="AE1425" t="s">
        <v>941</v>
      </c>
      <c r="AF1425" t="s">
        <v>915</v>
      </c>
      <c r="AG1425" t="s">
        <v>756</v>
      </c>
      <c r="AH1425" t="s">
        <v>756</v>
      </c>
      <c r="AI1425" t="s">
        <v>367</v>
      </c>
      <c r="AJ1425" t="str">
        <f t="shared" ref="AJ1425:AK1425" si="1261">IF($J1425&lt;&gt;"",$J1425,IF($AC1425=$AC1424,AJ1424,""))</f>
        <v>d</v>
      </c>
      <c r="AK1425" t="str">
        <f t="shared" si="1261"/>
        <v>d</v>
      </c>
      <c r="AL1425" t="str">
        <f t="shared" si="1227"/>
        <v>o</v>
      </c>
      <c r="AN1425" t="s">
        <v>862</v>
      </c>
      <c r="AO1425" t="str">
        <f t="shared" si="1228"/>
        <v>a</v>
      </c>
      <c r="AP1425" t="str">
        <f t="shared" si="1236"/>
        <v>o</v>
      </c>
      <c r="AQ1425" t="str">
        <f t="shared" si="1237"/>
        <v/>
      </c>
      <c r="AR1425" t="str">
        <f t="shared" si="1238"/>
        <v>Away</v>
      </c>
      <c r="AS1425" t="str">
        <f t="shared" si="1239"/>
        <v>a</v>
      </c>
      <c r="AT1425" t="str">
        <f t="shared" si="1240"/>
        <v>Defensive</v>
      </c>
      <c r="BA1425" s="6">
        <f t="shared" si="1229"/>
        <v>323</v>
      </c>
      <c r="BB1425">
        <f t="shared" si="1230"/>
        <v>18981</v>
      </c>
      <c r="BC1425" t="str">
        <f t="shared" si="1231"/>
        <v>Nelson</v>
      </c>
      <c r="BD1425" t="str">
        <f t="shared" si="1232"/>
        <v>Velodrome</v>
      </c>
      <c r="BE1425" t="s">
        <v>15</v>
      </c>
      <c r="BF1425" t="s">
        <v>189</v>
      </c>
      <c r="BG1425" t="s">
        <v>100</v>
      </c>
      <c r="BI1425" cm="1">
        <f t="array" ref="BI1425">IFERROR(_xlfn._xlws.FILTER(shifts!A:A,(shifts!B:B=events!AD1425)*(shifts!AG:AG&gt;=events!BK1425)*(shifts!AH:AH&lt;=events!BL1425)),BI1424)</f>
        <v>62</v>
      </c>
      <c r="BJ1425" s="15">
        <f t="shared" si="1233"/>
        <v>0</v>
      </c>
      <c r="BK1425">
        <f t="shared" si="1241"/>
        <v>270</v>
      </c>
      <c r="BL1425">
        <f t="shared" si="1242"/>
        <v>270</v>
      </c>
      <c r="BM1425" s="15">
        <f>SUMIFS(BJ$2:BJ1425,K$2:K1425,"=Intermission")+SUMIFS(BJ$2:BJ1425,K$2:K1425,"=Timeout")</f>
        <v>72</v>
      </c>
      <c r="BN1425">
        <f t="shared" si="1243"/>
        <v>1152</v>
      </c>
      <c r="BO1425" s="19">
        <f t="shared" si="1244"/>
        <v>1962</v>
      </c>
      <c r="BP1425">
        <f t="shared" si="1245"/>
        <v>1957</v>
      </c>
      <c r="BQ1425" s="17">
        <f t="shared" si="1246"/>
        <v>1962</v>
      </c>
      <c r="BR1425" t="str">
        <f t="shared" si="1247"/>
        <v>event_team_player_1</v>
      </c>
      <c r="BS1425">
        <f>COUNTIFS(S$3:S1425,"="&amp;S1425,AI$3:AI1425,"="&amp;AI1425)</f>
        <v>1</v>
      </c>
      <c r="BT1425" t="str">
        <f>IFERROR(VLOOKUP(BB1425&amp;BU1425&amp;X1425,game_rosters!U:W,3,FALSE),"")</f>
        <v>P100016</v>
      </c>
      <c r="BU1425" t="str">
        <f t="shared" si="1248"/>
        <v>Velodrome</v>
      </c>
    </row>
    <row r="1426" spans="1:73" x14ac:dyDescent="0.2">
      <c r="A1426">
        <f t="shared" si="1234"/>
        <v>1</v>
      </c>
      <c r="J1426" s="44" t="str">
        <f t="shared" si="1249"/>
        <v>d</v>
      </c>
      <c r="K1426" t="s">
        <v>15</v>
      </c>
      <c r="L1426" t="s">
        <v>189</v>
      </c>
      <c r="M1426" t="s">
        <v>100</v>
      </c>
      <c r="S1426">
        <v>764</v>
      </c>
      <c r="W1426" t="str">
        <f t="shared" si="1225"/>
        <v>a</v>
      </c>
      <c r="X1426">
        <v>9</v>
      </c>
      <c r="Y1426" t="e">
        <f>IF(X1426&lt;&gt;"",VLOOKUP(X1426,game_rosters!$C$43:$E$64,3,FALSE))</f>
        <v>#N/A</v>
      </c>
      <c r="Z1426" cm="1">
        <f t="array" ref="Z1426">IFERROR(IF(_xlfn._xlws.FILTER(game_rosters!$J:$J,(game_rosters!$G:$G=events!$AN1426)*(game_rosters!$J:$J=events!$X1426))&gt;0,1,""),"")</f>
        <v>1</v>
      </c>
      <c r="AA1426">
        <f t="shared" si="1183"/>
        <v>1764</v>
      </c>
      <c r="AB1426" t="str">
        <f t="shared" si="1184"/>
        <v/>
      </c>
      <c r="AC1426">
        <f t="shared" si="1222"/>
        <v>1764</v>
      </c>
      <c r="AD1426" s="6">
        <v>2</v>
      </c>
      <c r="AE1426" t="s">
        <v>941</v>
      </c>
      <c r="AF1426" t="s">
        <v>915</v>
      </c>
      <c r="AG1426" t="s">
        <v>756</v>
      </c>
      <c r="AH1426" t="s">
        <v>756</v>
      </c>
      <c r="AI1426" t="s">
        <v>367</v>
      </c>
      <c r="AJ1426" t="str">
        <f t="shared" ref="AJ1426:AK1426" si="1262">IF($J1426&lt;&gt;"",$J1426,IF($AC1426=$AC1425,AJ1425,""))</f>
        <v>d</v>
      </c>
      <c r="AK1426" t="str">
        <f t="shared" si="1262"/>
        <v>d</v>
      </c>
      <c r="AL1426" t="str">
        <f t="shared" si="1227"/>
        <v>o</v>
      </c>
      <c r="AN1426" t="s">
        <v>862</v>
      </c>
      <c r="AO1426" t="str">
        <f t="shared" si="1228"/>
        <v>a</v>
      </c>
      <c r="AP1426" t="str">
        <f t="shared" si="1236"/>
        <v>o</v>
      </c>
      <c r="AQ1426" t="str">
        <f t="shared" si="1237"/>
        <v/>
      </c>
      <c r="AR1426" t="str">
        <f t="shared" si="1238"/>
        <v>Away</v>
      </c>
      <c r="AS1426" t="str">
        <f t="shared" si="1239"/>
        <v>a</v>
      </c>
      <c r="AT1426" t="str">
        <f t="shared" si="1240"/>
        <v>Defensive</v>
      </c>
      <c r="BA1426" s="6">
        <f t="shared" si="1229"/>
        <v>323</v>
      </c>
      <c r="BB1426">
        <f t="shared" si="1230"/>
        <v>18981</v>
      </c>
      <c r="BC1426" t="str">
        <f t="shared" si="1231"/>
        <v>Nelson</v>
      </c>
      <c r="BD1426" t="str">
        <f t="shared" si="1232"/>
        <v>Velodrome</v>
      </c>
      <c r="BE1426" t="s">
        <v>15</v>
      </c>
      <c r="BF1426" t="s">
        <v>189</v>
      </c>
      <c r="BG1426" t="s">
        <v>100</v>
      </c>
      <c r="BI1426" cm="1">
        <f t="array" ref="BI1426">IFERROR(_xlfn._xlws.FILTER(shifts!A:A,(shifts!B:B=events!AD1426)*(shifts!AG:AG&gt;=events!BK1426)*(shifts!AH:AH&lt;=events!BL1426)),BI1425)</f>
        <v>62</v>
      </c>
      <c r="BJ1426" s="15">
        <f t="shared" si="1233"/>
        <v>0</v>
      </c>
      <c r="BK1426">
        <f t="shared" si="1241"/>
        <v>270</v>
      </c>
      <c r="BL1426">
        <f t="shared" si="1242"/>
        <v>270</v>
      </c>
      <c r="BM1426" s="15">
        <f>SUMIFS(BJ$2:BJ1426,K$2:K1426,"=Intermission")+SUMIFS(BJ$2:BJ1426,K$2:K1426,"=Timeout")</f>
        <v>72</v>
      </c>
      <c r="BN1426">
        <f t="shared" si="1243"/>
        <v>1152</v>
      </c>
      <c r="BO1426" s="19">
        <f t="shared" si="1244"/>
        <v>1962</v>
      </c>
      <c r="BP1426">
        <f t="shared" si="1245"/>
        <v>1957</v>
      </c>
      <c r="BQ1426" s="17">
        <f t="shared" si="1246"/>
        <v>1962</v>
      </c>
      <c r="BR1426" t="str">
        <f t="shared" si="1247"/>
        <v>event_team_player_2</v>
      </c>
      <c r="BS1426">
        <f>COUNTIFS(S$3:S1426,"="&amp;S1426,AI$3:AI1426,"="&amp;AI1426)</f>
        <v>2</v>
      </c>
      <c r="BT1426" t="str">
        <f>IFERROR(VLOOKUP(BB1426&amp;BU1426&amp;X1426,game_rosters!U:W,3,FALSE),"")</f>
        <v>P100105</v>
      </c>
      <c r="BU1426" t="str">
        <f t="shared" si="1248"/>
        <v>Velodrome</v>
      </c>
    </row>
    <row r="1427" spans="1:73" x14ac:dyDescent="0.2">
      <c r="A1427">
        <f t="shared" si="1234"/>
        <v>1</v>
      </c>
      <c r="J1427" s="44" t="str">
        <f t="shared" si="1249"/>
        <v>d</v>
      </c>
      <c r="K1427" t="s">
        <v>15</v>
      </c>
      <c r="L1427" t="s">
        <v>189</v>
      </c>
      <c r="M1427" t="s">
        <v>100</v>
      </c>
      <c r="S1427">
        <v>764</v>
      </c>
      <c r="W1427" t="str">
        <f t="shared" si="1225"/>
        <v>a</v>
      </c>
      <c r="X1427">
        <v>16</v>
      </c>
      <c r="Y1427" t="b">
        <f>IF(X1427&lt;&gt;"",VLOOKUP(X1427,game_rosters!$C$43:$E$64,3,FALSE))</f>
        <v>0</v>
      </c>
      <c r="Z1427" t="str" cm="1">
        <f t="array" ref="Z1427">IFERROR(IF(_xlfn._xlws.FILTER(game_rosters!$J:$J,(game_rosters!$G:$G=events!$AN1427)*(game_rosters!$J:$J=events!$X1427))&gt;0,1,""),"")</f>
        <v/>
      </c>
      <c r="AA1427">
        <f t="shared" si="1183"/>
        <v>1764</v>
      </c>
      <c r="AB1427" t="str">
        <f t="shared" si="1184"/>
        <v/>
      </c>
      <c r="AC1427">
        <f t="shared" si="1222"/>
        <v>1764</v>
      </c>
      <c r="AD1427" s="6">
        <v>2</v>
      </c>
      <c r="AE1427" t="s">
        <v>941</v>
      </c>
      <c r="AF1427" t="s">
        <v>915</v>
      </c>
      <c r="AG1427" t="s">
        <v>756</v>
      </c>
      <c r="AH1427" t="s">
        <v>756</v>
      </c>
      <c r="AI1427" t="s">
        <v>368</v>
      </c>
      <c r="AJ1427" t="str">
        <f t="shared" ref="AJ1427:AK1427" si="1263">IF($J1427&lt;&gt;"",$J1427,IF($AC1427=$AC1426,AJ1426,""))</f>
        <v>d</v>
      </c>
      <c r="AK1427" t="str">
        <f t="shared" si="1263"/>
        <v>d</v>
      </c>
      <c r="AL1427" t="str">
        <f t="shared" si="1227"/>
        <v>o</v>
      </c>
      <c r="AN1427" t="s">
        <v>862</v>
      </c>
      <c r="AO1427" t="str">
        <f t="shared" si="1228"/>
        <v>a</v>
      </c>
      <c r="AP1427" t="str">
        <f t="shared" si="1236"/>
        <v>o</v>
      </c>
      <c r="AQ1427" t="str">
        <f t="shared" si="1237"/>
        <v/>
      </c>
      <c r="AR1427" t="str">
        <f t="shared" si="1238"/>
        <v>Away</v>
      </c>
      <c r="AS1427" t="str">
        <f t="shared" si="1239"/>
        <v>a</v>
      </c>
      <c r="AT1427" t="str">
        <f t="shared" si="1240"/>
        <v>Offensive</v>
      </c>
      <c r="BA1427" s="6">
        <f t="shared" si="1229"/>
        <v>323</v>
      </c>
      <c r="BB1427">
        <f t="shared" si="1230"/>
        <v>18981</v>
      </c>
      <c r="BC1427" t="str">
        <f t="shared" si="1231"/>
        <v>Nelson</v>
      </c>
      <c r="BD1427" t="str">
        <f t="shared" si="1232"/>
        <v>Velodrome</v>
      </c>
      <c r="BE1427" t="s">
        <v>15</v>
      </c>
      <c r="BF1427" t="s">
        <v>189</v>
      </c>
      <c r="BG1427" t="s">
        <v>100</v>
      </c>
      <c r="BI1427" cm="1">
        <f t="array" ref="BI1427">IFERROR(_xlfn._xlws.FILTER(shifts!A:A,(shifts!B:B=events!AD1427)*(shifts!AG:AG&gt;=events!BK1427)*(shifts!AH:AH&lt;=events!BL1427)),BI1426)</f>
        <v>62</v>
      </c>
      <c r="BJ1427" s="15">
        <f t="shared" si="1233"/>
        <v>0</v>
      </c>
      <c r="BK1427">
        <f t="shared" si="1241"/>
        <v>270</v>
      </c>
      <c r="BL1427">
        <f t="shared" si="1242"/>
        <v>270</v>
      </c>
      <c r="BM1427" s="15">
        <f>SUMIFS(BJ$2:BJ1427,K$2:K1427,"=Intermission")+SUMIFS(BJ$2:BJ1427,K$2:K1427,"=Timeout")</f>
        <v>72</v>
      </c>
      <c r="BN1427">
        <f t="shared" si="1243"/>
        <v>1152</v>
      </c>
      <c r="BO1427" s="19">
        <f t="shared" si="1244"/>
        <v>1962</v>
      </c>
      <c r="BP1427">
        <f t="shared" si="1245"/>
        <v>1957</v>
      </c>
      <c r="BQ1427" s="17">
        <f t="shared" si="1246"/>
        <v>1962</v>
      </c>
      <c r="BR1427" t="str">
        <f t="shared" si="1247"/>
        <v>opp_team_player_1</v>
      </c>
      <c r="BS1427">
        <f>COUNTIFS(S$3:S1427,"="&amp;S1427,AI$3:AI1427,"="&amp;AI1427)</f>
        <v>1</v>
      </c>
      <c r="BT1427" t="str">
        <f>IFERROR(VLOOKUP(BB1427&amp;BU1427&amp;X1427,game_rosters!U:W,3,FALSE),"")</f>
        <v>P100164</v>
      </c>
      <c r="BU1427" t="str">
        <f t="shared" si="1248"/>
        <v>Nelson</v>
      </c>
    </row>
    <row r="1428" spans="1:73" x14ac:dyDescent="0.2">
      <c r="A1428">
        <f t="shared" si="1234"/>
        <v>1</v>
      </c>
      <c r="J1428" s="44" t="str">
        <f t="shared" si="1249"/>
        <v>d</v>
      </c>
      <c r="K1428" t="s">
        <v>11</v>
      </c>
      <c r="L1428" t="s">
        <v>187</v>
      </c>
      <c r="M1428" t="s">
        <v>108</v>
      </c>
      <c r="S1428">
        <v>765</v>
      </c>
      <c r="W1428" t="str">
        <f t="shared" si="1225"/>
        <v>a</v>
      </c>
      <c r="X1428">
        <v>39</v>
      </c>
      <c r="Y1428" t="e">
        <f>IF(X1428&lt;&gt;"",VLOOKUP(X1428,game_rosters!$C$43:$E$64,3,FALSE))</f>
        <v>#N/A</v>
      </c>
      <c r="Z1428" cm="1">
        <f t="array" ref="Z1428">IFERROR(IF(_xlfn._xlws.FILTER(game_rosters!$J:$J,(game_rosters!$G:$G=events!$AN1428)*(game_rosters!$J:$J=events!$X1428))&gt;0,1,""),"")</f>
        <v>1</v>
      </c>
      <c r="AA1428">
        <f t="shared" si="1183"/>
        <v>1765</v>
      </c>
      <c r="AB1428" t="str">
        <f t="shared" si="1184"/>
        <v/>
      </c>
      <c r="AC1428">
        <f t="shared" si="1222"/>
        <v>1765</v>
      </c>
      <c r="AD1428" s="6">
        <v>2</v>
      </c>
      <c r="AE1428" t="s">
        <v>941</v>
      </c>
      <c r="AF1428" t="s">
        <v>906</v>
      </c>
      <c r="AG1428" t="s">
        <v>756</v>
      </c>
      <c r="AH1428" t="s">
        <v>756</v>
      </c>
      <c r="AI1428" t="s">
        <v>367</v>
      </c>
      <c r="AJ1428" t="str">
        <f t="shared" ref="AJ1428:AK1428" si="1264">IF($J1428&lt;&gt;"",$J1428,IF($AC1428=$AC1427,AJ1427,""))</f>
        <v>d</v>
      </c>
      <c r="AK1428" t="str">
        <f t="shared" si="1264"/>
        <v>d</v>
      </c>
      <c r="AL1428" t="str">
        <f t="shared" si="1227"/>
        <v>o</v>
      </c>
      <c r="AN1428" t="s">
        <v>862</v>
      </c>
      <c r="AO1428" t="str">
        <f t="shared" si="1228"/>
        <v>a</v>
      </c>
      <c r="AP1428" t="str">
        <f t="shared" si="1236"/>
        <v>o</v>
      </c>
      <c r="AQ1428" t="str">
        <f t="shared" si="1237"/>
        <v/>
      </c>
      <c r="AR1428" t="str">
        <f t="shared" si="1238"/>
        <v>Away</v>
      </c>
      <c r="AS1428" t="str">
        <f t="shared" si="1239"/>
        <v>a</v>
      </c>
      <c r="AT1428" t="str">
        <f t="shared" si="1240"/>
        <v/>
      </c>
      <c r="BA1428" s="6">
        <f t="shared" si="1229"/>
        <v>323</v>
      </c>
      <c r="BB1428">
        <f t="shared" si="1230"/>
        <v>18981</v>
      </c>
      <c r="BC1428" t="str">
        <f t="shared" si="1231"/>
        <v>Nelson</v>
      </c>
      <c r="BD1428" t="str">
        <f t="shared" si="1232"/>
        <v>Velodrome</v>
      </c>
      <c r="BE1428" t="s">
        <v>11</v>
      </c>
      <c r="BF1428" t="s">
        <v>187</v>
      </c>
      <c r="BG1428" t="s">
        <v>108</v>
      </c>
      <c r="BI1428" cm="1">
        <f t="array" ref="BI1428">IFERROR(_xlfn._xlws.FILTER(shifts!A:A,(shifts!B:B=events!AD1428)*(shifts!AG:AG&gt;=events!BK1428)*(shifts!AH:AH&lt;=events!BL1428)),BI1427)</f>
        <v>62</v>
      </c>
      <c r="BJ1428" s="15">
        <f t="shared" si="1233"/>
        <v>0</v>
      </c>
      <c r="BK1428">
        <f t="shared" si="1241"/>
        <v>269</v>
      </c>
      <c r="BL1428">
        <f t="shared" si="1242"/>
        <v>269</v>
      </c>
      <c r="BM1428" s="15">
        <f>SUMIFS(BJ$2:BJ1428,K$2:K1428,"=Intermission")+SUMIFS(BJ$2:BJ1428,K$2:K1428,"=Timeout")</f>
        <v>72</v>
      </c>
      <c r="BN1428">
        <f t="shared" si="1243"/>
        <v>1152</v>
      </c>
      <c r="BO1428" s="19">
        <f t="shared" si="1244"/>
        <v>1963</v>
      </c>
      <c r="BP1428">
        <f t="shared" si="1245"/>
        <v>1958</v>
      </c>
      <c r="BQ1428" s="17">
        <f t="shared" si="1246"/>
        <v>1963</v>
      </c>
      <c r="BR1428" t="str">
        <f t="shared" si="1247"/>
        <v>event_team_player_1</v>
      </c>
      <c r="BS1428">
        <f>COUNTIFS(S$3:S1428,"="&amp;S1428,AI$3:AI1428,"="&amp;AI1428)</f>
        <v>1</v>
      </c>
      <c r="BT1428" t="str">
        <f>IFERROR(VLOOKUP(BB1428&amp;BU1428&amp;X1428,game_rosters!U:W,3,FALSE),"")</f>
        <v>P100016</v>
      </c>
      <c r="BU1428" t="str">
        <f t="shared" si="1248"/>
        <v>Velodrome</v>
      </c>
    </row>
    <row r="1429" spans="1:73" x14ac:dyDescent="0.2">
      <c r="A1429">
        <f t="shared" si="1234"/>
        <v>1</v>
      </c>
      <c r="J1429" s="44" t="str">
        <f t="shared" si="1249"/>
        <v>d</v>
      </c>
      <c r="K1429" t="s">
        <v>241</v>
      </c>
      <c r="L1429" t="s">
        <v>756</v>
      </c>
      <c r="M1429" t="s">
        <v>756</v>
      </c>
      <c r="S1429">
        <v>766</v>
      </c>
      <c r="W1429" t="str">
        <f t="shared" si="1225"/>
        <v>a</v>
      </c>
      <c r="X1429">
        <v>39</v>
      </c>
      <c r="Y1429" t="e">
        <f>IF(X1429&lt;&gt;"",VLOOKUP(X1429,game_rosters!$C$43:$E$64,3,FALSE))</f>
        <v>#N/A</v>
      </c>
      <c r="Z1429" cm="1">
        <f t="array" ref="Z1429">IFERROR(IF(_xlfn._xlws.FILTER(game_rosters!$J:$J,(game_rosters!$G:$G=events!$AN1429)*(game_rosters!$J:$J=events!$X1429))&gt;0,1,""),"")</f>
        <v>1</v>
      </c>
      <c r="AA1429">
        <f t="shared" si="1183"/>
        <v>1766</v>
      </c>
      <c r="AB1429" t="str">
        <f t="shared" si="1184"/>
        <v/>
      </c>
      <c r="AC1429">
        <f t="shared" si="1222"/>
        <v>1766</v>
      </c>
      <c r="AD1429" s="6">
        <v>2</v>
      </c>
      <c r="AE1429" t="s">
        <v>941</v>
      </c>
      <c r="AF1429" t="s">
        <v>906</v>
      </c>
      <c r="AG1429" t="s">
        <v>941</v>
      </c>
      <c r="AH1429" t="s">
        <v>747</v>
      </c>
      <c r="AI1429" t="s">
        <v>367</v>
      </c>
      <c r="AJ1429" t="str">
        <f t="shared" ref="AJ1429:AK1429" si="1265">IF($J1429&lt;&gt;"",$J1429,IF($AC1429=$AC1428,AJ1428,""))</f>
        <v>d</v>
      </c>
      <c r="AK1429" t="str">
        <f t="shared" si="1265"/>
        <v>d</v>
      </c>
      <c r="AL1429" t="str">
        <f t="shared" si="1227"/>
        <v>o</v>
      </c>
      <c r="AN1429" t="s">
        <v>862</v>
      </c>
      <c r="AO1429" t="str">
        <f t="shared" si="1228"/>
        <v>a</v>
      </c>
      <c r="AP1429" t="str">
        <f t="shared" si="1236"/>
        <v>o</v>
      </c>
      <c r="AQ1429" t="str">
        <f t="shared" si="1237"/>
        <v/>
      </c>
      <c r="AR1429" t="str">
        <f t="shared" si="1238"/>
        <v>Away</v>
      </c>
      <c r="AS1429" t="str">
        <f t="shared" si="1239"/>
        <v>a</v>
      </c>
      <c r="AT1429" t="str">
        <f t="shared" si="1240"/>
        <v/>
      </c>
      <c r="BA1429" s="6">
        <f t="shared" si="1229"/>
        <v>323</v>
      </c>
      <c r="BB1429">
        <f t="shared" si="1230"/>
        <v>18981</v>
      </c>
      <c r="BC1429" t="str">
        <f t="shared" si="1231"/>
        <v>Nelson</v>
      </c>
      <c r="BD1429" t="str">
        <f t="shared" si="1232"/>
        <v>Velodrome</v>
      </c>
      <c r="BE1429" t="s">
        <v>241</v>
      </c>
      <c r="BF1429" t="s">
        <v>756</v>
      </c>
      <c r="BG1429" t="s">
        <v>756</v>
      </c>
      <c r="BI1429" cm="1">
        <f t="array" ref="BI1429">IFERROR(_xlfn._xlws.FILTER(shifts!A:A,(shifts!B:B=events!AD1429)*(shifts!AG:AG&gt;=events!BK1429)*(shifts!AH:AH&lt;=events!BL1429)),BI1428)</f>
        <v>62</v>
      </c>
      <c r="BJ1429" s="15">
        <f t="shared" si="1233"/>
        <v>22</v>
      </c>
      <c r="BK1429">
        <f t="shared" si="1241"/>
        <v>269</v>
      </c>
      <c r="BL1429">
        <f t="shared" si="1242"/>
        <v>247</v>
      </c>
      <c r="BM1429" s="15">
        <f>SUMIFS(BJ$2:BJ1429,K$2:K1429,"=Intermission")+SUMIFS(BJ$2:BJ1429,K$2:K1429,"=Timeout")</f>
        <v>72</v>
      </c>
      <c r="BN1429">
        <f t="shared" si="1243"/>
        <v>1152</v>
      </c>
      <c r="BO1429" s="19">
        <f t="shared" si="1244"/>
        <v>1963</v>
      </c>
      <c r="BP1429">
        <f t="shared" si="1245"/>
        <v>1958</v>
      </c>
      <c r="BQ1429" s="17">
        <f t="shared" si="1246"/>
        <v>1985</v>
      </c>
      <c r="BR1429" t="str">
        <f t="shared" si="1247"/>
        <v>event_team_player_1</v>
      </c>
      <c r="BS1429">
        <f>COUNTIFS(S$3:S1429,"="&amp;S1429,AI$3:AI1429,"="&amp;AI1429)</f>
        <v>1</v>
      </c>
      <c r="BT1429" t="str">
        <f>IFERROR(VLOOKUP(BB1429&amp;BU1429&amp;X1429,game_rosters!U:W,3,FALSE),"")</f>
        <v>P100016</v>
      </c>
      <c r="BU1429" t="str">
        <f t="shared" si="1248"/>
        <v>Velodrome</v>
      </c>
    </row>
    <row r="1430" spans="1:73" x14ac:dyDescent="0.2">
      <c r="A1430">
        <f t="shared" si="1234"/>
        <v>1</v>
      </c>
      <c r="J1430" s="44" t="str">
        <f t="shared" si="1249"/>
        <v/>
      </c>
      <c r="K1430" t="s">
        <v>5</v>
      </c>
      <c r="L1430" t="s">
        <v>236</v>
      </c>
      <c r="M1430" t="s">
        <v>756</v>
      </c>
      <c r="S1430">
        <v>767</v>
      </c>
      <c r="W1430" t="str">
        <f t="shared" si="1225"/>
        <v>a</v>
      </c>
      <c r="X1430">
        <v>42</v>
      </c>
      <c r="Y1430" t="e">
        <f>IF(X1430&lt;&gt;"",VLOOKUP(X1430,game_rosters!$C$43:$E$64,3,FALSE))</f>
        <v>#N/A</v>
      </c>
      <c r="Z1430" cm="1">
        <f t="array" ref="Z1430">IFERROR(IF(_xlfn._xlws.FILTER(game_rosters!$J:$J,(game_rosters!$G:$G=events!$AN1430)*(game_rosters!$J:$J=events!$X1430))&gt;0,1,""),"")</f>
        <v>1</v>
      </c>
      <c r="AA1430">
        <f t="shared" si="1183"/>
        <v>1767</v>
      </c>
      <c r="AB1430" t="str">
        <f t="shared" si="1184"/>
        <v/>
      </c>
      <c r="AC1430">
        <f t="shared" si="1222"/>
        <v>1767</v>
      </c>
      <c r="AD1430" s="6">
        <v>2</v>
      </c>
      <c r="AE1430" t="s">
        <v>941</v>
      </c>
      <c r="AF1430" t="s">
        <v>747</v>
      </c>
      <c r="AG1430" t="s">
        <v>756</v>
      </c>
      <c r="AH1430" t="s">
        <v>756</v>
      </c>
      <c r="AI1430" t="s">
        <v>367</v>
      </c>
      <c r="AJ1430" t="str">
        <f t="shared" ref="AJ1430:AK1430" si="1266">IF($J1430&lt;&gt;"",$J1430,IF($AC1430=$AC1429,AJ1429,""))</f>
        <v/>
      </c>
      <c r="AK1430" t="str">
        <f t="shared" si="1266"/>
        <v/>
      </c>
      <c r="AL1430" t="str">
        <f t="shared" si="1227"/>
        <v/>
      </c>
      <c r="AN1430" t="s">
        <v>862</v>
      </c>
      <c r="AO1430" t="str">
        <f t="shared" si="1228"/>
        <v>a</v>
      </c>
      <c r="AP1430" t="str">
        <f t="shared" si="1236"/>
        <v/>
      </c>
      <c r="AQ1430" t="str">
        <f t="shared" si="1237"/>
        <v/>
      </c>
      <c r="AR1430" t="str">
        <f t="shared" si="1238"/>
        <v>Away</v>
      </c>
      <c r="AS1430" t="str">
        <f t="shared" si="1239"/>
        <v>a</v>
      </c>
      <c r="AT1430" t="str">
        <f t="shared" si="1240"/>
        <v>Offensive</v>
      </c>
      <c r="BA1430" s="6">
        <f t="shared" si="1229"/>
        <v>323</v>
      </c>
      <c r="BB1430">
        <f t="shared" si="1230"/>
        <v>18981</v>
      </c>
      <c r="BC1430" t="str">
        <f t="shared" si="1231"/>
        <v>Nelson</v>
      </c>
      <c r="BD1430" t="str">
        <f t="shared" si="1232"/>
        <v>Velodrome</v>
      </c>
      <c r="BE1430" t="s">
        <v>5</v>
      </c>
      <c r="BF1430" t="s">
        <v>236</v>
      </c>
      <c r="BG1430" t="s">
        <v>756</v>
      </c>
      <c r="BI1430" cm="1">
        <f t="array" ref="BI1430">IFERROR(_xlfn._xlws.FILTER(shifts!A:A,(shifts!B:B=events!AD1430)*(shifts!AG:AG&gt;=events!BK1430)*(shifts!AH:AH&lt;=events!BL1430)),BI1429)</f>
        <v>63</v>
      </c>
      <c r="BJ1430" s="15">
        <f t="shared" si="1233"/>
        <v>0</v>
      </c>
      <c r="BK1430">
        <f t="shared" si="1241"/>
        <v>247</v>
      </c>
      <c r="BL1430">
        <f t="shared" si="1242"/>
        <v>247</v>
      </c>
      <c r="BM1430" s="15">
        <f>SUMIFS(BJ$2:BJ1430,K$2:K1430,"=Intermission")+SUMIFS(BJ$2:BJ1430,K$2:K1430,"=Timeout")</f>
        <v>72</v>
      </c>
      <c r="BN1430">
        <f t="shared" si="1243"/>
        <v>1152</v>
      </c>
      <c r="BO1430" s="19">
        <f t="shared" si="1244"/>
        <v>1985</v>
      </c>
      <c r="BP1430">
        <f t="shared" si="1245"/>
        <v>1980</v>
      </c>
      <c r="BQ1430" s="17">
        <f t="shared" si="1246"/>
        <v>1985</v>
      </c>
      <c r="BR1430" t="str">
        <f t="shared" si="1247"/>
        <v>event_team_player_1</v>
      </c>
      <c r="BS1430">
        <f>COUNTIFS(S$3:S1430,"="&amp;S1430,AI$3:AI1430,"="&amp;AI1430)</f>
        <v>1</v>
      </c>
      <c r="BT1430" t="str">
        <f>IFERROR(VLOOKUP(BB1430&amp;BU1430&amp;X1430,game_rosters!U:W,3,FALSE),"")</f>
        <v>P100201</v>
      </c>
      <c r="BU1430" t="str">
        <f t="shared" si="1248"/>
        <v>Velodrome</v>
      </c>
    </row>
    <row r="1431" spans="1:73" x14ac:dyDescent="0.2">
      <c r="A1431">
        <f t="shared" si="1234"/>
        <v>1</v>
      </c>
      <c r="J1431" s="44" t="str">
        <f t="shared" si="1249"/>
        <v/>
      </c>
      <c r="K1431" t="s">
        <v>5</v>
      </c>
      <c r="L1431" t="s">
        <v>236</v>
      </c>
      <c r="M1431" t="s">
        <v>756</v>
      </c>
      <c r="S1431">
        <v>767</v>
      </c>
      <c r="W1431" t="str">
        <f t="shared" si="1225"/>
        <v>a</v>
      </c>
      <c r="X1431">
        <v>52</v>
      </c>
      <c r="Y1431" t="e">
        <f>IF(X1431&lt;&gt;"",VLOOKUP(X1431,game_rosters!$C$43:$E$64,3,FALSE))</f>
        <v>#N/A</v>
      </c>
      <c r="Z1431" cm="1">
        <f t="array" ref="Z1431">IFERROR(IF(_xlfn._xlws.FILTER(game_rosters!$J:$J,(game_rosters!$G:$G=events!$AN1431)*(game_rosters!$J:$J=events!$X1431))&gt;0,1,""),"")</f>
        <v>1</v>
      </c>
      <c r="AA1431">
        <f t="shared" si="1183"/>
        <v>1767</v>
      </c>
      <c r="AB1431" t="str">
        <f t="shared" si="1184"/>
        <v/>
      </c>
      <c r="AC1431">
        <f t="shared" si="1222"/>
        <v>1767</v>
      </c>
      <c r="AD1431" s="6">
        <v>2</v>
      </c>
      <c r="AE1431" t="s">
        <v>941</v>
      </c>
      <c r="AF1431" t="s">
        <v>747</v>
      </c>
      <c r="AG1431" t="s">
        <v>756</v>
      </c>
      <c r="AH1431" t="s">
        <v>756</v>
      </c>
      <c r="AI1431" t="s">
        <v>367</v>
      </c>
      <c r="AJ1431" t="str">
        <f t="shared" ref="AJ1431:AK1431" si="1267">IF($J1431&lt;&gt;"",$J1431,IF($AC1431=$AC1430,AJ1430,""))</f>
        <v/>
      </c>
      <c r="AK1431" t="str">
        <f t="shared" si="1267"/>
        <v/>
      </c>
      <c r="AL1431" t="str">
        <f t="shared" si="1227"/>
        <v/>
      </c>
      <c r="AN1431" t="s">
        <v>862</v>
      </c>
      <c r="AO1431" t="str">
        <f t="shared" si="1228"/>
        <v>a</v>
      </c>
      <c r="AP1431" t="str">
        <f t="shared" si="1236"/>
        <v/>
      </c>
      <c r="AQ1431" t="str">
        <f t="shared" si="1237"/>
        <v/>
      </c>
      <c r="AR1431" t="str">
        <f t="shared" si="1238"/>
        <v>Away</v>
      </c>
      <c r="AS1431" t="str">
        <f t="shared" si="1239"/>
        <v>a</v>
      </c>
      <c r="AT1431" t="str">
        <f t="shared" si="1240"/>
        <v>Offensive</v>
      </c>
      <c r="BA1431" s="6">
        <f t="shared" si="1229"/>
        <v>323</v>
      </c>
      <c r="BB1431">
        <f t="shared" si="1230"/>
        <v>18981</v>
      </c>
      <c r="BC1431" t="str">
        <f t="shared" si="1231"/>
        <v>Nelson</v>
      </c>
      <c r="BD1431" t="str">
        <f t="shared" si="1232"/>
        <v>Velodrome</v>
      </c>
      <c r="BE1431" t="s">
        <v>5</v>
      </c>
      <c r="BF1431" t="s">
        <v>236</v>
      </c>
      <c r="BG1431" t="s">
        <v>756</v>
      </c>
      <c r="BI1431" cm="1">
        <f t="array" ref="BI1431">IFERROR(_xlfn._xlws.FILTER(shifts!A:A,(shifts!B:B=events!AD1431)*(shifts!AG:AG&gt;=events!BK1431)*(shifts!AH:AH&lt;=events!BL1431)),BI1430)</f>
        <v>63</v>
      </c>
      <c r="BJ1431" s="15">
        <f t="shared" si="1233"/>
        <v>0</v>
      </c>
      <c r="BK1431">
        <f t="shared" si="1241"/>
        <v>247</v>
      </c>
      <c r="BL1431">
        <f t="shared" si="1242"/>
        <v>247</v>
      </c>
      <c r="BM1431" s="15">
        <f>SUMIFS(BJ$2:BJ1431,K$2:K1431,"=Intermission")+SUMIFS(BJ$2:BJ1431,K$2:K1431,"=Timeout")</f>
        <v>72</v>
      </c>
      <c r="BN1431">
        <f t="shared" si="1243"/>
        <v>1152</v>
      </c>
      <c r="BO1431" s="19">
        <f t="shared" si="1244"/>
        <v>1985</v>
      </c>
      <c r="BP1431">
        <f t="shared" si="1245"/>
        <v>1980</v>
      </c>
      <c r="BQ1431" s="17">
        <f t="shared" si="1246"/>
        <v>1985</v>
      </c>
      <c r="BR1431" t="str">
        <f t="shared" si="1247"/>
        <v>event_team_player_2</v>
      </c>
      <c r="BS1431">
        <f>COUNTIFS(S$3:S1431,"="&amp;S1431,AI$3:AI1431,"="&amp;AI1431)</f>
        <v>2</v>
      </c>
      <c r="BT1431" t="str">
        <f>IFERROR(VLOOKUP(BB1431&amp;BU1431&amp;X1431,game_rosters!U:W,3,FALSE),"")</f>
        <v>P100070</v>
      </c>
      <c r="BU1431" t="str">
        <f t="shared" si="1248"/>
        <v>Velodrome</v>
      </c>
    </row>
    <row r="1432" spans="1:73" x14ac:dyDescent="0.2">
      <c r="A1432">
        <f t="shared" si="1234"/>
        <v>1</v>
      </c>
      <c r="J1432" s="44" t="str">
        <f t="shared" si="1249"/>
        <v/>
      </c>
      <c r="K1432" t="s">
        <v>5</v>
      </c>
      <c r="L1432" t="s">
        <v>236</v>
      </c>
      <c r="M1432" t="s">
        <v>756</v>
      </c>
      <c r="S1432">
        <v>767</v>
      </c>
      <c r="W1432" t="str">
        <f t="shared" si="1225"/>
        <v>a</v>
      </c>
      <c r="X1432">
        <v>79</v>
      </c>
      <c r="Y1432" t="b">
        <f>IF(X1432&lt;&gt;"",VLOOKUP(X1432,game_rosters!$C$43:$E$64,3,FALSE))</f>
        <v>0</v>
      </c>
      <c r="Z1432" t="str" cm="1">
        <f t="array" ref="Z1432">IFERROR(IF(_xlfn._xlws.FILTER(game_rosters!$J:$J,(game_rosters!$G:$G=events!$AN1432)*(game_rosters!$J:$J=events!$X1432))&gt;0,1,""),"")</f>
        <v/>
      </c>
      <c r="AA1432">
        <f t="shared" si="1183"/>
        <v>1767</v>
      </c>
      <c r="AB1432" t="str">
        <f t="shared" si="1184"/>
        <v/>
      </c>
      <c r="AC1432">
        <f t="shared" si="1222"/>
        <v>1767</v>
      </c>
      <c r="AD1432" s="6">
        <v>2</v>
      </c>
      <c r="AE1432" t="s">
        <v>941</v>
      </c>
      <c r="AF1432" t="s">
        <v>747</v>
      </c>
      <c r="AG1432" t="s">
        <v>756</v>
      </c>
      <c r="AH1432" t="s">
        <v>756</v>
      </c>
      <c r="AI1432" t="s">
        <v>368</v>
      </c>
      <c r="AJ1432" t="str">
        <f t="shared" ref="AJ1432:AK1432" si="1268">IF($J1432&lt;&gt;"",$J1432,IF($AC1432=$AC1431,AJ1431,""))</f>
        <v/>
      </c>
      <c r="AK1432" t="str">
        <f t="shared" si="1268"/>
        <v/>
      </c>
      <c r="AL1432" t="str">
        <f t="shared" si="1227"/>
        <v/>
      </c>
      <c r="AN1432" t="s">
        <v>862</v>
      </c>
      <c r="AO1432" t="str">
        <f t="shared" si="1228"/>
        <v>a</v>
      </c>
      <c r="AP1432" t="str">
        <f t="shared" si="1236"/>
        <v/>
      </c>
      <c r="AQ1432" t="str">
        <f t="shared" si="1237"/>
        <v/>
      </c>
      <c r="AR1432" t="str">
        <f t="shared" si="1238"/>
        <v>Away</v>
      </c>
      <c r="AS1432" t="str">
        <f t="shared" si="1239"/>
        <v>a</v>
      </c>
      <c r="AT1432" t="str">
        <f t="shared" si="1240"/>
        <v>Defensive</v>
      </c>
      <c r="BA1432" s="6">
        <f t="shared" si="1229"/>
        <v>323</v>
      </c>
      <c r="BB1432">
        <f t="shared" si="1230"/>
        <v>18981</v>
      </c>
      <c r="BC1432" t="str">
        <f t="shared" si="1231"/>
        <v>Nelson</v>
      </c>
      <c r="BD1432" t="str">
        <f t="shared" si="1232"/>
        <v>Velodrome</v>
      </c>
      <c r="BE1432" t="s">
        <v>5</v>
      </c>
      <c r="BF1432" t="s">
        <v>236</v>
      </c>
      <c r="BG1432" t="s">
        <v>756</v>
      </c>
      <c r="BI1432" cm="1">
        <f t="array" ref="BI1432">IFERROR(_xlfn._xlws.FILTER(shifts!A:A,(shifts!B:B=events!AD1432)*(shifts!AG:AG&gt;=events!BK1432)*(shifts!AH:AH&lt;=events!BL1432)),BI1431)</f>
        <v>63</v>
      </c>
      <c r="BJ1432" s="15">
        <f t="shared" si="1233"/>
        <v>0</v>
      </c>
      <c r="BK1432">
        <f t="shared" si="1241"/>
        <v>247</v>
      </c>
      <c r="BL1432">
        <f t="shared" si="1242"/>
        <v>247</v>
      </c>
      <c r="BM1432" s="15">
        <f>SUMIFS(BJ$2:BJ1432,K$2:K1432,"=Intermission")+SUMIFS(BJ$2:BJ1432,K$2:K1432,"=Timeout")</f>
        <v>72</v>
      </c>
      <c r="BN1432">
        <f t="shared" si="1243"/>
        <v>1152</v>
      </c>
      <c r="BO1432" s="19">
        <f t="shared" si="1244"/>
        <v>1985</v>
      </c>
      <c r="BP1432">
        <f t="shared" si="1245"/>
        <v>1980</v>
      </c>
      <c r="BQ1432" s="17">
        <f t="shared" si="1246"/>
        <v>1985</v>
      </c>
      <c r="BR1432" t="str">
        <f t="shared" si="1247"/>
        <v>opp_team_player_1</v>
      </c>
      <c r="BS1432">
        <f>COUNTIFS(S$3:S1432,"="&amp;S1432,AI$3:AI1432,"="&amp;AI1432)</f>
        <v>1</v>
      </c>
      <c r="BT1432" t="str">
        <f>IFERROR(VLOOKUP(BB1432&amp;BU1432&amp;X1432,game_rosters!U:W,3,FALSE),"")</f>
        <v>P100066</v>
      </c>
      <c r="BU1432" t="str">
        <f t="shared" si="1248"/>
        <v>Nelson</v>
      </c>
    </row>
    <row r="1433" spans="1:73" x14ac:dyDescent="0.2">
      <c r="A1433">
        <f t="shared" si="1234"/>
        <v>1</v>
      </c>
      <c r="J1433" s="44" t="str">
        <f t="shared" si="1249"/>
        <v/>
      </c>
      <c r="K1433" t="s">
        <v>13</v>
      </c>
      <c r="L1433" t="s">
        <v>756</v>
      </c>
      <c r="M1433" t="s">
        <v>756</v>
      </c>
      <c r="S1433">
        <v>768</v>
      </c>
      <c r="W1433" t="str">
        <f t="shared" si="1225"/>
        <v>a</v>
      </c>
      <c r="X1433">
        <v>52</v>
      </c>
      <c r="Y1433" t="e">
        <f>IF(X1433&lt;&gt;"",VLOOKUP(X1433,game_rosters!$C$43:$E$64,3,FALSE))</f>
        <v>#N/A</v>
      </c>
      <c r="Z1433" cm="1">
        <f t="array" ref="Z1433">IFERROR(IF(_xlfn._xlws.FILTER(game_rosters!$J:$J,(game_rosters!$G:$G=events!$AN1433)*(game_rosters!$J:$J=events!$X1433))&gt;0,1,""),"")</f>
        <v>1</v>
      </c>
      <c r="AA1433">
        <f t="shared" si="1183"/>
        <v>1768</v>
      </c>
      <c r="AB1433" t="str">
        <f t="shared" si="1184"/>
        <v/>
      </c>
      <c r="AC1433">
        <f t="shared" si="1222"/>
        <v>1768</v>
      </c>
      <c r="AD1433" s="6">
        <v>2</v>
      </c>
      <c r="AE1433" t="s">
        <v>941</v>
      </c>
      <c r="AF1433" t="s">
        <v>911</v>
      </c>
      <c r="AG1433" t="s">
        <v>941</v>
      </c>
      <c r="AH1433" t="s">
        <v>931</v>
      </c>
      <c r="AI1433" t="s">
        <v>367</v>
      </c>
      <c r="AJ1433" t="str">
        <f t="shared" ref="AJ1433:AK1433" si="1269">IF($J1433&lt;&gt;"",$J1433,IF($AC1433=$AC1432,AJ1432,""))</f>
        <v/>
      </c>
      <c r="AK1433" t="str">
        <f t="shared" si="1269"/>
        <v/>
      </c>
      <c r="AL1433" t="str">
        <f t="shared" si="1227"/>
        <v/>
      </c>
      <c r="AN1433" t="s">
        <v>862</v>
      </c>
      <c r="AO1433" t="str">
        <f t="shared" si="1228"/>
        <v>a</v>
      </c>
      <c r="AP1433" t="str">
        <f t="shared" si="1236"/>
        <v/>
      </c>
      <c r="AQ1433" t="str">
        <f t="shared" si="1237"/>
        <v/>
      </c>
      <c r="AR1433" t="str">
        <f t="shared" si="1238"/>
        <v>Away</v>
      </c>
      <c r="AS1433" t="str">
        <f t="shared" si="1239"/>
        <v>a</v>
      </c>
      <c r="AT1433" t="str">
        <f t="shared" si="1240"/>
        <v>Offensive</v>
      </c>
      <c r="BA1433" s="6">
        <f t="shared" si="1229"/>
        <v>323</v>
      </c>
      <c r="BB1433">
        <f t="shared" si="1230"/>
        <v>18981</v>
      </c>
      <c r="BC1433" t="str">
        <f t="shared" si="1231"/>
        <v>Nelson</v>
      </c>
      <c r="BD1433" t="str">
        <f t="shared" si="1232"/>
        <v>Velodrome</v>
      </c>
      <c r="BE1433" t="s">
        <v>13</v>
      </c>
      <c r="BF1433" t="s">
        <v>756</v>
      </c>
      <c r="BG1433" t="s">
        <v>756</v>
      </c>
      <c r="BI1433" cm="1">
        <f t="array" ref="BI1433">IFERROR(_xlfn._xlws.FILTER(shifts!A:A,(shifts!B:B=events!AD1433)*(shifts!AG:AG&gt;=events!BK1433)*(shifts!AH:AH&lt;=events!BL1433)),BI1432)</f>
        <v>63</v>
      </c>
      <c r="BJ1433" s="15">
        <f t="shared" si="1233"/>
        <v>2</v>
      </c>
      <c r="BK1433">
        <f t="shared" si="1241"/>
        <v>246</v>
      </c>
      <c r="BL1433">
        <f t="shared" si="1242"/>
        <v>244</v>
      </c>
      <c r="BM1433" s="15">
        <f>SUMIFS(BJ$2:BJ1433,K$2:K1433,"=Intermission")+SUMIFS(BJ$2:BJ1433,K$2:K1433,"=Timeout")</f>
        <v>72</v>
      </c>
      <c r="BN1433">
        <f t="shared" si="1243"/>
        <v>1152</v>
      </c>
      <c r="BO1433" s="19">
        <f t="shared" si="1244"/>
        <v>1986</v>
      </c>
      <c r="BP1433">
        <f t="shared" si="1245"/>
        <v>1981</v>
      </c>
      <c r="BQ1433" s="17">
        <f t="shared" si="1246"/>
        <v>1988</v>
      </c>
      <c r="BR1433" t="str">
        <f t="shared" si="1247"/>
        <v>event_team_player_1</v>
      </c>
      <c r="BS1433">
        <f>COUNTIFS(S$3:S1433,"="&amp;S1433,AI$3:AI1433,"="&amp;AI1433)</f>
        <v>1</v>
      </c>
      <c r="BT1433" t="str">
        <f>IFERROR(VLOOKUP(BB1433&amp;BU1433&amp;X1433,game_rosters!U:W,3,FALSE),"")</f>
        <v>P100070</v>
      </c>
      <c r="BU1433" t="str">
        <f t="shared" si="1248"/>
        <v>Velodrome</v>
      </c>
    </row>
    <row r="1434" spans="1:73" x14ac:dyDescent="0.2">
      <c r="A1434">
        <f t="shared" si="1234"/>
        <v>1</v>
      </c>
      <c r="J1434" s="44" t="str">
        <f t="shared" si="1249"/>
        <v/>
      </c>
      <c r="K1434" t="s">
        <v>13</v>
      </c>
      <c r="L1434" t="s">
        <v>756</v>
      </c>
      <c r="M1434" t="s">
        <v>756</v>
      </c>
      <c r="S1434">
        <v>768</v>
      </c>
      <c r="W1434" t="str">
        <f t="shared" si="1225"/>
        <v>a</v>
      </c>
      <c r="X1434">
        <v>79</v>
      </c>
      <c r="Y1434" t="b">
        <f>IF(X1434&lt;&gt;"",VLOOKUP(X1434,game_rosters!$C$43:$E$64,3,FALSE))</f>
        <v>0</v>
      </c>
      <c r="Z1434" t="str" cm="1">
        <f t="array" ref="Z1434">IFERROR(IF(_xlfn._xlws.FILTER(game_rosters!$J:$J,(game_rosters!$G:$G=events!$AN1434)*(game_rosters!$J:$J=events!$X1434))&gt;0,1,""),"")</f>
        <v/>
      </c>
      <c r="AA1434">
        <f t="shared" si="1183"/>
        <v>1768</v>
      </c>
      <c r="AB1434" t="str">
        <f t="shared" si="1184"/>
        <v/>
      </c>
      <c r="AC1434">
        <f t="shared" si="1222"/>
        <v>1768</v>
      </c>
      <c r="AD1434" s="6">
        <v>2</v>
      </c>
      <c r="AE1434" t="s">
        <v>941</v>
      </c>
      <c r="AF1434" t="s">
        <v>911</v>
      </c>
      <c r="AG1434" t="s">
        <v>941</v>
      </c>
      <c r="AH1434" t="s">
        <v>931</v>
      </c>
      <c r="AI1434" t="s">
        <v>368</v>
      </c>
      <c r="AJ1434" t="str">
        <f t="shared" ref="AJ1434:AK1434" si="1270">IF($J1434&lt;&gt;"",$J1434,IF($AC1434=$AC1433,AJ1433,""))</f>
        <v/>
      </c>
      <c r="AK1434" t="str">
        <f t="shared" si="1270"/>
        <v/>
      </c>
      <c r="AL1434" t="str">
        <f t="shared" si="1227"/>
        <v/>
      </c>
      <c r="AN1434" t="s">
        <v>862</v>
      </c>
      <c r="AO1434" t="str">
        <f t="shared" si="1228"/>
        <v>a</v>
      </c>
      <c r="AP1434" t="str">
        <f t="shared" si="1236"/>
        <v/>
      </c>
      <c r="AQ1434" t="str">
        <f t="shared" si="1237"/>
        <v/>
      </c>
      <c r="AR1434" t="str">
        <f t="shared" si="1238"/>
        <v>Away</v>
      </c>
      <c r="AS1434" t="str">
        <f t="shared" si="1239"/>
        <v>a</v>
      </c>
      <c r="AT1434" t="str">
        <f t="shared" si="1240"/>
        <v>Defensive</v>
      </c>
      <c r="BA1434" s="6">
        <f t="shared" si="1229"/>
        <v>323</v>
      </c>
      <c r="BB1434">
        <f t="shared" si="1230"/>
        <v>18981</v>
      </c>
      <c r="BC1434" t="str">
        <f t="shared" si="1231"/>
        <v>Nelson</v>
      </c>
      <c r="BD1434" t="str">
        <f t="shared" si="1232"/>
        <v>Velodrome</v>
      </c>
      <c r="BE1434" t="s">
        <v>13</v>
      </c>
      <c r="BF1434" t="s">
        <v>756</v>
      </c>
      <c r="BG1434" t="s">
        <v>756</v>
      </c>
      <c r="BI1434" cm="1">
        <f t="array" ref="BI1434">IFERROR(_xlfn._xlws.FILTER(shifts!A:A,(shifts!B:B=events!AD1434)*(shifts!AG:AG&gt;=events!BK1434)*(shifts!AH:AH&lt;=events!BL1434)),BI1433)</f>
        <v>63</v>
      </c>
      <c r="BJ1434" s="15">
        <f t="shared" si="1233"/>
        <v>2</v>
      </c>
      <c r="BK1434">
        <f t="shared" si="1241"/>
        <v>246</v>
      </c>
      <c r="BL1434">
        <f t="shared" si="1242"/>
        <v>244</v>
      </c>
      <c r="BM1434" s="15">
        <f>SUMIFS(BJ$2:BJ1434,K$2:K1434,"=Intermission")+SUMIFS(BJ$2:BJ1434,K$2:K1434,"=Timeout")</f>
        <v>72</v>
      </c>
      <c r="BN1434">
        <f t="shared" si="1243"/>
        <v>1152</v>
      </c>
      <c r="BO1434" s="19">
        <f t="shared" si="1244"/>
        <v>1986</v>
      </c>
      <c r="BP1434">
        <f t="shared" si="1245"/>
        <v>1981</v>
      </c>
      <c r="BQ1434" s="17">
        <f t="shared" si="1246"/>
        <v>1988</v>
      </c>
      <c r="BR1434" t="str">
        <f t="shared" si="1247"/>
        <v>opp_team_player_1</v>
      </c>
      <c r="BS1434">
        <f>COUNTIFS(S$3:S1434,"="&amp;S1434,AI$3:AI1434,"="&amp;AI1434)</f>
        <v>1</v>
      </c>
      <c r="BT1434" t="str">
        <f>IFERROR(VLOOKUP(BB1434&amp;BU1434&amp;X1434,game_rosters!U:W,3,FALSE),"")</f>
        <v>P100066</v>
      </c>
      <c r="BU1434" t="str">
        <f t="shared" si="1248"/>
        <v>Nelson</v>
      </c>
    </row>
    <row r="1435" spans="1:73" x14ac:dyDescent="0.2">
      <c r="A1435">
        <f t="shared" si="1234"/>
        <v>1</v>
      </c>
      <c r="J1435" s="44" t="str">
        <f t="shared" si="1249"/>
        <v/>
      </c>
      <c r="K1435" t="s">
        <v>7</v>
      </c>
      <c r="L1435" t="s">
        <v>172</v>
      </c>
      <c r="M1435" t="s">
        <v>68</v>
      </c>
      <c r="S1435">
        <v>769</v>
      </c>
      <c r="W1435" t="str">
        <f t="shared" si="1225"/>
        <v>a</v>
      </c>
      <c r="X1435">
        <v>52</v>
      </c>
      <c r="Y1435" t="e">
        <f>IF(X1435&lt;&gt;"",VLOOKUP(X1435,game_rosters!$C$43:$E$64,3,FALSE))</f>
        <v>#N/A</v>
      </c>
      <c r="Z1435" cm="1">
        <f t="array" ref="Z1435">IFERROR(IF(_xlfn._xlws.FILTER(game_rosters!$J:$J,(game_rosters!$G:$G=events!$AN1435)*(game_rosters!$J:$J=events!$X1435))&gt;0,1,""),"")</f>
        <v>1</v>
      </c>
      <c r="AA1435">
        <f t="shared" si="1183"/>
        <v>1769</v>
      </c>
      <c r="AB1435" t="str">
        <f t="shared" si="1184"/>
        <v/>
      </c>
      <c r="AC1435">
        <f t="shared" si="1222"/>
        <v>1769</v>
      </c>
      <c r="AD1435" s="6">
        <v>2</v>
      </c>
      <c r="AE1435" t="s">
        <v>941</v>
      </c>
      <c r="AF1435" t="s">
        <v>931</v>
      </c>
      <c r="AG1435" t="s">
        <v>756</v>
      </c>
      <c r="AH1435" t="s">
        <v>756</v>
      </c>
      <c r="AI1435" t="s">
        <v>367</v>
      </c>
      <c r="AJ1435" t="str">
        <f t="shared" ref="AJ1435:AK1435" si="1271">IF($J1435&lt;&gt;"",$J1435,IF($AC1435=$AC1434,AJ1434,""))</f>
        <v/>
      </c>
      <c r="AK1435" t="str">
        <f t="shared" si="1271"/>
        <v/>
      </c>
      <c r="AL1435" t="str">
        <f t="shared" si="1227"/>
        <v/>
      </c>
      <c r="AN1435" t="s">
        <v>862</v>
      </c>
      <c r="AO1435" t="str">
        <f t="shared" si="1228"/>
        <v>a</v>
      </c>
      <c r="AP1435" t="str">
        <f t="shared" si="1236"/>
        <v/>
      </c>
      <c r="AQ1435" t="str">
        <f t="shared" si="1237"/>
        <v/>
      </c>
      <c r="AR1435" t="str">
        <f t="shared" si="1238"/>
        <v>Away</v>
      </c>
      <c r="AS1435" t="str">
        <f t="shared" si="1239"/>
        <v>a</v>
      </c>
      <c r="AT1435" t="str">
        <f t="shared" si="1240"/>
        <v>Offensive</v>
      </c>
      <c r="BA1435" s="6">
        <f t="shared" si="1229"/>
        <v>323</v>
      </c>
      <c r="BB1435">
        <f t="shared" si="1230"/>
        <v>18981</v>
      </c>
      <c r="BC1435" t="str">
        <f t="shared" si="1231"/>
        <v>Nelson</v>
      </c>
      <c r="BD1435" t="str">
        <f t="shared" si="1232"/>
        <v>Velodrome</v>
      </c>
      <c r="BE1435" t="s">
        <v>7</v>
      </c>
      <c r="BF1435" t="s">
        <v>172</v>
      </c>
      <c r="BG1435" t="s">
        <v>68</v>
      </c>
      <c r="BI1435" cm="1">
        <f t="array" ref="BI1435">IFERROR(_xlfn._xlws.FILTER(shifts!A:A,(shifts!B:B=events!AD1435)*(shifts!AG:AG&gt;=events!BK1435)*(shifts!AH:AH&lt;=events!BL1435)),BI1434)</f>
        <v>63</v>
      </c>
      <c r="BJ1435" s="15">
        <f t="shared" si="1233"/>
        <v>0</v>
      </c>
      <c r="BK1435">
        <f t="shared" si="1241"/>
        <v>244</v>
      </c>
      <c r="BL1435">
        <f t="shared" si="1242"/>
        <v>244</v>
      </c>
      <c r="BM1435" s="15">
        <f>SUMIFS(BJ$2:BJ1435,K$2:K1435,"=Intermission")+SUMIFS(BJ$2:BJ1435,K$2:K1435,"=Timeout")</f>
        <v>72</v>
      </c>
      <c r="BN1435">
        <f t="shared" si="1243"/>
        <v>1152</v>
      </c>
      <c r="BO1435" s="19">
        <f t="shared" si="1244"/>
        <v>1988</v>
      </c>
      <c r="BP1435">
        <f t="shared" si="1245"/>
        <v>1983</v>
      </c>
      <c r="BQ1435" s="17">
        <f t="shared" si="1246"/>
        <v>1988</v>
      </c>
      <c r="BR1435" t="str">
        <f t="shared" si="1247"/>
        <v>event_team_player_1</v>
      </c>
      <c r="BS1435">
        <f>COUNTIFS(S$3:S1435,"="&amp;S1435,AI$3:AI1435,"="&amp;AI1435)</f>
        <v>1</v>
      </c>
      <c r="BT1435" t="str">
        <f>IFERROR(VLOOKUP(BB1435&amp;BU1435&amp;X1435,game_rosters!U:W,3,FALSE),"")</f>
        <v>P100070</v>
      </c>
      <c r="BU1435" t="str">
        <f t="shared" si="1248"/>
        <v>Velodrome</v>
      </c>
    </row>
    <row r="1436" spans="1:73" x14ac:dyDescent="0.2">
      <c r="A1436">
        <f t="shared" si="1234"/>
        <v>1</v>
      </c>
      <c r="J1436" s="44" t="str">
        <f t="shared" si="1249"/>
        <v>d</v>
      </c>
      <c r="K1436" t="s">
        <v>238</v>
      </c>
      <c r="L1436" t="s">
        <v>184</v>
      </c>
      <c r="M1436" t="s">
        <v>88</v>
      </c>
      <c r="S1436">
        <v>769</v>
      </c>
      <c r="W1436" t="str">
        <f t="shared" si="1225"/>
        <v>a</v>
      </c>
      <c r="X1436">
        <v>42</v>
      </c>
      <c r="Y1436" t="e">
        <f>IF(X1436&lt;&gt;"",VLOOKUP(X1436,game_rosters!$C$43:$E$64,3,FALSE))</f>
        <v>#N/A</v>
      </c>
      <c r="Z1436" cm="1">
        <f t="array" ref="Z1436">IFERROR(IF(_xlfn._xlws.FILTER(game_rosters!$J:$J,(game_rosters!$G:$G=events!$AN1436)*(game_rosters!$J:$J=events!$X1436))&gt;0,1,""),"")</f>
        <v>1</v>
      </c>
      <c r="AA1436">
        <f t="shared" si="1183"/>
        <v>1769</v>
      </c>
      <c r="AB1436" t="str">
        <f t="shared" si="1184"/>
        <v/>
      </c>
      <c r="AC1436">
        <f t="shared" si="1222"/>
        <v>1769</v>
      </c>
      <c r="AD1436" s="6">
        <v>2</v>
      </c>
      <c r="AE1436" t="s">
        <v>941</v>
      </c>
      <c r="AF1436" t="s">
        <v>931</v>
      </c>
      <c r="AG1436" t="s">
        <v>941</v>
      </c>
      <c r="AH1436" t="s">
        <v>925</v>
      </c>
      <c r="AI1436" t="s">
        <v>367</v>
      </c>
      <c r="AJ1436" t="str">
        <f t="shared" ref="AJ1436:AK1436" si="1272">IF($J1436&lt;&gt;"",$J1436,IF($AC1436=$AC1435,AJ1435,""))</f>
        <v>d</v>
      </c>
      <c r="AK1436" t="str">
        <f t="shared" si="1272"/>
        <v>d</v>
      </c>
      <c r="AL1436" t="str">
        <f t="shared" si="1227"/>
        <v>o</v>
      </c>
      <c r="AN1436" t="s">
        <v>862</v>
      </c>
      <c r="AO1436" t="str">
        <f t="shared" si="1228"/>
        <v>a</v>
      </c>
      <c r="AP1436" t="str">
        <f t="shared" si="1236"/>
        <v>o</v>
      </c>
      <c r="AQ1436" t="str">
        <f t="shared" si="1237"/>
        <v/>
      </c>
      <c r="AR1436" t="str">
        <f t="shared" si="1238"/>
        <v>Away</v>
      </c>
      <c r="AS1436" t="str">
        <f t="shared" si="1239"/>
        <v>a</v>
      </c>
      <c r="AT1436" t="str">
        <f t="shared" si="1240"/>
        <v>Offensive</v>
      </c>
      <c r="BA1436" s="6">
        <f t="shared" si="1229"/>
        <v>324</v>
      </c>
      <c r="BB1436">
        <f t="shared" si="1230"/>
        <v>18981</v>
      </c>
      <c r="BC1436" t="str">
        <f t="shared" si="1231"/>
        <v>Nelson</v>
      </c>
      <c r="BD1436" t="str">
        <f t="shared" si="1232"/>
        <v>Velodrome</v>
      </c>
      <c r="BE1436" t="s">
        <v>238</v>
      </c>
      <c r="BF1436" t="s">
        <v>184</v>
      </c>
      <c r="BG1436" t="s">
        <v>88</v>
      </c>
      <c r="BI1436" cm="1">
        <f t="array" ref="BI1436">IFERROR(_xlfn._xlws.FILTER(shifts!A:A,(shifts!B:B=events!AD1436)*(shifts!AG:AG&gt;=events!BK1436)*(shifts!AH:AH&lt;=events!BL1436)),BI1435)</f>
        <v>63</v>
      </c>
      <c r="BJ1436" s="15">
        <f t="shared" si="1233"/>
        <v>1</v>
      </c>
      <c r="BK1436">
        <f t="shared" si="1241"/>
        <v>244</v>
      </c>
      <c r="BL1436">
        <f t="shared" si="1242"/>
        <v>243</v>
      </c>
      <c r="BM1436" s="15">
        <f>SUMIFS(BJ$2:BJ1436,K$2:K1436,"=Intermission")+SUMIFS(BJ$2:BJ1436,K$2:K1436,"=Timeout")</f>
        <v>72</v>
      </c>
      <c r="BN1436">
        <f t="shared" si="1243"/>
        <v>1152</v>
      </c>
      <c r="BO1436" s="19">
        <f t="shared" si="1244"/>
        <v>1988</v>
      </c>
      <c r="BP1436">
        <f t="shared" si="1245"/>
        <v>1983</v>
      </c>
      <c r="BQ1436" s="17">
        <f t="shared" si="1246"/>
        <v>1989</v>
      </c>
      <c r="BR1436" t="str">
        <f t="shared" si="1247"/>
        <v>event_team_player_2</v>
      </c>
      <c r="BS1436">
        <f>COUNTIFS(S$3:S1436,"="&amp;S1436,AI$3:AI1436,"="&amp;AI1436)</f>
        <v>2</v>
      </c>
      <c r="BT1436" t="str">
        <f>IFERROR(VLOOKUP(BB1436&amp;BU1436&amp;X1436,game_rosters!U:W,3,FALSE),"")</f>
        <v>P100201</v>
      </c>
      <c r="BU1436" t="str">
        <f t="shared" si="1248"/>
        <v>Velodrome</v>
      </c>
    </row>
    <row r="1437" spans="1:73" x14ac:dyDescent="0.2">
      <c r="A1437">
        <f t="shared" si="1234"/>
        <v>1</v>
      </c>
      <c r="J1437" s="44" t="str">
        <f t="shared" si="1249"/>
        <v/>
      </c>
      <c r="K1437" t="s">
        <v>13</v>
      </c>
      <c r="L1437" t="s">
        <v>756</v>
      </c>
      <c r="M1437" t="s">
        <v>756</v>
      </c>
      <c r="S1437">
        <v>770</v>
      </c>
      <c r="W1437" t="str">
        <f t="shared" si="1225"/>
        <v>a</v>
      </c>
      <c r="X1437">
        <v>42</v>
      </c>
      <c r="Y1437" t="e">
        <f>IF(X1437&lt;&gt;"",VLOOKUP(X1437,game_rosters!$C$43:$E$64,3,FALSE))</f>
        <v>#N/A</v>
      </c>
      <c r="Z1437" cm="1">
        <f t="array" ref="Z1437">IFERROR(IF(_xlfn._xlws.FILTER(game_rosters!$J:$J,(game_rosters!$G:$G=events!$AN1437)*(game_rosters!$J:$J=events!$X1437))&gt;0,1,""),"")</f>
        <v>1</v>
      </c>
      <c r="AA1437">
        <f t="shared" ref="AA1437:AA1500" si="1273">S1437+1000</f>
        <v>1770</v>
      </c>
      <c r="AB1437" t="str">
        <f t="shared" ref="AB1437:AB1500" si="1274">IF(T1437&lt;&gt;"",9000+T1437,"")</f>
        <v/>
      </c>
      <c r="AC1437">
        <f t="shared" si="1222"/>
        <v>1770</v>
      </c>
      <c r="AD1437" s="6">
        <v>2</v>
      </c>
      <c r="AE1437" t="s">
        <v>941</v>
      </c>
      <c r="AF1437" t="s">
        <v>925</v>
      </c>
      <c r="AG1437" t="s">
        <v>941</v>
      </c>
      <c r="AH1437" t="s">
        <v>913</v>
      </c>
      <c r="AI1437" t="s">
        <v>367</v>
      </c>
      <c r="AJ1437" t="str">
        <f t="shared" ref="AJ1437:AK1437" si="1275">IF($J1437&lt;&gt;"",$J1437,IF($AC1437=$AC1436,AJ1436,""))</f>
        <v/>
      </c>
      <c r="AK1437" t="str">
        <f t="shared" si="1275"/>
        <v/>
      </c>
      <c r="AL1437" t="str">
        <f t="shared" si="1227"/>
        <v/>
      </c>
      <c r="AN1437" t="s">
        <v>862</v>
      </c>
      <c r="AO1437" t="str">
        <f t="shared" si="1228"/>
        <v>a</v>
      </c>
      <c r="AP1437" t="str">
        <f t="shared" si="1236"/>
        <v/>
      </c>
      <c r="AQ1437" t="str">
        <f t="shared" si="1237"/>
        <v/>
      </c>
      <c r="AR1437" t="str">
        <f t="shared" si="1238"/>
        <v>Away</v>
      </c>
      <c r="AS1437" t="str">
        <f t="shared" si="1239"/>
        <v>a</v>
      </c>
      <c r="AT1437" t="str">
        <f t="shared" si="1240"/>
        <v>Offensive</v>
      </c>
      <c r="BA1437" s="6">
        <f t="shared" si="1229"/>
        <v>324</v>
      </c>
      <c r="BB1437">
        <f t="shared" si="1230"/>
        <v>18981</v>
      </c>
      <c r="BC1437" t="str">
        <f t="shared" si="1231"/>
        <v>Nelson</v>
      </c>
      <c r="BD1437" t="str">
        <f t="shared" si="1232"/>
        <v>Velodrome</v>
      </c>
      <c r="BE1437" t="s">
        <v>13</v>
      </c>
      <c r="BF1437" t="s">
        <v>756</v>
      </c>
      <c r="BG1437" t="s">
        <v>756</v>
      </c>
      <c r="BI1437" cm="1">
        <f t="array" ref="BI1437">IFERROR(_xlfn._xlws.FILTER(shifts!A:A,(shifts!B:B=events!AD1437)*(shifts!AG:AG&gt;=events!BK1437)*(shifts!AH:AH&lt;=events!BL1437)),BI1436)</f>
        <v>63</v>
      </c>
      <c r="BJ1437" s="15">
        <f t="shared" si="1233"/>
        <v>1</v>
      </c>
      <c r="BK1437">
        <f t="shared" si="1241"/>
        <v>243</v>
      </c>
      <c r="BL1437">
        <f t="shared" si="1242"/>
        <v>242</v>
      </c>
      <c r="BM1437" s="15">
        <f>SUMIFS(BJ$2:BJ1437,K$2:K1437,"=Intermission")+SUMIFS(BJ$2:BJ1437,K$2:K1437,"=Timeout")</f>
        <v>72</v>
      </c>
      <c r="BN1437">
        <f t="shared" si="1243"/>
        <v>1152</v>
      </c>
      <c r="BO1437" s="19">
        <f t="shared" si="1244"/>
        <v>1989</v>
      </c>
      <c r="BP1437">
        <f t="shared" si="1245"/>
        <v>1984</v>
      </c>
      <c r="BQ1437" s="17">
        <f t="shared" si="1246"/>
        <v>1990</v>
      </c>
      <c r="BR1437" t="str">
        <f t="shared" si="1247"/>
        <v>event_team_player_1</v>
      </c>
      <c r="BS1437">
        <f>COUNTIFS(S$3:S1437,"="&amp;S1437,AI$3:AI1437,"="&amp;AI1437)</f>
        <v>1</v>
      </c>
      <c r="BT1437" t="str">
        <f>IFERROR(VLOOKUP(BB1437&amp;BU1437&amp;X1437,game_rosters!U:W,3,FALSE),"")</f>
        <v>P100201</v>
      </c>
      <c r="BU1437" t="str">
        <f t="shared" si="1248"/>
        <v>Velodrome</v>
      </c>
    </row>
    <row r="1438" spans="1:73" x14ac:dyDescent="0.2">
      <c r="A1438">
        <f t="shared" si="1234"/>
        <v>1</v>
      </c>
      <c r="J1438" s="44" t="str">
        <f t="shared" si="1249"/>
        <v/>
      </c>
      <c r="K1438" t="s">
        <v>7</v>
      </c>
      <c r="L1438" t="s">
        <v>182</v>
      </c>
      <c r="M1438" t="s">
        <v>445</v>
      </c>
      <c r="S1438">
        <v>771</v>
      </c>
      <c r="W1438" t="str">
        <f t="shared" si="1225"/>
        <v>a</v>
      </c>
      <c r="X1438">
        <v>42</v>
      </c>
      <c r="Y1438" t="e">
        <f>IF(X1438&lt;&gt;"",VLOOKUP(X1438,game_rosters!$C$43:$E$64,3,FALSE))</f>
        <v>#N/A</v>
      </c>
      <c r="Z1438" cm="1">
        <f t="array" ref="Z1438">IFERROR(IF(_xlfn._xlws.FILTER(game_rosters!$J:$J,(game_rosters!$G:$G=events!$AN1438)*(game_rosters!$J:$J=events!$X1438))&gt;0,1,""),"")</f>
        <v>1</v>
      </c>
      <c r="AA1438">
        <f t="shared" si="1273"/>
        <v>1771</v>
      </c>
      <c r="AB1438" t="str">
        <f t="shared" si="1274"/>
        <v/>
      </c>
      <c r="AC1438">
        <f t="shared" si="1222"/>
        <v>1771</v>
      </c>
      <c r="AD1438" s="6">
        <v>2</v>
      </c>
      <c r="AE1438" t="s">
        <v>941</v>
      </c>
      <c r="AF1438" t="s">
        <v>913</v>
      </c>
      <c r="AG1438" t="s">
        <v>756</v>
      </c>
      <c r="AH1438" t="s">
        <v>756</v>
      </c>
      <c r="AI1438" t="s">
        <v>367</v>
      </c>
      <c r="AJ1438" t="str">
        <f t="shared" ref="AJ1438:AK1438" si="1276">IF($J1438&lt;&gt;"",$J1438,IF($AC1438=$AC1437,AJ1437,""))</f>
        <v/>
      </c>
      <c r="AK1438" t="str">
        <f t="shared" si="1276"/>
        <v/>
      </c>
      <c r="AL1438" t="str">
        <f t="shared" si="1227"/>
        <v/>
      </c>
      <c r="AN1438" t="s">
        <v>862</v>
      </c>
      <c r="AO1438" t="str">
        <f t="shared" si="1228"/>
        <v>a</v>
      </c>
      <c r="AP1438" t="str">
        <f t="shared" si="1236"/>
        <v/>
      </c>
      <c r="AQ1438" t="str">
        <f t="shared" si="1237"/>
        <v/>
      </c>
      <c r="AR1438" t="str">
        <f t="shared" si="1238"/>
        <v>Away</v>
      </c>
      <c r="AS1438" t="str">
        <f t="shared" si="1239"/>
        <v>a</v>
      </c>
      <c r="AT1438" t="str">
        <f t="shared" si="1240"/>
        <v>Offensive</v>
      </c>
      <c r="BA1438" s="6">
        <f t="shared" si="1229"/>
        <v>324</v>
      </c>
      <c r="BB1438">
        <f t="shared" si="1230"/>
        <v>18981</v>
      </c>
      <c r="BC1438" t="str">
        <f t="shared" si="1231"/>
        <v>Nelson</v>
      </c>
      <c r="BD1438" t="str">
        <f t="shared" si="1232"/>
        <v>Velodrome</v>
      </c>
      <c r="BE1438" t="s">
        <v>7</v>
      </c>
      <c r="BF1438" t="s">
        <v>182</v>
      </c>
      <c r="BG1438" t="s">
        <v>445</v>
      </c>
      <c r="BI1438" cm="1">
        <f t="array" ref="BI1438">IFERROR(_xlfn._xlws.FILTER(shifts!A:A,(shifts!B:B=events!AD1438)*(shifts!AG:AG&gt;=events!BK1438)*(shifts!AH:AH&lt;=events!BL1438)),BI1437)</f>
        <v>63</v>
      </c>
      <c r="BJ1438" s="15">
        <f t="shared" si="1233"/>
        <v>0</v>
      </c>
      <c r="BK1438">
        <f t="shared" si="1241"/>
        <v>242</v>
      </c>
      <c r="BL1438">
        <f t="shared" si="1242"/>
        <v>242</v>
      </c>
      <c r="BM1438" s="15">
        <f>SUMIFS(BJ$2:BJ1438,K$2:K1438,"=Intermission")+SUMIFS(BJ$2:BJ1438,K$2:K1438,"=Timeout")</f>
        <v>72</v>
      </c>
      <c r="BN1438">
        <f t="shared" si="1243"/>
        <v>1152</v>
      </c>
      <c r="BO1438" s="19">
        <f t="shared" si="1244"/>
        <v>1990</v>
      </c>
      <c r="BP1438">
        <f t="shared" si="1245"/>
        <v>1985</v>
      </c>
      <c r="BQ1438" s="17">
        <f t="shared" si="1246"/>
        <v>1990</v>
      </c>
      <c r="BR1438" t="str">
        <f t="shared" si="1247"/>
        <v>event_team_player_1</v>
      </c>
      <c r="BS1438">
        <f>COUNTIFS(S$3:S1438,"="&amp;S1438,AI$3:AI1438,"="&amp;AI1438)</f>
        <v>1</v>
      </c>
      <c r="BT1438" t="str">
        <f>IFERROR(VLOOKUP(BB1438&amp;BU1438&amp;X1438,game_rosters!U:W,3,FALSE),"")</f>
        <v>P100201</v>
      </c>
      <c r="BU1438" t="str">
        <f t="shared" si="1248"/>
        <v>Velodrome</v>
      </c>
    </row>
    <row r="1439" spans="1:73" x14ac:dyDescent="0.2">
      <c r="A1439">
        <f t="shared" si="1234"/>
        <v>1</v>
      </c>
      <c r="J1439" s="44" t="str">
        <f t="shared" si="1249"/>
        <v/>
      </c>
      <c r="K1439" t="s">
        <v>7</v>
      </c>
      <c r="L1439" t="s">
        <v>182</v>
      </c>
      <c r="M1439" t="s">
        <v>445</v>
      </c>
      <c r="S1439">
        <v>771</v>
      </c>
      <c r="W1439" t="str">
        <f t="shared" si="1225"/>
        <v>a</v>
      </c>
      <c r="X1439">
        <v>91</v>
      </c>
      <c r="Y1439" t="e">
        <f>IF(X1439&lt;&gt;"",VLOOKUP(X1439,game_rosters!$C$43:$E$64,3,FALSE))</f>
        <v>#N/A</v>
      </c>
      <c r="Z1439" cm="1">
        <f t="array" ref="Z1439">IFERROR(IF(_xlfn._xlws.FILTER(game_rosters!$J:$J,(game_rosters!$G:$G=events!$AN1439)*(game_rosters!$J:$J=events!$X1439))&gt;0,1,""),"")</f>
        <v>1</v>
      </c>
      <c r="AA1439">
        <f t="shared" si="1273"/>
        <v>1771</v>
      </c>
      <c r="AB1439" t="str">
        <f t="shared" si="1274"/>
        <v/>
      </c>
      <c r="AC1439">
        <f t="shared" si="1222"/>
        <v>1771</v>
      </c>
      <c r="AD1439" s="6">
        <v>2</v>
      </c>
      <c r="AE1439" t="s">
        <v>941</v>
      </c>
      <c r="AF1439" t="s">
        <v>913</v>
      </c>
      <c r="AG1439" t="s">
        <v>756</v>
      </c>
      <c r="AH1439" t="s">
        <v>756</v>
      </c>
      <c r="AI1439" t="s">
        <v>367</v>
      </c>
      <c r="AJ1439" t="str">
        <f t="shared" ref="AJ1439:AK1439" si="1277">IF($J1439&lt;&gt;"",$J1439,IF($AC1439=$AC1438,AJ1438,""))</f>
        <v/>
      </c>
      <c r="AK1439" t="str">
        <f t="shared" si="1277"/>
        <v/>
      </c>
      <c r="AL1439" t="str">
        <f t="shared" si="1227"/>
        <v/>
      </c>
      <c r="AN1439" t="s">
        <v>862</v>
      </c>
      <c r="AO1439" t="str">
        <f t="shared" si="1228"/>
        <v>a</v>
      </c>
      <c r="AP1439" t="str">
        <f t="shared" si="1236"/>
        <v/>
      </c>
      <c r="AQ1439" t="str">
        <f t="shared" si="1237"/>
        <v/>
      </c>
      <c r="AR1439" t="str">
        <f t="shared" si="1238"/>
        <v>Away</v>
      </c>
      <c r="AS1439" t="str">
        <f t="shared" si="1239"/>
        <v>a</v>
      </c>
      <c r="AT1439" t="str">
        <f t="shared" si="1240"/>
        <v>Offensive</v>
      </c>
      <c r="BA1439" s="6">
        <f t="shared" si="1229"/>
        <v>324</v>
      </c>
      <c r="BB1439">
        <f t="shared" si="1230"/>
        <v>18981</v>
      </c>
      <c r="BC1439" t="str">
        <f t="shared" si="1231"/>
        <v>Nelson</v>
      </c>
      <c r="BD1439" t="str">
        <f t="shared" si="1232"/>
        <v>Velodrome</v>
      </c>
      <c r="BE1439" t="s">
        <v>7</v>
      </c>
      <c r="BF1439" t="s">
        <v>182</v>
      </c>
      <c r="BG1439" t="s">
        <v>445</v>
      </c>
      <c r="BI1439" cm="1">
        <f t="array" ref="BI1439">IFERROR(_xlfn._xlws.FILTER(shifts!A:A,(shifts!B:B=events!AD1439)*(shifts!AG:AG&gt;=events!BK1439)*(shifts!AH:AH&lt;=events!BL1439)),BI1438)</f>
        <v>63</v>
      </c>
      <c r="BJ1439" s="15">
        <f t="shared" si="1233"/>
        <v>0</v>
      </c>
      <c r="BK1439">
        <f t="shared" si="1241"/>
        <v>242</v>
      </c>
      <c r="BL1439">
        <f t="shared" si="1242"/>
        <v>242</v>
      </c>
      <c r="BM1439" s="15">
        <f>SUMIFS(BJ$2:BJ1439,K$2:K1439,"=Intermission")+SUMIFS(BJ$2:BJ1439,K$2:K1439,"=Timeout")</f>
        <v>72</v>
      </c>
      <c r="BN1439">
        <f t="shared" si="1243"/>
        <v>1152</v>
      </c>
      <c r="BO1439" s="19">
        <f t="shared" si="1244"/>
        <v>1990</v>
      </c>
      <c r="BP1439">
        <f t="shared" si="1245"/>
        <v>1985</v>
      </c>
      <c r="BQ1439" s="17">
        <f t="shared" si="1246"/>
        <v>1990</v>
      </c>
      <c r="BR1439" t="str">
        <f t="shared" si="1247"/>
        <v>event_team_player_2</v>
      </c>
      <c r="BS1439">
        <f>COUNTIFS(S$3:S1439,"="&amp;S1439,AI$3:AI1439,"="&amp;AI1439)</f>
        <v>2</v>
      </c>
      <c r="BT1439" t="str">
        <f>IFERROR(VLOOKUP(BB1439&amp;BU1439&amp;X1439,game_rosters!U:W,3,FALSE),"")</f>
        <v>P100002</v>
      </c>
      <c r="BU1439" t="str">
        <f t="shared" si="1248"/>
        <v>Velodrome</v>
      </c>
    </row>
    <row r="1440" spans="1:73" x14ac:dyDescent="0.2">
      <c r="A1440">
        <f t="shared" si="1234"/>
        <v>1</v>
      </c>
      <c r="J1440" s="44" t="str">
        <f t="shared" si="1249"/>
        <v>o</v>
      </c>
      <c r="K1440" t="s">
        <v>238</v>
      </c>
      <c r="L1440" t="s">
        <v>174</v>
      </c>
      <c r="M1440" t="s">
        <v>390</v>
      </c>
      <c r="S1440">
        <v>772</v>
      </c>
      <c r="W1440" t="str">
        <f t="shared" si="1225"/>
        <v>a</v>
      </c>
      <c r="X1440">
        <v>42</v>
      </c>
      <c r="Y1440" t="e">
        <f>IF(X1440&lt;&gt;"",VLOOKUP(X1440,game_rosters!$C$43:$E$64,3,FALSE))</f>
        <v>#N/A</v>
      </c>
      <c r="Z1440" cm="1">
        <f t="array" ref="Z1440">IFERROR(IF(_xlfn._xlws.FILTER(game_rosters!$J:$J,(game_rosters!$G:$G=events!$AN1440)*(game_rosters!$J:$J=events!$X1440))&gt;0,1,""),"")</f>
        <v>1</v>
      </c>
      <c r="AA1440">
        <f t="shared" si="1273"/>
        <v>1772</v>
      </c>
      <c r="AB1440" t="str">
        <f t="shared" si="1274"/>
        <v/>
      </c>
      <c r="AC1440">
        <f t="shared" si="1222"/>
        <v>1772</v>
      </c>
      <c r="AD1440" s="6">
        <v>2</v>
      </c>
      <c r="AE1440" t="s">
        <v>941</v>
      </c>
      <c r="AF1440" t="s">
        <v>913</v>
      </c>
      <c r="AG1440" t="s">
        <v>756</v>
      </c>
      <c r="AH1440" t="s">
        <v>756</v>
      </c>
      <c r="AI1440" t="s">
        <v>367</v>
      </c>
      <c r="AJ1440" t="str">
        <f t="shared" ref="AJ1440:AK1440" si="1278">IF($J1440&lt;&gt;"",$J1440,IF($AC1440=$AC1439,AJ1439,""))</f>
        <v>o</v>
      </c>
      <c r="AK1440" t="str">
        <f t="shared" si="1278"/>
        <v>o</v>
      </c>
      <c r="AL1440" t="str">
        <f t="shared" si="1227"/>
        <v>d</v>
      </c>
      <c r="AN1440" t="s">
        <v>862</v>
      </c>
      <c r="AO1440" t="str">
        <f t="shared" si="1228"/>
        <v>a</v>
      </c>
      <c r="AP1440" t="str">
        <f t="shared" si="1236"/>
        <v>d</v>
      </c>
      <c r="AQ1440" t="str">
        <f t="shared" si="1237"/>
        <v/>
      </c>
      <c r="AR1440" t="str">
        <f t="shared" si="1238"/>
        <v>Away</v>
      </c>
      <c r="AS1440" t="str">
        <f t="shared" si="1239"/>
        <v>a</v>
      </c>
      <c r="AT1440" t="str">
        <f t="shared" si="1240"/>
        <v>Offensive</v>
      </c>
      <c r="BA1440" s="6">
        <f t="shared" si="1229"/>
        <v>325</v>
      </c>
      <c r="BB1440">
        <f t="shared" si="1230"/>
        <v>18981</v>
      </c>
      <c r="BC1440" t="str">
        <f t="shared" si="1231"/>
        <v>Nelson</v>
      </c>
      <c r="BD1440" t="str">
        <f t="shared" si="1232"/>
        <v>Velodrome</v>
      </c>
      <c r="BE1440" t="s">
        <v>238</v>
      </c>
      <c r="BF1440" t="s">
        <v>174</v>
      </c>
      <c r="BG1440" t="s">
        <v>390</v>
      </c>
      <c r="BI1440" cm="1">
        <f t="array" ref="BI1440">IFERROR(_xlfn._xlws.FILTER(shifts!A:A,(shifts!B:B=events!AD1440)*(shifts!AG:AG&gt;=events!BK1440)*(shifts!AH:AH&lt;=events!BL1440)),BI1439)</f>
        <v>63</v>
      </c>
      <c r="BJ1440" s="15">
        <f t="shared" si="1233"/>
        <v>0</v>
      </c>
      <c r="BK1440">
        <f t="shared" si="1241"/>
        <v>242</v>
      </c>
      <c r="BL1440">
        <f t="shared" si="1242"/>
        <v>242</v>
      </c>
      <c r="BM1440" s="15">
        <f>SUMIFS(BJ$2:BJ1440,K$2:K1440,"=Intermission")+SUMIFS(BJ$2:BJ1440,K$2:K1440,"=Timeout")</f>
        <v>72</v>
      </c>
      <c r="BN1440">
        <f t="shared" si="1243"/>
        <v>1152</v>
      </c>
      <c r="BO1440" s="19">
        <f t="shared" si="1244"/>
        <v>1990</v>
      </c>
      <c r="BP1440">
        <f t="shared" si="1245"/>
        <v>1985</v>
      </c>
      <c r="BQ1440" s="17">
        <f t="shared" si="1246"/>
        <v>1990</v>
      </c>
      <c r="BR1440" t="str">
        <f t="shared" si="1247"/>
        <v>event_team_player_1</v>
      </c>
      <c r="BS1440">
        <f>COUNTIFS(S$3:S1440,"="&amp;S1440,AI$3:AI1440,"="&amp;AI1440)</f>
        <v>1</v>
      </c>
      <c r="BT1440" t="str">
        <f>IFERROR(VLOOKUP(BB1440&amp;BU1440&amp;X1440,game_rosters!U:W,3,FALSE),"")</f>
        <v>P100201</v>
      </c>
      <c r="BU1440" t="str">
        <f t="shared" si="1248"/>
        <v>Velodrome</v>
      </c>
    </row>
    <row r="1441" spans="1:73" x14ac:dyDescent="0.2">
      <c r="A1441">
        <f t="shared" si="1234"/>
        <v>1</v>
      </c>
      <c r="J1441" s="44" t="str">
        <f t="shared" si="1249"/>
        <v>o</v>
      </c>
      <c r="K1441" t="s">
        <v>238</v>
      </c>
      <c r="L1441" t="s">
        <v>174</v>
      </c>
      <c r="M1441" t="s">
        <v>390</v>
      </c>
      <c r="S1441">
        <v>772</v>
      </c>
      <c r="W1441" t="str">
        <f t="shared" si="1225"/>
        <v>a</v>
      </c>
      <c r="X1441">
        <v>91</v>
      </c>
      <c r="Y1441" t="e">
        <f>IF(X1441&lt;&gt;"",VLOOKUP(X1441,game_rosters!$C$43:$E$64,3,FALSE))</f>
        <v>#N/A</v>
      </c>
      <c r="Z1441" cm="1">
        <f t="array" ref="Z1441">IFERROR(IF(_xlfn._xlws.FILTER(game_rosters!$J:$J,(game_rosters!$G:$G=events!$AN1441)*(game_rosters!$J:$J=events!$X1441))&gt;0,1,""),"")</f>
        <v>1</v>
      </c>
      <c r="AA1441">
        <f t="shared" si="1273"/>
        <v>1772</v>
      </c>
      <c r="AB1441" t="str">
        <f t="shared" si="1274"/>
        <v/>
      </c>
      <c r="AC1441">
        <f t="shared" si="1222"/>
        <v>1772</v>
      </c>
      <c r="AD1441" s="6">
        <v>2</v>
      </c>
      <c r="AE1441" t="s">
        <v>941</v>
      </c>
      <c r="AF1441" t="s">
        <v>913</v>
      </c>
      <c r="AG1441" t="s">
        <v>756</v>
      </c>
      <c r="AH1441" t="s">
        <v>756</v>
      </c>
      <c r="AI1441" t="s">
        <v>367</v>
      </c>
      <c r="AJ1441" t="str">
        <f t="shared" ref="AJ1441:AK1441" si="1279">IF($J1441&lt;&gt;"",$J1441,IF($AC1441=$AC1440,AJ1440,""))</f>
        <v>o</v>
      </c>
      <c r="AK1441" t="str">
        <f t="shared" si="1279"/>
        <v>o</v>
      </c>
      <c r="AL1441" t="str">
        <f t="shared" si="1227"/>
        <v>d</v>
      </c>
      <c r="AN1441" t="s">
        <v>862</v>
      </c>
      <c r="AO1441" t="str">
        <f t="shared" si="1228"/>
        <v>a</v>
      </c>
      <c r="AP1441" t="str">
        <f t="shared" si="1236"/>
        <v>d</v>
      </c>
      <c r="AQ1441" t="str">
        <f t="shared" si="1237"/>
        <v/>
      </c>
      <c r="AR1441" t="str">
        <f t="shared" si="1238"/>
        <v>Away</v>
      </c>
      <c r="AS1441" t="str">
        <f t="shared" si="1239"/>
        <v>a</v>
      </c>
      <c r="AT1441" t="str">
        <f t="shared" si="1240"/>
        <v>Offensive</v>
      </c>
      <c r="BA1441" s="6">
        <f t="shared" si="1229"/>
        <v>326</v>
      </c>
      <c r="BB1441">
        <f t="shared" si="1230"/>
        <v>18981</v>
      </c>
      <c r="BC1441" t="str">
        <f t="shared" si="1231"/>
        <v>Nelson</v>
      </c>
      <c r="BD1441" t="str">
        <f t="shared" si="1232"/>
        <v>Velodrome</v>
      </c>
      <c r="BE1441" t="s">
        <v>238</v>
      </c>
      <c r="BF1441" t="s">
        <v>174</v>
      </c>
      <c r="BG1441" t="s">
        <v>390</v>
      </c>
      <c r="BI1441" cm="1">
        <f t="array" ref="BI1441">IFERROR(_xlfn._xlws.FILTER(shifts!A:A,(shifts!B:B=events!AD1441)*(shifts!AG:AG&gt;=events!BK1441)*(shifts!AH:AH&lt;=events!BL1441)),BI1440)</f>
        <v>63</v>
      </c>
      <c r="BJ1441" s="15">
        <f t="shared" si="1233"/>
        <v>0</v>
      </c>
      <c r="BK1441">
        <f t="shared" si="1241"/>
        <v>242</v>
      </c>
      <c r="BL1441">
        <f t="shared" si="1242"/>
        <v>242</v>
      </c>
      <c r="BM1441" s="15">
        <f>SUMIFS(BJ$2:BJ1441,K$2:K1441,"=Intermission")+SUMIFS(BJ$2:BJ1441,K$2:K1441,"=Timeout")</f>
        <v>72</v>
      </c>
      <c r="BN1441">
        <f t="shared" si="1243"/>
        <v>1152</v>
      </c>
      <c r="BO1441" s="19">
        <f t="shared" si="1244"/>
        <v>1990</v>
      </c>
      <c r="BP1441">
        <f t="shared" si="1245"/>
        <v>1985</v>
      </c>
      <c r="BQ1441" s="17">
        <f t="shared" si="1246"/>
        <v>1990</v>
      </c>
      <c r="BR1441" t="str">
        <f t="shared" si="1247"/>
        <v>event_team_player_2</v>
      </c>
      <c r="BS1441">
        <f>COUNTIFS(S$3:S1441,"="&amp;S1441,AI$3:AI1441,"="&amp;AI1441)</f>
        <v>2</v>
      </c>
      <c r="BT1441" t="str">
        <f>IFERROR(VLOOKUP(BB1441&amp;BU1441&amp;X1441,game_rosters!U:W,3,FALSE),"")</f>
        <v>P100002</v>
      </c>
      <c r="BU1441" t="str">
        <f t="shared" si="1248"/>
        <v>Velodrome</v>
      </c>
    </row>
    <row r="1442" spans="1:73" x14ac:dyDescent="0.2">
      <c r="A1442">
        <f t="shared" si="1234"/>
        <v>1</v>
      </c>
      <c r="J1442" s="44" t="str">
        <f t="shared" si="1249"/>
        <v>o</v>
      </c>
      <c r="K1442" t="s">
        <v>238</v>
      </c>
      <c r="L1442" t="s">
        <v>174</v>
      </c>
      <c r="M1442" t="s">
        <v>390</v>
      </c>
      <c r="S1442">
        <v>772</v>
      </c>
      <c r="W1442" t="str">
        <f t="shared" si="1225"/>
        <v>a</v>
      </c>
      <c r="X1442">
        <v>23</v>
      </c>
      <c r="Y1442" t="b">
        <f>IF(X1442&lt;&gt;"",VLOOKUP(X1442,game_rosters!$C$43:$E$64,3,FALSE))</f>
        <v>0</v>
      </c>
      <c r="Z1442" t="str" cm="1">
        <f t="array" ref="Z1442">IFERROR(IF(_xlfn._xlws.FILTER(game_rosters!$J:$J,(game_rosters!$G:$G=events!$AN1442)*(game_rosters!$J:$J=events!$X1442))&gt;0,1,""),"")</f>
        <v/>
      </c>
      <c r="AA1442">
        <f t="shared" si="1273"/>
        <v>1772</v>
      </c>
      <c r="AB1442" t="str">
        <f t="shared" si="1274"/>
        <v/>
      </c>
      <c r="AC1442">
        <f t="shared" si="1222"/>
        <v>1772</v>
      </c>
      <c r="AD1442" s="6">
        <v>2</v>
      </c>
      <c r="AE1442" t="s">
        <v>941</v>
      </c>
      <c r="AF1442" t="s">
        <v>913</v>
      </c>
      <c r="AG1442" t="s">
        <v>756</v>
      </c>
      <c r="AH1442" t="s">
        <v>756</v>
      </c>
      <c r="AI1442" t="s">
        <v>368</v>
      </c>
      <c r="AJ1442" t="str">
        <f t="shared" ref="AJ1442:AK1442" si="1280">IF($J1442&lt;&gt;"",$J1442,IF($AC1442=$AC1441,AJ1441,""))</f>
        <v>o</v>
      </c>
      <c r="AK1442" t="str">
        <f t="shared" si="1280"/>
        <v>o</v>
      </c>
      <c r="AL1442" t="str">
        <f t="shared" si="1227"/>
        <v>d</v>
      </c>
      <c r="AN1442" t="s">
        <v>862</v>
      </c>
      <c r="AO1442" t="str">
        <f t="shared" si="1228"/>
        <v>a</v>
      </c>
      <c r="AP1442" t="str">
        <f t="shared" si="1236"/>
        <v>d</v>
      </c>
      <c r="AQ1442" t="str">
        <f t="shared" si="1237"/>
        <v/>
      </c>
      <c r="AR1442" t="str">
        <f t="shared" si="1238"/>
        <v>Away</v>
      </c>
      <c r="AS1442" t="str">
        <f t="shared" si="1239"/>
        <v>a</v>
      </c>
      <c r="AT1442" t="str">
        <f t="shared" si="1240"/>
        <v>Defensive</v>
      </c>
      <c r="BA1442" s="6">
        <f t="shared" si="1229"/>
        <v>327</v>
      </c>
      <c r="BB1442">
        <f t="shared" si="1230"/>
        <v>18981</v>
      </c>
      <c r="BC1442" t="str">
        <f t="shared" si="1231"/>
        <v>Nelson</v>
      </c>
      <c r="BD1442" t="str">
        <f t="shared" si="1232"/>
        <v>Velodrome</v>
      </c>
      <c r="BE1442" t="s">
        <v>238</v>
      </c>
      <c r="BF1442" t="s">
        <v>174</v>
      </c>
      <c r="BG1442" t="s">
        <v>390</v>
      </c>
      <c r="BI1442" cm="1">
        <f t="array" ref="BI1442">IFERROR(_xlfn._xlws.FILTER(shifts!A:A,(shifts!B:B=events!AD1442)*(shifts!AG:AG&gt;=events!BK1442)*(shifts!AH:AH&lt;=events!BL1442)),BI1441)</f>
        <v>63</v>
      </c>
      <c r="BJ1442" s="15">
        <f t="shared" si="1233"/>
        <v>0</v>
      </c>
      <c r="BK1442">
        <f t="shared" si="1241"/>
        <v>242</v>
      </c>
      <c r="BL1442">
        <f t="shared" si="1242"/>
        <v>242</v>
      </c>
      <c r="BM1442" s="15">
        <f>SUMIFS(BJ$2:BJ1442,K$2:K1442,"=Intermission")+SUMIFS(BJ$2:BJ1442,K$2:K1442,"=Timeout")</f>
        <v>72</v>
      </c>
      <c r="BN1442">
        <f t="shared" si="1243"/>
        <v>1152</v>
      </c>
      <c r="BO1442" s="19">
        <f t="shared" si="1244"/>
        <v>1990</v>
      </c>
      <c r="BP1442">
        <f t="shared" si="1245"/>
        <v>1985</v>
      </c>
      <c r="BQ1442" s="17">
        <f t="shared" si="1246"/>
        <v>1990</v>
      </c>
      <c r="BR1442" t="str">
        <f t="shared" si="1247"/>
        <v>opp_team_player_1</v>
      </c>
      <c r="BS1442">
        <f>COUNTIFS(S$3:S1442,"="&amp;S1442,AI$3:AI1442,"="&amp;AI1442)</f>
        <v>1</v>
      </c>
      <c r="BT1442" t="str">
        <f>IFERROR(VLOOKUP(BB1442&amp;BU1442&amp;X1442,game_rosters!U:W,3,FALSE),"")</f>
        <v>P100061</v>
      </c>
      <c r="BU1442" t="str">
        <f t="shared" si="1248"/>
        <v>Nelson</v>
      </c>
    </row>
    <row r="1443" spans="1:73" x14ac:dyDescent="0.2">
      <c r="A1443">
        <f t="shared" si="1234"/>
        <v>1</v>
      </c>
      <c r="J1443" s="44" t="str">
        <f t="shared" si="1249"/>
        <v>o</v>
      </c>
      <c r="K1443" t="s">
        <v>238</v>
      </c>
      <c r="L1443" t="s">
        <v>174</v>
      </c>
      <c r="M1443" t="s">
        <v>390</v>
      </c>
      <c r="S1443">
        <v>772</v>
      </c>
      <c r="W1443" t="str">
        <f t="shared" si="1225"/>
        <v>a</v>
      </c>
      <c r="X1443">
        <v>37</v>
      </c>
      <c r="Y1443" t="b">
        <f>IF(X1443&lt;&gt;"",VLOOKUP(X1443,game_rosters!$C$43:$E$64,3,FALSE))</f>
        <v>0</v>
      </c>
      <c r="Z1443" t="str" cm="1">
        <f t="array" ref="Z1443">IFERROR(IF(_xlfn._xlws.FILTER(game_rosters!$J:$J,(game_rosters!$G:$G=events!$AN1443)*(game_rosters!$J:$J=events!$X1443))&gt;0,1,""),"")</f>
        <v/>
      </c>
      <c r="AA1443">
        <f t="shared" si="1273"/>
        <v>1772</v>
      </c>
      <c r="AB1443" t="str">
        <f t="shared" si="1274"/>
        <v/>
      </c>
      <c r="AC1443">
        <f t="shared" si="1222"/>
        <v>1772</v>
      </c>
      <c r="AD1443" s="6">
        <v>2</v>
      </c>
      <c r="AE1443" t="s">
        <v>941</v>
      </c>
      <c r="AF1443" t="s">
        <v>913</v>
      </c>
      <c r="AG1443" t="s">
        <v>756</v>
      </c>
      <c r="AH1443" t="s">
        <v>756</v>
      </c>
      <c r="AI1443" t="s">
        <v>368</v>
      </c>
      <c r="AJ1443" t="str">
        <f t="shared" ref="AJ1443:AK1443" si="1281">IF($J1443&lt;&gt;"",$J1443,IF($AC1443=$AC1442,AJ1442,""))</f>
        <v>o</v>
      </c>
      <c r="AK1443" t="str">
        <f t="shared" si="1281"/>
        <v>o</v>
      </c>
      <c r="AL1443" t="str">
        <f t="shared" si="1227"/>
        <v>d</v>
      </c>
      <c r="AN1443" t="s">
        <v>862</v>
      </c>
      <c r="AO1443" t="str">
        <f t="shared" si="1228"/>
        <v>a</v>
      </c>
      <c r="AP1443" t="str">
        <f t="shared" si="1236"/>
        <v>d</v>
      </c>
      <c r="AQ1443" t="str">
        <f t="shared" si="1237"/>
        <v/>
      </c>
      <c r="AR1443" t="str">
        <f t="shared" si="1238"/>
        <v>Away</v>
      </c>
      <c r="AS1443" t="str">
        <f t="shared" si="1239"/>
        <v>a</v>
      </c>
      <c r="AT1443" t="str">
        <f t="shared" si="1240"/>
        <v>Defensive</v>
      </c>
      <c r="BA1443" s="6">
        <f t="shared" si="1229"/>
        <v>328</v>
      </c>
      <c r="BB1443">
        <f t="shared" si="1230"/>
        <v>18981</v>
      </c>
      <c r="BC1443" t="str">
        <f t="shared" si="1231"/>
        <v>Nelson</v>
      </c>
      <c r="BD1443" t="str">
        <f t="shared" si="1232"/>
        <v>Velodrome</v>
      </c>
      <c r="BE1443" t="s">
        <v>238</v>
      </c>
      <c r="BF1443" t="s">
        <v>174</v>
      </c>
      <c r="BG1443" t="s">
        <v>390</v>
      </c>
      <c r="BI1443" cm="1">
        <f t="array" ref="BI1443">IFERROR(_xlfn._xlws.FILTER(shifts!A:A,(shifts!B:B=events!AD1443)*(shifts!AG:AG&gt;=events!BK1443)*(shifts!AH:AH&lt;=events!BL1443)),BI1442)</f>
        <v>63</v>
      </c>
      <c r="BJ1443" s="15">
        <f t="shared" si="1233"/>
        <v>0</v>
      </c>
      <c r="BK1443">
        <f t="shared" si="1241"/>
        <v>242</v>
      </c>
      <c r="BL1443">
        <f t="shared" si="1242"/>
        <v>242</v>
      </c>
      <c r="BM1443" s="15">
        <f>SUMIFS(BJ$2:BJ1443,K$2:K1443,"=Intermission")+SUMIFS(BJ$2:BJ1443,K$2:K1443,"=Timeout")</f>
        <v>72</v>
      </c>
      <c r="BN1443">
        <f t="shared" si="1243"/>
        <v>1152</v>
      </c>
      <c r="BO1443" s="19">
        <f t="shared" si="1244"/>
        <v>1990</v>
      </c>
      <c r="BP1443">
        <f t="shared" si="1245"/>
        <v>1985</v>
      </c>
      <c r="BQ1443" s="17">
        <f t="shared" si="1246"/>
        <v>1990</v>
      </c>
      <c r="BR1443" t="str">
        <f t="shared" si="1247"/>
        <v>opp_team_player_2</v>
      </c>
      <c r="BS1443">
        <f>COUNTIFS(S$3:S1443,"="&amp;S1443,AI$3:AI1443,"="&amp;AI1443)</f>
        <v>2</v>
      </c>
      <c r="BT1443" t="str">
        <f>IFERROR(VLOOKUP(BB1443&amp;BU1443&amp;X1443,game_rosters!U:W,3,FALSE),"")</f>
        <v>P100119</v>
      </c>
      <c r="BU1443" t="str">
        <f t="shared" si="1248"/>
        <v>Nelson</v>
      </c>
    </row>
    <row r="1444" spans="1:73" x14ac:dyDescent="0.2">
      <c r="A1444">
        <f t="shared" si="1234"/>
        <v>1</v>
      </c>
      <c r="J1444" s="44" t="str">
        <f t="shared" si="1249"/>
        <v/>
      </c>
      <c r="K1444" t="s">
        <v>13</v>
      </c>
      <c r="L1444" t="s">
        <v>756</v>
      </c>
      <c r="M1444" t="s">
        <v>756</v>
      </c>
      <c r="S1444">
        <v>773</v>
      </c>
      <c r="W1444" t="str">
        <f t="shared" si="1225"/>
        <v>a</v>
      </c>
      <c r="X1444">
        <v>91</v>
      </c>
      <c r="Y1444" t="e">
        <f>IF(X1444&lt;&gt;"",VLOOKUP(X1444,game_rosters!$C$43:$E$64,3,FALSE))</f>
        <v>#N/A</v>
      </c>
      <c r="Z1444" cm="1">
        <f t="array" ref="Z1444">IFERROR(IF(_xlfn._xlws.FILTER(game_rosters!$J:$J,(game_rosters!$G:$G=events!$AN1444)*(game_rosters!$J:$J=events!$X1444))&gt;0,1,""),"")</f>
        <v>1</v>
      </c>
      <c r="AA1444">
        <f t="shared" si="1273"/>
        <v>1773</v>
      </c>
      <c r="AB1444" t="str">
        <f t="shared" si="1274"/>
        <v/>
      </c>
      <c r="AC1444">
        <f t="shared" si="1222"/>
        <v>1773</v>
      </c>
      <c r="AD1444" s="6">
        <v>2</v>
      </c>
      <c r="AE1444" t="s">
        <v>940</v>
      </c>
      <c r="AF1444" t="s">
        <v>932</v>
      </c>
      <c r="AG1444" t="s">
        <v>940</v>
      </c>
      <c r="AH1444" t="s">
        <v>733</v>
      </c>
      <c r="AI1444" t="s">
        <v>367</v>
      </c>
      <c r="AJ1444" t="str">
        <f t="shared" ref="AJ1444:AK1444" si="1282">IF($J1444&lt;&gt;"",$J1444,IF($AC1444=$AC1443,AJ1443,""))</f>
        <v/>
      </c>
      <c r="AK1444" t="str">
        <f t="shared" si="1282"/>
        <v/>
      </c>
      <c r="AL1444" t="str">
        <f t="shared" si="1227"/>
        <v/>
      </c>
      <c r="AN1444" t="s">
        <v>862</v>
      </c>
      <c r="AO1444" t="str">
        <f t="shared" si="1228"/>
        <v>a</v>
      </c>
      <c r="AP1444" t="str">
        <f t="shared" si="1236"/>
        <v/>
      </c>
      <c r="AQ1444" t="str">
        <f t="shared" si="1237"/>
        <v/>
      </c>
      <c r="AR1444" t="str">
        <f t="shared" si="1238"/>
        <v>Away</v>
      </c>
      <c r="AS1444" t="str">
        <f t="shared" si="1239"/>
        <v>a</v>
      </c>
      <c r="AT1444" t="str">
        <f t="shared" si="1240"/>
        <v>Offensive</v>
      </c>
      <c r="BA1444" s="6">
        <f t="shared" si="1229"/>
        <v>328</v>
      </c>
      <c r="BB1444">
        <f t="shared" si="1230"/>
        <v>18981</v>
      </c>
      <c r="BC1444" t="str">
        <f t="shared" si="1231"/>
        <v>Nelson</v>
      </c>
      <c r="BD1444" t="str">
        <f t="shared" si="1232"/>
        <v>Velodrome</v>
      </c>
      <c r="BE1444" t="s">
        <v>13</v>
      </c>
      <c r="BF1444" t="s">
        <v>756</v>
      </c>
      <c r="BG1444" t="s">
        <v>756</v>
      </c>
      <c r="BI1444" cm="1">
        <f t="array" ref="BI1444">IFERROR(_xlfn._xlws.FILTER(shifts!A:A,(shifts!B:B=events!AD1444)*(shifts!AG:AG&gt;=events!BK1444)*(shifts!AH:AH&lt;=events!BL1444)),BI1443)</f>
        <v>63</v>
      </c>
      <c r="BJ1444" s="15">
        <f t="shared" si="1233"/>
        <v>2</v>
      </c>
      <c r="BK1444">
        <f t="shared" si="1241"/>
        <v>238</v>
      </c>
      <c r="BL1444">
        <f t="shared" si="1242"/>
        <v>236</v>
      </c>
      <c r="BM1444" s="15">
        <f>SUMIFS(BJ$2:BJ1444,K$2:K1444,"=Intermission")+SUMIFS(BJ$2:BJ1444,K$2:K1444,"=Timeout")</f>
        <v>72</v>
      </c>
      <c r="BN1444">
        <f t="shared" si="1243"/>
        <v>1152</v>
      </c>
      <c r="BO1444" s="19">
        <f t="shared" si="1244"/>
        <v>1994</v>
      </c>
      <c r="BP1444">
        <f t="shared" si="1245"/>
        <v>1989</v>
      </c>
      <c r="BQ1444" s="17">
        <f t="shared" si="1246"/>
        <v>1996</v>
      </c>
      <c r="BR1444" t="str">
        <f t="shared" si="1247"/>
        <v>event_team_player_1</v>
      </c>
      <c r="BS1444">
        <f>COUNTIFS(S$3:S1444,"="&amp;S1444,AI$3:AI1444,"="&amp;AI1444)</f>
        <v>1</v>
      </c>
      <c r="BT1444" t="str">
        <f>IFERROR(VLOOKUP(BB1444&amp;BU1444&amp;X1444,game_rosters!U:W,3,FALSE),"")</f>
        <v>P100002</v>
      </c>
      <c r="BU1444" t="str">
        <f t="shared" si="1248"/>
        <v>Velodrome</v>
      </c>
    </row>
    <row r="1445" spans="1:73" x14ac:dyDescent="0.2">
      <c r="A1445">
        <f t="shared" si="1234"/>
        <v>1</v>
      </c>
      <c r="J1445" s="44" t="str">
        <f t="shared" si="1249"/>
        <v/>
      </c>
      <c r="K1445" t="s">
        <v>13</v>
      </c>
      <c r="L1445" t="s">
        <v>756</v>
      </c>
      <c r="M1445" t="s">
        <v>756</v>
      </c>
      <c r="S1445">
        <v>773</v>
      </c>
      <c r="W1445" t="str">
        <f t="shared" si="1225"/>
        <v>a</v>
      </c>
      <c r="X1445">
        <v>23</v>
      </c>
      <c r="Y1445" t="b">
        <f>IF(X1445&lt;&gt;"",VLOOKUP(X1445,game_rosters!$C$43:$E$64,3,FALSE))</f>
        <v>0</v>
      </c>
      <c r="Z1445" t="str" cm="1">
        <f t="array" ref="Z1445">IFERROR(IF(_xlfn._xlws.FILTER(game_rosters!$J:$J,(game_rosters!$G:$G=events!$AN1445)*(game_rosters!$J:$J=events!$X1445))&gt;0,1,""),"")</f>
        <v/>
      </c>
      <c r="AA1445">
        <f t="shared" si="1273"/>
        <v>1773</v>
      </c>
      <c r="AB1445" t="str">
        <f t="shared" si="1274"/>
        <v/>
      </c>
      <c r="AC1445">
        <f t="shared" si="1222"/>
        <v>1773</v>
      </c>
      <c r="AD1445" s="6">
        <v>2</v>
      </c>
      <c r="AE1445" t="s">
        <v>940</v>
      </c>
      <c r="AF1445" t="s">
        <v>932</v>
      </c>
      <c r="AG1445" t="s">
        <v>940</v>
      </c>
      <c r="AH1445" t="s">
        <v>733</v>
      </c>
      <c r="AI1445" t="s">
        <v>368</v>
      </c>
      <c r="AJ1445" t="str">
        <f t="shared" ref="AJ1445:AK1445" si="1283">IF($J1445&lt;&gt;"",$J1445,IF($AC1445=$AC1444,AJ1444,""))</f>
        <v/>
      </c>
      <c r="AK1445" t="str">
        <f t="shared" si="1283"/>
        <v/>
      </c>
      <c r="AL1445" t="str">
        <f t="shared" si="1227"/>
        <v/>
      </c>
      <c r="AN1445" t="s">
        <v>862</v>
      </c>
      <c r="AO1445" t="str">
        <f t="shared" si="1228"/>
        <v>a</v>
      </c>
      <c r="AP1445" t="str">
        <f t="shared" si="1236"/>
        <v/>
      </c>
      <c r="AQ1445" t="str">
        <f t="shared" si="1237"/>
        <v/>
      </c>
      <c r="AR1445" t="str">
        <f t="shared" si="1238"/>
        <v>Away</v>
      </c>
      <c r="AS1445" t="str">
        <f t="shared" si="1239"/>
        <v>a</v>
      </c>
      <c r="AT1445" t="str">
        <f t="shared" si="1240"/>
        <v>Defensive</v>
      </c>
      <c r="BA1445" s="6">
        <f t="shared" si="1229"/>
        <v>328</v>
      </c>
      <c r="BB1445">
        <f t="shared" si="1230"/>
        <v>18981</v>
      </c>
      <c r="BC1445" t="str">
        <f t="shared" si="1231"/>
        <v>Nelson</v>
      </c>
      <c r="BD1445" t="str">
        <f t="shared" si="1232"/>
        <v>Velodrome</v>
      </c>
      <c r="BE1445" t="s">
        <v>13</v>
      </c>
      <c r="BF1445" t="s">
        <v>756</v>
      </c>
      <c r="BG1445" t="s">
        <v>756</v>
      </c>
      <c r="BI1445" cm="1">
        <f t="array" ref="BI1445">IFERROR(_xlfn._xlws.FILTER(shifts!A:A,(shifts!B:B=events!AD1445)*(shifts!AG:AG&gt;=events!BK1445)*(shifts!AH:AH&lt;=events!BL1445)),BI1444)</f>
        <v>63</v>
      </c>
      <c r="BJ1445" s="15">
        <f t="shared" si="1233"/>
        <v>2</v>
      </c>
      <c r="BK1445">
        <f t="shared" si="1241"/>
        <v>238</v>
      </c>
      <c r="BL1445">
        <f t="shared" si="1242"/>
        <v>236</v>
      </c>
      <c r="BM1445" s="15">
        <f>SUMIFS(BJ$2:BJ1445,K$2:K1445,"=Intermission")+SUMIFS(BJ$2:BJ1445,K$2:K1445,"=Timeout")</f>
        <v>72</v>
      </c>
      <c r="BN1445">
        <f t="shared" si="1243"/>
        <v>1152</v>
      </c>
      <c r="BO1445" s="19">
        <f t="shared" si="1244"/>
        <v>1994</v>
      </c>
      <c r="BP1445">
        <f t="shared" si="1245"/>
        <v>1989</v>
      </c>
      <c r="BQ1445" s="17">
        <f t="shared" si="1246"/>
        <v>1996</v>
      </c>
      <c r="BR1445" t="str">
        <f t="shared" si="1247"/>
        <v>opp_team_player_1</v>
      </c>
      <c r="BS1445">
        <f>COUNTIFS(S$3:S1445,"="&amp;S1445,AI$3:AI1445,"="&amp;AI1445)</f>
        <v>1</v>
      </c>
      <c r="BT1445" t="str">
        <f>IFERROR(VLOOKUP(BB1445&amp;BU1445&amp;X1445,game_rosters!U:W,3,FALSE),"")</f>
        <v>P100061</v>
      </c>
      <c r="BU1445" t="str">
        <f t="shared" si="1248"/>
        <v>Nelson</v>
      </c>
    </row>
    <row r="1446" spans="1:73" x14ac:dyDescent="0.2">
      <c r="A1446">
        <f t="shared" si="1234"/>
        <v>1</v>
      </c>
      <c r="J1446" s="44" t="str">
        <f t="shared" si="1249"/>
        <v/>
      </c>
      <c r="K1446" t="s">
        <v>7</v>
      </c>
      <c r="L1446" t="s">
        <v>192</v>
      </c>
      <c r="M1446" t="s">
        <v>68</v>
      </c>
      <c r="S1446">
        <v>774</v>
      </c>
      <c r="W1446" t="str">
        <f t="shared" si="1225"/>
        <v>a</v>
      </c>
      <c r="X1446">
        <v>91</v>
      </c>
      <c r="Y1446" t="e">
        <f>IF(X1446&lt;&gt;"",VLOOKUP(X1446,game_rosters!$C$43:$E$64,3,FALSE))</f>
        <v>#N/A</v>
      </c>
      <c r="Z1446" cm="1">
        <f t="array" ref="Z1446">IFERROR(IF(_xlfn._xlws.FILTER(game_rosters!$J:$J,(game_rosters!$G:$G=events!$AN1446)*(game_rosters!$J:$J=events!$X1446))&gt;0,1,""),"")</f>
        <v>1</v>
      </c>
      <c r="AA1446">
        <f t="shared" si="1273"/>
        <v>1774</v>
      </c>
      <c r="AB1446" t="str">
        <f t="shared" si="1274"/>
        <v/>
      </c>
      <c r="AC1446">
        <f t="shared" si="1222"/>
        <v>1774</v>
      </c>
      <c r="AD1446" s="6">
        <v>2</v>
      </c>
      <c r="AE1446" t="s">
        <v>940</v>
      </c>
      <c r="AF1446" t="s">
        <v>733</v>
      </c>
      <c r="AG1446" t="s">
        <v>756</v>
      </c>
      <c r="AH1446" t="s">
        <v>756</v>
      </c>
      <c r="AI1446" t="s">
        <v>367</v>
      </c>
      <c r="AJ1446" t="str">
        <f t="shared" ref="AJ1446:AK1446" si="1284">IF($J1446&lt;&gt;"",$J1446,IF($AC1446=$AC1445,AJ1445,""))</f>
        <v/>
      </c>
      <c r="AK1446" t="str">
        <f t="shared" si="1284"/>
        <v/>
      </c>
      <c r="AL1446" t="str">
        <f t="shared" si="1227"/>
        <v/>
      </c>
      <c r="AN1446" t="s">
        <v>862</v>
      </c>
      <c r="AO1446" t="str">
        <f t="shared" si="1228"/>
        <v>a</v>
      </c>
      <c r="AP1446" t="str">
        <f t="shared" si="1236"/>
        <v/>
      </c>
      <c r="AQ1446" t="str">
        <f t="shared" si="1237"/>
        <v/>
      </c>
      <c r="AR1446" t="str">
        <f t="shared" si="1238"/>
        <v>Away</v>
      </c>
      <c r="AS1446" t="str">
        <f t="shared" si="1239"/>
        <v>a</v>
      </c>
      <c r="AT1446" t="str">
        <f t="shared" si="1240"/>
        <v>Offensive</v>
      </c>
      <c r="BA1446" s="6">
        <f t="shared" si="1229"/>
        <v>328</v>
      </c>
      <c r="BB1446">
        <f t="shared" si="1230"/>
        <v>18981</v>
      </c>
      <c r="BC1446" t="str">
        <f t="shared" si="1231"/>
        <v>Nelson</v>
      </c>
      <c r="BD1446" t="str">
        <f t="shared" si="1232"/>
        <v>Velodrome</v>
      </c>
      <c r="BE1446" t="s">
        <v>7</v>
      </c>
      <c r="BF1446" t="s">
        <v>192</v>
      </c>
      <c r="BG1446" t="s">
        <v>68</v>
      </c>
      <c r="BI1446" cm="1">
        <f t="array" ref="BI1446">IFERROR(_xlfn._xlws.FILTER(shifts!A:A,(shifts!B:B=events!AD1446)*(shifts!AG:AG&gt;=events!BK1446)*(shifts!AH:AH&lt;=events!BL1446)),BI1445)</f>
        <v>63</v>
      </c>
      <c r="BJ1446" s="15">
        <f t="shared" si="1233"/>
        <v>0</v>
      </c>
      <c r="BK1446">
        <f t="shared" si="1241"/>
        <v>236</v>
      </c>
      <c r="BL1446">
        <f t="shared" si="1242"/>
        <v>236</v>
      </c>
      <c r="BM1446" s="15">
        <f>SUMIFS(BJ$2:BJ1446,K$2:K1446,"=Intermission")+SUMIFS(BJ$2:BJ1446,K$2:K1446,"=Timeout")</f>
        <v>72</v>
      </c>
      <c r="BN1446">
        <f t="shared" si="1243"/>
        <v>1152</v>
      </c>
      <c r="BO1446" s="19">
        <f t="shared" si="1244"/>
        <v>1996</v>
      </c>
      <c r="BP1446">
        <f t="shared" si="1245"/>
        <v>1991</v>
      </c>
      <c r="BQ1446" s="17">
        <f t="shared" si="1246"/>
        <v>1996</v>
      </c>
      <c r="BR1446" t="str">
        <f t="shared" si="1247"/>
        <v>event_team_player_1</v>
      </c>
      <c r="BS1446">
        <f>COUNTIFS(S$3:S1446,"="&amp;S1446,AI$3:AI1446,"="&amp;AI1446)</f>
        <v>1</v>
      </c>
      <c r="BT1446" t="str">
        <f>IFERROR(VLOOKUP(BB1446&amp;BU1446&amp;X1446,game_rosters!U:W,3,FALSE),"")</f>
        <v>P100002</v>
      </c>
      <c r="BU1446" t="str">
        <f t="shared" si="1248"/>
        <v>Velodrome</v>
      </c>
    </row>
    <row r="1447" spans="1:73" x14ac:dyDescent="0.2">
      <c r="A1447">
        <f t="shared" si="1234"/>
        <v>1</v>
      </c>
      <c r="J1447" s="44" t="str">
        <f t="shared" si="1249"/>
        <v/>
      </c>
      <c r="K1447" t="s">
        <v>7</v>
      </c>
      <c r="L1447" t="s">
        <v>192</v>
      </c>
      <c r="M1447" t="s">
        <v>68</v>
      </c>
      <c r="S1447">
        <v>774</v>
      </c>
      <c r="W1447" t="str">
        <f t="shared" si="1225"/>
        <v>a</v>
      </c>
      <c r="X1447">
        <v>52</v>
      </c>
      <c r="Y1447" t="e">
        <f>IF(X1447&lt;&gt;"",VLOOKUP(X1447,game_rosters!$C$43:$E$64,3,FALSE))</f>
        <v>#N/A</v>
      </c>
      <c r="Z1447" cm="1">
        <f t="array" ref="Z1447">IFERROR(IF(_xlfn._xlws.FILTER(game_rosters!$J:$J,(game_rosters!$G:$G=events!$AN1447)*(game_rosters!$J:$J=events!$X1447))&gt;0,1,""),"")</f>
        <v>1</v>
      </c>
      <c r="AA1447">
        <f t="shared" si="1273"/>
        <v>1774</v>
      </c>
      <c r="AB1447" t="str">
        <f t="shared" si="1274"/>
        <v/>
      </c>
      <c r="AC1447">
        <f t="shared" si="1222"/>
        <v>1774</v>
      </c>
      <c r="AD1447" s="6">
        <v>2</v>
      </c>
      <c r="AE1447" t="s">
        <v>940</v>
      </c>
      <c r="AF1447" t="s">
        <v>733</v>
      </c>
      <c r="AG1447" t="s">
        <v>756</v>
      </c>
      <c r="AH1447" t="s">
        <v>756</v>
      </c>
      <c r="AI1447" t="s">
        <v>367</v>
      </c>
      <c r="AJ1447" t="str">
        <f t="shared" ref="AJ1447:AK1447" si="1285">IF($J1447&lt;&gt;"",$J1447,IF($AC1447=$AC1446,AJ1446,""))</f>
        <v/>
      </c>
      <c r="AK1447" t="str">
        <f t="shared" si="1285"/>
        <v/>
      </c>
      <c r="AL1447" t="str">
        <f t="shared" si="1227"/>
        <v/>
      </c>
      <c r="AN1447" t="s">
        <v>862</v>
      </c>
      <c r="AO1447" t="str">
        <f t="shared" si="1228"/>
        <v>a</v>
      </c>
      <c r="AP1447" t="str">
        <f t="shared" si="1236"/>
        <v/>
      </c>
      <c r="AQ1447" t="str">
        <f t="shared" si="1237"/>
        <v/>
      </c>
      <c r="AR1447" t="str">
        <f t="shared" si="1238"/>
        <v>Away</v>
      </c>
      <c r="AS1447" t="str">
        <f t="shared" si="1239"/>
        <v>a</v>
      </c>
      <c r="AT1447" t="str">
        <f t="shared" si="1240"/>
        <v>Offensive</v>
      </c>
      <c r="BA1447" s="6">
        <f t="shared" si="1229"/>
        <v>328</v>
      </c>
      <c r="BB1447">
        <f t="shared" si="1230"/>
        <v>18981</v>
      </c>
      <c r="BC1447" t="str">
        <f t="shared" si="1231"/>
        <v>Nelson</v>
      </c>
      <c r="BD1447" t="str">
        <f t="shared" si="1232"/>
        <v>Velodrome</v>
      </c>
      <c r="BE1447" t="s">
        <v>7</v>
      </c>
      <c r="BF1447" t="s">
        <v>192</v>
      </c>
      <c r="BG1447" t="s">
        <v>68</v>
      </c>
      <c r="BI1447" cm="1">
        <f t="array" ref="BI1447">IFERROR(_xlfn._xlws.FILTER(shifts!A:A,(shifts!B:B=events!AD1447)*(shifts!AG:AG&gt;=events!BK1447)*(shifts!AH:AH&lt;=events!BL1447)),BI1446)</f>
        <v>63</v>
      </c>
      <c r="BJ1447" s="15">
        <f t="shared" si="1233"/>
        <v>0</v>
      </c>
      <c r="BK1447">
        <f t="shared" si="1241"/>
        <v>236</v>
      </c>
      <c r="BL1447">
        <f t="shared" si="1242"/>
        <v>236</v>
      </c>
      <c r="BM1447" s="15">
        <f>SUMIFS(BJ$2:BJ1447,K$2:K1447,"=Intermission")+SUMIFS(BJ$2:BJ1447,K$2:K1447,"=Timeout")</f>
        <v>72</v>
      </c>
      <c r="BN1447">
        <f t="shared" si="1243"/>
        <v>1152</v>
      </c>
      <c r="BO1447" s="19">
        <f t="shared" si="1244"/>
        <v>1996</v>
      </c>
      <c r="BP1447">
        <f t="shared" si="1245"/>
        <v>1991</v>
      </c>
      <c r="BQ1447" s="17">
        <f t="shared" si="1246"/>
        <v>1996</v>
      </c>
      <c r="BR1447" t="str">
        <f t="shared" si="1247"/>
        <v>event_team_player_2</v>
      </c>
      <c r="BS1447">
        <f>COUNTIFS(S$3:S1447,"="&amp;S1447,AI$3:AI1447,"="&amp;AI1447)</f>
        <v>2</v>
      </c>
      <c r="BT1447" t="str">
        <f>IFERROR(VLOOKUP(BB1447&amp;BU1447&amp;X1447,game_rosters!U:W,3,FALSE),"")</f>
        <v>P100070</v>
      </c>
      <c r="BU1447" t="str">
        <f t="shared" si="1248"/>
        <v>Velodrome</v>
      </c>
    </row>
    <row r="1448" spans="1:73" x14ac:dyDescent="0.2">
      <c r="A1448">
        <f t="shared" si="1234"/>
        <v>1</v>
      </c>
      <c r="J1448" s="44" t="str">
        <f t="shared" si="1249"/>
        <v/>
      </c>
      <c r="K1448" t="s">
        <v>7</v>
      </c>
      <c r="L1448" t="s">
        <v>192</v>
      </c>
      <c r="M1448" t="s">
        <v>68</v>
      </c>
      <c r="S1448">
        <v>774</v>
      </c>
      <c r="W1448" t="str">
        <f t="shared" si="1225"/>
        <v>a</v>
      </c>
      <c r="X1448">
        <v>15</v>
      </c>
      <c r="Y1448" t="b">
        <f>IF(X1448&lt;&gt;"",VLOOKUP(X1448,game_rosters!$C$43:$E$64,3,FALSE))</f>
        <v>0</v>
      </c>
      <c r="Z1448" t="str" cm="1">
        <f t="array" ref="Z1448">IFERROR(IF(_xlfn._xlws.FILTER(game_rosters!$J:$J,(game_rosters!$G:$G=events!$AN1448)*(game_rosters!$J:$J=events!$X1448))&gt;0,1,""),"")</f>
        <v/>
      </c>
      <c r="AA1448">
        <f t="shared" si="1273"/>
        <v>1774</v>
      </c>
      <c r="AB1448" t="str">
        <f t="shared" si="1274"/>
        <v/>
      </c>
      <c r="AC1448">
        <f t="shared" si="1222"/>
        <v>1774</v>
      </c>
      <c r="AD1448" s="6">
        <v>2</v>
      </c>
      <c r="AE1448" t="s">
        <v>940</v>
      </c>
      <c r="AF1448" t="s">
        <v>733</v>
      </c>
      <c r="AG1448" t="s">
        <v>756</v>
      </c>
      <c r="AH1448" t="s">
        <v>756</v>
      </c>
      <c r="AI1448" t="s">
        <v>368</v>
      </c>
      <c r="AJ1448" t="str">
        <f t="shared" ref="AJ1448:AK1448" si="1286">IF($J1448&lt;&gt;"",$J1448,IF($AC1448=$AC1447,AJ1447,""))</f>
        <v/>
      </c>
      <c r="AK1448" t="str">
        <f t="shared" si="1286"/>
        <v/>
      </c>
      <c r="AL1448" t="str">
        <f t="shared" si="1227"/>
        <v/>
      </c>
      <c r="AN1448" t="s">
        <v>862</v>
      </c>
      <c r="AO1448" t="str">
        <f t="shared" si="1228"/>
        <v>a</v>
      </c>
      <c r="AP1448" t="str">
        <f t="shared" si="1236"/>
        <v/>
      </c>
      <c r="AQ1448" t="str">
        <f t="shared" si="1237"/>
        <v/>
      </c>
      <c r="AR1448" t="str">
        <f t="shared" si="1238"/>
        <v>Away</v>
      </c>
      <c r="AS1448" t="str">
        <f t="shared" si="1239"/>
        <v>a</v>
      </c>
      <c r="AT1448" t="str">
        <f t="shared" si="1240"/>
        <v>Defensive</v>
      </c>
      <c r="BA1448" s="6">
        <f t="shared" si="1229"/>
        <v>328</v>
      </c>
      <c r="BB1448">
        <f t="shared" si="1230"/>
        <v>18981</v>
      </c>
      <c r="BC1448" t="str">
        <f t="shared" si="1231"/>
        <v>Nelson</v>
      </c>
      <c r="BD1448" t="str">
        <f t="shared" si="1232"/>
        <v>Velodrome</v>
      </c>
      <c r="BE1448" t="s">
        <v>7</v>
      </c>
      <c r="BF1448" t="s">
        <v>192</v>
      </c>
      <c r="BG1448" t="s">
        <v>68</v>
      </c>
      <c r="BI1448" cm="1">
        <f t="array" ref="BI1448">IFERROR(_xlfn._xlws.FILTER(shifts!A:A,(shifts!B:B=events!AD1448)*(shifts!AG:AG&gt;=events!BK1448)*(shifts!AH:AH&lt;=events!BL1448)),BI1447)</f>
        <v>63</v>
      </c>
      <c r="BJ1448" s="15">
        <f t="shared" si="1233"/>
        <v>0</v>
      </c>
      <c r="BK1448">
        <f t="shared" si="1241"/>
        <v>236</v>
      </c>
      <c r="BL1448">
        <f t="shared" si="1242"/>
        <v>236</v>
      </c>
      <c r="BM1448" s="15">
        <f>SUMIFS(BJ$2:BJ1448,K$2:K1448,"=Intermission")+SUMIFS(BJ$2:BJ1448,K$2:K1448,"=Timeout")</f>
        <v>72</v>
      </c>
      <c r="BN1448">
        <f t="shared" si="1243"/>
        <v>1152</v>
      </c>
      <c r="BO1448" s="19">
        <f t="shared" si="1244"/>
        <v>1996</v>
      </c>
      <c r="BP1448">
        <f t="shared" si="1245"/>
        <v>1991</v>
      </c>
      <c r="BQ1448" s="17">
        <f t="shared" si="1246"/>
        <v>1996</v>
      </c>
      <c r="BR1448" t="str">
        <f t="shared" si="1247"/>
        <v>opp_team_player_1</v>
      </c>
      <c r="BS1448">
        <f>COUNTIFS(S$3:S1448,"="&amp;S1448,AI$3:AI1448,"="&amp;AI1448)</f>
        <v>1</v>
      </c>
      <c r="BT1448" t="str">
        <f>IFERROR(VLOOKUP(BB1448&amp;BU1448&amp;X1448,game_rosters!U:W,3,FALSE),"")</f>
        <v>P100071</v>
      </c>
      <c r="BU1448" t="str">
        <f t="shared" si="1248"/>
        <v>Nelson</v>
      </c>
    </row>
    <row r="1449" spans="1:73" x14ac:dyDescent="0.2">
      <c r="A1449">
        <f t="shared" si="1234"/>
        <v>1</v>
      </c>
      <c r="J1449" s="44" t="str">
        <f t="shared" si="1249"/>
        <v/>
      </c>
      <c r="K1449" t="s">
        <v>9</v>
      </c>
      <c r="L1449" t="s">
        <v>173</v>
      </c>
      <c r="M1449" t="s">
        <v>75</v>
      </c>
      <c r="S1449">
        <v>775</v>
      </c>
      <c r="W1449" t="str">
        <f t="shared" si="1225"/>
        <v>a</v>
      </c>
      <c r="X1449">
        <v>91</v>
      </c>
      <c r="Y1449" t="e">
        <f>IF(X1449&lt;&gt;"",VLOOKUP(X1449,game_rosters!$C$43:$E$64,3,FALSE))</f>
        <v>#N/A</v>
      </c>
      <c r="Z1449" cm="1">
        <f t="array" ref="Z1449">IFERROR(IF(_xlfn._xlws.FILTER(game_rosters!$J:$J,(game_rosters!$G:$G=events!$AN1449)*(game_rosters!$J:$J=events!$X1449))&gt;0,1,""),"")</f>
        <v>1</v>
      </c>
      <c r="AA1449">
        <f t="shared" si="1273"/>
        <v>1775</v>
      </c>
      <c r="AB1449" t="str">
        <f t="shared" si="1274"/>
        <v/>
      </c>
      <c r="AC1449">
        <f t="shared" si="1222"/>
        <v>1775</v>
      </c>
      <c r="AD1449" s="6">
        <v>2</v>
      </c>
      <c r="AE1449" t="s">
        <v>940</v>
      </c>
      <c r="AF1449" t="s">
        <v>733</v>
      </c>
      <c r="AG1449" t="s">
        <v>756</v>
      </c>
      <c r="AH1449" t="s">
        <v>756</v>
      </c>
      <c r="AI1449" t="s">
        <v>367</v>
      </c>
      <c r="AJ1449" t="str">
        <f t="shared" ref="AJ1449:AK1449" si="1287">IF($J1449&lt;&gt;"",$J1449,IF($AC1449=$AC1448,AJ1448,""))</f>
        <v/>
      </c>
      <c r="AK1449" t="str">
        <f t="shared" si="1287"/>
        <v/>
      </c>
      <c r="AL1449" t="str">
        <f t="shared" si="1227"/>
        <v/>
      </c>
      <c r="AN1449" t="s">
        <v>862</v>
      </c>
      <c r="AO1449" t="str">
        <f t="shared" si="1228"/>
        <v>a</v>
      </c>
      <c r="AP1449" t="str">
        <f t="shared" si="1236"/>
        <v/>
      </c>
      <c r="AQ1449" t="str">
        <f t="shared" si="1237"/>
        <v/>
      </c>
      <c r="AR1449" t="str">
        <f t="shared" si="1238"/>
        <v>Away</v>
      </c>
      <c r="AS1449" t="str">
        <f t="shared" si="1239"/>
        <v>a</v>
      </c>
      <c r="AT1449" t="str">
        <f t="shared" si="1240"/>
        <v>Offensive</v>
      </c>
      <c r="BA1449" s="6">
        <f t="shared" si="1229"/>
        <v>328</v>
      </c>
      <c r="BB1449">
        <f t="shared" si="1230"/>
        <v>18981</v>
      </c>
      <c r="BC1449" t="str">
        <f t="shared" si="1231"/>
        <v>Nelson</v>
      </c>
      <c r="BD1449" t="str">
        <f t="shared" si="1232"/>
        <v>Velodrome</v>
      </c>
      <c r="BE1449" t="s">
        <v>9</v>
      </c>
      <c r="BF1449" t="s">
        <v>173</v>
      </c>
      <c r="BG1449" t="s">
        <v>75</v>
      </c>
      <c r="BI1449" cm="1">
        <f t="array" ref="BI1449">IFERROR(_xlfn._xlws.FILTER(shifts!A:A,(shifts!B:B=events!AD1449)*(shifts!AG:AG&gt;=events!BK1449)*(shifts!AH:AH&lt;=events!BL1449)),BI1448)</f>
        <v>63</v>
      </c>
      <c r="BJ1449" s="15">
        <f t="shared" si="1233"/>
        <v>0</v>
      </c>
      <c r="BK1449">
        <f t="shared" si="1241"/>
        <v>236</v>
      </c>
      <c r="BL1449">
        <f t="shared" si="1242"/>
        <v>236</v>
      </c>
      <c r="BM1449" s="15">
        <f>SUMIFS(BJ$2:BJ1449,K$2:K1449,"=Intermission")+SUMIFS(BJ$2:BJ1449,K$2:K1449,"=Timeout")</f>
        <v>72</v>
      </c>
      <c r="BN1449">
        <f t="shared" si="1243"/>
        <v>1152</v>
      </c>
      <c r="BO1449" s="19">
        <f t="shared" si="1244"/>
        <v>1996</v>
      </c>
      <c r="BP1449">
        <f t="shared" si="1245"/>
        <v>1991</v>
      </c>
      <c r="BQ1449" s="17">
        <f t="shared" si="1246"/>
        <v>1996</v>
      </c>
      <c r="BR1449" t="str">
        <f t="shared" si="1247"/>
        <v>event_team_player_1</v>
      </c>
      <c r="BS1449">
        <f>COUNTIFS(S$3:S1449,"="&amp;S1449,AI$3:AI1449,"="&amp;AI1449)</f>
        <v>1</v>
      </c>
      <c r="BT1449" t="str">
        <f>IFERROR(VLOOKUP(BB1449&amp;BU1449&amp;X1449,game_rosters!U:W,3,FALSE),"")</f>
        <v>P100002</v>
      </c>
      <c r="BU1449" t="str">
        <f t="shared" si="1248"/>
        <v>Velodrome</v>
      </c>
    </row>
    <row r="1450" spans="1:73" x14ac:dyDescent="0.2">
      <c r="A1450">
        <f t="shared" si="1234"/>
        <v>1</v>
      </c>
      <c r="J1450" s="44" t="str">
        <f t="shared" si="1249"/>
        <v>d</v>
      </c>
      <c r="K1450" t="s">
        <v>238</v>
      </c>
      <c r="L1450" t="s">
        <v>184</v>
      </c>
      <c r="M1450" t="s">
        <v>88</v>
      </c>
      <c r="S1450">
        <v>776</v>
      </c>
      <c r="W1450" t="str">
        <f t="shared" si="1225"/>
        <v>h</v>
      </c>
      <c r="X1450">
        <v>16</v>
      </c>
      <c r="Y1450" t="b">
        <f>IF(X1450&lt;&gt;"",VLOOKUP(X1450,game_rosters!$C$43:$E$64,3,FALSE))</f>
        <v>0</v>
      </c>
      <c r="Z1450" cm="1">
        <f t="array" ref="Z1450">IFERROR(IF(_xlfn._xlws.FILTER(game_rosters!$J:$J,(game_rosters!$G:$G=events!$AN1450)*(game_rosters!$J:$J=events!$X1450))&gt;0,1,""),"")</f>
        <v>1</v>
      </c>
      <c r="AA1450">
        <f t="shared" si="1273"/>
        <v>1776</v>
      </c>
      <c r="AB1450" t="str">
        <f t="shared" si="1274"/>
        <v/>
      </c>
      <c r="AC1450">
        <f t="shared" si="1222"/>
        <v>1776</v>
      </c>
      <c r="AD1450" s="6">
        <v>2</v>
      </c>
      <c r="AE1450" t="s">
        <v>940</v>
      </c>
      <c r="AF1450" t="s">
        <v>921</v>
      </c>
      <c r="AG1450" t="s">
        <v>940</v>
      </c>
      <c r="AH1450" t="s">
        <v>897</v>
      </c>
      <c r="AI1450" t="s">
        <v>367</v>
      </c>
      <c r="AJ1450" t="str">
        <f t="shared" ref="AJ1450:AK1450" si="1288">IF($J1450&lt;&gt;"",$J1450,IF($AC1450=$AC1449,AJ1449,""))</f>
        <v>d</v>
      </c>
      <c r="AK1450" t="str">
        <f t="shared" si="1288"/>
        <v>d</v>
      </c>
      <c r="AL1450" t="str">
        <f t="shared" si="1227"/>
        <v>d</v>
      </c>
      <c r="AN1450" t="s">
        <v>861</v>
      </c>
      <c r="AO1450" t="str">
        <f t="shared" si="1228"/>
        <v>h</v>
      </c>
      <c r="AP1450" t="str">
        <f t="shared" si="1236"/>
        <v>d</v>
      </c>
      <c r="AQ1450" t="str">
        <f t="shared" si="1237"/>
        <v/>
      </c>
      <c r="AR1450" t="str">
        <f t="shared" si="1238"/>
        <v>Home</v>
      </c>
      <c r="AS1450" t="str">
        <f t="shared" si="1239"/>
        <v>h</v>
      </c>
      <c r="AT1450" t="str">
        <f t="shared" si="1240"/>
        <v>Offensive</v>
      </c>
      <c r="BA1450" s="6">
        <f t="shared" si="1229"/>
        <v>329</v>
      </c>
      <c r="BB1450">
        <f t="shared" si="1230"/>
        <v>18981</v>
      </c>
      <c r="BC1450" t="str">
        <f t="shared" si="1231"/>
        <v>Nelson</v>
      </c>
      <c r="BD1450" t="str">
        <f t="shared" si="1232"/>
        <v>Velodrome</v>
      </c>
      <c r="BE1450" t="s">
        <v>238</v>
      </c>
      <c r="BF1450" t="s">
        <v>184</v>
      </c>
      <c r="BG1450" t="s">
        <v>88</v>
      </c>
      <c r="BI1450" cm="1">
        <f t="array" ref="BI1450">IFERROR(_xlfn._xlws.FILTER(shifts!A:A,(shifts!B:B=events!AD1450)*(shifts!AG:AG&gt;=events!BK1450)*(shifts!AH:AH&lt;=events!BL1450)),BI1449)</f>
        <v>63</v>
      </c>
      <c r="BJ1450" s="15">
        <f t="shared" si="1233"/>
        <v>1</v>
      </c>
      <c r="BK1450">
        <f t="shared" si="1241"/>
        <v>233</v>
      </c>
      <c r="BL1450">
        <f t="shared" si="1242"/>
        <v>232</v>
      </c>
      <c r="BM1450" s="15">
        <f>SUMIFS(BJ$2:BJ1450,K$2:K1450,"=Intermission")+SUMIFS(BJ$2:BJ1450,K$2:K1450,"=Timeout")</f>
        <v>72</v>
      </c>
      <c r="BN1450">
        <f t="shared" si="1243"/>
        <v>1152</v>
      </c>
      <c r="BO1450" s="19">
        <f t="shared" si="1244"/>
        <v>1999</v>
      </c>
      <c r="BP1450">
        <f t="shared" si="1245"/>
        <v>1994</v>
      </c>
      <c r="BQ1450" s="17">
        <f t="shared" si="1246"/>
        <v>2000</v>
      </c>
      <c r="BR1450" t="str">
        <f t="shared" si="1247"/>
        <v>event_team_player_1</v>
      </c>
      <c r="BS1450">
        <f>COUNTIFS(S$3:S1450,"="&amp;S1450,AI$3:AI1450,"="&amp;AI1450)</f>
        <v>1</v>
      </c>
      <c r="BT1450" t="str">
        <f>IFERROR(VLOOKUP(BB1450&amp;BU1450&amp;X1450,game_rosters!U:W,3,FALSE),"")</f>
        <v>P100164</v>
      </c>
      <c r="BU1450" t="str">
        <f t="shared" si="1248"/>
        <v>Nelson</v>
      </c>
    </row>
    <row r="1451" spans="1:73" x14ac:dyDescent="0.2">
      <c r="A1451">
        <f t="shared" si="1234"/>
        <v>1</v>
      </c>
      <c r="J1451" s="44" t="str">
        <f t="shared" si="1249"/>
        <v>d</v>
      </c>
      <c r="K1451" t="s">
        <v>238</v>
      </c>
      <c r="L1451" t="s">
        <v>184</v>
      </c>
      <c r="M1451" t="s">
        <v>88</v>
      </c>
      <c r="S1451">
        <v>776</v>
      </c>
      <c r="W1451" t="str">
        <f t="shared" si="1225"/>
        <v>h</v>
      </c>
      <c r="X1451">
        <v>24</v>
      </c>
      <c r="Y1451" t="e">
        <f>IF(X1451&lt;&gt;"",VLOOKUP(X1451,game_rosters!$C$43:$E$64,3,FALSE))</f>
        <v>#N/A</v>
      </c>
      <c r="Z1451" t="str" cm="1">
        <f t="array" ref="Z1451">IFERROR(IF(_xlfn._xlws.FILTER(game_rosters!$J:$J,(game_rosters!$G:$G=events!$AN1451)*(game_rosters!$J:$J=events!$X1451))&gt;0,1,""),"")</f>
        <v/>
      </c>
      <c r="AA1451">
        <f t="shared" si="1273"/>
        <v>1776</v>
      </c>
      <c r="AB1451" t="str">
        <f t="shared" si="1274"/>
        <v/>
      </c>
      <c r="AC1451">
        <f t="shared" si="1222"/>
        <v>1776</v>
      </c>
      <c r="AD1451" s="6">
        <v>2</v>
      </c>
      <c r="AE1451" t="s">
        <v>940</v>
      </c>
      <c r="AF1451" t="s">
        <v>921</v>
      </c>
      <c r="AG1451" t="s">
        <v>940</v>
      </c>
      <c r="AH1451" t="s">
        <v>897</v>
      </c>
      <c r="AI1451" t="s">
        <v>368</v>
      </c>
      <c r="AJ1451" t="str">
        <f t="shared" ref="AJ1451:AK1451" si="1289">IF($J1451&lt;&gt;"",$J1451,IF($AC1451=$AC1450,AJ1450,""))</f>
        <v>d</v>
      </c>
      <c r="AK1451" t="str">
        <f t="shared" si="1289"/>
        <v>d</v>
      </c>
      <c r="AL1451" t="str">
        <f t="shared" si="1227"/>
        <v>d</v>
      </c>
      <c r="AN1451" t="s">
        <v>861</v>
      </c>
      <c r="AO1451" t="str">
        <f t="shared" si="1228"/>
        <v>h</v>
      </c>
      <c r="AP1451" t="str">
        <f t="shared" si="1236"/>
        <v>d</v>
      </c>
      <c r="AQ1451" t="str">
        <f t="shared" si="1237"/>
        <v/>
      </c>
      <c r="AR1451" t="str">
        <f t="shared" si="1238"/>
        <v>Home</v>
      </c>
      <c r="AS1451" t="str">
        <f t="shared" si="1239"/>
        <v>h</v>
      </c>
      <c r="AT1451" t="str">
        <f t="shared" si="1240"/>
        <v>Defensive</v>
      </c>
      <c r="BA1451" s="6">
        <f t="shared" si="1229"/>
        <v>330</v>
      </c>
      <c r="BB1451">
        <f t="shared" si="1230"/>
        <v>18981</v>
      </c>
      <c r="BC1451" t="str">
        <f t="shared" si="1231"/>
        <v>Nelson</v>
      </c>
      <c r="BD1451" t="str">
        <f t="shared" si="1232"/>
        <v>Velodrome</v>
      </c>
      <c r="BE1451" t="s">
        <v>238</v>
      </c>
      <c r="BF1451" t="s">
        <v>184</v>
      </c>
      <c r="BG1451" t="s">
        <v>88</v>
      </c>
      <c r="BI1451" cm="1">
        <f t="array" ref="BI1451">IFERROR(_xlfn._xlws.FILTER(shifts!A:A,(shifts!B:B=events!AD1451)*(shifts!AG:AG&gt;=events!BK1451)*(shifts!AH:AH&lt;=events!BL1451)),BI1450)</f>
        <v>63</v>
      </c>
      <c r="BJ1451" s="15">
        <f t="shared" si="1233"/>
        <v>1</v>
      </c>
      <c r="BK1451">
        <f t="shared" si="1241"/>
        <v>233</v>
      </c>
      <c r="BL1451">
        <f t="shared" si="1242"/>
        <v>232</v>
      </c>
      <c r="BM1451" s="15">
        <f>SUMIFS(BJ$2:BJ1451,K$2:K1451,"=Intermission")+SUMIFS(BJ$2:BJ1451,K$2:K1451,"=Timeout")</f>
        <v>72</v>
      </c>
      <c r="BN1451">
        <f t="shared" si="1243"/>
        <v>1152</v>
      </c>
      <c r="BO1451" s="19">
        <f t="shared" si="1244"/>
        <v>1999</v>
      </c>
      <c r="BP1451">
        <f t="shared" si="1245"/>
        <v>1994</v>
      </c>
      <c r="BQ1451" s="17">
        <f t="shared" si="1246"/>
        <v>2000</v>
      </c>
      <c r="BR1451" t="str">
        <f t="shared" si="1247"/>
        <v>opp_team_player_1</v>
      </c>
      <c r="BS1451">
        <f>COUNTIFS(S$3:S1451,"="&amp;S1451,AI$3:AI1451,"="&amp;AI1451)</f>
        <v>1</v>
      </c>
      <c r="BT1451" t="str">
        <f>IFERROR(VLOOKUP(BB1451&amp;BU1451&amp;X1451,game_rosters!U:W,3,FALSE),"")</f>
        <v>P100230</v>
      </c>
      <c r="BU1451" t="str">
        <f t="shared" si="1248"/>
        <v>Velodrome</v>
      </c>
    </row>
    <row r="1452" spans="1:73" x14ac:dyDescent="0.2">
      <c r="A1452">
        <f t="shared" si="1234"/>
        <v>1</v>
      </c>
      <c r="J1452" s="44" t="str">
        <f t="shared" si="1249"/>
        <v/>
      </c>
      <c r="K1452" t="s">
        <v>9</v>
      </c>
      <c r="L1452" t="s">
        <v>173</v>
      </c>
      <c r="M1452" t="s">
        <v>71</v>
      </c>
      <c r="S1452">
        <v>777</v>
      </c>
      <c r="W1452" t="str">
        <f t="shared" si="1225"/>
        <v>h</v>
      </c>
      <c r="X1452">
        <v>16</v>
      </c>
      <c r="Y1452" t="b">
        <f>IF(X1452&lt;&gt;"",VLOOKUP(X1452,game_rosters!$C$43:$E$64,3,FALSE))</f>
        <v>0</v>
      </c>
      <c r="Z1452" cm="1">
        <f t="array" ref="Z1452">IFERROR(IF(_xlfn._xlws.FILTER(game_rosters!$J:$J,(game_rosters!$G:$G=events!$AN1452)*(game_rosters!$J:$J=events!$X1452))&gt;0,1,""),"")</f>
        <v>1</v>
      </c>
      <c r="AA1452">
        <f t="shared" si="1273"/>
        <v>1777</v>
      </c>
      <c r="AB1452" t="str">
        <f t="shared" si="1274"/>
        <v/>
      </c>
      <c r="AC1452">
        <f t="shared" si="1222"/>
        <v>1777</v>
      </c>
      <c r="AD1452" s="6">
        <v>2</v>
      </c>
      <c r="AE1452" t="s">
        <v>940</v>
      </c>
      <c r="AF1452" t="s">
        <v>897</v>
      </c>
      <c r="AG1452" t="s">
        <v>756</v>
      </c>
      <c r="AH1452" t="s">
        <v>756</v>
      </c>
      <c r="AI1452" t="s">
        <v>367</v>
      </c>
      <c r="AJ1452" t="str">
        <f t="shared" ref="AJ1452:AK1452" si="1290">IF($J1452&lt;&gt;"",$J1452,IF($AC1452=$AC1451,AJ1451,""))</f>
        <v/>
      </c>
      <c r="AK1452" t="str">
        <f t="shared" si="1290"/>
        <v/>
      </c>
      <c r="AL1452" t="str">
        <f t="shared" si="1227"/>
        <v/>
      </c>
      <c r="AN1452" t="s">
        <v>861</v>
      </c>
      <c r="AO1452" t="str">
        <f t="shared" si="1228"/>
        <v>h</v>
      </c>
      <c r="AP1452" t="str">
        <f t="shared" si="1236"/>
        <v/>
      </c>
      <c r="AQ1452" t="str">
        <f t="shared" si="1237"/>
        <v/>
      </c>
      <c r="AR1452" t="str">
        <f t="shared" si="1238"/>
        <v>Home</v>
      </c>
      <c r="AS1452" t="str">
        <f t="shared" si="1239"/>
        <v>h</v>
      </c>
      <c r="AT1452" t="str">
        <f t="shared" si="1240"/>
        <v>Offensive</v>
      </c>
      <c r="BA1452" s="6">
        <f t="shared" si="1229"/>
        <v>330</v>
      </c>
      <c r="BB1452">
        <f t="shared" si="1230"/>
        <v>18981</v>
      </c>
      <c r="BC1452" t="str">
        <f t="shared" si="1231"/>
        <v>Nelson</v>
      </c>
      <c r="BD1452" t="str">
        <f t="shared" si="1232"/>
        <v>Velodrome</v>
      </c>
      <c r="BE1452" t="s">
        <v>9</v>
      </c>
      <c r="BF1452" t="s">
        <v>173</v>
      </c>
      <c r="BG1452" t="s">
        <v>71</v>
      </c>
      <c r="BI1452" cm="1">
        <f t="array" ref="BI1452">IFERROR(_xlfn._xlws.FILTER(shifts!A:A,(shifts!B:B=events!AD1452)*(shifts!AG:AG&gt;=events!BK1452)*(shifts!AH:AH&lt;=events!BL1452)),BI1451)</f>
        <v>63</v>
      </c>
      <c r="BJ1452" s="15">
        <f t="shared" si="1233"/>
        <v>0</v>
      </c>
      <c r="BK1452">
        <f t="shared" si="1241"/>
        <v>232</v>
      </c>
      <c r="BL1452">
        <f t="shared" si="1242"/>
        <v>232</v>
      </c>
      <c r="BM1452" s="15">
        <f>SUMIFS(BJ$2:BJ1452,K$2:K1452,"=Intermission")+SUMIFS(BJ$2:BJ1452,K$2:K1452,"=Timeout")</f>
        <v>72</v>
      </c>
      <c r="BN1452">
        <f t="shared" si="1243"/>
        <v>1152</v>
      </c>
      <c r="BO1452" s="19">
        <f t="shared" si="1244"/>
        <v>2000</v>
      </c>
      <c r="BP1452">
        <f t="shared" si="1245"/>
        <v>1995</v>
      </c>
      <c r="BQ1452" s="17">
        <f t="shared" si="1246"/>
        <v>2000</v>
      </c>
      <c r="BR1452" t="str">
        <f t="shared" si="1247"/>
        <v>event_team_player_1</v>
      </c>
      <c r="BS1452">
        <f>COUNTIFS(S$3:S1452,"="&amp;S1452,AI$3:AI1452,"="&amp;AI1452)</f>
        <v>1</v>
      </c>
      <c r="BT1452" t="str">
        <f>IFERROR(VLOOKUP(BB1452&amp;BU1452&amp;X1452,game_rosters!U:W,3,FALSE),"")</f>
        <v>P100164</v>
      </c>
      <c r="BU1452" t="str">
        <f t="shared" si="1248"/>
        <v>Nelson</v>
      </c>
    </row>
    <row r="1453" spans="1:73" x14ac:dyDescent="0.2">
      <c r="A1453">
        <f t="shared" si="1234"/>
        <v>1</v>
      </c>
      <c r="J1453" s="44" t="str">
        <f t="shared" si="1249"/>
        <v>o</v>
      </c>
      <c r="K1453" t="s">
        <v>238</v>
      </c>
      <c r="L1453" t="s">
        <v>174</v>
      </c>
      <c r="M1453" t="s">
        <v>87</v>
      </c>
      <c r="S1453">
        <v>778</v>
      </c>
      <c r="W1453" t="str">
        <f t="shared" si="1225"/>
        <v>a</v>
      </c>
      <c r="X1453">
        <v>24</v>
      </c>
      <c r="Y1453" t="e">
        <f>IF(X1453&lt;&gt;"",VLOOKUP(X1453,game_rosters!$C$43:$E$64,3,FALSE))</f>
        <v>#N/A</v>
      </c>
      <c r="Z1453" cm="1">
        <f t="array" ref="Z1453">IFERROR(IF(_xlfn._xlws.FILTER(game_rosters!$J:$J,(game_rosters!$G:$G=events!$AN1453)*(game_rosters!$J:$J=events!$X1453))&gt;0,1,""),"")</f>
        <v>1</v>
      </c>
      <c r="AA1453">
        <f t="shared" si="1273"/>
        <v>1778</v>
      </c>
      <c r="AB1453" t="str">
        <f t="shared" si="1274"/>
        <v/>
      </c>
      <c r="AC1453">
        <f t="shared" si="1222"/>
        <v>1778</v>
      </c>
      <c r="AD1453" s="6">
        <v>2</v>
      </c>
      <c r="AE1453" t="s">
        <v>940</v>
      </c>
      <c r="AF1453" t="s">
        <v>751</v>
      </c>
      <c r="AG1453" t="s">
        <v>756</v>
      </c>
      <c r="AH1453" t="s">
        <v>756</v>
      </c>
      <c r="AI1453" t="s">
        <v>367</v>
      </c>
      <c r="AJ1453" t="str">
        <f t="shared" ref="AJ1453:AK1453" si="1291">IF($J1453&lt;&gt;"",$J1453,IF($AC1453=$AC1452,AJ1452,""))</f>
        <v>o</v>
      </c>
      <c r="AK1453" t="str">
        <f t="shared" si="1291"/>
        <v>o</v>
      </c>
      <c r="AL1453" t="str">
        <f t="shared" si="1227"/>
        <v>d</v>
      </c>
      <c r="AN1453" t="s">
        <v>862</v>
      </c>
      <c r="AO1453" t="str">
        <f t="shared" si="1228"/>
        <v>a</v>
      </c>
      <c r="AP1453" t="str">
        <f t="shared" si="1236"/>
        <v>d</v>
      </c>
      <c r="AQ1453" t="str">
        <f t="shared" si="1237"/>
        <v/>
      </c>
      <c r="AR1453" t="str">
        <f t="shared" si="1238"/>
        <v>Away</v>
      </c>
      <c r="AS1453" t="str">
        <f t="shared" si="1239"/>
        <v>a</v>
      </c>
      <c r="AT1453" t="str">
        <f t="shared" si="1240"/>
        <v>Offensive</v>
      </c>
      <c r="BA1453" s="6">
        <f t="shared" si="1229"/>
        <v>331</v>
      </c>
      <c r="BB1453">
        <f t="shared" si="1230"/>
        <v>18981</v>
      </c>
      <c r="BC1453" t="str">
        <f t="shared" si="1231"/>
        <v>Nelson</v>
      </c>
      <c r="BD1453" t="str">
        <f t="shared" si="1232"/>
        <v>Velodrome</v>
      </c>
      <c r="BE1453" t="s">
        <v>238</v>
      </c>
      <c r="BF1453" t="s">
        <v>174</v>
      </c>
      <c r="BG1453" t="s">
        <v>87</v>
      </c>
      <c r="BI1453" cm="1">
        <f t="array" ref="BI1453">IFERROR(_xlfn._xlws.FILTER(shifts!A:A,(shifts!B:B=events!AD1453)*(shifts!AG:AG&gt;=events!BK1453)*(shifts!AH:AH&lt;=events!BL1453)),BI1452)</f>
        <v>63</v>
      </c>
      <c r="BJ1453" s="15">
        <f t="shared" si="1233"/>
        <v>0</v>
      </c>
      <c r="BK1453">
        <f t="shared" si="1241"/>
        <v>229</v>
      </c>
      <c r="BL1453">
        <f t="shared" si="1242"/>
        <v>229</v>
      </c>
      <c r="BM1453" s="15">
        <f>SUMIFS(BJ$2:BJ1453,K$2:K1453,"=Intermission")+SUMIFS(BJ$2:BJ1453,K$2:K1453,"=Timeout")</f>
        <v>72</v>
      </c>
      <c r="BN1453">
        <f t="shared" si="1243"/>
        <v>1152</v>
      </c>
      <c r="BO1453" s="19">
        <f t="shared" si="1244"/>
        <v>2003</v>
      </c>
      <c r="BP1453">
        <f t="shared" si="1245"/>
        <v>1998</v>
      </c>
      <c r="BQ1453" s="17">
        <f t="shared" si="1246"/>
        <v>2003</v>
      </c>
      <c r="BR1453" t="str">
        <f t="shared" si="1247"/>
        <v>event_team_player_1</v>
      </c>
      <c r="BS1453">
        <f>COUNTIFS(S$3:S1453,"="&amp;S1453,AI$3:AI1453,"="&amp;AI1453)</f>
        <v>1</v>
      </c>
      <c r="BT1453" t="str">
        <f>IFERROR(VLOOKUP(BB1453&amp;BU1453&amp;X1453,game_rosters!U:W,3,FALSE),"")</f>
        <v>P100230</v>
      </c>
      <c r="BU1453" t="str">
        <f t="shared" si="1248"/>
        <v>Velodrome</v>
      </c>
    </row>
    <row r="1454" spans="1:73" x14ac:dyDescent="0.2">
      <c r="A1454">
        <f t="shared" si="1234"/>
        <v>1</v>
      </c>
      <c r="J1454" s="44" t="str">
        <f t="shared" si="1249"/>
        <v/>
      </c>
      <c r="K1454" t="s">
        <v>9</v>
      </c>
      <c r="L1454" t="s">
        <v>173</v>
      </c>
      <c r="M1454" t="s">
        <v>354</v>
      </c>
      <c r="S1454">
        <v>779</v>
      </c>
      <c r="W1454" t="str">
        <f t="shared" si="1225"/>
        <v>a</v>
      </c>
      <c r="X1454">
        <v>24</v>
      </c>
      <c r="Y1454" t="e">
        <f>IF(X1454&lt;&gt;"",VLOOKUP(X1454,game_rosters!$C$43:$E$64,3,FALSE))</f>
        <v>#N/A</v>
      </c>
      <c r="Z1454" cm="1">
        <f t="array" ref="Z1454">IFERROR(IF(_xlfn._xlws.FILTER(game_rosters!$J:$J,(game_rosters!$G:$G=events!$AN1454)*(game_rosters!$J:$J=events!$X1454))&gt;0,1,""),"")</f>
        <v>1</v>
      </c>
      <c r="AA1454">
        <f t="shared" si="1273"/>
        <v>1779</v>
      </c>
      <c r="AB1454" t="str">
        <f t="shared" si="1274"/>
        <v/>
      </c>
      <c r="AC1454">
        <f t="shared" si="1222"/>
        <v>1779</v>
      </c>
      <c r="AD1454" s="6">
        <v>2</v>
      </c>
      <c r="AE1454" t="s">
        <v>940</v>
      </c>
      <c r="AF1454" t="s">
        <v>751</v>
      </c>
      <c r="AG1454" t="s">
        <v>756</v>
      </c>
      <c r="AH1454" t="s">
        <v>756</v>
      </c>
      <c r="AI1454" t="s">
        <v>367</v>
      </c>
      <c r="AJ1454" t="str">
        <f t="shared" ref="AJ1454:AK1454" si="1292">IF($J1454&lt;&gt;"",$J1454,IF($AC1454=$AC1453,AJ1453,""))</f>
        <v/>
      </c>
      <c r="AK1454" t="str">
        <f t="shared" si="1292"/>
        <v/>
      </c>
      <c r="AL1454" t="str">
        <f t="shared" si="1227"/>
        <v/>
      </c>
      <c r="AN1454" t="s">
        <v>862</v>
      </c>
      <c r="AO1454" t="str">
        <f t="shared" si="1228"/>
        <v>a</v>
      </c>
      <c r="AP1454" t="str">
        <f t="shared" si="1236"/>
        <v/>
      </c>
      <c r="AQ1454" t="str">
        <f t="shared" si="1237"/>
        <v/>
      </c>
      <c r="AR1454" t="str">
        <f t="shared" si="1238"/>
        <v>Away</v>
      </c>
      <c r="AS1454" t="str">
        <f t="shared" si="1239"/>
        <v>a</v>
      </c>
      <c r="AT1454" t="str">
        <f t="shared" si="1240"/>
        <v>Offensive</v>
      </c>
      <c r="BA1454" s="6">
        <f t="shared" si="1229"/>
        <v>331</v>
      </c>
      <c r="BB1454">
        <f t="shared" si="1230"/>
        <v>18981</v>
      </c>
      <c r="BC1454" t="str">
        <f t="shared" si="1231"/>
        <v>Nelson</v>
      </c>
      <c r="BD1454" t="str">
        <f t="shared" si="1232"/>
        <v>Velodrome</v>
      </c>
      <c r="BE1454" t="s">
        <v>9</v>
      </c>
      <c r="BF1454" t="s">
        <v>173</v>
      </c>
      <c r="BG1454" t="s">
        <v>354</v>
      </c>
      <c r="BI1454" cm="1">
        <f t="array" ref="BI1454">IFERROR(_xlfn._xlws.FILTER(shifts!A:A,(shifts!B:B=events!AD1454)*(shifts!AG:AG&gt;=events!BK1454)*(shifts!AH:AH&lt;=events!BL1454)),BI1453)</f>
        <v>63</v>
      </c>
      <c r="BJ1454" s="15">
        <f t="shared" si="1233"/>
        <v>0</v>
      </c>
      <c r="BK1454">
        <f t="shared" si="1241"/>
        <v>229</v>
      </c>
      <c r="BL1454">
        <f t="shared" si="1242"/>
        <v>229</v>
      </c>
      <c r="BM1454" s="15">
        <f>SUMIFS(BJ$2:BJ1454,K$2:K1454,"=Intermission")+SUMIFS(BJ$2:BJ1454,K$2:K1454,"=Timeout")</f>
        <v>72</v>
      </c>
      <c r="BN1454">
        <f t="shared" si="1243"/>
        <v>1152</v>
      </c>
      <c r="BO1454" s="19">
        <f t="shared" si="1244"/>
        <v>2003</v>
      </c>
      <c r="BP1454">
        <f t="shared" si="1245"/>
        <v>1998</v>
      </c>
      <c r="BQ1454" s="17">
        <f t="shared" si="1246"/>
        <v>2003</v>
      </c>
      <c r="BR1454" t="str">
        <f t="shared" si="1247"/>
        <v>event_team_player_1</v>
      </c>
      <c r="BS1454">
        <f>COUNTIFS(S$3:S1454,"="&amp;S1454,AI$3:AI1454,"="&amp;AI1454)</f>
        <v>1</v>
      </c>
      <c r="BT1454" t="str">
        <f>IFERROR(VLOOKUP(BB1454&amp;BU1454&amp;X1454,game_rosters!U:W,3,FALSE),"")</f>
        <v>P100230</v>
      </c>
      <c r="BU1454" t="str">
        <f t="shared" si="1248"/>
        <v>Velodrome</v>
      </c>
    </row>
    <row r="1455" spans="1:73" x14ac:dyDescent="0.2">
      <c r="A1455">
        <f t="shared" si="1234"/>
        <v>1</v>
      </c>
      <c r="J1455" s="44" t="str">
        <f t="shared" si="1249"/>
        <v>d</v>
      </c>
      <c r="K1455" t="s">
        <v>238</v>
      </c>
      <c r="L1455" t="s">
        <v>184</v>
      </c>
      <c r="M1455" t="s">
        <v>88</v>
      </c>
      <c r="S1455">
        <v>780</v>
      </c>
      <c r="W1455" t="str">
        <f t="shared" si="1225"/>
        <v>h</v>
      </c>
      <c r="X1455">
        <v>37</v>
      </c>
      <c r="Y1455" t="b">
        <f>IF(X1455&lt;&gt;"",VLOOKUP(X1455,game_rosters!$C$43:$E$64,3,FALSE))</f>
        <v>0</v>
      </c>
      <c r="Z1455" cm="1">
        <f t="array" ref="Z1455">IFERROR(IF(_xlfn._xlws.FILTER(game_rosters!$J:$J,(game_rosters!$G:$G=events!$AN1455)*(game_rosters!$J:$J=events!$X1455))&gt;0,1,""),"")</f>
        <v>1</v>
      </c>
      <c r="AA1455">
        <f t="shared" si="1273"/>
        <v>1780</v>
      </c>
      <c r="AB1455" t="str">
        <f t="shared" si="1274"/>
        <v/>
      </c>
      <c r="AC1455">
        <f t="shared" si="1222"/>
        <v>1780</v>
      </c>
      <c r="AD1455" s="6">
        <v>2</v>
      </c>
      <c r="AE1455" t="s">
        <v>940</v>
      </c>
      <c r="AF1455" t="s">
        <v>751</v>
      </c>
      <c r="AG1455" t="s">
        <v>940</v>
      </c>
      <c r="AH1455" t="s">
        <v>900</v>
      </c>
      <c r="AI1455" t="s">
        <v>367</v>
      </c>
      <c r="AJ1455" t="str">
        <f t="shared" ref="AJ1455:AK1455" si="1293">IF($J1455&lt;&gt;"",$J1455,IF($AC1455=$AC1454,AJ1454,""))</f>
        <v>d</v>
      </c>
      <c r="AK1455" t="str">
        <f t="shared" si="1293"/>
        <v>d</v>
      </c>
      <c r="AL1455" t="str">
        <f t="shared" si="1227"/>
        <v>d</v>
      </c>
      <c r="AN1455" t="s">
        <v>861</v>
      </c>
      <c r="AO1455" t="str">
        <f t="shared" si="1228"/>
        <v>h</v>
      </c>
      <c r="AP1455" t="str">
        <f t="shared" si="1236"/>
        <v>d</v>
      </c>
      <c r="AQ1455" t="str">
        <f t="shared" si="1237"/>
        <v/>
      </c>
      <c r="AR1455" t="str">
        <f t="shared" si="1238"/>
        <v>Home</v>
      </c>
      <c r="AS1455" t="str">
        <f t="shared" si="1239"/>
        <v>h</v>
      </c>
      <c r="AT1455" t="str">
        <f t="shared" si="1240"/>
        <v>Offensive</v>
      </c>
      <c r="BA1455" s="6">
        <f t="shared" si="1229"/>
        <v>332</v>
      </c>
      <c r="BB1455">
        <f t="shared" si="1230"/>
        <v>18981</v>
      </c>
      <c r="BC1455" t="str">
        <f t="shared" si="1231"/>
        <v>Nelson</v>
      </c>
      <c r="BD1455" t="str">
        <f t="shared" si="1232"/>
        <v>Velodrome</v>
      </c>
      <c r="BE1455" t="s">
        <v>238</v>
      </c>
      <c r="BF1455" t="s">
        <v>184</v>
      </c>
      <c r="BG1455" t="s">
        <v>88</v>
      </c>
      <c r="BI1455" cm="1">
        <f t="array" ref="BI1455">IFERROR(_xlfn._xlws.FILTER(shifts!A:A,(shifts!B:B=events!AD1455)*(shifts!AG:AG&gt;=events!BK1455)*(shifts!AH:AH&lt;=events!BL1455)),BI1454)</f>
        <v>63</v>
      </c>
      <c r="BJ1455" s="15">
        <f t="shared" si="1233"/>
        <v>2</v>
      </c>
      <c r="BK1455">
        <f t="shared" si="1241"/>
        <v>229</v>
      </c>
      <c r="BL1455">
        <f t="shared" si="1242"/>
        <v>227</v>
      </c>
      <c r="BM1455" s="15">
        <f>SUMIFS(BJ$2:BJ1455,K$2:K1455,"=Intermission")+SUMIFS(BJ$2:BJ1455,K$2:K1455,"=Timeout")</f>
        <v>72</v>
      </c>
      <c r="BN1455">
        <f t="shared" si="1243"/>
        <v>1152</v>
      </c>
      <c r="BO1455" s="19">
        <f t="shared" si="1244"/>
        <v>2003</v>
      </c>
      <c r="BP1455">
        <f t="shared" si="1245"/>
        <v>1998</v>
      </c>
      <c r="BQ1455" s="17">
        <f t="shared" si="1246"/>
        <v>2005</v>
      </c>
      <c r="BR1455" t="str">
        <f t="shared" si="1247"/>
        <v>event_team_player_1</v>
      </c>
      <c r="BS1455">
        <f>COUNTIFS(S$3:S1455,"="&amp;S1455,AI$3:AI1455,"="&amp;AI1455)</f>
        <v>1</v>
      </c>
      <c r="BT1455" t="str">
        <f>IFERROR(VLOOKUP(BB1455&amp;BU1455&amp;X1455,game_rosters!U:W,3,FALSE),"")</f>
        <v>P100119</v>
      </c>
      <c r="BU1455" t="str">
        <f t="shared" si="1248"/>
        <v>Nelson</v>
      </c>
    </row>
    <row r="1456" spans="1:73" x14ac:dyDescent="0.2">
      <c r="A1456">
        <f t="shared" si="1234"/>
        <v>1</v>
      </c>
      <c r="J1456" s="44" t="str">
        <f t="shared" si="1249"/>
        <v/>
      </c>
      <c r="K1456" t="s">
        <v>13</v>
      </c>
      <c r="L1456" t="s">
        <v>756</v>
      </c>
      <c r="M1456" t="s">
        <v>756</v>
      </c>
      <c r="S1456">
        <v>781</v>
      </c>
      <c r="W1456" t="str">
        <f t="shared" si="1225"/>
        <v>h</v>
      </c>
      <c r="X1456">
        <v>37</v>
      </c>
      <c r="Y1456" t="b">
        <f>IF(X1456&lt;&gt;"",VLOOKUP(X1456,game_rosters!$C$43:$E$64,3,FALSE))</f>
        <v>0</v>
      </c>
      <c r="Z1456" cm="1">
        <f t="array" ref="Z1456">IFERROR(IF(_xlfn._xlws.FILTER(game_rosters!$J:$J,(game_rosters!$G:$G=events!$AN1456)*(game_rosters!$J:$J=events!$X1456))&gt;0,1,""),"")</f>
        <v>1</v>
      </c>
      <c r="AA1456">
        <f t="shared" si="1273"/>
        <v>1781</v>
      </c>
      <c r="AB1456" t="str">
        <f t="shared" si="1274"/>
        <v/>
      </c>
      <c r="AC1456">
        <f t="shared" si="1222"/>
        <v>1781</v>
      </c>
      <c r="AD1456" s="6">
        <v>2</v>
      </c>
      <c r="AE1456" t="s">
        <v>940</v>
      </c>
      <c r="AF1456" t="s">
        <v>900</v>
      </c>
      <c r="AG1456" t="s">
        <v>940</v>
      </c>
      <c r="AH1456" t="s">
        <v>935</v>
      </c>
      <c r="AI1456" t="s">
        <v>367</v>
      </c>
      <c r="AJ1456" t="str">
        <f t="shared" ref="AJ1456:AK1456" si="1294">IF($J1456&lt;&gt;"",$J1456,IF($AC1456=$AC1455,AJ1455,""))</f>
        <v/>
      </c>
      <c r="AK1456" t="str">
        <f t="shared" si="1294"/>
        <v/>
      </c>
      <c r="AL1456" t="str">
        <f t="shared" si="1227"/>
        <v/>
      </c>
      <c r="AN1456" t="s">
        <v>861</v>
      </c>
      <c r="AO1456" t="str">
        <f t="shared" si="1228"/>
        <v>h</v>
      </c>
      <c r="AP1456" t="str">
        <f t="shared" si="1236"/>
        <v/>
      </c>
      <c r="AQ1456" t="str">
        <f t="shared" si="1237"/>
        <v/>
      </c>
      <c r="AR1456" t="str">
        <f t="shared" si="1238"/>
        <v>Home</v>
      </c>
      <c r="AS1456" t="str">
        <f t="shared" si="1239"/>
        <v>h</v>
      </c>
      <c r="AT1456" t="str">
        <f t="shared" si="1240"/>
        <v>Offensive</v>
      </c>
      <c r="BA1456" s="6">
        <f t="shared" si="1229"/>
        <v>332</v>
      </c>
      <c r="BB1456">
        <f t="shared" si="1230"/>
        <v>18981</v>
      </c>
      <c r="BC1456" t="str">
        <f t="shared" si="1231"/>
        <v>Nelson</v>
      </c>
      <c r="BD1456" t="str">
        <f t="shared" si="1232"/>
        <v>Velodrome</v>
      </c>
      <c r="BE1456" t="s">
        <v>13</v>
      </c>
      <c r="BF1456" t="s">
        <v>756</v>
      </c>
      <c r="BG1456" t="s">
        <v>756</v>
      </c>
      <c r="BI1456" cm="1">
        <f t="array" ref="BI1456">IFERROR(_xlfn._xlws.FILTER(shifts!A:A,(shifts!B:B=events!AD1456)*(shifts!AG:AG&gt;=events!BK1456)*(shifts!AH:AH&lt;=events!BL1456)),BI1455)</f>
        <v>63</v>
      </c>
      <c r="BJ1456" s="15">
        <f t="shared" si="1233"/>
        <v>2</v>
      </c>
      <c r="BK1456">
        <f t="shared" si="1241"/>
        <v>227</v>
      </c>
      <c r="BL1456">
        <f t="shared" si="1242"/>
        <v>225</v>
      </c>
      <c r="BM1456" s="15">
        <f>SUMIFS(BJ$2:BJ1456,K$2:K1456,"=Intermission")+SUMIFS(BJ$2:BJ1456,K$2:K1456,"=Timeout")</f>
        <v>72</v>
      </c>
      <c r="BN1456">
        <f t="shared" si="1243"/>
        <v>1152</v>
      </c>
      <c r="BO1456" s="19">
        <f t="shared" si="1244"/>
        <v>2005</v>
      </c>
      <c r="BP1456">
        <f t="shared" si="1245"/>
        <v>2000</v>
      </c>
      <c r="BQ1456" s="17">
        <f t="shared" si="1246"/>
        <v>2007</v>
      </c>
      <c r="BR1456" t="str">
        <f t="shared" si="1247"/>
        <v>event_team_player_1</v>
      </c>
      <c r="BS1456">
        <f>COUNTIFS(S$3:S1456,"="&amp;S1456,AI$3:AI1456,"="&amp;AI1456)</f>
        <v>1</v>
      </c>
      <c r="BT1456" t="str">
        <f>IFERROR(VLOOKUP(BB1456&amp;BU1456&amp;X1456,game_rosters!U:W,3,FALSE),"")</f>
        <v>P100119</v>
      </c>
      <c r="BU1456" t="str">
        <f t="shared" si="1248"/>
        <v>Nelson</v>
      </c>
    </row>
    <row r="1457" spans="1:73" x14ac:dyDescent="0.2">
      <c r="A1457">
        <f t="shared" si="1234"/>
        <v>1</v>
      </c>
      <c r="J1457" s="44" t="str">
        <f t="shared" si="1249"/>
        <v/>
      </c>
      <c r="K1457" t="s">
        <v>7</v>
      </c>
      <c r="L1457" t="s">
        <v>192</v>
      </c>
      <c r="M1457" t="s">
        <v>381</v>
      </c>
      <c r="S1457">
        <v>782</v>
      </c>
      <c r="W1457" t="str">
        <f t="shared" si="1225"/>
        <v>h</v>
      </c>
      <c r="X1457">
        <v>37</v>
      </c>
      <c r="Y1457" t="b">
        <f>IF(X1457&lt;&gt;"",VLOOKUP(X1457,game_rosters!$C$43:$E$64,3,FALSE))</f>
        <v>0</v>
      </c>
      <c r="Z1457" cm="1">
        <f t="array" ref="Z1457">IFERROR(IF(_xlfn._xlws.FILTER(game_rosters!$J:$J,(game_rosters!$G:$G=events!$AN1457)*(game_rosters!$J:$J=events!$X1457))&gt;0,1,""),"")</f>
        <v>1</v>
      </c>
      <c r="AA1457">
        <f t="shared" si="1273"/>
        <v>1782</v>
      </c>
      <c r="AB1457" t="str">
        <f t="shared" si="1274"/>
        <v/>
      </c>
      <c r="AC1457">
        <f t="shared" si="1222"/>
        <v>1782</v>
      </c>
      <c r="AD1457" s="6">
        <v>2</v>
      </c>
      <c r="AE1457" t="s">
        <v>940</v>
      </c>
      <c r="AF1457" t="s">
        <v>923</v>
      </c>
      <c r="AG1457" t="s">
        <v>756</v>
      </c>
      <c r="AH1457" t="s">
        <v>756</v>
      </c>
      <c r="AI1457" t="s">
        <v>367</v>
      </c>
      <c r="AJ1457" t="str">
        <f t="shared" ref="AJ1457:AK1457" si="1295">IF($J1457&lt;&gt;"",$J1457,IF($AC1457=$AC1456,AJ1456,""))</f>
        <v/>
      </c>
      <c r="AK1457" t="str">
        <f t="shared" si="1295"/>
        <v/>
      </c>
      <c r="AL1457" t="str">
        <f t="shared" si="1227"/>
        <v/>
      </c>
      <c r="AN1457" t="s">
        <v>861</v>
      </c>
      <c r="AO1457" t="str">
        <f t="shared" si="1228"/>
        <v>h</v>
      </c>
      <c r="AP1457" t="str">
        <f t="shared" si="1236"/>
        <v/>
      </c>
      <c r="AQ1457" t="str">
        <f t="shared" si="1237"/>
        <v/>
      </c>
      <c r="AR1457" t="str">
        <f t="shared" si="1238"/>
        <v>Home</v>
      </c>
      <c r="AS1457" t="str">
        <f t="shared" si="1239"/>
        <v>h</v>
      </c>
      <c r="AT1457" t="str">
        <f t="shared" si="1240"/>
        <v>Offensive</v>
      </c>
      <c r="BA1457" s="6">
        <f t="shared" si="1229"/>
        <v>332</v>
      </c>
      <c r="BB1457">
        <f t="shared" si="1230"/>
        <v>18981</v>
      </c>
      <c r="BC1457" t="str">
        <f t="shared" si="1231"/>
        <v>Nelson</v>
      </c>
      <c r="BD1457" t="str">
        <f t="shared" si="1232"/>
        <v>Velodrome</v>
      </c>
      <c r="BE1457" t="s">
        <v>7</v>
      </c>
      <c r="BF1457" t="s">
        <v>192</v>
      </c>
      <c r="BG1457" t="s">
        <v>381</v>
      </c>
      <c r="BI1457" cm="1">
        <f t="array" ref="BI1457">IFERROR(_xlfn._xlws.FILTER(shifts!A:A,(shifts!B:B=events!AD1457)*(shifts!AG:AG&gt;=events!BK1457)*(shifts!AH:AH&lt;=events!BL1457)),BI1456)</f>
        <v>63</v>
      </c>
      <c r="BJ1457" s="15">
        <f t="shared" si="1233"/>
        <v>0</v>
      </c>
      <c r="BK1457">
        <f t="shared" si="1241"/>
        <v>224</v>
      </c>
      <c r="BL1457">
        <f t="shared" si="1242"/>
        <v>224</v>
      </c>
      <c r="BM1457" s="15">
        <f>SUMIFS(BJ$2:BJ1457,K$2:K1457,"=Intermission")+SUMIFS(BJ$2:BJ1457,K$2:K1457,"=Timeout")</f>
        <v>72</v>
      </c>
      <c r="BN1457">
        <f t="shared" si="1243"/>
        <v>1152</v>
      </c>
      <c r="BO1457" s="19">
        <f t="shared" si="1244"/>
        <v>2008</v>
      </c>
      <c r="BP1457">
        <f t="shared" si="1245"/>
        <v>2003</v>
      </c>
      <c r="BQ1457" s="17">
        <f t="shared" si="1246"/>
        <v>2008</v>
      </c>
      <c r="BR1457" t="str">
        <f t="shared" si="1247"/>
        <v>event_team_player_1</v>
      </c>
      <c r="BS1457">
        <f>COUNTIFS(S$3:S1457,"="&amp;S1457,AI$3:AI1457,"="&amp;AI1457)</f>
        <v>1</v>
      </c>
      <c r="BT1457" t="str">
        <f>IFERROR(VLOOKUP(BB1457&amp;BU1457&amp;X1457,game_rosters!U:W,3,FALSE),"")</f>
        <v>P100119</v>
      </c>
      <c r="BU1457" t="str">
        <f t="shared" si="1248"/>
        <v>Nelson</v>
      </c>
    </row>
    <row r="1458" spans="1:73" x14ac:dyDescent="0.2">
      <c r="A1458">
        <f t="shared" si="1234"/>
        <v>1</v>
      </c>
      <c r="J1458" s="44" t="str">
        <f t="shared" si="1249"/>
        <v/>
      </c>
      <c r="K1458" t="s">
        <v>7</v>
      </c>
      <c r="L1458" t="s">
        <v>192</v>
      </c>
      <c r="M1458" t="s">
        <v>381</v>
      </c>
      <c r="S1458">
        <v>782</v>
      </c>
      <c r="W1458" t="str">
        <f t="shared" si="1225"/>
        <v>h</v>
      </c>
      <c r="X1458">
        <v>79</v>
      </c>
      <c r="Y1458" t="b">
        <f>IF(X1458&lt;&gt;"",VLOOKUP(X1458,game_rosters!$C$43:$E$64,3,FALSE))</f>
        <v>0</v>
      </c>
      <c r="Z1458" cm="1">
        <f t="array" ref="Z1458">IFERROR(IF(_xlfn._xlws.FILTER(game_rosters!$J:$J,(game_rosters!$G:$G=events!$AN1458)*(game_rosters!$J:$J=events!$X1458))&gt;0,1,""),"")</f>
        <v>1</v>
      </c>
      <c r="AA1458">
        <f t="shared" si="1273"/>
        <v>1782</v>
      </c>
      <c r="AB1458" t="str">
        <f t="shared" si="1274"/>
        <v/>
      </c>
      <c r="AC1458">
        <f t="shared" si="1222"/>
        <v>1782</v>
      </c>
      <c r="AD1458" s="6">
        <v>2</v>
      </c>
      <c r="AE1458" t="s">
        <v>940</v>
      </c>
      <c r="AF1458" t="s">
        <v>923</v>
      </c>
      <c r="AG1458" t="s">
        <v>756</v>
      </c>
      <c r="AH1458" t="s">
        <v>756</v>
      </c>
      <c r="AI1458" t="s">
        <v>367</v>
      </c>
      <c r="AJ1458" t="str">
        <f t="shared" ref="AJ1458:AK1458" si="1296">IF($J1458&lt;&gt;"",$J1458,IF($AC1458=$AC1457,AJ1457,""))</f>
        <v/>
      </c>
      <c r="AK1458" t="str">
        <f t="shared" si="1296"/>
        <v/>
      </c>
      <c r="AL1458" t="str">
        <f t="shared" si="1227"/>
        <v/>
      </c>
      <c r="AN1458" t="s">
        <v>861</v>
      </c>
      <c r="AO1458" t="str">
        <f t="shared" si="1228"/>
        <v>h</v>
      </c>
      <c r="AP1458" t="str">
        <f t="shared" si="1236"/>
        <v/>
      </c>
      <c r="AQ1458" t="str">
        <f t="shared" si="1237"/>
        <v/>
      </c>
      <c r="AR1458" t="str">
        <f t="shared" si="1238"/>
        <v>Home</v>
      </c>
      <c r="AS1458" t="str">
        <f t="shared" si="1239"/>
        <v>h</v>
      </c>
      <c r="AT1458" t="str">
        <f t="shared" si="1240"/>
        <v>Offensive</v>
      </c>
      <c r="BA1458" s="6">
        <f t="shared" si="1229"/>
        <v>332</v>
      </c>
      <c r="BB1458">
        <f t="shared" si="1230"/>
        <v>18981</v>
      </c>
      <c r="BC1458" t="str">
        <f t="shared" si="1231"/>
        <v>Nelson</v>
      </c>
      <c r="BD1458" t="str">
        <f t="shared" si="1232"/>
        <v>Velodrome</v>
      </c>
      <c r="BE1458" t="s">
        <v>7</v>
      </c>
      <c r="BF1458" t="s">
        <v>192</v>
      </c>
      <c r="BG1458" t="s">
        <v>381</v>
      </c>
      <c r="BI1458" cm="1">
        <f t="array" ref="BI1458">IFERROR(_xlfn._xlws.FILTER(shifts!A:A,(shifts!B:B=events!AD1458)*(shifts!AG:AG&gt;=events!BK1458)*(shifts!AH:AH&lt;=events!BL1458)),BI1457)</f>
        <v>63</v>
      </c>
      <c r="BJ1458" s="15">
        <f t="shared" si="1233"/>
        <v>0</v>
      </c>
      <c r="BK1458">
        <f t="shared" si="1241"/>
        <v>224</v>
      </c>
      <c r="BL1458">
        <f t="shared" si="1242"/>
        <v>224</v>
      </c>
      <c r="BM1458" s="15">
        <f>SUMIFS(BJ$2:BJ1458,K$2:K1458,"=Intermission")+SUMIFS(BJ$2:BJ1458,K$2:K1458,"=Timeout")</f>
        <v>72</v>
      </c>
      <c r="BN1458">
        <f t="shared" si="1243"/>
        <v>1152</v>
      </c>
      <c r="BO1458" s="19">
        <f t="shared" si="1244"/>
        <v>2008</v>
      </c>
      <c r="BP1458">
        <f t="shared" si="1245"/>
        <v>2003</v>
      </c>
      <c r="BQ1458" s="17">
        <f t="shared" si="1246"/>
        <v>2008</v>
      </c>
      <c r="BR1458" t="str">
        <f t="shared" si="1247"/>
        <v>event_team_player_2</v>
      </c>
      <c r="BS1458">
        <f>COUNTIFS(S$3:S1458,"="&amp;S1458,AI$3:AI1458,"="&amp;AI1458)</f>
        <v>2</v>
      </c>
      <c r="BT1458" t="str">
        <f>IFERROR(VLOOKUP(BB1458&amp;BU1458&amp;X1458,game_rosters!U:W,3,FALSE),"")</f>
        <v>P100066</v>
      </c>
      <c r="BU1458" t="str">
        <f t="shared" si="1248"/>
        <v>Nelson</v>
      </c>
    </row>
    <row r="1459" spans="1:73" x14ac:dyDescent="0.2">
      <c r="A1459">
        <f t="shared" si="1234"/>
        <v>1</v>
      </c>
      <c r="J1459" s="44" t="str">
        <f t="shared" si="1249"/>
        <v/>
      </c>
      <c r="K1459" t="s">
        <v>7</v>
      </c>
      <c r="L1459" t="s">
        <v>192</v>
      </c>
      <c r="M1459" t="s">
        <v>381</v>
      </c>
      <c r="S1459">
        <v>782</v>
      </c>
      <c r="W1459" t="str">
        <f t="shared" si="1225"/>
        <v>h</v>
      </c>
      <c r="X1459">
        <v>84</v>
      </c>
      <c r="Y1459" t="e">
        <f>IF(X1459&lt;&gt;"",VLOOKUP(X1459,game_rosters!$C$43:$E$64,3,FALSE))</f>
        <v>#N/A</v>
      </c>
      <c r="Z1459" t="str" cm="1">
        <f t="array" ref="Z1459">IFERROR(IF(_xlfn._xlws.FILTER(game_rosters!$J:$J,(game_rosters!$G:$G=events!$AN1459)*(game_rosters!$J:$J=events!$X1459))&gt;0,1,""),"")</f>
        <v/>
      </c>
      <c r="AA1459">
        <f t="shared" si="1273"/>
        <v>1782</v>
      </c>
      <c r="AB1459" t="str">
        <f t="shared" si="1274"/>
        <v/>
      </c>
      <c r="AC1459">
        <f t="shared" si="1222"/>
        <v>1782</v>
      </c>
      <c r="AD1459" s="6">
        <v>2</v>
      </c>
      <c r="AE1459" t="s">
        <v>940</v>
      </c>
      <c r="AF1459" t="s">
        <v>923</v>
      </c>
      <c r="AG1459" t="s">
        <v>756</v>
      </c>
      <c r="AH1459" t="s">
        <v>756</v>
      </c>
      <c r="AI1459" t="s">
        <v>368</v>
      </c>
      <c r="AJ1459" t="str">
        <f t="shared" ref="AJ1459:AK1459" si="1297">IF($J1459&lt;&gt;"",$J1459,IF($AC1459=$AC1458,AJ1458,""))</f>
        <v/>
      </c>
      <c r="AK1459" t="str">
        <f t="shared" si="1297"/>
        <v/>
      </c>
      <c r="AL1459" t="str">
        <f t="shared" si="1227"/>
        <v/>
      </c>
      <c r="AN1459" t="s">
        <v>861</v>
      </c>
      <c r="AO1459" t="str">
        <f t="shared" si="1228"/>
        <v>h</v>
      </c>
      <c r="AP1459" t="str">
        <f t="shared" si="1236"/>
        <v/>
      </c>
      <c r="AQ1459" t="str">
        <f t="shared" si="1237"/>
        <v/>
      </c>
      <c r="AR1459" t="str">
        <f t="shared" si="1238"/>
        <v>Home</v>
      </c>
      <c r="AS1459" t="str">
        <f t="shared" si="1239"/>
        <v>h</v>
      </c>
      <c r="AT1459" t="str">
        <f t="shared" si="1240"/>
        <v>Defensive</v>
      </c>
      <c r="BA1459" s="6">
        <f t="shared" si="1229"/>
        <v>332</v>
      </c>
      <c r="BB1459">
        <f t="shared" si="1230"/>
        <v>18981</v>
      </c>
      <c r="BC1459" t="str">
        <f t="shared" si="1231"/>
        <v>Nelson</v>
      </c>
      <c r="BD1459" t="str">
        <f t="shared" si="1232"/>
        <v>Velodrome</v>
      </c>
      <c r="BE1459" t="s">
        <v>7</v>
      </c>
      <c r="BF1459" t="s">
        <v>192</v>
      </c>
      <c r="BG1459" t="s">
        <v>381</v>
      </c>
      <c r="BI1459" cm="1">
        <f t="array" ref="BI1459">IFERROR(_xlfn._xlws.FILTER(shifts!A:A,(shifts!B:B=events!AD1459)*(shifts!AG:AG&gt;=events!BK1459)*(shifts!AH:AH&lt;=events!BL1459)),BI1458)</f>
        <v>63</v>
      </c>
      <c r="BJ1459" s="15">
        <f t="shared" si="1233"/>
        <v>0</v>
      </c>
      <c r="BK1459">
        <f t="shared" si="1241"/>
        <v>224</v>
      </c>
      <c r="BL1459">
        <f t="shared" si="1242"/>
        <v>224</v>
      </c>
      <c r="BM1459" s="15">
        <f>SUMIFS(BJ$2:BJ1459,K$2:K1459,"=Intermission")+SUMIFS(BJ$2:BJ1459,K$2:K1459,"=Timeout")</f>
        <v>72</v>
      </c>
      <c r="BN1459">
        <f t="shared" si="1243"/>
        <v>1152</v>
      </c>
      <c r="BO1459" s="19">
        <f t="shared" si="1244"/>
        <v>2008</v>
      </c>
      <c r="BP1459">
        <f t="shared" si="1245"/>
        <v>2003</v>
      </c>
      <c r="BQ1459" s="17">
        <f t="shared" si="1246"/>
        <v>2008</v>
      </c>
      <c r="BR1459" t="str">
        <f t="shared" si="1247"/>
        <v>opp_team_player_1</v>
      </c>
      <c r="BS1459">
        <f>COUNTIFS(S$3:S1459,"="&amp;S1459,AI$3:AI1459,"="&amp;AI1459)</f>
        <v>1</v>
      </c>
      <c r="BT1459" t="str">
        <f>IFERROR(VLOOKUP(BB1459&amp;BU1459&amp;X1459,game_rosters!U:W,3,FALSE),"")</f>
        <v>P100198</v>
      </c>
      <c r="BU1459" t="str">
        <f t="shared" si="1248"/>
        <v>Velodrome</v>
      </c>
    </row>
    <row r="1460" spans="1:73" x14ac:dyDescent="0.2">
      <c r="A1460">
        <f t="shared" si="1234"/>
        <v>1</v>
      </c>
      <c r="J1460" s="44" t="str">
        <f t="shared" si="1249"/>
        <v/>
      </c>
      <c r="K1460" t="s">
        <v>9</v>
      </c>
      <c r="L1460" t="s">
        <v>173</v>
      </c>
      <c r="M1460" t="s">
        <v>75</v>
      </c>
      <c r="S1460">
        <v>783</v>
      </c>
      <c r="W1460" t="str">
        <f t="shared" si="1225"/>
        <v>h</v>
      </c>
      <c r="X1460">
        <v>37</v>
      </c>
      <c r="Y1460" t="b">
        <f>IF(X1460&lt;&gt;"",VLOOKUP(X1460,game_rosters!$C$43:$E$64,3,FALSE))</f>
        <v>0</v>
      </c>
      <c r="Z1460" cm="1">
        <f t="array" ref="Z1460">IFERROR(IF(_xlfn._xlws.FILTER(game_rosters!$J:$J,(game_rosters!$G:$G=events!$AN1460)*(game_rosters!$J:$J=events!$X1460))&gt;0,1,""),"")</f>
        <v>1</v>
      </c>
      <c r="AA1460">
        <f t="shared" si="1273"/>
        <v>1783</v>
      </c>
      <c r="AB1460" t="str">
        <f t="shared" si="1274"/>
        <v/>
      </c>
      <c r="AC1460">
        <f t="shared" si="1222"/>
        <v>1783</v>
      </c>
      <c r="AD1460" s="6">
        <v>2</v>
      </c>
      <c r="AE1460" t="s">
        <v>940</v>
      </c>
      <c r="AF1460" t="s">
        <v>923</v>
      </c>
      <c r="AG1460" t="s">
        <v>756</v>
      </c>
      <c r="AH1460" t="s">
        <v>756</v>
      </c>
      <c r="AI1460" t="s">
        <v>367</v>
      </c>
      <c r="AJ1460" t="str">
        <f t="shared" ref="AJ1460:AK1460" si="1298">IF($J1460&lt;&gt;"",$J1460,IF($AC1460=$AC1459,AJ1459,""))</f>
        <v/>
      </c>
      <c r="AK1460" t="str">
        <f t="shared" si="1298"/>
        <v/>
      </c>
      <c r="AL1460" t="str">
        <f t="shared" si="1227"/>
        <v/>
      </c>
      <c r="AN1460" t="s">
        <v>861</v>
      </c>
      <c r="AO1460" t="str">
        <f t="shared" si="1228"/>
        <v>h</v>
      </c>
      <c r="AP1460" t="str">
        <f t="shared" si="1236"/>
        <v/>
      </c>
      <c r="AQ1460" t="str">
        <f t="shared" si="1237"/>
        <v/>
      </c>
      <c r="AR1460" t="str">
        <f t="shared" si="1238"/>
        <v>Home</v>
      </c>
      <c r="AS1460" t="str">
        <f t="shared" si="1239"/>
        <v>h</v>
      </c>
      <c r="AT1460" t="str">
        <f t="shared" si="1240"/>
        <v>Offensive</v>
      </c>
      <c r="BA1460" s="6">
        <f t="shared" si="1229"/>
        <v>332</v>
      </c>
      <c r="BB1460">
        <f t="shared" si="1230"/>
        <v>18981</v>
      </c>
      <c r="BC1460" t="str">
        <f t="shared" si="1231"/>
        <v>Nelson</v>
      </c>
      <c r="BD1460" t="str">
        <f t="shared" si="1232"/>
        <v>Velodrome</v>
      </c>
      <c r="BE1460" t="s">
        <v>9</v>
      </c>
      <c r="BF1460" t="s">
        <v>173</v>
      </c>
      <c r="BG1460" t="s">
        <v>75</v>
      </c>
      <c r="BI1460" cm="1">
        <f t="array" ref="BI1460">IFERROR(_xlfn._xlws.FILTER(shifts!A:A,(shifts!B:B=events!AD1460)*(shifts!AG:AG&gt;=events!BK1460)*(shifts!AH:AH&lt;=events!BL1460)),BI1459)</f>
        <v>63</v>
      </c>
      <c r="BJ1460" s="15">
        <f t="shared" si="1233"/>
        <v>0</v>
      </c>
      <c r="BK1460">
        <f t="shared" si="1241"/>
        <v>224</v>
      </c>
      <c r="BL1460">
        <f t="shared" si="1242"/>
        <v>224</v>
      </c>
      <c r="BM1460" s="15">
        <f>SUMIFS(BJ$2:BJ1460,K$2:K1460,"=Intermission")+SUMIFS(BJ$2:BJ1460,K$2:K1460,"=Timeout")</f>
        <v>72</v>
      </c>
      <c r="BN1460">
        <f t="shared" si="1243"/>
        <v>1152</v>
      </c>
      <c r="BO1460" s="19">
        <f t="shared" si="1244"/>
        <v>2008</v>
      </c>
      <c r="BP1460">
        <f t="shared" si="1245"/>
        <v>2003</v>
      </c>
      <c r="BQ1460" s="17">
        <f t="shared" si="1246"/>
        <v>2008</v>
      </c>
      <c r="BR1460" t="str">
        <f t="shared" si="1247"/>
        <v>event_team_player_1</v>
      </c>
      <c r="BS1460">
        <f>COUNTIFS(S$3:S1460,"="&amp;S1460,AI$3:AI1460,"="&amp;AI1460)</f>
        <v>1</v>
      </c>
      <c r="BT1460" t="str">
        <f>IFERROR(VLOOKUP(BB1460&amp;BU1460&amp;X1460,game_rosters!U:W,3,FALSE),"")</f>
        <v>P100119</v>
      </c>
      <c r="BU1460" t="str">
        <f t="shared" si="1248"/>
        <v>Nelson</v>
      </c>
    </row>
    <row r="1461" spans="1:73" x14ac:dyDescent="0.2">
      <c r="A1461">
        <f t="shared" si="1234"/>
        <v>1</v>
      </c>
      <c r="J1461" s="44" t="str">
        <f t="shared" si="1249"/>
        <v/>
      </c>
      <c r="K1461" t="s">
        <v>9</v>
      </c>
      <c r="L1461" t="s">
        <v>173</v>
      </c>
      <c r="M1461" t="s">
        <v>75</v>
      </c>
      <c r="S1461">
        <v>783</v>
      </c>
      <c r="W1461" t="str">
        <f t="shared" si="1225"/>
        <v>h</v>
      </c>
      <c r="X1461">
        <v>79</v>
      </c>
      <c r="Y1461" t="b">
        <f>IF(X1461&lt;&gt;"",VLOOKUP(X1461,game_rosters!$C$43:$E$64,3,FALSE))</f>
        <v>0</v>
      </c>
      <c r="Z1461" cm="1">
        <f t="array" ref="Z1461">IFERROR(IF(_xlfn._xlws.FILTER(game_rosters!$J:$J,(game_rosters!$G:$G=events!$AN1461)*(game_rosters!$J:$J=events!$X1461))&gt;0,1,""),"")</f>
        <v>1</v>
      </c>
      <c r="AA1461">
        <f t="shared" si="1273"/>
        <v>1783</v>
      </c>
      <c r="AB1461" t="str">
        <f t="shared" si="1274"/>
        <v/>
      </c>
      <c r="AC1461">
        <f t="shared" si="1222"/>
        <v>1783</v>
      </c>
      <c r="AD1461" s="6">
        <v>2</v>
      </c>
      <c r="AE1461" t="s">
        <v>940</v>
      </c>
      <c r="AF1461" t="s">
        <v>923</v>
      </c>
      <c r="AG1461" t="s">
        <v>756</v>
      </c>
      <c r="AH1461" t="s">
        <v>756</v>
      </c>
      <c r="AI1461" t="s">
        <v>367</v>
      </c>
      <c r="AJ1461" t="str">
        <f t="shared" ref="AJ1461:AK1461" si="1299">IF($J1461&lt;&gt;"",$J1461,IF($AC1461=$AC1460,AJ1460,""))</f>
        <v/>
      </c>
      <c r="AK1461" t="str">
        <f t="shared" si="1299"/>
        <v/>
      </c>
      <c r="AL1461" t="str">
        <f t="shared" si="1227"/>
        <v/>
      </c>
      <c r="AN1461" t="s">
        <v>861</v>
      </c>
      <c r="AO1461" t="str">
        <f t="shared" si="1228"/>
        <v>h</v>
      </c>
      <c r="AP1461" t="str">
        <f t="shared" si="1236"/>
        <v/>
      </c>
      <c r="AQ1461" t="str">
        <f t="shared" si="1237"/>
        <v/>
      </c>
      <c r="AR1461" t="str">
        <f t="shared" si="1238"/>
        <v>Home</v>
      </c>
      <c r="AS1461" t="str">
        <f t="shared" si="1239"/>
        <v>h</v>
      </c>
      <c r="AT1461" t="str">
        <f t="shared" si="1240"/>
        <v>Offensive</v>
      </c>
      <c r="BA1461" s="6">
        <f t="shared" si="1229"/>
        <v>332</v>
      </c>
      <c r="BB1461">
        <f t="shared" si="1230"/>
        <v>18981</v>
      </c>
      <c r="BC1461" t="str">
        <f t="shared" si="1231"/>
        <v>Nelson</v>
      </c>
      <c r="BD1461" t="str">
        <f t="shared" si="1232"/>
        <v>Velodrome</v>
      </c>
      <c r="BE1461" t="s">
        <v>9</v>
      </c>
      <c r="BF1461" t="s">
        <v>173</v>
      </c>
      <c r="BG1461" t="s">
        <v>75</v>
      </c>
      <c r="BI1461" cm="1">
        <f t="array" ref="BI1461">IFERROR(_xlfn._xlws.FILTER(shifts!A:A,(shifts!B:B=events!AD1461)*(shifts!AG:AG&gt;=events!BK1461)*(shifts!AH:AH&lt;=events!BL1461)),BI1460)</f>
        <v>63</v>
      </c>
      <c r="BJ1461" s="15">
        <f t="shared" si="1233"/>
        <v>0</v>
      </c>
      <c r="BK1461">
        <f t="shared" si="1241"/>
        <v>224</v>
      </c>
      <c r="BL1461">
        <f t="shared" si="1242"/>
        <v>224</v>
      </c>
      <c r="BM1461" s="15">
        <f>SUMIFS(BJ$2:BJ1461,K$2:K1461,"=Intermission")+SUMIFS(BJ$2:BJ1461,K$2:K1461,"=Timeout")</f>
        <v>72</v>
      </c>
      <c r="BN1461">
        <f t="shared" si="1243"/>
        <v>1152</v>
      </c>
      <c r="BO1461" s="19">
        <f t="shared" si="1244"/>
        <v>2008</v>
      </c>
      <c r="BP1461">
        <f t="shared" si="1245"/>
        <v>2003</v>
      </c>
      <c r="BQ1461" s="17">
        <f t="shared" si="1246"/>
        <v>2008</v>
      </c>
      <c r="BR1461" t="str">
        <f t="shared" si="1247"/>
        <v>event_team_player_2</v>
      </c>
      <c r="BS1461">
        <f>COUNTIFS(S$3:S1461,"="&amp;S1461,AI$3:AI1461,"="&amp;AI1461)</f>
        <v>2</v>
      </c>
      <c r="BT1461" t="str">
        <f>IFERROR(VLOOKUP(BB1461&amp;BU1461&amp;X1461,game_rosters!U:W,3,FALSE),"")</f>
        <v>P100066</v>
      </c>
      <c r="BU1461" t="str">
        <f t="shared" si="1248"/>
        <v>Nelson</v>
      </c>
    </row>
    <row r="1462" spans="1:73" x14ac:dyDescent="0.2">
      <c r="A1462">
        <f t="shared" si="1234"/>
        <v>1</v>
      </c>
      <c r="J1462" s="44" t="str">
        <f t="shared" si="1249"/>
        <v/>
      </c>
      <c r="K1462" t="s">
        <v>9</v>
      </c>
      <c r="L1462" t="s">
        <v>173</v>
      </c>
      <c r="M1462" t="s">
        <v>75</v>
      </c>
      <c r="S1462">
        <v>783</v>
      </c>
      <c r="W1462" t="str">
        <f t="shared" si="1225"/>
        <v>h</v>
      </c>
      <c r="X1462">
        <v>84</v>
      </c>
      <c r="Y1462" t="e">
        <f>IF(X1462&lt;&gt;"",VLOOKUP(X1462,game_rosters!$C$43:$E$64,3,FALSE))</f>
        <v>#N/A</v>
      </c>
      <c r="Z1462" t="str" cm="1">
        <f t="array" ref="Z1462">IFERROR(IF(_xlfn._xlws.FILTER(game_rosters!$J:$J,(game_rosters!$G:$G=events!$AN1462)*(game_rosters!$J:$J=events!$X1462))&gt;0,1,""),"")</f>
        <v/>
      </c>
      <c r="AA1462">
        <f t="shared" si="1273"/>
        <v>1783</v>
      </c>
      <c r="AB1462" t="str">
        <f t="shared" si="1274"/>
        <v/>
      </c>
      <c r="AC1462">
        <f t="shared" si="1222"/>
        <v>1783</v>
      </c>
      <c r="AD1462" s="6">
        <v>2</v>
      </c>
      <c r="AE1462" t="s">
        <v>940</v>
      </c>
      <c r="AF1462" t="s">
        <v>923</v>
      </c>
      <c r="AG1462" t="s">
        <v>756</v>
      </c>
      <c r="AH1462" t="s">
        <v>756</v>
      </c>
      <c r="AI1462" t="s">
        <v>368</v>
      </c>
      <c r="AJ1462" t="str">
        <f t="shared" ref="AJ1462:AK1462" si="1300">IF($J1462&lt;&gt;"",$J1462,IF($AC1462=$AC1461,AJ1461,""))</f>
        <v/>
      </c>
      <c r="AK1462" t="str">
        <f t="shared" si="1300"/>
        <v/>
      </c>
      <c r="AL1462" t="str">
        <f t="shared" si="1227"/>
        <v/>
      </c>
      <c r="AN1462" t="s">
        <v>861</v>
      </c>
      <c r="AO1462" t="str">
        <f t="shared" si="1228"/>
        <v>h</v>
      </c>
      <c r="AP1462" t="str">
        <f t="shared" si="1236"/>
        <v/>
      </c>
      <c r="AQ1462" t="str">
        <f t="shared" si="1237"/>
        <v/>
      </c>
      <c r="AR1462" t="str">
        <f t="shared" si="1238"/>
        <v>Home</v>
      </c>
      <c r="AS1462" t="str">
        <f t="shared" si="1239"/>
        <v>h</v>
      </c>
      <c r="AT1462" t="str">
        <f t="shared" si="1240"/>
        <v>Defensive</v>
      </c>
      <c r="BA1462" s="6">
        <f t="shared" si="1229"/>
        <v>332</v>
      </c>
      <c r="BB1462">
        <f t="shared" si="1230"/>
        <v>18981</v>
      </c>
      <c r="BC1462" t="str">
        <f t="shared" si="1231"/>
        <v>Nelson</v>
      </c>
      <c r="BD1462" t="str">
        <f t="shared" si="1232"/>
        <v>Velodrome</v>
      </c>
      <c r="BE1462" t="s">
        <v>9</v>
      </c>
      <c r="BF1462" t="s">
        <v>173</v>
      </c>
      <c r="BG1462" t="s">
        <v>75</v>
      </c>
      <c r="BI1462" cm="1">
        <f t="array" ref="BI1462">IFERROR(_xlfn._xlws.FILTER(shifts!A:A,(shifts!B:B=events!AD1462)*(shifts!AG:AG&gt;=events!BK1462)*(shifts!AH:AH&lt;=events!BL1462)),BI1461)</f>
        <v>63</v>
      </c>
      <c r="BJ1462" s="15">
        <f t="shared" si="1233"/>
        <v>0</v>
      </c>
      <c r="BK1462">
        <f t="shared" si="1241"/>
        <v>224</v>
      </c>
      <c r="BL1462">
        <f t="shared" si="1242"/>
        <v>224</v>
      </c>
      <c r="BM1462" s="15">
        <f>SUMIFS(BJ$2:BJ1462,K$2:K1462,"=Intermission")+SUMIFS(BJ$2:BJ1462,K$2:K1462,"=Timeout")</f>
        <v>72</v>
      </c>
      <c r="BN1462">
        <f t="shared" si="1243"/>
        <v>1152</v>
      </c>
      <c r="BO1462" s="19">
        <f t="shared" si="1244"/>
        <v>2008</v>
      </c>
      <c r="BP1462">
        <f t="shared" si="1245"/>
        <v>2003</v>
      </c>
      <c r="BQ1462" s="17">
        <f t="shared" si="1246"/>
        <v>2008</v>
      </c>
      <c r="BR1462" t="str">
        <f t="shared" si="1247"/>
        <v>opp_team_player_1</v>
      </c>
      <c r="BS1462">
        <f>COUNTIFS(S$3:S1462,"="&amp;S1462,AI$3:AI1462,"="&amp;AI1462)</f>
        <v>1</v>
      </c>
      <c r="BT1462" t="str">
        <f>IFERROR(VLOOKUP(BB1462&amp;BU1462&amp;X1462,game_rosters!U:W,3,FALSE),"")</f>
        <v>P100198</v>
      </c>
      <c r="BU1462" t="str">
        <f t="shared" si="1248"/>
        <v>Velodrome</v>
      </c>
    </row>
    <row r="1463" spans="1:73" x14ac:dyDescent="0.2">
      <c r="A1463">
        <f t="shared" si="1234"/>
        <v>1</v>
      </c>
      <c r="J1463" s="44" t="str">
        <f t="shared" si="1249"/>
        <v/>
      </c>
      <c r="K1463" t="s">
        <v>9</v>
      </c>
      <c r="L1463" t="s">
        <v>173</v>
      </c>
      <c r="M1463" t="s">
        <v>365</v>
      </c>
      <c r="S1463">
        <v>784</v>
      </c>
      <c r="W1463" t="str">
        <f t="shared" si="1225"/>
        <v>a</v>
      </c>
      <c r="X1463">
        <v>24</v>
      </c>
      <c r="Y1463" t="e">
        <f>IF(X1463&lt;&gt;"",VLOOKUP(X1463,game_rosters!$C$43:$E$64,3,FALSE))</f>
        <v>#N/A</v>
      </c>
      <c r="Z1463" cm="1">
        <f t="array" ref="Z1463">IFERROR(IF(_xlfn._xlws.FILTER(game_rosters!$J:$J,(game_rosters!$G:$G=events!$AN1463)*(game_rosters!$J:$J=events!$X1463))&gt;0,1,""),"")</f>
        <v>1</v>
      </c>
      <c r="AA1463">
        <f t="shared" si="1273"/>
        <v>1784</v>
      </c>
      <c r="AB1463" t="str">
        <f t="shared" si="1274"/>
        <v/>
      </c>
      <c r="AC1463">
        <f t="shared" si="1222"/>
        <v>1784</v>
      </c>
      <c r="AD1463" s="6">
        <v>2</v>
      </c>
      <c r="AE1463" t="s">
        <v>940</v>
      </c>
      <c r="AF1463" t="s">
        <v>924</v>
      </c>
      <c r="AG1463" t="s">
        <v>756</v>
      </c>
      <c r="AH1463" t="s">
        <v>756</v>
      </c>
      <c r="AI1463" t="s">
        <v>367</v>
      </c>
      <c r="AJ1463" t="str">
        <f t="shared" ref="AJ1463:AK1463" si="1301">IF($J1463&lt;&gt;"",$J1463,IF($AC1463=$AC1462,AJ1462,""))</f>
        <v/>
      </c>
      <c r="AK1463" t="str">
        <f t="shared" si="1301"/>
        <v/>
      </c>
      <c r="AL1463" t="str">
        <f t="shared" si="1227"/>
        <v/>
      </c>
      <c r="AN1463" t="s">
        <v>862</v>
      </c>
      <c r="AO1463" t="str">
        <f t="shared" si="1228"/>
        <v>a</v>
      </c>
      <c r="AP1463" t="str">
        <f t="shared" si="1236"/>
        <v/>
      </c>
      <c r="AQ1463" t="str">
        <f t="shared" si="1237"/>
        <v/>
      </c>
      <c r="AR1463" t="str">
        <f t="shared" si="1238"/>
        <v>Away</v>
      </c>
      <c r="AS1463" t="str">
        <f t="shared" si="1239"/>
        <v>a</v>
      </c>
      <c r="AT1463" t="str">
        <f t="shared" si="1240"/>
        <v>Offensive</v>
      </c>
      <c r="BA1463" s="6">
        <f t="shared" si="1229"/>
        <v>332</v>
      </c>
      <c r="BB1463">
        <f t="shared" si="1230"/>
        <v>18981</v>
      </c>
      <c r="BC1463" t="str">
        <f t="shared" si="1231"/>
        <v>Nelson</v>
      </c>
      <c r="BD1463" t="str">
        <f t="shared" si="1232"/>
        <v>Velodrome</v>
      </c>
      <c r="BE1463" t="s">
        <v>9</v>
      </c>
      <c r="BF1463" t="s">
        <v>173</v>
      </c>
      <c r="BG1463" t="s">
        <v>365</v>
      </c>
      <c r="BI1463" cm="1">
        <f t="array" ref="BI1463">IFERROR(_xlfn._xlws.FILTER(shifts!A:A,(shifts!B:B=events!AD1463)*(shifts!AG:AG&gt;=events!BK1463)*(shifts!AH:AH&lt;=events!BL1463)),BI1462)</f>
        <v>63</v>
      </c>
      <c r="BJ1463" s="15">
        <f t="shared" si="1233"/>
        <v>0</v>
      </c>
      <c r="BK1463">
        <f t="shared" si="1241"/>
        <v>221</v>
      </c>
      <c r="BL1463">
        <f t="shared" si="1242"/>
        <v>221</v>
      </c>
      <c r="BM1463" s="15">
        <f>SUMIFS(BJ$2:BJ1463,K$2:K1463,"=Intermission")+SUMIFS(BJ$2:BJ1463,K$2:K1463,"=Timeout")</f>
        <v>72</v>
      </c>
      <c r="BN1463">
        <f t="shared" si="1243"/>
        <v>1152</v>
      </c>
      <c r="BO1463" s="19">
        <f t="shared" si="1244"/>
        <v>2011</v>
      </c>
      <c r="BP1463">
        <f t="shared" si="1245"/>
        <v>2006</v>
      </c>
      <c r="BQ1463" s="17">
        <f t="shared" si="1246"/>
        <v>2011</v>
      </c>
      <c r="BR1463" t="str">
        <f t="shared" si="1247"/>
        <v>event_team_player_1</v>
      </c>
      <c r="BS1463">
        <f>COUNTIFS(S$3:S1463,"="&amp;S1463,AI$3:AI1463,"="&amp;AI1463)</f>
        <v>1</v>
      </c>
      <c r="BT1463" t="str">
        <f>IFERROR(VLOOKUP(BB1463&amp;BU1463&amp;X1463,game_rosters!U:W,3,FALSE),"")</f>
        <v>P100230</v>
      </c>
      <c r="BU1463" t="str">
        <f t="shared" si="1248"/>
        <v>Velodrome</v>
      </c>
    </row>
    <row r="1464" spans="1:73" x14ac:dyDescent="0.2">
      <c r="A1464">
        <f t="shared" si="1234"/>
        <v>1</v>
      </c>
      <c r="J1464" s="44" t="str">
        <f t="shared" si="1249"/>
        <v/>
      </c>
      <c r="K1464" t="s">
        <v>13</v>
      </c>
      <c r="L1464" t="s">
        <v>756</v>
      </c>
      <c r="M1464" t="s">
        <v>756</v>
      </c>
      <c r="S1464">
        <v>785</v>
      </c>
      <c r="W1464" t="str">
        <f t="shared" si="1225"/>
        <v>h</v>
      </c>
      <c r="X1464">
        <v>37</v>
      </c>
      <c r="Y1464" t="b">
        <f>IF(X1464&lt;&gt;"",VLOOKUP(X1464,game_rosters!$C$43:$E$64,3,FALSE))</f>
        <v>0</v>
      </c>
      <c r="Z1464" cm="1">
        <f t="array" ref="Z1464">IFERROR(IF(_xlfn._xlws.FILTER(game_rosters!$J:$J,(game_rosters!$G:$G=events!$AN1464)*(game_rosters!$J:$J=events!$X1464))&gt;0,1,""),"")</f>
        <v>1</v>
      </c>
      <c r="AA1464">
        <f t="shared" si="1273"/>
        <v>1785</v>
      </c>
      <c r="AB1464" t="str">
        <f t="shared" si="1274"/>
        <v/>
      </c>
      <c r="AC1464">
        <f t="shared" si="1222"/>
        <v>1785</v>
      </c>
      <c r="AD1464" s="6">
        <v>2</v>
      </c>
      <c r="AE1464" t="s">
        <v>940</v>
      </c>
      <c r="AF1464" t="s">
        <v>924</v>
      </c>
      <c r="AG1464" t="s">
        <v>940</v>
      </c>
      <c r="AH1464" t="s">
        <v>865</v>
      </c>
      <c r="AI1464" t="s">
        <v>367</v>
      </c>
      <c r="AJ1464" t="str">
        <f t="shared" ref="AJ1464:AK1464" si="1302">IF($J1464&lt;&gt;"",$J1464,IF($AC1464=$AC1463,AJ1463,""))</f>
        <v/>
      </c>
      <c r="AK1464" t="str">
        <f t="shared" si="1302"/>
        <v/>
      </c>
      <c r="AL1464" t="str">
        <f t="shared" si="1227"/>
        <v/>
      </c>
      <c r="AN1464" t="s">
        <v>861</v>
      </c>
      <c r="AO1464" t="str">
        <f t="shared" si="1228"/>
        <v>h</v>
      </c>
      <c r="AP1464" t="str">
        <f t="shared" si="1236"/>
        <v/>
      </c>
      <c r="AQ1464" t="str">
        <f t="shared" si="1237"/>
        <v/>
      </c>
      <c r="AR1464" t="str">
        <f t="shared" si="1238"/>
        <v>Home</v>
      </c>
      <c r="AS1464" t="str">
        <f t="shared" si="1239"/>
        <v>h</v>
      </c>
      <c r="AT1464" t="str">
        <f t="shared" si="1240"/>
        <v>Offensive</v>
      </c>
      <c r="BA1464" s="6">
        <f t="shared" si="1229"/>
        <v>332</v>
      </c>
      <c r="BB1464">
        <f t="shared" si="1230"/>
        <v>18981</v>
      </c>
      <c r="BC1464" t="str">
        <f t="shared" si="1231"/>
        <v>Nelson</v>
      </c>
      <c r="BD1464" t="str">
        <f t="shared" si="1232"/>
        <v>Velodrome</v>
      </c>
      <c r="BE1464" t="s">
        <v>13</v>
      </c>
      <c r="BF1464" t="s">
        <v>756</v>
      </c>
      <c r="BG1464" t="s">
        <v>756</v>
      </c>
      <c r="BI1464" cm="1">
        <f t="array" ref="BI1464">IFERROR(_xlfn._xlws.FILTER(shifts!A:A,(shifts!B:B=events!AD1464)*(shifts!AG:AG&gt;=events!BK1464)*(shifts!AH:AH&lt;=events!BL1464)),BI1463)</f>
        <v>63</v>
      </c>
      <c r="BJ1464" s="15">
        <f t="shared" si="1233"/>
        <v>3</v>
      </c>
      <c r="BK1464">
        <f t="shared" si="1241"/>
        <v>221</v>
      </c>
      <c r="BL1464">
        <f t="shared" si="1242"/>
        <v>218</v>
      </c>
      <c r="BM1464" s="15">
        <f>SUMIFS(BJ$2:BJ1464,K$2:K1464,"=Intermission")+SUMIFS(BJ$2:BJ1464,K$2:K1464,"=Timeout")</f>
        <v>72</v>
      </c>
      <c r="BN1464">
        <f t="shared" si="1243"/>
        <v>1152</v>
      </c>
      <c r="BO1464" s="19">
        <f t="shared" si="1244"/>
        <v>2011</v>
      </c>
      <c r="BP1464">
        <f t="shared" si="1245"/>
        <v>2006</v>
      </c>
      <c r="BQ1464" s="17">
        <f t="shared" si="1246"/>
        <v>2014</v>
      </c>
      <c r="BR1464" t="str">
        <f t="shared" si="1247"/>
        <v>event_team_player_1</v>
      </c>
      <c r="BS1464">
        <f>COUNTIFS(S$3:S1464,"="&amp;S1464,AI$3:AI1464,"="&amp;AI1464)</f>
        <v>1</v>
      </c>
      <c r="BT1464" t="str">
        <f>IFERROR(VLOOKUP(BB1464&amp;BU1464&amp;X1464,game_rosters!U:W,3,FALSE),"")</f>
        <v>P100119</v>
      </c>
      <c r="BU1464" t="str">
        <f t="shared" si="1248"/>
        <v>Nelson</v>
      </c>
    </row>
    <row r="1465" spans="1:73" x14ac:dyDescent="0.2">
      <c r="A1465">
        <f t="shared" si="1234"/>
        <v>1</v>
      </c>
      <c r="J1465" s="44" t="str">
        <f t="shared" si="1249"/>
        <v/>
      </c>
      <c r="K1465" t="s">
        <v>13</v>
      </c>
      <c r="L1465" t="s">
        <v>756</v>
      </c>
      <c r="M1465" t="s">
        <v>756</v>
      </c>
      <c r="S1465">
        <v>785</v>
      </c>
      <c r="W1465" t="str">
        <f t="shared" si="1225"/>
        <v>h</v>
      </c>
      <c r="X1465">
        <v>24</v>
      </c>
      <c r="Y1465" t="e">
        <f>IF(X1465&lt;&gt;"",VLOOKUP(X1465,game_rosters!$C$43:$E$64,3,FALSE))</f>
        <v>#N/A</v>
      </c>
      <c r="Z1465" t="str" cm="1">
        <f t="array" ref="Z1465">IFERROR(IF(_xlfn._xlws.FILTER(game_rosters!$J:$J,(game_rosters!$G:$G=events!$AN1465)*(game_rosters!$J:$J=events!$X1465))&gt;0,1,""),"")</f>
        <v/>
      </c>
      <c r="AA1465">
        <f t="shared" si="1273"/>
        <v>1785</v>
      </c>
      <c r="AB1465" t="str">
        <f t="shared" si="1274"/>
        <v/>
      </c>
      <c r="AC1465">
        <f t="shared" si="1222"/>
        <v>1785</v>
      </c>
      <c r="AD1465" s="6">
        <v>2</v>
      </c>
      <c r="AE1465" t="s">
        <v>940</v>
      </c>
      <c r="AF1465" t="s">
        <v>924</v>
      </c>
      <c r="AG1465" t="s">
        <v>940</v>
      </c>
      <c r="AH1465" t="s">
        <v>865</v>
      </c>
      <c r="AI1465" t="s">
        <v>368</v>
      </c>
      <c r="AJ1465" t="str">
        <f t="shared" ref="AJ1465:AK1465" si="1303">IF($J1465&lt;&gt;"",$J1465,IF($AC1465=$AC1464,AJ1464,""))</f>
        <v/>
      </c>
      <c r="AK1465" t="str">
        <f t="shared" si="1303"/>
        <v/>
      </c>
      <c r="AL1465" t="str">
        <f t="shared" si="1227"/>
        <v/>
      </c>
      <c r="AN1465" t="s">
        <v>861</v>
      </c>
      <c r="AO1465" t="str">
        <f t="shared" si="1228"/>
        <v>h</v>
      </c>
      <c r="AP1465" t="str">
        <f t="shared" si="1236"/>
        <v/>
      </c>
      <c r="AQ1465" t="str">
        <f t="shared" si="1237"/>
        <v/>
      </c>
      <c r="AR1465" t="str">
        <f t="shared" si="1238"/>
        <v>Home</v>
      </c>
      <c r="AS1465" t="str">
        <f t="shared" si="1239"/>
        <v>h</v>
      </c>
      <c r="AT1465" t="str">
        <f t="shared" si="1240"/>
        <v>Defensive</v>
      </c>
      <c r="BA1465" s="6">
        <f t="shared" si="1229"/>
        <v>332</v>
      </c>
      <c r="BB1465">
        <f t="shared" si="1230"/>
        <v>18981</v>
      </c>
      <c r="BC1465" t="str">
        <f t="shared" si="1231"/>
        <v>Nelson</v>
      </c>
      <c r="BD1465" t="str">
        <f t="shared" si="1232"/>
        <v>Velodrome</v>
      </c>
      <c r="BE1465" t="s">
        <v>13</v>
      </c>
      <c r="BF1465" t="s">
        <v>756</v>
      </c>
      <c r="BG1465" t="s">
        <v>756</v>
      </c>
      <c r="BI1465" cm="1">
        <f t="array" ref="BI1465">IFERROR(_xlfn._xlws.FILTER(shifts!A:A,(shifts!B:B=events!AD1465)*(shifts!AG:AG&gt;=events!BK1465)*(shifts!AH:AH&lt;=events!BL1465)),BI1464)</f>
        <v>63</v>
      </c>
      <c r="BJ1465" s="15">
        <f t="shared" si="1233"/>
        <v>3</v>
      </c>
      <c r="BK1465">
        <f t="shared" si="1241"/>
        <v>221</v>
      </c>
      <c r="BL1465">
        <f t="shared" si="1242"/>
        <v>218</v>
      </c>
      <c r="BM1465" s="15">
        <f>SUMIFS(BJ$2:BJ1465,K$2:K1465,"=Intermission")+SUMIFS(BJ$2:BJ1465,K$2:K1465,"=Timeout")</f>
        <v>72</v>
      </c>
      <c r="BN1465">
        <f t="shared" si="1243"/>
        <v>1152</v>
      </c>
      <c r="BO1465" s="19">
        <f t="shared" si="1244"/>
        <v>2011</v>
      </c>
      <c r="BP1465">
        <f t="shared" si="1245"/>
        <v>2006</v>
      </c>
      <c r="BQ1465" s="17">
        <f t="shared" si="1246"/>
        <v>2014</v>
      </c>
      <c r="BR1465" t="str">
        <f t="shared" si="1247"/>
        <v>opp_team_player_1</v>
      </c>
      <c r="BS1465">
        <f>COUNTIFS(S$3:S1465,"="&amp;S1465,AI$3:AI1465,"="&amp;AI1465)</f>
        <v>1</v>
      </c>
      <c r="BT1465" t="str">
        <f>IFERROR(VLOOKUP(BB1465&amp;BU1465&amp;X1465,game_rosters!U:W,3,FALSE),"")</f>
        <v>P100230</v>
      </c>
      <c r="BU1465" t="str">
        <f t="shared" si="1248"/>
        <v>Velodrome</v>
      </c>
    </row>
    <row r="1466" spans="1:73" x14ac:dyDescent="0.2">
      <c r="A1466">
        <f t="shared" si="1234"/>
        <v>1</v>
      </c>
      <c r="J1466" s="44" t="str">
        <f t="shared" si="1249"/>
        <v>o</v>
      </c>
      <c r="K1466" t="s">
        <v>238</v>
      </c>
      <c r="L1466" t="s">
        <v>174</v>
      </c>
      <c r="M1466" t="s">
        <v>85</v>
      </c>
      <c r="S1466">
        <v>786</v>
      </c>
      <c r="W1466" t="str">
        <f t="shared" si="1225"/>
        <v>h</v>
      </c>
      <c r="X1466">
        <v>37</v>
      </c>
      <c r="Y1466" t="b">
        <f>IF(X1466&lt;&gt;"",VLOOKUP(X1466,game_rosters!$C$43:$E$64,3,FALSE))</f>
        <v>0</v>
      </c>
      <c r="Z1466" cm="1">
        <f t="array" ref="Z1466">IFERROR(IF(_xlfn._xlws.FILTER(game_rosters!$J:$J,(game_rosters!$G:$G=events!$AN1466)*(game_rosters!$J:$J=events!$X1466))&gt;0,1,""),"")</f>
        <v>1</v>
      </c>
      <c r="AA1466">
        <f t="shared" si="1273"/>
        <v>1786</v>
      </c>
      <c r="AB1466" t="str">
        <f t="shared" si="1274"/>
        <v/>
      </c>
      <c r="AC1466">
        <f t="shared" si="1222"/>
        <v>1786</v>
      </c>
      <c r="AD1466" s="6">
        <v>2</v>
      </c>
      <c r="AE1466" t="s">
        <v>940</v>
      </c>
      <c r="AF1466" t="s">
        <v>865</v>
      </c>
      <c r="AG1466" t="s">
        <v>940</v>
      </c>
      <c r="AH1466" t="s">
        <v>904</v>
      </c>
      <c r="AI1466" t="s">
        <v>367</v>
      </c>
      <c r="AJ1466" t="str">
        <f t="shared" ref="AJ1466:AK1466" si="1304">IF($J1466&lt;&gt;"",$J1466,IF($AC1466=$AC1465,AJ1465,""))</f>
        <v>o</v>
      </c>
      <c r="AK1466" t="str">
        <f t="shared" si="1304"/>
        <v>o</v>
      </c>
      <c r="AL1466" t="str">
        <f t="shared" si="1227"/>
        <v>o</v>
      </c>
      <c r="AN1466" t="s">
        <v>861</v>
      </c>
      <c r="AO1466" t="str">
        <f t="shared" si="1228"/>
        <v>h</v>
      </c>
      <c r="AP1466" t="str">
        <f t="shared" si="1236"/>
        <v>o</v>
      </c>
      <c r="AQ1466" t="str">
        <f t="shared" si="1237"/>
        <v/>
      </c>
      <c r="AR1466" t="str">
        <f t="shared" si="1238"/>
        <v>Home</v>
      </c>
      <c r="AS1466" t="str">
        <f t="shared" si="1239"/>
        <v>h</v>
      </c>
      <c r="AT1466" t="str">
        <f t="shared" si="1240"/>
        <v>Offensive</v>
      </c>
      <c r="BA1466" s="6">
        <f t="shared" si="1229"/>
        <v>333</v>
      </c>
      <c r="BB1466">
        <f t="shared" si="1230"/>
        <v>18981</v>
      </c>
      <c r="BC1466" t="str">
        <f t="shared" si="1231"/>
        <v>Nelson</v>
      </c>
      <c r="BD1466" t="str">
        <f t="shared" si="1232"/>
        <v>Velodrome</v>
      </c>
      <c r="BE1466" t="s">
        <v>238</v>
      </c>
      <c r="BF1466" t="s">
        <v>174</v>
      </c>
      <c r="BG1466" t="s">
        <v>85</v>
      </c>
      <c r="BI1466" cm="1">
        <f t="array" ref="BI1466">IFERROR(_xlfn._xlws.FILTER(shifts!A:A,(shifts!B:B=events!AD1466)*(shifts!AG:AG&gt;=events!BK1466)*(shifts!AH:AH&lt;=events!BL1466)),BI1465)</f>
        <v>63</v>
      </c>
      <c r="BJ1466" s="15">
        <f t="shared" si="1233"/>
        <v>2</v>
      </c>
      <c r="BK1466">
        <f t="shared" si="1241"/>
        <v>218</v>
      </c>
      <c r="BL1466">
        <f t="shared" si="1242"/>
        <v>216</v>
      </c>
      <c r="BM1466" s="15">
        <f>SUMIFS(BJ$2:BJ1466,K$2:K1466,"=Intermission")+SUMIFS(BJ$2:BJ1466,K$2:K1466,"=Timeout")</f>
        <v>72</v>
      </c>
      <c r="BN1466">
        <f t="shared" si="1243"/>
        <v>1152</v>
      </c>
      <c r="BO1466" s="19">
        <f t="shared" si="1244"/>
        <v>2014</v>
      </c>
      <c r="BP1466">
        <f t="shared" si="1245"/>
        <v>2009</v>
      </c>
      <c r="BQ1466" s="17">
        <f t="shared" si="1246"/>
        <v>2016</v>
      </c>
      <c r="BR1466" t="str">
        <f t="shared" si="1247"/>
        <v>event_team_player_1</v>
      </c>
      <c r="BS1466">
        <f>COUNTIFS(S$3:S1466,"="&amp;S1466,AI$3:AI1466,"="&amp;AI1466)</f>
        <v>1</v>
      </c>
      <c r="BT1466" t="str">
        <f>IFERROR(VLOOKUP(BB1466&amp;BU1466&amp;X1466,game_rosters!U:W,3,FALSE),"")</f>
        <v>P100119</v>
      </c>
      <c r="BU1466" t="str">
        <f t="shared" si="1248"/>
        <v>Nelson</v>
      </c>
    </row>
    <row r="1467" spans="1:73" x14ac:dyDescent="0.2">
      <c r="A1467">
        <f t="shared" si="1234"/>
        <v>1</v>
      </c>
      <c r="J1467" s="44" t="str">
        <f t="shared" si="1249"/>
        <v>o</v>
      </c>
      <c r="K1467" t="s">
        <v>238</v>
      </c>
      <c r="L1467" t="s">
        <v>174</v>
      </c>
      <c r="M1467" t="s">
        <v>85</v>
      </c>
      <c r="S1467">
        <v>786</v>
      </c>
      <c r="W1467" t="str">
        <f t="shared" si="1225"/>
        <v>h</v>
      </c>
      <c r="X1467">
        <v>52</v>
      </c>
      <c r="Y1467" t="e">
        <f>IF(X1467&lt;&gt;"",VLOOKUP(X1467,game_rosters!$C$43:$E$64,3,FALSE))</f>
        <v>#N/A</v>
      </c>
      <c r="Z1467" t="str" cm="1">
        <f t="array" ref="Z1467">IFERROR(IF(_xlfn._xlws.FILTER(game_rosters!$J:$J,(game_rosters!$G:$G=events!$AN1467)*(game_rosters!$J:$J=events!$X1467))&gt;0,1,""),"")</f>
        <v/>
      </c>
      <c r="AA1467">
        <f t="shared" si="1273"/>
        <v>1786</v>
      </c>
      <c r="AB1467" t="str">
        <f t="shared" si="1274"/>
        <v/>
      </c>
      <c r="AC1467">
        <f t="shared" si="1222"/>
        <v>1786</v>
      </c>
      <c r="AD1467" s="6">
        <v>2</v>
      </c>
      <c r="AE1467" t="s">
        <v>940</v>
      </c>
      <c r="AF1467" t="s">
        <v>865</v>
      </c>
      <c r="AG1467" t="s">
        <v>940</v>
      </c>
      <c r="AH1467" t="s">
        <v>904</v>
      </c>
      <c r="AI1467" t="s">
        <v>368</v>
      </c>
      <c r="AJ1467" t="str">
        <f t="shared" ref="AJ1467:AK1467" si="1305">IF($J1467&lt;&gt;"",$J1467,IF($AC1467=$AC1466,AJ1466,""))</f>
        <v>o</v>
      </c>
      <c r="AK1467" t="str">
        <f t="shared" si="1305"/>
        <v>o</v>
      </c>
      <c r="AL1467" t="str">
        <f t="shared" si="1227"/>
        <v>o</v>
      </c>
      <c r="AN1467" t="s">
        <v>861</v>
      </c>
      <c r="AO1467" t="str">
        <f t="shared" si="1228"/>
        <v>h</v>
      </c>
      <c r="AP1467" t="str">
        <f t="shared" si="1236"/>
        <v>o</v>
      </c>
      <c r="AQ1467" t="str">
        <f t="shared" si="1237"/>
        <v/>
      </c>
      <c r="AR1467" t="str">
        <f t="shared" si="1238"/>
        <v>Home</v>
      </c>
      <c r="AS1467" t="str">
        <f t="shared" si="1239"/>
        <v>h</v>
      </c>
      <c r="AT1467" t="str">
        <f t="shared" si="1240"/>
        <v>Defensive</v>
      </c>
      <c r="BA1467" s="6">
        <f t="shared" si="1229"/>
        <v>334</v>
      </c>
      <c r="BB1467">
        <f t="shared" si="1230"/>
        <v>18981</v>
      </c>
      <c r="BC1467" t="str">
        <f t="shared" si="1231"/>
        <v>Nelson</v>
      </c>
      <c r="BD1467" t="str">
        <f t="shared" si="1232"/>
        <v>Velodrome</v>
      </c>
      <c r="BE1467" t="s">
        <v>238</v>
      </c>
      <c r="BF1467" t="s">
        <v>174</v>
      </c>
      <c r="BG1467" t="s">
        <v>85</v>
      </c>
      <c r="BI1467" cm="1">
        <f t="array" ref="BI1467">IFERROR(_xlfn._xlws.FILTER(shifts!A:A,(shifts!B:B=events!AD1467)*(shifts!AG:AG&gt;=events!BK1467)*(shifts!AH:AH&lt;=events!BL1467)),BI1466)</f>
        <v>63</v>
      </c>
      <c r="BJ1467" s="15">
        <f t="shared" si="1233"/>
        <v>2</v>
      </c>
      <c r="BK1467">
        <f t="shared" si="1241"/>
        <v>218</v>
      </c>
      <c r="BL1467">
        <f t="shared" si="1242"/>
        <v>216</v>
      </c>
      <c r="BM1467" s="15">
        <f>SUMIFS(BJ$2:BJ1467,K$2:K1467,"=Intermission")+SUMIFS(BJ$2:BJ1467,K$2:K1467,"=Timeout")</f>
        <v>72</v>
      </c>
      <c r="BN1467">
        <f t="shared" si="1243"/>
        <v>1152</v>
      </c>
      <c r="BO1467" s="19">
        <f t="shared" si="1244"/>
        <v>2014</v>
      </c>
      <c r="BP1467">
        <f t="shared" si="1245"/>
        <v>2009</v>
      </c>
      <c r="BQ1467" s="17">
        <f t="shared" si="1246"/>
        <v>2016</v>
      </c>
      <c r="BR1467" t="str">
        <f t="shared" si="1247"/>
        <v>opp_team_player_1</v>
      </c>
      <c r="BS1467">
        <f>COUNTIFS(S$3:S1467,"="&amp;S1467,AI$3:AI1467,"="&amp;AI1467)</f>
        <v>1</v>
      </c>
      <c r="BT1467" t="str">
        <f>IFERROR(VLOOKUP(BB1467&amp;BU1467&amp;X1467,game_rosters!U:W,3,FALSE),"")</f>
        <v>P100070</v>
      </c>
      <c r="BU1467" t="str">
        <f t="shared" si="1248"/>
        <v>Velodrome</v>
      </c>
    </row>
    <row r="1468" spans="1:73" x14ac:dyDescent="0.2">
      <c r="A1468">
        <f t="shared" si="1234"/>
        <v>1</v>
      </c>
      <c r="J1468" s="44" t="str">
        <f t="shared" si="1249"/>
        <v>o</v>
      </c>
      <c r="K1468" t="s">
        <v>238</v>
      </c>
      <c r="L1468" t="s">
        <v>174</v>
      </c>
      <c r="M1468" t="s">
        <v>85</v>
      </c>
      <c r="S1468">
        <v>786</v>
      </c>
      <c r="W1468" t="str">
        <f t="shared" si="1225"/>
        <v>h</v>
      </c>
      <c r="X1468">
        <v>84</v>
      </c>
      <c r="Y1468" t="e">
        <f>IF(X1468&lt;&gt;"",VLOOKUP(X1468,game_rosters!$C$43:$E$64,3,FALSE))</f>
        <v>#N/A</v>
      </c>
      <c r="Z1468" t="str" cm="1">
        <f t="array" ref="Z1468">IFERROR(IF(_xlfn._xlws.FILTER(game_rosters!$J:$J,(game_rosters!$G:$G=events!$AN1468)*(game_rosters!$J:$J=events!$X1468))&gt;0,1,""),"")</f>
        <v/>
      </c>
      <c r="AA1468">
        <f t="shared" si="1273"/>
        <v>1786</v>
      </c>
      <c r="AB1468" t="str">
        <f t="shared" si="1274"/>
        <v/>
      </c>
      <c r="AC1468">
        <f t="shared" si="1222"/>
        <v>1786</v>
      </c>
      <c r="AD1468" s="6">
        <v>2</v>
      </c>
      <c r="AE1468" t="s">
        <v>940</v>
      </c>
      <c r="AF1468" t="s">
        <v>865</v>
      </c>
      <c r="AG1468" t="s">
        <v>940</v>
      </c>
      <c r="AH1468" t="s">
        <v>904</v>
      </c>
      <c r="AI1468" t="s">
        <v>368</v>
      </c>
      <c r="AJ1468" t="str">
        <f t="shared" ref="AJ1468:AK1468" si="1306">IF($J1468&lt;&gt;"",$J1468,IF($AC1468=$AC1467,AJ1467,""))</f>
        <v>o</v>
      </c>
      <c r="AK1468" t="str">
        <f t="shared" si="1306"/>
        <v>o</v>
      </c>
      <c r="AL1468" t="str">
        <f t="shared" si="1227"/>
        <v>o</v>
      </c>
      <c r="AN1468" t="s">
        <v>861</v>
      </c>
      <c r="AO1468" t="str">
        <f t="shared" si="1228"/>
        <v>h</v>
      </c>
      <c r="AP1468" t="str">
        <f t="shared" si="1236"/>
        <v>o</v>
      </c>
      <c r="AQ1468" t="str">
        <f t="shared" si="1237"/>
        <v/>
      </c>
      <c r="AR1468" t="str">
        <f t="shared" si="1238"/>
        <v>Home</v>
      </c>
      <c r="AS1468" t="str">
        <f t="shared" si="1239"/>
        <v>h</v>
      </c>
      <c r="AT1468" t="str">
        <f t="shared" si="1240"/>
        <v>Defensive</v>
      </c>
      <c r="BA1468" s="6">
        <f t="shared" si="1229"/>
        <v>335</v>
      </c>
      <c r="BB1468">
        <f t="shared" si="1230"/>
        <v>18981</v>
      </c>
      <c r="BC1468" t="str">
        <f t="shared" si="1231"/>
        <v>Nelson</v>
      </c>
      <c r="BD1468" t="str">
        <f t="shared" si="1232"/>
        <v>Velodrome</v>
      </c>
      <c r="BE1468" t="s">
        <v>238</v>
      </c>
      <c r="BF1468" t="s">
        <v>174</v>
      </c>
      <c r="BG1468" t="s">
        <v>85</v>
      </c>
      <c r="BI1468" cm="1">
        <f t="array" ref="BI1468">IFERROR(_xlfn._xlws.FILTER(shifts!A:A,(shifts!B:B=events!AD1468)*(shifts!AG:AG&gt;=events!BK1468)*(shifts!AH:AH&lt;=events!BL1468)),BI1467)</f>
        <v>63</v>
      </c>
      <c r="BJ1468" s="15">
        <f t="shared" si="1233"/>
        <v>2</v>
      </c>
      <c r="BK1468">
        <f t="shared" si="1241"/>
        <v>218</v>
      </c>
      <c r="BL1468">
        <f t="shared" si="1242"/>
        <v>216</v>
      </c>
      <c r="BM1468" s="15">
        <f>SUMIFS(BJ$2:BJ1468,K$2:K1468,"=Intermission")+SUMIFS(BJ$2:BJ1468,K$2:K1468,"=Timeout")</f>
        <v>72</v>
      </c>
      <c r="BN1468">
        <f t="shared" si="1243"/>
        <v>1152</v>
      </c>
      <c r="BO1468" s="19">
        <f t="shared" si="1244"/>
        <v>2014</v>
      </c>
      <c r="BP1468">
        <f t="shared" si="1245"/>
        <v>2009</v>
      </c>
      <c r="BQ1468" s="17">
        <f t="shared" si="1246"/>
        <v>2016</v>
      </c>
      <c r="BR1468" t="str">
        <f t="shared" si="1247"/>
        <v>opp_team_player_2</v>
      </c>
      <c r="BS1468">
        <f>COUNTIFS(S$3:S1468,"="&amp;S1468,AI$3:AI1468,"="&amp;AI1468)</f>
        <v>2</v>
      </c>
      <c r="BT1468" t="str">
        <f>IFERROR(VLOOKUP(BB1468&amp;BU1468&amp;X1468,game_rosters!U:W,3,FALSE),"")</f>
        <v>P100198</v>
      </c>
      <c r="BU1468" t="str">
        <f t="shared" si="1248"/>
        <v>Velodrome</v>
      </c>
    </row>
    <row r="1469" spans="1:73" x14ac:dyDescent="0.2">
      <c r="A1469">
        <f t="shared" si="1234"/>
        <v>1</v>
      </c>
      <c r="J1469" s="44" t="str">
        <f t="shared" si="1249"/>
        <v>o</v>
      </c>
      <c r="K1469" t="s">
        <v>6</v>
      </c>
      <c r="L1469" t="s">
        <v>191</v>
      </c>
      <c r="M1469" t="s">
        <v>51</v>
      </c>
      <c r="S1469">
        <v>787</v>
      </c>
      <c r="W1469" t="str">
        <f t="shared" si="1225"/>
        <v>h</v>
      </c>
      <c r="X1469">
        <v>37</v>
      </c>
      <c r="Y1469" t="b">
        <f>IF(X1469&lt;&gt;"",VLOOKUP(X1469,game_rosters!$C$43:$E$64,3,FALSE))</f>
        <v>0</v>
      </c>
      <c r="Z1469" cm="1">
        <f t="array" ref="Z1469">IFERROR(IF(_xlfn._xlws.FILTER(game_rosters!$J:$J,(game_rosters!$G:$G=events!$AN1469)*(game_rosters!$J:$J=events!$X1469))&gt;0,1,""),"")</f>
        <v>1</v>
      </c>
      <c r="AA1469">
        <f t="shared" si="1273"/>
        <v>1787</v>
      </c>
      <c r="AB1469" t="str">
        <f t="shared" si="1274"/>
        <v/>
      </c>
      <c r="AC1469">
        <f t="shared" si="1222"/>
        <v>1787</v>
      </c>
      <c r="AD1469" s="6">
        <v>2</v>
      </c>
      <c r="AE1469" t="s">
        <v>940</v>
      </c>
      <c r="AF1469" t="s">
        <v>904</v>
      </c>
      <c r="AG1469" t="s">
        <v>756</v>
      </c>
      <c r="AH1469" t="s">
        <v>756</v>
      </c>
      <c r="AI1469" t="s">
        <v>367</v>
      </c>
      <c r="AJ1469" t="str">
        <f t="shared" ref="AJ1469:AK1469" si="1307">IF($J1469&lt;&gt;"",$J1469,IF($AC1469=$AC1468,AJ1468,""))</f>
        <v>o</v>
      </c>
      <c r="AK1469" t="str">
        <f t="shared" si="1307"/>
        <v>o</v>
      </c>
      <c r="AL1469" t="str">
        <f t="shared" si="1227"/>
        <v>o</v>
      </c>
      <c r="AN1469" t="s">
        <v>861</v>
      </c>
      <c r="AO1469" t="str">
        <f t="shared" si="1228"/>
        <v>h</v>
      </c>
      <c r="AP1469" t="str">
        <f t="shared" si="1236"/>
        <v>o</v>
      </c>
      <c r="AQ1469" t="str">
        <f t="shared" si="1237"/>
        <v/>
      </c>
      <c r="AR1469" t="str">
        <f t="shared" si="1238"/>
        <v>Home</v>
      </c>
      <c r="AS1469" t="str">
        <f t="shared" si="1239"/>
        <v>h</v>
      </c>
      <c r="AT1469" t="str">
        <f t="shared" si="1240"/>
        <v>Offensive</v>
      </c>
      <c r="BA1469" s="6">
        <f t="shared" si="1229"/>
        <v>335</v>
      </c>
      <c r="BB1469">
        <f t="shared" si="1230"/>
        <v>18981</v>
      </c>
      <c r="BC1469" t="str">
        <f t="shared" si="1231"/>
        <v>Nelson</v>
      </c>
      <c r="BD1469" t="str">
        <f t="shared" si="1232"/>
        <v>Velodrome</v>
      </c>
      <c r="BE1469" t="s">
        <v>6</v>
      </c>
      <c r="BF1469" t="s">
        <v>191</v>
      </c>
      <c r="BG1469" t="s">
        <v>51</v>
      </c>
      <c r="BI1469" cm="1">
        <f t="array" ref="BI1469">IFERROR(_xlfn._xlws.FILTER(shifts!A:A,(shifts!B:B=events!AD1469)*(shifts!AG:AG&gt;=events!BK1469)*(shifts!AH:AH&lt;=events!BL1469)),BI1468)</f>
        <v>63</v>
      </c>
      <c r="BJ1469" s="15">
        <f t="shared" si="1233"/>
        <v>0</v>
      </c>
      <c r="BK1469">
        <f t="shared" si="1241"/>
        <v>216</v>
      </c>
      <c r="BL1469">
        <f t="shared" si="1242"/>
        <v>216</v>
      </c>
      <c r="BM1469" s="15">
        <f>SUMIFS(BJ$2:BJ1469,K$2:K1469,"=Intermission")+SUMIFS(BJ$2:BJ1469,K$2:K1469,"=Timeout")</f>
        <v>72</v>
      </c>
      <c r="BN1469">
        <f t="shared" si="1243"/>
        <v>1152</v>
      </c>
      <c r="BO1469" s="19">
        <f t="shared" si="1244"/>
        <v>2016</v>
      </c>
      <c r="BP1469">
        <f t="shared" si="1245"/>
        <v>2011</v>
      </c>
      <c r="BQ1469" s="17">
        <f t="shared" si="1246"/>
        <v>2016</v>
      </c>
      <c r="BR1469" t="str">
        <f t="shared" si="1247"/>
        <v>event_team_player_1</v>
      </c>
      <c r="BS1469">
        <f>COUNTIFS(S$3:S1469,"="&amp;S1469,AI$3:AI1469,"="&amp;AI1469)</f>
        <v>1</v>
      </c>
      <c r="BT1469" t="str">
        <f>IFERROR(VLOOKUP(BB1469&amp;BU1469&amp;X1469,game_rosters!U:W,3,FALSE),"")</f>
        <v>P100119</v>
      </c>
      <c r="BU1469" t="str">
        <f t="shared" si="1248"/>
        <v>Nelson</v>
      </c>
    </row>
    <row r="1470" spans="1:73" x14ac:dyDescent="0.2">
      <c r="A1470">
        <f t="shared" si="1234"/>
        <v>1</v>
      </c>
      <c r="J1470" s="44" t="str">
        <f t="shared" si="1249"/>
        <v>o</v>
      </c>
      <c r="K1470" t="s">
        <v>6</v>
      </c>
      <c r="L1470" t="s">
        <v>191</v>
      </c>
      <c r="M1470" t="s">
        <v>51</v>
      </c>
      <c r="S1470">
        <v>787</v>
      </c>
      <c r="W1470" t="str">
        <f t="shared" si="1225"/>
        <v>h</v>
      </c>
      <c r="X1470">
        <v>84</v>
      </c>
      <c r="Y1470" t="e">
        <f>IF(X1470&lt;&gt;"",VLOOKUP(X1470,game_rosters!$C$43:$E$64,3,FALSE))</f>
        <v>#N/A</v>
      </c>
      <c r="Z1470" t="str" cm="1">
        <f t="array" ref="Z1470">IFERROR(IF(_xlfn._xlws.FILTER(game_rosters!$J:$J,(game_rosters!$G:$G=events!$AN1470)*(game_rosters!$J:$J=events!$X1470))&gt;0,1,""),"")</f>
        <v/>
      </c>
      <c r="AA1470">
        <f t="shared" si="1273"/>
        <v>1787</v>
      </c>
      <c r="AB1470" t="str">
        <f t="shared" si="1274"/>
        <v/>
      </c>
      <c r="AC1470">
        <f t="shared" si="1222"/>
        <v>1787</v>
      </c>
      <c r="AD1470" s="6">
        <v>2</v>
      </c>
      <c r="AE1470" t="s">
        <v>940</v>
      </c>
      <c r="AF1470" t="s">
        <v>904</v>
      </c>
      <c r="AG1470" t="s">
        <v>756</v>
      </c>
      <c r="AH1470" t="s">
        <v>756</v>
      </c>
      <c r="AI1470" t="s">
        <v>368</v>
      </c>
      <c r="AJ1470" t="str">
        <f t="shared" ref="AJ1470:AK1470" si="1308">IF($J1470&lt;&gt;"",$J1470,IF($AC1470=$AC1469,AJ1469,""))</f>
        <v>o</v>
      </c>
      <c r="AK1470" t="str">
        <f t="shared" si="1308"/>
        <v>o</v>
      </c>
      <c r="AL1470" t="str">
        <f t="shared" si="1227"/>
        <v>o</v>
      </c>
      <c r="AN1470" t="s">
        <v>861</v>
      </c>
      <c r="AO1470" t="str">
        <f t="shared" si="1228"/>
        <v>h</v>
      </c>
      <c r="AP1470" t="str">
        <f t="shared" si="1236"/>
        <v>o</v>
      </c>
      <c r="AQ1470" t="str">
        <f t="shared" si="1237"/>
        <v/>
      </c>
      <c r="AR1470" t="str">
        <f t="shared" si="1238"/>
        <v>Home</v>
      </c>
      <c r="AS1470" t="str">
        <f t="shared" si="1239"/>
        <v>h</v>
      </c>
      <c r="AT1470" t="str">
        <f t="shared" si="1240"/>
        <v>Defensive</v>
      </c>
      <c r="BA1470" s="6">
        <f t="shared" si="1229"/>
        <v>335</v>
      </c>
      <c r="BB1470">
        <f t="shared" si="1230"/>
        <v>18981</v>
      </c>
      <c r="BC1470" t="str">
        <f t="shared" si="1231"/>
        <v>Nelson</v>
      </c>
      <c r="BD1470" t="str">
        <f t="shared" si="1232"/>
        <v>Velodrome</v>
      </c>
      <c r="BE1470" t="s">
        <v>6</v>
      </c>
      <c r="BF1470" t="s">
        <v>191</v>
      </c>
      <c r="BG1470" t="s">
        <v>51</v>
      </c>
      <c r="BI1470" cm="1">
        <f t="array" ref="BI1470">IFERROR(_xlfn._xlws.FILTER(shifts!A:A,(shifts!B:B=events!AD1470)*(shifts!AG:AG&gt;=events!BK1470)*(shifts!AH:AH&lt;=events!BL1470)),BI1469)</f>
        <v>63</v>
      </c>
      <c r="BJ1470" s="15">
        <f t="shared" si="1233"/>
        <v>0</v>
      </c>
      <c r="BK1470">
        <f t="shared" si="1241"/>
        <v>216</v>
      </c>
      <c r="BL1470">
        <f t="shared" si="1242"/>
        <v>216</v>
      </c>
      <c r="BM1470" s="15">
        <f>SUMIFS(BJ$2:BJ1470,K$2:K1470,"=Intermission")+SUMIFS(BJ$2:BJ1470,K$2:K1470,"=Timeout")</f>
        <v>72</v>
      </c>
      <c r="BN1470">
        <f t="shared" si="1243"/>
        <v>1152</v>
      </c>
      <c r="BO1470" s="19">
        <f t="shared" si="1244"/>
        <v>2016</v>
      </c>
      <c r="BP1470">
        <f t="shared" si="1245"/>
        <v>2011</v>
      </c>
      <c r="BQ1470" s="17">
        <f t="shared" si="1246"/>
        <v>2016</v>
      </c>
      <c r="BR1470" t="str">
        <f t="shared" si="1247"/>
        <v>opp_team_player_1</v>
      </c>
      <c r="BS1470">
        <f>COUNTIFS(S$3:S1470,"="&amp;S1470,AI$3:AI1470,"="&amp;AI1470)</f>
        <v>1</v>
      </c>
      <c r="BT1470" t="str">
        <f>IFERROR(VLOOKUP(BB1470&amp;BU1470&amp;X1470,game_rosters!U:W,3,FALSE),"")</f>
        <v>P100198</v>
      </c>
      <c r="BU1470" t="str">
        <f t="shared" si="1248"/>
        <v>Velodrome</v>
      </c>
    </row>
    <row r="1471" spans="1:73" x14ac:dyDescent="0.2">
      <c r="A1471">
        <f t="shared" si="1234"/>
        <v>1</v>
      </c>
      <c r="J1471" s="44" t="str">
        <f t="shared" si="1249"/>
        <v/>
      </c>
      <c r="K1471" t="s">
        <v>11</v>
      </c>
      <c r="L1471" t="s">
        <v>187</v>
      </c>
      <c r="M1471" t="s">
        <v>105</v>
      </c>
      <c r="S1471">
        <v>788</v>
      </c>
      <c r="W1471" t="str">
        <f t="shared" si="1225"/>
        <v>h</v>
      </c>
      <c r="X1471">
        <v>37</v>
      </c>
      <c r="Y1471" t="b">
        <f>IF(X1471&lt;&gt;"",VLOOKUP(X1471,game_rosters!$C$43:$E$64,3,FALSE))</f>
        <v>0</v>
      </c>
      <c r="Z1471" cm="1">
        <f t="array" ref="Z1471">IFERROR(IF(_xlfn._xlws.FILTER(game_rosters!$J:$J,(game_rosters!$G:$G=events!$AN1471)*(game_rosters!$J:$J=events!$X1471))&gt;0,1,""),"")</f>
        <v>1</v>
      </c>
      <c r="AA1471">
        <f t="shared" si="1273"/>
        <v>1788</v>
      </c>
      <c r="AB1471" t="str">
        <f t="shared" si="1274"/>
        <v/>
      </c>
      <c r="AC1471">
        <f t="shared" si="1222"/>
        <v>1788</v>
      </c>
      <c r="AD1471" s="6">
        <v>2</v>
      </c>
      <c r="AE1471" t="s">
        <v>940</v>
      </c>
      <c r="AF1471" t="s">
        <v>904</v>
      </c>
      <c r="AG1471" t="s">
        <v>756</v>
      </c>
      <c r="AH1471" t="s">
        <v>756</v>
      </c>
      <c r="AI1471" t="s">
        <v>367</v>
      </c>
      <c r="AJ1471" t="str">
        <f t="shared" ref="AJ1471:AK1471" si="1309">IF($J1471&lt;&gt;"",$J1471,IF($AC1471=$AC1470,AJ1470,""))</f>
        <v/>
      </c>
      <c r="AK1471" t="str">
        <f t="shared" si="1309"/>
        <v/>
      </c>
      <c r="AL1471" t="str">
        <f t="shared" si="1227"/>
        <v/>
      </c>
      <c r="AN1471" t="s">
        <v>861</v>
      </c>
      <c r="AO1471" t="str">
        <f t="shared" si="1228"/>
        <v>h</v>
      </c>
      <c r="AP1471" t="str">
        <f t="shared" si="1236"/>
        <v/>
      </c>
      <c r="AQ1471" t="str">
        <f t="shared" si="1237"/>
        <v/>
      </c>
      <c r="AR1471" t="str">
        <f t="shared" si="1238"/>
        <v>Home</v>
      </c>
      <c r="AS1471" t="str">
        <f t="shared" si="1239"/>
        <v>h</v>
      </c>
      <c r="AT1471" t="str">
        <f t="shared" si="1240"/>
        <v/>
      </c>
      <c r="BA1471" s="6">
        <f t="shared" si="1229"/>
        <v>335</v>
      </c>
      <c r="BB1471">
        <f t="shared" si="1230"/>
        <v>18981</v>
      </c>
      <c r="BC1471" t="str">
        <f t="shared" si="1231"/>
        <v>Nelson</v>
      </c>
      <c r="BD1471" t="str">
        <f t="shared" si="1232"/>
        <v>Velodrome</v>
      </c>
      <c r="BE1471" t="s">
        <v>11</v>
      </c>
      <c r="BF1471" t="s">
        <v>187</v>
      </c>
      <c r="BG1471" t="s">
        <v>105</v>
      </c>
      <c r="BI1471" cm="1">
        <f t="array" ref="BI1471">IFERROR(_xlfn._xlws.FILTER(shifts!A:A,(shifts!B:B=events!AD1471)*(shifts!AG:AG&gt;=events!BK1471)*(shifts!AH:AH&lt;=events!BL1471)),BI1470)</f>
        <v>63</v>
      </c>
      <c r="BJ1471" s="15">
        <f t="shared" si="1233"/>
        <v>0</v>
      </c>
      <c r="BK1471">
        <f t="shared" si="1241"/>
        <v>216</v>
      </c>
      <c r="BL1471">
        <f t="shared" si="1242"/>
        <v>216</v>
      </c>
      <c r="BM1471" s="15">
        <f>SUMIFS(BJ$2:BJ1471,K$2:K1471,"=Intermission")+SUMIFS(BJ$2:BJ1471,K$2:K1471,"=Timeout")</f>
        <v>72</v>
      </c>
      <c r="BN1471">
        <f t="shared" si="1243"/>
        <v>1152</v>
      </c>
      <c r="BO1471" s="19">
        <f t="shared" si="1244"/>
        <v>2016</v>
      </c>
      <c r="BP1471">
        <f t="shared" si="1245"/>
        <v>2011</v>
      </c>
      <c r="BQ1471" s="17">
        <f t="shared" si="1246"/>
        <v>2016</v>
      </c>
      <c r="BR1471" t="str">
        <f t="shared" si="1247"/>
        <v>event_team_player_1</v>
      </c>
      <c r="BS1471">
        <f>COUNTIFS(S$3:S1471,"="&amp;S1471,AI$3:AI1471,"="&amp;AI1471)</f>
        <v>1</v>
      </c>
      <c r="BT1471" t="str">
        <f>IFERROR(VLOOKUP(BB1471&amp;BU1471&amp;X1471,game_rosters!U:W,3,FALSE),"")</f>
        <v>P100119</v>
      </c>
      <c r="BU1471" t="str">
        <f t="shared" si="1248"/>
        <v>Nelson</v>
      </c>
    </row>
    <row r="1472" spans="1:73" x14ac:dyDescent="0.2">
      <c r="A1472">
        <f t="shared" si="1234"/>
        <v>1</v>
      </c>
      <c r="J1472" s="44" t="str">
        <f t="shared" si="1249"/>
        <v/>
      </c>
      <c r="K1472" t="s">
        <v>241</v>
      </c>
      <c r="L1472" t="s">
        <v>756</v>
      </c>
      <c r="M1472" t="s">
        <v>756</v>
      </c>
      <c r="S1472">
        <v>789</v>
      </c>
      <c r="W1472" t="str">
        <f t="shared" si="1225"/>
        <v>h</v>
      </c>
      <c r="X1472">
        <v>37</v>
      </c>
      <c r="Y1472" t="b">
        <f>IF(X1472&lt;&gt;"",VLOOKUP(X1472,game_rosters!$C$43:$E$64,3,FALSE))</f>
        <v>0</v>
      </c>
      <c r="Z1472" cm="1">
        <f t="array" ref="Z1472">IFERROR(IF(_xlfn._xlws.FILTER(game_rosters!$J:$J,(game_rosters!$G:$G=events!$AN1472)*(game_rosters!$J:$J=events!$X1472))&gt;0,1,""),"")</f>
        <v>1</v>
      </c>
      <c r="AA1472">
        <f t="shared" si="1273"/>
        <v>1789</v>
      </c>
      <c r="AB1472" t="str">
        <f t="shared" si="1274"/>
        <v/>
      </c>
      <c r="AC1472">
        <f t="shared" si="1222"/>
        <v>1789</v>
      </c>
      <c r="AD1472" s="6">
        <v>2</v>
      </c>
      <c r="AE1472" t="s">
        <v>940</v>
      </c>
      <c r="AF1472" t="s">
        <v>904</v>
      </c>
      <c r="AG1472" t="s">
        <v>940</v>
      </c>
      <c r="AH1472" t="s">
        <v>746</v>
      </c>
      <c r="AI1472" t="s">
        <v>367</v>
      </c>
      <c r="AJ1472" t="str">
        <f t="shared" ref="AJ1472:AK1472" si="1310">IF($J1472&lt;&gt;"",$J1472,IF($AC1472=$AC1471,AJ1471,""))</f>
        <v/>
      </c>
      <c r="AK1472" t="str">
        <f t="shared" si="1310"/>
        <v/>
      </c>
      <c r="AL1472" t="str">
        <f t="shared" si="1227"/>
        <v/>
      </c>
      <c r="AN1472" t="s">
        <v>861</v>
      </c>
      <c r="AO1472" t="str">
        <f t="shared" si="1228"/>
        <v>h</v>
      </c>
      <c r="AP1472" t="str">
        <f t="shared" si="1236"/>
        <v/>
      </c>
      <c r="AQ1472" t="str">
        <f t="shared" si="1237"/>
        <v/>
      </c>
      <c r="AR1472" t="str">
        <f t="shared" si="1238"/>
        <v>Home</v>
      </c>
      <c r="AS1472" t="str">
        <f t="shared" si="1239"/>
        <v>h</v>
      </c>
      <c r="AT1472" t="str">
        <f t="shared" si="1240"/>
        <v/>
      </c>
      <c r="BA1472" s="6">
        <f t="shared" si="1229"/>
        <v>335</v>
      </c>
      <c r="BB1472">
        <f t="shared" si="1230"/>
        <v>18981</v>
      </c>
      <c r="BC1472" t="str">
        <f t="shared" si="1231"/>
        <v>Nelson</v>
      </c>
      <c r="BD1472" t="str">
        <f t="shared" si="1232"/>
        <v>Velodrome</v>
      </c>
      <c r="BE1472" t="s">
        <v>241</v>
      </c>
      <c r="BF1472" t="s">
        <v>756</v>
      </c>
      <c r="BG1472" t="s">
        <v>756</v>
      </c>
      <c r="BI1472" cm="1">
        <f t="array" ref="BI1472">IFERROR(_xlfn._xlws.FILTER(shifts!A:A,(shifts!B:B=events!AD1472)*(shifts!AG:AG&gt;=events!BK1472)*(shifts!AH:AH&lt;=events!BL1472)),BI1471)</f>
        <v>63</v>
      </c>
      <c r="BJ1472" s="15">
        <f t="shared" si="1233"/>
        <v>24</v>
      </c>
      <c r="BK1472">
        <f t="shared" si="1241"/>
        <v>216</v>
      </c>
      <c r="BL1472">
        <f t="shared" si="1242"/>
        <v>192</v>
      </c>
      <c r="BM1472" s="15">
        <f>SUMIFS(BJ$2:BJ1472,K$2:K1472,"=Intermission")+SUMIFS(BJ$2:BJ1472,K$2:K1472,"=Timeout")</f>
        <v>72</v>
      </c>
      <c r="BN1472">
        <f t="shared" si="1243"/>
        <v>1152</v>
      </c>
      <c r="BO1472" s="19">
        <f t="shared" si="1244"/>
        <v>2016</v>
      </c>
      <c r="BP1472">
        <f t="shared" si="1245"/>
        <v>2011</v>
      </c>
      <c r="BQ1472" s="17">
        <f t="shared" si="1246"/>
        <v>2040</v>
      </c>
      <c r="BR1472" t="str">
        <f t="shared" si="1247"/>
        <v>event_team_player_1</v>
      </c>
      <c r="BS1472">
        <f>COUNTIFS(S$3:S1472,"="&amp;S1472,AI$3:AI1472,"="&amp;AI1472)</f>
        <v>1</v>
      </c>
      <c r="BT1472" t="str">
        <f>IFERROR(VLOOKUP(BB1472&amp;BU1472&amp;X1472,game_rosters!U:W,3,FALSE),"")</f>
        <v>P100119</v>
      </c>
      <c r="BU1472" t="str">
        <f t="shared" si="1248"/>
        <v>Nelson</v>
      </c>
    </row>
    <row r="1473" spans="1:73" x14ac:dyDescent="0.2">
      <c r="A1473">
        <f t="shared" si="1234"/>
        <v>1</v>
      </c>
      <c r="J1473" s="44" t="str">
        <f t="shared" si="1249"/>
        <v/>
      </c>
      <c r="K1473" t="s">
        <v>5</v>
      </c>
      <c r="L1473" t="s">
        <v>236</v>
      </c>
      <c r="M1473" t="s">
        <v>756</v>
      </c>
      <c r="S1473">
        <v>790</v>
      </c>
      <c r="W1473" t="str">
        <f t="shared" si="1225"/>
        <v>a</v>
      </c>
      <c r="X1473">
        <v>42</v>
      </c>
      <c r="Y1473" t="e">
        <f>IF(X1473&lt;&gt;"",VLOOKUP(X1473,game_rosters!$C$43:$E$64,3,FALSE))</f>
        <v>#N/A</v>
      </c>
      <c r="Z1473" cm="1">
        <f t="array" ref="Z1473">IFERROR(IF(_xlfn._xlws.FILTER(game_rosters!$J:$J,(game_rosters!$G:$G=events!$AN1473)*(game_rosters!$J:$J=events!$X1473))&gt;0,1,""),"")</f>
        <v>1</v>
      </c>
      <c r="AA1473">
        <f t="shared" si="1273"/>
        <v>1790</v>
      </c>
      <c r="AB1473" t="str">
        <f t="shared" si="1274"/>
        <v/>
      </c>
      <c r="AC1473">
        <f t="shared" si="1222"/>
        <v>1790</v>
      </c>
      <c r="AD1473" s="6">
        <v>2</v>
      </c>
      <c r="AE1473" t="s">
        <v>940</v>
      </c>
      <c r="AF1473" t="s">
        <v>746</v>
      </c>
      <c r="AG1473" t="s">
        <v>756</v>
      </c>
      <c r="AH1473" t="s">
        <v>756</v>
      </c>
      <c r="AI1473" t="s">
        <v>367</v>
      </c>
      <c r="AJ1473" t="str">
        <f t="shared" ref="AJ1473:AK1473" si="1311">IF($J1473&lt;&gt;"",$J1473,IF($AC1473=$AC1472,AJ1472,""))</f>
        <v/>
      </c>
      <c r="AK1473" t="str">
        <f t="shared" si="1311"/>
        <v/>
      </c>
      <c r="AL1473" t="str">
        <f t="shared" si="1227"/>
        <v/>
      </c>
      <c r="AN1473" t="s">
        <v>862</v>
      </c>
      <c r="AO1473" t="str">
        <f t="shared" si="1228"/>
        <v>a</v>
      </c>
      <c r="AP1473" t="str">
        <f t="shared" si="1236"/>
        <v/>
      </c>
      <c r="AQ1473" t="str">
        <f t="shared" si="1237"/>
        <v/>
      </c>
      <c r="AR1473" t="str">
        <f t="shared" si="1238"/>
        <v>Away</v>
      </c>
      <c r="AS1473" t="str">
        <f t="shared" si="1239"/>
        <v>a</v>
      </c>
      <c r="AT1473" t="str">
        <f t="shared" si="1240"/>
        <v>Offensive</v>
      </c>
      <c r="BA1473" s="6">
        <f t="shared" si="1229"/>
        <v>335</v>
      </c>
      <c r="BB1473">
        <f t="shared" si="1230"/>
        <v>18981</v>
      </c>
      <c r="BC1473" t="str">
        <f t="shared" si="1231"/>
        <v>Nelson</v>
      </c>
      <c r="BD1473" t="str">
        <f t="shared" si="1232"/>
        <v>Velodrome</v>
      </c>
      <c r="BE1473" t="s">
        <v>5</v>
      </c>
      <c r="BF1473" t="s">
        <v>236</v>
      </c>
      <c r="BG1473" t="s">
        <v>756</v>
      </c>
      <c r="BI1473" cm="1">
        <f t="array" ref="BI1473">IFERROR(_xlfn._xlws.FILTER(shifts!A:A,(shifts!B:B=events!AD1473)*(shifts!AG:AG&gt;=events!BK1473)*(shifts!AH:AH&lt;=events!BL1473)),BI1472)</f>
        <v>65</v>
      </c>
      <c r="BJ1473" s="15">
        <f t="shared" si="1233"/>
        <v>0</v>
      </c>
      <c r="BK1473">
        <f t="shared" si="1241"/>
        <v>192</v>
      </c>
      <c r="BL1473">
        <f t="shared" si="1242"/>
        <v>192</v>
      </c>
      <c r="BM1473" s="15">
        <f>SUMIFS(BJ$2:BJ1473,K$2:K1473,"=Intermission")+SUMIFS(BJ$2:BJ1473,K$2:K1473,"=Timeout")</f>
        <v>72</v>
      </c>
      <c r="BN1473">
        <f t="shared" si="1243"/>
        <v>1152</v>
      </c>
      <c r="BO1473" s="19">
        <f t="shared" si="1244"/>
        <v>2040</v>
      </c>
      <c r="BP1473">
        <f t="shared" si="1245"/>
        <v>2035</v>
      </c>
      <c r="BQ1473" s="17">
        <f t="shared" si="1246"/>
        <v>2040</v>
      </c>
      <c r="BR1473" t="str">
        <f t="shared" si="1247"/>
        <v>event_team_player_1</v>
      </c>
      <c r="BS1473">
        <f>COUNTIFS(S$3:S1473,"="&amp;S1473,AI$3:AI1473,"="&amp;AI1473)</f>
        <v>1</v>
      </c>
      <c r="BT1473" t="str">
        <f>IFERROR(VLOOKUP(BB1473&amp;BU1473&amp;X1473,game_rosters!U:W,3,FALSE),"")</f>
        <v>P100201</v>
      </c>
      <c r="BU1473" t="str">
        <f t="shared" si="1248"/>
        <v>Velodrome</v>
      </c>
    </row>
    <row r="1474" spans="1:73" x14ac:dyDescent="0.2">
      <c r="A1474">
        <f t="shared" si="1234"/>
        <v>1</v>
      </c>
      <c r="J1474" s="44" t="str">
        <f t="shared" si="1249"/>
        <v/>
      </c>
      <c r="K1474" t="s">
        <v>5</v>
      </c>
      <c r="L1474" t="s">
        <v>236</v>
      </c>
      <c r="M1474" t="s">
        <v>756</v>
      </c>
      <c r="S1474">
        <v>790</v>
      </c>
      <c r="W1474" t="str">
        <f t="shared" si="1225"/>
        <v>a</v>
      </c>
      <c r="X1474">
        <v>10</v>
      </c>
      <c r="Y1474" t="b">
        <f>IF(X1474&lt;&gt;"",VLOOKUP(X1474,game_rosters!$C$43:$E$64,3,FALSE))</f>
        <v>0</v>
      </c>
      <c r="Z1474" t="str" cm="1">
        <f t="array" ref="Z1474">IFERROR(IF(_xlfn._xlws.FILTER(game_rosters!$J:$J,(game_rosters!$G:$G=events!$AN1474)*(game_rosters!$J:$J=events!$X1474))&gt;0,1,""),"")</f>
        <v/>
      </c>
      <c r="AA1474">
        <f t="shared" si="1273"/>
        <v>1790</v>
      </c>
      <c r="AB1474" t="str">
        <f t="shared" si="1274"/>
        <v/>
      </c>
      <c r="AC1474">
        <f t="shared" ref="AC1474:AC1537" si="1312">IF(AB1474&lt;&gt;"",AB1474,S1474+1000)</f>
        <v>1790</v>
      </c>
      <c r="AD1474" s="6">
        <v>2</v>
      </c>
      <c r="AE1474" t="s">
        <v>940</v>
      </c>
      <c r="AF1474" t="s">
        <v>746</v>
      </c>
      <c r="AG1474" t="s">
        <v>756</v>
      </c>
      <c r="AH1474" t="s">
        <v>756</v>
      </c>
      <c r="AI1474" t="s">
        <v>368</v>
      </c>
      <c r="AJ1474" t="str">
        <f t="shared" ref="AJ1474:AK1474" si="1313">IF($J1474&lt;&gt;"",$J1474,IF($AC1474=$AC1473,AJ1473,""))</f>
        <v/>
      </c>
      <c r="AK1474" t="str">
        <f t="shared" si="1313"/>
        <v/>
      </c>
      <c r="AL1474" t="str">
        <f t="shared" si="1227"/>
        <v/>
      </c>
      <c r="AN1474" t="s">
        <v>862</v>
      </c>
      <c r="AO1474" t="str">
        <f t="shared" si="1228"/>
        <v>a</v>
      </c>
      <c r="AP1474" t="str">
        <f t="shared" si="1236"/>
        <v/>
      </c>
      <c r="AQ1474" t="str">
        <f t="shared" si="1237"/>
        <v/>
      </c>
      <c r="AR1474" t="str">
        <f t="shared" si="1238"/>
        <v>Away</v>
      </c>
      <c r="AS1474" t="str">
        <f t="shared" si="1239"/>
        <v>a</v>
      </c>
      <c r="AT1474" t="str">
        <f t="shared" si="1240"/>
        <v>Defensive</v>
      </c>
      <c r="BA1474" s="6">
        <f t="shared" si="1229"/>
        <v>335</v>
      </c>
      <c r="BB1474">
        <f t="shared" si="1230"/>
        <v>18981</v>
      </c>
      <c r="BC1474" t="str">
        <f t="shared" si="1231"/>
        <v>Nelson</v>
      </c>
      <c r="BD1474" t="str">
        <f t="shared" si="1232"/>
        <v>Velodrome</v>
      </c>
      <c r="BE1474" t="s">
        <v>5</v>
      </c>
      <c r="BF1474" t="s">
        <v>236</v>
      </c>
      <c r="BG1474" t="s">
        <v>756</v>
      </c>
      <c r="BI1474" cm="1">
        <f t="array" ref="BI1474">IFERROR(_xlfn._xlws.FILTER(shifts!A:A,(shifts!B:B=events!AD1474)*(shifts!AG:AG&gt;=events!BK1474)*(shifts!AH:AH&lt;=events!BL1474)),BI1473)</f>
        <v>65</v>
      </c>
      <c r="BJ1474" s="15">
        <f t="shared" si="1233"/>
        <v>0</v>
      </c>
      <c r="BK1474">
        <f t="shared" si="1241"/>
        <v>192</v>
      </c>
      <c r="BL1474">
        <f t="shared" si="1242"/>
        <v>192</v>
      </c>
      <c r="BM1474" s="15">
        <f>SUMIFS(BJ$2:BJ1474,K$2:K1474,"=Intermission")+SUMIFS(BJ$2:BJ1474,K$2:K1474,"=Timeout")</f>
        <v>72</v>
      </c>
      <c r="BN1474">
        <f t="shared" si="1243"/>
        <v>1152</v>
      </c>
      <c r="BO1474" s="19">
        <f t="shared" si="1244"/>
        <v>2040</v>
      </c>
      <c r="BP1474">
        <f t="shared" si="1245"/>
        <v>2035</v>
      </c>
      <c r="BQ1474" s="17">
        <f t="shared" si="1246"/>
        <v>2040</v>
      </c>
      <c r="BR1474" t="str">
        <f t="shared" si="1247"/>
        <v>opp_team_player_1</v>
      </c>
      <c r="BS1474">
        <f>COUNTIFS(S$3:S1474,"="&amp;S1474,AI$3:AI1474,"="&amp;AI1474)</f>
        <v>1</v>
      </c>
      <c r="BT1474" t="str">
        <f>IFERROR(VLOOKUP(BB1474&amp;BU1474&amp;X1474,game_rosters!U:W,3,FALSE),"")</f>
        <v>P100078</v>
      </c>
      <c r="BU1474" t="str">
        <f t="shared" si="1248"/>
        <v>Nelson</v>
      </c>
    </row>
    <row r="1475" spans="1:73" x14ac:dyDescent="0.2">
      <c r="A1475">
        <f t="shared" si="1234"/>
        <v>1</v>
      </c>
      <c r="J1475" s="44" t="str">
        <f t="shared" si="1249"/>
        <v>d</v>
      </c>
      <c r="K1475" t="s">
        <v>238</v>
      </c>
      <c r="L1475" t="s">
        <v>184</v>
      </c>
      <c r="M1475" t="s">
        <v>88</v>
      </c>
      <c r="S1475">
        <v>791</v>
      </c>
      <c r="W1475" t="str">
        <f t="shared" si="1225"/>
        <v>a</v>
      </c>
      <c r="X1475">
        <v>91</v>
      </c>
      <c r="Y1475" t="e">
        <f>IF(X1475&lt;&gt;"",VLOOKUP(X1475,game_rosters!$C$43:$E$64,3,FALSE))</f>
        <v>#N/A</v>
      </c>
      <c r="Z1475" cm="1">
        <f t="array" ref="Z1475">IFERROR(IF(_xlfn._xlws.FILTER(game_rosters!$J:$J,(game_rosters!$G:$G=events!$AN1475)*(game_rosters!$J:$J=events!$X1475))&gt;0,1,""),"")</f>
        <v>1</v>
      </c>
      <c r="AA1475">
        <f t="shared" si="1273"/>
        <v>1791</v>
      </c>
      <c r="AB1475" t="str">
        <f t="shared" si="1274"/>
        <v/>
      </c>
      <c r="AC1475">
        <f t="shared" si="1312"/>
        <v>1791</v>
      </c>
      <c r="AD1475" s="6">
        <v>2</v>
      </c>
      <c r="AE1475" t="s">
        <v>940</v>
      </c>
      <c r="AF1475" t="s">
        <v>939</v>
      </c>
      <c r="AG1475" t="s">
        <v>940</v>
      </c>
      <c r="AH1475" t="s">
        <v>747</v>
      </c>
      <c r="AI1475" t="s">
        <v>367</v>
      </c>
      <c r="AJ1475" t="str">
        <f t="shared" ref="AJ1475:AK1475" si="1314">IF($J1475&lt;&gt;"",$J1475,IF($AC1475=$AC1474,AJ1474,""))</f>
        <v>d</v>
      </c>
      <c r="AK1475" t="str">
        <f t="shared" si="1314"/>
        <v>d</v>
      </c>
      <c r="AL1475" t="str">
        <f t="shared" si="1227"/>
        <v>o</v>
      </c>
      <c r="AN1475" t="s">
        <v>862</v>
      </c>
      <c r="AO1475" t="str">
        <f t="shared" si="1228"/>
        <v>a</v>
      </c>
      <c r="AP1475" t="str">
        <f t="shared" si="1236"/>
        <v>o</v>
      </c>
      <c r="AQ1475" t="str">
        <f t="shared" si="1237"/>
        <v/>
      </c>
      <c r="AR1475" t="str">
        <f t="shared" si="1238"/>
        <v>Away</v>
      </c>
      <c r="AS1475" t="str">
        <f t="shared" si="1239"/>
        <v>a</v>
      </c>
      <c r="AT1475" t="str">
        <f t="shared" si="1240"/>
        <v>Offensive</v>
      </c>
      <c r="BA1475" s="6">
        <f t="shared" si="1229"/>
        <v>336</v>
      </c>
      <c r="BB1475">
        <f t="shared" si="1230"/>
        <v>18981</v>
      </c>
      <c r="BC1475" t="str">
        <f t="shared" si="1231"/>
        <v>Nelson</v>
      </c>
      <c r="BD1475" t="str">
        <f t="shared" si="1232"/>
        <v>Velodrome</v>
      </c>
      <c r="BE1475" t="s">
        <v>238</v>
      </c>
      <c r="BF1475" t="s">
        <v>184</v>
      </c>
      <c r="BG1475" t="s">
        <v>88</v>
      </c>
      <c r="BI1475" cm="1">
        <f t="array" ref="BI1475">IFERROR(_xlfn._xlws.FILTER(shifts!A:A,(shifts!B:B=events!AD1475)*(shifts!AG:AG&gt;=events!BK1475)*(shifts!AH:AH&lt;=events!BL1475)),BI1474)</f>
        <v>65</v>
      </c>
      <c r="BJ1475" s="15">
        <f t="shared" si="1233"/>
        <v>1</v>
      </c>
      <c r="BK1475">
        <f t="shared" si="1241"/>
        <v>188</v>
      </c>
      <c r="BL1475">
        <f t="shared" si="1242"/>
        <v>187</v>
      </c>
      <c r="BM1475" s="15">
        <f>SUMIFS(BJ$2:BJ1475,K$2:K1475,"=Intermission")+SUMIFS(BJ$2:BJ1475,K$2:K1475,"=Timeout")</f>
        <v>72</v>
      </c>
      <c r="BN1475">
        <f t="shared" si="1243"/>
        <v>1152</v>
      </c>
      <c r="BO1475" s="19">
        <f t="shared" si="1244"/>
        <v>2044</v>
      </c>
      <c r="BP1475">
        <f t="shared" si="1245"/>
        <v>2039</v>
      </c>
      <c r="BQ1475" s="17">
        <f t="shared" si="1246"/>
        <v>2045</v>
      </c>
      <c r="BR1475" t="str">
        <f t="shared" si="1247"/>
        <v>event_team_player_1</v>
      </c>
      <c r="BS1475">
        <f>COUNTIFS(S$3:S1475,"="&amp;S1475,AI$3:AI1475,"="&amp;AI1475)</f>
        <v>1</v>
      </c>
      <c r="BT1475" t="str">
        <f>IFERROR(VLOOKUP(BB1475&amp;BU1475&amp;X1475,game_rosters!U:W,3,FALSE),"")</f>
        <v>P100002</v>
      </c>
      <c r="BU1475" t="str">
        <f t="shared" si="1248"/>
        <v>Velodrome</v>
      </c>
    </row>
    <row r="1476" spans="1:73" x14ac:dyDescent="0.2">
      <c r="A1476">
        <f t="shared" si="1234"/>
        <v>1</v>
      </c>
      <c r="J1476" s="44" t="str">
        <f t="shared" si="1249"/>
        <v>d</v>
      </c>
      <c r="K1476" t="s">
        <v>238</v>
      </c>
      <c r="L1476" t="s">
        <v>184</v>
      </c>
      <c r="M1476" t="s">
        <v>88</v>
      </c>
      <c r="S1476">
        <v>791</v>
      </c>
      <c r="W1476" t="str">
        <f t="shared" ref="W1476:W1539" si="1315">IF(AN1476="Away","a",IF(AN1476="Home","h",""))</f>
        <v>a</v>
      </c>
      <c r="X1476">
        <v>23</v>
      </c>
      <c r="Y1476" t="b">
        <f>IF(X1476&lt;&gt;"",VLOOKUP(X1476,game_rosters!$C$43:$E$64,3,FALSE))</f>
        <v>0</v>
      </c>
      <c r="Z1476" t="str" cm="1">
        <f t="array" ref="Z1476">IFERROR(IF(_xlfn._xlws.FILTER(game_rosters!$J:$J,(game_rosters!$G:$G=events!$AN1476)*(game_rosters!$J:$J=events!$X1476))&gt;0,1,""),"")</f>
        <v/>
      </c>
      <c r="AA1476">
        <f t="shared" si="1273"/>
        <v>1791</v>
      </c>
      <c r="AB1476" t="str">
        <f t="shared" si="1274"/>
        <v/>
      </c>
      <c r="AC1476">
        <f t="shared" si="1312"/>
        <v>1791</v>
      </c>
      <c r="AD1476" s="6">
        <v>2</v>
      </c>
      <c r="AE1476" t="s">
        <v>940</v>
      </c>
      <c r="AF1476" t="s">
        <v>939</v>
      </c>
      <c r="AG1476" t="s">
        <v>940</v>
      </c>
      <c r="AH1476" t="s">
        <v>747</v>
      </c>
      <c r="AI1476" t="s">
        <v>368</v>
      </c>
      <c r="AJ1476" t="str">
        <f t="shared" ref="AJ1476:AK1476" si="1316">IF($J1476&lt;&gt;"",$J1476,IF($AC1476=$AC1475,AJ1475,""))</f>
        <v>d</v>
      </c>
      <c r="AK1476" t="str">
        <f t="shared" si="1316"/>
        <v>d</v>
      </c>
      <c r="AL1476" t="str">
        <f t="shared" ref="AL1476:AL1539" si="1317">IF($W1476="","",IF($AJ1476="","",IF($W1476="h",$AJ1476,IF($AJ1476="n","n",IF(AND($W1476="a",$AJ1476="d"),"o",IF(AND($W1476="a",$AJ1476="o"),"d"))))))</f>
        <v>o</v>
      </c>
      <c r="AN1476" t="s">
        <v>862</v>
      </c>
      <c r="AO1476" t="str">
        <f t="shared" ref="AO1476:AO1539" si="1318">IF($W1476&lt;&gt;"",$W1476,IF($AC1476=$AC1475,AO1475,""))</f>
        <v>a</v>
      </c>
      <c r="AP1476" t="str">
        <f t="shared" si="1236"/>
        <v>o</v>
      </c>
      <c r="AQ1476" t="str">
        <f t="shared" si="1237"/>
        <v/>
      </c>
      <c r="AR1476" t="str">
        <f t="shared" si="1238"/>
        <v>Away</v>
      </c>
      <c r="AS1476" t="str">
        <f t="shared" si="1239"/>
        <v>a</v>
      </c>
      <c r="AT1476" t="str">
        <f t="shared" si="1240"/>
        <v>Defensive</v>
      </c>
      <c r="BA1476" s="6">
        <f t="shared" ref="BA1476:BA1539" si="1319">IF(OR(L1476="Zone_Entry",L1476="Zone_Exit"),BA1475+1,BA1475)</f>
        <v>337</v>
      </c>
      <c r="BB1476">
        <f t="shared" ref="BB1476:BB1539" si="1320">BB1475</f>
        <v>18981</v>
      </c>
      <c r="BC1476" t="str">
        <f t="shared" ref="BC1476:BC1539" si="1321">BC1475</f>
        <v>Nelson</v>
      </c>
      <c r="BD1476" t="str">
        <f t="shared" ref="BD1476:BD1539" si="1322">BD1475</f>
        <v>Velodrome</v>
      </c>
      <c r="BE1476" t="s">
        <v>238</v>
      </c>
      <c r="BF1476" t="s">
        <v>184</v>
      </c>
      <c r="BG1476" t="s">
        <v>88</v>
      </c>
      <c r="BI1476" cm="1">
        <f t="array" ref="BI1476">IFERROR(_xlfn._xlws.FILTER(shifts!A:A,(shifts!B:B=events!AD1476)*(shifts!AG:AG&gt;=events!BK1476)*(shifts!AH:AH&lt;=events!BL1476)),BI1475)</f>
        <v>65</v>
      </c>
      <c r="BJ1476" s="15">
        <f t="shared" ref="BJ1476:BJ1539" si="1323">IF(AND(AG1476="",AH1476=""),0,((AE1476*60)+AF1476)-((AG1476*60)+AH1476))</f>
        <v>1</v>
      </c>
      <c r="BK1476">
        <f t="shared" si="1241"/>
        <v>188</v>
      </c>
      <c r="BL1476">
        <f t="shared" si="1242"/>
        <v>187</v>
      </c>
      <c r="BM1476" s="15">
        <f>SUMIFS(BJ$2:BJ1476,K$2:K1476,"=Intermission")+SUMIFS(BJ$2:BJ1476,K$2:K1476,"=Timeout")</f>
        <v>72</v>
      </c>
      <c r="BN1476">
        <f t="shared" si="1243"/>
        <v>1152</v>
      </c>
      <c r="BO1476" s="19">
        <f t="shared" si="1244"/>
        <v>2044</v>
      </c>
      <c r="BP1476">
        <f t="shared" si="1245"/>
        <v>2039</v>
      </c>
      <c r="BQ1476" s="17">
        <f t="shared" si="1246"/>
        <v>2045</v>
      </c>
      <c r="BR1476" t="str">
        <f t="shared" si="1247"/>
        <v>opp_team_player_1</v>
      </c>
      <c r="BS1476">
        <f>COUNTIFS(S$3:S1476,"="&amp;S1476,AI$3:AI1476,"="&amp;AI1476)</f>
        <v>1</v>
      </c>
      <c r="BT1476" t="str">
        <f>IFERROR(VLOOKUP(BB1476&amp;BU1476&amp;X1476,game_rosters!U:W,3,FALSE),"")</f>
        <v>P100061</v>
      </c>
      <c r="BU1476" t="str">
        <f t="shared" si="1248"/>
        <v>Nelson</v>
      </c>
    </row>
    <row r="1477" spans="1:73" x14ac:dyDescent="0.2">
      <c r="A1477">
        <f t="shared" ref="A1477:A1540" si="1324">IF(K1477&lt;&gt;"",1,IF(D1477="x","x",""))</f>
        <v>1</v>
      </c>
      <c r="J1477" s="44" t="str">
        <f t="shared" si="1249"/>
        <v/>
      </c>
      <c r="K1477" t="s">
        <v>13</v>
      </c>
      <c r="L1477" t="s">
        <v>756</v>
      </c>
      <c r="M1477" t="s">
        <v>756</v>
      </c>
      <c r="S1477">
        <v>792</v>
      </c>
      <c r="W1477" t="str">
        <f t="shared" si="1315"/>
        <v>a</v>
      </c>
      <c r="X1477">
        <v>91</v>
      </c>
      <c r="Y1477" t="e">
        <f>IF(X1477&lt;&gt;"",VLOOKUP(X1477,game_rosters!$C$43:$E$64,3,FALSE))</f>
        <v>#N/A</v>
      </c>
      <c r="Z1477" cm="1">
        <f t="array" ref="Z1477">IFERROR(IF(_xlfn._xlws.FILTER(game_rosters!$J:$J,(game_rosters!$G:$G=events!$AN1477)*(game_rosters!$J:$J=events!$X1477))&gt;0,1,""),"")</f>
        <v>1</v>
      </c>
      <c r="AA1477">
        <f t="shared" si="1273"/>
        <v>1792</v>
      </c>
      <c r="AB1477" t="str">
        <f t="shared" si="1274"/>
        <v/>
      </c>
      <c r="AC1477">
        <f t="shared" si="1312"/>
        <v>1792</v>
      </c>
      <c r="AD1477" s="6">
        <v>2</v>
      </c>
      <c r="AE1477" t="s">
        <v>940</v>
      </c>
      <c r="AF1477" t="s">
        <v>939</v>
      </c>
      <c r="AG1477" t="s">
        <v>940</v>
      </c>
      <c r="AH1477" t="s">
        <v>911</v>
      </c>
      <c r="AI1477" t="s">
        <v>367</v>
      </c>
      <c r="AJ1477" t="str">
        <f t="shared" ref="AJ1477:AK1477" si="1325">IF($J1477&lt;&gt;"",$J1477,IF($AC1477=$AC1476,AJ1476,""))</f>
        <v/>
      </c>
      <c r="AK1477" t="str">
        <f t="shared" si="1325"/>
        <v/>
      </c>
      <c r="AL1477" t="str">
        <f t="shared" si="1317"/>
        <v/>
      </c>
      <c r="AN1477" t="s">
        <v>862</v>
      </c>
      <c r="AO1477" t="str">
        <f t="shared" si="1318"/>
        <v>a</v>
      </c>
      <c r="AP1477" t="str">
        <f t="shared" ref="AP1477:AP1540" si="1326">IF(AL1477&lt;&gt;"",AL1477,IF($AC1477=$AC1476,AP1476,""))</f>
        <v/>
      </c>
      <c r="AQ1477" t="str">
        <f t="shared" ref="AQ1477:AQ1540" si="1327">IF(AM1477&lt;&gt;"",AM1477,IF($AC1477=$AC1476,AQ1476,""))</f>
        <v/>
      </c>
      <c r="AR1477" t="str">
        <f t="shared" ref="AR1477:AR1540" si="1328">IF(AN1477&lt;&gt;"",AN1477,IF($AC1477=$AC1476,AR1476,""))</f>
        <v>Away</v>
      </c>
      <c r="AS1477" t="str">
        <f t="shared" ref="AS1477:AS1540" si="1329">IF(AO1477&lt;&gt;"",AO1477,IF($AC1477=$AC1476,AS1476,""))</f>
        <v>a</v>
      </c>
      <c r="AT1477" t="str">
        <f t="shared" ref="AT1477:AT1540" si="1330">IF(AND(AI1477="e",OR(BE1477="Save",BF1477="Turnover_Takeaway",BF1477="Play_Defensive")),"Defensive",IF(AND(AI1477="o",OR(BE1477="Save",BF1477="Turnover_Takeaway",BF1477="Play_Defensive")),"Offensive",IF(OR(BE1477="Deadice",BE1477="Stoppage",BE1477="Intermission"),"",IF(AI1477="e","Offensive",IF(AI1477="o","Defensive","")))))</f>
        <v>Offensive</v>
      </c>
      <c r="BA1477" s="6">
        <f t="shared" si="1319"/>
        <v>337</v>
      </c>
      <c r="BB1477">
        <f t="shared" si="1320"/>
        <v>18981</v>
      </c>
      <c r="BC1477" t="str">
        <f t="shared" si="1321"/>
        <v>Nelson</v>
      </c>
      <c r="BD1477" t="str">
        <f t="shared" si="1322"/>
        <v>Velodrome</v>
      </c>
      <c r="BE1477" t="s">
        <v>13</v>
      </c>
      <c r="BF1477" t="s">
        <v>756</v>
      </c>
      <c r="BG1477" t="s">
        <v>756</v>
      </c>
      <c r="BI1477" cm="1">
        <f t="array" ref="BI1477">IFERROR(_xlfn._xlws.FILTER(shifts!A:A,(shifts!B:B=events!AD1477)*(shifts!AG:AG&gt;=events!BK1477)*(shifts!AH:AH&lt;=events!BL1477)),BI1476)</f>
        <v>65</v>
      </c>
      <c r="BJ1477" s="15">
        <f t="shared" si="1323"/>
        <v>2</v>
      </c>
      <c r="BK1477">
        <f t="shared" ref="BK1477:BK1540" si="1331">(AE1477*60)+AF1477</f>
        <v>188</v>
      </c>
      <c r="BL1477">
        <f t="shared" ref="BL1477:BL1540" si="1332">IF(AND(AG1477="",AH1477=""),BK1477,((AG1477*60)+AH1477))</f>
        <v>186</v>
      </c>
      <c r="BM1477" s="15">
        <f>SUMIFS(BJ$2:BJ1477,K$2:K1477,"=Intermission")+SUMIFS(BJ$2:BJ1477,K$2:K1477,"=Timeout")</f>
        <v>72</v>
      </c>
      <c r="BN1477">
        <f t="shared" ref="BN1477:BN1540" si="1333">IF(AD1477=1,0,IF(AD1477=2,1080+BM1477,IF(AD1477=3,(1080*2)+BM1477,0)))</f>
        <v>1152</v>
      </c>
      <c r="BO1477" s="19">
        <f t="shared" ref="BO1477:BO1540" si="1334">IF(K1477="Intermission",BO1476,((1080)-((AE1477*60)+AF1477))+BN1477)</f>
        <v>2044</v>
      </c>
      <c r="BP1477">
        <f t="shared" ref="BP1477:BP1540" si="1335">IF(BO1477&lt;5,0,BO1477-5)</f>
        <v>2039</v>
      </c>
      <c r="BQ1477" s="17">
        <f t="shared" ref="BQ1477:BQ1540" si="1336">BP1477+BJ1477+5</f>
        <v>2046</v>
      </c>
      <c r="BR1477" t="str">
        <f t="shared" ref="BR1477:BR1540" si="1337">IF(AI1477="e","event_team_player_"&amp;BS1477,IF(AI1477="o","opp_team_player_"&amp;BS1477,""))</f>
        <v>event_team_player_1</v>
      </c>
      <c r="BS1477">
        <f>COUNTIFS(S$3:S1477,"="&amp;S1477,AI$3:AI1477,"="&amp;AI1477)</f>
        <v>1</v>
      </c>
      <c r="BT1477" t="str">
        <f>IFERROR(VLOOKUP(BB1477&amp;BU1477&amp;X1477,game_rosters!U:W,3,FALSE),"")</f>
        <v>P100002</v>
      </c>
      <c r="BU1477" t="str">
        <f t="shared" ref="BU1477:BU1540" si="1338">IF(AR1477="","",IF(AND(AR1477="Away",AI1477="e"),BD1477,IF(AND(AR1477="Home",AI1477="e"),BC1477,IF(AND(AR1477="Away",AI1477="o"),BC1477,IF(AND(AR1477="Home",AI1477="o"),BD1477)))))</f>
        <v>Velodrome</v>
      </c>
    </row>
    <row r="1478" spans="1:73" x14ac:dyDescent="0.2">
      <c r="A1478">
        <f t="shared" si="1324"/>
        <v>1</v>
      </c>
      <c r="J1478" s="44" t="str">
        <f t="shared" ref="J1478:J1541" si="1339">IF(OR(K1478="Goal",K1478="Shot",L1478="Zone_Entry",M1478="Stoppage-Goal",M1477="Stoppage-Goal"),"o",IF(OR(K1478="Save",K1478="Rebound",L1478="Zone_Exit",M1478="Stoppage-GoalieStoppage",M1477="Stoppage-GoalieStoppage"),"d",IF(OR(L1478="Faceoff_AfterGoal",L1478="Faceoff_PeriodStart",698="Faceoff_GameStart",M1477="Stoppage-Goal"),"n","")))</f>
        <v>o</v>
      </c>
      <c r="K1478" t="s">
        <v>238</v>
      </c>
      <c r="L1478" t="s">
        <v>174</v>
      </c>
      <c r="M1478" t="s">
        <v>85</v>
      </c>
      <c r="S1478">
        <v>793</v>
      </c>
      <c r="W1478" t="str">
        <f t="shared" si="1315"/>
        <v>a</v>
      </c>
      <c r="X1478">
        <v>91</v>
      </c>
      <c r="Y1478" t="e">
        <f>IF(X1478&lt;&gt;"",VLOOKUP(X1478,game_rosters!$C$43:$E$64,3,FALSE))</f>
        <v>#N/A</v>
      </c>
      <c r="Z1478" cm="1">
        <f t="array" ref="Z1478">IFERROR(IF(_xlfn._xlws.FILTER(game_rosters!$J:$J,(game_rosters!$G:$G=events!$AN1478)*(game_rosters!$J:$J=events!$X1478))&gt;0,1,""),"")</f>
        <v>1</v>
      </c>
      <c r="AA1478">
        <f t="shared" si="1273"/>
        <v>1793</v>
      </c>
      <c r="AB1478" t="str">
        <f t="shared" si="1274"/>
        <v/>
      </c>
      <c r="AC1478">
        <f t="shared" si="1312"/>
        <v>1793</v>
      </c>
      <c r="AD1478" s="6">
        <v>2</v>
      </c>
      <c r="AE1478" t="s">
        <v>940</v>
      </c>
      <c r="AF1478" t="s">
        <v>911</v>
      </c>
      <c r="AG1478" t="s">
        <v>940</v>
      </c>
      <c r="AH1478" t="s">
        <v>913</v>
      </c>
      <c r="AI1478" t="s">
        <v>367</v>
      </c>
      <c r="AJ1478" t="str">
        <f t="shared" ref="AJ1478:AK1478" si="1340">IF($J1478&lt;&gt;"",$J1478,IF($AC1478=$AC1477,AJ1477,""))</f>
        <v>o</v>
      </c>
      <c r="AK1478" t="str">
        <f t="shared" si="1340"/>
        <v>o</v>
      </c>
      <c r="AL1478" t="str">
        <f t="shared" si="1317"/>
        <v>d</v>
      </c>
      <c r="AN1478" t="s">
        <v>862</v>
      </c>
      <c r="AO1478" t="str">
        <f t="shared" si="1318"/>
        <v>a</v>
      </c>
      <c r="AP1478" t="str">
        <f t="shared" si="1326"/>
        <v>d</v>
      </c>
      <c r="AQ1478" t="str">
        <f t="shared" si="1327"/>
        <v/>
      </c>
      <c r="AR1478" t="str">
        <f t="shared" si="1328"/>
        <v>Away</v>
      </c>
      <c r="AS1478" t="str">
        <f t="shared" si="1329"/>
        <v>a</v>
      </c>
      <c r="AT1478" t="str">
        <f t="shared" si="1330"/>
        <v>Offensive</v>
      </c>
      <c r="BA1478" s="6">
        <f t="shared" si="1319"/>
        <v>338</v>
      </c>
      <c r="BB1478">
        <f t="shared" si="1320"/>
        <v>18981</v>
      </c>
      <c r="BC1478" t="str">
        <f t="shared" si="1321"/>
        <v>Nelson</v>
      </c>
      <c r="BD1478" t="str">
        <f t="shared" si="1322"/>
        <v>Velodrome</v>
      </c>
      <c r="BE1478" t="s">
        <v>238</v>
      </c>
      <c r="BF1478" t="s">
        <v>174</v>
      </c>
      <c r="BG1478" t="s">
        <v>85</v>
      </c>
      <c r="BI1478" cm="1">
        <f t="array" ref="BI1478">IFERROR(_xlfn._xlws.FILTER(shifts!A:A,(shifts!B:B=events!AD1478)*(shifts!AG:AG&gt;=events!BK1478)*(shifts!AH:AH&lt;=events!BL1478)),BI1477)</f>
        <v>65</v>
      </c>
      <c r="BJ1478" s="15">
        <f t="shared" si="1323"/>
        <v>4</v>
      </c>
      <c r="BK1478">
        <f t="shared" si="1331"/>
        <v>186</v>
      </c>
      <c r="BL1478">
        <f t="shared" si="1332"/>
        <v>182</v>
      </c>
      <c r="BM1478" s="15">
        <f>SUMIFS(BJ$2:BJ1478,K$2:K1478,"=Intermission")+SUMIFS(BJ$2:BJ1478,K$2:K1478,"=Timeout")</f>
        <v>72</v>
      </c>
      <c r="BN1478">
        <f t="shared" si="1333"/>
        <v>1152</v>
      </c>
      <c r="BO1478" s="19">
        <f t="shared" si="1334"/>
        <v>2046</v>
      </c>
      <c r="BP1478">
        <f t="shared" si="1335"/>
        <v>2041</v>
      </c>
      <c r="BQ1478" s="17">
        <f t="shared" si="1336"/>
        <v>2050</v>
      </c>
      <c r="BR1478" t="str">
        <f t="shared" si="1337"/>
        <v>event_team_player_1</v>
      </c>
      <c r="BS1478">
        <f>COUNTIFS(S$3:S1478,"="&amp;S1478,AI$3:AI1478,"="&amp;AI1478)</f>
        <v>1</v>
      </c>
      <c r="BT1478" t="str">
        <f>IFERROR(VLOOKUP(BB1478&amp;BU1478&amp;X1478,game_rosters!U:W,3,FALSE),"")</f>
        <v>P100002</v>
      </c>
      <c r="BU1478" t="str">
        <f t="shared" si="1338"/>
        <v>Velodrome</v>
      </c>
    </row>
    <row r="1479" spans="1:73" x14ac:dyDescent="0.2">
      <c r="A1479">
        <f t="shared" si="1324"/>
        <v>1</v>
      </c>
      <c r="J1479" s="44" t="str">
        <f t="shared" si="1339"/>
        <v>o</v>
      </c>
      <c r="K1479" t="s">
        <v>238</v>
      </c>
      <c r="L1479" t="s">
        <v>174</v>
      </c>
      <c r="M1479" t="s">
        <v>85</v>
      </c>
      <c r="S1479">
        <v>793</v>
      </c>
      <c r="W1479" t="str">
        <f t="shared" si="1315"/>
        <v>a</v>
      </c>
      <c r="X1479">
        <v>24</v>
      </c>
      <c r="Y1479" t="e">
        <f>IF(X1479&lt;&gt;"",VLOOKUP(X1479,game_rosters!$C$43:$E$64,3,FALSE))</f>
        <v>#N/A</v>
      </c>
      <c r="Z1479" cm="1">
        <f t="array" ref="Z1479">IFERROR(IF(_xlfn._xlws.FILTER(game_rosters!$J:$J,(game_rosters!$G:$G=events!$AN1479)*(game_rosters!$J:$J=events!$X1479))&gt;0,1,""),"")</f>
        <v>1</v>
      </c>
      <c r="AA1479">
        <f t="shared" si="1273"/>
        <v>1793</v>
      </c>
      <c r="AB1479" t="str">
        <f t="shared" si="1274"/>
        <v/>
      </c>
      <c r="AC1479">
        <f t="shared" si="1312"/>
        <v>1793</v>
      </c>
      <c r="AD1479" s="6">
        <v>2</v>
      </c>
      <c r="AE1479" t="s">
        <v>940</v>
      </c>
      <c r="AF1479" t="s">
        <v>911</v>
      </c>
      <c r="AG1479" t="s">
        <v>940</v>
      </c>
      <c r="AH1479" t="s">
        <v>913</v>
      </c>
      <c r="AI1479" t="s">
        <v>367</v>
      </c>
      <c r="AJ1479" t="str">
        <f t="shared" ref="AJ1479:AK1479" si="1341">IF($J1479&lt;&gt;"",$J1479,IF($AC1479=$AC1478,AJ1478,""))</f>
        <v>o</v>
      </c>
      <c r="AK1479" t="str">
        <f t="shared" si="1341"/>
        <v>o</v>
      </c>
      <c r="AL1479" t="str">
        <f t="shared" si="1317"/>
        <v>d</v>
      </c>
      <c r="AN1479" t="s">
        <v>862</v>
      </c>
      <c r="AO1479" t="str">
        <f t="shared" si="1318"/>
        <v>a</v>
      </c>
      <c r="AP1479" t="str">
        <f t="shared" si="1326"/>
        <v>d</v>
      </c>
      <c r="AQ1479" t="str">
        <f t="shared" si="1327"/>
        <v/>
      </c>
      <c r="AR1479" t="str">
        <f t="shared" si="1328"/>
        <v>Away</v>
      </c>
      <c r="AS1479" t="str">
        <f t="shared" si="1329"/>
        <v>a</v>
      </c>
      <c r="AT1479" t="str">
        <f t="shared" si="1330"/>
        <v>Offensive</v>
      </c>
      <c r="BA1479" s="6">
        <f t="shared" si="1319"/>
        <v>339</v>
      </c>
      <c r="BB1479">
        <f t="shared" si="1320"/>
        <v>18981</v>
      </c>
      <c r="BC1479" t="str">
        <f t="shared" si="1321"/>
        <v>Nelson</v>
      </c>
      <c r="BD1479" t="str">
        <f t="shared" si="1322"/>
        <v>Velodrome</v>
      </c>
      <c r="BE1479" t="s">
        <v>238</v>
      </c>
      <c r="BF1479" t="s">
        <v>174</v>
      </c>
      <c r="BG1479" t="s">
        <v>85</v>
      </c>
      <c r="BI1479" cm="1">
        <f t="array" ref="BI1479">IFERROR(_xlfn._xlws.FILTER(shifts!A:A,(shifts!B:B=events!AD1479)*(shifts!AG:AG&gt;=events!BK1479)*(shifts!AH:AH&lt;=events!BL1479)),BI1478)</f>
        <v>65</v>
      </c>
      <c r="BJ1479" s="15">
        <f t="shared" si="1323"/>
        <v>4</v>
      </c>
      <c r="BK1479">
        <f t="shared" si="1331"/>
        <v>186</v>
      </c>
      <c r="BL1479">
        <f t="shared" si="1332"/>
        <v>182</v>
      </c>
      <c r="BM1479" s="15">
        <f>SUMIFS(BJ$2:BJ1479,K$2:K1479,"=Intermission")+SUMIFS(BJ$2:BJ1479,K$2:K1479,"=Timeout")</f>
        <v>72</v>
      </c>
      <c r="BN1479">
        <f t="shared" si="1333"/>
        <v>1152</v>
      </c>
      <c r="BO1479" s="19">
        <f t="shared" si="1334"/>
        <v>2046</v>
      </c>
      <c r="BP1479">
        <f t="shared" si="1335"/>
        <v>2041</v>
      </c>
      <c r="BQ1479" s="17">
        <f t="shared" si="1336"/>
        <v>2050</v>
      </c>
      <c r="BR1479" t="str">
        <f t="shared" si="1337"/>
        <v>event_team_player_2</v>
      </c>
      <c r="BS1479">
        <f>COUNTIFS(S$3:S1479,"="&amp;S1479,AI$3:AI1479,"="&amp;AI1479)</f>
        <v>2</v>
      </c>
      <c r="BT1479" t="str">
        <f>IFERROR(VLOOKUP(BB1479&amp;BU1479&amp;X1479,game_rosters!U:W,3,FALSE),"")</f>
        <v>P100230</v>
      </c>
      <c r="BU1479" t="str">
        <f t="shared" si="1338"/>
        <v>Velodrome</v>
      </c>
    </row>
    <row r="1480" spans="1:73" x14ac:dyDescent="0.2">
      <c r="A1480">
        <f t="shared" si="1324"/>
        <v>1</v>
      </c>
      <c r="J1480" s="44" t="str">
        <f t="shared" si="1339"/>
        <v>o</v>
      </c>
      <c r="K1480" t="s">
        <v>238</v>
      </c>
      <c r="L1480" t="s">
        <v>174</v>
      </c>
      <c r="M1480" t="s">
        <v>85</v>
      </c>
      <c r="S1480">
        <v>793</v>
      </c>
      <c r="W1480" t="str">
        <f t="shared" si="1315"/>
        <v>a</v>
      </c>
      <c r="X1480">
        <v>37</v>
      </c>
      <c r="Y1480" t="b">
        <f>IF(X1480&lt;&gt;"",VLOOKUP(X1480,game_rosters!$C$43:$E$64,3,FALSE))</f>
        <v>0</v>
      </c>
      <c r="Z1480" t="str" cm="1">
        <f t="array" ref="Z1480">IFERROR(IF(_xlfn._xlws.FILTER(game_rosters!$J:$J,(game_rosters!$G:$G=events!$AN1480)*(game_rosters!$J:$J=events!$X1480))&gt;0,1,""),"")</f>
        <v/>
      </c>
      <c r="AA1480">
        <f t="shared" si="1273"/>
        <v>1793</v>
      </c>
      <c r="AB1480" t="str">
        <f t="shared" si="1274"/>
        <v/>
      </c>
      <c r="AC1480">
        <f t="shared" si="1312"/>
        <v>1793</v>
      </c>
      <c r="AD1480" s="6">
        <v>2</v>
      </c>
      <c r="AE1480" t="s">
        <v>940</v>
      </c>
      <c r="AF1480" t="s">
        <v>911</v>
      </c>
      <c r="AG1480" t="s">
        <v>940</v>
      </c>
      <c r="AH1480" t="s">
        <v>913</v>
      </c>
      <c r="AI1480" t="s">
        <v>368</v>
      </c>
      <c r="AJ1480" t="str">
        <f t="shared" ref="AJ1480:AK1480" si="1342">IF($J1480&lt;&gt;"",$J1480,IF($AC1480=$AC1479,AJ1479,""))</f>
        <v>o</v>
      </c>
      <c r="AK1480" t="str">
        <f t="shared" si="1342"/>
        <v>o</v>
      </c>
      <c r="AL1480" t="str">
        <f t="shared" si="1317"/>
        <v>d</v>
      </c>
      <c r="AN1480" t="s">
        <v>862</v>
      </c>
      <c r="AO1480" t="str">
        <f t="shared" si="1318"/>
        <v>a</v>
      </c>
      <c r="AP1480" t="str">
        <f t="shared" si="1326"/>
        <v>d</v>
      </c>
      <c r="AQ1480" t="str">
        <f t="shared" si="1327"/>
        <v/>
      </c>
      <c r="AR1480" t="str">
        <f t="shared" si="1328"/>
        <v>Away</v>
      </c>
      <c r="AS1480" t="str">
        <f t="shared" si="1329"/>
        <v>a</v>
      </c>
      <c r="AT1480" t="str">
        <f t="shared" si="1330"/>
        <v>Defensive</v>
      </c>
      <c r="BA1480" s="6">
        <f t="shared" si="1319"/>
        <v>340</v>
      </c>
      <c r="BB1480">
        <f t="shared" si="1320"/>
        <v>18981</v>
      </c>
      <c r="BC1480" t="str">
        <f t="shared" si="1321"/>
        <v>Nelson</v>
      </c>
      <c r="BD1480" t="str">
        <f t="shared" si="1322"/>
        <v>Velodrome</v>
      </c>
      <c r="BE1480" t="s">
        <v>238</v>
      </c>
      <c r="BF1480" t="s">
        <v>174</v>
      </c>
      <c r="BG1480" t="s">
        <v>85</v>
      </c>
      <c r="BI1480" cm="1">
        <f t="array" ref="BI1480">IFERROR(_xlfn._xlws.FILTER(shifts!A:A,(shifts!B:B=events!AD1480)*(shifts!AG:AG&gt;=events!BK1480)*(shifts!AH:AH&lt;=events!BL1480)),BI1479)</f>
        <v>65</v>
      </c>
      <c r="BJ1480" s="15">
        <f t="shared" si="1323"/>
        <v>4</v>
      </c>
      <c r="BK1480">
        <f t="shared" si="1331"/>
        <v>186</v>
      </c>
      <c r="BL1480">
        <f t="shared" si="1332"/>
        <v>182</v>
      </c>
      <c r="BM1480" s="15">
        <f>SUMIFS(BJ$2:BJ1480,K$2:K1480,"=Intermission")+SUMIFS(BJ$2:BJ1480,K$2:K1480,"=Timeout")</f>
        <v>72</v>
      </c>
      <c r="BN1480">
        <f t="shared" si="1333"/>
        <v>1152</v>
      </c>
      <c r="BO1480" s="19">
        <f t="shared" si="1334"/>
        <v>2046</v>
      </c>
      <c r="BP1480">
        <f t="shared" si="1335"/>
        <v>2041</v>
      </c>
      <c r="BQ1480" s="17">
        <f t="shared" si="1336"/>
        <v>2050</v>
      </c>
      <c r="BR1480" t="str">
        <f t="shared" si="1337"/>
        <v>opp_team_player_1</v>
      </c>
      <c r="BS1480">
        <f>COUNTIFS(S$3:S1480,"="&amp;S1480,AI$3:AI1480,"="&amp;AI1480)</f>
        <v>1</v>
      </c>
      <c r="BT1480" t="str">
        <f>IFERROR(VLOOKUP(BB1480&amp;BU1480&amp;X1480,game_rosters!U:W,3,FALSE),"")</f>
        <v>P100119</v>
      </c>
      <c r="BU1480" t="str">
        <f t="shared" si="1338"/>
        <v>Nelson</v>
      </c>
    </row>
    <row r="1481" spans="1:73" x14ac:dyDescent="0.2">
      <c r="A1481">
        <f t="shared" si="1324"/>
        <v>1</v>
      </c>
      <c r="J1481" s="44" t="str">
        <f t="shared" si="1339"/>
        <v>o</v>
      </c>
      <c r="K1481" t="s">
        <v>238</v>
      </c>
      <c r="L1481" t="s">
        <v>174</v>
      </c>
      <c r="M1481" t="s">
        <v>85</v>
      </c>
      <c r="S1481">
        <v>793</v>
      </c>
      <c r="W1481" t="str">
        <f t="shared" si="1315"/>
        <v>a</v>
      </c>
      <c r="X1481">
        <v>23</v>
      </c>
      <c r="Y1481" t="b">
        <f>IF(X1481&lt;&gt;"",VLOOKUP(X1481,game_rosters!$C$43:$E$64,3,FALSE))</f>
        <v>0</v>
      </c>
      <c r="Z1481" t="str" cm="1">
        <f t="array" ref="Z1481">IFERROR(IF(_xlfn._xlws.FILTER(game_rosters!$J:$J,(game_rosters!$G:$G=events!$AN1481)*(game_rosters!$J:$J=events!$X1481))&gt;0,1,""),"")</f>
        <v/>
      </c>
      <c r="AA1481">
        <f t="shared" si="1273"/>
        <v>1793</v>
      </c>
      <c r="AB1481" t="str">
        <f t="shared" si="1274"/>
        <v/>
      </c>
      <c r="AC1481">
        <f t="shared" si="1312"/>
        <v>1793</v>
      </c>
      <c r="AD1481" s="6">
        <v>2</v>
      </c>
      <c r="AE1481" t="s">
        <v>940</v>
      </c>
      <c r="AF1481" t="s">
        <v>911</v>
      </c>
      <c r="AG1481" t="s">
        <v>940</v>
      </c>
      <c r="AH1481" t="s">
        <v>913</v>
      </c>
      <c r="AI1481" t="s">
        <v>367</v>
      </c>
      <c r="AJ1481" t="str">
        <f t="shared" ref="AJ1481:AK1481" si="1343">IF($J1481&lt;&gt;"",$J1481,IF($AC1481=$AC1480,AJ1480,""))</f>
        <v>o</v>
      </c>
      <c r="AK1481" t="str">
        <f t="shared" si="1343"/>
        <v>o</v>
      </c>
      <c r="AL1481" t="str">
        <f t="shared" si="1317"/>
        <v>d</v>
      </c>
      <c r="AN1481" t="s">
        <v>862</v>
      </c>
      <c r="AO1481" t="str">
        <f t="shared" si="1318"/>
        <v>a</v>
      </c>
      <c r="AP1481" t="str">
        <f t="shared" si="1326"/>
        <v>d</v>
      </c>
      <c r="AQ1481" t="str">
        <f t="shared" si="1327"/>
        <v/>
      </c>
      <c r="AR1481" t="str">
        <f t="shared" si="1328"/>
        <v>Away</v>
      </c>
      <c r="AS1481" t="str">
        <f t="shared" si="1329"/>
        <v>a</v>
      </c>
      <c r="AT1481" t="str">
        <f t="shared" si="1330"/>
        <v>Offensive</v>
      </c>
      <c r="BA1481" s="6">
        <f t="shared" si="1319"/>
        <v>341</v>
      </c>
      <c r="BB1481">
        <f t="shared" si="1320"/>
        <v>18981</v>
      </c>
      <c r="BC1481" t="str">
        <f t="shared" si="1321"/>
        <v>Nelson</v>
      </c>
      <c r="BD1481" t="str">
        <f t="shared" si="1322"/>
        <v>Velodrome</v>
      </c>
      <c r="BE1481" t="s">
        <v>238</v>
      </c>
      <c r="BF1481" t="s">
        <v>174</v>
      </c>
      <c r="BG1481" t="s">
        <v>85</v>
      </c>
      <c r="BI1481" cm="1">
        <f t="array" ref="BI1481">IFERROR(_xlfn._xlws.FILTER(shifts!A:A,(shifts!B:B=events!AD1481)*(shifts!AG:AG&gt;=events!BK1481)*(shifts!AH:AH&lt;=events!BL1481)),BI1480)</f>
        <v>65</v>
      </c>
      <c r="BJ1481" s="15">
        <f t="shared" si="1323"/>
        <v>4</v>
      </c>
      <c r="BK1481">
        <f t="shared" si="1331"/>
        <v>186</v>
      </c>
      <c r="BL1481">
        <f t="shared" si="1332"/>
        <v>182</v>
      </c>
      <c r="BM1481" s="15">
        <f>SUMIFS(BJ$2:BJ1481,K$2:K1481,"=Intermission")+SUMIFS(BJ$2:BJ1481,K$2:K1481,"=Timeout")</f>
        <v>72</v>
      </c>
      <c r="BN1481">
        <f t="shared" si="1333"/>
        <v>1152</v>
      </c>
      <c r="BO1481" s="19">
        <f t="shared" si="1334"/>
        <v>2046</v>
      </c>
      <c r="BP1481">
        <f t="shared" si="1335"/>
        <v>2041</v>
      </c>
      <c r="BQ1481" s="17">
        <f t="shared" si="1336"/>
        <v>2050</v>
      </c>
      <c r="BR1481" t="str">
        <f t="shared" si="1337"/>
        <v>event_team_player_3</v>
      </c>
      <c r="BS1481">
        <f>COUNTIFS(S$3:S1481,"="&amp;S1481,AI$3:AI1481,"="&amp;AI1481)</f>
        <v>3</v>
      </c>
      <c r="BT1481" t="str">
        <f>IFERROR(VLOOKUP(BB1481&amp;BU1481&amp;X1481,game_rosters!U:W,3,FALSE),"")</f>
        <v>P100061</v>
      </c>
      <c r="BU1481" t="s">
        <v>944</v>
      </c>
    </row>
    <row r="1482" spans="1:73" x14ac:dyDescent="0.2">
      <c r="A1482">
        <f t="shared" si="1324"/>
        <v>1</v>
      </c>
      <c r="J1482" s="44" t="str">
        <f t="shared" si="1339"/>
        <v/>
      </c>
      <c r="K1482" t="s">
        <v>7</v>
      </c>
      <c r="L1482" t="s">
        <v>192</v>
      </c>
      <c r="M1482" t="s">
        <v>68</v>
      </c>
      <c r="S1482">
        <v>794</v>
      </c>
      <c r="W1482" t="str">
        <f t="shared" si="1315"/>
        <v>a</v>
      </c>
      <c r="X1482">
        <v>91</v>
      </c>
      <c r="Y1482" t="e">
        <f>IF(X1482&lt;&gt;"",VLOOKUP(X1482,game_rosters!$C$43:$E$64,3,FALSE))</f>
        <v>#N/A</v>
      </c>
      <c r="Z1482" cm="1">
        <f t="array" ref="Z1482">IFERROR(IF(_xlfn._xlws.FILTER(game_rosters!$J:$J,(game_rosters!$G:$G=events!$AN1482)*(game_rosters!$J:$J=events!$X1482))&gt;0,1,""),"")</f>
        <v>1</v>
      </c>
      <c r="AA1482">
        <f t="shared" si="1273"/>
        <v>1794</v>
      </c>
      <c r="AB1482" t="str">
        <f t="shared" si="1274"/>
        <v/>
      </c>
      <c r="AC1482">
        <f t="shared" si="1312"/>
        <v>1794</v>
      </c>
      <c r="AD1482" s="6">
        <v>2</v>
      </c>
      <c r="AE1482" t="s">
        <v>940</v>
      </c>
      <c r="AF1482" t="s">
        <v>913</v>
      </c>
      <c r="AG1482" t="s">
        <v>756</v>
      </c>
      <c r="AH1482" t="s">
        <v>756</v>
      </c>
      <c r="AI1482" t="s">
        <v>367</v>
      </c>
      <c r="AJ1482" t="str">
        <f t="shared" ref="AJ1482:AK1482" si="1344">IF($J1482&lt;&gt;"",$J1482,IF($AC1482=$AC1481,AJ1481,""))</f>
        <v/>
      </c>
      <c r="AK1482" t="str">
        <f t="shared" si="1344"/>
        <v/>
      </c>
      <c r="AL1482" t="str">
        <f t="shared" si="1317"/>
        <v/>
      </c>
      <c r="AN1482" t="s">
        <v>862</v>
      </c>
      <c r="AO1482" t="str">
        <f t="shared" si="1318"/>
        <v>a</v>
      </c>
      <c r="AP1482" t="str">
        <f t="shared" si="1326"/>
        <v/>
      </c>
      <c r="AQ1482" t="str">
        <f t="shared" si="1327"/>
        <v/>
      </c>
      <c r="AR1482" t="str">
        <f t="shared" si="1328"/>
        <v>Away</v>
      </c>
      <c r="AS1482" t="str">
        <f t="shared" si="1329"/>
        <v>a</v>
      </c>
      <c r="AT1482" t="str">
        <f t="shared" si="1330"/>
        <v>Offensive</v>
      </c>
      <c r="BA1482" s="6">
        <f t="shared" si="1319"/>
        <v>341</v>
      </c>
      <c r="BB1482">
        <f t="shared" si="1320"/>
        <v>18981</v>
      </c>
      <c r="BC1482" t="str">
        <f t="shared" si="1321"/>
        <v>Nelson</v>
      </c>
      <c r="BD1482" t="str">
        <f t="shared" si="1322"/>
        <v>Velodrome</v>
      </c>
      <c r="BE1482" t="s">
        <v>7</v>
      </c>
      <c r="BF1482" t="s">
        <v>192</v>
      </c>
      <c r="BG1482" t="s">
        <v>68</v>
      </c>
      <c r="BI1482" cm="1">
        <f t="array" ref="BI1482">IFERROR(_xlfn._xlws.FILTER(shifts!A:A,(shifts!B:B=events!AD1482)*(shifts!AG:AG&gt;=events!BK1482)*(shifts!AH:AH&lt;=events!BL1482)),BI1481)</f>
        <v>65</v>
      </c>
      <c r="BJ1482" s="15">
        <f t="shared" si="1323"/>
        <v>0</v>
      </c>
      <c r="BK1482">
        <f t="shared" si="1331"/>
        <v>182</v>
      </c>
      <c r="BL1482">
        <f t="shared" si="1332"/>
        <v>182</v>
      </c>
      <c r="BM1482" s="15">
        <f>SUMIFS(BJ$2:BJ1482,K$2:K1482,"=Intermission")+SUMIFS(BJ$2:BJ1482,K$2:K1482,"=Timeout")</f>
        <v>72</v>
      </c>
      <c r="BN1482">
        <f t="shared" si="1333"/>
        <v>1152</v>
      </c>
      <c r="BO1482" s="19">
        <f t="shared" si="1334"/>
        <v>2050</v>
      </c>
      <c r="BP1482">
        <f t="shared" si="1335"/>
        <v>2045</v>
      </c>
      <c r="BQ1482" s="17">
        <f t="shared" si="1336"/>
        <v>2050</v>
      </c>
      <c r="BR1482" t="str">
        <f t="shared" si="1337"/>
        <v>event_team_player_1</v>
      </c>
      <c r="BS1482">
        <f>COUNTIFS(S$3:S1482,"="&amp;S1482,AI$3:AI1482,"="&amp;AI1482)</f>
        <v>1</v>
      </c>
      <c r="BT1482" t="str">
        <f>IFERROR(VLOOKUP(BB1482&amp;BU1482&amp;X1482,game_rosters!U:W,3,FALSE),"")</f>
        <v>P100002</v>
      </c>
      <c r="BU1482" t="str">
        <f t="shared" si="1338"/>
        <v>Velodrome</v>
      </c>
    </row>
    <row r="1483" spans="1:73" x14ac:dyDescent="0.2">
      <c r="A1483">
        <f t="shared" si="1324"/>
        <v>1</v>
      </c>
      <c r="J1483" s="44" t="str">
        <f t="shared" si="1339"/>
        <v/>
      </c>
      <c r="K1483" t="s">
        <v>7</v>
      </c>
      <c r="L1483" t="s">
        <v>192</v>
      </c>
      <c r="M1483" t="s">
        <v>68</v>
      </c>
      <c r="S1483">
        <v>794</v>
      </c>
      <c r="W1483" t="str">
        <f t="shared" si="1315"/>
        <v>a</v>
      </c>
      <c r="X1483">
        <v>42</v>
      </c>
      <c r="Y1483" t="e">
        <f>IF(X1483&lt;&gt;"",VLOOKUP(X1483,game_rosters!$C$43:$E$64,3,FALSE))</f>
        <v>#N/A</v>
      </c>
      <c r="Z1483" cm="1">
        <f t="array" ref="Z1483">IFERROR(IF(_xlfn._xlws.FILTER(game_rosters!$J:$J,(game_rosters!$G:$G=events!$AN1483)*(game_rosters!$J:$J=events!$X1483))&gt;0,1,""),"")</f>
        <v>1</v>
      </c>
      <c r="AA1483">
        <f t="shared" si="1273"/>
        <v>1794</v>
      </c>
      <c r="AB1483" t="str">
        <f t="shared" si="1274"/>
        <v/>
      </c>
      <c r="AC1483">
        <f t="shared" si="1312"/>
        <v>1794</v>
      </c>
      <c r="AD1483" s="6">
        <v>2</v>
      </c>
      <c r="AE1483" t="s">
        <v>940</v>
      </c>
      <c r="AF1483" t="s">
        <v>913</v>
      </c>
      <c r="AG1483" t="s">
        <v>756</v>
      </c>
      <c r="AH1483" t="s">
        <v>756</v>
      </c>
      <c r="AI1483" t="s">
        <v>367</v>
      </c>
      <c r="AJ1483" t="str">
        <f t="shared" ref="AJ1483:AK1483" si="1345">IF($J1483&lt;&gt;"",$J1483,IF($AC1483=$AC1482,AJ1482,""))</f>
        <v/>
      </c>
      <c r="AK1483" t="str">
        <f t="shared" si="1345"/>
        <v/>
      </c>
      <c r="AL1483" t="str">
        <f t="shared" si="1317"/>
        <v/>
      </c>
      <c r="AN1483" t="s">
        <v>862</v>
      </c>
      <c r="AO1483" t="str">
        <f t="shared" si="1318"/>
        <v>a</v>
      </c>
      <c r="AP1483" t="str">
        <f t="shared" si="1326"/>
        <v/>
      </c>
      <c r="AQ1483" t="str">
        <f t="shared" si="1327"/>
        <v/>
      </c>
      <c r="AR1483" t="str">
        <f t="shared" si="1328"/>
        <v>Away</v>
      </c>
      <c r="AS1483" t="str">
        <f t="shared" si="1329"/>
        <v>a</v>
      </c>
      <c r="AT1483" t="str">
        <f t="shared" si="1330"/>
        <v>Offensive</v>
      </c>
      <c r="BA1483" s="6">
        <f t="shared" si="1319"/>
        <v>341</v>
      </c>
      <c r="BB1483">
        <f t="shared" si="1320"/>
        <v>18981</v>
      </c>
      <c r="BC1483" t="str">
        <f t="shared" si="1321"/>
        <v>Nelson</v>
      </c>
      <c r="BD1483" t="str">
        <f t="shared" si="1322"/>
        <v>Velodrome</v>
      </c>
      <c r="BE1483" t="s">
        <v>7</v>
      </c>
      <c r="BF1483" t="s">
        <v>192</v>
      </c>
      <c r="BG1483" t="s">
        <v>68</v>
      </c>
      <c r="BI1483" cm="1">
        <f t="array" ref="BI1483">IFERROR(_xlfn._xlws.FILTER(shifts!A:A,(shifts!B:B=events!AD1483)*(shifts!AG:AG&gt;=events!BK1483)*(shifts!AH:AH&lt;=events!BL1483)),BI1482)</f>
        <v>65</v>
      </c>
      <c r="BJ1483" s="15">
        <f t="shared" si="1323"/>
        <v>0</v>
      </c>
      <c r="BK1483">
        <f t="shared" si="1331"/>
        <v>182</v>
      </c>
      <c r="BL1483">
        <f t="shared" si="1332"/>
        <v>182</v>
      </c>
      <c r="BM1483" s="15">
        <f>SUMIFS(BJ$2:BJ1483,K$2:K1483,"=Intermission")+SUMIFS(BJ$2:BJ1483,K$2:K1483,"=Timeout")</f>
        <v>72</v>
      </c>
      <c r="BN1483">
        <f t="shared" si="1333"/>
        <v>1152</v>
      </c>
      <c r="BO1483" s="19">
        <f t="shared" si="1334"/>
        <v>2050</v>
      </c>
      <c r="BP1483">
        <f t="shared" si="1335"/>
        <v>2045</v>
      </c>
      <c r="BQ1483" s="17">
        <f t="shared" si="1336"/>
        <v>2050</v>
      </c>
      <c r="BR1483" t="str">
        <f t="shared" si="1337"/>
        <v>event_team_player_2</v>
      </c>
      <c r="BS1483">
        <f>COUNTIFS(S$3:S1483,"="&amp;S1483,AI$3:AI1483,"="&amp;AI1483)</f>
        <v>2</v>
      </c>
      <c r="BT1483" t="str">
        <f>IFERROR(VLOOKUP(BB1483&amp;BU1483&amp;X1483,game_rosters!U:W,3,FALSE),"")</f>
        <v>P100201</v>
      </c>
      <c r="BU1483" t="str">
        <f t="shared" si="1338"/>
        <v>Velodrome</v>
      </c>
    </row>
    <row r="1484" spans="1:73" x14ac:dyDescent="0.2">
      <c r="A1484">
        <f t="shared" si="1324"/>
        <v>1</v>
      </c>
      <c r="J1484" s="44" t="str">
        <f t="shared" si="1339"/>
        <v/>
      </c>
      <c r="K1484" t="s">
        <v>7</v>
      </c>
      <c r="L1484" t="s">
        <v>192</v>
      </c>
      <c r="M1484" t="s">
        <v>68</v>
      </c>
      <c r="S1484">
        <v>794</v>
      </c>
      <c r="W1484" t="str">
        <f t="shared" si="1315"/>
        <v>a</v>
      </c>
      <c r="X1484">
        <v>37</v>
      </c>
      <c r="Y1484" t="b">
        <f>IF(X1484&lt;&gt;"",VLOOKUP(X1484,game_rosters!$C$43:$E$64,3,FALSE))</f>
        <v>0</v>
      </c>
      <c r="Z1484" t="str" cm="1">
        <f t="array" ref="Z1484">IFERROR(IF(_xlfn._xlws.FILTER(game_rosters!$J:$J,(game_rosters!$G:$G=events!$AN1484)*(game_rosters!$J:$J=events!$X1484))&gt;0,1,""),"")</f>
        <v/>
      </c>
      <c r="AA1484">
        <f t="shared" si="1273"/>
        <v>1794</v>
      </c>
      <c r="AB1484" t="str">
        <f t="shared" si="1274"/>
        <v/>
      </c>
      <c r="AC1484">
        <f t="shared" si="1312"/>
        <v>1794</v>
      </c>
      <c r="AD1484" s="6">
        <v>2</v>
      </c>
      <c r="AE1484" t="s">
        <v>940</v>
      </c>
      <c r="AF1484" t="s">
        <v>913</v>
      </c>
      <c r="AG1484" t="s">
        <v>756</v>
      </c>
      <c r="AH1484" t="s">
        <v>756</v>
      </c>
      <c r="AI1484" t="s">
        <v>368</v>
      </c>
      <c r="AJ1484" t="str">
        <f t="shared" ref="AJ1484:AK1484" si="1346">IF($J1484&lt;&gt;"",$J1484,IF($AC1484=$AC1483,AJ1483,""))</f>
        <v/>
      </c>
      <c r="AK1484" t="str">
        <f t="shared" si="1346"/>
        <v/>
      </c>
      <c r="AL1484" t="str">
        <f t="shared" si="1317"/>
        <v/>
      </c>
      <c r="AN1484" t="s">
        <v>862</v>
      </c>
      <c r="AO1484" t="str">
        <f t="shared" si="1318"/>
        <v>a</v>
      </c>
      <c r="AP1484" t="str">
        <f t="shared" si="1326"/>
        <v/>
      </c>
      <c r="AQ1484" t="str">
        <f t="shared" si="1327"/>
        <v/>
      </c>
      <c r="AR1484" t="str">
        <f t="shared" si="1328"/>
        <v>Away</v>
      </c>
      <c r="AS1484" t="str">
        <f t="shared" si="1329"/>
        <v>a</v>
      </c>
      <c r="AT1484" t="str">
        <f t="shared" si="1330"/>
        <v>Defensive</v>
      </c>
      <c r="BA1484" s="6">
        <f t="shared" si="1319"/>
        <v>341</v>
      </c>
      <c r="BB1484">
        <f t="shared" si="1320"/>
        <v>18981</v>
      </c>
      <c r="BC1484" t="str">
        <f t="shared" si="1321"/>
        <v>Nelson</v>
      </c>
      <c r="BD1484" t="str">
        <f t="shared" si="1322"/>
        <v>Velodrome</v>
      </c>
      <c r="BE1484" t="s">
        <v>7</v>
      </c>
      <c r="BF1484" t="s">
        <v>192</v>
      </c>
      <c r="BG1484" t="s">
        <v>68</v>
      </c>
      <c r="BI1484" cm="1">
        <f t="array" ref="BI1484">IFERROR(_xlfn._xlws.FILTER(shifts!A:A,(shifts!B:B=events!AD1484)*(shifts!AG:AG&gt;=events!BK1484)*(shifts!AH:AH&lt;=events!BL1484)),BI1483)</f>
        <v>65</v>
      </c>
      <c r="BJ1484" s="15">
        <f t="shared" si="1323"/>
        <v>0</v>
      </c>
      <c r="BK1484">
        <f t="shared" si="1331"/>
        <v>182</v>
      </c>
      <c r="BL1484">
        <f t="shared" si="1332"/>
        <v>182</v>
      </c>
      <c r="BM1484" s="15">
        <f>SUMIFS(BJ$2:BJ1484,K$2:K1484,"=Intermission")+SUMIFS(BJ$2:BJ1484,K$2:K1484,"=Timeout")</f>
        <v>72</v>
      </c>
      <c r="BN1484">
        <f t="shared" si="1333"/>
        <v>1152</v>
      </c>
      <c r="BO1484" s="19">
        <f t="shared" si="1334"/>
        <v>2050</v>
      </c>
      <c r="BP1484">
        <f t="shared" si="1335"/>
        <v>2045</v>
      </c>
      <c r="BQ1484" s="17">
        <f t="shared" si="1336"/>
        <v>2050</v>
      </c>
      <c r="BR1484" t="str">
        <f t="shared" si="1337"/>
        <v>opp_team_player_1</v>
      </c>
      <c r="BS1484">
        <f>COUNTIFS(S$3:S1484,"="&amp;S1484,AI$3:AI1484,"="&amp;AI1484)</f>
        <v>1</v>
      </c>
      <c r="BT1484" t="str">
        <f>IFERROR(VLOOKUP(BB1484&amp;BU1484&amp;X1484,game_rosters!U:W,3,FALSE),"")</f>
        <v>P100119</v>
      </c>
      <c r="BU1484" t="str">
        <f t="shared" si="1338"/>
        <v>Nelson</v>
      </c>
    </row>
    <row r="1485" spans="1:73" x14ac:dyDescent="0.2">
      <c r="A1485">
        <f t="shared" si="1324"/>
        <v>1</v>
      </c>
      <c r="J1485" s="44" t="str">
        <f t="shared" si="1339"/>
        <v/>
      </c>
      <c r="K1485" t="s">
        <v>9</v>
      </c>
      <c r="L1485" t="s">
        <v>173</v>
      </c>
      <c r="M1485" t="s">
        <v>75</v>
      </c>
      <c r="S1485">
        <v>795</v>
      </c>
      <c r="W1485" t="str">
        <f t="shared" si="1315"/>
        <v>a</v>
      </c>
      <c r="X1485">
        <v>91</v>
      </c>
      <c r="Y1485" t="e">
        <f>IF(X1485&lt;&gt;"",VLOOKUP(X1485,game_rosters!$C$43:$E$64,3,FALSE))</f>
        <v>#N/A</v>
      </c>
      <c r="Z1485" cm="1">
        <f t="array" ref="Z1485">IFERROR(IF(_xlfn._xlws.FILTER(game_rosters!$J:$J,(game_rosters!$G:$G=events!$AN1485)*(game_rosters!$J:$J=events!$X1485))&gt;0,1,""),"")</f>
        <v>1</v>
      </c>
      <c r="AA1485">
        <f t="shared" si="1273"/>
        <v>1795</v>
      </c>
      <c r="AB1485" t="str">
        <f t="shared" si="1274"/>
        <v/>
      </c>
      <c r="AC1485">
        <f t="shared" si="1312"/>
        <v>1795</v>
      </c>
      <c r="AD1485" s="6">
        <v>2</v>
      </c>
      <c r="AE1485" t="s">
        <v>940</v>
      </c>
      <c r="AF1485" t="s">
        <v>913</v>
      </c>
      <c r="AG1485" t="s">
        <v>756</v>
      </c>
      <c r="AH1485" t="s">
        <v>756</v>
      </c>
      <c r="AI1485" t="s">
        <v>367</v>
      </c>
      <c r="AJ1485" t="str">
        <f t="shared" ref="AJ1485:AK1485" si="1347">IF($J1485&lt;&gt;"",$J1485,IF($AC1485=$AC1484,AJ1484,""))</f>
        <v/>
      </c>
      <c r="AK1485" t="str">
        <f t="shared" si="1347"/>
        <v/>
      </c>
      <c r="AL1485" t="str">
        <f t="shared" si="1317"/>
        <v/>
      </c>
      <c r="AN1485" t="s">
        <v>862</v>
      </c>
      <c r="AO1485" t="str">
        <f t="shared" si="1318"/>
        <v>a</v>
      </c>
      <c r="AP1485" t="str">
        <f t="shared" si="1326"/>
        <v/>
      </c>
      <c r="AQ1485" t="str">
        <f t="shared" si="1327"/>
        <v/>
      </c>
      <c r="AR1485" t="str">
        <f t="shared" si="1328"/>
        <v>Away</v>
      </c>
      <c r="AS1485" t="str">
        <f t="shared" si="1329"/>
        <v>a</v>
      </c>
      <c r="AT1485" t="str">
        <f t="shared" si="1330"/>
        <v>Offensive</v>
      </c>
      <c r="BA1485" s="6">
        <f t="shared" si="1319"/>
        <v>341</v>
      </c>
      <c r="BB1485">
        <f t="shared" si="1320"/>
        <v>18981</v>
      </c>
      <c r="BC1485" t="str">
        <f t="shared" si="1321"/>
        <v>Nelson</v>
      </c>
      <c r="BD1485" t="str">
        <f t="shared" si="1322"/>
        <v>Velodrome</v>
      </c>
      <c r="BE1485" t="s">
        <v>9</v>
      </c>
      <c r="BF1485" t="s">
        <v>173</v>
      </c>
      <c r="BG1485" t="s">
        <v>75</v>
      </c>
      <c r="BI1485" cm="1">
        <f t="array" ref="BI1485">IFERROR(_xlfn._xlws.FILTER(shifts!A:A,(shifts!B:B=events!AD1485)*(shifts!AG:AG&gt;=events!BK1485)*(shifts!AH:AH&lt;=events!BL1485)),BI1484)</f>
        <v>65</v>
      </c>
      <c r="BJ1485" s="15">
        <f t="shared" si="1323"/>
        <v>0</v>
      </c>
      <c r="BK1485">
        <f t="shared" si="1331"/>
        <v>182</v>
      </c>
      <c r="BL1485">
        <f t="shared" si="1332"/>
        <v>182</v>
      </c>
      <c r="BM1485" s="15">
        <f>SUMIFS(BJ$2:BJ1485,K$2:K1485,"=Intermission")+SUMIFS(BJ$2:BJ1485,K$2:K1485,"=Timeout")</f>
        <v>72</v>
      </c>
      <c r="BN1485">
        <f t="shared" si="1333"/>
        <v>1152</v>
      </c>
      <c r="BO1485" s="19">
        <f t="shared" si="1334"/>
        <v>2050</v>
      </c>
      <c r="BP1485">
        <f t="shared" si="1335"/>
        <v>2045</v>
      </c>
      <c r="BQ1485" s="17">
        <f t="shared" si="1336"/>
        <v>2050</v>
      </c>
      <c r="BR1485" t="str">
        <f t="shared" si="1337"/>
        <v>event_team_player_1</v>
      </c>
      <c r="BS1485">
        <f>COUNTIFS(S$3:S1485,"="&amp;S1485,AI$3:AI1485,"="&amp;AI1485)</f>
        <v>1</v>
      </c>
      <c r="BT1485" t="str">
        <f>IFERROR(VLOOKUP(BB1485&amp;BU1485&amp;X1485,game_rosters!U:W,3,FALSE),"")</f>
        <v>P100002</v>
      </c>
      <c r="BU1485" t="str">
        <f t="shared" si="1338"/>
        <v>Velodrome</v>
      </c>
    </row>
    <row r="1486" spans="1:73" x14ac:dyDescent="0.2">
      <c r="A1486">
        <f t="shared" si="1324"/>
        <v>1</v>
      </c>
      <c r="J1486" s="44" t="str">
        <f t="shared" si="1339"/>
        <v>d</v>
      </c>
      <c r="K1486" t="s">
        <v>238</v>
      </c>
      <c r="L1486" t="s">
        <v>184</v>
      </c>
      <c r="M1486" t="s">
        <v>88</v>
      </c>
      <c r="S1486">
        <v>796</v>
      </c>
      <c r="W1486" t="str">
        <f t="shared" si="1315"/>
        <v>h</v>
      </c>
      <c r="X1486">
        <v>10</v>
      </c>
      <c r="Y1486" t="b">
        <f>IF(X1486&lt;&gt;"",VLOOKUP(X1486,game_rosters!$C$43:$E$64,3,FALSE))</f>
        <v>0</v>
      </c>
      <c r="Z1486" cm="1">
        <f t="array" ref="Z1486">IFERROR(IF(_xlfn._xlws.FILTER(game_rosters!$J:$J,(game_rosters!$G:$G=events!$AN1486)*(game_rosters!$J:$J=events!$X1486))&gt;0,1,""),"")</f>
        <v>1</v>
      </c>
      <c r="AA1486">
        <f t="shared" si="1273"/>
        <v>1796</v>
      </c>
      <c r="AB1486" t="str">
        <f t="shared" si="1274"/>
        <v/>
      </c>
      <c r="AC1486">
        <f t="shared" si="1312"/>
        <v>1796</v>
      </c>
      <c r="AD1486" s="6">
        <v>2</v>
      </c>
      <c r="AE1486" t="s">
        <v>940</v>
      </c>
      <c r="AF1486" t="s">
        <v>913</v>
      </c>
      <c r="AG1486" t="s">
        <v>942</v>
      </c>
      <c r="AH1486" t="s">
        <v>932</v>
      </c>
      <c r="AI1486" t="s">
        <v>367</v>
      </c>
      <c r="AJ1486" t="str">
        <f t="shared" ref="AJ1486:AK1486" si="1348">IF($J1486&lt;&gt;"",$J1486,IF($AC1486=$AC1485,AJ1485,""))</f>
        <v>d</v>
      </c>
      <c r="AK1486" t="str">
        <f t="shared" si="1348"/>
        <v>d</v>
      </c>
      <c r="AL1486" t="str">
        <f t="shared" si="1317"/>
        <v>d</v>
      </c>
      <c r="AN1486" t="s">
        <v>861</v>
      </c>
      <c r="AO1486" t="str">
        <f t="shared" si="1318"/>
        <v>h</v>
      </c>
      <c r="AP1486" t="str">
        <f t="shared" si="1326"/>
        <v>d</v>
      </c>
      <c r="AQ1486" t="str">
        <f t="shared" si="1327"/>
        <v/>
      </c>
      <c r="AR1486" t="str">
        <f t="shared" si="1328"/>
        <v>Home</v>
      </c>
      <c r="AS1486" t="str">
        <f t="shared" si="1329"/>
        <v>h</v>
      </c>
      <c r="AT1486" t="str">
        <f t="shared" si="1330"/>
        <v>Offensive</v>
      </c>
      <c r="BA1486" s="6">
        <f t="shared" si="1319"/>
        <v>342</v>
      </c>
      <c r="BB1486">
        <f t="shared" si="1320"/>
        <v>18981</v>
      </c>
      <c r="BC1486" t="str">
        <f t="shared" si="1321"/>
        <v>Nelson</v>
      </c>
      <c r="BD1486" t="str">
        <f t="shared" si="1322"/>
        <v>Velodrome</v>
      </c>
      <c r="BE1486" t="s">
        <v>238</v>
      </c>
      <c r="BF1486" t="s">
        <v>184</v>
      </c>
      <c r="BG1486" t="s">
        <v>88</v>
      </c>
      <c r="BI1486" cm="1">
        <f t="array" ref="BI1486">IFERROR(_xlfn._xlws.FILTER(shifts!A:A,(shifts!B:B=events!AD1486)*(shifts!AG:AG&gt;=events!BK1486)*(shifts!AH:AH&lt;=events!BL1486)),BI1485)</f>
        <v>65</v>
      </c>
      <c r="BJ1486" s="15">
        <f t="shared" si="1323"/>
        <v>4</v>
      </c>
      <c r="BK1486">
        <f t="shared" si="1331"/>
        <v>182</v>
      </c>
      <c r="BL1486">
        <f t="shared" si="1332"/>
        <v>178</v>
      </c>
      <c r="BM1486" s="15">
        <f>SUMIFS(BJ$2:BJ1486,K$2:K1486,"=Intermission")+SUMIFS(BJ$2:BJ1486,K$2:K1486,"=Timeout")</f>
        <v>72</v>
      </c>
      <c r="BN1486">
        <f t="shared" si="1333"/>
        <v>1152</v>
      </c>
      <c r="BO1486" s="19">
        <f t="shared" si="1334"/>
        <v>2050</v>
      </c>
      <c r="BP1486">
        <f t="shared" si="1335"/>
        <v>2045</v>
      </c>
      <c r="BQ1486" s="17">
        <f t="shared" si="1336"/>
        <v>2054</v>
      </c>
      <c r="BR1486" t="str">
        <f t="shared" si="1337"/>
        <v>event_team_player_1</v>
      </c>
      <c r="BS1486">
        <f>COUNTIFS(S$3:S1486,"="&amp;S1486,AI$3:AI1486,"="&amp;AI1486)</f>
        <v>1</v>
      </c>
      <c r="BT1486" t="str">
        <f>IFERROR(VLOOKUP(BB1486&amp;BU1486&amp;X1486,game_rosters!U:W,3,FALSE),"")</f>
        <v>P100078</v>
      </c>
      <c r="BU1486" t="str">
        <f t="shared" si="1338"/>
        <v>Nelson</v>
      </c>
    </row>
    <row r="1487" spans="1:73" x14ac:dyDescent="0.2">
      <c r="A1487">
        <f t="shared" si="1324"/>
        <v>1</v>
      </c>
      <c r="J1487" s="44" t="str">
        <f t="shared" si="1339"/>
        <v/>
      </c>
      <c r="K1487" t="s">
        <v>13</v>
      </c>
      <c r="L1487" t="s">
        <v>756</v>
      </c>
      <c r="M1487" t="s">
        <v>756</v>
      </c>
      <c r="S1487">
        <v>797</v>
      </c>
      <c r="W1487" t="str">
        <f t="shared" si="1315"/>
        <v>h</v>
      </c>
      <c r="X1487">
        <v>10</v>
      </c>
      <c r="Y1487" t="b">
        <f>IF(X1487&lt;&gt;"",VLOOKUP(X1487,game_rosters!$C$43:$E$64,3,FALSE))</f>
        <v>0</v>
      </c>
      <c r="Z1487" cm="1">
        <f t="array" ref="Z1487">IFERROR(IF(_xlfn._xlws.FILTER(game_rosters!$J:$J,(game_rosters!$G:$G=events!$AN1487)*(game_rosters!$J:$J=events!$X1487))&gt;0,1,""),"")</f>
        <v>1</v>
      </c>
      <c r="AA1487">
        <f t="shared" si="1273"/>
        <v>1797</v>
      </c>
      <c r="AB1487" t="str">
        <f t="shared" si="1274"/>
        <v/>
      </c>
      <c r="AC1487">
        <f t="shared" si="1312"/>
        <v>1797</v>
      </c>
      <c r="AD1487" s="6">
        <v>2</v>
      </c>
      <c r="AE1487" t="s">
        <v>942</v>
      </c>
      <c r="AF1487" t="s">
        <v>932</v>
      </c>
      <c r="AG1487" t="s">
        <v>942</v>
      </c>
      <c r="AH1487" t="s">
        <v>733</v>
      </c>
      <c r="AI1487" t="s">
        <v>367</v>
      </c>
      <c r="AJ1487" t="str">
        <f t="shared" ref="AJ1487:AK1487" si="1349">IF($J1487&lt;&gt;"",$J1487,IF($AC1487=$AC1486,AJ1486,""))</f>
        <v/>
      </c>
      <c r="AK1487" t="str">
        <f t="shared" si="1349"/>
        <v/>
      </c>
      <c r="AL1487" t="str">
        <f t="shared" si="1317"/>
        <v/>
      </c>
      <c r="AN1487" t="s">
        <v>861</v>
      </c>
      <c r="AO1487" t="str">
        <f t="shared" si="1318"/>
        <v>h</v>
      </c>
      <c r="AP1487" t="str">
        <f t="shared" si="1326"/>
        <v/>
      </c>
      <c r="AQ1487" t="str">
        <f t="shared" si="1327"/>
        <v/>
      </c>
      <c r="AR1487" t="str">
        <f t="shared" si="1328"/>
        <v>Home</v>
      </c>
      <c r="AS1487" t="str">
        <f t="shared" si="1329"/>
        <v>h</v>
      </c>
      <c r="AT1487" t="str">
        <f t="shared" si="1330"/>
        <v>Offensive</v>
      </c>
      <c r="BA1487" s="6">
        <f t="shared" si="1319"/>
        <v>342</v>
      </c>
      <c r="BB1487">
        <f t="shared" si="1320"/>
        <v>18981</v>
      </c>
      <c r="BC1487" t="str">
        <f t="shared" si="1321"/>
        <v>Nelson</v>
      </c>
      <c r="BD1487" t="str">
        <f t="shared" si="1322"/>
        <v>Velodrome</v>
      </c>
      <c r="BE1487" t="s">
        <v>13</v>
      </c>
      <c r="BF1487" t="s">
        <v>756</v>
      </c>
      <c r="BG1487" t="s">
        <v>756</v>
      </c>
      <c r="BI1487" cm="1">
        <f t="array" ref="BI1487">IFERROR(_xlfn._xlws.FILTER(shifts!A:A,(shifts!B:B=events!AD1487)*(shifts!AG:AG&gt;=events!BK1487)*(shifts!AH:AH&lt;=events!BL1487)),BI1486)</f>
        <v>65</v>
      </c>
      <c r="BJ1487" s="15">
        <f t="shared" si="1323"/>
        <v>2</v>
      </c>
      <c r="BK1487">
        <f t="shared" si="1331"/>
        <v>178</v>
      </c>
      <c r="BL1487">
        <f t="shared" si="1332"/>
        <v>176</v>
      </c>
      <c r="BM1487" s="15">
        <f>SUMIFS(BJ$2:BJ1487,K$2:K1487,"=Intermission")+SUMIFS(BJ$2:BJ1487,K$2:K1487,"=Timeout")</f>
        <v>72</v>
      </c>
      <c r="BN1487">
        <f t="shared" si="1333"/>
        <v>1152</v>
      </c>
      <c r="BO1487" s="19">
        <f t="shared" si="1334"/>
        <v>2054</v>
      </c>
      <c r="BP1487">
        <f t="shared" si="1335"/>
        <v>2049</v>
      </c>
      <c r="BQ1487" s="17">
        <f t="shared" si="1336"/>
        <v>2056</v>
      </c>
      <c r="BR1487" t="str">
        <f t="shared" si="1337"/>
        <v>event_team_player_1</v>
      </c>
      <c r="BS1487">
        <f>COUNTIFS(S$3:S1487,"="&amp;S1487,AI$3:AI1487,"="&amp;AI1487)</f>
        <v>1</v>
      </c>
      <c r="BT1487" t="str">
        <f>IFERROR(VLOOKUP(BB1487&amp;BU1487&amp;X1487,game_rosters!U:W,3,FALSE),"")</f>
        <v>P100078</v>
      </c>
      <c r="BU1487" t="str">
        <f t="shared" si="1338"/>
        <v>Nelson</v>
      </c>
    </row>
    <row r="1488" spans="1:73" x14ac:dyDescent="0.2">
      <c r="A1488">
        <f t="shared" si="1324"/>
        <v>1</v>
      </c>
      <c r="J1488" s="44" t="str">
        <f t="shared" si="1339"/>
        <v>o</v>
      </c>
      <c r="K1488" t="s">
        <v>238</v>
      </c>
      <c r="L1488" t="s">
        <v>174</v>
      </c>
      <c r="M1488" t="s">
        <v>85</v>
      </c>
      <c r="S1488">
        <v>798</v>
      </c>
      <c r="W1488" t="str">
        <f t="shared" si="1315"/>
        <v>h</v>
      </c>
      <c r="X1488">
        <v>10</v>
      </c>
      <c r="Y1488" t="b">
        <f>IF(X1488&lt;&gt;"",VLOOKUP(X1488,game_rosters!$C$43:$E$64,3,FALSE))</f>
        <v>0</v>
      </c>
      <c r="Z1488" cm="1">
        <f t="array" ref="Z1488">IFERROR(IF(_xlfn._xlws.FILTER(game_rosters!$J:$J,(game_rosters!$G:$G=events!$AN1488)*(game_rosters!$J:$J=events!$X1488))&gt;0,1,""),"")</f>
        <v>1</v>
      </c>
      <c r="AA1488">
        <f t="shared" si="1273"/>
        <v>1798</v>
      </c>
      <c r="AB1488" t="str">
        <f t="shared" si="1274"/>
        <v/>
      </c>
      <c r="AC1488">
        <f t="shared" si="1312"/>
        <v>1798</v>
      </c>
      <c r="AD1488" s="6">
        <v>2</v>
      </c>
      <c r="AE1488" t="s">
        <v>942</v>
      </c>
      <c r="AF1488" t="s">
        <v>733</v>
      </c>
      <c r="AG1488" t="s">
        <v>942</v>
      </c>
      <c r="AH1488" t="s">
        <v>934</v>
      </c>
      <c r="AI1488" t="s">
        <v>367</v>
      </c>
      <c r="AJ1488" t="str">
        <f t="shared" ref="AJ1488:AK1488" si="1350">IF($J1488&lt;&gt;"",$J1488,IF($AC1488=$AC1487,AJ1487,""))</f>
        <v>o</v>
      </c>
      <c r="AK1488" t="str">
        <f t="shared" si="1350"/>
        <v>o</v>
      </c>
      <c r="AL1488" t="str">
        <f t="shared" si="1317"/>
        <v>o</v>
      </c>
      <c r="AN1488" t="s">
        <v>861</v>
      </c>
      <c r="AO1488" t="str">
        <f t="shared" si="1318"/>
        <v>h</v>
      </c>
      <c r="AP1488" t="str">
        <f t="shared" si="1326"/>
        <v>o</v>
      </c>
      <c r="AQ1488" t="str">
        <f t="shared" si="1327"/>
        <v/>
      </c>
      <c r="AR1488" t="str">
        <f t="shared" si="1328"/>
        <v>Home</v>
      </c>
      <c r="AS1488" t="str">
        <f t="shared" si="1329"/>
        <v>h</v>
      </c>
      <c r="AT1488" t="str">
        <f t="shared" si="1330"/>
        <v>Offensive</v>
      </c>
      <c r="BA1488" s="6">
        <f t="shared" si="1319"/>
        <v>343</v>
      </c>
      <c r="BB1488">
        <f t="shared" si="1320"/>
        <v>18981</v>
      </c>
      <c r="BC1488" t="str">
        <f t="shared" si="1321"/>
        <v>Nelson</v>
      </c>
      <c r="BD1488" t="str">
        <f t="shared" si="1322"/>
        <v>Velodrome</v>
      </c>
      <c r="BE1488" t="s">
        <v>238</v>
      </c>
      <c r="BF1488" t="s">
        <v>174</v>
      </c>
      <c r="BG1488" t="s">
        <v>85</v>
      </c>
      <c r="BI1488" cm="1">
        <f t="array" ref="BI1488">IFERROR(_xlfn._xlws.FILTER(shifts!A:A,(shifts!B:B=events!AD1488)*(shifts!AG:AG&gt;=events!BK1488)*(shifts!AH:AH&lt;=events!BL1488)),BI1487)</f>
        <v>65</v>
      </c>
      <c r="BJ1488" s="15">
        <f t="shared" si="1323"/>
        <v>2</v>
      </c>
      <c r="BK1488">
        <f t="shared" si="1331"/>
        <v>176</v>
      </c>
      <c r="BL1488">
        <f t="shared" si="1332"/>
        <v>174</v>
      </c>
      <c r="BM1488" s="15">
        <f>SUMIFS(BJ$2:BJ1488,K$2:K1488,"=Intermission")+SUMIFS(BJ$2:BJ1488,K$2:K1488,"=Timeout")</f>
        <v>72</v>
      </c>
      <c r="BN1488">
        <f t="shared" si="1333"/>
        <v>1152</v>
      </c>
      <c r="BO1488" s="19">
        <f t="shared" si="1334"/>
        <v>2056</v>
      </c>
      <c r="BP1488">
        <f t="shared" si="1335"/>
        <v>2051</v>
      </c>
      <c r="BQ1488" s="17">
        <f t="shared" si="1336"/>
        <v>2058</v>
      </c>
      <c r="BR1488" t="str">
        <f t="shared" si="1337"/>
        <v>event_team_player_1</v>
      </c>
      <c r="BS1488">
        <f>COUNTIFS(S$3:S1488,"="&amp;S1488,AI$3:AI1488,"="&amp;AI1488)</f>
        <v>1</v>
      </c>
      <c r="BT1488" t="str">
        <f>IFERROR(VLOOKUP(BB1488&amp;BU1488&amp;X1488,game_rosters!U:W,3,FALSE),"")</f>
        <v>P100078</v>
      </c>
      <c r="BU1488" t="str">
        <f t="shared" si="1338"/>
        <v>Nelson</v>
      </c>
    </row>
    <row r="1489" spans="1:73" x14ac:dyDescent="0.2">
      <c r="A1489">
        <f t="shared" si="1324"/>
        <v>1</v>
      </c>
      <c r="J1489" s="44" t="str">
        <f t="shared" si="1339"/>
        <v>o</v>
      </c>
      <c r="K1489" t="s">
        <v>238</v>
      </c>
      <c r="L1489" t="s">
        <v>174</v>
      </c>
      <c r="M1489" t="s">
        <v>85</v>
      </c>
      <c r="S1489">
        <v>798</v>
      </c>
      <c r="W1489" t="str">
        <f t="shared" si="1315"/>
        <v>h</v>
      </c>
      <c r="X1489">
        <v>44</v>
      </c>
      <c r="Y1489" t="b">
        <f>IF(X1489&lt;&gt;"",VLOOKUP(X1489,game_rosters!$C$43:$E$64,3,FALSE))</f>
        <v>0</v>
      </c>
      <c r="Z1489" cm="1">
        <f t="array" ref="Z1489">IFERROR(IF(_xlfn._xlws.FILTER(game_rosters!$J:$J,(game_rosters!$G:$G=events!$AN1489)*(game_rosters!$J:$J=events!$X1489))&gt;0,1,""),"")</f>
        <v>1</v>
      </c>
      <c r="AA1489">
        <f t="shared" si="1273"/>
        <v>1798</v>
      </c>
      <c r="AB1489" t="str">
        <f t="shared" si="1274"/>
        <v/>
      </c>
      <c r="AC1489">
        <f t="shared" si="1312"/>
        <v>1798</v>
      </c>
      <c r="AD1489" s="6">
        <v>2</v>
      </c>
      <c r="AE1489" t="s">
        <v>942</v>
      </c>
      <c r="AF1489" t="s">
        <v>733</v>
      </c>
      <c r="AG1489" t="s">
        <v>942</v>
      </c>
      <c r="AH1489" t="s">
        <v>934</v>
      </c>
      <c r="AI1489" t="s">
        <v>367</v>
      </c>
      <c r="AJ1489" t="str">
        <f t="shared" ref="AJ1489:AK1489" si="1351">IF($J1489&lt;&gt;"",$J1489,IF($AC1489=$AC1488,AJ1488,""))</f>
        <v>o</v>
      </c>
      <c r="AK1489" t="str">
        <f t="shared" si="1351"/>
        <v>o</v>
      </c>
      <c r="AL1489" t="str">
        <f t="shared" si="1317"/>
        <v>o</v>
      </c>
      <c r="AN1489" t="s">
        <v>861</v>
      </c>
      <c r="AO1489" t="str">
        <f t="shared" si="1318"/>
        <v>h</v>
      </c>
      <c r="AP1489" t="str">
        <f t="shared" si="1326"/>
        <v>o</v>
      </c>
      <c r="AQ1489" t="str">
        <f t="shared" si="1327"/>
        <v/>
      </c>
      <c r="AR1489" t="str">
        <f t="shared" si="1328"/>
        <v>Home</v>
      </c>
      <c r="AS1489" t="str">
        <f t="shared" si="1329"/>
        <v>h</v>
      </c>
      <c r="AT1489" t="str">
        <f t="shared" si="1330"/>
        <v>Offensive</v>
      </c>
      <c r="BA1489" s="6">
        <f t="shared" si="1319"/>
        <v>344</v>
      </c>
      <c r="BB1489">
        <f t="shared" si="1320"/>
        <v>18981</v>
      </c>
      <c r="BC1489" t="str">
        <f t="shared" si="1321"/>
        <v>Nelson</v>
      </c>
      <c r="BD1489" t="str">
        <f t="shared" si="1322"/>
        <v>Velodrome</v>
      </c>
      <c r="BE1489" t="s">
        <v>238</v>
      </c>
      <c r="BF1489" t="s">
        <v>174</v>
      </c>
      <c r="BG1489" t="s">
        <v>85</v>
      </c>
      <c r="BI1489" cm="1">
        <f t="array" ref="BI1489">IFERROR(_xlfn._xlws.FILTER(shifts!A:A,(shifts!B:B=events!AD1489)*(shifts!AG:AG&gt;=events!BK1489)*(shifts!AH:AH&lt;=events!BL1489)),BI1488)</f>
        <v>65</v>
      </c>
      <c r="BJ1489" s="15">
        <f t="shared" si="1323"/>
        <v>2</v>
      </c>
      <c r="BK1489">
        <f t="shared" si="1331"/>
        <v>176</v>
      </c>
      <c r="BL1489">
        <f t="shared" si="1332"/>
        <v>174</v>
      </c>
      <c r="BM1489" s="15">
        <f>SUMIFS(BJ$2:BJ1489,K$2:K1489,"=Intermission")+SUMIFS(BJ$2:BJ1489,K$2:K1489,"=Timeout")</f>
        <v>72</v>
      </c>
      <c r="BN1489">
        <f t="shared" si="1333"/>
        <v>1152</v>
      </c>
      <c r="BO1489" s="19">
        <f t="shared" si="1334"/>
        <v>2056</v>
      </c>
      <c r="BP1489">
        <f t="shared" si="1335"/>
        <v>2051</v>
      </c>
      <c r="BQ1489" s="17">
        <f t="shared" si="1336"/>
        <v>2058</v>
      </c>
      <c r="BR1489" t="str">
        <f t="shared" si="1337"/>
        <v>event_team_player_2</v>
      </c>
      <c r="BS1489">
        <f>COUNTIFS(S$3:S1489,"="&amp;S1489,AI$3:AI1489,"="&amp;AI1489)</f>
        <v>2</v>
      </c>
      <c r="BT1489" t="str">
        <f>IFERROR(VLOOKUP(BB1489&amp;BU1489&amp;X1489,game_rosters!U:W,3,FALSE),"")</f>
        <v>P100079</v>
      </c>
      <c r="BU1489" t="str">
        <f t="shared" si="1338"/>
        <v>Nelson</v>
      </c>
    </row>
    <row r="1490" spans="1:73" x14ac:dyDescent="0.2">
      <c r="A1490">
        <f t="shared" si="1324"/>
        <v>1</v>
      </c>
      <c r="J1490" s="44" t="str">
        <f t="shared" si="1339"/>
        <v>o</v>
      </c>
      <c r="K1490" t="s">
        <v>238</v>
      </c>
      <c r="L1490" t="s">
        <v>174</v>
      </c>
      <c r="M1490" t="s">
        <v>85</v>
      </c>
      <c r="S1490">
        <v>798</v>
      </c>
      <c r="W1490" t="str">
        <f t="shared" si="1315"/>
        <v>h</v>
      </c>
      <c r="X1490">
        <v>52</v>
      </c>
      <c r="Y1490" t="e">
        <f>IF(X1490&lt;&gt;"",VLOOKUP(X1490,game_rosters!$C$43:$E$64,3,FALSE))</f>
        <v>#N/A</v>
      </c>
      <c r="Z1490" t="str" cm="1">
        <f t="array" ref="Z1490">IFERROR(IF(_xlfn._xlws.FILTER(game_rosters!$J:$J,(game_rosters!$G:$G=events!$AN1490)*(game_rosters!$J:$J=events!$X1490))&gt;0,1,""),"")</f>
        <v/>
      </c>
      <c r="AA1490">
        <f t="shared" si="1273"/>
        <v>1798</v>
      </c>
      <c r="AB1490" t="str">
        <f t="shared" si="1274"/>
        <v/>
      </c>
      <c r="AC1490">
        <f t="shared" si="1312"/>
        <v>1798</v>
      </c>
      <c r="AD1490" s="6">
        <v>2</v>
      </c>
      <c r="AE1490" t="s">
        <v>942</v>
      </c>
      <c r="AF1490" t="s">
        <v>733</v>
      </c>
      <c r="AG1490" t="s">
        <v>942</v>
      </c>
      <c r="AH1490" t="s">
        <v>934</v>
      </c>
      <c r="AI1490" t="s">
        <v>368</v>
      </c>
      <c r="AJ1490" t="str">
        <f t="shared" ref="AJ1490:AK1490" si="1352">IF($J1490&lt;&gt;"",$J1490,IF($AC1490=$AC1489,AJ1489,""))</f>
        <v>o</v>
      </c>
      <c r="AK1490" t="str">
        <f t="shared" si="1352"/>
        <v>o</v>
      </c>
      <c r="AL1490" t="str">
        <f t="shared" si="1317"/>
        <v>o</v>
      </c>
      <c r="AN1490" t="s">
        <v>861</v>
      </c>
      <c r="AO1490" t="str">
        <f t="shared" si="1318"/>
        <v>h</v>
      </c>
      <c r="AP1490" t="str">
        <f t="shared" si="1326"/>
        <v>o</v>
      </c>
      <c r="AQ1490" t="str">
        <f t="shared" si="1327"/>
        <v/>
      </c>
      <c r="AR1490" t="str">
        <f t="shared" si="1328"/>
        <v>Home</v>
      </c>
      <c r="AS1490" t="str">
        <f t="shared" si="1329"/>
        <v>h</v>
      </c>
      <c r="AT1490" t="str">
        <f t="shared" si="1330"/>
        <v>Defensive</v>
      </c>
      <c r="BA1490" s="6">
        <f t="shared" si="1319"/>
        <v>345</v>
      </c>
      <c r="BB1490">
        <f t="shared" si="1320"/>
        <v>18981</v>
      </c>
      <c r="BC1490" t="str">
        <f t="shared" si="1321"/>
        <v>Nelson</v>
      </c>
      <c r="BD1490" t="str">
        <f t="shared" si="1322"/>
        <v>Velodrome</v>
      </c>
      <c r="BE1490" t="s">
        <v>238</v>
      </c>
      <c r="BF1490" t="s">
        <v>174</v>
      </c>
      <c r="BG1490" t="s">
        <v>85</v>
      </c>
      <c r="BI1490" cm="1">
        <f t="array" ref="BI1490">IFERROR(_xlfn._xlws.FILTER(shifts!A:A,(shifts!B:B=events!AD1490)*(shifts!AG:AG&gt;=events!BK1490)*(shifts!AH:AH&lt;=events!BL1490)),BI1489)</f>
        <v>65</v>
      </c>
      <c r="BJ1490" s="15">
        <f t="shared" si="1323"/>
        <v>2</v>
      </c>
      <c r="BK1490">
        <f t="shared" si="1331"/>
        <v>176</v>
      </c>
      <c r="BL1490">
        <f t="shared" si="1332"/>
        <v>174</v>
      </c>
      <c r="BM1490" s="15">
        <f>SUMIFS(BJ$2:BJ1490,K$2:K1490,"=Intermission")+SUMIFS(BJ$2:BJ1490,K$2:K1490,"=Timeout")</f>
        <v>72</v>
      </c>
      <c r="BN1490">
        <f t="shared" si="1333"/>
        <v>1152</v>
      </c>
      <c r="BO1490" s="19">
        <f t="shared" si="1334"/>
        <v>2056</v>
      </c>
      <c r="BP1490">
        <f t="shared" si="1335"/>
        <v>2051</v>
      </c>
      <c r="BQ1490" s="17">
        <f t="shared" si="1336"/>
        <v>2058</v>
      </c>
      <c r="BR1490" t="str">
        <f t="shared" si="1337"/>
        <v>opp_team_player_1</v>
      </c>
      <c r="BS1490">
        <f>COUNTIFS(S$3:S1490,"="&amp;S1490,AI$3:AI1490,"="&amp;AI1490)</f>
        <v>1</v>
      </c>
      <c r="BT1490" t="str">
        <f>IFERROR(VLOOKUP(BB1490&amp;BU1490&amp;X1490,game_rosters!U:W,3,FALSE),"")</f>
        <v>P100070</v>
      </c>
      <c r="BU1490" t="str">
        <f t="shared" si="1338"/>
        <v>Velodrome</v>
      </c>
    </row>
    <row r="1491" spans="1:73" x14ac:dyDescent="0.2">
      <c r="A1491">
        <f t="shared" si="1324"/>
        <v>1</v>
      </c>
      <c r="J1491" s="44" t="str">
        <f t="shared" si="1339"/>
        <v>o</v>
      </c>
      <c r="K1491" t="s">
        <v>238</v>
      </c>
      <c r="L1491" t="s">
        <v>174</v>
      </c>
      <c r="M1491" t="s">
        <v>85</v>
      </c>
      <c r="S1491">
        <v>798</v>
      </c>
      <c r="W1491" t="str">
        <f t="shared" si="1315"/>
        <v>h</v>
      </c>
      <c r="X1491">
        <v>22</v>
      </c>
      <c r="Y1491" t="e">
        <f>IF(X1491&lt;&gt;"",VLOOKUP(X1491,game_rosters!$C$43:$E$64,3,FALSE))</f>
        <v>#N/A</v>
      </c>
      <c r="Z1491" t="str" cm="1">
        <f t="array" ref="Z1491">IFERROR(IF(_xlfn._xlws.FILTER(game_rosters!$J:$J,(game_rosters!$G:$G=events!$AN1491)*(game_rosters!$J:$J=events!$X1491))&gt;0,1,""),"")</f>
        <v/>
      </c>
      <c r="AA1491">
        <f t="shared" si="1273"/>
        <v>1798</v>
      </c>
      <c r="AB1491" t="str">
        <f t="shared" si="1274"/>
        <v/>
      </c>
      <c r="AC1491">
        <f t="shared" si="1312"/>
        <v>1798</v>
      </c>
      <c r="AD1491" s="6">
        <v>2</v>
      </c>
      <c r="AE1491" t="s">
        <v>942</v>
      </c>
      <c r="AF1491" t="s">
        <v>733</v>
      </c>
      <c r="AG1491" t="s">
        <v>942</v>
      </c>
      <c r="AH1491" t="s">
        <v>934</v>
      </c>
      <c r="AI1491" t="s">
        <v>368</v>
      </c>
      <c r="AJ1491" t="str">
        <f t="shared" ref="AJ1491:AK1491" si="1353">IF($J1491&lt;&gt;"",$J1491,IF($AC1491=$AC1490,AJ1490,""))</f>
        <v>o</v>
      </c>
      <c r="AK1491" t="str">
        <f t="shared" si="1353"/>
        <v>o</v>
      </c>
      <c r="AL1491" t="str">
        <f t="shared" si="1317"/>
        <v>o</v>
      </c>
      <c r="AN1491" t="s">
        <v>861</v>
      </c>
      <c r="AO1491" t="str">
        <f t="shared" si="1318"/>
        <v>h</v>
      </c>
      <c r="AP1491" t="str">
        <f t="shared" si="1326"/>
        <v>o</v>
      </c>
      <c r="AQ1491" t="str">
        <f t="shared" si="1327"/>
        <v/>
      </c>
      <c r="AR1491" t="str">
        <f t="shared" si="1328"/>
        <v>Home</v>
      </c>
      <c r="AS1491" t="str">
        <f t="shared" si="1329"/>
        <v>h</v>
      </c>
      <c r="AT1491" t="str">
        <f t="shared" si="1330"/>
        <v>Defensive</v>
      </c>
      <c r="BA1491" s="6">
        <f t="shared" si="1319"/>
        <v>346</v>
      </c>
      <c r="BB1491">
        <f t="shared" si="1320"/>
        <v>18981</v>
      </c>
      <c r="BC1491" t="str">
        <f t="shared" si="1321"/>
        <v>Nelson</v>
      </c>
      <c r="BD1491" t="str">
        <f t="shared" si="1322"/>
        <v>Velodrome</v>
      </c>
      <c r="BE1491" t="s">
        <v>238</v>
      </c>
      <c r="BF1491" t="s">
        <v>174</v>
      </c>
      <c r="BG1491" t="s">
        <v>85</v>
      </c>
      <c r="BI1491" cm="1">
        <f t="array" ref="BI1491">IFERROR(_xlfn._xlws.FILTER(shifts!A:A,(shifts!B:B=events!AD1491)*(shifts!AG:AG&gt;=events!BK1491)*(shifts!AH:AH&lt;=events!BL1491)),BI1490)</f>
        <v>65</v>
      </c>
      <c r="BJ1491" s="15">
        <f t="shared" si="1323"/>
        <v>2</v>
      </c>
      <c r="BK1491">
        <f t="shared" si="1331"/>
        <v>176</v>
      </c>
      <c r="BL1491">
        <f t="shared" si="1332"/>
        <v>174</v>
      </c>
      <c r="BM1491" s="15">
        <f>SUMIFS(BJ$2:BJ1491,K$2:K1491,"=Intermission")+SUMIFS(BJ$2:BJ1491,K$2:K1491,"=Timeout")</f>
        <v>72</v>
      </c>
      <c r="BN1491">
        <f t="shared" si="1333"/>
        <v>1152</v>
      </c>
      <c r="BO1491" s="19">
        <f t="shared" si="1334"/>
        <v>2056</v>
      </c>
      <c r="BP1491">
        <f t="shared" si="1335"/>
        <v>2051</v>
      </c>
      <c r="BQ1491" s="17">
        <f t="shared" si="1336"/>
        <v>2058</v>
      </c>
      <c r="BR1491" t="str">
        <f t="shared" si="1337"/>
        <v>opp_team_player_2</v>
      </c>
      <c r="BS1491">
        <f>COUNTIFS(S$3:S1491,"="&amp;S1491,AI$3:AI1491,"="&amp;AI1491)</f>
        <v>2</v>
      </c>
      <c r="BT1491" t="str">
        <f>IFERROR(VLOOKUP(BB1491&amp;BU1491&amp;X1491,game_rosters!U:W,3,FALSE),"")</f>
        <v>P100108</v>
      </c>
      <c r="BU1491" t="str">
        <f t="shared" si="1338"/>
        <v>Velodrome</v>
      </c>
    </row>
    <row r="1492" spans="1:73" x14ac:dyDescent="0.2">
      <c r="A1492">
        <f t="shared" si="1324"/>
        <v>1</v>
      </c>
      <c r="J1492" s="44" t="str">
        <f t="shared" si="1339"/>
        <v>o</v>
      </c>
      <c r="K1492" t="s">
        <v>238</v>
      </c>
      <c r="L1492" t="s">
        <v>174</v>
      </c>
      <c r="M1492" t="s">
        <v>85</v>
      </c>
      <c r="S1492">
        <v>798</v>
      </c>
      <c r="W1492" t="str">
        <f t="shared" si="1315"/>
        <v>h</v>
      </c>
      <c r="X1492">
        <v>91</v>
      </c>
      <c r="Y1492" t="e">
        <f>IF(X1492&lt;&gt;"",VLOOKUP(X1492,game_rosters!$C$43:$E$64,3,FALSE))</f>
        <v>#N/A</v>
      </c>
      <c r="Z1492" t="str" cm="1">
        <f t="array" ref="Z1492">IFERROR(IF(_xlfn._xlws.FILTER(game_rosters!$J:$J,(game_rosters!$G:$G=events!$AN1492)*(game_rosters!$J:$J=events!$X1492))&gt;0,1,""),"")</f>
        <v/>
      </c>
      <c r="AA1492">
        <f t="shared" si="1273"/>
        <v>1798</v>
      </c>
      <c r="AB1492" t="str">
        <f t="shared" si="1274"/>
        <v/>
      </c>
      <c r="AC1492">
        <f t="shared" si="1312"/>
        <v>1798</v>
      </c>
      <c r="AD1492" s="6">
        <v>2</v>
      </c>
      <c r="AE1492" t="s">
        <v>942</v>
      </c>
      <c r="AF1492" t="s">
        <v>733</v>
      </c>
      <c r="AG1492" t="s">
        <v>942</v>
      </c>
      <c r="AH1492" t="s">
        <v>934</v>
      </c>
      <c r="AI1492" t="s">
        <v>368</v>
      </c>
      <c r="AJ1492" t="str">
        <f t="shared" ref="AJ1492:AK1492" si="1354">IF($J1492&lt;&gt;"",$J1492,IF($AC1492=$AC1491,AJ1491,""))</f>
        <v>o</v>
      </c>
      <c r="AK1492" t="str">
        <f t="shared" si="1354"/>
        <v>o</v>
      </c>
      <c r="AL1492" t="str">
        <f t="shared" si="1317"/>
        <v>o</v>
      </c>
      <c r="AN1492" t="s">
        <v>861</v>
      </c>
      <c r="AO1492" t="str">
        <f t="shared" si="1318"/>
        <v>h</v>
      </c>
      <c r="AP1492" t="str">
        <f t="shared" si="1326"/>
        <v>o</v>
      </c>
      <c r="AQ1492" t="str">
        <f t="shared" si="1327"/>
        <v/>
      </c>
      <c r="AR1492" t="str">
        <f t="shared" si="1328"/>
        <v>Home</v>
      </c>
      <c r="AS1492" t="str">
        <f t="shared" si="1329"/>
        <v>h</v>
      </c>
      <c r="AT1492" t="str">
        <f t="shared" si="1330"/>
        <v>Defensive</v>
      </c>
      <c r="BA1492" s="6">
        <f t="shared" si="1319"/>
        <v>347</v>
      </c>
      <c r="BB1492">
        <f t="shared" si="1320"/>
        <v>18981</v>
      </c>
      <c r="BC1492" t="str">
        <f t="shared" si="1321"/>
        <v>Nelson</v>
      </c>
      <c r="BD1492" t="str">
        <f t="shared" si="1322"/>
        <v>Velodrome</v>
      </c>
      <c r="BE1492" t="s">
        <v>238</v>
      </c>
      <c r="BF1492" t="s">
        <v>174</v>
      </c>
      <c r="BG1492" t="s">
        <v>85</v>
      </c>
      <c r="BI1492" cm="1">
        <f t="array" ref="BI1492">IFERROR(_xlfn._xlws.FILTER(shifts!A:A,(shifts!B:B=events!AD1492)*(shifts!AG:AG&gt;=events!BK1492)*(shifts!AH:AH&lt;=events!BL1492)),BI1491)</f>
        <v>65</v>
      </c>
      <c r="BJ1492" s="15">
        <f t="shared" si="1323"/>
        <v>2</v>
      </c>
      <c r="BK1492">
        <f t="shared" si="1331"/>
        <v>176</v>
      </c>
      <c r="BL1492">
        <f t="shared" si="1332"/>
        <v>174</v>
      </c>
      <c r="BM1492" s="15">
        <f>SUMIFS(BJ$2:BJ1492,K$2:K1492,"=Intermission")+SUMIFS(BJ$2:BJ1492,K$2:K1492,"=Timeout")</f>
        <v>72</v>
      </c>
      <c r="BN1492">
        <f t="shared" si="1333"/>
        <v>1152</v>
      </c>
      <c r="BO1492" s="19">
        <f t="shared" si="1334"/>
        <v>2056</v>
      </c>
      <c r="BP1492">
        <f t="shared" si="1335"/>
        <v>2051</v>
      </c>
      <c r="BQ1492" s="17">
        <f t="shared" si="1336"/>
        <v>2058</v>
      </c>
      <c r="BR1492" t="str">
        <f t="shared" si="1337"/>
        <v>opp_team_player_3</v>
      </c>
      <c r="BS1492">
        <f>COUNTIFS(S$3:S1492,"="&amp;S1492,AI$3:AI1492,"="&amp;AI1492)</f>
        <v>3</v>
      </c>
      <c r="BT1492" t="str">
        <f>IFERROR(VLOOKUP(BB1492&amp;BU1492&amp;X1492,game_rosters!U:W,3,FALSE),"")</f>
        <v>P100002</v>
      </c>
      <c r="BU1492" t="str">
        <f t="shared" si="1338"/>
        <v>Velodrome</v>
      </c>
    </row>
    <row r="1493" spans="1:73" x14ac:dyDescent="0.2">
      <c r="A1493">
        <f t="shared" si="1324"/>
        <v>1</v>
      </c>
      <c r="J1493" s="44" t="str">
        <f t="shared" si="1339"/>
        <v/>
      </c>
      <c r="K1493" t="s">
        <v>230</v>
      </c>
      <c r="L1493" t="s">
        <v>388</v>
      </c>
      <c r="M1493" t="s">
        <v>447</v>
      </c>
      <c r="S1493">
        <v>799</v>
      </c>
      <c r="W1493" t="str">
        <f t="shared" si="1315"/>
        <v>h</v>
      </c>
      <c r="X1493">
        <v>10</v>
      </c>
      <c r="Y1493" t="b">
        <f>IF(X1493&lt;&gt;"",VLOOKUP(X1493,game_rosters!$C$43:$E$64,3,FALSE))</f>
        <v>0</v>
      </c>
      <c r="Z1493" cm="1">
        <f t="array" ref="Z1493">IFERROR(IF(_xlfn._xlws.FILTER(game_rosters!$J:$J,(game_rosters!$G:$G=events!$AN1493)*(game_rosters!$J:$J=events!$X1493))&gt;0,1,""),"")</f>
        <v>1</v>
      </c>
      <c r="AA1493">
        <f t="shared" si="1273"/>
        <v>1799</v>
      </c>
      <c r="AB1493" t="str">
        <f t="shared" si="1274"/>
        <v/>
      </c>
      <c r="AC1493">
        <f t="shared" si="1312"/>
        <v>1799</v>
      </c>
      <c r="AD1493" s="6">
        <v>2</v>
      </c>
      <c r="AE1493" t="s">
        <v>942</v>
      </c>
      <c r="AF1493" t="s">
        <v>934</v>
      </c>
      <c r="AG1493" t="s">
        <v>756</v>
      </c>
      <c r="AH1493" t="s">
        <v>756</v>
      </c>
      <c r="AI1493" t="s">
        <v>367</v>
      </c>
      <c r="AJ1493" t="str">
        <f t="shared" ref="AJ1493:AK1493" si="1355">IF($J1493&lt;&gt;"",$J1493,IF($AC1493=$AC1492,AJ1492,""))</f>
        <v/>
      </c>
      <c r="AK1493" t="str">
        <f t="shared" si="1355"/>
        <v/>
      </c>
      <c r="AL1493" t="str">
        <f t="shared" si="1317"/>
        <v/>
      </c>
      <c r="AN1493" t="s">
        <v>861</v>
      </c>
      <c r="AO1493" t="str">
        <f t="shared" si="1318"/>
        <v>h</v>
      </c>
      <c r="AP1493" t="str">
        <f t="shared" si="1326"/>
        <v/>
      </c>
      <c r="AQ1493" t="str">
        <f t="shared" si="1327"/>
        <v/>
      </c>
      <c r="AR1493" t="str">
        <f t="shared" si="1328"/>
        <v>Home</v>
      </c>
      <c r="AS1493" t="str">
        <f t="shared" si="1329"/>
        <v>h</v>
      </c>
      <c r="AT1493" t="str">
        <f t="shared" si="1330"/>
        <v>Offensive</v>
      </c>
      <c r="BA1493" s="6">
        <f t="shared" si="1319"/>
        <v>347</v>
      </c>
      <c r="BB1493">
        <f t="shared" si="1320"/>
        <v>18981</v>
      </c>
      <c r="BC1493" t="str">
        <f t="shared" si="1321"/>
        <v>Nelson</v>
      </c>
      <c r="BD1493" t="str">
        <f t="shared" si="1322"/>
        <v>Velodrome</v>
      </c>
      <c r="BE1493" t="s">
        <v>230</v>
      </c>
      <c r="BF1493" t="s">
        <v>388</v>
      </c>
      <c r="BG1493" t="s">
        <v>447</v>
      </c>
      <c r="BI1493" cm="1">
        <f t="array" ref="BI1493">IFERROR(_xlfn._xlws.FILTER(shifts!A:A,(shifts!B:B=events!AD1493)*(shifts!AG:AG&gt;=events!BK1493)*(shifts!AH:AH&lt;=events!BL1493)),BI1492)</f>
        <v>65</v>
      </c>
      <c r="BJ1493" s="15">
        <f t="shared" si="1323"/>
        <v>0</v>
      </c>
      <c r="BK1493">
        <f t="shared" si="1331"/>
        <v>174</v>
      </c>
      <c r="BL1493">
        <f t="shared" si="1332"/>
        <v>174</v>
      </c>
      <c r="BM1493" s="15">
        <f>SUMIFS(BJ$2:BJ1493,K$2:K1493,"=Intermission")+SUMIFS(BJ$2:BJ1493,K$2:K1493,"=Timeout")</f>
        <v>72</v>
      </c>
      <c r="BN1493">
        <f t="shared" si="1333"/>
        <v>1152</v>
      </c>
      <c r="BO1493" s="19">
        <f t="shared" si="1334"/>
        <v>2058</v>
      </c>
      <c r="BP1493">
        <f t="shared" si="1335"/>
        <v>2053</v>
      </c>
      <c r="BQ1493" s="17">
        <f t="shared" si="1336"/>
        <v>2058</v>
      </c>
      <c r="BR1493" t="str">
        <f t="shared" si="1337"/>
        <v>event_team_player_1</v>
      </c>
      <c r="BS1493">
        <f>COUNTIFS(S$3:S1493,"="&amp;S1493,AI$3:AI1493,"="&amp;AI1493)</f>
        <v>1</v>
      </c>
      <c r="BT1493" t="str">
        <f>IFERROR(VLOOKUP(BB1493&amp;BU1493&amp;X1493,game_rosters!U:W,3,FALSE),"")</f>
        <v>P100078</v>
      </c>
      <c r="BU1493" t="str">
        <f t="shared" si="1338"/>
        <v>Nelson</v>
      </c>
    </row>
    <row r="1494" spans="1:73" x14ac:dyDescent="0.2">
      <c r="A1494">
        <f t="shared" si="1324"/>
        <v>1</v>
      </c>
      <c r="J1494" s="44" t="str">
        <f t="shared" si="1339"/>
        <v/>
      </c>
      <c r="K1494" t="s">
        <v>230</v>
      </c>
      <c r="L1494" t="s">
        <v>388</v>
      </c>
      <c r="M1494" t="s">
        <v>447</v>
      </c>
      <c r="S1494">
        <v>799</v>
      </c>
      <c r="W1494" t="str">
        <f t="shared" si="1315"/>
        <v>h</v>
      </c>
      <c r="X1494">
        <v>52</v>
      </c>
      <c r="Y1494" t="e">
        <f>IF(X1494&lt;&gt;"",VLOOKUP(X1494,game_rosters!$C$43:$E$64,3,FALSE))</f>
        <v>#N/A</v>
      </c>
      <c r="Z1494" t="str" cm="1">
        <f t="array" ref="Z1494">IFERROR(IF(_xlfn._xlws.FILTER(game_rosters!$J:$J,(game_rosters!$G:$G=events!$AN1494)*(game_rosters!$J:$J=events!$X1494))&gt;0,1,""),"")</f>
        <v/>
      </c>
      <c r="AA1494">
        <f t="shared" si="1273"/>
        <v>1799</v>
      </c>
      <c r="AB1494" t="str">
        <f t="shared" si="1274"/>
        <v/>
      </c>
      <c r="AC1494">
        <f t="shared" si="1312"/>
        <v>1799</v>
      </c>
      <c r="AD1494" s="6">
        <v>2</v>
      </c>
      <c r="AE1494" t="s">
        <v>942</v>
      </c>
      <c r="AF1494" t="s">
        <v>934</v>
      </c>
      <c r="AG1494" t="s">
        <v>756</v>
      </c>
      <c r="AH1494" t="s">
        <v>756</v>
      </c>
      <c r="AI1494" t="s">
        <v>368</v>
      </c>
      <c r="AJ1494" t="str">
        <f t="shared" ref="AJ1494:AK1494" si="1356">IF($J1494&lt;&gt;"",$J1494,IF($AC1494=$AC1493,AJ1493,""))</f>
        <v/>
      </c>
      <c r="AK1494" t="str">
        <f t="shared" si="1356"/>
        <v/>
      </c>
      <c r="AL1494" t="str">
        <f t="shared" si="1317"/>
        <v/>
      </c>
      <c r="AN1494" t="s">
        <v>861</v>
      </c>
      <c r="AO1494" t="str">
        <f t="shared" si="1318"/>
        <v>h</v>
      </c>
      <c r="AP1494" t="str">
        <f t="shared" si="1326"/>
        <v/>
      </c>
      <c r="AQ1494" t="str">
        <f t="shared" si="1327"/>
        <v/>
      </c>
      <c r="AR1494" t="str">
        <f t="shared" si="1328"/>
        <v>Home</v>
      </c>
      <c r="AS1494" t="str">
        <f t="shared" si="1329"/>
        <v>h</v>
      </c>
      <c r="AT1494" t="str">
        <f t="shared" si="1330"/>
        <v>Defensive</v>
      </c>
      <c r="BA1494" s="6">
        <f t="shared" si="1319"/>
        <v>347</v>
      </c>
      <c r="BB1494">
        <f t="shared" si="1320"/>
        <v>18981</v>
      </c>
      <c r="BC1494" t="str">
        <f t="shared" si="1321"/>
        <v>Nelson</v>
      </c>
      <c r="BD1494" t="str">
        <f t="shared" si="1322"/>
        <v>Velodrome</v>
      </c>
      <c r="BE1494" t="s">
        <v>230</v>
      </c>
      <c r="BF1494" t="s">
        <v>388</v>
      </c>
      <c r="BG1494" t="s">
        <v>447</v>
      </c>
      <c r="BI1494" cm="1">
        <f t="array" ref="BI1494">IFERROR(_xlfn._xlws.FILTER(shifts!A:A,(shifts!B:B=events!AD1494)*(shifts!AG:AG&gt;=events!BK1494)*(shifts!AH:AH&lt;=events!BL1494)),BI1493)</f>
        <v>65</v>
      </c>
      <c r="BJ1494" s="15">
        <f t="shared" si="1323"/>
        <v>0</v>
      </c>
      <c r="BK1494">
        <f t="shared" si="1331"/>
        <v>174</v>
      </c>
      <c r="BL1494">
        <f t="shared" si="1332"/>
        <v>174</v>
      </c>
      <c r="BM1494" s="15">
        <f>SUMIFS(BJ$2:BJ1494,K$2:K1494,"=Intermission")+SUMIFS(BJ$2:BJ1494,K$2:K1494,"=Timeout")</f>
        <v>72</v>
      </c>
      <c r="BN1494">
        <f t="shared" si="1333"/>
        <v>1152</v>
      </c>
      <c r="BO1494" s="19">
        <f t="shared" si="1334"/>
        <v>2058</v>
      </c>
      <c r="BP1494">
        <f t="shared" si="1335"/>
        <v>2053</v>
      </c>
      <c r="BQ1494" s="17">
        <f t="shared" si="1336"/>
        <v>2058</v>
      </c>
      <c r="BR1494" t="str">
        <f t="shared" si="1337"/>
        <v>opp_team_player_1</v>
      </c>
      <c r="BS1494">
        <f>COUNTIFS(S$3:S1494,"="&amp;S1494,AI$3:AI1494,"="&amp;AI1494)</f>
        <v>1</v>
      </c>
      <c r="BT1494" t="str">
        <f>IFERROR(VLOOKUP(BB1494&amp;BU1494&amp;X1494,game_rosters!U:W,3,FALSE),"")</f>
        <v>P100070</v>
      </c>
      <c r="BU1494" t="str">
        <f t="shared" si="1338"/>
        <v>Velodrome</v>
      </c>
    </row>
    <row r="1495" spans="1:73" x14ac:dyDescent="0.2">
      <c r="A1495">
        <f t="shared" si="1324"/>
        <v>1</v>
      </c>
      <c r="J1495" s="44" t="str">
        <f t="shared" si="1339"/>
        <v/>
      </c>
      <c r="K1495" t="s">
        <v>230</v>
      </c>
      <c r="L1495" t="s">
        <v>388</v>
      </c>
      <c r="M1495" t="s">
        <v>447</v>
      </c>
      <c r="S1495">
        <v>799</v>
      </c>
      <c r="W1495" t="str">
        <f t="shared" si="1315"/>
        <v>h</v>
      </c>
      <c r="X1495">
        <v>91</v>
      </c>
      <c r="Y1495" t="e">
        <f>IF(X1495&lt;&gt;"",VLOOKUP(X1495,game_rosters!$C$43:$E$64,3,FALSE))</f>
        <v>#N/A</v>
      </c>
      <c r="Z1495" t="str" cm="1">
        <f t="array" ref="Z1495">IFERROR(IF(_xlfn._xlws.FILTER(game_rosters!$J:$J,(game_rosters!$G:$G=events!$AN1495)*(game_rosters!$J:$J=events!$X1495))&gt;0,1,""),"")</f>
        <v/>
      </c>
      <c r="AA1495">
        <f t="shared" si="1273"/>
        <v>1799</v>
      </c>
      <c r="AB1495" t="str">
        <f t="shared" si="1274"/>
        <v/>
      </c>
      <c r="AC1495">
        <f t="shared" si="1312"/>
        <v>1799</v>
      </c>
      <c r="AD1495" s="6">
        <v>2</v>
      </c>
      <c r="AE1495" t="s">
        <v>942</v>
      </c>
      <c r="AF1495" t="s">
        <v>934</v>
      </c>
      <c r="AG1495" t="s">
        <v>756</v>
      </c>
      <c r="AH1495" t="s">
        <v>756</v>
      </c>
      <c r="AI1495" t="s">
        <v>368</v>
      </c>
      <c r="AJ1495" t="str">
        <f t="shared" ref="AJ1495:AK1495" si="1357">IF($J1495&lt;&gt;"",$J1495,IF($AC1495=$AC1494,AJ1494,""))</f>
        <v/>
      </c>
      <c r="AK1495" t="str">
        <f t="shared" si="1357"/>
        <v/>
      </c>
      <c r="AL1495" t="str">
        <f t="shared" si="1317"/>
        <v/>
      </c>
      <c r="AN1495" t="s">
        <v>861</v>
      </c>
      <c r="AO1495" t="str">
        <f t="shared" si="1318"/>
        <v>h</v>
      </c>
      <c r="AP1495" t="str">
        <f t="shared" si="1326"/>
        <v/>
      </c>
      <c r="AQ1495" t="str">
        <f t="shared" si="1327"/>
        <v/>
      </c>
      <c r="AR1495" t="str">
        <f t="shared" si="1328"/>
        <v>Home</v>
      </c>
      <c r="AS1495" t="str">
        <f t="shared" si="1329"/>
        <v>h</v>
      </c>
      <c r="AT1495" t="str">
        <f t="shared" si="1330"/>
        <v>Defensive</v>
      </c>
      <c r="BA1495" s="6">
        <f t="shared" si="1319"/>
        <v>347</v>
      </c>
      <c r="BB1495">
        <f t="shared" si="1320"/>
        <v>18981</v>
      </c>
      <c r="BC1495" t="str">
        <f t="shared" si="1321"/>
        <v>Nelson</v>
      </c>
      <c r="BD1495" t="str">
        <f t="shared" si="1322"/>
        <v>Velodrome</v>
      </c>
      <c r="BE1495" t="s">
        <v>230</v>
      </c>
      <c r="BF1495" t="s">
        <v>388</v>
      </c>
      <c r="BG1495" t="s">
        <v>447</v>
      </c>
      <c r="BI1495" cm="1">
        <f t="array" ref="BI1495">IFERROR(_xlfn._xlws.FILTER(shifts!A:A,(shifts!B:B=events!AD1495)*(shifts!AG:AG&gt;=events!BK1495)*(shifts!AH:AH&lt;=events!BL1495)),BI1494)</f>
        <v>65</v>
      </c>
      <c r="BJ1495" s="15">
        <f t="shared" si="1323"/>
        <v>0</v>
      </c>
      <c r="BK1495">
        <f t="shared" si="1331"/>
        <v>174</v>
      </c>
      <c r="BL1495">
        <f t="shared" si="1332"/>
        <v>174</v>
      </c>
      <c r="BM1495" s="15">
        <f>SUMIFS(BJ$2:BJ1495,K$2:K1495,"=Intermission")+SUMIFS(BJ$2:BJ1495,K$2:K1495,"=Timeout")</f>
        <v>72</v>
      </c>
      <c r="BN1495">
        <f t="shared" si="1333"/>
        <v>1152</v>
      </c>
      <c r="BO1495" s="19">
        <f t="shared" si="1334"/>
        <v>2058</v>
      </c>
      <c r="BP1495">
        <f t="shared" si="1335"/>
        <v>2053</v>
      </c>
      <c r="BQ1495" s="17">
        <f t="shared" si="1336"/>
        <v>2058</v>
      </c>
      <c r="BR1495" t="str">
        <f t="shared" si="1337"/>
        <v>opp_team_player_2</v>
      </c>
      <c r="BS1495">
        <f>COUNTIFS(S$3:S1495,"="&amp;S1495,AI$3:AI1495,"="&amp;AI1495)</f>
        <v>2</v>
      </c>
      <c r="BT1495" t="str">
        <f>IFERROR(VLOOKUP(BB1495&amp;BU1495&amp;X1495,game_rosters!U:W,3,FALSE),"")</f>
        <v>P100002</v>
      </c>
      <c r="BU1495" t="str">
        <f t="shared" si="1338"/>
        <v>Velodrome</v>
      </c>
    </row>
    <row r="1496" spans="1:73" x14ac:dyDescent="0.2">
      <c r="A1496">
        <f t="shared" si="1324"/>
        <v>1</v>
      </c>
      <c r="J1496" s="44" t="str">
        <f t="shared" si="1339"/>
        <v/>
      </c>
      <c r="K1496" t="s">
        <v>13</v>
      </c>
      <c r="L1496" t="s">
        <v>756</v>
      </c>
      <c r="M1496" t="s">
        <v>756</v>
      </c>
      <c r="S1496">
        <v>800</v>
      </c>
      <c r="W1496" t="str">
        <f t="shared" si="1315"/>
        <v>h</v>
      </c>
      <c r="X1496">
        <v>10</v>
      </c>
      <c r="Y1496" t="b">
        <f>IF(X1496&lt;&gt;"",VLOOKUP(X1496,game_rosters!$C$43:$E$64,3,FALSE))</f>
        <v>0</v>
      </c>
      <c r="Z1496" cm="1">
        <f t="array" ref="Z1496">IFERROR(IF(_xlfn._xlws.FILTER(game_rosters!$J:$J,(game_rosters!$G:$G=events!$AN1496)*(game_rosters!$J:$J=events!$X1496))&gt;0,1,""),"")</f>
        <v>1</v>
      </c>
      <c r="AA1496">
        <f t="shared" si="1273"/>
        <v>1800</v>
      </c>
      <c r="AB1496" t="str">
        <f t="shared" si="1274"/>
        <v/>
      </c>
      <c r="AC1496">
        <f t="shared" si="1312"/>
        <v>1800</v>
      </c>
      <c r="AD1496" s="6">
        <v>2</v>
      </c>
      <c r="AE1496" t="s">
        <v>942</v>
      </c>
      <c r="AF1496" t="s">
        <v>934</v>
      </c>
      <c r="AG1496" t="s">
        <v>942</v>
      </c>
      <c r="AH1496" t="s">
        <v>921</v>
      </c>
      <c r="AI1496" t="s">
        <v>367</v>
      </c>
      <c r="AJ1496" t="str">
        <f t="shared" ref="AJ1496:AK1496" si="1358">IF($J1496&lt;&gt;"",$J1496,IF($AC1496=$AC1495,AJ1495,""))</f>
        <v/>
      </c>
      <c r="AK1496" t="str">
        <f t="shared" si="1358"/>
        <v/>
      </c>
      <c r="AL1496" t="str">
        <f t="shared" si="1317"/>
        <v/>
      </c>
      <c r="AN1496" t="s">
        <v>861</v>
      </c>
      <c r="AO1496" t="str">
        <f t="shared" si="1318"/>
        <v>h</v>
      </c>
      <c r="AP1496" t="str">
        <f t="shared" si="1326"/>
        <v/>
      </c>
      <c r="AQ1496" t="str">
        <f t="shared" si="1327"/>
        <v/>
      </c>
      <c r="AR1496" t="str">
        <f t="shared" si="1328"/>
        <v>Home</v>
      </c>
      <c r="AS1496" t="str">
        <f t="shared" si="1329"/>
        <v>h</v>
      </c>
      <c r="AT1496" t="str">
        <f t="shared" si="1330"/>
        <v>Offensive</v>
      </c>
      <c r="BA1496" s="6">
        <f t="shared" si="1319"/>
        <v>347</v>
      </c>
      <c r="BB1496">
        <f t="shared" si="1320"/>
        <v>18981</v>
      </c>
      <c r="BC1496" t="str">
        <f t="shared" si="1321"/>
        <v>Nelson</v>
      </c>
      <c r="BD1496" t="str">
        <f t="shared" si="1322"/>
        <v>Velodrome</v>
      </c>
      <c r="BE1496" t="s">
        <v>13</v>
      </c>
      <c r="BF1496" t="s">
        <v>756</v>
      </c>
      <c r="BG1496" t="s">
        <v>756</v>
      </c>
      <c r="BI1496" cm="1">
        <f t="array" ref="BI1496">IFERROR(_xlfn._xlws.FILTER(shifts!A:A,(shifts!B:B=events!AD1496)*(shifts!AG:AG&gt;=events!BK1496)*(shifts!AH:AH&lt;=events!BL1496)),BI1495)</f>
        <v>65</v>
      </c>
      <c r="BJ1496" s="15">
        <f t="shared" si="1323"/>
        <v>1</v>
      </c>
      <c r="BK1496">
        <f t="shared" si="1331"/>
        <v>174</v>
      </c>
      <c r="BL1496">
        <f t="shared" si="1332"/>
        <v>173</v>
      </c>
      <c r="BM1496" s="15">
        <f>SUMIFS(BJ$2:BJ1496,K$2:K1496,"=Intermission")+SUMIFS(BJ$2:BJ1496,K$2:K1496,"=Timeout")</f>
        <v>72</v>
      </c>
      <c r="BN1496">
        <f t="shared" si="1333"/>
        <v>1152</v>
      </c>
      <c r="BO1496" s="19">
        <f t="shared" si="1334"/>
        <v>2058</v>
      </c>
      <c r="BP1496">
        <f t="shared" si="1335"/>
        <v>2053</v>
      </c>
      <c r="BQ1496" s="17">
        <f t="shared" si="1336"/>
        <v>2059</v>
      </c>
      <c r="BR1496" t="str">
        <f t="shared" si="1337"/>
        <v>event_team_player_1</v>
      </c>
      <c r="BS1496">
        <f>COUNTIFS(S$3:S1496,"="&amp;S1496,AI$3:AI1496,"="&amp;AI1496)</f>
        <v>1</v>
      </c>
      <c r="BT1496" t="str">
        <f>IFERROR(VLOOKUP(BB1496&amp;BU1496&amp;X1496,game_rosters!U:W,3,FALSE),"")</f>
        <v>P100078</v>
      </c>
      <c r="BU1496" t="str">
        <f t="shared" si="1338"/>
        <v>Nelson</v>
      </c>
    </row>
    <row r="1497" spans="1:73" x14ac:dyDescent="0.2">
      <c r="A1497">
        <f t="shared" si="1324"/>
        <v>1</v>
      </c>
      <c r="J1497" s="44" t="str">
        <f t="shared" si="1339"/>
        <v/>
      </c>
      <c r="K1497" t="s">
        <v>13</v>
      </c>
      <c r="L1497" t="s">
        <v>756</v>
      </c>
      <c r="M1497" t="s">
        <v>756</v>
      </c>
      <c r="S1497">
        <v>800</v>
      </c>
      <c r="W1497" t="str">
        <f t="shared" si="1315"/>
        <v>h</v>
      </c>
      <c r="X1497">
        <v>52</v>
      </c>
      <c r="Y1497" t="e">
        <f>IF(X1497&lt;&gt;"",VLOOKUP(X1497,game_rosters!$C$43:$E$64,3,FALSE))</f>
        <v>#N/A</v>
      </c>
      <c r="Z1497" t="str" cm="1">
        <f t="array" ref="Z1497">IFERROR(IF(_xlfn._xlws.FILTER(game_rosters!$J:$J,(game_rosters!$G:$G=events!$AN1497)*(game_rosters!$J:$J=events!$X1497))&gt;0,1,""),"")</f>
        <v/>
      </c>
      <c r="AA1497">
        <f t="shared" si="1273"/>
        <v>1800</v>
      </c>
      <c r="AB1497" t="str">
        <f t="shared" si="1274"/>
        <v/>
      </c>
      <c r="AC1497">
        <f t="shared" si="1312"/>
        <v>1800</v>
      </c>
      <c r="AD1497" s="6">
        <v>2</v>
      </c>
      <c r="AE1497" t="s">
        <v>942</v>
      </c>
      <c r="AF1497" t="s">
        <v>934</v>
      </c>
      <c r="AG1497" t="s">
        <v>942</v>
      </c>
      <c r="AH1497" t="s">
        <v>921</v>
      </c>
      <c r="AI1497" t="s">
        <v>368</v>
      </c>
      <c r="AJ1497" t="str">
        <f t="shared" ref="AJ1497:AK1497" si="1359">IF($J1497&lt;&gt;"",$J1497,IF($AC1497=$AC1496,AJ1496,""))</f>
        <v/>
      </c>
      <c r="AK1497" t="str">
        <f t="shared" si="1359"/>
        <v/>
      </c>
      <c r="AL1497" t="str">
        <f t="shared" si="1317"/>
        <v/>
      </c>
      <c r="AN1497" t="s">
        <v>861</v>
      </c>
      <c r="AO1497" t="str">
        <f t="shared" si="1318"/>
        <v>h</v>
      </c>
      <c r="AP1497" t="str">
        <f t="shared" si="1326"/>
        <v/>
      </c>
      <c r="AQ1497" t="str">
        <f t="shared" si="1327"/>
        <v/>
      </c>
      <c r="AR1497" t="str">
        <f t="shared" si="1328"/>
        <v>Home</v>
      </c>
      <c r="AS1497" t="str">
        <f t="shared" si="1329"/>
        <v>h</v>
      </c>
      <c r="AT1497" t="str">
        <f t="shared" si="1330"/>
        <v>Defensive</v>
      </c>
      <c r="BA1497" s="6">
        <f t="shared" si="1319"/>
        <v>347</v>
      </c>
      <c r="BB1497">
        <f t="shared" si="1320"/>
        <v>18981</v>
      </c>
      <c r="BC1497" t="str">
        <f t="shared" si="1321"/>
        <v>Nelson</v>
      </c>
      <c r="BD1497" t="str">
        <f t="shared" si="1322"/>
        <v>Velodrome</v>
      </c>
      <c r="BE1497" t="s">
        <v>13</v>
      </c>
      <c r="BF1497" t="s">
        <v>756</v>
      </c>
      <c r="BG1497" t="s">
        <v>756</v>
      </c>
      <c r="BI1497" cm="1">
        <f t="array" ref="BI1497">IFERROR(_xlfn._xlws.FILTER(shifts!A:A,(shifts!B:B=events!AD1497)*(shifts!AG:AG&gt;=events!BK1497)*(shifts!AH:AH&lt;=events!BL1497)),BI1496)</f>
        <v>65</v>
      </c>
      <c r="BJ1497" s="15">
        <f t="shared" si="1323"/>
        <v>1</v>
      </c>
      <c r="BK1497">
        <f t="shared" si="1331"/>
        <v>174</v>
      </c>
      <c r="BL1497">
        <f t="shared" si="1332"/>
        <v>173</v>
      </c>
      <c r="BM1497" s="15">
        <f>SUMIFS(BJ$2:BJ1497,K$2:K1497,"=Intermission")+SUMIFS(BJ$2:BJ1497,K$2:K1497,"=Timeout")</f>
        <v>72</v>
      </c>
      <c r="BN1497">
        <f t="shared" si="1333"/>
        <v>1152</v>
      </c>
      <c r="BO1497" s="19">
        <f t="shared" si="1334"/>
        <v>2058</v>
      </c>
      <c r="BP1497">
        <f t="shared" si="1335"/>
        <v>2053</v>
      </c>
      <c r="BQ1497" s="17">
        <f t="shared" si="1336"/>
        <v>2059</v>
      </c>
      <c r="BR1497" t="str">
        <f t="shared" si="1337"/>
        <v>opp_team_player_1</v>
      </c>
      <c r="BS1497">
        <f>COUNTIFS(S$3:S1497,"="&amp;S1497,AI$3:AI1497,"="&amp;AI1497)</f>
        <v>1</v>
      </c>
      <c r="BT1497" t="str">
        <f>IFERROR(VLOOKUP(BB1497&amp;BU1497&amp;X1497,game_rosters!U:W,3,FALSE),"")</f>
        <v>P100070</v>
      </c>
      <c r="BU1497" t="str">
        <f t="shared" si="1338"/>
        <v>Velodrome</v>
      </c>
    </row>
    <row r="1498" spans="1:73" x14ac:dyDescent="0.2">
      <c r="A1498">
        <f t="shared" si="1324"/>
        <v>1</v>
      </c>
      <c r="J1498" s="44" t="str">
        <f t="shared" si="1339"/>
        <v>o</v>
      </c>
      <c r="K1498" t="s">
        <v>6</v>
      </c>
      <c r="L1498" t="s">
        <v>205</v>
      </c>
      <c r="M1498" t="s">
        <v>53</v>
      </c>
      <c r="S1498">
        <v>801</v>
      </c>
      <c r="W1498" t="str">
        <f t="shared" si="1315"/>
        <v>h</v>
      </c>
      <c r="X1498">
        <v>10</v>
      </c>
      <c r="Y1498" t="b">
        <f>IF(X1498&lt;&gt;"",VLOOKUP(X1498,game_rosters!$C$43:$E$64,3,FALSE))</f>
        <v>0</v>
      </c>
      <c r="Z1498" cm="1">
        <f t="array" ref="Z1498">IFERROR(IF(_xlfn._xlws.FILTER(game_rosters!$J:$J,(game_rosters!$G:$G=events!$AN1498)*(game_rosters!$J:$J=events!$X1498))&gt;0,1,""),"")</f>
        <v>1</v>
      </c>
      <c r="AA1498">
        <f t="shared" si="1273"/>
        <v>1801</v>
      </c>
      <c r="AB1498" t="str">
        <f t="shared" si="1274"/>
        <v/>
      </c>
      <c r="AC1498">
        <f t="shared" si="1312"/>
        <v>1801</v>
      </c>
      <c r="AD1498" s="6">
        <v>2</v>
      </c>
      <c r="AE1498" t="s">
        <v>942</v>
      </c>
      <c r="AF1498" t="s">
        <v>921</v>
      </c>
      <c r="AG1498" t="s">
        <v>756</v>
      </c>
      <c r="AH1498" t="s">
        <v>756</v>
      </c>
      <c r="AI1498" t="s">
        <v>367</v>
      </c>
      <c r="AJ1498" t="str">
        <f t="shared" ref="AJ1498:AK1498" si="1360">IF($J1498&lt;&gt;"",$J1498,IF($AC1498=$AC1497,AJ1497,""))</f>
        <v>o</v>
      </c>
      <c r="AK1498" t="str">
        <f t="shared" si="1360"/>
        <v>o</v>
      </c>
      <c r="AL1498" t="str">
        <f t="shared" si="1317"/>
        <v>o</v>
      </c>
      <c r="AN1498" t="s">
        <v>861</v>
      </c>
      <c r="AO1498" t="str">
        <f t="shared" si="1318"/>
        <v>h</v>
      </c>
      <c r="AP1498" t="str">
        <f t="shared" si="1326"/>
        <v>o</v>
      </c>
      <c r="AQ1498" t="str">
        <f t="shared" si="1327"/>
        <v/>
      </c>
      <c r="AR1498" t="str">
        <f t="shared" si="1328"/>
        <v>Home</v>
      </c>
      <c r="AS1498" t="str">
        <f t="shared" si="1329"/>
        <v>h</v>
      </c>
      <c r="AT1498" t="str">
        <f t="shared" si="1330"/>
        <v>Offensive</v>
      </c>
      <c r="BA1498" s="6">
        <f t="shared" si="1319"/>
        <v>347</v>
      </c>
      <c r="BB1498">
        <f t="shared" si="1320"/>
        <v>18981</v>
      </c>
      <c r="BC1498" t="str">
        <f t="shared" si="1321"/>
        <v>Nelson</v>
      </c>
      <c r="BD1498" t="str">
        <f t="shared" si="1322"/>
        <v>Velodrome</v>
      </c>
      <c r="BE1498" t="s">
        <v>6</v>
      </c>
      <c r="BF1498" t="s">
        <v>205</v>
      </c>
      <c r="BG1498" t="s">
        <v>53</v>
      </c>
      <c r="BI1498" cm="1">
        <f t="array" ref="BI1498">IFERROR(_xlfn._xlws.FILTER(shifts!A:A,(shifts!B:B=events!AD1498)*(shifts!AG:AG&gt;=events!BK1498)*(shifts!AH:AH&lt;=events!BL1498)),BI1497)</f>
        <v>65</v>
      </c>
      <c r="BJ1498" s="15">
        <f t="shared" si="1323"/>
        <v>0</v>
      </c>
      <c r="BK1498">
        <f t="shared" si="1331"/>
        <v>173</v>
      </c>
      <c r="BL1498">
        <f t="shared" si="1332"/>
        <v>173</v>
      </c>
      <c r="BM1498" s="15">
        <f>SUMIFS(BJ$2:BJ1498,K$2:K1498,"=Intermission")+SUMIFS(BJ$2:BJ1498,K$2:K1498,"=Timeout")</f>
        <v>72</v>
      </c>
      <c r="BN1498">
        <f t="shared" si="1333"/>
        <v>1152</v>
      </c>
      <c r="BO1498" s="19">
        <f t="shared" si="1334"/>
        <v>2059</v>
      </c>
      <c r="BP1498">
        <f t="shared" si="1335"/>
        <v>2054</v>
      </c>
      <c r="BQ1498" s="17">
        <f t="shared" si="1336"/>
        <v>2059</v>
      </c>
      <c r="BR1498" t="str">
        <f t="shared" si="1337"/>
        <v>event_team_player_1</v>
      </c>
      <c r="BS1498">
        <f>COUNTIFS(S$3:S1498,"="&amp;S1498,AI$3:AI1498,"="&amp;AI1498)</f>
        <v>1</v>
      </c>
      <c r="BT1498" t="str">
        <f>IFERROR(VLOOKUP(BB1498&amp;BU1498&amp;X1498,game_rosters!U:W,3,FALSE),"")</f>
        <v>P100078</v>
      </c>
      <c r="BU1498" t="str">
        <f t="shared" si="1338"/>
        <v>Nelson</v>
      </c>
    </row>
    <row r="1499" spans="1:73" x14ac:dyDescent="0.2">
      <c r="A1499">
        <f t="shared" si="1324"/>
        <v>1</v>
      </c>
      <c r="J1499" s="44" t="str">
        <f t="shared" si="1339"/>
        <v>o</v>
      </c>
      <c r="K1499" t="s">
        <v>6</v>
      </c>
      <c r="L1499" t="s">
        <v>205</v>
      </c>
      <c r="M1499" t="s">
        <v>53</v>
      </c>
      <c r="S1499">
        <v>801</v>
      </c>
      <c r="W1499" t="str">
        <f t="shared" si="1315"/>
        <v>h</v>
      </c>
      <c r="X1499">
        <v>39</v>
      </c>
      <c r="Y1499" t="e">
        <f>IF(X1499&lt;&gt;"",VLOOKUP(X1499,game_rosters!$C$43:$E$64,3,FALSE))</f>
        <v>#N/A</v>
      </c>
      <c r="Z1499" t="str" cm="1">
        <f t="array" ref="Z1499">IFERROR(IF(_xlfn._xlws.FILTER(game_rosters!$J:$J,(game_rosters!$G:$G=events!$AN1499)*(game_rosters!$J:$J=events!$X1499))&gt;0,1,""),"")</f>
        <v/>
      </c>
      <c r="AA1499">
        <f t="shared" si="1273"/>
        <v>1801</v>
      </c>
      <c r="AB1499" t="str">
        <f t="shared" si="1274"/>
        <v/>
      </c>
      <c r="AC1499">
        <f t="shared" si="1312"/>
        <v>1801</v>
      </c>
      <c r="AD1499" s="6">
        <v>2</v>
      </c>
      <c r="AE1499" t="s">
        <v>942</v>
      </c>
      <c r="AF1499" t="s">
        <v>921</v>
      </c>
      <c r="AG1499" t="s">
        <v>756</v>
      </c>
      <c r="AH1499" t="s">
        <v>756</v>
      </c>
      <c r="AI1499" t="s">
        <v>368</v>
      </c>
      <c r="AJ1499" t="str">
        <f t="shared" ref="AJ1499:AK1499" si="1361">IF($J1499&lt;&gt;"",$J1499,IF($AC1499=$AC1498,AJ1498,""))</f>
        <v>o</v>
      </c>
      <c r="AK1499" t="str">
        <f t="shared" si="1361"/>
        <v>o</v>
      </c>
      <c r="AL1499" t="str">
        <f t="shared" si="1317"/>
        <v>o</v>
      </c>
      <c r="AN1499" t="s">
        <v>861</v>
      </c>
      <c r="AO1499" t="str">
        <f t="shared" si="1318"/>
        <v>h</v>
      </c>
      <c r="AP1499" t="str">
        <f t="shared" si="1326"/>
        <v>o</v>
      </c>
      <c r="AQ1499" t="str">
        <f t="shared" si="1327"/>
        <v/>
      </c>
      <c r="AR1499" t="str">
        <f t="shared" si="1328"/>
        <v>Home</v>
      </c>
      <c r="AS1499" t="str">
        <f t="shared" si="1329"/>
        <v>h</v>
      </c>
      <c r="AT1499" t="str">
        <f t="shared" si="1330"/>
        <v>Defensive</v>
      </c>
      <c r="BA1499" s="6">
        <f t="shared" si="1319"/>
        <v>347</v>
      </c>
      <c r="BB1499">
        <f t="shared" si="1320"/>
        <v>18981</v>
      </c>
      <c r="BC1499" t="str">
        <f t="shared" si="1321"/>
        <v>Nelson</v>
      </c>
      <c r="BD1499" t="str">
        <f t="shared" si="1322"/>
        <v>Velodrome</v>
      </c>
      <c r="BE1499" t="s">
        <v>6</v>
      </c>
      <c r="BF1499" t="s">
        <v>205</v>
      </c>
      <c r="BG1499" t="s">
        <v>53</v>
      </c>
      <c r="BI1499" cm="1">
        <f t="array" ref="BI1499">IFERROR(_xlfn._xlws.FILTER(shifts!A:A,(shifts!B:B=events!AD1499)*(shifts!AG:AG&gt;=events!BK1499)*(shifts!AH:AH&lt;=events!BL1499)),BI1498)</f>
        <v>65</v>
      </c>
      <c r="BJ1499" s="15">
        <f t="shared" si="1323"/>
        <v>0</v>
      </c>
      <c r="BK1499">
        <f t="shared" si="1331"/>
        <v>173</v>
      </c>
      <c r="BL1499">
        <f t="shared" si="1332"/>
        <v>173</v>
      </c>
      <c r="BM1499" s="15">
        <f>SUMIFS(BJ$2:BJ1499,K$2:K1499,"=Intermission")+SUMIFS(BJ$2:BJ1499,K$2:K1499,"=Timeout")</f>
        <v>72</v>
      </c>
      <c r="BN1499">
        <f t="shared" si="1333"/>
        <v>1152</v>
      </c>
      <c r="BO1499" s="19">
        <f t="shared" si="1334"/>
        <v>2059</v>
      </c>
      <c r="BP1499">
        <f t="shared" si="1335"/>
        <v>2054</v>
      </c>
      <c r="BQ1499" s="17">
        <f t="shared" si="1336"/>
        <v>2059</v>
      </c>
      <c r="BR1499" t="str">
        <f t="shared" si="1337"/>
        <v>opp_team_player_1</v>
      </c>
      <c r="BS1499">
        <f>COUNTIFS(S$3:S1499,"="&amp;S1499,AI$3:AI1499,"="&amp;AI1499)</f>
        <v>1</v>
      </c>
      <c r="BT1499" t="str">
        <f>IFERROR(VLOOKUP(BB1499&amp;BU1499&amp;X1499,game_rosters!U:W,3,FALSE),"")</f>
        <v>P100016</v>
      </c>
      <c r="BU1499" t="str">
        <f t="shared" si="1338"/>
        <v>Velodrome</v>
      </c>
    </row>
    <row r="1500" spans="1:73" x14ac:dyDescent="0.2">
      <c r="A1500">
        <f t="shared" si="1324"/>
        <v>1</v>
      </c>
      <c r="J1500" s="44" t="str">
        <f t="shared" si="1339"/>
        <v>d</v>
      </c>
      <c r="K1500" t="s">
        <v>15</v>
      </c>
      <c r="L1500" t="s">
        <v>179</v>
      </c>
      <c r="M1500" t="s">
        <v>416</v>
      </c>
      <c r="S1500">
        <v>802</v>
      </c>
      <c r="W1500" t="str">
        <f t="shared" si="1315"/>
        <v>a</v>
      </c>
      <c r="X1500">
        <v>39</v>
      </c>
      <c r="Y1500" t="e">
        <f>IF(X1500&lt;&gt;"",VLOOKUP(X1500,game_rosters!$C$43:$E$64,3,FALSE))</f>
        <v>#N/A</v>
      </c>
      <c r="Z1500" cm="1">
        <f t="array" ref="Z1500">IFERROR(IF(_xlfn._xlws.FILTER(game_rosters!$J:$J,(game_rosters!$G:$G=events!$AN1500)*(game_rosters!$J:$J=events!$X1500))&gt;0,1,""),"")</f>
        <v>1</v>
      </c>
      <c r="AA1500">
        <f t="shared" si="1273"/>
        <v>1802</v>
      </c>
      <c r="AB1500" t="str">
        <f t="shared" si="1274"/>
        <v/>
      </c>
      <c r="AC1500">
        <f t="shared" si="1312"/>
        <v>1802</v>
      </c>
      <c r="AD1500" s="6">
        <v>2</v>
      </c>
      <c r="AE1500" t="s">
        <v>942</v>
      </c>
      <c r="AF1500" t="s">
        <v>921</v>
      </c>
      <c r="AG1500" t="s">
        <v>756</v>
      </c>
      <c r="AH1500" t="s">
        <v>756</v>
      </c>
      <c r="AI1500" t="s">
        <v>367</v>
      </c>
      <c r="AJ1500" t="str">
        <f t="shared" ref="AJ1500:AK1500" si="1362">IF($J1500&lt;&gt;"",$J1500,IF($AC1500=$AC1499,AJ1499,""))</f>
        <v>d</v>
      </c>
      <c r="AK1500" t="str">
        <f t="shared" si="1362"/>
        <v>d</v>
      </c>
      <c r="AL1500" t="str">
        <f t="shared" si="1317"/>
        <v>o</v>
      </c>
      <c r="AN1500" t="s">
        <v>862</v>
      </c>
      <c r="AO1500" t="str">
        <f t="shared" si="1318"/>
        <v>a</v>
      </c>
      <c r="AP1500" t="str">
        <f t="shared" si="1326"/>
        <v>o</v>
      </c>
      <c r="AQ1500" t="str">
        <f t="shared" si="1327"/>
        <v/>
      </c>
      <c r="AR1500" t="str">
        <f t="shared" si="1328"/>
        <v>Away</v>
      </c>
      <c r="AS1500" t="str">
        <f t="shared" si="1329"/>
        <v>a</v>
      </c>
      <c r="AT1500" t="str">
        <f t="shared" si="1330"/>
        <v>Defensive</v>
      </c>
      <c r="BA1500" s="6">
        <f t="shared" si="1319"/>
        <v>347</v>
      </c>
      <c r="BB1500">
        <f t="shared" si="1320"/>
        <v>18981</v>
      </c>
      <c r="BC1500" t="str">
        <f t="shared" si="1321"/>
        <v>Nelson</v>
      </c>
      <c r="BD1500" t="str">
        <f t="shared" si="1322"/>
        <v>Velodrome</v>
      </c>
      <c r="BE1500" t="s">
        <v>15</v>
      </c>
      <c r="BF1500" t="s">
        <v>179</v>
      </c>
      <c r="BG1500" t="s">
        <v>416</v>
      </c>
      <c r="BI1500" cm="1">
        <f t="array" ref="BI1500">IFERROR(_xlfn._xlws.FILTER(shifts!A:A,(shifts!B:B=events!AD1500)*(shifts!AG:AG&gt;=events!BK1500)*(shifts!AH:AH&lt;=events!BL1500)),BI1499)</f>
        <v>65</v>
      </c>
      <c r="BJ1500" s="15">
        <f t="shared" si="1323"/>
        <v>0</v>
      </c>
      <c r="BK1500">
        <f t="shared" si="1331"/>
        <v>173</v>
      </c>
      <c r="BL1500">
        <f t="shared" si="1332"/>
        <v>173</v>
      </c>
      <c r="BM1500" s="15">
        <f>SUMIFS(BJ$2:BJ1500,K$2:K1500,"=Intermission")+SUMIFS(BJ$2:BJ1500,K$2:K1500,"=Timeout")</f>
        <v>72</v>
      </c>
      <c r="BN1500">
        <f t="shared" si="1333"/>
        <v>1152</v>
      </c>
      <c r="BO1500" s="19">
        <f t="shared" si="1334"/>
        <v>2059</v>
      </c>
      <c r="BP1500">
        <f t="shared" si="1335"/>
        <v>2054</v>
      </c>
      <c r="BQ1500" s="17">
        <f t="shared" si="1336"/>
        <v>2059</v>
      </c>
      <c r="BR1500" t="str">
        <f t="shared" si="1337"/>
        <v>event_team_player_1</v>
      </c>
      <c r="BS1500">
        <f>COUNTIFS(S$3:S1500,"="&amp;S1500,AI$3:AI1500,"="&amp;AI1500)</f>
        <v>1</v>
      </c>
      <c r="BT1500" t="str">
        <f>IFERROR(VLOOKUP(BB1500&amp;BU1500&amp;X1500,game_rosters!U:W,3,FALSE),"")</f>
        <v>P100016</v>
      </c>
      <c r="BU1500" t="str">
        <f t="shared" si="1338"/>
        <v>Velodrome</v>
      </c>
    </row>
    <row r="1501" spans="1:73" x14ac:dyDescent="0.2">
      <c r="A1501">
        <f t="shared" si="1324"/>
        <v>1</v>
      </c>
      <c r="J1501" s="44" t="str">
        <f t="shared" si="1339"/>
        <v>d</v>
      </c>
      <c r="K1501" t="s">
        <v>15</v>
      </c>
      <c r="L1501" t="s">
        <v>179</v>
      </c>
      <c r="M1501" t="s">
        <v>416</v>
      </c>
      <c r="S1501">
        <v>802</v>
      </c>
      <c r="W1501" t="str">
        <f t="shared" si="1315"/>
        <v>a</v>
      </c>
      <c r="X1501">
        <v>10</v>
      </c>
      <c r="Y1501" t="b">
        <f>IF(X1501&lt;&gt;"",VLOOKUP(X1501,game_rosters!$C$43:$E$64,3,FALSE))</f>
        <v>0</v>
      </c>
      <c r="Z1501" t="str" cm="1">
        <f t="array" ref="Z1501">IFERROR(IF(_xlfn._xlws.FILTER(game_rosters!$J:$J,(game_rosters!$G:$G=events!$AN1501)*(game_rosters!$J:$J=events!$X1501))&gt;0,1,""),"")</f>
        <v/>
      </c>
      <c r="AA1501">
        <f t="shared" ref="AA1501:AA1564" si="1363">S1501+1000</f>
        <v>1802</v>
      </c>
      <c r="AB1501" t="str">
        <f t="shared" ref="AB1501:AB1564" si="1364">IF(T1501&lt;&gt;"",9000+T1501,"")</f>
        <v/>
      </c>
      <c r="AC1501">
        <f t="shared" si="1312"/>
        <v>1802</v>
      </c>
      <c r="AD1501" s="6">
        <v>2</v>
      </c>
      <c r="AE1501" t="s">
        <v>942</v>
      </c>
      <c r="AF1501" t="s">
        <v>921</v>
      </c>
      <c r="AG1501" t="s">
        <v>756</v>
      </c>
      <c r="AH1501" t="s">
        <v>756</v>
      </c>
      <c r="AI1501" t="s">
        <v>368</v>
      </c>
      <c r="AJ1501" t="str">
        <f t="shared" ref="AJ1501:AK1501" si="1365">IF($J1501&lt;&gt;"",$J1501,IF($AC1501=$AC1500,AJ1500,""))</f>
        <v>d</v>
      </c>
      <c r="AK1501" t="str">
        <f t="shared" si="1365"/>
        <v>d</v>
      </c>
      <c r="AL1501" t="str">
        <f t="shared" si="1317"/>
        <v>o</v>
      </c>
      <c r="AN1501" t="s">
        <v>862</v>
      </c>
      <c r="AO1501" t="str">
        <f t="shared" si="1318"/>
        <v>a</v>
      </c>
      <c r="AP1501" t="str">
        <f t="shared" si="1326"/>
        <v>o</v>
      </c>
      <c r="AQ1501" t="str">
        <f t="shared" si="1327"/>
        <v/>
      </c>
      <c r="AR1501" t="str">
        <f t="shared" si="1328"/>
        <v>Away</v>
      </c>
      <c r="AS1501" t="str">
        <f t="shared" si="1329"/>
        <v>a</v>
      </c>
      <c r="AT1501" t="str">
        <f t="shared" si="1330"/>
        <v>Offensive</v>
      </c>
      <c r="BA1501" s="6">
        <f t="shared" si="1319"/>
        <v>347</v>
      </c>
      <c r="BB1501">
        <f t="shared" si="1320"/>
        <v>18981</v>
      </c>
      <c r="BC1501" t="str">
        <f t="shared" si="1321"/>
        <v>Nelson</v>
      </c>
      <c r="BD1501" t="str">
        <f t="shared" si="1322"/>
        <v>Velodrome</v>
      </c>
      <c r="BE1501" t="s">
        <v>15</v>
      </c>
      <c r="BF1501" t="s">
        <v>179</v>
      </c>
      <c r="BG1501" t="s">
        <v>416</v>
      </c>
      <c r="BI1501" cm="1">
        <f t="array" ref="BI1501">IFERROR(_xlfn._xlws.FILTER(shifts!A:A,(shifts!B:B=events!AD1501)*(shifts!AG:AG&gt;=events!BK1501)*(shifts!AH:AH&lt;=events!BL1501)),BI1500)</f>
        <v>65</v>
      </c>
      <c r="BJ1501" s="15">
        <f t="shared" si="1323"/>
        <v>0</v>
      </c>
      <c r="BK1501">
        <f t="shared" si="1331"/>
        <v>173</v>
      </c>
      <c r="BL1501">
        <f t="shared" si="1332"/>
        <v>173</v>
      </c>
      <c r="BM1501" s="15">
        <f>SUMIFS(BJ$2:BJ1501,K$2:K1501,"=Intermission")+SUMIFS(BJ$2:BJ1501,K$2:K1501,"=Timeout")</f>
        <v>72</v>
      </c>
      <c r="BN1501">
        <f t="shared" si="1333"/>
        <v>1152</v>
      </c>
      <c r="BO1501" s="19">
        <f t="shared" si="1334"/>
        <v>2059</v>
      </c>
      <c r="BP1501">
        <f t="shared" si="1335"/>
        <v>2054</v>
      </c>
      <c r="BQ1501" s="17">
        <f t="shared" si="1336"/>
        <v>2059</v>
      </c>
      <c r="BR1501" t="str">
        <f t="shared" si="1337"/>
        <v>opp_team_player_1</v>
      </c>
      <c r="BS1501">
        <f>COUNTIFS(S$3:S1501,"="&amp;S1501,AI$3:AI1501,"="&amp;AI1501)</f>
        <v>1</v>
      </c>
      <c r="BT1501" t="str">
        <f>IFERROR(VLOOKUP(BB1501&amp;BU1501&amp;X1501,game_rosters!U:W,3,FALSE),"")</f>
        <v>P100078</v>
      </c>
      <c r="BU1501" t="str">
        <f t="shared" si="1338"/>
        <v>Nelson</v>
      </c>
    </row>
    <row r="1502" spans="1:73" x14ac:dyDescent="0.2">
      <c r="A1502">
        <f t="shared" si="1324"/>
        <v>1</v>
      </c>
      <c r="J1502" s="44" t="str">
        <f t="shared" si="1339"/>
        <v>d</v>
      </c>
      <c r="K1502" t="s">
        <v>231</v>
      </c>
      <c r="L1502" t="s">
        <v>232</v>
      </c>
      <c r="M1502" t="s">
        <v>756</v>
      </c>
      <c r="S1502">
        <v>803</v>
      </c>
      <c r="W1502" t="str">
        <f t="shared" si="1315"/>
        <v>a</v>
      </c>
      <c r="X1502">
        <v>39</v>
      </c>
      <c r="Y1502" t="e">
        <f>IF(X1502&lt;&gt;"",VLOOKUP(X1502,game_rosters!$C$43:$E$64,3,FALSE))</f>
        <v>#N/A</v>
      </c>
      <c r="Z1502" cm="1">
        <f t="array" ref="Z1502">IFERROR(IF(_xlfn._xlws.FILTER(game_rosters!$J:$J,(game_rosters!$G:$G=events!$AN1502)*(game_rosters!$J:$J=events!$X1502))&gt;0,1,""),"")</f>
        <v>1</v>
      </c>
      <c r="AA1502">
        <f t="shared" si="1363"/>
        <v>1803</v>
      </c>
      <c r="AB1502" t="str">
        <f t="shared" si="1364"/>
        <v/>
      </c>
      <c r="AC1502">
        <f t="shared" si="1312"/>
        <v>1803</v>
      </c>
      <c r="AD1502" s="6">
        <v>2</v>
      </c>
      <c r="AE1502" t="s">
        <v>942</v>
      </c>
      <c r="AF1502" t="s">
        <v>921</v>
      </c>
      <c r="AG1502" t="s">
        <v>756</v>
      </c>
      <c r="AH1502" t="s">
        <v>756</v>
      </c>
      <c r="AI1502" t="s">
        <v>367</v>
      </c>
      <c r="AJ1502" t="str">
        <f t="shared" ref="AJ1502:AK1502" si="1366">IF($J1502&lt;&gt;"",$J1502,IF($AC1502=$AC1501,AJ1501,""))</f>
        <v>d</v>
      </c>
      <c r="AK1502" t="str">
        <f t="shared" si="1366"/>
        <v>d</v>
      </c>
      <c r="AL1502" t="str">
        <f t="shared" si="1317"/>
        <v>o</v>
      </c>
      <c r="AN1502" t="s">
        <v>862</v>
      </c>
      <c r="AO1502" t="str">
        <f t="shared" si="1318"/>
        <v>a</v>
      </c>
      <c r="AP1502" t="str">
        <f t="shared" si="1326"/>
        <v>o</v>
      </c>
      <c r="AQ1502" t="str">
        <f t="shared" si="1327"/>
        <v/>
      </c>
      <c r="AR1502" t="str">
        <f t="shared" si="1328"/>
        <v>Away</v>
      </c>
      <c r="AS1502" t="str">
        <f t="shared" si="1329"/>
        <v>a</v>
      </c>
      <c r="AT1502" t="str">
        <f t="shared" si="1330"/>
        <v>Offensive</v>
      </c>
      <c r="BA1502" s="6">
        <f t="shared" si="1319"/>
        <v>347</v>
      </c>
      <c r="BB1502">
        <f t="shared" si="1320"/>
        <v>18981</v>
      </c>
      <c r="BC1502" t="str">
        <f t="shared" si="1321"/>
        <v>Nelson</v>
      </c>
      <c r="BD1502" t="str">
        <f t="shared" si="1322"/>
        <v>Velodrome</v>
      </c>
      <c r="BE1502" t="s">
        <v>231</v>
      </c>
      <c r="BF1502" t="s">
        <v>232</v>
      </c>
      <c r="BG1502" t="s">
        <v>756</v>
      </c>
      <c r="BI1502" cm="1">
        <f t="array" ref="BI1502">IFERROR(_xlfn._xlws.FILTER(shifts!A:A,(shifts!B:B=events!AD1502)*(shifts!AG:AG&gt;=events!BK1502)*(shifts!AH:AH&lt;=events!BL1502)),BI1501)</f>
        <v>65</v>
      </c>
      <c r="BJ1502" s="15">
        <f t="shared" si="1323"/>
        <v>0</v>
      </c>
      <c r="BK1502">
        <f t="shared" si="1331"/>
        <v>173</v>
      </c>
      <c r="BL1502">
        <f t="shared" si="1332"/>
        <v>173</v>
      </c>
      <c r="BM1502" s="15">
        <f>SUMIFS(BJ$2:BJ1502,K$2:K1502,"=Intermission")+SUMIFS(BJ$2:BJ1502,K$2:K1502,"=Timeout")</f>
        <v>72</v>
      </c>
      <c r="BN1502">
        <f t="shared" si="1333"/>
        <v>1152</v>
      </c>
      <c r="BO1502" s="19">
        <f t="shared" si="1334"/>
        <v>2059</v>
      </c>
      <c r="BP1502">
        <f t="shared" si="1335"/>
        <v>2054</v>
      </c>
      <c r="BQ1502" s="17">
        <f t="shared" si="1336"/>
        <v>2059</v>
      </c>
      <c r="BR1502" t="str">
        <f t="shared" si="1337"/>
        <v>event_team_player_1</v>
      </c>
      <c r="BS1502">
        <f>COUNTIFS(S$3:S1502,"="&amp;S1502,AI$3:AI1502,"="&amp;AI1502)</f>
        <v>1</v>
      </c>
      <c r="BT1502" t="str">
        <f>IFERROR(VLOOKUP(BB1502&amp;BU1502&amp;X1502,game_rosters!U:W,3,FALSE),"")</f>
        <v>P100016</v>
      </c>
      <c r="BU1502" t="str">
        <f t="shared" si="1338"/>
        <v>Velodrome</v>
      </c>
    </row>
    <row r="1503" spans="1:73" x14ac:dyDescent="0.2">
      <c r="A1503">
        <f t="shared" si="1324"/>
        <v>1</v>
      </c>
      <c r="J1503" s="44" t="str">
        <f t="shared" si="1339"/>
        <v/>
      </c>
      <c r="K1503" t="s">
        <v>7</v>
      </c>
      <c r="L1503" t="s">
        <v>172</v>
      </c>
      <c r="M1503" t="s">
        <v>67</v>
      </c>
      <c r="S1503">
        <v>804</v>
      </c>
      <c r="W1503" t="str">
        <f t="shared" si="1315"/>
        <v>a</v>
      </c>
      <c r="X1503">
        <v>42</v>
      </c>
      <c r="Y1503" t="e">
        <f>IF(X1503&lt;&gt;"",VLOOKUP(X1503,game_rosters!$C$43:$E$64,3,FALSE))</f>
        <v>#N/A</v>
      </c>
      <c r="Z1503" cm="1">
        <f t="array" ref="Z1503">IFERROR(IF(_xlfn._xlws.FILTER(game_rosters!$J:$J,(game_rosters!$G:$G=events!$AN1503)*(game_rosters!$J:$J=events!$X1503))&gt;0,1,""),"")</f>
        <v>1</v>
      </c>
      <c r="AA1503">
        <f t="shared" si="1363"/>
        <v>1804</v>
      </c>
      <c r="AB1503" t="str">
        <f t="shared" si="1364"/>
        <v/>
      </c>
      <c r="AC1503">
        <f t="shared" si="1312"/>
        <v>1804</v>
      </c>
      <c r="AD1503" s="6">
        <v>2</v>
      </c>
      <c r="AE1503" t="s">
        <v>942</v>
      </c>
      <c r="AF1503" t="s">
        <v>922</v>
      </c>
      <c r="AG1503" t="s">
        <v>756</v>
      </c>
      <c r="AH1503" t="s">
        <v>756</v>
      </c>
      <c r="AI1503" t="s">
        <v>367</v>
      </c>
      <c r="AJ1503" t="str">
        <f t="shared" ref="AJ1503:AK1503" si="1367">IF($J1503&lt;&gt;"",$J1503,IF($AC1503=$AC1502,AJ1502,""))</f>
        <v/>
      </c>
      <c r="AK1503" t="str">
        <f t="shared" si="1367"/>
        <v/>
      </c>
      <c r="AL1503" t="str">
        <f t="shared" si="1317"/>
        <v/>
      </c>
      <c r="AN1503" t="s">
        <v>862</v>
      </c>
      <c r="AO1503" t="str">
        <f t="shared" si="1318"/>
        <v>a</v>
      </c>
      <c r="AP1503" t="str">
        <f t="shared" si="1326"/>
        <v/>
      </c>
      <c r="AQ1503" t="str">
        <f t="shared" si="1327"/>
        <v/>
      </c>
      <c r="AR1503" t="str">
        <f t="shared" si="1328"/>
        <v>Away</v>
      </c>
      <c r="AS1503" t="str">
        <f t="shared" si="1329"/>
        <v>a</v>
      </c>
      <c r="AT1503" t="str">
        <f t="shared" si="1330"/>
        <v>Offensive</v>
      </c>
      <c r="BA1503" s="6">
        <f t="shared" si="1319"/>
        <v>347</v>
      </c>
      <c r="BB1503">
        <f t="shared" si="1320"/>
        <v>18981</v>
      </c>
      <c r="BC1503" t="str">
        <f t="shared" si="1321"/>
        <v>Nelson</v>
      </c>
      <c r="BD1503" t="str">
        <f t="shared" si="1322"/>
        <v>Velodrome</v>
      </c>
      <c r="BE1503" t="s">
        <v>7</v>
      </c>
      <c r="BF1503" t="s">
        <v>172</v>
      </c>
      <c r="BG1503" t="s">
        <v>67</v>
      </c>
      <c r="BI1503" cm="1">
        <f t="array" ref="BI1503">IFERROR(_xlfn._xlws.FILTER(shifts!A:A,(shifts!B:B=events!AD1503)*(shifts!AG:AG&gt;=events!BK1503)*(shifts!AH:AH&lt;=events!BL1503)),BI1502)</f>
        <v>65</v>
      </c>
      <c r="BJ1503" s="15">
        <f t="shared" si="1323"/>
        <v>0</v>
      </c>
      <c r="BK1503">
        <f t="shared" si="1331"/>
        <v>170</v>
      </c>
      <c r="BL1503">
        <f t="shared" si="1332"/>
        <v>170</v>
      </c>
      <c r="BM1503" s="15">
        <f>SUMIFS(BJ$2:BJ1503,K$2:K1503,"=Intermission")+SUMIFS(BJ$2:BJ1503,K$2:K1503,"=Timeout")</f>
        <v>72</v>
      </c>
      <c r="BN1503">
        <f t="shared" si="1333"/>
        <v>1152</v>
      </c>
      <c r="BO1503" s="19">
        <f t="shared" si="1334"/>
        <v>2062</v>
      </c>
      <c r="BP1503">
        <f t="shared" si="1335"/>
        <v>2057</v>
      </c>
      <c r="BQ1503" s="17">
        <f t="shared" si="1336"/>
        <v>2062</v>
      </c>
      <c r="BR1503" t="str">
        <f t="shared" si="1337"/>
        <v>event_team_player_1</v>
      </c>
      <c r="BS1503">
        <f>COUNTIFS(S$3:S1503,"="&amp;S1503,AI$3:AI1503,"="&amp;AI1503)</f>
        <v>1</v>
      </c>
      <c r="BT1503" t="str">
        <f>IFERROR(VLOOKUP(BB1503&amp;BU1503&amp;X1503,game_rosters!U:W,3,FALSE),"")</f>
        <v>P100201</v>
      </c>
      <c r="BU1503" t="str">
        <f t="shared" si="1338"/>
        <v>Velodrome</v>
      </c>
    </row>
    <row r="1504" spans="1:73" x14ac:dyDescent="0.2">
      <c r="A1504">
        <f t="shared" si="1324"/>
        <v>1</v>
      </c>
      <c r="J1504" s="44" t="str">
        <f t="shared" si="1339"/>
        <v/>
      </c>
      <c r="K1504" t="s">
        <v>7</v>
      </c>
      <c r="L1504" t="s">
        <v>172</v>
      </c>
      <c r="M1504" t="s">
        <v>67</v>
      </c>
      <c r="S1504">
        <v>804</v>
      </c>
      <c r="W1504" t="str">
        <f t="shared" si="1315"/>
        <v>a</v>
      </c>
      <c r="X1504">
        <v>91</v>
      </c>
      <c r="Y1504" t="e">
        <f>IF(X1504&lt;&gt;"",VLOOKUP(X1504,game_rosters!$C$43:$E$64,3,FALSE))</f>
        <v>#N/A</v>
      </c>
      <c r="Z1504" cm="1">
        <f t="array" ref="Z1504">IFERROR(IF(_xlfn._xlws.FILTER(game_rosters!$J:$J,(game_rosters!$G:$G=events!$AN1504)*(game_rosters!$J:$J=events!$X1504))&gt;0,1,""),"")</f>
        <v>1</v>
      </c>
      <c r="AA1504">
        <f t="shared" si="1363"/>
        <v>1804</v>
      </c>
      <c r="AB1504" t="str">
        <f t="shared" si="1364"/>
        <v/>
      </c>
      <c r="AC1504">
        <f t="shared" si="1312"/>
        <v>1804</v>
      </c>
      <c r="AD1504" s="6">
        <v>2</v>
      </c>
      <c r="AE1504" t="s">
        <v>942</v>
      </c>
      <c r="AF1504" t="s">
        <v>922</v>
      </c>
      <c r="AG1504" t="s">
        <v>756</v>
      </c>
      <c r="AH1504" t="s">
        <v>756</v>
      </c>
      <c r="AI1504" t="s">
        <v>367</v>
      </c>
      <c r="AJ1504" t="str">
        <f t="shared" ref="AJ1504:AK1504" si="1368">IF($J1504&lt;&gt;"",$J1504,IF($AC1504=$AC1503,AJ1503,""))</f>
        <v/>
      </c>
      <c r="AK1504" t="str">
        <f t="shared" si="1368"/>
        <v/>
      </c>
      <c r="AL1504" t="str">
        <f t="shared" si="1317"/>
        <v/>
      </c>
      <c r="AN1504" t="s">
        <v>862</v>
      </c>
      <c r="AO1504" t="str">
        <f t="shared" si="1318"/>
        <v>a</v>
      </c>
      <c r="AP1504" t="str">
        <f t="shared" si="1326"/>
        <v/>
      </c>
      <c r="AQ1504" t="str">
        <f t="shared" si="1327"/>
        <v/>
      </c>
      <c r="AR1504" t="str">
        <f t="shared" si="1328"/>
        <v>Away</v>
      </c>
      <c r="AS1504" t="str">
        <f t="shared" si="1329"/>
        <v>a</v>
      </c>
      <c r="AT1504" t="str">
        <f t="shared" si="1330"/>
        <v>Offensive</v>
      </c>
      <c r="BA1504" s="6">
        <f t="shared" si="1319"/>
        <v>347</v>
      </c>
      <c r="BB1504">
        <f t="shared" si="1320"/>
        <v>18981</v>
      </c>
      <c r="BC1504" t="str">
        <f t="shared" si="1321"/>
        <v>Nelson</v>
      </c>
      <c r="BD1504" t="str">
        <f t="shared" si="1322"/>
        <v>Velodrome</v>
      </c>
      <c r="BE1504" t="s">
        <v>7</v>
      </c>
      <c r="BF1504" t="s">
        <v>172</v>
      </c>
      <c r="BG1504" t="s">
        <v>67</v>
      </c>
      <c r="BI1504" cm="1">
        <f t="array" ref="BI1504">IFERROR(_xlfn._xlws.FILTER(shifts!A:A,(shifts!B:B=events!AD1504)*(shifts!AG:AG&gt;=events!BK1504)*(shifts!AH:AH&lt;=events!BL1504)),BI1503)</f>
        <v>65</v>
      </c>
      <c r="BJ1504" s="15">
        <f t="shared" si="1323"/>
        <v>0</v>
      </c>
      <c r="BK1504">
        <f t="shared" si="1331"/>
        <v>170</v>
      </c>
      <c r="BL1504">
        <f t="shared" si="1332"/>
        <v>170</v>
      </c>
      <c r="BM1504" s="15">
        <f>SUMIFS(BJ$2:BJ1504,K$2:K1504,"=Intermission")+SUMIFS(BJ$2:BJ1504,K$2:K1504,"=Timeout")</f>
        <v>72</v>
      </c>
      <c r="BN1504">
        <f t="shared" si="1333"/>
        <v>1152</v>
      </c>
      <c r="BO1504" s="19">
        <f t="shared" si="1334"/>
        <v>2062</v>
      </c>
      <c r="BP1504">
        <f t="shared" si="1335"/>
        <v>2057</v>
      </c>
      <c r="BQ1504" s="17">
        <f t="shared" si="1336"/>
        <v>2062</v>
      </c>
      <c r="BR1504" t="str">
        <f t="shared" si="1337"/>
        <v>event_team_player_2</v>
      </c>
      <c r="BS1504">
        <f>COUNTIFS(S$3:S1504,"="&amp;S1504,AI$3:AI1504,"="&amp;AI1504)</f>
        <v>2</v>
      </c>
      <c r="BT1504" t="str">
        <f>IFERROR(VLOOKUP(BB1504&amp;BU1504&amp;X1504,game_rosters!U:W,3,FALSE),"")</f>
        <v>P100002</v>
      </c>
      <c r="BU1504" t="str">
        <f t="shared" si="1338"/>
        <v>Velodrome</v>
      </c>
    </row>
    <row r="1505" spans="1:73" x14ac:dyDescent="0.2">
      <c r="A1505">
        <f t="shared" si="1324"/>
        <v>1</v>
      </c>
      <c r="J1505" s="44" t="str">
        <f t="shared" si="1339"/>
        <v>d</v>
      </c>
      <c r="K1505" t="s">
        <v>238</v>
      </c>
      <c r="L1505" t="s">
        <v>184</v>
      </c>
      <c r="M1505" t="s">
        <v>88</v>
      </c>
      <c r="S1505">
        <v>805</v>
      </c>
      <c r="W1505" t="str">
        <f t="shared" si="1315"/>
        <v>a</v>
      </c>
      <c r="X1505">
        <v>91</v>
      </c>
      <c r="Y1505" t="e">
        <f>IF(X1505&lt;&gt;"",VLOOKUP(X1505,game_rosters!$C$43:$E$64,3,FALSE))</f>
        <v>#N/A</v>
      </c>
      <c r="Z1505" cm="1">
        <f t="array" ref="Z1505">IFERROR(IF(_xlfn._xlws.FILTER(game_rosters!$J:$J,(game_rosters!$G:$G=events!$AN1505)*(game_rosters!$J:$J=events!$X1505))&gt;0,1,""),"")</f>
        <v>1</v>
      </c>
      <c r="AA1505">
        <f t="shared" si="1363"/>
        <v>1805</v>
      </c>
      <c r="AB1505" t="str">
        <f t="shared" si="1364"/>
        <v/>
      </c>
      <c r="AC1505">
        <f t="shared" si="1312"/>
        <v>1805</v>
      </c>
      <c r="AD1505" s="6">
        <v>2</v>
      </c>
      <c r="AE1505" t="s">
        <v>942</v>
      </c>
      <c r="AF1505" t="s">
        <v>922</v>
      </c>
      <c r="AG1505" t="s">
        <v>942</v>
      </c>
      <c r="AH1505" t="s">
        <v>900</v>
      </c>
      <c r="AI1505" t="s">
        <v>367</v>
      </c>
      <c r="AJ1505" t="str">
        <f t="shared" ref="AJ1505:AK1505" si="1369">IF($J1505&lt;&gt;"",$J1505,IF($AC1505=$AC1504,AJ1504,""))</f>
        <v>d</v>
      </c>
      <c r="AK1505" t="str">
        <f t="shared" si="1369"/>
        <v>d</v>
      </c>
      <c r="AL1505" t="str">
        <f t="shared" si="1317"/>
        <v>o</v>
      </c>
      <c r="AN1505" t="s">
        <v>862</v>
      </c>
      <c r="AO1505" t="str">
        <f t="shared" si="1318"/>
        <v>a</v>
      </c>
      <c r="AP1505" t="str">
        <f t="shared" si="1326"/>
        <v>o</v>
      </c>
      <c r="AQ1505" t="str">
        <f t="shared" si="1327"/>
        <v/>
      </c>
      <c r="AR1505" t="str">
        <f t="shared" si="1328"/>
        <v>Away</v>
      </c>
      <c r="AS1505" t="str">
        <f t="shared" si="1329"/>
        <v>a</v>
      </c>
      <c r="AT1505" t="str">
        <f t="shared" si="1330"/>
        <v>Offensive</v>
      </c>
      <c r="BA1505" s="6">
        <f t="shared" si="1319"/>
        <v>348</v>
      </c>
      <c r="BB1505">
        <f t="shared" si="1320"/>
        <v>18981</v>
      </c>
      <c r="BC1505" t="str">
        <f t="shared" si="1321"/>
        <v>Nelson</v>
      </c>
      <c r="BD1505" t="str">
        <f t="shared" si="1322"/>
        <v>Velodrome</v>
      </c>
      <c r="BE1505" t="s">
        <v>238</v>
      </c>
      <c r="BF1505" t="s">
        <v>184</v>
      </c>
      <c r="BG1505" t="s">
        <v>88</v>
      </c>
      <c r="BI1505" cm="1">
        <f t="array" ref="BI1505">IFERROR(_xlfn._xlws.FILTER(shifts!A:A,(shifts!B:B=events!AD1505)*(shifts!AG:AG&gt;=events!BK1505)*(shifts!AH:AH&lt;=events!BL1505)),BI1504)</f>
        <v>65</v>
      </c>
      <c r="BJ1505" s="15">
        <f t="shared" si="1323"/>
        <v>3</v>
      </c>
      <c r="BK1505">
        <f t="shared" si="1331"/>
        <v>170</v>
      </c>
      <c r="BL1505">
        <f t="shared" si="1332"/>
        <v>167</v>
      </c>
      <c r="BM1505" s="15">
        <f>SUMIFS(BJ$2:BJ1505,K$2:K1505,"=Intermission")+SUMIFS(BJ$2:BJ1505,K$2:K1505,"=Timeout")</f>
        <v>72</v>
      </c>
      <c r="BN1505">
        <f t="shared" si="1333"/>
        <v>1152</v>
      </c>
      <c r="BO1505" s="19">
        <f t="shared" si="1334"/>
        <v>2062</v>
      </c>
      <c r="BP1505">
        <f t="shared" si="1335"/>
        <v>2057</v>
      </c>
      <c r="BQ1505" s="17">
        <f t="shared" si="1336"/>
        <v>2065</v>
      </c>
      <c r="BR1505" t="str">
        <f t="shared" si="1337"/>
        <v>event_team_player_1</v>
      </c>
      <c r="BS1505">
        <f>COUNTIFS(S$3:S1505,"="&amp;S1505,AI$3:AI1505,"="&amp;AI1505)</f>
        <v>1</v>
      </c>
      <c r="BT1505" t="str">
        <f>IFERROR(VLOOKUP(BB1505&amp;BU1505&amp;X1505,game_rosters!U:W,3,FALSE),"")</f>
        <v>P100002</v>
      </c>
      <c r="BU1505" t="str">
        <f t="shared" si="1338"/>
        <v>Velodrome</v>
      </c>
    </row>
    <row r="1506" spans="1:73" x14ac:dyDescent="0.2">
      <c r="A1506">
        <f t="shared" si="1324"/>
        <v>1</v>
      </c>
      <c r="J1506" s="44" t="str">
        <f t="shared" si="1339"/>
        <v/>
      </c>
      <c r="K1506" t="s">
        <v>13</v>
      </c>
      <c r="L1506" t="s">
        <v>756</v>
      </c>
      <c r="M1506" t="s">
        <v>756</v>
      </c>
      <c r="S1506">
        <v>806</v>
      </c>
      <c r="W1506" t="str">
        <f t="shared" si="1315"/>
        <v>a</v>
      </c>
      <c r="X1506">
        <v>91</v>
      </c>
      <c r="Y1506" t="e">
        <f>IF(X1506&lt;&gt;"",VLOOKUP(X1506,game_rosters!$C$43:$E$64,3,FALSE))</f>
        <v>#N/A</v>
      </c>
      <c r="Z1506" cm="1">
        <f t="array" ref="Z1506">IFERROR(IF(_xlfn._xlws.FILTER(game_rosters!$J:$J,(game_rosters!$G:$G=events!$AN1506)*(game_rosters!$J:$J=events!$X1506))&gt;0,1,""),"")</f>
        <v>1</v>
      </c>
      <c r="AA1506">
        <f t="shared" si="1363"/>
        <v>1806</v>
      </c>
      <c r="AB1506" t="str">
        <f t="shared" si="1364"/>
        <v/>
      </c>
      <c r="AC1506">
        <f t="shared" si="1312"/>
        <v>1806</v>
      </c>
      <c r="AD1506" s="6">
        <v>2</v>
      </c>
      <c r="AE1506" t="s">
        <v>942</v>
      </c>
      <c r="AF1506" t="s">
        <v>900</v>
      </c>
      <c r="AG1506" t="s">
        <v>942</v>
      </c>
      <c r="AH1506" t="s">
        <v>737</v>
      </c>
      <c r="AI1506" t="s">
        <v>367</v>
      </c>
      <c r="AJ1506" t="str">
        <f t="shared" ref="AJ1506:AK1506" si="1370">IF($J1506&lt;&gt;"",$J1506,IF($AC1506=$AC1505,AJ1505,""))</f>
        <v/>
      </c>
      <c r="AK1506" t="str">
        <f t="shared" si="1370"/>
        <v/>
      </c>
      <c r="AL1506" t="str">
        <f t="shared" si="1317"/>
        <v/>
      </c>
      <c r="AN1506" t="s">
        <v>862</v>
      </c>
      <c r="AO1506" t="str">
        <f t="shared" si="1318"/>
        <v>a</v>
      </c>
      <c r="AP1506" t="str">
        <f t="shared" si="1326"/>
        <v/>
      </c>
      <c r="AQ1506" t="str">
        <f t="shared" si="1327"/>
        <v/>
      </c>
      <c r="AR1506" t="str">
        <f t="shared" si="1328"/>
        <v>Away</v>
      </c>
      <c r="AS1506" t="str">
        <f t="shared" si="1329"/>
        <v>a</v>
      </c>
      <c r="AT1506" t="str">
        <f t="shared" si="1330"/>
        <v>Offensive</v>
      </c>
      <c r="BA1506" s="6">
        <f t="shared" si="1319"/>
        <v>348</v>
      </c>
      <c r="BB1506">
        <f t="shared" si="1320"/>
        <v>18981</v>
      </c>
      <c r="BC1506" t="str">
        <f t="shared" si="1321"/>
        <v>Nelson</v>
      </c>
      <c r="BD1506" t="str">
        <f t="shared" si="1322"/>
        <v>Velodrome</v>
      </c>
      <c r="BE1506" t="s">
        <v>13</v>
      </c>
      <c r="BF1506" t="s">
        <v>756</v>
      </c>
      <c r="BG1506" t="s">
        <v>756</v>
      </c>
      <c r="BI1506" cm="1">
        <f t="array" ref="BI1506">IFERROR(_xlfn._xlws.FILTER(shifts!A:A,(shifts!B:B=events!AD1506)*(shifts!AG:AG&gt;=events!BK1506)*(shifts!AH:AH&lt;=events!BL1506)),BI1505)</f>
        <v>65</v>
      </c>
      <c r="BJ1506" s="15">
        <f t="shared" si="1323"/>
        <v>1</v>
      </c>
      <c r="BK1506">
        <f t="shared" si="1331"/>
        <v>167</v>
      </c>
      <c r="BL1506">
        <f t="shared" si="1332"/>
        <v>166</v>
      </c>
      <c r="BM1506" s="15">
        <f>SUMIFS(BJ$2:BJ1506,K$2:K1506,"=Intermission")+SUMIFS(BJ$2:BJ1506,K$2:K1506,"=Timeout")</f>
        <v>72</v>
      </c>
      <c r="BN1506">
        <f t="shared" si="1333"/>
        <v>1152</v>
      </c>
      <c r="BO1506" s="19">
        <f t="shared" si="1334"/>
        <v>2065</v>
      </c>
      <c r="BP1506">
        <f t="shared" si="1335"/>
        <v>2060</v>
      </c>
      <c r="BQ1506" s="17">
        <f t="shared" si="1336"/>
        <v>2066</v>
      </c>
      <c r="BR1506" t="str">
        <f t="shared" si="1337"/>
        <v>event_team_player_1</v>
      </c>
      <c r="BS1506">
        <f>COUNTIFS(S$3:S1506,"="&amp;S1506,AI$3:AI1506,"="&amp;AI1506)</f>
        <v>1</v>
      </c>
      <c r="BT1506" t="str">
        <f>IFERROR(VLOOKUP(BB1506&amp;BU1506&amp;X1506,game_rosters!U:W,3,FALSE),"")</f>
        <v>P100002</v>
      </c>
      <c r="BU1506" t="str">
        <f t="shared" si="1338"/>
        <v>Velodrome</v>
      </c>
    </row>
    <row r="1507" spans="1:73" x14ac:dyDescent="0.2">
      <c r="A1507">
        <f t="shared" si="1324"/>
        <v>1</v>
      </c>
      <c r="J1507" s="44" t="str">
        <f t="shared" si="1339"/>
        <v/>
      </c>
      <c r="K1507" t="s">
        <v>9</v>
      </c>
      <c r="L1507" t="s">
        <v>173</v>
      </c>
      <c r="M1507" t="s">
        <v>71</v>
      </c>
      <c r="S1507">
        <v>807</v>
      </c>
      <c r="W1507" t="str">
        <f t="shared" si="1315"/>
        <v>a</v>
      </c>
      <c r="X1507">
        <v>91</v>
      </c>
      <c r="Y1507" t="e">
        <f>IF(X1507&lt;&gt;"",VLOOKUP(X1507,game_rosters!$C$43:$E$64,3,FALSE))</f>
        <v>#N/A</v>
      </c>
      <c r="Z1507" cm="1">
        <f t="array" ref="Z1507">IFERROR(IF(_xlfn._xlws.FILTER(game_rosters!$J:$J,(game_rosters!$G:$G=events!$AN1507)*(game_rosters!$J:$J=events!$X1507))&gt;0,1,""),"")</f>
        <v>1</v>
      </c>
      <c r="AA1507">
        <f t="shared" si="1363"/>
        <v>1807</v>
      </c>
      <c r="AB1507" t="str">
        <f t="shared" si="1364"/>
        <v/>
      </c>
      <c r="AC1507">
        <f t="shared" si="1312"/>
        <v>1807</v>
      </c>
      <c r="AD1507" s="6">
        <v>2</v>
      </c>
      <c r="AE1507" t="s">
        <v>942</v>
      </c>
      <c r="AF1507" t="s">
        <v>737</v>
      </c>
      <c r="AG1507" t="s">
        <v>756</v>
      </c>
      <c r="AH1507" t="s">
        <v>756</v>
      </c>
      <c r="AI1507" t="s">
        <v>367</v>
      </c>
      <c r="AJ1507" t="str">
        <f t="shared" ref="AJ1507:AK1507" si="1371">IF($J1507&lt;&gt;"",$J1507,IF($AC1507=$AC1506,AJ1506,""))</f>
        <v/>
      </c>
      <c r="AK1507" t="str">
        <f t="shared" si="1371"/>
        <v/>
      </c>
      <c r="AL1507" t="str">
        <f t="shared" si="1317"/>
        <v/>
      </c>
      <c r="AN1507" t="s">
        <v>862</v>
      </c>
      <c r="AO1507" t="str">
        <f t="shared" si="1318"/>
        <v>a</v>
      </c>
      <c r="AP1507" t="str">
        <f t="shared" si="1326"/>
        <v/>
      </c>
      <c r="AQ1507" t="str">
        <f t="shared" si="1327"/>
        <v/>
      </c>
      <c r="AR1507" t="str">
        <f t="shared" si="1328"/>
        <v>Away</v>
      </c>
      <c r="AS1507" t="str">
        <f t="shared" si="1329"/>
        <v>a</v>
      </c>
      <c r="AT1507" t="str">
        <f t="shared" si="1330"/>
        <v>Offensive</v>
      </c>
      <c r="BA1507" s="6">
        <f t="shared" si="1319"/>
        <v>348</v>
      </c>
      <c r="BB1507">
        <f t="shared" si="1320"/>
        <v>18981</v>
      </c>
      <c r="BC1507" t="str">
        <f t="shared" si="1321"/>
        <v>Nelson</v>
      </c>
      <c r="BD1507" t="str">
        <f t="shared" si="1322"/>
        <v>Velodrome</v>
      </c>
      <c r="BE1507" t="s">
        <v>9</v>
      </c>
      <c r="BF1507" t="s">
        <v>173</v>
      </c>
      <c r="BG1507" t="s">
        <v>71</v>
      </c>
      <c r="BI1507" cm="1">
        <f t="array" ref="BI1507">IFERROR(_xlfn._xlws.FILTER(shifts!A:A,(shifts!B:B=events!AD1507)*(shifts!AG:AG&gt;=events!BK1507)*(shifts!AH:AH&lt;=events!BL1507)),BI1506)</f>
        <v>65</v>
      </c>
      <c r="BJ1507" s="15">
        <f t="shared" si="1323"/>
        <v>0</v>
      </c>
      <c r="BK1507">
        <f t="shared" si="1331"/>
        <v>166</v>
      </c>
      <c r="BL1507">
        <f t="shared" si="1332"/>
        <v>166</v>
      </c>
      <c r="BM1507" s="15">
        <f>SUMIFS(BJ$2:BJ1507,K$2:K1507,"=Intermission")+SUMIFS(BJ$2:BJ1507,K$2:K1507,"=Timeout")</f>
        <v>72</v>
      </c>
      <c r="BN1507">
        <f t="shared" si="1333"/>
        <v>1152</v>
      </c>
      <c r="BO1507" s="19">
        <f t="shared" si="1334"/>
        <v>2066</v>
      </c>
      <c r="BP1507">
        <f t="shared" si="1335"/>
        <v>2061</v>
      </c>
      <c r="BQ1507" s="17">
        <f t="shared" si="1336"/>
        <v>2066</v>
      </c>
      <c r="BR1507" t="str">
        <f t="shared" si="1337"/>
        <v>event_team_player_1</v>
      </c>
      <c r="BS1507">
        <f>COUNTIFS(S$3:S1507,"="&amp;S1507,AI$3:AI1507,"="&amp;AI1507)</f>
        <v>1</v>
      </c>
      <c r="BT1507" t="str">
        <f>IFERROR(VLOOKUP(BB1507&amp;BU1507&amp;X1507,game_rosters!U:W,3,FALSE),"")</f>
        <v>P100002</v>
      </c>
      <c r="BU1507" t="str">
        <f t="shared" si="1338"/>
        <v>Velodrome</v>
      </c>
    </row>
    <row r="1508" spans="1:73" x14ac:dyDescent="0.2">
      <c r="A1508">
        <f t="shared" si="1324"/>
        <v>1</v>
      </c>
      <c r="J1508" s="44" t="str">
        <f t="shared" si="1339"/>
        <v/>
      </c>
      <c r="K1508" t="s">
        <v>13</v>
      </c>
      <c r="L1508" t="s">
        <v>756</v>
      </c>
      <c r="M1508" t="s">
        <v>756</v>
      </c>
      <c r="S1508">
        <v>808</v>
      </c>
      <c r="W1508" t="str">
        <f t="shared" si="1315"/>
        <v>h</v>
      </c>
      <c r="X1508">
        <v>37</v>
      </c>
      <c r="Y1508" t="b">
        <f>IF(X1508&lt;&gt;"",VLOOKUP(X1508,game_rosters!$C$43:$E$64,3,FALSE))</f>
        <v>0</v>
      </c>
      <c r="Z1508" cm="1">
        <f t="array" ref="Z1508">IFERROR(IF(_xlfn._xlws.FILTER(game_rosters!$J:$J,(game_rosters!$G:$G=events!$AN1508)*(game_rosters!$J:$J=events!$X1508))&gt;0,1,""),"")</f>
        <v>1</v>
      </c>
      <c r="AA1508">
        <f t="shared" si="1363"/>
        <v>1808</v>
      </c>
      <c r="AB1508" t="str">
        <f t="shared" si="1364"/>
        <v/>
      </c>
      <c r="AC1508">
        <f t="shared" si="1312"/>
        <v>1808</v>
      </c>
      <c r="AD1508" s="6">
        <v>2</v>
      </c>
      <c r="AE1508" t="s">
        <v>942</v>
      </c>
      <c r="AF1508" t="s">
        <v>901</v>
      </c>
      <c r="AG1508" t="s">
        <v>942</v>
      </c>
      <c r="AH1508" t="s">
        <v>902</v>
      </c>
      <c r="AI1508" t="s">
        <v>367</v>
      </c>
      <c r="AJ1508" t="str">
        <f t="shared" ref="AJ1508:AK1508" si="1372">IF($J1508&lt;&gt;"",$J1508,IF($AC1508=$AC1507,AJ1507,""))</f>
        <v/>
      </c>
      <c r="AK1508" t="str">
        <f t="shared" si="1372"/>
        <v/>
      </c>
      <c r="AL1508" t="str">
        <f t="shared" si="1317"/>
        <v/>
      </c>
      <c r="AN1508" t="s">
        <v>861</v>
      </c>
      <c r="AO1508" t="str">
        <f t="shared" si="1318"/>
        <v>h</v>
      </c>
      <c r="AP1508" t="str">
        <f t="shared" si="1326"/>
        <v/>
      </c>
      <c r="AQ1508" t="str">
        <f t="shared" si="1327"/>
        <v/>
      </c>
      <c r="AR1508" t="str">
        <f t="shared" si="1328"/>
        <v>Home</v>
      </c>
      <c r="AS1508" t="str">
        <f t="shared" si="1329"/>
        <v>h</v>
      </c>
      <c r="AT1508" t="str">
        <f t="shared" si="1330"/>
        <v>Offensive</v>
      </c>
      <c r="BA1508" s="6">
        <f t="shared" si="1319"/>
        <v>348</v>
      </c>
      <c r="BB1508">
        <f t="shared" si="1320"/>
        <v>18981</v>
      </c>
      <c r="BC1508" t="str">
        <f t="shared" si="1321"/>
        <v>Nelson</v>
      </c>
      <c r="BD1508" t="str">
        <f t="shared" si="1322"/>
        <v>Velodrome</v>
      </c>
      <c r="BE1508" t="s">
        <v>13</v>
      </c>
      <c r="BF1508" t="s">
        <v>756</v>
      </c>
      <c r="BG1508" t="s">
        <v>756</v>
      </c>
      <c r="BI1508" cm="1">
        <f t="array" ref="BI1508">IFERROR(_xlfn._xlws.FILTER(shifts!A:A,(shifts!B:B=events!AD1508)*(shifts!AG:AG&gt;=events!BK1508)*(shifts!AH:AH&lt;=events!BL1508)),BI1507)</f>
        <v>65</v>
      </c>
      <c r="BJ1508" s="15">
        <f t="shared" si="1323"/>
        <v>1</v>
      </c>
      <c r="BK1508">
        <f t="shared" si="1331"/>
        <v>163</v>
      </c>
      <c r="BL1508">
        <f t="shared" si="1332"/>
        <v>162</v>
      </c>
      <c r="BM1508" s="15">
        <f>SUMIFS(BJ$2:BJ1508,K$2:K1508,"=Intermission")+SUMIFS(BJ$2:BJ1508,K$2:K1508,"=Timeout")</f>
        <v>72</v>
      </c>
      <c r="BN1508">
        <f t="shared" si="1333"/>
        <v>1152</v>
      </c>
      <c r="BO1508" s="19">
        <f t="shared" si="1334"/>
        <v>2069</v>
      </c>
      <c r="BP1508">
        <f t="shared" si="1335"/>
        <v>2064</v>
      </c>
      <c r="BQ1508" s="17">
        <f t="shared" si="1336"/>
        <v>2070</v>
      </c>
      <c r="BR1508" t="str">
        <f t="shared" si="1337"/>
        <v>event_team_player_1</v>
      </c>
      <c r="BS1508">
        <f>COUNTIFS(S$3:S1508,"="&amp;S1508,AI$3:AI1508,"="&amp;AI1508)</f>
        <v>1</v>
      </c>
      <c r="BT1508" t="str">
        <f>IFERROR(VLOOKUP(BB1508&amp;BU1508&amp;X1508,game_rosters!U:W,3,FALSE),"")</f>
        <v>P100119</v>
      </c>
      <c r="BU1508" t="str">
        <f t="shared" si="1338"/>
        <v>Nelson</v>
      </c>
    </row>
    <row r="1509" spans="1:73" x14ac:dyDescent="0.2">
      <c r="A1509">
        <f t="shared" si="1324"/>
        <v>1</v>
      </c>
      <c r="J1509" s="44" t="str">
        <f t="shared" si="1339"/>
        <v/>
      </c>
      <c r="K1509" t="s">
        <v>7</v>
      </c>
      <c r="L1509" t="s">
        <v>182</v>
      </c>
      <c r="M1509" t="s">
        <v>65</v>
      </c>
      <c r="S1509">
        <v>809</v>
      </c>
      <c r="W1509" t="str">
        <f t="shared" si="1315"/>
        <v>h</v>
      </c>
      <c r="X1509">
        <v>37</v>
      </c>
      <c r="Y1509" t="b">
        <f>IF(X1509&lt;&gt;"",VLOOKUP(X1509,game_rosters!$C$43:$E$64,3,FALSE))</f>
        <v>0</v>
      </c>
      <c r="Z1509" cm="1">
        <f t="array" ref="Z1509">IFERROR(IF(_xlfn._xlws.FILTER(game_rosters!$J:$J,(game_rosters!$G:$G=events!$AN1509)*(game_rosters!$J:$J=events!$X1509))&gt;0,1,""),"")</f>
        <v>1</v>
      </c>
      <c r="AA1509">
        <f t="shared" si="1363"/>
        <v>1809</v>
      </c>
      <c r="AB1509" t="str">
        <f t="shared" si="1364"/>
        <v/>
      </c>
      <c r="AC1509">
        <f t="shared" si="1312"/>
        <v>1809</v>
      </c>
      <c r="AD1509" s="6">
        <v>2</v>
      </c>
      <c r="AE1509" t="s">
        <v>942</v>
      </c>
      <c r="AF1509" t="s">
        <v>902</v>
      </c>
      <c r="AG1509" t="s">
        <v>756</v>
      </c>
      <c r="AH1509" t="s">
        <v>756</v>
      </c>
      <c r="AI1509" t="s">
        <v>367</v>
      </c>
      <c r="AJ1509" t="str">
        <f t="shared" ref="AJ1509:AK1509" si="1373">IF($J1509&lt;&gt;"",$J1509,IF($AC1509=$AC1508,AJ1508,""))</f>
        <v/>
      </c>
      <c r="AK1509" t="str">
        <f t="shared" si="1373"/>
        <v/>
      </c>
      <c r="AL1509" t="str">
        <f t="shared" si="1317"/>
        <v/>
      </c>
      <c r="AN1509" t="s">
        <v>861</v>
      </c>
      <c r="AO1509" t="str">
        <f t="shared" si="1318"/>
        <v>h</v>
      </c>
      <c r="AP1509" t="str">
        <f t="shared" si="1326"/>
        <v/>
      </c>
      <c r="AQ1509" t="str">
        <f t="shared" si="1327"/>
        <v/>
      </c>
      <c r="AR1509" t="str">
        <f t="shared" si="1328"/>
        <v>Home</v>
      </c>
      <c r="AS1509" t="str">
        <f t="shared" si="1329"/>
        <v>h</v>
      </c>
      <c r="AT1509" t="str">
        <f t="shared" si="1330"/>
        <v>Offensive</v>
      </c>
      <c r="BA1509" s="6">
        <f t="shared" si="1319"/>
        <v>348</v>
      </c>
      <c r="BB1509">
        <f t="shared" si="1320"/>
        <v>18981</v>
      </c>
      <c r="BC1509" t="str">
        <f t="shared" si="1321"/>
        <v>Nelson</v>
      </c>
      <c r="BD1509" t="str">
        <f t="shared" si="1322"/>
        <v>Velodrome</v>
      </c>
      <c r="BE1509" t="s">
        <v>7</v>
      </c>
      <c r="BF1509" t="s">
        <v>182</v>
      </c>
      <c r="BG1509" t="s">
        <v>65</v>
      </c>
      <c r="BI1509" cm="1">
        <f t="array" ref="BI1509">IFERROR(_xlfn._xlws.FILTER(shifts!A:A,(shifts!B:B=events!AD1509)*(shifts!AG:AG&gt;=events!BK1509)*(shifts!AH:AH&lt;=events!BL1509)),BI1508)</f>
        <v>65</v>
      </c>
      <c r="BJ1509" s="15">
        <f t="shared" si="1323"/>
        <v>0</v>
      </c>
      <c r="BK1509">
        <f t="shared" si="1331"/>
        <v>162</v>
      </c>
      <c r="BL1509">
        <f t="shared" si="1332"/>
        <v>162</v>
      </c>
      <c r="BM1509" s="15">
        <f>SUMIFS(BJ$2:BJ1509,K$2:K1509,"=Intermission")+SUMIFS(BJ$2:BJ1509,K$2:K1509,"=Timeout")</f>
        <v>72</v>
      </c>
      <c r="BN1509">
        <f t="shared" si="1333"/>
        <v>1152</v>
      </c>
      <c r="BO1509" s="19">
        <f t="shared" si="1334"/>
        <v>2070</v>
      </c>
      <c r="BP1509">
        <f t="shared" si="1335"/>
        <v>2065</v>
      </c>
      <c r="BQ1509" s="17">
        <f t="shared" si="1336"/>
        <v>2070</v>
      </c>
      <c r="BR1509" t="str">
        <f t="shared" si="1337"/>
        <v>event_team_player_1</v>
      </c>
      <c r="BS1509">
        <f>COUNTIFS(S$3:S1509,"="&amp;S1509,AI$3:AI1509,"="&amp;AI1509)</f>
        <v>1</v>
      </c>
      <c r="BT1509" t="str">
        <f>IFERROR(VLOOKUP(BB1509&amp;BU1509&amp;X1509,game_rosters!U:W,3,FALSE),"")</f>
        <v>P100119</v>
      </c>
      <c r="BU1509" t="str">
        <f t="shared" si="1338"/>
        <v>Nelson</v>
      </c>
    </row>
    <row r="1510" spans="1:73" x14ac:dyDescent="0.2">
      <c r="A1510">
        <f t="shared" si="1324"/>
        <v>1</v>
      </c>
      <c r="J1510" s="44" t="str">
        <f t="shared" si="1339"/>
        <v/>
      </c>
      <c r="K1510" t="s">
        <v>7</v>
      </c>
      <c r="L1510" t="s">
        <v>182</v>
      </c>
      <c r="M1510" t="s">
        <v>65</v>
      </c>
      <c r="S1510">
        <v>809</v>
      </c>
      <c r="W1510" t="str">
        <f t="shared" si="1315"/>
        <v>h</v>
      </c>
      <c r="X1510">
        <v>10</v>
      </c>
      <c r="Y1510" t="b">
        <f>IF(X1510&lt;&gt;"",VLOOKUP(X1510,game_rosters!$C$43:$E$64,3,FALSE))</f>
        <v>0</v>
      </c>
      <c r="Z1510" cm="1">
        <f t="array" ref="Z1510">IFERROR(IF(_xlfn._xlws.FILTER(game_rosters!$J:$J,(game_rosters!$G:$G=events!$AN1510)*(game_rosters!$J:$J=events!$X1510))&gt;0,1,""),"")</f>
        <v>1</v>
      </c>
      <c r="AA1510">
        <f t="shared" si="1363"/>
        <v>1809</v>
      </c>
      <c r="AB1510" t="str">
        <f t="shared" si="1364"/>
        <v/>
      </c>
      <c r="AC1510">
        <f t="shared" si="1312"/>
        <v>1809</v>
      </c>
      <c r="AD1510" s="6">
        <v>2</v>
      </c>
      <c r="AE1510" t="s">
        <v>942</v>
      </c>
      <c r="AF1510" t="s">
        <v>902</v>
      </c>
      <c r="AG1510" t="s">
        <v>756</v>
      </c>
      <c r="AH1510" t="s">
        <v>756</v>
      </c>
      <c r="AI1510" t="s">
        <v>367</v>
      </c>
      <c r="AJ1510" t="str">
        <f t="shared" ref="AJ1510:AK1510" si="1374">IF($J1510&lt;&gt;"",$J1510,IF($AC1510=$AC1509,AJ1509,""))</f>
        <v/>
      </c>
      <c r="AK1510" t="str">
        <f t="shared" si="1374"/>
        <v/>
      </c>
      <c r="AL1510" t="str">
        <f t="shared" si="1317"/>
        <v/>
      </c>
      <c r="AN1510" t="s">
        <v>861</v>
      </c>
      <c r="AO1510" t="str">
        <f t="shared" si="1318"/>
        <v>h</v>
      </c>
      <c r="AP1510" t="str">
        <f t="shared" si="1326"/>
        <v/>
      </c>
      <c r="AQ1510" t="str">
        <f t="shared" si="1327"/>
        <v/>
      </c>
      <c r="AR1510" t="str">
        <f t="shared" si="1328"/>
        <v>Home</v>
      </c>
      <c r="AS1510" t="str">
        <f t="shared" si="1329"/>
        <v>h</v>
      </c>
      <c r="AT1510" t="str">
        <f t="shared" si="1330"/>
        <v>Offensive</v>
      </c>
      <c r="BA1510" s="6">
        <f t="shared" si="1319"/>
        <v>348</v>
      </c>
      <c r="BB1510">
        <f t="shared" si="1320"/>
        <v>18981</v>
      </c>
      <c r="BC1510" t="str">
        <f t="shared" si="1321"/>
        <v>Nelson</v>
      </c>
      <c r="BD1510" t="str">
        <f t="shared" si="1322"/>
        <v>Velodrome</v>
      </c>
      <c r="BE1510" t="s">
        <v>7</v>
      </c>
      <c r="BF1510" t="s">
        <v>182</v>
      </c>
      <c r="BG1510" t="s">
        <v>65</v>
      </c>
      <c r="BI1510" cm="1">
        <f t="array" ref="BI1510">IFERROR(_xlfn._xlws.FILTER(shifts!A:A,(shifts!B:B=events!AD1510)*(shifts!AG:AG&gt;=events!BK1510)*(shifts!AH:AH&lt;=events!BL1510)),BI1509)</f>
        <v>65</v>
      </c>
      <c r="BJ1510" s="15">
        <f t="shared" si="1323"/>
        <v>0</v>
      </c>
      <c r="BK1510">
        <f t="shared" si="1331"/>
        <v>162</v>
      </c>
      <c r="BL1510">
        <f t="shared" si="1332"/>
        <v>162</v>
      </c>
      <c r="BM1510" s="15">
        <f>SUMIFS(BJ$2:BJ1510,K$2:K1510,"=Intermission")+SUMIFS(BJ$2:BJ1510,K$2:K1510,"=Timeout")</f>
        <v>72</v>
      </c>
      <c r="BN1510">
        <f t="shared" si="1333"/>
        <v>1152</v>
      </c>
      <c r="BO1510" s="19">
        <f t="shared" si="1334"/>
        <v>2070</v>
      </c>
      <c r="BP1510">
        <f t="shared" si="1335"/>
        <v>2065</v>
      </c>
      <c r="BQ1510" s="17">
        <f t="shared" si="1336"/>
        <v>2070</v>
      </c>
      <c r="BR1510" t="str">
        <f t="shared" si="1337"/>
        <v>event_team_player_2</v>
      </c>
      <c r="BS1510">
        <f>COUNTIFS(S$3:S1510,"="&amp;S1510,AI$3:AI1510,"="&amp;AI1510)</f>
        <v>2</v>
      </c>
      <c r="BT1510" t="str">
        <f>IFERROR(VLOOKUP(BB1510&amp;BU1510&amp;X1510,game_rosters!U:W,3,FALSE),"")</f>
        <v>P100078</v>
      </c>
      <c r="BU1510" t="str">
        <f t="shared" si="1338"/>
        <v>Nelson</v>
      </c>
    </row>
    <row r="1511" spans="1:73" x14ac:dyDescent="0.2">
      <c r="A1511">
        <f t="shared" si="1324"/>
        <v>1</v>
      </c>
      <c r="J1511" s="44" t="str">
        <f t="shared" si="1339"/>
        <v>o</v>
      </c>
      <c r="K1511" t="s">
        <v>238</v>
      </c>
      <c r="L1511" t="s">
        <v>174</v>
      </c>
      <c r="M1511" t="s">
        <v>390</v>
      </c>
      <c r="S1511">
        <v>810</v>
      </c>
      <c r="W1511" t="str">
        <f t="shared" si="1315"/>
        <v>h</v>
      </c>
      <c r="X1511">
        <v>37</v>
      </c>
      <c r="Y1511" t="b">
        <f>IF(X1511&lt;&gt;"",VLOOKUP(X1511,game_rosters!$C$43:$E$64,3,FALSE))</f>
        <v>0</v>
      </c>
      <c r="Z1511" cm="1">
        <f t="array" ref="Z1511">IFERROR(IF(_xlfn._xlws.FILTER(game_rosters!$J:$J,(game_rosters!$G:$G=events!$AN1511)*(game_rosters!$J:$J=events!$X1511))&gt;0,1,""),"")</f>
        <v>1</v>
      </c>
      <c r="AA1511">
        <f t="shared" si="1363"/>
        <v>1810</v>
      </c>
      <c r="AB1511" t="str">
        <f t="shared" si="1364"/>
        <v/>
      </c>
      <c r="AC1511">
        <f t="shared" si="1312"/>
        <v>1810</v>
      </c>
      <c r="AD1511" s="6">
        <v>2</v>
      </c>
      <c r="AE1511" t="s">
        <v>942</v>
      </c>
      <c r="AF1511" t="s">
        <v>902</v>
      </c>
      <c r="AG1511" t="s">
        <v>756</v>
      </c>
      <c r="AH1511" t="s">
        <v>756</v>
      </c>
      <c r="AI1511" t="s">
        <v>367</v>
      </c>
      <c r="AJ1511" t="str">
        <f t="shared" ref="AJ1511:AK1511" si="1375">IF($J1511&lt;&gt;"",$J1511,IF($AC1511=$AC1510,AJ1510,""))</f>
        <v>o</v>
      </c>
      <c r="AK1511" t="str">
        <f t="shared" si="1375"/>
        <v>o</v>
      </c>
      <c r="AL1511" t="str">
        <f t="shared" si="1317"/>
        <v>o</v>
      </c>
      <c r="AN1511" t="s">
        <v>861</v>
      </c>
      <c r="AO1511" t="str">
        <f t="shared" si="1318"/>
        <v>h</v>
      </c>
      <c r="AP1511" t="str">
        <f t="shared" si="1326"/>
        <v>o</v>
      </c>
      <c r="AQ1511" t="str">
        <f t="shared" si="1327"/>
        <v/>
      </c>
      <c r="AR1511" t="str">
        <f t="shared" si="1328"/>
        <v>Home</v>
      </c>
      <c r="AS1511" t="str">
        <f t="shared" si="1329"/>
        <v>h</v>
      </c>
      <c r="AT1511" t="str">
        <f t="shared" si="1330"/>
        <v>Offensive</v>
      </c>
      <c r="BA1511" s="6">
        <f t="shared" si="1319"/>
        <v>349</v>
      </c>
      <c r="BB1511">
        <f t="shared" si="1320"/>
        <v>18981</v>
      </c>
      <c r="BC1511" t="str">
        <f t="shared" si="1321"/>
        <v>Nelson</v>
      </c>
      <c r="BD1511" t="str">
        <f t="shared" si="1322"/>
        <v>Velodrome</v>
      </c>
      <c r="BE1511" t="s">
        <v>238</v>
      </c>
      <c r="BF1511" t="s">
        <v>174</v>
      </c>
      <c r="BG1511" t="s">
        <v>390</v>
      </c>
      <c r="BI1511" cm="1">
        <f t="array" ref="BI1511">IFERROR(_xlfn._xlws.FILTER(shifts!A:A,(shifts!B:B=events!AD1511)*(shifts!AG:AG&gt;=events!BK1511)*(shifts!AH:AH&lt;=events!BL1511)),BI1510)</f>
        <v>65</v>
      </c>
      <c r="BJ1511" s="15">
        <f t="shared" si="1323"/>
        <v>0</v>
      </c>
      <c r="BK1511">
        <f t="shared" si="1331"/>
        <v>162</v>
      </c>
      <c r="BL1511">
        <f t="shared" si="1332"/>
        <v>162</v>
      </c>
      <c r="BM1511" s="15">
        <f>SUMIFS(BJ$2:BJ1511,K$2:K1511,"=Intermission")+SUMIFS(BJ$2:BJ1511,K$2:K1511,"=Timeout")</f>
        <v>72</v>
      </c>
      <c r="BN1511">
        <f t="shared" si="1333"/>
        <v>1152</v>
      </c>
      <c r="BO1511" s="19">
        <f t="shared" si="1334"/>
        <v>2070</v>
      </c>
      <c r="BP1511">
        <f t="shared" si="1335"/>
        <v>2065</v>
      </c>
      <c r="BQ1511" s="17">
        <f t="shared" si="1336"/>
        <v>2070</v>
      </c>
      <c r="BR1511" t="str">
        <f t="shared" si="1337"/>
        <v>event_team_player_1</v>
      </c>
      <c r="BS1511">
        <f>COUNTIFS(S$3:S1511,"="&amp;S1511,AI$3:AI1511,"="&amp;AI1511)</f>
        <v>1</v>
      </c>
      <c r="BT1511" t="str">
        <f>IFERROR(VLOOKUP(BB1511&amp;BU1511&amp;X1511,game_rosters!U:W,3,FALSE),"")</f>
        <v>P100119</v>
      </c>
      <c r="BU1511" t="str">
        <f t="shared" si="1338"/>
        <v>Nelson</v>
      </c>
    </row>
    <row r="1512" spans="1:73" x14ac:dyDescent="0.2">
      <c r="A1512">
        <f t="shared" si="1324"/>
        <v>1</v>
      </c>
      <c r="J1512" s="44" t="str">
        <f t="shared" si="1339"/>
        <v/>
      </c>
      <c r="K1512" t="s">
        <v>9</v>
      </c>
      <c r="L1512" t="s">
        <v>173</v>
      </c>
      <c r="M1512" t="s">
        <v>74</v>
      </c>
      <c r="S1512">
        <v>811</v>
      </c>
      <c r="W1512" t="str">
        <f t="shared" si="1315"/>
        <v>h</v>
      </c>
      <c r="X1512">
        <v>37</v>
      </c>
      <c r="Y1512" t="b">
        <f>IF(X1512&lt;&gt;"",VLOOKUP(X1512,game_rosters!$C$43:$E$64,3,FALSE))</f>
        <v>0</v>
      </c>
      <c r="Z1512" cm="1">
        <f t="array" ref="Z1512">IFERROR(IF(_xlfn._xlws.FILTER(game_rosters!$J:$J,(game_rosters!$G:$G=events!$AN1512)*(game_rosters!$J:$J=events!$X1512))&gt;0,1,""),"")</f>
        <v>1</v>
      </c>
      <c r="AA1512">
        <f t="shared" si="1363"/>
        <v>1811</v>
      </c>
      <c r="AB1512" t="str">
        <f t="shared" si="1364"/>
        <v/>
      </c>
      <c r="AC1512">
        <f t="shared" si="1312"/>
        <v>1811</v>
      </c>
      <c r="AD1512" s="6">
        <v>2</v>
      </c>
      <c r="AE1512" t="s">
        <v>942</v>
      </c>
      <c r="AF1512" t="s">
        <v>902</v>
      </c>
      <c r="AG1512" t="s">
        <v>756</v>
      </c>
      <c r="AH1512" t="s">
        <v>756</v>
      </c>
      <c r="AI1512" t="s">
        <v>367</v>
      </c>
      <c r="AJ1512" t="str">
        <f t="shared" ref="AJ1512:AK1512" si="1376">IF($J1512&lt;&gt;"",$J1512,IF($AC1512=$AC1511,AJ1511,""))</f>
        <v/>
      </c>
      <c r="AK1512" t="str">
        <f t="shared" si="1376"/>
        <v/>
      </c>
      <c r="AL1512" t="str">
        <f t="shared" si="1317"/>
        <v/>
      </c>
      <c r="AN1512" t="s">
        <v>861</v>
      </c>
      <c r="AO1512" t="str">
        <f t="shared" si="1318"/>
        <v>h</v>
      </c>
      <c r="AP1512" t="str">
        <f t="shared" si="1326"/>
        <v/>
      </c>
      <c r="AQ1512" t="str">
        <f t="shared" si="1327"/>
        <v/>
      </c>
      <c r="AR1512" t="str">
        <f t="shared" si="1328"/>
        <v>Home</v>
      </c>
      <c r="AS1512" t="str">
        <f t="shared" si="1329"/>
        <v>h</v>
      </c>
      <c r="AT1512" t="str">
        <f t="shared" si="1330"/>
        <v>Offensive</v>
      </c>
      <c r="BA1512" s="6">
        <f t="shared" si="1319"/>
        <v>349</v>
      </c>
      <c r="BB1512">
        <f t="shared" si="1320"/>
        <v>18981</v>
      </c>
      <c r="BC1512" t="str">
        <f t="shared" si="1321"/>
        <v>Nelson</v>
      </c>
      <c r="BD1512" t="str">
        <f t="shared" si="1322"/>
        <v>Velodrome</v>
      </c>
      <c r="BE1512" t="s">
        <v>9</v>
      </c>
      <c r="BF1512" t="s">
        <v>173</v>
      </c>
      <c r="BG1512" t="s">
        <v>74</v>
      </c>
      <c r="BI1512" cm="1">
        <f t="array" ref="BI1512">IFERROR(_xlfn._xlws.FILTER(shifts!A:A,(shifts!B:B=events!AD1512)*(shifts!AG:AG&gt;=events!BK1512)*(shifts!AH:AH&lt;=events!BL1512)),BI1511)</f>
        <v>65</v>
      </c>
      <c r="BJ1512" s="15">
        <f t="shared" si="1323"/>
        <v>0</v>
      </c>
      <c r="BK1512">
        <f t="shared" si="1331"/>
        <v>162</v>
      </c>
      <c r="BL1512">
        <f t="shared" si="1332"/>
        <v>162</v>
      </c>
      <c r="BM1512" s="15">
        <f>SUMIFS(BJ$2:BJ1512,K$2:K1512,"=Intermission")+SUMIFS(BJ$2:BJ1512,K$2:K1512,"=Timeout")</f>
        <v>72</v>
      </c>
      <c r="BN1512">
        <f t="shared" si="1333"/>
        <v>1152</v>
      </c>
      <c r="BO1512" s="19">
        <f t="shared" si="1334"/>
        <v>2070</v>
      </c>
      <c r="BP1512">
        <f t="shared" si="1335"/>
        <v>2065</v>
      </c>
      <c r="BQ1512" s="17">
        <f t="shared" si="1336"/>
        <v>2070</v>
      </c>
      <c r="BR1512" t="str">
        <f t="shared" si="1337"/>
        <v>event_team_player_1</v>
      </c>
      <c r="BS1512">
        <f>COUNTIFS(S$3:S1512,"="&amp;S1512,AI$3:AI1512,"="&amp;AI1512)</f>
        <v>1</v>
      </c>
      <c r="BT1512" t="str">
        <f>IFERROR(VLOOKUP(BB1512&amp;BU1512&amp;X1512,game_rosters!U:W,3,FALSE),"")</f>
        <v>P100119</v>
      </c>
      <c r="BU1512" t="str">
        <f t="shared" si="1338"/>
        <v>Nelson</v>
      </c>
    </row>
    <row r="1513" spans="1:73" x14ac:dyDescent="0.2">
      <c r="A1513">
        <f t="shared" si="1324"/>
        <v>1</v>
      </c>
      <c r="J1513" s="44" t="str">
        <f t="shared" si="1339"/>
        <v/>
      </c>
      <c r="K1513" t="s">
        <v>7</v>
      </c>
      <c r="L1513" t="s">
        <v>172</v>
      </c>
      <c r="M1513" t="s">
        <v>68</v>
      </c>
      <c r="S1513">
        <v>812</v>
      </c>
      <c r="W1513" t="str">
        <f t="shared" si="1315"/>
        <v>a</v>
      </c>
      <c r="X1513">
        <v>37</v>
      </c>
      <c r="Y1513" t="b">
        <f>IF(X1513&lt;&gt;"",VLOOKUP(X1513,game_rosters!$C$43:$E$64,3,FALSE))</f>
        <v>0</v>
      </c>
      <c r="Z1513" t="str" cm="1">
        <f t="array" ref="Z1513">IFERROR(IF(_xlfn._xlws.FILTER(game_rosters!$J:$J,(game_rosters!$G:$G=events!$AN1513)*(game_rosters!$J:$J=events!$X1513))&gt;0,1,""),"")</f>
        <v/>
      </c>
      <c r="AA1513">
        <f t="shared" si="1363"/>
        <v>1812</v>
      </c>
      <c r="AB1513" t="str">
        <f t="shared" si="1364"/>
        <v/>
      </c>
      <c r="AC1513">
        <f t="shared" si="1312"/>
        <v>1812</v>
      </c>
      <c r="AD1513" s="6">
        <v>2</v>
      </c>
      <c r="AE1513" t="s">
        <v>942</v>
      </c>
      <c r="AF1513" t="s">
        <v>928</v>
      </c>
      <c r="AG1513" t="s">
        <v>756</v>
      </c>
      <c r="AH1513" t="s">
        <v>756</v>
      </c>
      <c r="AI1513" t="s">
        <v>367</v>
      </c>
      <c r="AJ1513" t="str">
        <f t="shared" ref="AJ1513:AK1513" si="1377">IF($J1513&lt;&gt;"",$J1513,IF($AC1513=$AC1512,AJ1512,""))</f>
        <v/>
      </c>
      <c r="AK1513" t="str">
        <f t="shared" si="1377"/>
        <v/>
      </c>
      <c r="AL1513" t="str">
        <f t="shared" si="1317"/>
        <v/>
      </c>
      <c r="AN1513" t="s">
        <v>862</v>
      </c>
      <c r="AO1513" t="str">
        <f t="shared" si="1318"/>
        <v>a</v>
      </c>
      <c r="AP1513" t="str">
        <f t="shared" si="1326"/>
        <v/>
      </c>
      <c r="AQ1513" t="str">
        <f t="shared" si="1327"/>
        <v/>
      </c>
      <c r="AR1513" t="str">
        <f t="shared" si="1328"/>
        <v>Away</v>
      </c>
      <c r="AS1513" t="str">
        <f t="shared" si="1329"/>
        <v>a</v>
      </c>
      <c r="AT1513" t="str">
        <f t="shared" si="1330"/>
        <v>Offensive</v>
      </c>
      <c r="BA1513" s="6">
        <f t="shared" si="1319"/>
        <v>349</v>
      </c>
      <c r="BB1513">
        <f t="shared" si="1320"/>
        <v>18981</v>
      </c>
      <c r="BC1513" t="str">
        <f t="shared" si="1321"/>
        <v>Nelson</v>
      </c>
      <c r="BD1513" t="str">
        <f t="shared" si="1322"/>
        <v>Velodrome</v>
      </c>
      <c r="BE1513" t="s">
        <v>7</v>
      </c>
      <c r="BF1513" t="s">
        <v>172</v>
      </c>
      <c r="BG1513" t="s">
        <v>68</v>
      </c>
      <c r="BI1513" cm="1">
        <f t="array" ref="BI1513">IFERROR(_xlfn._xlws.FILTER(shifts!A:A,(shifts!B:B=events!AD1513)*(shifts!AG:AG&gt;=events!BK1513)*(shifts!AH:AH&lt;=events!BL1513)),BI1512)</f>
        <v>65</v>
      </c>
      <c r="BJ1513" s="15">
        <f t="shared" si="1323"/>
        <v>0</v>
      </c>
      <c r="BK1513">
        <f t="shared" si="1331"/>
        <v>157</v>
      </c>
      <c r="BL1513">
        <f t="shared" si="1332"/>
        <v>157</v>
      </c>
      <c r="BM1513" s="15">
        <f>SUMIFS(BJ$2:BJ1513,K$2:K1513,"=Intermission")+SUMIFS(BJ$2:BJ1513,K$2:K1513,"=Timeout")</f>
        <v>72</v>
      </c>
      <c r="BN1513">
        <f t="shared" si="1333"/>
        <v>1152</v>
      </c>
      <c r="BO1513" s="19">
        <f t="shared" si="1334"/>
        <v>2075</v>
      </c>
      <c r="BP1513">
        <f t="shared" si="1335"/>
        <v>2070</v>
      </c>
      <c r="BQ1513" s="17">
        <f t="shared" si="1336"/>
        <v>2075</v>
      </c>
      <c r="BR1513" t="str">
        <f t="shared" si="1337"/>
        <v>event_team_player_1</v>
      </c>
      <c r="BS1513">
        <f>COUNTIFS(S$3:S1513,"="&amp;S1513,AI$3:AI1513,"="&amp;AI1513)</f>
        <v>1</v>
      </c>
      <c r="BT1513" t="str">
        <f>IFERROR(VLOOKUP(BB1513&amp;BU1513&amp;X1513,game_rosters!U:W,3,FALSE),"")</f>
        <v>P100119</v>
      </c>
      <c r="BU1513" t="s">
        <v>944</v>
      </c>
    </row>
    <row r="1514" spans="1:73" x14ac:dyDescent="0.2">
      <c r="A1514">
        <f t="shared" si="1324"/>
        <v>1</v>
      </c>
      <c r="J1514" s="44" t="str">
        <f t="shared" si="1339"/>
        <v/>
      </c>
      <c r="K1514" t="s">
        <v>7</v>
      </c>
      <c r="L1514" t="s">
        <v>172</v>
      </c>
      <c r="M1514" t="s">
        <v>68</v>
      </c>
      <c r="S1514">
        <v>812</v>
      </c>
      <c r="W1514" t="str">
        <f t="shared" si="1315"/>
        <v>a</v>
      </c>
      <c r="X1514">
        <v>52</v>
      </c>
      <c r="Y1514" t="e">
        <f>IF(X1514&lt;&gt;"",VLOOKUP(X1514,game_rosters!$C$43:$E$64,3,FALSE))</f>
        <v>#N/A</v>
      </c>
      <c r="Z1514" cm="1">
        <f t="array" ref="Z1514">IFERROR(IF(_xlfn._xlws.FILTER(game_rosters!$J:$J,(game_rosters!$G:$G=events!$AN1514)*(game_rosters!$J:$J=events!$X1514))&gt;0,1,""),"")</f>
        <v>1</v>
      </c>
      <c r="AA1514">
        <f t="shared" si="1363"/>
        <v>1812</v>
      </c>
      <c r="AB1514" t="str">
        <f t="shared" si="1364"/>
        <v/>
      </c>
      <c r="AC1514">
        <f t="shared" si="1312"/>
        <v>1812</v>
      </c>
      <c r="AD1514" s="6">
        <v>2</v>
      </c>
      <c r="AE1514" t="s">
        <v>942</v>
      </c>
      <c r="AF1514" t="s">
        <v>928</v>
      </c>
      <c r="AG1514" t="s">
        <v>756</v>
      </c>
      <c r="AH1514" t="s">
        <v>756</v>
      </c>
      <c r="AI1514" t="s">
        <v>367</v>
      </c>
      <c r="AJ1514" t="str">
        <f t="shared" ref="AJ1514:AK1514" si="1378">IF($J1514&lt;&gt;"",$J1514,IF($AC1514=$AC1513,AJ1513,""))</f>
        <v/>
      </c>
      <c r="AK1514" t="str">
        <f t="shared" si="1378"/>
        <v/>
      </c>
      <c r="AL1514" t="str">
        <f t="shared" si="1317"/>
        <v/>
      </c>
      <c r="AN1514" t="s">
        <v>862</v>
      </c>
      <c r="AO1514" t="str">
        <f t="shared" si="1318"/>
        <v>a</v>
      </c>
      <c r="AP1514" t="str">
        <f t="shared" si="1326"/>
        <v/>
      </c>
      <c r="AQ1514" t="str">
        <f t="shared" si="1327"/>
        <v/>
      </c>
      <c r="AR1514" t="str">
        <f t="shared" si="1328"/>
        <v>Away</v>
      </c>
      <c r="AS1514" t="str">
        <f t="shared" si="1329"/>
        <v>a</v>
      </c>
      <c r="AT1514" t="str">
        <f t="shared" si="1330"/>
        <v>Offensive</v>
      </c>
      <c r="BA1514" s="6">
        <f t="shared" si="1319"/>
        <v>349</v>
      </c>
      <c r="BB1514">
        <f t="shared" si="1320"/>
        <v>18981</v>
      </c>
      <c r="BC1514" t="str">
        <f t="shared" si="1321"/>
        <v>Nelson</v>
      </c>
      <c r="BD1514" t="str">
        <f t="shared" si="1322"/>
        <v>Velodrome</v>
      </c>
      <c r="BE1514" t="s">
        <v>7</v>
      </c>
      <c r="BF1514" t="s">
        <v>172</v>
      </c>
      <c r="BG1514" t="s">
        <v>68</v>
      </c>
      <c r="BI1514" cm="1">
        <f t="array" ref="BI1514">IFERROR(_xlfn._xlws.FILTER(shifts!A:A,(shifts!B:B=events!AD1514)*(shifts!AG:AG&gt;=events!BK1514)*(shifts!AH:AH&lt;=events!BL1514)),BI1513)</f>
        <v>65</v>
      </c>
      <c r="BJ1514" s="15">
        <f t="shared" si="1323"/>
        <v>0</v>
      </c>
      <c r="BK1514">
        <f t="shared" si="1331"/>
        <v>157</v>
      </c>
      <c r="BL1514">
        <f t="shared" si="1332"/>
        <v>157</v>
      </c>
      <c r="BM1514" s="15">
        <f>SUMIFS(BJ$2:BJ1514,K$2:K1514,"=Intermission")+SUMIFS(BJ$2:BJ1514,K$2:K1514,"=Timeout")</f>
        <v>72</v>
      </c>
      <c r="BN1514">
        <f t="shared" si="1333"/>
        <v>1152</v>
      </c>
      <c r="BO1514" s="19">
        <f t="shared" si="1334"/>
        <v>2075</v>
      </c>
      <c r="BP1514">
        <f t="shared" si="1335"/>
        <v>2070</v>
      </c>
      <c r="BQ1514" s="17">
        <f t="shared" si="1336"/>
        <v>2075</v>
      </c>
      <c r="BR1514" t="str">
        <f t="shared" si="1337"/>
        <v>event_team_player_2</v>
      </c>
      <c r="BS1514">
        <f>COUNTIFS(S$3:S1514,"="&amp;S1514,AI$3:AI1514,"="&amp;AI1514)</f>
        <v>2</v>
      </c>
      <c r="BT1514" t="str">
        <f>IFERROR(VLOOKUP(BB1514&amp;BU1514&amp;X1514,game_rosters!U:W,3,FALSE),"")</f>
        <v>P100070</v>
      </c>
      <c r="BU1514" t="str">
        <f t="shared" si="1338"/>
        <v>Velodrome</v>
      </c>
    </row>
    <row r="1515" spans="1:73" x14ac:dyDescent="0.2">
      <c r="A1515">
        <f t="shared" si="1324"/>
        <v>1</v>
      </c>
      <c r="J1515" s="44" t="str">
        <f t="shared" si="1339"/>
        <v/>
      </c>
      <c r="K1515" t="s">
        <v>13</v>
      </c>
      <c r="L1515" t="s">
        <v>756</v>
      </c>
      <c r="M1515" t="s">
        <v>756</v>
      </c>
      <c r="S1515">
        <v>813</v>
      </c>
      <c r="W1515" t="str">
        <f t="shared" si="1315"/>
        <v>a</v>
      </c>
      <c r="X1515">
        <v>52</v>
      </c>
      <c r="Y1515" t="e">
        <f>IF(X1515&lt;&gt;"",VLOOKUP(X1515,game_rosters!$C$43:$E$64,3,FALSE))</f>
        <v>#N/A</v>
      </c>
      <c r="Z1515" cm="1">
        <f t="array" ref="Z1515">IFERROR(IF(_xlfn._xlws.FILTER(game_rosters!$J:$J,(game_rosters!$G:$G=events!$AN1515)*(game_rosters!$J:$J=events!$X1515))&gt;0,1,""),"")</f>
        <v>1</v>
      </c>
      <c r="AA1515">
        <f t="shared" si="1363"/>
        <v>1813</v>
      </c>
      <c r="AB1515" t="str">
        <f t="shared" si="1364"/>
        <v/>
      </c>
      <c r="AC1515">
        <f t="shared" si="1312"/>
        <v>1813</v>
      </c>
      <c r="AD1515" s="6">
        <v>2</v>
      </c>
      <c r="AE1515" t="s">
        <v>942</v>
      </c>
      <c r="AF1515" t="s">
        <v>928</v>
      </c>
      <c r="AG1515" t="s">
        <v>942</v>
      </c>
      <c r="AH1515" t="s">
        <v>750</v>
      </c>
      <c r="AI1515" t="s">
        <v>367</v>
      </c>
      <c r="AJ1515" t="str">
        <f t="shared" ref="AJ1515:AK1515" si="1379">IF($J1515&lt;&gt;"",$J1515,IF($AC1515=$AC1514,AJ1514,""))</f>
        <v/>
      </c>
      <c r="AK1515" t="str">
        <f t="shared" si="1379"/>
        <v/>
      </c>
      <c r="AL1515" t="str">
        <f t="shared" si="1317"/>
        <v/>
      </c>
      <c r="AN1515" t="s">
        <v>862</v>
      </c>
      <c r="AO1515" t="str">
        <f t="shared" si="1318"/>
        <v>a</v>
      </c>
      <c r="AP1515" t="str">
        <f t="shared" si="1326"/>
        <v/>
      </c>
      <c r="AQ1515" t="str">
        <f t="shared" si="1327"/>
        <v/>
      </c>
      <c r="AR1515" t="str">
        <f t="shared" si="1328"/>
        <v>Away</v>
      </c>
      <c r="AS1515" t="str">
        <f t="shared" si="1329"/>
        <v>a</v>
      </c>
      <c r="AT1515" t="str">
        <f t="shared" si="1330"/>
        <v>Offensive</v>
      </c>
      <c r="BA1515" s="6">
        <f t="shared" si="1319"/>
        <v>349</v>
      </c>
      <c r="BB1515">
        <f t="shared" si="1320"/>
        <v>18981</v>
      </c>
      <c r="BC1515" t="str">
        <f t="shared" si="1321"/>
        <v>Nelson</v>
      </c>
      <c r="BD1515" t="str">
        <f t="shared" si="1322"/>
        <v>Velodrome</v>
      </c>
      <c r="BE1515" t="s">
        <v>13</v>
      </c>
      <c r="BF1515" t="s">
        <v>756</v>
      </c>
      <c r="BG1515" t="s">
        <v>756</v>
      </c>
      <c r="BI1515" cm="1">
        <f t="array" ref="BI1515">IFERROR(_xlfn._xlws.FILTER(shifts!A:A,(shifts!B:B=events!AD1515)*(shifts!AG:AG&gt;=events!BK1515)*(shifts!AH:AH&lt;=events!BL1515)),BI1514)</f>
        <v>65</v>
      </c>
      <c r="BJ1515" s="15">
        <f t="shared" si="1323"/>
        <v>2</v>
      </c>
      <c r="BK1515">
        <f t="shared" si="1331"/>
        <v>157</v>
      </c>
      <c r="BL1515">
        <f t="shared" si="1332"/>
        <v>155</v>
      </c>
      <c r="BM1515" s="15">
        <f>SUMIFS(BJ$2:BJ1515,K$2:K1515,"=Intermission")+SUMIFS(BJ$2:BJ1515,K$2:K1515,"=Timeout")</f>
        <v>72</v>
      </c>
      <c r="BN1515">
        <f t="shared" si="1333"/>
        <v>1152</v>
      </c>
      <c r="BO1515" s="19">
        <f t="shared" si="1334"/>
        <v>2075</v>
      </c>
      <c r="BP1515">
        <f t="shared" si="1335"/>
        <v>2070</v>
      </c>
      <c r="BQ1515" s="17">
        <f t="shared" si="1336"/>
        <v>2077</v>
      </c>
      <c r="BR1515" t="str">
        <f t="shared" si="1337"/>
        <v>event_team_player_1</v>
      </c>
      <c r="BS1515">
        <f>COUNTIFS(S$3:S1515,"="&amp;S1515,AI$3:AI1515,"="&amp;AI1515)</f>
        <v>1</v>
      </c>
      <c r="BT1515" t="str">
        <f>IFERROR(VLOOKUP(BB1515&amp;BU1515&amp;X1515,game_rosters!U:W,3,FALSE),"")</f>
        <v>P100070</v>
      </c>
      <c r="BU1515" t="str">
        <f t="shared" si="1338"/>
        <v>Velodrome</v>
      </c>
    </row>
    <row r="1516" spans="1:73" x14ac:dyDescent="0.2">
      <c r="A1516">
        <f t="shared" si="1324"/>
        <v>1</v>
      </c>
      <c r="J1516" s="44" t="str">
        <f t="shared" si="1339"/>
        <v/>
      </c>
      <c r="K1516" t="s">
        <v>9</v>
      </c>
      <c r="L1516" t="s">
        <v>183</v>
      </c>
      <c r="M1516" t="s">
        <v>80</v>
      </c>
      <c r="S1516">
        <v>814</v>
      </c>
      <c r="W1516" t="str">
        <f t="shared" si="1315"/>
        <v>h</v>
      </c>
      <c r="X1516">
        <v>3</v>
      </c>
      <c r="Y1516" t="b">
        <f>IF(X1516&lt;&gt;"",VLOOKUP(X1516,game_rosters!$C$43:$E$64,3,FALSE))</f>
        <v>0</v>
      </c>
      <c r="Z1516" cm="1">
        <f t="array" ref="Z1516">IFERROR(IF(_xlfn._xlws.FILTER(game_rosters!$J:$J,(game_rosters!$G:$G=events!$AN1516)*(game_rosters!$J:$J=events!$X1516))&gt;0,1,""),"")</f>
        <v>1</v>
      </c>
      <c r="AA1516">
        <f t="shared" si="1363"/>
        <v>1814</v>
      </c>
      <c r="AB1516" t="str">
        <f t="shared" si="1364"/>
        <v/>
      </c>
      <c r="AC1516">
        <f t="shared" si="1312"/>
        <v>1814</v>
      </c>
      <c r="AD1516" s="6">
        <v>2</v>
      </c>
      <c r="AE1516" t="s">
        <v>942</v>
      </c>
      <c r="AF1516" t="s">
        <v>750</v>
      </c>
      <c r="AG1516" t="s">
        <v>756</v>
      </c>
      <c r="AH1516" t="s">
        <v>756</v>
      </c>
      <c r="AI1516" t="s">
        <v>367</v>
      </c>
      <c r="AJ1516" t="str">
        <f t="shared" ref="AJ1516:AK1516" si="1380">IF($J1516&lt;&gt;"",$J1516,IF($AC1516=$AC1515,AJ1515,""))</f>
        <v/>
      </c>
      <c r="AK1516" t="str">
        <f t="shared" si="1380"/>
        <v/>
      </c>
      <c r="AL1516" t="str">
        <f t="shared" si="1317"/>
        <v/>
      </c>
      <c r="AN1516" t="s">
        <v>861</v>
      </c>
      <c r="AO1516" t="str">
        <f t="shared" si="1318"/>
        <v>h</v>
      </c>
      <c r="AP1516" t="str">
        <f t="shared" si="1326"/>
        <v/>
      </c>
      <c r="AQ1516" t="str">
        <f t="shared" si="1327"/>
        <v/>
      </c>
      <c r="AR1516" t="str">
        <f t="shared" si="1328"/>
        <v>Home</v>
      </c>
      <c r="AS1516" t="str">
        <f t="shared" si="1329"/>
        <v>h</v>
      </c>
      <c r="AT1516" t="str">
        <f t="shared" si="1330"/>
        <v>Defensive</v>
      </c>
      <c r="BA1516" s="6">
        <f t="shared" si="1319"/>
        <v>349</v>
      </c>
      <c r="BB1516">
        <f t="shared" si="1320"/>
        <v>18981</v>
      </c>
      <c r="BC1516" t="str">
        <f t="shared" si="1321"/>
        <v>Nelson</v>
      </c>
      <c r="BD1516" t="str">
        <f t="shared" si="1322"/>
        <v>Velodrome</v>
      </c>
      <c r="BE1516" t="s">
        <v>9</v>
      </c>
      <c r="BF1516" t="s">
        <v>183</v>
      </c>
      <c r="BG1516" t="s">
        <v>80</v>
      </c>
      <c r="BI1516" cm="1">
        <f t="array" ref="BI1516">IFERROR(_xlfn._xlws.FILTER(shifts!A:A,(shifts!B:B=events!AD1516)*(shifts!AG:AG&gt;=events!BK1516)*(shifts!AH:AH&lt;=events!BL1516)),BI1515)</f>
        <v>65</v>
      </c>
      <c r="BJ1516" s="15">
        <f t="shared" si="1323"/>
        <v>0</v>
      </c>
      <c r="BK1516">
        <f t="shared" si="1331"/>
        <v>155</v>
      </c>
      <c r="BL1516">
        <f t="shared" si="1332"/>
        <v>155</v>
      </c>
      <c r="BM1516" s="15">
        <f>SUMIFS(BJ$2:BJ1516,K$2:K1516,"=Intermission")+SUMIFS(BJ$2:BJ1516,K$2:K1516,"=Timeout")</f>
        <v>72</v>
      </c>
      <c r="BN1516">
        <f t="shared" si="1333"/>
        <v>1152</v>
      </c>
      <c r="BO1516" s="19">
        <f t="shared" si="1334"/>
        <v>2077</v>
      </c>
      <c r="BP1516">
        <f t="shared" si="1335"/>
        <v>2072</v>
      </c>
      <c r="BQ1516" s="17">
        <f t="shared" si="1336"/>
        <v>2077</v>
      </c>
      <c r="BR1516" t="str">
        <f t="shared" si="1337"/>
        <v>event_team_player_1</v>
      </c>
      <c r="BS1516">
        <f>COUNTIFS(S$3:S1516,"="&amp;S1516,AI$3:AI1516,"="&amp;AI1516)</f>
        <v>1</v>
      </c>
      <c r="BT1516" t="str">
        <f>IFERROR(VLOOKUP(BB1516&amp;BU1516&amp;X1516,game_rosters!U:W,3,FALSE),"")</f>
        <v>P100111</v>
      </c>
      <c r="BU1516" t="str">
        <f t="shared" si="1338"/>
        <v>Nelson</v>
      </c>
    </row>
    <row r="1517" spans="1:73" x14ac:dyDescent="0.2">
      <c r="A1517">
        <f t="shared" si="1324"/>
        <v>1</v>
      </c>
      <c r="J1517" s="44" t="str">
        <f t="shared" si="1339"/>
        <v/>
      </c>
      <c r="K1517" t="s">
        <v>9</v>
      </c>
      <c r="L1517" t="s">
        <v>183</v>
      </c>
      <c r="M1517" t="s">
        <v>80</v>
      </c>
      <c r="S1517">
        <v>814</v>
      </c>
      <c r="W1517" t="str">
        <f t="shared" si="1315"/>
        <v>h</v>
      </c>
      <c r="X1517">
        <v>52</v>
      </c>
      <c r="Y1517" t="e">
        <f>IF(X1517&lt;&gt;"",VLOOKUP(X1517,game_rosters!$C$43:$E$64,3,FALSE))</f>
        <v>#N/A</v>
      </c>
      <c r="Z1517" t="str" cm="1">
        <f t="array" ref="Z1517">IFERROR(IF(_xlfn._xlws.FILTER(game_rosters!$J:$J,(game_rosters!$G:$G=events!$AN1517)*(game_rosters!$J:$J=events!$X1517))&gt;0,1,""),"")</f>
        <v/>
      </c>
      <c r="AA1517">
        <f t="shared" si="1363"/>
        <v>1814</v>
      </c>
      <c r="AB1517" t="str">
        <f t="shared" si="1364"/>
        <v/>
      </c>
      <c r="AC1517">
        <f t="shared" si="1312"/>
        <v>1814</v>
      </c>
      <c r="AD1517" s="6">
        <v>2</v>
      </c>
      <c r="AE1517" t="s">
        <v>942</v>
      </c>
      <c r="AF1517" t="s">
        <v>750</v>
      </c>
      <c r="AG1517" t="s">
        <v>756</v>
      </c>
      <c r="AH1517" t="s">
        <v>756</v>
      </c>
      <c r="AI1517" t="s">
        <v>368</v>
      </c>
      <c r="AJ1517" t="str">
        <f t="shared" ref="AJ1517:AK1517" si="1381">IF($J1517&lt;&gt;"",$J1517,IF($AC1517=$AC1516,AJ1516,""))</f>
        <v/>
      </c>
      <c r="AK1517" t="str">
        <f t="shared" si="1381"/>
        <v/>
      </c>
      <c r="AL1517" t="str">
        <f t="shared" si="1317"/>
        <v/>
      </c>
      <c r="AN1517" t="s">
        <v>861</v>
      </c>
      <c r="AO1517" t="str">
        <f t="shared" si="1318"/>
        <v>h</v>
      </c>
      <c r="AP1517" t="str">
        <f t="shared" si="1326"/>
        <v/>
      </c>
      <c r="AQ1517" t="str">
        <f t="shared" si="1327"/>
        <v/>
      </c>
      <c r="AR1517" t="str">
        <f t="shared" si="1328"/>
        <v>Home</v>
      </c>
      <c r="AS1517" t="str">
        <f t="shared" si="1329"/>
        <v>h</v>
      </c>
      <c r="AT1517" t="str">
        <f t="shared" si="1330"/>
        <v>Offensive</v>
      </c>
      <c r="BA1517" s="6">
        <f t="shared" si="1319"/>
        <v>349</v>
      </c>
      <c r="BB1517">
        <f t="shared" si="1320"/>
        <v>18981</v>
      </c>
      <c r="BC1517" t="str">
        <f t="shared" si="1321"/>
        <v>Nelson</v>
      </c>
      <c r="BD1517" t="str">
        <f t="shared" si="1322"/>
        <v>Velodrome</v>
      </c>
      <c r="BE1517" t="s">
        <v>9</v>
      </c>
      <c r="BF1517" t="s">
        <v>183</v>
      </c>
      <c r="BG1517" t="s">
        <v>80</v>
      </c>
      <c r="BI1517" cm="1">
        <f t="array" ref="BI1517">IFERROR(_xlfn._xlws.FILTER(shifts!A:A,(shifts!B:B=events!AD1517)*(shifts!AG:AG&gt;=events!BK1517)*(shifts!AH:AH&lt;=events!BL1517)),BI1516)</f>
        <v>65</v>
      </c>
      <c r="BJ1517" s="15">
        <f t="shared" si="1323"/>
        <v>0</v>
      </c>
      <c r="BK1517">
        <f t="shared" si="1331"/>
        <v>155</v>
      </c>
      <c r="BL1517">
        <f t="shared" si="1332"/>
        <v>155</v>
      </c>
      <c r="BM1517" s="15">
        <f>SUMIFS(BJ$2:BJ1517,K$2:K1517,"=Intermission")+SUMIFS(BJ$2:BJ1517,K$2:K1517,"=Timeout")</f>
        <v>72</v>
      </c>
      <c r="BN1517">
        <f t="shared" si="1333"/>
        <v>1152</v>
      </c>
      <c r="BO1517" s="19">
        <f t="shared" si="1334"/>
        <v>2077</v>
      </c>
      <c r="BP1517">
        <f t="shared" si="1335"/>
        <v>2072</v>
      </c>
      <c r="BQ1517" s="17">
        <f t="shared" si="1336"/>
        <v>2077</v>
      </c>
      <c r="BR1517" t="str">
        <f t="shared" si="1337"/>
        <v>opp_team_player_1</v>
      </c>
      <c r="BS1517">
        <f>COUNTIFS(S$3:S1517,"="&amp;S1517,AI$3:AI1517,"="&amp;AI1517)</f>
        <v>1</v>
      </c>
      <c r="BT1517" t="str">
        <f>IFERROR(VLOOKUP(BB1517&amp;BU1517&amp;X1517,game_rosters!U:W,3,FALSE),"")</f>
        <v>P100070</v>
      </c>
      <c r="BU1517" t="str">
        <f t="shared" si="1338"/>
        <v>Velodrome</v>
      </c>
    </row>
    <row r="1518" spans="1:73" x14ac:dyDescent="0.2">
      <c r="A1518">
        <f t="shared" si="1324"/>
        <v>1</v>
      </c>
      <c r="J1518" s="44" t="str">
        <f t="shared" si="1339"/>
        <v/>
      </c>
      <c r="K1518" t="s">
        <v>13</v>
      </c>
      <c r="L1518" t="s">
        <v>756</v>
      </c>
      <c r="M1518" t="s">
        <v>756</v>
      </c>
      <c r="S1518">
        <v>815</v>
      </c>
      <c r="W1518" t="str">
        <f t="shared" si="1315"/>
        <v>h</v>
      </c>
      <c r="X1518">
        <v>3</v>
      </c>
      <c r="Y1518" t="b">
        <f>IF(X1518&lt;&gt;"",VLOOKUP(X1518,game_rosters!$C$43:$E$64,3,FALSE))</f>
        <v>0</v>
      </c>
      <c r="Z1518" cm="1">
        <f t="array" ref="Z1518">IFERROR(IF(_xlfn._xlws.FILTER(game_rosters!$J:$J,(game_rosters!$G:$G=events!$AN1518)*(game_rosters!$J:$J=events!$X1518))&gt;0,1,""),"")</f>
        <v>1</v>
      </c>
      <c r="AA1518">
        <f t="shared" si="1363"/>
        <v>1815</v>
      </c>
      <c r="AB1518" t="str">
        <f t="shared" si="1364"/>
        <v/>
      </c>
      <c r="AC1518">
        <f t="shared" si="1312"/>
        <v>1815</v>
      </c>
      <c r="AD1518" s="6">
        <v>2</v>
      </c>
      <c r="AE1518" t="s">
        <v>942</v>
      </c>
      <c r="AF1518" t="s">
        <v>750</v>
      </c>
      <c r="AG1518" t="s">
        <v>942</v>
      </c>
      <c r="AH1518" t="s">
        <v>914</v>
      </c>
      <c r="AI1518" t="s">
        <v>367</v>
      </c>
      <c r="AJ1518" t="str">
        <f t="shared" ref="AJ1518:AK1518" si="1382">IF($J1518&lt;&gt;"",$J1518,IF($AC1518=$AC1517,AJ1517,""))</f>
        <v/>
      </c>
      <c r="AK1518" t="str">
        <f t="shared" si="1382"/>
        <v/>
      </c>
      <c r="AL1518" t="str">
        <f t="shared" si="1317"/>
        <v/>
      </c>
      <c r="AN1518" t="s">
        <v>861</v>
      </c>
      <c r="AO1518" t="str">
        <f t="shared" si="1318"/>
        <v>h</v>
      </c>
      <c r="AP1518" t="str">
        <f t="shared" si="1326"/>
        <v/>
      </c>
      <c r="AQ1518" t="str">
        <f t="shared" si="1327"/>
        <v/>
      </c>
      <c r="AR1518" t="str">
        <f t="shared" si="1328"/>
        <v>Home</v>
      </c>
      <c r="AS1518" t="str">
        <f t="shared" si="1329"/>
        <v>h</v>
      </c>
      <c r="AT1518" t="str">
        <f t="shared" si="1330"/>
        <v>Offensive</v>
      </c>
      <c r="BA1518" s="6">
        <f t="shared" si="1319"/>
        <v>349</v>
      </c>
      <c r="BB1518">
        <f t="shared" si="1320"/>
        <v>18981</v>
      </c>
      <c r="BC1518" t="str">
        <f t="shared" si="1321"/>
        <v>Nelson</v>
      </c>
      <c r="BD1518" t="str">
        <f t="shared" si="1322"/>
        <v>Velodrome</v>
      </c>
      <c r="BE1518" t="s">
        <v>13</v>
      </c>
      <c r="BF1518" t="s">
        <v>756</v>
      </c>
      <c r="BG1518" t="s">
        <v>756</v>
      </c>
      <c r="BI1518" cm="1">
        <f t="array" ref="BI1518">IFERROR(_xlfn._xlws.FILTER(shifts!A:A,(shifts!B:B=events!AD1518)*(shifts!AG:AG&gt;=events!BK1518)*(shifts!AH:AH&lt;=events!BL1518)),BI1517)</f>
        <v>65</v>
      </c>
      <c r="BJ1518" s="15">
        <f t="shared" si="1323"/>
        <v>2</v>
      </c>
      <c r="BK1518">
        <f t="shared" si="1331"/>
        <v>155</v>
      </c>
      <c r="BL1518">
        <f t="shared" si="1332"/>
        <v>153</v>
      </c>
      <c r="BM1518" s="15">
        <f>SUMIFS(BJ$2:BJ1518,K$2:K1518,"=Intermission")+SUMIFS(BJ$2:BJ1518,K$2:K1518,"=Timeout")</f>
        <v>72</v>
      </c>
      <c r="BN1518">
        <f t="shared" si="1333"/>
        <v>1152</v>
      </c>
      <c r="BO1518" s="19">
        <f t="shared" si="1334"/>
        <v>2077</v>
      </c>
      <c r="BP1518">
        <f t="shared" si="1335"/>
        <v>2072</v>
      </c>
      <c r="BQ1518" s="17">
        <f t="shared" si="1336"/>
        <v>2079</v>
      </c>
      <c r="BR1518" t="str">
        <f t="shared" si="1337"/>
        <v>event_team_player_1</v>
      </c>
      <c r="BS1518">
        <f>COUNTIFS(S$3:S1518,"="&amp;S1518,AI$3:AI1518,"="&amp;AI1518)</f>
        <v>1</v>
      </c>
      <c r="BT1518" t="str">
        <f>IFERROR(VLOOKUP(BB1518&amp;BU1518&amp;X1518,game_rosters!U:W,3,FALSE),"")</f>
        <v>P100111</v>
      </c>
      <c r="BU1518" t="str">
        <f t="shared" si="1338"/>
        <v>Nelson</v>
      </c>
    </row>
    <row r="1519" spans="1:73" x14ac:dyDescent="0.2">
      <c r="A1519">
        <f t="shared" si="1324"/>
        <v>1</v>
      </c>
      <c r="J1519" s="44" t="str">
        <f t="shared" si="1339"/>
        <v>o</v>
      </c>
      <c r="K1519" t="s">
        <v>6</v>
      </c>
      <c r="L1519" t="s">
        <v>205</v>
      </c>
      <c r="M1519" t="s">
        <v>51</v>
      </c>
      <c r="S1519">
        <v>816</v>
      </c>
      <c r="W1519" t="str">
        <f t="shared" si="1315"/>
        <v>h</v>
      </c>
      <c r="X1519">
        <v>3</v>
      </c>
      <c r="Y1519" t="b">
        <f>IF(X1519&lt;&gt;"",VLOOKUP(X1519,game_rosters!$C$43:$E$64,3,FALSE))</f>
        <v>0</v>
      </c>
      <c r="Z1519" cm="1">
        <f t="array" ref="Z1519">IFERROR(IF(_xlfn._xlws.FILTER(game_rosters!$J:$J,(game_rosters!$G:$G=events!$AN1519)*(game_rosters!$J:$J=events!$X1519))&gt;0,1,""),"")</f>
        <v>1</v>
      </c>
      <c r="AA1519">
        <f t="shared" si="1363"/>
        <v>1816</v>
      </c>
      <c r="AB1519" t="str">
        <f t="shared" si="1364"/>
        <v/>
      </c>
      <c r="AC1519">
        <f t="shared" si="1312"/>
        <v>1816</v>
      </c>
      <c r="AD1519" s="6">
        <v>2</v>
      </c>
      <c r="AE1519" t="s">
        <v>942</v>
      </c>
      <c r="AF1519" t="s">
        <v>914</v>
      </c>
      <c r="AG1519" t="s">
        <v>756</v>
      </c>
      <c r="AH1519" t="s">
        <v>756</v>
      </c>
      <c r="AI1519" t="s">
        <v>367</v>
      </c>
      <c r="AJ1519" t="str">
        <f t="shared" ref="AJ1519:AK1519" si="1383">IF($J1519&lt;&gt;"",$J1519,IF($AC1519=$AC1518,AJ1518,""))</f>
        <v>o</v>
      </c>
      <c r="AK1519" t="str">
        <f t="shared" si="1383"/>
        <v>o</v>
      </c>
      <c r="AL1519" t="str">
        <f t="shared" si="1317"/>
        <v>o</v>
      </c>
      <c r="AN1519" t="s">
        <v>861</v>
      </c>
      <c r="AO1519" t="str">
        <f t="shared" si="1318"/>
        <v>h</v>
      </c>
      <c r="AP1519" t="str">
        <f t="shared" si="1326"/>
        <v>o</v>
      </c>
      <c r="AQ1519" t="str">
        <f t="shared" si="1327"/>
        <v/>
      </c>
      <c r="AR1519" t="str">
        <f t="shared" si="1328"/>
        <v>Home</v>
      </c>
      <c r="AS1519" t="str">
        <f t="shared" si="1329"/>
        <v>h</v>
      </c>
      <c r="AT1519" t="str">
        <f t="shared" si="1330"/>
        <v>Offensive</v>
      </c>
      <c r="BA1519" s="6">
        <f t="shared" si="1319"/>
        <v>349</v>
      </c>
      <c r="BB1519">
        <f t="shared" si="1320"/>
        <v>18981</v>
      </c>
      <c r="BC1519" t="str">
        <f t="shared" si="1321"/>
        <v>Nelson</v>
      </c>
      <c r="BD1519" t="str">
        <f t="shared" si="1322"/>
        <v>Velodrome</v>
      </c>
      <c r="BE1519" t="s">
        <v>6</v>
      </c>
      <c r="BF1519" t="s">
        <v>205</v>
      </c>
      <c r="BG1519" t="s">
        <v>51</v>
      </c>
      <c r="BI1519" cm="1">
        <f t="array" ref="BI1519">IFERROR(_xlfn._xlws.FILTER(shifts!A:A,(shifts!B:B=events!AD1519)*(shifts!AG:AG&gt;=events!BK1519)*(shifts!AH:AH&lt;=events!BL1519)),BI1518)</f>
        <v>65</v>
      </c>
      <c r="BJ1519" s="15">
        <f t="shared" si="1323"/>
        <v>0</v>
      </c>
      <c r="BK1519">
        <f t="shared" si="1331"/>
        <v>153</v>
      </c>
      <c r="BL1519">
        <f t="shared" si="1332"/>
        <v>153</v>
      </c>
      <c r="BM1519" s="15">
        <f>SUMIFS(BJ$2:BJ1519,K$2:K1519,"=Intermission")+SUMIFS(BJ$2:BJ1519,K$2:K1519,"=Timeout")</f>
        <v>72</v>
      </c>
      <c r="BN1519">
        <f t="shared" si="1333"/>
        <v>1152</v>
      </c>
      <c r="BO1519" s="19">
        <f t="shared" si="1334"/>
        <v>2079</v>
      </c>
      <c r="BP1519">
        <f t="shared" si="1335"/>
        <v>2074</v>
      </c>
      <c r="BQ1519" s="17">
        <f t="shared" si="1336"/>
        <v>2079</v>
      </c>
      <c r="BR1519" t="str">
        <f t="shared" si="1337"/>
        <v>event_team_player_1</v>
      </c>
      <c r="BS1519">
        <f>COUNTIFS(S$3:S1519,"="&amp;S1519,AI$3:AI1519,"="&amp;AI1519)</f>
        <v>1</v>
      </c>
      <c r="BT1519" t="str">
        <f>IFERROR(VLOOKUP(BB1519&amp;BU1519&amp;X1519,game_rosters!U:W,3,FALSE),"")</f>
        <v>P100111</v>
      </c>
      <c r="BU1519" t="str">
        <f t="shared" si="1338"/>
        <v>Nelson</v>
      </c>
    </row>
    <row r="1520" spans="1:73" x14ac:dyDescent="0.2">
      <c r="A1520">
        <f t="shared" si="1324"/>
        <v>1</v>
      </c>
      <c r="J1520" s="44" t="str">
        <f t="shared" si="1339"/>
        <v>o</v>
      </c>
      <c r="K1520" t="s">
        <v>6</v>
      </c>
      <c r="L1520" t="s">
        <v>205</v>
      </c>
      <c r="M1520" t="s">
        <v>51</v>
      </c>
      <c r="S1520">
        <v>816</v>
      </c>
      <c r="W1520" t="str">
        <f t="shared" si="1315"/>
        <v>h</v>
      </c>
      <c r="X1520">
        <v>39</v>
      </c>
      <c r="Y1520" t="e">
        <f>IF(X1520&lt;&gt;"",VLOOKUP(X1520,game_rosters!$C$43:$E$64,3,FALSE))</f>
        <v>#N/A</v>
      </c>
      <c r="Z1520" t="str" cm="1">
        <f t="array" ref="Z1520">IFERROR(IF(_xlfn._xlws.FILTER(game_rosters!$J:$J,(game_rosters!$G:$G=events!$AN1520)*(game_rosters!$J:$J=events!$X1520))&gt;0,1,""),"")</f>
        <v/>
      </c>
      <c r="AA1520">
        <f t="shared" si="1363"/>
        <v>1816</v>
      </c>
      <c r="AB1520" t="str">
        <f t="shared" si="1364"/>
        <v/>
      </c>
      <c r="AC1520">
        <f t="shared" si="1312"/>
        <v>1816</v>
      </c>
      <c r="AD1520" s="6">
        <v>2</v>
      </c>
      <c r="AE1520" t="s">
        <v>942</v>
      </c>
      <c r="AF1520" t="s">
        <v>914</v>
      </c>
      <c r="AG1520" t="s">
        <v>756</v>
      </c>
      <c r="AH1520" t="s">
        <v>756</v>
      </c>
      <c r="AI1520" t="s">
        <v>368</v>
      </c>
      <c r="AJ1520" t="str">
        <f t="shared" ref="AJ1520:AK1520" si="1384">IF($J1520&lt;&gt;"",$J1520,IF($AC1520=$AC1519,AJ1519,""))</f>
        <v>o</v>
      </c>
      <c r="AK1520" t="str">
        <f t="shared" si="1384"/>
        <v>o</v>
      </c>
      <c r="AL1520" t="str">
        <f t="shared" si="1317"/>
        <v>o</v>
      </c>
      <c r="AN1520" t="s">
        <v>861</v>
      </c>
      <c r="AO1520" t="str">
        <f t="shared" si="1318"/>
        <v>h</v>
      </c>
      <c r="AP1520" t="str">
        <f t="shared" si="1326"/>
        <v>o</v>
      </c>
      <c r="AQ1520" t="str">
        <f t="shared" si="1327"/>
        <v/>
      </c>
      <c r="AR1520" t="str">
        <f t="shared" si="1328"/>
        <v>Home</v>
      </c>
      <c r="AS1520" t="str">
        <f t="shared" si="1329"/>
        <v>h</v>
      </c>
      <c r="AT1520" t="str">
        <f t="shared" si="1330"/>
        <v>Defensive</v>
      </c>
      <c r="BA1520" s="6">
        <f t="shared" si="1319"/>
        <v>349</v>
      </c>
      <c r="BB1520">
        <f t="shared" si="1320"/>
        <v>18981</v>
      </c>
      <c r="BC1520" t="str">
        <f t="shared" si="1321"/>
        <v>Nelson</v>
      </c>
      <c r="BD1520" t="str">
        <f t="shared" si="1322"/>
        <v>Velodrome</v>
      </c>
      <c r="BE1520" t="s">
        <v>6</v>
      </c>
      <c r="BF1520" t="s">
        <v>205</v>
      </c>
      <c r="BG1520" t="s">
        <v>51</v>
      </c>
      <c r="BI1520" cm="1">
        <f t="array" ref="BI1520">IFERROR(_xlfn._xlws.FILTER(shifts!A:A,(shifts!B:B=events!AD1520)*(shifts!AG:AG&gt;=events!BK1520)*(shifts!AH:AH&lt;=events!BL1520)),BI1519)</f>
        <v>65</v>
      </c>
      <c r="BJ1520" s="15">
        <f t="shared" si="1323"/>
        <v>0</v>
      </c>
      <c r="BK1520">
        <f t="shared" si="1331"/>
        <v>153</v>
      </c>
      <c r="BL1520">
        <f t="shared" si="1332"/>
        <v>153</v>
      </c>
      <c r="BM1520" s="15">
        <f>SUMIFS(BJ$2:BJ1520,K$2:K1520,"=Intermission")+SUMIFS(BJ$2:BJ1520,K$2:K1520,"=Timeout")</f>
        <v>72</v>
      </c>
      <c r="BN1520">
        <f t="shared" si="1333"/>
        <v>1152</v>
      </c>
      <c r="BO1520" s="19">
        <f t="shared" si="1334"/>
        <v>2079</v>
      </c>
      <c r="BP1520">
        <f t="shared" si="1335"/>
        <v>2074</v>
      </c>
      <c r="BQ1520" s="17">
        <f t="shared" si="1336"/>
        <v>2079</v>
      </c>
      <c r="BR1520" t="str">
        <f t="shared" si="1337"/>
        <v>opp_team_player_1</v>
      </c>
      <c r="BS1520">
        <f>COUNTIFS(S$3:S1520,"="&amp;S1520,AI$3:AI1520,"="&amp;AI1520)</f>
        <v>1</v>
      </c>
      <c r="BT1520" t="str">
        <f>IFERROR(VLOOKUP(BB1520&amp;BU1520&amp;X1520,game_rosters!U:W,3,FALSE),"")</f>
        <v>P100016</v>
      </c>
      <c r="BU1520" t="str">
        <f t="shared" si="1338"/>
        <v>Velodrome</v>
      </c>
    </row>
    <row r="1521" spans="1:73" x14ac:dyDescent="0.2">
      <c r="A1521">
        <f t="shared" si="1324"/>
        <v>1</v>
      </c>
      <c r="J1521" s="44" t="str">
        <f t="shared" si="1339"/>
        <v>d</v>
      </c>
      <c r="K1521" t="s">
        <v>15</v>
      </c>
      <c r="L1521" t="s">
        <v>179</v>
      </c>
      <c r="M1521" t="s">
        <v>97</v>
      </c>
      <c r="S1521">
        <v>817</v>
      </c>
      <c r="W1521" t="str">
        <f t="shared" si="1315"/>
        <v>a</v>
      </c>
      <c r="X1521">
        <v>39</v>
      </c>
      <c r="Y1521" t="e">
        <f>IF(X1521&lt;&gt;"",VLOOKUP(X1521,game_rosters!$C$43:$E$64,3,FALSE))</f>
        <v>#N/A</v>
      </c>
      <c r="Z1521" cm="1">
        <f t="array" ref="Z1521">IFERROR(IF(_xlfn._xlws.FILTER(game_rosters!$J:$J,(game_rosters!$G:$G=events!$AN1521)*(game_rosters!$J:$J=events!$X1521))&gt;0,1,""),"")</f>
        <v>1</v>
      </c>
      <c r="AA1521">
        <f t="shared" si="1363"/>
        <v>1817</v>
      </c>
      <c r="AB1521" t="str">
        <f t="shared" si="1364"/>
        <v/>
      </c>
      <c r="AC1521">
        <f t="shared" si="1312"/>
        <v>1817</v>
      </c>
      <c r="AD1521" s="6">
        <v>2</v>
      </c>
      <c r="AE1521" t="s">
        <v>942</v>
      </c>
      <c r="AF1521" t="s">
        <v>914</v>
      </c>
      <c r="AG1521" t="s">
        <v>756</v>
      </c>
      <c r="AH1521" t="s">
        <v>756</v>
      </c>
      <c r="AI1521" t="s">
        <v>367</v>
      </c>
      <c r="AJ1521" t="str">
        <f t="shared" ref="AJ1521:AK1521" si="1385">IF($J1521&lt;&gt;"",$J1521,IF($AC1521=$AC1520,AJ1520,""))</f>
        <v>d</v>
      </c>
      <c r="AK1521" t="str">
        <f t="shared" si="1385"/>
        <v>d</v>
      </c>
      <c r="AL1521" t="str">
        <f t="shared" si="1317"/>
        <v>o</v>
      </c>
      <c r="AN1521" t="s">
        <v>862</v>
      </c>
      <c r="AO1521" t="str">
        <f t="shared" si="1318"/>
        <v>a</v>
      </c>
      <c r="AP1521" t="str">
        <f t="shared" si="1326"/>
        <v>o</v>
      </c>
      <c r="AQ1521" t="str">
        <f t="shared" si="1327"/>
        <v/>
      </c>
      <c r="AR1521" t="str">
        <f t="shared" si="1328"/>
        <v>Away</v>
      </c>
      <c r="AS1521" t="str">
        <f t="shared" si="1329"/>
        <v>a</v>
      </c>
      <c r="AT1521" t="str">
        <f t="shared" si="1330"/>
        <v>Defensive</v>
      </c>
      <c r="BA1521" s="6">
        <f t="shared" si="1319"/>
        <v>349</v>
      </c>
      <c r="BB1521">
        <f t="shared" si="1320"/>
        <v>18981</v>
      </c>
      <c r="BC1521" t="str">
        <f t="shared" si="1321"/>
        <v>Nelson</v>
      </c>
      <c r="BD1521" t="str">
        <f t="shared" si="1322"/>
        <v>Velodrome</v>
      </c>
      <c r="BE1521" t="s">
        <v>15</v>
      </c>
      <c r="BF1521" t="s">
        <v>179</v>
      </c>
      <c r="BG1521" t="s">
        <v>97</v>
      </c>
      <c r="BI1521" cm="1">
        <f t="array" ref="BI1521">IFERROR(_xlfn._xlws.FILTER(shifts!A:A,(shifts!B:B=events!AD1521)*(shifts!AG:AG&gt;=events!BK1521)*(shifts!AH:AH&lt;=events!BL1521)),BI1520)</f>
        <v>65</v>
      </c>
      <c r="BJ1521" s="15">
        <f t="shared" si="1323"/>
        <v>0</v>
      </c>
      <c r="BK1521">
        <f t="shared" si="1331"/>
        <v>153</v>
      </c>
      <c r="BL1521">
        <f t="shared" si="1332"/>
        <v>153</v>
      </c>
      <c r="BM1521" s="15">
        <f>SUMIFS(BJ$2:BJ1521,K$2:K1521,"=Intermission")+SUMIFS(BJ$2:BJ1521,K$2:K1521,"=Timeout")</f>
        <v>72</v>
      </c>
      <c r="BN1521">
        <f t="shared" si="1333"/>
        <v>1152</v>
      </c>
      <c r="BO1521" s="19">
        <f t="shared" si="1334"/>
        <v>2079</v>
      </c>
      <c r="BP1521">
        <f t="shared" si="1335"/>
        <v>2074</v>
      </c>
      <c r="BQ1521" s="17">
        <f t="shared" si="1336"/>
        <v>2079</v>
      </c>
      <c r="BR1521" t="str">
        <f t="shared" si="1337"/>
        <v>event_team_player_1</v>
      </c>
      <c r="BS1521">
        <f>COUNTIFS(S$3:S1521,"="&amp;S1521,AI$3:AI1521,"="&amp;AI1521)</f>
        <v>1</v>
      </c>
      <c r="BT1521" t="str">
        <f>IFERROR(VLOOKUP(BB1521&amp;BU1521&amp;X1521,game_rosters!U:W,3,FALSE),"")</f>
        <v>P100016</v>
      </c>
      <c r="BU1521" t="str">
        <f t="shared" si="1338"/>
        <v>Velodrome</v>
      </c>
    </row>
    <row r="1522" spans="1:73" x14ac:dyDescent="0.2">
      <c r="A1522">
        <f t="shared" si="1324"/>
        <v>1</v>
      </c>
      <c r="J1522" s="44" t="str">
        <f t="shared" si="1339"/>
        <v>d</v>
      </c>
      <c r="K1522" t="s">
        <v>15</v>
      </c>
      <c r="L1522" t="s">
        <v>179</v>
      </c>
      <c r="M1522" t="s">
        <v>97</v>
      </c>
      <c r="S1522">
        <v>817</v>
      </c>
      <c r="W1522" t="str">
        <f t="shared" si="1315"/>
        <v>a</v>
      </c>
      <c r="X1522">
        <v>3</v>
      </c>
      <c r="Y1522" t="b">
        <f>IF(X1522&lt;&gt;"",VLOOKUP(X1522,game_rosters!$C$43:$E$64,3,FALSE))</f>
        <v>0</v>
      </c>
      <c r="Z1522" t="str" cm="1">
        <f t="array" ref="Z1522">IFERROR(IF(_xlfn._xlws.FILTER(game_rosters!$J:$J,(game_rosters!$G:$G=events!$AN1522)*(game_rosters!$J:$J=events!$X1522))&gt;0,1,""),"")</f>
        <v/>
      </c>
      <c r="AA1522">
        <f t="shared" si="1363"/>
        <v>1817</v>
      </c>
      <c r="AB1522" t="str">
        <f t="shared" si="1364"/>
        <v/>
      </c>
      <c r="AC1522">
        <f t="shared" si="1312"/>
        <v>1817</v>
      </c>
      <c r="AD1522" s="6">
        <v>2</v>
      </c>
      <c r="AE1522" t="s">
        <v>942</v>
      </c>
      <c r="AF1522" t="s">
        <v>914</v>
      </c>
      <c r="AG1522" t="s">
        <v>756</v>
      </c>
      <c r="AH1522" t="s">
        <v>756</v>
      </c>
      <c r="AI1522" t="s">
        <v>368</v>
      </c>
      <c r="AJ1522" t="str">
        <f t="shared" ref="AJ1522:AK1522" si="1386">IF($J1522&lt;&gt;"",$J1522,IF($AC1522=$AC1521,AJ1521,""))</f>
        <v>d</v>
      </c>
      <c r="AK1522" t="str">
        <f t="shared" si="1386"/>
        <v>d</v>
      </c>
      <c r="AL1522" t="str">
        <f t="shared" si="1317"/>
        <v>o</v>
      </c>
      <c r="AN1522" t="s">
        <v>862</v>
      </c>
      <c r="AO1522" t="str">
        <f t="shared" si="1318"/>
        <v>a</v>
      </c>
      <c r="AP1522" t="str">
        <f t="shared" si="1326"/>
        <v>o</v>
      </c>
      <c r="AQ1522" t="str">
        <f t="shared" si="1327"/>
        <v/>
      </c>
      <c r="AR1522" t="str">
        <f t="shared" si="1328"/>
        <v>Away</v>
      </c>
      <c r="AS1522" t="str">
        <f t="shared" si="1329"/>
        <v>a</v>
      </c>
      <c r="AT1522" t="str">
        <f t="shared" si="1330"/>
        <v>Offensive</v>
      </c>
      <c r="BA1522" s="6">
        <f t="shared" si="1319"/>
        <v>349</v>
      </c>
      <c r="BB1522">
        <f t="shared" si="1320"/>
        <v>18981</v>
      </c>
      <c r="BC1522" t="str">
        <f t="shared" si="1321"/>
        <v>Nelson</v>
      </c>
      <c r="BD1522" t="str">
        <f t="shared" si="1322"/>
        <v>Velodrome</v>
      </c>
      <c r="BE1522" t="s">
        <v>15</v>
      </c>
      <c r="BF1522" t="s">
        <v>179</v>
      </c>
      <c r="BG1522" t="s">
        <v>97</v>
      </c>
      <c r="BI1522" cm="1">
        <f t="array" ref="BI1522">IFERROR(_xlfn._xlws.FILTER(shifts!A:A,(shifts!B:B=events!AD1522)*(shifts!AG:AG&gt;=events!BK1522)*(shifts!AH:AH&lt;=events!BL1522)),BI1521)</f>
        <v>65</v>
      </c>
      <c r="BJ1522" s="15">
        <f t="shared" si="1323"/>
        <v>0</v>
      </c>
      <c r="BK1522">
        <f t="shared" si="1331"/>
        <v>153</v>
      </c>
      <c r="BL1522">
        <f t="shared" si="1332"/>
        <v>153</v>
      </c>
      <c r="BM1522" s="15">
        <f>SUMIFS(BJ$2:BJ1522,K$2:K1522,"=Intermission")+SUMIFS(BJ$2:BJ1522,K$2:K1522,"=Timeout")</f>
        <v>72</v>
      </c>
      <c r="BN1522">
        <f t="shared" si="1333"/>
        <v>1152</v>
      </c>
      <c r="BO1522" s="19">
        <f t="shared" si="1334"/>
        <v>2079</v>
      </c>
      <c r="BP1522">
        <f t="shared" si="1335"/>
        <v>2074</v>
      </c>
      <c r="BQ1522" s="17">
        <f t="shared" si="1336"/>
        <v>2079</v>
      </c>
      <c r="BR1522" t="str">
        <f t="shared" si="1337"/>
        <v>opp_team_player_1</v>
      </c>
      <c r="BS1522">
        <f>COUNTIFS(S$3:S1522,"="&amp;S1522,AI$3:AI1522,"="&amp;AI1522)</f>
        <v>1</v>
      </c>
      <c r="BT1522" t="str">
        <f>IFERROR(VLOOKUP(BB1522&amp;BU1522&amp;X1522,game_rosters!U:W,3,FALSE),"")</f>
        <v>P100111</v>
      </c>
      <c r="BU1522" t="str">
        <f t="shared" si="1338"/>
        <v>Nelson</v>
      </c>
    </row>
    <row r="1523" spans="1:73" x14ac:dyDescent="0.2">
      <c r="A1523">
        <f t="shared" si="1324"/>
        <v>1</v>
      </c>
      <c r="J1523" s="44" t="str">
        <f t="shared" si="1339"/>
        <v>d</v>
      </c>
      <c r="K1523" t="s">
        <v>231</v>
      </c>
      <c r="L1523" t="s">
        <v>233</v>
      </c>
      <c r="M1523" t="s">
        <v>756</v>
      </c>
      <c r="S1523">
        <v>818</v>
      </c>
      <c r="W1523" t="str">
        <f t="shared" si="1315"/>
        <v>a</v>
      </c>
      <c r="X1523">
        <v>39</v>
      </c>
      <c r="Y1523" t="e">
        <f>IF(X1523&lt;&gt;"",VLOOKUP(X1523,game_rosters!$C$43:$E$64,3,FALSE))</f>
        <v>#N/A</v>
      </c>
      <c r="Z1523" cm="1">
        <f t="array" ref="Z1523">IFERROR(IF(_xlfn._xlws.FILTER(game_rosters!$J:$J,(game_rosters!$G:$G=events!$AN1523)*(game_rosters!$J:$J=events!$X1523))&gt;0,1,""),"")</f>
        <v>1</v>
      </c>
      <c r="AA1523">
        <f t="shared" si="1363"/>
        <v>1818</v>
      </c>
      <c r="AB1523" t="str">
        <f t="shared" si="1364"/>
        <v/>
      </c>
      <c r="AC1523">
        <f t="shared" si="1312"/>
        <v>1818</v>
      </c>
      <c r="AD1523" s="6">
        <v>2</v>
      </c>
      <c r="AE1523" t="s">
        <v>942</v>
      </c>
      <c r="AF1523" t="s">
        <v>914</v>
      </c>
      <c r="AG1523" t="s">
        <v>756</v>
      </c>
      <c r="AH1523" t="s">
        <v>756</v>
      </c>
      <c r="AI1523" t="s">
        <v>367</v>
      </c>
      <c r="AJ1523" t="str">
        <f t="shared" ref="AJ1523:AK1523" si="1387">IF($J1523&lt;&gt;"",$J1523,IF($AC1523=$AC1522,AJ1522,""))</f>
        <v>d</v>
      </c>
      <c r="AK1523" t="str">
        <f t="shared" si="1387"/>
        <v>d</v>
      </c>
      <c r="AL1523" t="str">
        <f t="shared" si="1317"/>
        <v>o</v>
      </c>
      <c r="AN1523" t="s">
        <v>862</v>
      </c>
      <c r="AO1523" t="str">
        <f t="shared" si="1318"/>
        <v>a</v>
      </c>
      <c r="AP1523" t="str">
        <f t="shared" si="1326"/>
        <v>o</v>
      </c>
      <c r="AQ1523" t="str">
        <f t="shared" si="1327"/>
        <v/>
      </c>
      <c r="AR1523" t="str">
        <f t="shared" si="1328"/>
        <v>Away</v>
      </c>
      <c r="AS1523" t="str">
        <f t="shared" si="1329"/>
        <v>a</v>
      </c>
      <c r="AT1523" t="str">
        <f t="shared" si="1330"/>
        <v>Offensive</v>
      </c>
      <c r="BA1523" s="6">
        <f t="shared" si="1319"/>
        <v>349</v>
      </c>
      <c r="BB1523">
        <f t="shared" si="1320"/>
        <v>18981</v>
      </c>
      <c r="BC1523" t="str">
        <f t="shared" si="1321"/>
        <v>Nelson</v>
      </c>
      <c r="BD1523" t="str">
        <f t="shared" si="1322"/>
        <v>Velodrome</v>
      </c>
      <c r="BE1523" t="s">
        <v>231</v>
      </c>
      <c r="BF1523" t="s">
        <v>233</v>
      </c>
      <c r="BG1523" t="s">
        <v>756</v>
      </c>
      <c r="BI1523" cm="1">
        <f t="array" ref="BI1523">IFERROR(_xlfn._xlws.FILTER(shifts!A:A,(shifts!B:B=events!AD1523)*(shifts!AG:AG&gt;=events!BK1523)*(shifts!AH:AH&lt;=events!BL1523)),BI1522)</f>
        <v>65</v>
      </c>
      <c r="BJ1523" s="15">
        <f t="shared" si="1323"/>
        <v>0</v>
      </c>
      <c r="BK1523">
        <f t="shared" si="1331"/>
        <v>153</v>
      </c>
      <c r="BL1523">
        <f t="shared" si="1332"/>
        <v>153</v>
      </c>
      <c r="BM1523" s="15">
        <f>SUMIFS(BJ$2:BJ1523,K$2:K1523,"=Intermission")+SUMIFS(BJ$2:BJ1523,K$2:K1523,"=Timeout")</f>
        <v>72</v>
      </c>
      <c r="BN1523">
        <f t="shared" si="1333"/>
        <v>1152</v>
      </c>
      <c r="BO1523" s="19">
        <f t="shared" si="1334"/>
        <v>2079</v>
      </c>
      <c r="BP1523">
        <f t="shared" si="1335"/>
        <v>2074</v>
      </c>
      <c r="BQ1523" s="17">
        <f t="shared" si="1336"/>
        <v>2079</v>
      </c>
      <c r="BR1523" t="str">
        <f t="shared" si="1337"/>
        <v>event_team_player_1</v>
      </c>
      <c r="BS1523">
        <f>COUNTIFS(S$3:S1523,"="&amp;S1523,AI$3:AI1523,"="&amp;AI1523)</f>
        <v>1</v>
      </c>
      <c r="BT1523" t="str">
        <f>IFERROR(VLOOKUP(BB1523&amp;BU1523&amp;X1523,game_rosters!U:W,3,FALSE),"")</f>
        <v>P100016</v>
      </c>
      <c r="BU1523" t="str">
        <f t="shared" si="1338"/>
        <v>Velodrome</v>
      </c>
    </row>
    <row r="1524" spans="1:73" x14ac:dyDescent="0.2">
      <c r="A1524">
        <f t="shared" si="1324"/>
        <v>1</v>
      </c>
      <c r="J1524" s="44" t="str">
        <f t="shared" si="1339"/>
        <v/>
      </c>
      <c r="K1524" t="s">
        <v>7</v>
      </c>
      <c r="L1524" t="s">
        <v>192</v>
      </c>
      <c r="M1524" t="s">
        <v>68</v>
      </c>
      <c r="S1524">
        <v>819</v>
      </c>
      <c r="W1524" t="str">
        <f t="shared" si="1315"/>
        <v>h</v>
      </c>
      <c r="X1524">
        <v>10</v>
      </c>
      <c r="Y1524" t="b">
        <f>IF(X1524&lt;&gt;"",VLOOKUP(X1524,game_rosters!$C$43:$E$64,3,FALSE))</f>
        <v>0</v>
      </c>
      <c r="Z1524" cm="1">
        <f t="array" ref="Z1524">IFERROR(IF(_xlfn._xlws.FILTER(game_rosters!$J:$J,(game_rosters!$G:$G=events!$AN1524)*(game_rosters!$J:$J=events!$X1524))&gt;0,1,""),"")</f>
        <v>1</v>
      </c>
      <c r="AA1524">
        <f t="shared" si="1363"/>
        <v>1819</v>
      </c>
      <c r="AB1524" t="str">
        <f t="shared" si="1364"/>
        <v/>
      </c>
      <c r="AC1524">
        <f t="shared" si="1312"/>
        <v>1819</v>
      </c>
      <c r="AD1524" s="6">
        <v>2</v>
      </c>
      <c r="AE1524" t="s">
        <v>942</v>
      </c>
      <c r="AF1524" t="s">
        <v>930</v>
      </c>
      <c r="AG1524" t="s">
        <v>756</v>
      </c>
      <c r="AH1524" t="s">
        <v>756</v>
      </c>
      <c r="AI1524" t="s">
        <v>367</v>
      </c>
      <c r="AJ1524" t="str">
        <f t="shared" ref="AJ1524:AK1524" si="1388">IF($J1524&lt;&gt;"",$J1524,IF($AC1524=$AC1523,AJ1523,""))</f>
        <v/>
      </c>
      <c r="AK1524" t="str">
        <f t="shared" si="1388"/>
        <v/>
      </c>
      <c r="AL1524" t="str">
        <f t="shared" si="1317"/>
        <v/>
      </c>
      <c r="AN1524" t="s">
        <v>861</v>
      </c>
      <c r="AO1524" t="str">
        <f t="shared" si="1318"/>
        <v>h</v>
      </c>
      <c r="AP1524" t="str">
        <f t="shared" si="1326"/>
        <v/>
      </c>
      <c r="AQ1524" t="str">
        <f t="shared" si="1327"/>
        <v/>
      </c>
      <c r="AR1524" t="str">
        <f t="shared" si="1328"/>
        <v>Home</v>
      </c>
      <c r="AS1524" t="str">
        <f t="shared" si="1329"/>
        <v>h</v>
      </c>
      <c r="AT1524" t="str">
        <f t="shared" si="1330"/>
        <v>Offensive</v>
      </c>
      <c r="BA1524" s="6">
        <f t="shared" si="1319"/>
        <v>349</v>
      </c>
      <c r="BB1524">
        <f t="shared" si="1320"/>
        <v>18981</v>
      </c>
      <c r="BC1524" t="str">
        <f t="shared" si="1321"/>
        <v>Nelson</v>
      </c>
      <c r="BD1524" t="str">
        <f t="shared" si="1322"/>
        <v>Velodrome</v>
      </c>
      <c r="BE1524" t="s">
        <v>7</v>
      </c>
      <c r="BF1524" t="s">
        <v>192</v>
      </c>
      <c r="BG1524" t="s">
        <v>68</v>
      </c>
      <c r="BI1524" cm="1">
        <f t="array" ref="BI1524">IFERROR(_xlfn._xlws.FILTER(shifts!A:A,(shifts!B:B=events!AD1524)*(shifts!AG:AG&gt;=events!BK1524)*(shifts!AH:AH&lt;=events!BL1524)),BI1523)</f>
        <v>65</v>
      </c>
      <c r="BJ1524" s="15">
        <f t="shared" si="1323"/>
        <v>0</v>
      </c>
      <c r="BK1524">
        <f t="shared" si="1331"/>
        <v>148</v>
      </c>
      <c r="BL1524">
        <f t="shared" si="1332"/>
        <v>148</v>
      </c>
      <c r="BM1524" s="15">
        <f>SUMIFS(BJ$2:BJ1524,K$2:K1524,"=Intermission")+SUMIFS(BJ$2:BJ1524,K$2:K1524,"=Timeout")</f>
        <v>72</v>
      </c>
      <c r="BN1524">
        <f t="shared" si="1333"/>
        <v>1152</v>
      </c>
      <c r="BO1524" s="19">
        <f t="shared" si="1334"/>
        <v>2084</v>
      </c>
      <c r="BP1524">
        <f t="shared" si="1335"/>
        <v>2079</v>
      </c>
      <c r="BQ1524" s="17">
        <f t="shared" si="1336"/>
        <v>2084</v>
      </c>
      <c r="BR1524" t="str">
        <f t="shared" si="1337"/>
        <v>event_team_player_1</v>
      </c>
      <c r="BS1524">
        <f>COUNTIFS(S$3:S1524,"="&amp;S1524,AI$3:AI1524,"="&amp;AI1524)</f>
        <v>1</v>
      </c>
      <c r="BT1524" t="str">
        <f>IFERROR(VLOOKUP(BB1524&amp;BU1524&amp;X1524,game_rosters!U:W,3,FALSE),"")</f>
        <v>P100078</v>
      </c>
      <c r="BU1524" t="str">
        <f t="shared" si="1338"/>
        <v>Nelson</v>
      </c>
    </row>
    <row r="1525" spans="1:73" x14ac:dyDescent="0.2">
      <c r="A1525">
        <f t="shared" si="1324"/>
        <v>1</v>
      </c>
      <c r="J1525" s="44" t="str">
        <f t="shared" si="1339"/>
        <v/>
      </c>
      <c r="K1525" t="s">
        <v>7</v>
      </c>
      <c r="L1525" t="s">
        <v>192</v>
      </c>
      <c r="M1525" t="s">
        <v>68</v>
      </c>
      <c r="S1525">
        <v>819</v>
      </c>
      <c r="W1525" t="str">
        <f t="shared" si="1315"/>
        <v>h</v>
      </c>
      <c r="X1525">
        <v>42</v>
      </c>
      <c r="Y1525" t="e">
        <f>IF(X1525&lt;&gt;"",VLOOKUP(X1525,game_rosters!$C$43:$E$64,3,FALSE))</f>
        <v>#N/A</v>
      </c>
      <c r="Z1525" t="str" cm="1">
        <f t="array" ref="Z1525">IFERROR(IF(_xlfn._xlws.FILTER(game_rosters!$J:$J,(game_rosters!$G:$G=events!$AN1525)*(game_rosters!$J:$J=events!$X1525))&gt;0,1,""),"")</f>
        <v/>
      </c>
      <c r="AA1525">
        <f t="shared" si="1363"/>
        <v>1819</v>
      </c>
      <c r="AB1525" t="str">
        <f t="shared" si="1364"/>
        <v/>
      </c>
      <c r="AC1525">
        <f t="shared" si="1312"/>
        <v>1819</v>
      </c>
      <c r="AD1525" s="6">
        <v>2</v>
      </c>
      <c r="AE1525" t="s">
        <v>942</v>
      </c>
      <c r="AF1525" t="s">
        <v>930</v>
      </c>
      <c r="AG1525" t="s">
        <v>756</v>
      </c>
      <c r="AH1525" t="s">
        <v>756</v>
      </c>
      <c r="AI1525" t="s">
        <v>368</v>
      </c>
      <c r="AJ1525" t="str">
        <f t="shared" ref="AJ1525:AK1525" si="1389">IF($J1525&lt;&gt;"",$J1525,IF($AC1525=$AC1524,AJ1524,""))</f>
        <v/>
      </c>
      <c r="AK1525" t="str">
        <f t="shared" si="1389"/>
        <v/>
      </c>
      <c r="AL1525" t="str">
        <f t="shared" si="1317"/>
        <v/>
      </c>
      <c r="AN1525" t="s">
        <v>861</v>
      </c>
      <c r="AO1525" t="str">
        <f t="shared" si="1318"/>
        <v>h</v>
      </c>
      <c r="AP1525" t="str">
        <f t="shared" si="1326"/>
        <v/>
      </c>
      <c r="AQ1525" t="str">
        <f t="shared" si="1327"/>
        <v/>
      </c>
      <c r="AR1525" t="str">
        <f t="shared" si="1328"/>
        <v>Home</v>
      </c>
      <c r="AS1525" t="str">
        <f t="shared" si="1329"/>
        <v>h</v>
      </c>
      <c r="AT1525" t="str">
        <f t="shared" si="1330"/>
        <v>Defensive</v>
      </c>
      <c r="BA1525" s="6">
        <f t="shared" si="1319"/>
        <v>349</v>
      </c>
      <c r="BB1525">
        <f t="shared" si="1320"/>
        <v>18981</v>
      </c>
      <c r="BC1525" t="str">
        <f t="shared" si="1321"/>
        <v>Nelson</v>
      </c>
      <c r="BD1525" t="str">
        <f t="shared" si="1322"/>
        <v>Velodrome</v>
      </c>
      <c r="BE1525" t="s">
        <v>7</v>
      </c>
      <c r="BF1525" t="s">
        <v>192</v>
      </c>
      <c r="BG1525" t="s">
        <v>68</v>
      </c>
      <c r="BI1525" cm="1">
        <f t="array" ref="BI1525">IFERROR(_xlfn._xlws.FILTER(shifts!A:A,(shifts!B:B=events!AD1525)*(shifts!AG:AG&gt;=events!BK1525)*(shifts!AH:AH&lt;=events!BL1525)),BI1524)</f>
        <v>65</v>
      </c>
      <c r="BJ1525" s="15">
        <f t="shared" si="1323"/>
        <v>0</v>
      </c>
      <c r="BK1525">
        <f t="shared" si="1331"/>
        <v>148</v>
      </c>
      <c r="BL1525">
        <f t="shared" si="1332"/>
        <v>148</v>
      </c>
      <c r="BM1525" s="15">
        <f>SUMIFS(BJ$2:BJ1525,K$2:K1525,"=Intermission")+SUMIFS(BJ$2:BJ1525,K$2:K1525,"=Timeout")</f>
        <v>72</v>
      </c>
      <c r="BN1525">
        <f t="shared" si="1333"/>
        <v>1152</v>
      </c>
      <c r="BO1525" s="19">
        <f t="shared" si="1334"/>
        <v>2084</v>
      </c>
      <c r="BP1525">
        <f t="shared" si="1335"/>
        <v>2079</v>
      </c>
      <c r="BQ1525" s="17">
        <f t="shared" si="1336"/>
        <v>2084</v>
      </c>
      <c r="BR1525" t="str">
        <f t="shared" si="1337"/>
        <v>opp_team_player_1</v>
      </c>
      <c r="BS1525">
        <f>COUNTIFS(S$3:S1525,"="&amp;S1525,AI$3:AI1525,"="&amp;AI1525)</f>
        <v>1</v>
      </c>
      <c r="BT1525" t="str">
        <f>IFERROR(VLOOKUP(BB1525&amp;BU1525&amp;X1525,game_rosters!U:W,3,FALSE),"")</f>
        <v>P100201</v>
      </c>
      <c r="BU1525" t="str">
        <f t="shared" si="1338"/>
        <v>Velodrome</v>
      </c>
    </row>
    <row r="1526" spans="1:73" x14ac:dyDescent="0.2">
      <c r="A1526">
        <f t="shared" si="1324"/>
        <v>1</v>
      </c>
      <c r="J1526" s="44" t="str">
        <f t="shared" si="1339"/>
        <v/>
      </c>
      <c r="K1526" t="s">
        <v>13</v>
      </c>
      <c r="L1526" t="s">
        <v>756</v>
      </c>
      <c r="M1526" t="s">
        <v>756</v>
      </c>
      <c r="S1526">
        <v>820</v>
      </c>
      <c r="W1526" t="str">
        <f t="shared" si="1315"/>
        <v>h</v>
      </c>
      <c r="X1526">
        <v>44</v>
      </c>
      <c r="Y1526" t="b">
        <f>IF(X1526&lt;&gt;"",VLOOKUP(X1526,game_rosters!$C$43:$E$64,3,FALSE))</f>
        <v>0</v>
      </c>
      <c r="Z1526" cm="1">
        <f t="array" ref="Z1526">IFERROR(IF(_xlfn._xlws.FILTER(game_rosters!$J:$J,(game_rosters!$G:$G=events!$AN1526)*(game_rosters!$J:$J=events!$X1526))&gt;0,1,""),"")</f>
        <v>1</v>
      </c>
      <c r="AA1526">
        <f t="shared" si="1363"/>
        <v>1820</v>
      </c>
      <c r="AB1526" t="str">
        <f t="shared" si="1364"/>
        <v/>
      </c>
      <c r="AC1526">
        <f t="shared" si="1312"/>
        <v>1820</v>
      </c>
      <c r="AD1526" s="6">
        <v>2</v>
      </c>
      <c r="AE1526" t="s">
        <v>942</v>
      </c>
      <c r="AF1526" t="s">
        <v>739</v>
      </c>
      <c r="AG1526" t="s">
        <v>942</v>
      </c>
      <c r="AH1526" t="s">
        <v>918</v>
      </c>
      <c r="AI1526" t="s">
        <v>367</v>
      </c>
      <c r="AJ1526" t="str">
        <f t="shared" ref="AJ1526:AK1526" si="1390">IF($J1526&lt;&gt;"",$J1526,IF($AC1526=$AC1525,AJ1525,""))</f>
        <v/>
      </c>
      <c r="AK1526" t="str">
        <f t="shared" si="1390"/>
        <v/>
      </c>
      <c r="AL1526" t="str">
        <f t="shared" si="1317"/>
        <v/>
      </c>
      <c r="AN1526" t="s">
        <v>861</v>
      </c>
      <c r="AO1526" t="str">
        <f t="shared" si="1318"/>
        <v>h</v>
      </c>
      <c r="AP1526" t="str">
        <f t="shared" si="1326"/>
        <v/>
      </c>
      <c r="AQ1526" t="str">
        <f t="shared" si="1327"/>
        <v/>
      </c>
      <c r="AR1526" t="str">
        <f t="shared" si="1328"/>
        <v>Home</v>
      </c>
      <c r="AS1526" t="str">
        <f t="shared" si="1329"/>
        <v>h</v>
      </c>
      <c r="AT1526" t="str">
        <f t="shared" si="1330"/>
        <v>Offensive</v>
      </c>
      <c r="BA1526" s="6">
        <f t="shared" si="1319"/>
        <v>349</v>
      </c>
      <c r="BB1526">
        <f t="shared" si="1320"/>
        <v>18981</v>
      </c>
      <c r="BC1526" t="str">
        <f t="shared" si="1321"/>
        <v>Nelson</v>
      </c>
      <c r="BD1526" t="str">
        <f t="shared" si="1322"/>
        <v>Velodrome</v>
      </c>
      <c r="BE1526" t="s">
        <v>13</v>
      </c>
      <c r="BF1526" t="s">
        <v>756</v>
      </c>
      <c r="BG1526" t="s">
        <v>756</v>
      </c>
      <c r="BI1526" cm="1">
        <f t="array" ref="BI1526">IFERROR(_xlfn._xlws.FILTER(shifts!A:A,(shifts!B:B=events!AD1526)*(shifts!AG:AG&gt;=events!BK1526)*(shifts!AH:AH&lt;=events!BL1526)),BI1525)</f>
        <v>65</v>
      </c>
      <c r="BJ1526" s="15">
        <f t="shared" si="1323"/>
        <v>4</v>
      </c>
      <c r="BK1526">
        <f t="shared" si="1331"/>
        <v>146</v>
      </c>
      <c r="BL1526">
        <f t="shared" si="1332"/>
        <v>142</v>
      </c>
      <c r="BM1526" s="15">
        <f>SUMIFS(BJ$2:BJ1526,K$2:K1526,"=Intermission")+SUMIFS(BJ$2:BJ1526,K$2:K1526,"=Timeout")</f>
        <v>72</v>
      </c>
      <c r="BN1526">
        <f t="shared" si="1333"/>
        <v>1152</v>
      </c>
      <c r="BO1526" s="19">
        <f t="shared" si="1334"/>
        <v>2086</v>
      </c>
      <c r="BP1526">
        <f t="shared" si="1335"/>
        <v>2081</v>
      </c>
      <c r="BQ1526" s="17">
        <f t="shared" si="1336"/>
        <v>2090</v>
      </c>
      <c r="BR1526" t="str">
        <f t="shared" si="1337"/>
        <v>event_team_player_1</v>
      </c>
      <c r="BS1526">
        <f>COUNTIFS(S$3:S1526,"="&amp;S1526,AI$3:AI1526,"="&amp;AI1526)</f>
        <v>1</v>
      </c>
      <c r="BT1526" t="str">
        <f>IFERROR(VLOOKUP(BB1526&amp;BU1526&amp;X1526,game_rosters!U:W,3,FALSE),"")</f>
        <v>P100079</v>
      </c>
      <c r="BU1526" t="str">
        <f t="shared" si="1338"/>
        <v>Nelson</v>
      </c>
    </row>
    <row r="1527" spans="1:73" x14ac:dyDescent="0.2">
      <c r="A1527">
        <f t="shared" si="1324"/>
        <v>1</v>
      </c>
      <c r="J1527" s="44" t="str">
        <f t="shared" si="1339"/>
        <v/>
      </c>
      <c r="K1527" t="s">
        <v>13</v>
      </c>
      <c r="L1527" t="s">
        <v>756</v>
      </c>
      <c r="M1527" t="s">
        <v>756</v>
      </c>
      <c r="S1527">
        <v>820</v>
      </c>
      <c r="W1527" t="str">
        <f t="shared" si="1315"/>
        <v>h</v>
      </c>
      <c r="X1527">
        <v>22</v>
      </c>
      <c r="Y1527" t="e">
        <f>IF(X1527&lt;&gt;"",VLOOKUP(X1527,game_rosters!$C$43:$E$64,3,FALSE))</f>
        <v>#N/A</v>
      </c>
      <c r="Z1527" t="str" cm="1">
        <f t="array" ref="Z1527">IFERROR(IF(_xlfn._xlws.FILTER(game_rosters!$J:$J,(game_rosters!$G:$G=events!$AN1527)*(game_rosters!$J:$J=events!$X1527))&gt;0,1,""),"")</f>
        <v/>
      </c>
      <c r="AA1527">
        <f t="shared" si="1363"/>
        <v>1820</v>
      </c>
      <c r="AB1527" t="str">
        <f t="shared" si="1364"/>
        <v/>
      </c>
      <c r="AC1527">
        <f t="shared" si="1312"/>
        <v>1820</v>
      </c>
      <c r="AD1527" s="6">
        <v>2</v>
      </c>
      <c r="AE1527" t="s">
        <v>942</v>
      </c>
      <c r="AF1527" t="s">
        <v>739</v>
      </c>
      <c r="AG1527" t="s">
        <v>942</v>
      </c>
      <c r="AH1527" t="s">
        <v>918</v>
      </c>
      <c r="AI1527" t="s">
        <v>368</v>
      </c>
      <c r="AJ1527" t="str">
        <f t="shared" ref="AJ1527:AK1527" si="1391">IF($J1527&lt;&gt;"",$J1527,IF($AC1527=$AC1526,AJ1526,""))</f>
        <v/>
      </c>
      <c r="AK1527" t="str">
        <f t="shared" si="1391"/>
        <v/>
      </c>
      <c r="AL1527" t="str">
        <f t="shared" si="1317"/>
        <v/>
      </c>
      <c r="AN1527" t="s">
        <v>861</v>
      </c>
      <c r="AO1527" t="str">
        <f t="shared" si="1318"/>
        <v>h</v>
      </c>
      <c r="AP1527" t="str">
        <f t="shared" si="1326"/>
        <v/>
      </c>
      <c r="AQ1527" t="str">
        <f t="shared" si="1327"/>
        <v/>
      </c>
      <c r="AR1527" t="str">
        <f t="shared" si="1328"/>
        <v>Home</v>
      </c>
      <c r="AS1527" t="str">
        <f t="shared" si="1329"/>
        <v>h</v>
      </c>
      <c r="AT1527" t="str">
        <f t="shared" si="1330"/>
        <v>Defensive</v>
      </c>
      <c r="BA1527" s="6">
        <f t="shared" si="1319"/>
        <v>349</v>
      </c>
      <c r="BB1527">
        <f t="shared" si="1320"/>
        <v>18981</v>
      </c>
      <c r="BC1527" t="str">
        <f t="shared" si="1321"/>
        <v>Nelson</v>
      </c>
      <c r="BD1527" t="str">
        <f t="shared" si="1322"/>
        <v>Velodrome</v>
      </c>
      <c r="BE1527" t="s">
        <v>13</v>
      </c>
      <c r="BF1527" t="s">
        <v>756</v>
      </c>
      <c r="BG1527" t="s">
        <v>756</v>
      </c>
      <c r="BI1527" cm="1">
        <f t="array" ref="BI1527">IFERROR(_xlfn._xlws.FILTER(shifts!A:A,(shifts!B:B=events!AD1527)*(shifts!AG:AG&gt;=events!BK1527)*(shifts!AH:AH&lt;=events!BL1527)),BI1526)</f>
        <v>65</v>
      </c>
      <c r="BJ1527" s="15">
        <f t="shared" si="1323"/>
        <v>4</v>
      </c>
      <c r="BK1527">
        <f t="shared" si="1331"/>
        <v>146</v>
      </c>
      <c r="BL1527">
        <f t="shared" si="1332"/>
        <v>142</v>
      </c>
      <c r="BM1527" s="15">
        <f>SUMIFS(BJ$2:BJ1527,K$2:K1527,"=Intermission")+SUMIFS(BJ$2:BJ1527,K$2:K1527,"=Timeout")</f>
        <v>72</v>
      </c>
      <c r="BN1527">
        <f t="shared" si="1333"/>
        <v>1152</v>
      </c>
      <c r="BO1527" s="19">
        <f t="shared" si="1334"/>
        <v>2086</v>
      </c>
      <c r="BP1527">
        <f t="shared" si="1335"/>
        <v>2081</v>
      </c>
      <c r="BQ1527" s="17">
        <f t="shared" si="1336"/>
        <v>2090</v>
      </c>
      <c r="BR1527" t="str">
        <f t="shared" si="1337"/>
        <v>opp_team_player_1</v>
      </c>
      <c r="BS1527">
        <f>COUNTIFS(S$3:S1527,"="&amp;S1527,AI$3:AI1527,"="&amp;AI1527)</f>
        <v>1</v>
      </c>
      <c r="BT1527" t="str">
        <f>IFERROR(VLOOKUP(BB1527&amp;BU1527&amp;X1527,game_rosters!U:W,3,FALSE),"")</f>
        <v>P100108</v>
      </c>
      <c r="BU1527" t="str">
        <f t="shared" si="1338"/>
        <v>Velodrome</v>
      </c>
    </row>
    <row r="1528" spans="1:73" x14ac:dyDescent="0.2">
      <c r="A1528">
        <f t="shared" si="1324"/>
        <v>1</v>
      </c>
      <c r="J1528" s="44" t="str">
        <f t="shared" si="1339"/>
        <v/>
      </c>
      <c r="K1528" t="s">
        <v>9</v>
      </c>
      <c r="L1528" t="s">
        <v>183</v>
      </c>
      <c r="M1528" t="s">
        <v>79</v>
      </c>
      <c r="S1528">
        <v>821</v>
      </c>
      <c r="W1528" t="str">
        <f t="shared" si="1315"/>
        <v>a</v>
      </c>
      <c r="X1528">
        <v>22</v>
      </c>
      <c r="Y1528" t="e">
        <f>IF(X1528&lt;&gt;"",VLOOKUP(X1528,game_rosters!$C$43:$E$64,3,FALSE))</f>
        <v>#N/A</v>
      </c>
      <c r="Z1528" cm="1">
        <f t="array" ref="Z1528">IFERROR(IF(_xlfn._xlws.FILTER(game_rosters!$J:$J,(game_rosters!$G:$G=events!$AN1528)*(game_rosters!$J:$J=events!$X1528))&gt;0,1,""),"")</f>
        <v>1</v>
      </c>
      <c r="AA1528">
        <f t="shared" si="1363"/>
        <v>1821</v>
      </c>
      <c r="AB1528" t="str">
        <f t="shared" si="1364"/>
        <v/>
      </c>
      <c r="AC1528">
        <f t="shared" si="1312"/>
        <v>1821</v>
      </c>
      <c r="AD1528" s="6">
        <v>2</v>
      </c>
      <c r="AE1528" t="s">
        <v>942</v>
      </c>
      <c r="AF1528" t="s">
        <v>918</v>
      </c>
      <c r="AG1528" t="s">
        <v>756</v>
      </c>
      <c r="AH1528" t="s">
        <v>756</v>
      </c>
      <c r="AI1528" t="s">
        <v>367</v>
      </c>
      <c r="AJ1528" t="str">
        <f t="shared" ref="AJ1528:AK1528" si="1392">IF($J1528&lt;&gt;"",$J1528,IF($AC1528=$AC1527,AJ1527,""))</f>
        <v/>
      </c>
      <c r="AK1528" t="str">
        <f t="shared" si="1392"/>
        <v/>
      </c>
      <c r="AL1528" t="str">
        <f t="shared" si="1317"/>
        <v/>
      </c>
      <c r="AN1528" t="s">
        <v>862</v>
      </c>
      <c r="AO1528" t="str">
        <f t="shared" si="1318"/>
        <v>a</v>
      </c>
      <c r="AP1528" t="str">
        <f t="shared" si="1326"/>
        <v/>
      </c>
      <c r="AQ1528" t="str">
        <f t="shared" si="1327"/>
        <v/>
      </c>
      <c r="AR1528" t="str">
        <f t="shared" si="1328"/>
        <v>Away</v>
      </c>
      <c r="AS1528" t="str">
        <f t="shared" si="1329"/>
        <v>a</v>
      </c>
      <c r="AT1528" t="str">
        <f t="shared" si="1330"/>
        <v>Defensive</v>
      </c>
      <c r="BA1528" s="6">
        <f t="shared" si="1319"/>
        <v>349</v>
      </c>
      <c r="BB1528">
        <f t="shared" si="1320"/>
        <v>18981</v>
      </c>
      <c r="BC1528" t="str">
        <f t="shared" si="1321"/>
        <v>Nelson</v>
      </c>
      <c r="BD1528" t="str">
        <f t="shared" si="1322"/>
        <v>Velodrome</v>
      </c>
      <c r="BE1528" t="s">
        <v>9</v>
      </c>
      <c r="BF1528" t="s">
        <v>183</v>
      </c>
      <c r="BG1528" t="s">
        <v>79</v>
      </c>
      <c r="BI1528" cm="1">
        <f t="array" ref="BI1528">IFERROR(_xlfn._xlws.FILTER(shifts!A:A,(shifts!B:B=events!AD1528)*(shifts!AG:AG&gt;=events!BK1528)*(shifts!AH:AH&lt;=events!BL1528)),BI1527)</f>
        <v>65</v>
      </c>
      <c r="BJ1528" s="15">
        <f t="shared" si="1323"/>
        <v>0</v>
      </c>
      <c r="BK1528">
        <f t="shared" si="1331"/>
        <v>142</v>
      </c>
      <c r="BL1528">
        <f t="shared" si="1332"/>
        <v>142</v>
      </c>
      <c r="BM1528" s="15">
        <f>SUMIFS(BJ$2:BJ1528,K$2:K1528,"=Intermission")+SUMIFS(BJ$2:BJ1528,K$2:K1528,"=Timeout")</f>
        <v>72</v>
      </c>
      <c r="BN1528">
        <f t="shared" si="1333"/>
        <v>1152</v>
      </c>
      <c r="BO1528" s="19">
        <f t="shared" si="1334"/>
        <v>2090</v>
      </c>
      <c r="BP1528">
        <f t="shared" si="1335"/>
        <v>2085</v>
      </c>
      <c r="BQ1528" s="17">
        <f t="shared" si="1336"/>
        <v>2090</v>
      </c>
      <c r="BR1528" t="str">
        <f t="shared" si="1337"/>
        <v>event_team_player_1</v>
      </c>
      <c r="BS1528">
        <f>COUNTIFS(S$3:S1528,"="&amp;S1528,AI$3:AI1528,"="&amp;AI1528)</f>
        <v>1</v>
      </c>
      <c r="BT1528" t="str">
        <f>IFERROR(VLOOKUP(BB1528&amp;BU1528&amp;X1528,game_rosters!U:W,3,FALSE),"")</f>
        <v>P100108</v>
      </c>
      <c r="BU1528" t="str">
        <f t="shared" si="1338"/>
        <v>Velodrome</v>
      </c>
    </row>
    <row r="1529" spans="1:73" x14ac:dyDescent="0.2">
      <c r="A1529">
        <f t="shared" si="1324"/>
        <v>1</v>
      </c>
      <c r="J1529" s="44" t="str">
        <f t="shared" si="1339"/>
        <v/>
      </c>
      <c r="K1529" t="s">
        <v>9</v>
      </c>
      <c r="L1529" t="s">
        <v>183</v>
      </c>
      <c r="M1529" t="s">
        <v>79</v>
      </c>
      <c r="S1529">
        <v>821</v>
      </c>
      <c r="W1529" t="str">
        <f t="shared" si="1315"/>
        <v>a</v>
      </c>
      <c r="X1529">
        <v>44</v>
      </c>
      <c r="Y1529" t="b">
        <f>IF(X1529&lt;&gt;"",VLOOKUP(X1529,game_rosters!$C$43:$E$64,3,FALSE))</f>
        <v>0</v>
      </c>
      <c r="Z1529" t="str" cm="1">
        <f t="array" ref="Z1529">IFERROR(IF(_xlfn._xlws.FILTER(game_rosters!$J:$J,(game_rosters!$G:$G=events!$AN1529)*(game_rosters!$J:$J=events!$X1529))&gt;0,1,""),"")</f>
        <v/>
      </c>
      <c r="AA1529">
        <f t="shared" si="1363"/>
        <v>1821</v>
      </c>
      <c r="AB1529" t="str">
        <f t="shared" si="1364"/>
        <v/>
      </c>
      <c r="AC1529">
        <f t="shared" si="1312"/>
        <v>1821</v>
      </c>
      <c r="AD1529" s="6">
        <v>2</v>
      </c>
      <c r="AE1529" t="s">
        <v>942</v>
      </c>
      <c r="AF1529" t="s">
        <v>918</v>
      </c>
      <c r="AG1529" t="s">
        <v>756</v>
      </c>
      <c r="AH1529" t="s">
        <v>756</v>
      </c>
      <c r="AI1529" t="s">
        <v>368</v>
      </c>
      <c r="AJ1529" t="str">
        <f t="shared" ref="AJ1529:AK1529" si="1393">IF($J1529&lt;&gt;"",$J1529,IF($AC1529=$AC1528,AJ1528,""))</f>
        <v/>
      </c>
      <c r="AK1529" t="str">
        <f t="shared" si="1393"/>
        <v/>
      </c>
      <c r="AL1529" t="str">
        <f t="shared" si="1317"/>
        <v/>
      </c>
      <c r="AN1529" t="s">
        <v>862</v>
      </c>
      <c r="AO1529" t="str">
        <f t="shared" si="1318"/>
        <v>a</v>
      </c>
      <c r="AP1529" t="str">
        <f t="shared" si="1326"/>
        <v/>
      </c>
      <c r="AQ1529" t="str">
        <f t="shared" si="1327"/>
        <v/>
      </c>
      <c r="AR1529" t="str">
        <f t="shared" si="1328"/>
        <v>Away</v>
      </c>
      <c r="AS1529" t="str">
        <f t="shared" si="1329"/>
        <v>a</v>
      </c>
      <c r="AT1529" t="str">
        <f t="shared" si="1330"/>
        <v>Offensive</v>
      </c>
      <c r="BA1529" s="6">
        <f t="shared" si="1319"/>
        <v>349</v>
      </c>
      <c r="BB1529">
        <f t="shared" si="1320"/>
        <v>18981</v>
      </c>
      <c r="BC1529" t="str">
        <f t="shared" si="1321"/>
        <v>Nelson</v>
      </c>
      <c r="BD1529" t="str">
        <f t="shared" si="1322"/>
        <v>Velodrome</v>
      </c>
      <c r="BE1529" t="s">
        <v>9</v>
      </c>
      <c r="BF1529" t="s">
        <v>183</v>
      </c>
      <c r="BG1529" t="s">
        <v>79</v>
      </c>
      <c r="BI1529" cm="1">
        <f t="array" ref="BI1529">IFERROR(_xlfn._xlws.FILTER(shifts!A:A,(shifts!B:B=events!AD1529)*(shifts!AG:AG&gt;=events!BK1529)*(shifts!AH:AH&lt;=events!BL1529)),BI1528)</f>
        <v>65</v>
      </c>
      <c r="BJ1529" s="15">
        <f t="shared" si="1323"/>
        <v>0</v>
      </c>
      <c r="BK1529">
        <f t="shared" si="1331"/>
        <v>142</v>
      </c>
      <c r="BL1529">
        <f t="shared" si="1332"/>
        <v>142</v>
      </c>
      <c r="BM1529" s="15">
        <f>SUMIFS(BJ$2:BJ1529,K$2:K1529,"=Intermission")+SUMIFS(BJ$2:BJ1529,K$2:K1529,"=Timeout")</f>
        <v>72</v>
      </c>
      <c r="BN1529">
        <f t="shared" si="1333"/>
        <v>1152</v>
      </c>
      <c r="BO1529" s="19">
        <f t="shared" si="1334"/>
        <v>2090</v>
      </c>
      <c r="BP1529">
        <f t="shared" si="1335"/>
        <v>2085</v>
      </c>
      <c r="BQ1529" s="17">
        <f t="shared" si="1336"/>
        <v>2090</v>
      </c>
      <c r="BR1529" t="str">
        <f t="shared" si="1337"/>
        <v>opp_team_player_1</v>
      </c>
      <c r="BS1529">
        <f>COUNTIFS(S$3:S1529,"="&amp;S1529,AI$3:AI1529,"="&amp;AI1529)</f>
        <v>1</v>
      </c>
      <c r="BT1529" t="str">
        <f>IFERROR(VLOOKUP(BB1529&amp;BU1529&amp;X1529,game_rosters!U:W,3,FALSE),"")</f>
        <v>P100079</v>
      </c>
      <c r="BU1529" t="str">
        <f t="shared" si="1338"/>
        <v>Nelson</v>
      </c>
    </row>
    <row r="1530" spans="1:73" x14ac:dyDescent="0.2">
      <c r="A1530">
        <f t="shared" si="1324"/>
        <v>1</v>
      </c>
      <c r="J1530" s="44" t="str">
        <f t="shared" si="1339"/>
        <v/>
      </c>
      <c r="K1530" t="s">
        <v>13</v>
      </c>
      <c r="L1530" t="s">
        <v>756</v>
      </c>
      <c r="M1530" t="s">
        <v>756</v>
      </c>
      <c r="S1530">
        <v>822</v>
      </c>
      <c r="W1530" t="str">
        <f t="shared" si="1315"/>
        <v>a</v>
      </c>
      <c r="X1530">
        <v>22</v>
      </c>
      <c r="Y1530" t="e">
        <f>IF(X1530&lt;&gt;"",VLOOKUP(X1530,game_rosters!$C$43:$E$64,3,FALSE))</f>
        <v>#N/A</v>
      </c>
      <c r="Z1530" cm="1">
        <f t="array" ref="Z1530">IFERROR(IF(_xlfn._xlws.FILTER(game_rosters!$J:$J,(game_rosters!$G:$G=events!$AN1530)*(game_rosters!$J:$J=events!$X1530))&gt;0,1,""),"")</f>
        <v>1</v>
      </c>
      <c r="AA1530">
        <f t="shared" si="1363"/>
        <v>1822</v>
      </c>
      <c r="AB1530" t="str">
        <f t="shared" si="1364"/>
        <v/>
      </c>
      <c r="AC1530">
        <f t="shared" si="1312"/>
        <v>1822</v>
      </c>
      <c r="AD1530" s="6">
        <v>2</v>
      </c>
      <c r="AE1530" t="s">
        <v>942</v>
      </c>
      <c r="AF1530" t="s">
        <v>918</v>
      </c>
      <c r="AG1530" t="s">
        <v>942</v>
      </c>
      <c r="AH1530" t="s">
        <v>908</v>
      </c>
      <c r="AI1530" t="s">
        <v>367</v>
      </c>
      <c r="AJ1530" t="str">
        <f t="shared" ref="AJ1530:AK1530" si="1394">IF($J1530&lt;&gt;"",$J1530,IF($AC1530=$AC1529,AJ1529,""))</f>
        <v/>
      </c>
      <c r="AK1530" t="str">
        <f t="shared" si="1394"/>
        <v/>
      </c>
      <c r="AL1530" t="str">
        <f t="shared" si="1317"/>
        <v/>
      </c>
      <c r="AN1530" t="s">
        <v>862</v>
      </c>
      <c r="AO1530" t="str">
        <f t="shared" si="1318"/>
        <v>a</v>
      </c>
      <c r="AP1530" t="str">
        <f t="shared" si="1326"/>
        <v/>
      </c>
      <c r="AQ1530" t="str">
        <f t="shared" si="1327"/>
        <v/>
      </c>
      <c r="AR1530" t="str">
        <f t="shared" si="1328"/>
        <v>Away</v>
      </c>
      <c r="AS1530" t="str">
        <f t="shared" si="1329"/>
        <v>a</v>
      </c>
      <c r="AT1530" t="str">
        <f t="shared" si="1330"/>
        <v>Offensive</v>
      </c>
      <c r="BA1530" s="6">
        <f t="shared" si="1319"/>
        <v>349</v>
      </c>
      <c r="BB1530">
        <f t="shared" si="1320"/>
        <v>18981</v>
      </c>
      <c r="BC1530" t="str">
        <f t="shared" si="1321"/>
        <v>Nelson</v>
      </c>
      <c r="BD1530" t="str">
        <f t="shared" si="1322"/>
        <v>Velodrome</v>
      </c>
      <c r="BE1530" t="s">
        <v>13</v>
      </c>
      <c r="BF1530" t="s">
        <v>756</v>
      </c>
      <c r="BG1530" t="s">
        <v>756</v>
      </c>
      <c r="BI1530" cm="1">
        <f t="array" ref="BI1530">IFERROR(_xlfn._xlws.FILTER(shifts!A:A,(shifts!B:B=events!AD1530)*(shifts!AG:AG&gt;=events!BK1530)*(shifts!AH:AH&lt;=events!BL1530)),BI1529)</f>
        <v>65</v>
      </c>
      <c r="BJ1530" s="15">
        <f t="shared" si="1323"/>
        <v>3</v>
      </c>
      <c r="BK1530">
        <f t="shared" si="1331"/>
        <v>142</v>
      </c>
      <c r="BL1530">
        <f t="shared" si="1332"/>
        <v>139</v>
      </c>
      <c r="BM1530" s="15">
        <f>SUMIFS(BJ$2:BJ1530,K$2:K1530,"=Intermission")+SUMIFS(BJ$2:BJ1530,K$2:K1530,"=Timeout")</f>
        <v>72</v>
      </c>
      <c r="BN1530">
        <f t="shared" si="1333"/>
        <v>1152</v>
      </c>
      <c r="BO1530" s="19">
        <f t="shared" si="1334"/>
        <v>2090</v>
      </c>
      <c r="BP1530">
        <f t="shared" si="1335"/>
        <v>2085</v>
      </c>
      <c r="BQ1530" s="17">
        <f t="shared" si="1336"/>
        <v>2093</v>
      </c>
      <c r="BR1530" t="str">
        <f t="shared" si="1337"/>
        <v>event_team_player_1</v>
      </c>
      <c r="BS1530">
        <f>COUNTIFS(S$3:S1530,"="&amp;S1530,AI$3:AI1530,"="&amp;AI1530)</f>
        <v>1</v>
      </c>
      <c r="BT1530" t="str">
        <f>IFERROR(VLOOKUP(BB1530&amp;BU1530&amp;X1530,game_rosters!U:W,3,FALSE),"")</f>
        <v>P100108</v>
      </c>
      <c r="BU1530" t="str">
        <f t="shared" si="1338"/>
        <v>Velodrome</v>
      </c>
    </row>
    <row r="1531" spans="1:73" x14ac:dyDescent="0.2">
      <c r="A1531">
        <f t="shared" si="1324"/>
        <v>1</v>
      </c>
      <c r="J1531" s="44" t="str">
        <f t="shared" si="1339"/>
        <v/>
      </c>
      <c r="K1531" t="s">
        <v>13</v>
      </c>
      <c r="L1531" t="s">
        <v>756</v>
      </c>
      <c r="M1531" t="s">
        <v>756</v>
      </c>
      <c r="S1531">
        <v>822</v>
      </c>
      <c r="W1531" t="str">
        <f t="shared" si="1315"/>
        <v>a</v>
      </c>
      <c r="X1531">
        <v>44</v>
      </c>
      <c r="Y1531" t="b">
        <f>IF(X1531&lt;&gt;"",VLOOKUP(X1531,game_rosters!$C$43:$E$64,3,FALSE))</f>
        <v>0</v>
      </c>
      <c r="Z1531" t="str" cm="1">
        <f t="array" ref="Z1531">IFERROR(IF(_xlfn._xlws.FILTER(game_rosters!$J:$J,(game_rosters!$G:$G=events!$AN1531)*(game_rosters!$J:$J=events!$X1531))&gt;0,1,""),"")</f>
        <v/>
      </c>
      <c r="AA1531">
        <f t="shared" si="1363"/>
        <v>1822</v>
      </c>
      <c r="AB1531" t="str">
        <f t="shared" si="1364"/>
        <v/>
      </c>
      <c r="AC1531">
        <f t="shared" si="1312"/>
        <v>1822</v>
      </c>
      <c r="AD1531" s="6">
        <v>2</v>
      </c>
      <c r="AE1531" t="s">
        <v>942</v>
      </c>
      <c r="AF1531" t="s">
        <v>918</v>
      </c>
      <c r="AG1531" t="s">
        <v>942</v>
      </c>
      <c r="AH1531" t="s">
        <v>908</v>
      </c>
      <c r="AI1531" t="s">
        <v>368</v>
      </c>
      <c r="AJ1531" t="str">
        <f t="shared" ref="AJ1531:AK1531" si="1395">IF($J1531&lt;&gt;"",$J1531,IF($AC1531=$AC1530,AJ1530,""))</f>
        <v/>
      </c>
      <c r="AK1531" t="str">
        <f t="shared" si="1395"/>
        <v/>
      </c>
      <c r="AL1531" t="str">
        <f t="shared" si="1317"/>
        <v/>
      </c>
      <c r="AN1531" t="s">
        <v>862</v>
      </c>
      <c r="AO1531" t="str">
        <f t="shared" si="1318"/>
        <v>a</v>
      </c>
      <c r="AP1531" t="str">
        <f t="shared" si="1326"/>
        <v/>
      </c>
      <c r="AQ1531" t="str">
        <f t="shared" si="1327"/>
        <v/>
      </c>
      <c r="AR1531" t="str">
        <f t="shared" si="1328"/>
        <v>Away</v>
      </c>
      <c r="AS1531" t="str">
        <f t="shared" si="1329"/>
        <v>a</v>
      </c>
      <c r="AT1531" t="str">
        <f t="shared" si="1330"/>
        <v>Defensive</v>
      </c>
      <c r="BA1531" s="6">
        <f t="shared" si="1319"/>
        <v>349</v>
      </c>
      <c r="BB1531">
        <f t="shared" si="1320"/>
        <v>18981</v>
      </c>
      <c r="BC1531" t="str">
        <f t="shared" si="1321"/>
        <v>Nelson</v>
      </c>
      <c r="BD1531" t="str">
        <f t="shared" si="1322"/>
        <v>Velodrome</v>
      </c>
      <c r="BE1531" t="s">
        <v>13</v>
      </c>
      <c r="BF1531" t="s">
        <v>756</v>
      </c>
      <c r="BG1531" t="s">
        <v>756</v>
      </c>
      <c r="BI1531" cm="1">
        <f t="array" ref="BI1531">IFERROR(_xlfn._xlws.FILTER(shifts!A:A,(shifts!B:B=events!AD1531)*(shifts!AG:AG&gt;=events!BK1531)*(shifts!AH:AH&lt;=events!BL1531)),BI1530)</f>
        <v>65</v>
      </c>
      <c r="BJ1531" s="15">
        <f t="shared" si="1323"/>
        <v>3</v>
      </c>
      <c r="BK1531">
        <f t="shared" si="1331"/>
        <v>142</v>
      </c>
      <c r="BL1531">
        <f t="shared" si="1332"/>
        <v>139</v>
      </c>
      <c r="BM1531" s="15">
        <f>SUMIFS(BJ$2:BJ1531,K$2:K1531,"=Intermission")+SUMIFS(BJ$2:BJ1531,K$2:K1531,"=Timeout")</f>
        <v>72</v>
      </c>
      <c r="BN1531">
        <f t="shared" si="1333"/>
        <v>1152</v>
      </c>
      <c r="BO1531" s="19">
        <f t="shared" si="1334"/>
        <v>2090</v>
      </c>
      <c r="BP1531">
        <f t="shared" si="1335"/>
        <v>2085</v>
      </c>
      <c r="BQ1531" s="17">
        <f t="shared" si="1336"/>
        <v>2093</v>
      </c>
      <c r="BR1531" t="str">
        <f t="shared" si="1337"/>
        <v>opp_team_player_1</v>
      </c>
      <c r="BS1531">
        <f>COUNTIFS(S$3:S1531,"="&amp;S1531,AI$3:AI1531,"="&amp;AI1531)</f>
        <v>1</v>
      </c>
      <c r="BT1531" t="str">
        <f>IFERROR(VLOOKUP(BB1531&amp;BU1531&amp;X1531,game_rosters!U:W,3,FALSE),"")</f>
        <v>P100079</v>
      </c>
      <c r="BU1531" t="str">
        <f t="shared" si="1338"/>
        <v>Nelson</v>
      </c>
    </row>
    <row r="1532" spans="1:73" x14ac:dyDescent="0.2">
      <c r="A1532">
        <f t="shared" si="1324"/>
        <v>1</v>
      </c>
      <c r="J1532" s="44" t="str">
        <f t="shared" si="1339"/>
        <v/>
      </c>
      <c r="K1532" t="s">
        <v>7</v>
      </c>
      <c r="L1532" t="s">
        <v>172</v>
      </c>
      <c r="M1532" t="s">
        <v>68</v>
      </c>
      <c r="S1532">
        <v>823</v>
      </c>
      <c r="W1532" t="str">
        <f t="shared" si="1315"/>
        <v>a</v>
      </c>
      <c r="X1532">
        <v>22</v>
      </c>
      <c r="Y1532" t="e">
        <f>IF(X1532&lt;&gt;"",VLOOKUP(X1532,game_rosters!$C$43:$E$64,3,FALSE))</f>
        <v>#N/A</v>
      </c>
      <c r="Z1532" cm="1">
        <f t="array" ref="Z1532">IFERROR(IF(_xlfn._xlws.FILTER(game_rosters!$J:$J,(game_rosters!$G:$G=events!$AN1532)*(game_rosters!$J:$J=events!$X1532))&gt;0,1,""),"")</f>
        <v>1</v>
      </c>
      <c r="AA1532">
        <f t="shared" si="1363"/>
        <v>1823</v>
      </c>
      <c r="AB1532" t="str">
        <f t="shared" si="1364"/>
        <v/>
      </c>
      <c r="AC1532">
        <f t="shared" si="1312"/>
        <v>1823</v>
      </c>
      <c r="AD1532" s="6">
        <v>2</v>
      </c>
      <c r="AE1532" t="s">
        <v>942</v>
      </c>
      <c r="AF1532" t="s">
        <v>908</v>
      </c>
      <c r="AG1532" t="s">
        <v>756</v>
      </c>
      <c r="AH1532" t="s">
        <v>756</v>
      </c>
      <c r="AI1532" t="s">
        <v>367</v>
      </c>
      <c r="AJ1532" t="str">
        <f t="shared" ref="AJ1532:AK1532" si="1396">IF($J1532&lt;&gt;"",$J1532,IF($AC1532=$AC1531,AJ1531,""))</f>
        <v/>
      </c>
      <c r="AK1532" t="str">
        <f t="shared" si="1396"/>
        <v/>
      </c>
      <c r="AL1532" t="str">
        <f t="shared" si="1317"/>
        <v/>
      </c>
      <c r="AN1532" t="s">
        <v>862</v>
      </c>
      <c r="AO1532" t="str">
        <f t="shared" si="1318"/>
        <v>a</v>
      </c>
      <c r="AP1532" t="str">
        <f t="shared" si="1326"/>
        <v/>
      </c>
      <c r="AQ1532" t="str">
        <f t="shared" si="1327"/>
        <v/>
      </c>
      <c r="AR1532" t="str">
        <f t="shared" si="1328"/>
        <v>Away</v>
      </c>
      <c r="AS1532" t="str">
        <f t="shared" si="1329"/>
        <v>a</v>
      </c>
      <c r="AT1532" t="str">
        <f t="shared" si="1330"/>
        <v>Offensive</v>
      </c>
      <c r="BA1532" s="6">
        <f t="shared" si="1319"/>
        <v>349</v>
      </c>
      <c r="BB1532">
        <f t="shared" si="1320"/>
        <v>18981</v>
      </c>
      <c r="BC1532" t="str">
        <f t="shared" si="1321"/>
        <v>Nelson</v>
      </c>
      <c r="BD1532" t="str">
        <f t="shared" si="1322"/>
        <v>Velodrome</v>
      </c>
      <c r="BE1532" t="s">
        <v>7</v>
      </c>
      <c r="BF1532" t="s">
        <v>172</v>
      </c>
      <c r="BG1532" t="s">
        <v>68</v>
      </c>
      <c r="BI1532" cm="1">
        <f t="array" ref="BI1532">IFERROR(_xlfn._xlws.FILTER(shifts!A:A,(shifts!B:B=events!AD1532)*(shifts!AG:AG&gt;=events!BK1532)*(shifts!AH:AH&lt;=events!BL1532)),BI1531)</f>
        <v>65</v>
      </c>
      <c r="BJ1532" s="15">
        <f t="shared" si="1323"/>
        <v>0</v>
      </c>
      <c r="BK1532">
        <f t="shared" si="1331"/>
        <v>139</v>
      </c>
      <c r="BL1532">
        <f t="shared" si="1332"/>
        <v>139</v>
      </c>
      <c r="BM1532" s="15">
        <f>SUMIFS(BJ$2:BJ1532,K$2:K1532,"=Intermission")+SUMIFS(BJ$2:BJ1532,K$2:K1532,"=Timeout")</f>
        <v>72</v>
      </c>
      <c r="BN1532">
        <f t="shared" si="1333"/>
        <v>1152</v>
      </c>
      <c r="BO1532" s="19">
        <f t="shared" si="1334"/>
        <v>2093</v>
      </c>
      <c r="BP1532">
        <f t="shared" si="1335"/>
        <v>2088</v>
      </c>
      <c r="BQ1532" s="17">
        <f t="shared" si="1336"/>
        <v>2093</v>
      </c>
      <c r="BR1532" t="str">
        <f t="shared" si="1337"/>
        <v>event_team_player_1</v>
      </c>
      <c r="BS1532">
        <f>COUNTIFS(S$3:S1532,"="&amp;S1532,AI$3:AI1532,"="&amp;AI1532)</f>
        <v>1</v>
      </c>
      <c r="BT1532" t="str">
        <f>IFERROR(VLOOKUP(BB1532&amp;BU1532&amp;X1532,game_rosters!U:W,3,FALSE),"")</f>
        <v>P100108</v>
      </c>
      <c r="BU1532" t="str">
        <f t="shared" si="1338"/>
        <v>Velodrome</v>
      </c>
    </row>
    <row r="1533" spans="1:73" x14ac:dyDescent="0.2">
      <c r="A1533">
        <f t="shared" si="1324"/>
        <v>1</v>
      </c>
      <c r="J1533" s="44" t="str">
        <f t="shared" si="1339"/>
        <v/>
      </c>
      <c r="K1533" t="s">
        <v>7</v>
      </c>
      <c r="L1533" t="s">
        <v>172</v>
      </c>
      <c r="M1533" t="s">
        <v>68</v>
      </c>
      <c r="S1533">
        <v>823</v>
      </c>
      <c r="W1533" t="str">
        <f t="shared" si="1315"/>
        <v>a</v>
      </c>
      <c r="X1533">
        <v>91</v>
      </c>
      <c r="Y1533" t="e">
        <f>IF(X1533&lt;&gt;"",VLOOKUP(X1533,game_rosters!$C$43:$E$64,3,FALSE))</f>
        <v>#N/A</v>
      </c>
      <c r="Z1533" cm="1">
        <f t="array" ref="Z1533">IFERROR(IF(_xlfn._xlws.FILTER(game_rosters!$J:$J,(game_rosters!$G:$G=events!$AN1533)*(game_rosters!$J:$J=events!$X1533))&gt;0,1,""),"")</f>
        <v>1</v>
      </c>
      <c r="AA1533">
        <f t="shared" si="1363"/>
        <v>1823</v>
      </c>
      <c r="AB1533" t="str">
        <f t="shared" si="1364"/>
        <v/>
      </c>
      <c r="AC1533">
        <f t="shared" si="1312"/>
        <v>1823</v>
      </c>
      <c r="AD1533" s="6">
        <v>2</v>
      </c>
      <c r="AE1533" t="s">
        <v>942</v>
      </c>
      <c r="AF1533" t="s">
        <v>908</v>
      </c>
      <c r="AG1533" t="s">
        <v>756</v>
      </c>
      <c r="AH1533" t="s">
        <v>756</v>
      </c>
      <c r="AI1533" t="s">
        <v>367</v>
      </c>
      <c r="AJ1533" t="str">
        <f t="shared" ref="AJ1533:AK1533" si="1397">IF($J1533&lt;&gt;"",$J1533,IF($AC1533=$AC1532,AJ1532,""))</f>
        <v/>
      </c>
      <c r="AK1533" t="str">
        <f t="shared" si="1397"/>
        <v/>
      </c>
      <c r="AL1533" t="str">
        <f t="shared" si="1317"/>
        <v/>
      </c>
      <c r="AN1533" t="s">
        <v>862</v>
      </c>
      <c r="AO1533" t="str">
        <f t="shared" si="1318"/>
        <v>a</v>
      </c>
      <c r="AP1533" t="str">
        <f t="shared" si="1326"/>
        <v/>
      </c>
      <c r="AQ1533" t="str">
        <f t="shared" si="1327"/>
        <v/>
      </c>
      <c r="AR1533" t="str">
        <f t="shared" si="1328"/>
        <v>Away</v>
      </c>
      <c r="AS1533" t="str">
        <f t="shared" si="1329"/>
        <v>a</v>
      </c>
      <c r="AT1533" t="str">
        <f t="shared" si="1330"/>
        <v>Offensive</v>
      </c>
      <c r="BA1533" s="6">
        <f t="shared" si="1319"/>
        <v>349</v>
      </c>
      <c r="BB1533">
        <f t="shared" si="1320"/>
        <v>18981</v>
      </c>
      <c r="BC1533" t="str">
        <f t="shared" si="1321"/>
        <v>Nelson</v>
      </c>
      <c r="BD1533" t="str">
        <f t="shared" si="1322"/>
        <v>Velodrome</v>
      </c>
      <c r="BE1533" t="s">
        <v>7</v>
      </c>
      <c r="BF1533" t="s">
        <v>172</v>
      </c>
      <c r="BG1533" t="s">
        <v>68</v>
      </c>
      <c r="BI1533" cm="1">
        <f t="array" ref="BI1533">IFERROR(_xlfn._xlws.FILTER(shifts!A:A,(shifts!B:B=events!AD1533)*(shifts!AG:AG&gt;=events!BK1533)*(shifts!AH:AH&lt;=events!BL1533)),BI1532)</f>
        <v>65</v>
      </c>
      <c r="BJ1533" s="15">
        <f t="shared" si="1323"/>
        <v>0</v>
      </c>
      <c r="BK1533">
        <f t="shared" si="1331"/>
        <v>139</v>
      </c>
      <c r="BL1533">
        <f t="shared" si="1332"/>
        <v>139</v>
      </c>
      <c r="BM1533" s="15">
        <f>SUMIFS(BJ$2:BJ1533,K$2:K1533,"=Intermission")+SUMIFS(BJ$2:BJ1533,K$2:K1533,"=Timeout")</f>
        <v>72</v>
      </c>
      <c r="BN1533">
        <f t="shared" si="1333"/>
        <v>1152</v>
      </c>
      <c r="BO1533" s="19">
        <f t="shared" si="1334"/>
        <v>2093</v>
      </c>
      <c r="BP1533">
        <f t="shared" si="1335"/>
        <v>2088</v>
      </c>
      <c r="BQ1533" s="17">
        <f t="shared" si="1336"/>
        <v>2093</v>
      </c>
      <c r="BR1533" t="str">
        <f t="shared" si="1337"/>
        <v>event_team_player_2</v>
      </c>
      <c r="BS1533">
        <f>COUNTIFS(S$3:S1533,"="&amp;S1533,AI$3:AI1533,"="&amp;AI1533)</f>
        <v>2</v>
      </c>
      <c r="BT1533" t="str">
        <f>IFERROR(VLOOKUP(BB1533&amp;BU1533&amp;X1533,game_rosters!U:W,3,FALSE),"")</f>
        <v>P100002</v>
      </c>
      <c r="BU1533" t="str">
        <f t="shared" si="1338"/>
        <v>Velodrome</v>
      </c>
    </row>
    <row r="1534" spans="1:73" x14ac:dyDescent="0.2">
      <c r="A1534">
        <f t="shared" si="1324"/>
        <v>1</v>
      </c>
      <c r="J1534" s="44" t="str">
        <f t="shared" si="1339"/>
        <v>d</v>
      </c>
      <c r="K1534" t="s">
        <v>238</v>
      </c>
      <c r="L1534" t="s">
        <v>184</v>
      </c>
      <c r="M1534" t="s">
        <v>89</v>
      </c>
      <c r="S1534">
        <v>824</v>
      </c>
      <c r="W1534" t="str">
        <f t="shared" si="1315"/>
        <v>a</v>
      </c>
      <c r="X1534">
        <v>22</v>
      </c>
      <c r="Y1534" t="e">
        <f>IF(X1534&lt;&gt;"",VLOOKUP(X1534,game_rosters!$C$43:$E$64,3,FALSE))</f>
        <v>#N/A</v>
      </c>
      <c r="Z1534" cm="1">
        <f t="array" ref="Z1534">IFERROR(IF(_xlfn._xlws.FILTER(game_rosters!$J:$J,(game_rosters!$G:$G=events!$AN1534)*(game_rosters!$J:$J=events!$X1534))&gt;0,1,""),"")</f>
        <v>1</v>
      </c>
      <c r="AA1534">
        <f t="shared" si="1363"/>
        <v>1824</v>
      </c>
      <c r="AB1534" t="str">
        <f t="shared" si="1364"/>
        <v/>
      </c>
      <c r="AC1534">
        <f t="shared" si="1312"/>
        <v>1824</v>
      </c>
      <c r="AD1534" s="6">
        <v>2</v>
      </c>
      <c r="AE1534" t="s">
        <v>942</v>
      </c>
      <c r="AF1534" t="s">
        <v>908</v>
      </c>
      <c r="AG1534" t="s">
        <v>756</v>
      </c>
      <c r="AH1534" t="s">
        <v>756</v>
      </c>
      <c r="AI1534" t="s">
        <v>367</v>
      </c>
      <c r="AJ1534" t="str">
        <f t="shared" ref="AJ1534:AK1534" si="1398">IF($J1534&lt;&gt;"",$J1534,IF($AC1534=$AC1533,AJ1533,""))</f>
        <v>d</v>
      </c>
      <c r="AK1534" t="str">
        <f t="shared" si="1398"/>
        <v>d</v>
      </c>
      <c r="AL1534" t="str">
        <f t="shared" si="1317"/>
        <v>o</v>
      </c>
      <c r="AN1534" t="s">
        <v>862</v>
      </c>
      <c r="AO1534" t="str">
        <f t="shared" si="1318"/>
        <v>a</v>
      </c>
      <c r="AP1534" t="str">
        <f t="shared" si="1326"/>
        <v>o</v>
      </c>
      <c r="AQ1534" t="str">
        <f t="shared" si="1327"/>
        <v/>
      </c>
      <c r="AR1534" t="str">
        <f t="shared" si="1328"/>
        <v>Away</v>
      </c>
      <c r="AS1534" t="str">
        <f t="shared" si="1329"/>
        <v>a</v>
      </c>
      <c r="AT1534" t="str">
        <f t="shared" si="1330"/>
        <v>Offensive</v>
      </c>
      <c r="BA1534" s="6">
        <f t="shared" si="1319"/>
        <v>350</v>
      </c>
      <c r="BB1534">
        <f t="shared" si="1320"/>
        <v>18981</v>
      </c>
      <c r="BC1534" t="str">
        <f t="shared" si="1321"/>
        <v>Nelson</v>
      </c>
      <c r="BD1534" t="str">
        <f t="shared" si="1322"/>
        <v>Velodrome</v>
      </c>
      <c r="BE1534" t="s">
        <v>238</v>
      </c>
      <c r="BF1534" t="s">
        <v>184</v>
      </c>
      <c r="BG1534" t="s">
        <v>89</v>
      </c>
      <c r="BI1534" cm="1">
        <f t="array" ref="BI1534">IFERROR(_xlfn._xlws.FILTER(shifts!A:A,(shifts!B:B=events!AD1534)*(shifts!AG:AG&gt;=events!BK1534)*(shifts!AH:AH&lt;=events!BL1534)),BI1533)</f>
        <v>65</v>
      </c>
      <c r="BJ1534" s="15">
        <f t="shared" si="1323"/>
        <v>0</v>
      </c>
      <c r="BK1534">
        <f t="shared" si="1331"/>
        <v>139</v>
      </c>
      <c r="BL1534">
        <f t="shared" si="1332"/>
        <v>139</v>
      </c>
      <c r="BM1534" s="15">
        <f>SUMIFS(BJ$2:BJ1534,K$2:K1534,"=Intermission")+SUMIFS(BJ$2:BJ1534,K$2:K1534,"=Timeout")</f>
        <v>72</v>
      </c>
      <c r="BN1534">
        <f t="shared" si="1333"/>
        <v>1152</v>
      </c>
      <c r="BO1534" s="19">
        <f t="shared" si="1334"/>
        <v>2093</v>
      </c>
      <c r="BP1534">
        <f t="shared" si="1335"/>
        <v>2088</v>
      </c>
      <c r="BQ1534" s="17">
        <f t="shared" si="1336"/>
        <v>2093</v>
      </c>
      <c r="BR1534" t="str">
        <f t="shared" si="1337"/>
        <v>event_team_player_1</v>
      </c>
      <c r="BS1534">
        <f>COUNTIFS(S$3:S1534,"="&amp;S1534,AI$3:AI1534,"="&amp;AI1534)</f>
        <v>1</v>
      </c>
      <c r="BT1534" t="str">
        <f>IFERROR(VLOOKUP(BB1534&amp;BU1534&amp;X1534,game_rosters!U:W,3,FALSE),"")</f>
        <v>P100108</v>
      </c>
      <c r="BU1534" t="str">
        <f t="shared" si="1338"/>
        <v>Velodrome</v>
      </c>
    </row>
    <row r="1535" spans="1:73" x14ac:dyDescent="0.2">
      <c r="A1535">
        <f t="shared" si="1324"/>
        <v>1</v>
      </c>
      <c r="J1535" s="44" t="str">
        <f t="shared" si="1339"/>
        <v>d</v>
      </c>
      <c r="K1535" t="s">
        <v>238</v>
      </c>
      <c r="L1535" t="s">
        <v>184</v>
      </c>
      <c r="M1535" t="s">
        <v>89</v>
      </c>
      <c r="S1535">
        <v>824</v>
      </c>
      <c r="W1535" t="str">
        <f t="shared" si="1315"/>
        <v>a</v>
      </c>
      <c r="X1535">
        <v>91</v>
      </c>
      <c r="Y1535" t="e">
        <f>IF(X1535&lt;&gt;"",VLOOKUP(X1535,game_rosters!$C$43:$E$64,3,FALSE))</f>
        <v>#N/A</v>
      </c>
      <c r="Z1535" cm="1">
        <f t="array" ref="Z1535">IFERROR(IF(_xlfn._xlws.FILTER(game_rosters!$J:$J,(game_rosters!$G:$G=events!$AN1535)*(game_rosters!$J:$J=events!$X1535))&gt;0,1,""),"")</f>
        <v>1</v>
      </c>
      <c r="AA1535">
        <f t="shared" si="1363"/>
        <v>1824</v>
      </c>
      <c r="AB1535" t="str">
        <f t="shared" si="1364"/>
        <v/>
      </c>
      <c r="AC1535">
        <f t="shared" si="1312"/>
        <v>1824</v>
      </c>
      <c r="AD1535" s="6">
        <v>2</v>
      </c>
      <c r="AE1535" t="s">
        <v>942</v>
      </c>
      <c r="AF1535" t="s">
        <v>908</v>
      </c>
      <c r="AG1535" t="s">
        <v>756</v>
      </c>
      <c r="AH1535" t="s">
        <v>756</v>
      </c>
      <c r="AI1535" t="s">
        <v>367</v>
      </c>
      <c r="AJ1535" t="str">
        <f t="shared" ref="AJ1535:AK1535" si="1399">IF($J1535&lt;&gt;"",$J1535,IF($AC1535=$AC1534,AJ1534,""))</f>
        <v>d</v>
      </c>
      <c r="AK1535" t="str">
        <f t="shared" si="1399"/>
        <v>d</v>
      </c>
      <c r="AL1535" t="str">
        <f t="shared" si="1317"/>
        <v>o</v>
      </c>
      <c r="AN1535" t="s">
        <v>862</v>
      </c>
      <c r="AO1535" t="str">
        <f t="shared" si="1318"/>
        <v>a</v>
      </c>
      <c r="AP1535" t="str">
        <f t="shared" si="1326"/>
        <v>o</v>
      </c>
      <c r="AQ1535" t="str">
        <f t="shared" si="1327"/>
        <v/>
      </c>
      <c r="AR1535" t="str">
        <f t="shared" si="1328"/>
        <v>Away</v>
      </c>
      <c r="AS1535" t="str">
        <f t="shared" si="1329"/>
        <v>a</v>
      </c>
      <c r="AT1535" t="str">
        <f t="shared" si="1330"/>
        <v>Offensive</v>
      </c>
      <c r="BA1535" s="6">
        <f t="shared" si="1319"/>
        <v>351</v>
      </c>
      <c r="BB1535">
        <f t="shared" si="1320"/>
        <v>18981</v>
      </c>
      <c r="BC1535" t="str">
        <f t="shared" si="1321"/>
        <v>Nelson</v>
      </c>
      <c r="BD1535" t="str">
        <f t="shared" si="1322"/>
        <v>Velodrome</v>
      </c>
      <c r="BE1535" t="s">
        <v>238</v>
      </c>
      <c r="BF1535" t="s">
        <v>184</v>
      </c>
      <c r="BG1535" t="s">
        <v>89</v>
      </c>
      <c r="BI1535" cm="1">
        <f t="array" ref="BI1535">IFERROR(_xlfn._xlws.FILTER(shifts!A:A,(shifts!B:B=events!AD1535)*(shifts!AG:AG&gt;=events!BK1535)*(shifts!AH:AH&lt;=events!BL1535)),BI1534)</f>
        <v>65</v>
      </c>
      <c r="BJ1535" s="15">
        <f t="shared" si="1323"/>
        <v>0</v>
      </c>
      <c r="BK1535">
        <f t="shared" si="1331"/>
        <v>139</v>
      </c>
      <c r="BL1535">
        <f t="shared" si="1332"/>
        <v>139</v>
      </c>
      <c r="BM1535" s="15">
        <f>SUMIFS(BJ$2:BJ1535,K$2:K1535,"=Intermission")+SUMIFS(BJ$2:BJ1535,K$2:K1535,"=Timeout")</f>
        <v>72</v>
      </c>
      <c r="BN1535">
        <f t="shared" si="1333"/>
        <v>1152</v>
      </c>
      <c r="BO1535" s="19">
        <f t="shared" si="1334"/>
        <v>2093</v>
      </c>
      <c r="BP1535">
        <f t="shared" si="1335"/>
        <v>2088</v>
      </c>
      <c r="BQ1535" s="17">
        <f t="shared" si="1336"/>
        <v>2093</v>
      </c>
      <c r="BR1535" t="str">
        <f t="shared" si="1337"/>
        <v>event_team_player_2</v>
      </c>
      <c r="BS1535">
        <f>COUNTIFS(S$3:S1535,"="&amp;S1535,AI$3:AI1535,"="&amp;AI1535)</f>
        <v>2</v>
      </c>
      <c r="BT1535" t="str">
        <f>IFERROR(VLOOKUP(BB1535&amp;BU1535&amp;X1535,game_rosters!U:W,3,FALSE),"")</f>
        <v>P100002</v>
      </c>
      <c r="BU1535" t="str">
        <f t="shared" si="1338"/>
        <v>Velodrome</v>
      </c>
    </row>
    <row r="1536" spans="1:73" x14ac:dyDescent="0.2">
      <c r="A1536">
        <f t="shared" si="1324"/>
        <v>1</v>
      </c>
      <c r="J1536" s="44" t="str">
        <f t="shared" si="1339"/>
        <v/>
      </c>
      <c r="K1536" t="s">
        <v>13</v>
      </c>
      <c r="L1536" t="s">
        <v>756</v>
      </c>
      <c r="M1536" t="s">
        <v>756</v>
      </c>
      <c r="S1536">
        <v>825</v>
      </c>
      <c r="W1536" t="str">
        <f t="shared" si="1315"/>
        <v>a</v>
      </c>
      <c r="X1536">
        <v>91</v>
      </c>
      <c r="Y1536" t="e">
        <f>IF(X1536&lt;&gt;"",VLOOKUP(X1536,game_rosters!$C$43:$E$64,3,FALSE))</f>
        <v>#N/A</v>
      </c>
      <c r="Z1536" cm="1">
        <f t="array" ref="Z1536">IFERROR(IF(_xlfn._xlws.FILTER(game_rosters!$J:$J,(game_rosters!$G:$G=events!$AN1536)*(game_rosters!$J:$J=events!$X1536))&gt;0,1,""),"")</f>
        <v>1</v>
      </c>
      <c r="AA1536">
        <f t="shared" si="1363"/>
        <v>1825</v>
      </c>
      <c r="AB1536" t="str">
        <f t="shared" si="1364"/>
        <v/>
      </c>
      <c r="AC1536">
        <f t="shared" si="1312"/>
        <v>1825</v>
      </c>
      <c r="AD1536" s="6">
        <v>2</v>
      </c>
      <c r="AE1536" t="s">
        <v>942</v>
      </c>
      <c r="AF1536" t="s">
        <v>743</v>
      </c>
      <c r="AG1536" t="s">
        <v>942</v>
      </c>
      <c r="AH1536" t="s">
        <v>744</v>
      </c>
      <c r="AI1536" t="s">
        <v>367</v>
      </c>
      <c r="AJ1536" t="str">
        <f t="shared" ref="AJ1536:AK1536" si="1400">IF($J1536&lt;&gt;"",$J1536,IF($AC1536=$AC1535,AJ1535,""))</f>
        <v/>
      </c>
      <c r="AK1536" t="str">
        <f t="shared" si="1400"/>
        <v/>
      </c>
      <c r="AL1536" t="str">
        <f t="shared" si="1317"/>
        <v/>
      </c>
      <c r="AN1536" t="s">
        <v>862</v>
      </c>
      <c r="AO1536" t="str">
        <f t="shared" si="1318"/>
        <v>a</v>
      </c>
      <c r="AP1536" t="str">
        <f t="shared" si="1326"/>
        <v/>
      </c>
      <c r="AQ1536" t="str">
        <f t="shared" si="1327"/>
        <v/>
      </c>
      <c r="AR1536" t="str">
        <f t="shared" si="1328"/>
        <v>Away</v>
      </c>
      <c r="AS1536" t="str">
        <f t="shared" si="1329"/>
        <v>a</v>
      </c>
      <c r="AT1536" t="str">
        <f t="shared" si="1330"/>
        <v>Offensive</v>
      </c>
      <c r="BA1536" s="6">
        <f t="shared" si="1319"/>
        <v>351</v>
      </c>
      <c r="BB1536">
        <f t="shared" si="1320"/>
        <v>18981</v>
      </c>
      <c r="BC1536" t="str">
        <f t="shared" si="1321"/>
        <v>Nelson</v>
      </c>
      <c r="BD1536" t="str">
        <f t="shared" si="1322"/>
        <v>Velodrome</v>
      </c>
      <c r="BE1536" t="s">
        <v>13</v>
      </c>
      <c r="BF1536" t="s">
        <v>756</v>
      </c>
      <c r="BG1536" t="s">
        <v>756</v>
      </c>
      <c r="BI1536" cm="1">
        <f t="array" ref="BI1536">IFERROR(_xlfn._xlws.FILTER(shifts!A:A,(shifts!B:B=events!AD1536)*(shifts!AG:AG&gt;=events!BK1536)*(shifts!AH:AH&lt;=events!BL1536)),BI1535)</f>
        <v>65</v>
      </c>
      <c r="BJ1536" s="15">
        <f t="shared" si="1323"/>
        <v>3</v>
      </c>
      <c r="BK1536">
        <f t="shared" si="1331"/>
        <v>138</v>
      </c>
      <c r="BL1536">
        <f t="shared" si="1332"/>
        <v>135</v>
      </c>
      <c r="BM1536" s="15">
        <f>SUMIFS(BJ$2:BJ1536,K$2:K1536,"=Intermission")+SUMIFS(BJ$2:BJ1536,K$2:K1536,"=Timeout")</f>
        <v>72</v>
      </c>
      <c r="BN1536">
        <f t="shared" si="1333"/>
        <v>1152</v>
      </c>
      <c r="BO1536" s="19">
        <f t="shared" si="1334"/>
        <v>2094</v>
      </c>
      <c r="BP1536">
        <f t="shared" si="1335"/>
        <v>2089</v>
      </c>
      <c r="BQ1536" s="17">
        <f t="shared" si="1336"/>
        <v>2097</v>
      </c>
      <c r="BR1536" t="str">
        <f t="shared" si="1337"/>
        <v>event_team_player_1</v>
      </c>
      <c r="BS1536">
        <f>COUNTIFS(S$3:S1536,"="&amp;S1536,AI$3:AI1536,"="&amp;AI1536)</f>
        <v>1</v>
      </c>
      <c r="BT1536" t="str">
        <f>IFERROR(VLOOKUP(BB1536&amp;BU1536&amp;X1536,game_rosters!U:W,3,FALSE),"")</f>
        <v>P100002</v>
      </c>
      <c r="BU1536" t="str">
        <f t="shared" si="1338"/>
        <v>Velodrome</v>
      </c>
    </row>
    <row r="1537" spans="1:73" x14ac:dyDescent="0.2">
      <c r="A1537">
        <f t="shared" si="1324"/>
        <v>1</v>
      </c>
      <c r="J1537" s="44" t="str">
        <f t="shared" si="1339"/>
        <v>o</v>
      </c>
      <c r="K1537" t="s">
        <v>238</v>
      </c>
      <c r="L1537" t="s">
        <v>174</v>
      </c>
      <c r="M1537" t="s">
        <v>85</v>
      </c>
      <c r="S1537">
        <v>826</v>
      </c>
      <c r="W1537" t="str">
        <f t="shared" si="1315"/>
        <v>a</v>
      </c>
      <c r="X1537">
        <v>91</v>
      </c>
      <c r="Y1537" t="e">
        <f>IF(X1537&lt;&gt;"",VLOOKUP(X1537,game_rosters!$C$43:$E$64,3,FALSE))</f>
        <v>#N/A</v>
      </c>
      <c r="Z1537" cm="1">
        <f t="array" ref="Z1537">IFERROR(IF(_xlfn._xlws.FILTER(game_rosters!$J:$J,(game_rosters!$G:$G=events!$AN1537)*(game_rosters!$J:$J=events!$X1537))&gt;0,1,""),"")</f>
        <v>1</v>
      </c>
      <c r="AA1537">
        <f t="shared" si="1363"/>
        <v>1826</v>
      </c>
      <c r="AB1537" t="str">
        <f t="shared" si="1364"/>
        <v/>
      </c>
      <c r="AC1537">
        <f t="shared" si="1312"/>
        <v>1826</v>
      </c>
      <c r="AD1537" s="6">
        <v>2</v>
      </c>
      <c r="AE1537" t="s">
        <v>942</v>
      </c>
      <c r="AF1537" t="s">
        <v>744</v>
      </c>
      <c r="AG1537" t="s">
        <v>942</v>
      </c>
      <c r="AH1537" t="s">
        <v>754</v>
      </c>
      <c r="AI1537" t="s">
        <v>367</v>
      </c>
      <c r="AJ1537" t="str">
        <f t="shared" ref="AJ1537:AK1537" si="1401">IF($J1537&lt;&gt;"",$J1537,IF($AC1537=$AC1536,AJ1536,""))</f>
        <v>o</v>
      </c>
      <c r="AK1537" t="str">
        <f t="shared" si="1401"/>
        <v>o</v>
      </c>
      <c r="AL1537" t="str">
        <f t="shared" si="1317"/>
        <v>d</v>
      </c>
      <c r="AN1537" t="s">
        <v>862</v>
      </c>
      <c r="AO1537" t="str">
        <f t="shared" si="1318"/>
        <v>a</v>
      </c>
      <c r="AP1537" t="str">
        <f t="shared" si="1326"/>
        <v>d</v>
      </c>
      <c r="AQ1537" t="str">
        <f t="shared" si="1327"/>
        <v/>
      </c>
      <c r="AR1537" t="str">
        <f t="shared" si="1328"/>
        <v>Away</v>
      </c>
      <c r="AS1537" t="str">
        <f t="shared" si="1329"/>
        <v>a</v>
      </c>
      <c r="AT1537" t="str">
        <f t="shared" si="1330"/>
        <v>Offensive</v>
      </c>
      <c r="BA1537" s="6">
        <f t="shared" si="1319"/>
        <v>352</v>
      </c>
      <c r="BB1537">
        <f t="shared" si="1320"/>
        <v>18981</v>
      </c>
      <c r="BC1537" t="str">
        <f t="shared" si="1321"/>
        <v>Nelson</v>
      </c>
      <c r="BD1537" t="str">
        <f t="shared" si="1322"/>
        <v>Velodrome</v>
      </c>
      <c r="BE1537" t="s">
        <v>238</v>
      </c>
      <c r="BF1537" t="s">
        <v>174</v>
      </c>
      <c r="BG1537" t="s">
        <v>85</v>
      </c>
      <c r="BI1537" cm="1">
        <f t="array" ref="BI1537">IFERROR(_xlfn._xlws.FILTER(shifts!A:A,(shifts!B:B=events!AD1537)*(shifts!AG:AG&gt;=events!BK1537)*(shifts!AH:AH&lt;=events!BL1537)),BI1536)</f>
        <v>65</v>
      </c>
      <c r="BJ1537" s="15">
        <f t="shared" si="1323"/>
        <v>4</v>
      </c>
      <c r="BK1537">
        <f t="shared" si="1331"/>
        <v>135</v>
      </c>
      <c r="BL1537">
        <f t="shared" si="1332"/>
        <v>131</v>
      </c>
      <c r="BM1537" s="15">
        <f>SUMIFS(BJ$2:BJ1537,K$2:K1537,"=Intermission")+SUMIFS(BJ$2:BJ1537,K$2:K1537,"=Timeout")</f>
        <v>72</v>
      </c>
      <c r="BN1537">
        <f t="shared" si="1333"/>
        <v>1152</v>
      </c>
      <c r="BO1537" s="19">
        <f t="shared" si="1334"/>
        <v>2097</v>
      </c>
      <c r="BP1537">
        <f t="shared" si="1335"/>
        <v>2092</v>
      </c>
      <c r="BQ1537" s="17">
        <f t="shared" si="1336"/>
        <v>2101</v>
      </c>
      <c r="BR1537" t="str">
        <f t="shared" si="1337"/>
        <v>event_team_player_1</v>
      </c>
      <c r="BS1537">
        <f>COUNTIFS(S$3:S1537,"="&amp;S1537,AI$3:AI1537,"="&amp;AI1537)</f>
        <v>1</v>
      </c>
      <c r="BT1537" t="str">
        <f>IFERROR(VLOOKUP(BB1537&amp;BU1537&amp;X1537,game_rosters!U:W,3,FALSE),"")</f>
        <v>P100002</v>
      </c>
      <c r="BU1537" t="str">
        <f t="shared" si="1338"/>
        <v>Velodrome</v>
      </c>
    </row>
    <row r="1538" spans="1:73" x14ac:dyDescent="0.2">
      <c r="A1538">
        <f t="shared" si="1324"/>
        <v>1</v>
      </c>
      <c r="J1538" s="44" t="str">
        <f t="shared" si="1339"/>
        <v>o</v>
      </c>
      <c r="K1538" t="s">
        <v>238</v>
      </c>
      <c r="L1538" t="s">
        <v>174</v>
      </c>
      <c r="M1538" t="s">
        <v>85</v>
      </c>
      <c r="S1538">
        <v>826</v>
      </c>
      <c r="W1538" t="str">
        <f t="shared" si="1315"/>
        <v>a</v>
      </c>
      <c r="X1538">
        <v>22</v>
      </c>
      <c r="Y1538" t="e">
        <f>IF(X1538&lt;&gt;"",VLOOKUP(X1538,game_rosters!$C$43:$E$64,3,FALSE))</f>
        <v>#N/A</v>
      </c>
      <c r="Z1538" cm="1">
        <f t="array" ref="Z1538">IFERROR(IF(_xlfn._xlws.FILTER(game_rosters!$J:$J,(game_rosters!$G:$G=events!$AN1538)*(game_rosters!$J:$J=events!$X1538))&gt;0,1,""),"")</f>
        <v>1</v>
      </c>
      <c r="AA1538">
        <f t="shared" si="1363"/>
        <v>1826</v>
      </c>
      <c r="AB1538" t="str">
        <f t="shared" si="1364"/>
        <v/>
      </c>
      <c r="AC1538">
        <f t="shared" ref="AC1538:AC1601" si="1402">IF(AB1538&lt;&gt;"",AB1538,S1538+1000)</f>
        <v>1826</v>
      </c>
      <c r="AD1538" s="6">
        <v>2</v>
      </c>
      <c r="AE1538" t="s">
        <v>942</v>
      </c>
      <c r="AF1538" t="s">
        <v>744</v>
      </c>
      <c r="AG1538" t="s">
        <v>942</v>
      </c>
      <c r="AH1538" t="s">
        <v>754</v>
      </c>
      <c r="AI1538" t="s">
        <v>367</v>
      </c>
      <c r="AJ1538" t="str">
        <f t="shared" ref="AJ1538:AK1538" si="1403">IF($J1538&lt;&gt;"",$J1538,IF($AC1538=$AC1537,AJ1537,""))</f>
        <v>o</v>
      </c>
      <c r="AK1538" t="str">
        <f t="shared" si="1403"/>
        <v>o</v>
      </c>
      <c r="AL1538" t="str">
        <f t="shared" si="1317"/>
        <v>d</v>
      </c>
      <c r="AN1538" t="s">
        <v>862</v>
      </c>
      <c r="AO1538" t="str">
        <f t="shared" si="1318"/>
        <v>a</v>
      </c>
      <c r="AP1538" t="str">
        <f t="shared" si="1326"/>
        <v>d</v>
      </c>
      <c r="AQ1538" t="str">
        <f t="shared" si="1327"/>
        <v/>
      </c>
      <c r="AR1538" t="str">
        <f t="shared" si="1328"/>
        <v>Away</v>
      </c>
      <c r="AS1538" t="str">
        <f t="shared" si="1329"/>
        <v>a</v>
      </c>
      <c r="AT1538" t="str">
        <f t="shared" si="1330"/>
        <v>Offensive</v>
      </c>
      <c r="BA1538" s="6">
        <f t="shared" si="1319"/>
        <v>353</v>
      </c>
      <c r="BB1538">
        <f t="shared" si="1320"/>
        <v>18981</v>
      </c>
      <c r="BC1538" t="str">
        <f t="shared" si="1321"/>
        <v>Nelson</v>
      </c>
      <c r="BD1538" t="str">
        <f t="shared" si="1322"/>
        <v>Velodrome</v>
      </c>
      <c r="BE1538" t="s">
        <v>238</v>
      </c>
      <c r="BF1538" t="s">
        <v>174</v>
      </c>
      <c r="BG1538" t="s">
        <v>85</v>
      </c>
      <c r="BI1538" cm="1">
        <f t="array" ref="BI1538">IFERROR(_xlfn._xlws.FILTER(shifts!A:A,(shifts!B:B=events!AD1538)*(shifts!AG:AG&gt;=events!BK1538)*(shifts!AH:AH&lt;=events!BL1538)),BI1537)</f>
        <v>65</v>
      </c>
      <c r="BJ1538" s="15">
        <f t="shared" si="1323"/>
        <v>4</v>
      </c>
      <c r="BK1538">
        <f t="shared" si="1331"/>
        <v>135</v>
      </c>
      <c r="BL1538">
        <f t="shared" si="1332"/>
        <v>131</v>
      </c>
      <c r="BM1538" s="15">
        <f>SUMIFS(BJ$2:BJ1538,K$2:K1538,"=Intermission")+SUMIFS(BJ$2:BJ1538,K$2:K1538,"=Timeout")</f>
        <v>72</v>
      </c>
      <c r="BN1538">
        <f t="shared" si="1333"/>
        <v>1152</v>
      </c>
      <c r="BO1538" s="19">
        <f t="shared" si="1334"/>
        <v>2097</v>
      </c>
      <c r="BP1538">
        <f t="shared" si="1335"/>
        <v>2092</v>
      </c>
      <c r="BQ1538" s="17">
        <f t="shared" si="1336"/>
        <v>2101</v>
      </c>
      <c r="BR1538" t="str">
        <f t="shared" si="1337"/>
        <v>event_team_player_2</v>
      </c>
      <c r="BS1538">
        <f>COUNTIFS(S$3:S1538,"="&amp;S1538,AI$3:AI1538,"="&amp;AI1538)</f>
        <v>2</v>
      </c>
      <c r="BT1538" t="str">
        <f>IFERROR(VLOOKUP(BB1538&amp;BU1538&amp;X1538,game_rosters!U:W,3,FALSE),"")</f>
        <v>P100108</v>
      </c>
      <c r="BU1538" t="str">
        <f t="shared" si="1338"/>
        <v>Velodrome</v>
      </c>
    </row>
    <row r="1539" spans="1:73" x14ac:dyDescent="0.2">
      <c r="A1539">
        <f t="shared" si="1324"/>
        <v>1</v>
      </c>
      <c r="J1539" s="44" t="str">
        <f t="shared" si="1339"/>
        <v>o</v>
      </c>
      <c r="K1539" t="s">
        <v>238</v>
      </c>
      <c r="L1539" t="s">
        <v>174</v>
      </c>
      <c r="M1539" t="s">
        <v>85</v>
      </c>
      <c r="S1539">
        <v>826</v>
      </c>
      <c r="W1539" t="str">
        <f t="shared" si="1315"/>
        <v>a</v>
      </c>
      <c r="X1539">
        <v>24</v>
      </c>
      <c r="Y1539" t="e">
        <f>IF(X1539&lt;&gt;"",VLOOKUP(X1539,game_rosters!$C$43:$E$64,3,FALSE))</f>
        <v>#N/A</v>
      </c>
      <c r="Z1539" cm="1">
        <f t="array" ref="Z1539">IFERROR(IF(_xlfn._xlws.FILTER(game_rosters!$J:$J,(game_rosters!$G:$G=events!$AN1539)*(game_rosters!$J:$J=events!$X1539))&gt;0,1,""),"")</f>
        <v>1</v>
      </c>
      <c r="AA1539">
        <f t="shared" si="1363"/>
        <v>1826</v>
      </c>
      <c r="AB1539" t="str">
        <f t="shared" si="1364"/>
        <v/>
      </c>
      <c r="AC1539">
        <f t="shared" si="1402"/>
        <v>1826</v>
      </c>
      <c r="AD1539" s="6">
        <v>2</v>
      </c>
      <c r="AE1539" t="s">
        <v>942</v>
      </c>
      <c r="AF1539" t="s">
        <v>744</v>
      </c>
      <c r="AG1539" t="s">
        <v>942</v>
      </c>
      <c r="AH1539" t="s">
        <v>754</v>
      </c>
      <c r="AI1539" t="s">
        <v>367</v>
      </c>
      <c r="AJ1539" t="str">
        <f t="shared" ref="AJ1539:AK1539" si="1404">IF($J1539&lt;&gt;"",$J1539,IF($AC1539=$AC1538,AJ1538,""))</f>
        <v>o</v>
      </c>
      <c r="AK1539" t="str">
        <f t="shared" si="1404"/>
        <v>o</v>
      </c>
      <c r="AL1539" t="str">
        <f t="shared" si="1317"/>
        <v>d</v>
      </c>
      <c r="AN1539" t="s">
        <v>862</v>
      </c>
      <c r="AO1539" t="str">
        <f t="shared" si="1318"/>
        <v>a</v>
      </c>
      <c r="AP1539" t="str">
        <f t="shared" si="1326"/>
        <v>d</v>
      </c>
      <c r="AQ1539" t="str">
        <f t="shared" si="1327"/>
        <v/>
      </c>
      <c r="AR1539" t="str">
        <f t="shared" si="1328"/>
        <v>Away</v>
      </c>
      <c r="AS1539" t="str">
        <f t="shared" si="1329"/>
        <v>a</v>
      </c>
      <c r="AT1539" t="str">
        <f t="shared" si="1330"/>
        <v>Offensive</v>
      </c>
      <c r="BA1539" s="6">
        <f t="shared" si="1319"/>
        <v>354</v>
      </c>
      <c r="BB1539">
        <f t="shared" si="1320"/>
        <v>18981</v>
      </c>
      <c r="BC1539" t="str">
        <f t="shared" si="1321"/>
        <v>Nelson</v>
      </c>
      <c r="BD1539" t="str">
        <f t="shared" si="1322"/>
        <v>Velodrome</v>
      </c>
      <c r="BE1539" t="s">
        <v>238</v>
      </c>
      <c r="BF1539" t="s">
        <v>174</v>
      </c>
      <c r="BG1539" t="s">
        <v>85</v>
      </c>
      <c r="BI1539" cm="1">
        <f t="array" ref="BI1539">IFERROR(_xlfn._xlws.FILTER(shifts!A:A,(shifts!B:B=events!AD1539)*(shifts!AG:AG&gt;=events!BK1539)*(shifts!AH:AH&lt;=events!BL1539)),BI1538)</f>
        <v>65</v>
      </c>
      <c r="BJ1539" s="15">
        <f t="shared" si="1323"/>
        <v>4</v>
      </c>
      <c r="BK1539">
        <f t="shared" si="1331"/>
        <v>135</v>
      </c>
      <c r="BL1539">
        <f t="shared" si="1332"/>
        <v>131</v>
      </c>
      <c r="BM1539" s="15">
        <f>SUMIFS(BJ$2:BJ1539,K$2:K1539,"=Intermission")+SUMIFS(BJ$2:BJ1539,K$2:K1539,"=Timeout")</f>
        <v>72</v>
      </c>
      <c r="BN1539">
        <f t="shared" si="1333"/>
        <v>1152</v>
      </c>
      <c r="BO1539" s="19">
        <f t="shared" si="1334"/>
        <v>2097</v>
      </c>
      <c r="BP1539">
        <f t="shared" si="1335"/>
        <v>2092</v>
      </c>
      <c r="BQ1539" s="17">
        <f t="shared" si="1336"/>
        <v>2101</v>
      </c>
      <c r="BR1539" t="str">
        <f t="shared" si="1337"/>
        <v>event_team_player_3</v>
      </c>
      <c r="BS1539">
        <f>COUNTIFS(S$3:S1539,"="&amp;S1539,AI$3:AI1539,"="&amp;AI1539)</f>
        <v>3</v>
      </c>
      <c r="BT1539" t="str">
        <f>IFERROR(VLOOKUP(BB1539&amp;BU1539&amp;X1539,game_rosters!U:W,3,FALSE),"")</f>
        <v>P100230</v>
      </c>
      <c r="BU1539" t="str">
        <f t="shared" si="1338"/>
        <v>Velodrome</v>
      </c>
    </row>
    <row r="1540" spans="1:73" x14ac:dyDescent="0.2">
      <c r="A1540">
        <f t="shared" si="1324"/>
        <v>1</v>
      </c>
      <c r="J1540" s="44" t="str">
        <f t="shared" si="1339"/>
        <v>o</v>
      </c>
      <c r="K1540" t="s">
        <v>238</v>
      </c>
      <c r="L1540" t="s">
        <v>174</v>
      </c>
      <c r="M1540" t="s">
        <v>85</v>
      </c>
      <c r="S1540">
        <v>826</v>
      </c>
      <c r="W1540" t="str">
        <f t="shared" ref="W1540:W1603" si="1405">IF(AN1540="Away","a",IF(AN1540="Home","h",""))</f>
        <v>a</v>
      </c>
      <c r="X1540">
        <v>23</v>
      </c>
      <c r="Y1540" t="b">
        <f>IF(X1540&lt;&gt;"",VLOOKUP(X1540,game_rosters!$C$43:$E$64,3,FALSE))</f>
        <v>0</v>
      </c>
      <c r="Z1540" t="str" cm="1">
        <f t="array" ref="Z1540">IFERROR(IF(_xlfn._xlws.FILTER(game_rosters!$J:$J,(game_rosters!$G:$G=events!$AN1540)*(game_rosters!$J:$J=events!$X1540))&gt;0,1,""),"")</f>
        <v/>
      </c>
      <c r="AA1540">
        <f t="shared" si="1363"/>
        <v>1826</v>
      </c>
      <c r="AB1540" t="str">
        <f t="shared" si="1364"/>
        <v/>
      </c>
      <c r="AC1540">
        <f t="shared" si="1402"/>
        <v>1826</v>
      </c>
      <c r="AD1540" s="6">
        <v>2</v>
      </c>
      <c r="AE1540" t="s">
        <v>942</v>
      </c>
      <c r="AF1540" t="s">
        <v>744</v>
      </c>
      <c r="AG1540" t="s">
        <v>942</v>
      </c>
      <c r="AH1540" t="s">
        <v>754</v>
      </c>
      <c r="AI1540" t="s">
        <v>368</v>
      </c>
      <c r="AJ1540" t="str">
        <f t="shared" ref="AJ1540:AK1540" si="1406">IF($J1540&lt;&gt;"",$J1540,IF($AC1540=$AC1539,AJ1539,""))</f>
        <v>o</v>
      </c>
      <c r="AK1540" t="str">
        <f t="shared" si="1406"/>
        <v>o</v>
      </c>
      <c r="AL1540" t="str">
        <f t="shared" ref="AL1540:AL1603" si="1407">IF($W1540="","",IF($AJ1540="","",IF($W1540="h",$AJ1540,IF($AJ1540="n","n",IF(AND($W1540="a",$AJ1540="d"),"o",IF(AND($W1540="a",$AJ1540="o"),"d"))))))</f>
        <v>d</v>
      </c>
      <c r="AN1540" t="s">
        <v>862</v>
      </c>
      <c r="AO1540" t="str">
        <f t="shared" ref="AO1540:AO1603" si="1408">IF($W1540&lt;&gt;"",$W1540,IF($AC1540=$AC1539,AO1539,""))</f>
        <v>a</v>
      </c>
      <c r="AP1540" t="str">
        <f t="shared" si="1326"/>
        <v>d</v>
      </c>
      <c r="AQ1540" t="str">
        <f t="shared" si="1327"/>
        <v/>
      </c>
      <c r="AR1540" t="str">
        <f t="shared" si="1328"/>
        <v>Away</v>
      </c>
      <c r="AS1540" t="str">
        <f t="shared" si="1329"/>
        <v>a</v>
      </c>
      <c r="AT1540" t="str">
        <f t="shared" si="1330"/>
        <v>Defensive</v>
      </c>
      <c r="BA1540" s="6">
        <f t="shared" ref="BA1540:BA1603" si="1409">IF(OR(L1540="Zone_Entry",L1540="Zone_Exit"),BA1539+1,BA1539)</f>
        <v>355</v>
      </c>
      <c r="BB1540">
        <f t="shared" ref="BB1540:BB1603" si="1410">BB1539</f>
        <v>18981</v>
      </c>
      <c r="BC1540" t="str">
        <f t="shared" ref="BC1540:BC1603" si="1411">BC1539</f>
        <v>Nelson</v>
      </c>
      <c r="BD1540" t="str">
        <f t="shared" ref="BD1540:BD1603" si="1412">BD1539</f>
        <v>Velodrome</v>
      </c>
      <c r="BE1540" t="s">
        <v>238</v>
      </c>
      <c r="BF1540" t="s">
        <v>174</v>
      </c>
      <c r="BG1540" t="s">
        <v>85</v>
      </c>
      <c r="BI1540" cm="1">
        <f t="array" ref="BI1540">IFERROR(_xlfn._xlws.FILTER(shifts!A:A,(shifts!B:B=events!AD1540)*(shifts!AG:AG&gt;=events!BK1540)*(shifts!AH:AH&lt;=events!BL1540)),BI1539)</f>
        <v>65</v>
      </c>
      <c r="BJ1540" s="15">
        <f t="shared" ref="BJ1540:BJ1603" si="1413">IF(AND(AG1540="",AH1540=""),0,((AE1540*60)+AF1540)-((AG1540*60)+AH1540))</f>
        <v>4</v>
      </c>
      <c r="BK1540">
        <f t="shared" si="1331"/>
        <v>135</v>
      </c>
      <c r="BL1540">
        <f t="shared" si="1332"/>
        <v>131</v>
      </c>
      <c r="BM1540" s="15">
        <f>SUMIFS(BJ$2:BJ1540,K$2:K1540,"=Intermission")+SUMIFS(BJ$2:BJ1540,K$2:K1540,"=Timeout")</f>
        <v>72</v>
      </c>
      <c r="BN1540">
        <f t="shared" si="1333"/>
        <v>1152</v>
      </c>
      <c r="BO1540" s="19">
        <f t="shared" si="1334"/>
        <v>2097</v>
      </c>
      <c r="BP1540">
        <f t="shared" si="1335"/>
        <v>2092</v>
      </c>
      <c r="BQ1540" s="17">
        <f t="shared" si="1336"/>
        <v>2101</v>
      </c>
      <c r="BR1540" t="str">
        <f t="shared" si="1337"/>
        <v>opp_team_player_1</v>
      </c>
      <c r="BS1540">
        <f>COUNTIFS(S$3:S1540,"="&amp;S1540,AI$3:AI1540,"="&amp;AI1540)</f>
        <v>1</v>
      </c>
      <c r="BT1540" t="str">
        <f>IFERROR(VLOOKUP(BB1540&amp;BU1540&amp;X1540,game_rosters!U:W,3,FALSE),"")</f>
        <v>P100061</v>
      </c>
      <c r="BU1540" t="str">
        <f t="shared" si="1338"/>
        <v>Nelson</v>
      </c>
    </row>
    <row r="1541" spans="1:73" x14ac:dyDescent="0.2">
      <c r="A1541">
        <f t="shared" ref="A1541:A1604" si="1414">IF(K1541&lt;&gt;"",1,IF(D1541="x","x",""))</f>
        <v>1</v>
      </c>
      <c r="J1541" s="44" t="str">
        <f t="shared" si="1339"/>
        <v>o</v>
      </c>
      <c r="K1541" t="s">
        <v>238</v>
      </c>
      <c r="L1541" t="s">
        <v>174</v>
      </c>
      <c r="M1541" t="s">
        <v>85</v>
      </c>
      <c r="S1541">
        <v>826</v>
      </c>
      <c r="W1541" t="str">
        <f t="shared" si="1405"/>
        <v>a</v>
      </c>
      <c r="X1541">
        <v>37</v>
      </c>
      <c r="Y1541" t="b">
        <f>IF(X1541&lt;&gt;"",VLOOKUP(X1541,game_rosters!$C$43:$E$64,3,FALSE))</f>
        <v>0</v>
      </c>
      <c r="Z1541" t="str" cm="1">
        <f t="array" ref="Z1541">IFERROR(IF(_xlfn._xlws.FILTER(game_rosters!$J:$J,(game_rosters!$G:$G=events!$AN1541)*(game_rosters!$J:$J=events!$X1541))&gt;0,1,""),"")</f>
        <v/>
      </c>
      <c r="AA1541">
        <f t="shared" si="1363"/>
        <v>1826</v>
      </c>
      <c r="AB1541" t="str">
        <f t="shared" si="1364"/>
        <v/>
      </c>
      <c r="AC1541">
        <f t="shared" si="1402"/>
        <v>1826</v>
      </c>
      <c r="AD1541" s="6">
        <v>2</v>
      </c>
      <c r="AE1541" t="s">
        <v>942</v>
      </c>
      <c r="AF1541" t="s">
        <v>744</v>
      </c>
      <c r="AG1541" t="s">
        <v>942</v>
      </c>
      <c r="AH1541" t="s">
        <v>754</v>
      </c>
      <c r="AI1541" t="s">
        <v>368</v>
      </c>
      <c r="AJ1541" t="str">
        <f t="shared" ref="AJ1541:AK1541" si="1415">IF($J1541&lt;&gt;"",$J1541,IF($AC1541=$AC1540,AJ1540,""))</f>
        <v>o</v>
      </c>
      <c r="AK1541" t="str">
        <f t="shared" si="1415"/>
        <v>o</v>
      </c>
      <c r="AL1541" t="str">
        <f t="shared" si="1407"/>
        <v>d</v>
      </c>
      <c r="AN1541" t="s">
        <v>862</v>
      </c>
      <c r="AO1541" t="str">
        <f t="shared" si="1408"/>
        <v>a</v>
      </c>
      <c r="AP1541" t="str">
        <f t="shared" ref="AP1541:AP1604" si="1416">IF(AL1541&lt;&gt;"",AL1541,IF($AC1541=$AC1540,AP1540,""))</f>
        <v>d</v>
      </c>
      <c r="AQ1541" t="str">
        <f t="shared" ref="AQ1541:AQ1604" si="1417">IF(AM1541&lt;&gt;"",AM1541,IF($AC1541=$AC1540,AQ1540,""))</f>
        <v/>
      </c>
      <c r="AR1541" t="str">
        <f t="shared" ref="AR1541:AR1604" si="1418">IF(AN1541&lt;&gt;"",AN1541,IF($AC1541=$AC1540,AR1540,""))</f>
        <v>Away</v>
      </c>
      <c r="AS1541" t="str">
        <f t="shared" ref="AS1541:AS1604" si="1419">IF(AO1541&lt;&gt;"",AO1541,IF($AC1541=$AC1540,AS1540,""))</f>
        <v>a</v>
      </c>
      <c r="AT1541" t="str">
        <f t="shared" ref="AT1541:AT1604" si="1420">IF(AND(AI1541="e",OR(BE1541="Save",BF1541="Turnover_Takeaway",BF1541="Play_Defensive")),"Defensive",IF(AND(AI1541="o",OR(BE1541="Save",BF1541="Turnover_Takeaway",BF1541="Play_Defensive")),"Offensive",IF(OR(BE1541="Deadice",BE1541="Stoppage",BE1541="Intermission"),"",IF(AI1541="e","Offensive",IF(AI1541="o","Defensive","")))))</f>
        <v>Defensive</v>
      </c>
      <c r="BA1541" s="6">
        <f t="shared" si="1409"/>
        <v>356</v>
      </c>
      <c r="BB1541">
        <f t="shared" si="1410"/>
        <v>18981</v>
      </c>
      <c r="BC1541" t="str">
        <f t="shared" si="1411"/>
        <v>Nelson</v>
      </c>
      <c r="BD1541" t="str">
        <f t="shared" si="1412"/>
        <v>Velodrome</v>
      </c>
      <c r="BE1541" t="s">
        <v>238</v>
      </c>
      <c r="BF1541" t="s">
        <v>174</v>
      </c>
      <c r="BG1541" t="s">
        <v>85</v>
      </c>
      <c r="BI1541" cm="1">
        <f t="array" ref="BI1541">IFERROR(_xlfn._xlws.FILTER(shifts!A:A,(shifts!B:B=events!AD1541)*(shifts!AG:AG&gt;=events!BK1541)*(shifts!AH:AH&lt;=events!BL1541)),BI1540)</f>
        <v>65</v>
      </c>
      <c r="BJ1541" s="15">
        <f t="shared" si="1413"/>
        <v>4</v>
      </c>
      <c r="BK1541">
        <f t="shared" ref="BK1541:BK1604" si="1421">(AE1541*60)+AF1541</f>
        <v>135</v>
      </c>
      <c r="BL1541">
        <f t="shared" ref="BL1541:BL1604" si="1422">IF(AND(AG1541="",AH1541=""),BK1541,((AG1541*60)+AH1541))</f>
        <v>131</v>
      </c>
      <c r="BM1541" s="15">
        <f>SUMIFS(BJ$2:BJ1541,K$2:K1541,"=Intermission")+SUMIFS(BJ$2:BJ1541,K$2:K1541,"=Timeout")</f>
        <v>72</v>
      </c>
      <c r="BN1541">
        <f t="shared" ref="BN1541:BN1604" si="1423">IF(AD1541=1,0,IF(AD1541=2,1080+BM1541,IF(AD1541=3,(1080*2)+BM1541,0)))</f>
        <v>1152</v>
      </c>
      <c r="BO1541" s="19">
        <f t="shared" ref="BO1541:BO1604" si="1424">IF(K1541="Intermission",BO1540,((1080)-((AE1541*60)+AF1541))+BN1541)</f>
        <v>2097</v>
      </c>
      <c r="BP1541">
        <f t="shared" ref="BP1541:BP1604" si="1425">IF(BO1541&lt;5,0,BO1541-5)</f>
        <v>2092</v>
      </c>
      <c r="BQ1541" s="17">
        <f t="shared" ref="BQ1541:BQ1604" si="1426">BP1541+BJ1541+5</f>
        <v>2101</v>
      </c>
      <c r="BR1541" t="str">
        <f t="shared" ref="BR1541:BR1604" si="1427">IF(AI1541="e","event_team_player_"&amp;BS1541,IF(AI1541="o","opp_team_player_"&amp;BS1541,""))</f>
        <v>opp_team_player_2</v>
      </c>
      <c r="BS1541">
        <f>COUNTIFS(S$3:S1541,"="&amp;S1541,AI$3:AI1541,"="&amp;AI1541)</f>
        <v>2</v>
      </c>
      <c r="BT1541" t="str">
        <f>IFERROR(VLOOKUP(BB1541&amp;BU1541&amp;X1541,game_rosters!U:W,3,FALSE),"")</f>
        <v>P100119</v>
      </c>
      <c r="BU1541" t="str">
        <f t="shared" ref="BU1541:BU1604" si="1428">IF(AR1541="","",IF(AND(AR1541="Away",AI1541="e"),BD1541,IF(AND(AR1541="Home",AI1541="e"),BC1541,IF(AND(AR1541="Away",AI1541="o"),BC1541,IF(AND(AR1541="Home",AI1541="o"),BD1541)))))</f>
        <v>Nelson</v>
      </c>
    </row>
    <row r="1542" spans="1:73" x14ac:dyDescent="0.2">
      <c r="A1542">
        <f t="shared" si="1414"/>
        <v>1</v>
      </c>
      <c r="J1542" s="44" t="str">
        <f t="shared" ref="J1542:J1605" si="1429">IF(OR(K1542="Goal",K1542="Shot",L1542="Zone_Entry",M1542="Stoppage-Goal",M1541="Stoppage-Goal"),"o",IF(OR(K1542="Save",K1542="Rebound",L1542="Zone_Exit",M1542="Stoppage-GoalieStoppage",M1541="Stoppage-GoalieStoppage"),"d",IF(OR(L1542="Faceoff_AfterGoal",L1542="Faceoff_PeriodStart",698="Faceoff_GameStart",M1541="Stoppage-Goal"),"n","")))</f>
        <v/>
      </c>
      <c r="K1542" t="s">
        <v>7</v>
      </c>
      <c r="L1542" t="s">
        <v>182</v>
      </c>
      <c r="M1542" t="s">
        <v>68</v>
      </c>
      <c r="S1542">
        <v>827</v>
      </c>
      <c r="W1542" t="str">
        <f t="shared" si="1405"/>
        <v>a</v>
      </c>
      <c r="X1542">
        <v>91</v>
      </c>
      <c r="Y1542" t="e">
        <f>IF(X1542&lt;&gt;"",VLOOKUP(X1542,game_rosters!$C$43:$E$64,3,FALSE))</f>
        <v>#N/A</v>
      </c>
      <c r="Z1542" cm="1">
        <f t="array" ref="Z1542">IFERROR(IF(_xlfn._xlws.FILTER(game_rosters!$J:$J,(game_rosters!$G:$G=events!$AN1542)*(game_rosters!$J:$J=events!$X1542))&gt;0,1,""),"")</f>
        <v>1</v>
      </c>
      <c r="AA1542">
        <f t="shared" si="1363"/>
        <v>1827</v>
      </c>
      <c r="AB1542" t="str">
        <f t="shared" si="1364"/>
        <v/>
      </c>
      <c r="AC1542">
        <f t="shared" si="1402"/>
        <v>1827</v>
      </c>
      <c r="AD1542" s="6">
        <v>2</v>
      </c>
      <c r="AE1542" t="s">
        <v>942</v>
      </c>
      <c r="AF1542" t="s">
        <v>754</v>
      </c>
      <c r="AG1542" t="s">
        <v>756</v>
      </c>
      <c r="AH1542" t="s">
        <v>756</v>
      </c>
      <c r="AI1542" t="s">
        <v>367</v>
      </c>
      <c r="AJ1542" t="str">
        <f t="shared" ref="AJ1542:AK1542" si="1430">IF($J1542&lt;&gt;"",$J1542,IF($AC1542=$AC1541,AJ1541,""))</f>
        <v/>
      </c>
      <c r="AK1542" t="str">
        <f t="shared" si="1430"/>
        <v/>
      </c>
      <c r="AL1542" t="str">
        <f t="shared" si="1407"/>
        <v/>
      </c>
      <c r="AN1542" t="s">
        <v>862</v>
      </c>
      <c r="AO1542" t="str">
        <f t="shared" si="1408"/>
        <v>a</v>
      </c>
      <c r="AP1542" t="str">
        <f t="shared" si="1416"/>
        <v/>
      </c>
      <c r="AQ1542" t="str">
        <f t="shared" si="1417"/>
        <v/>
      </c>
      <c r="AR1542" t="str">
        <f t="shared" si="1418"/>
        <v>Away</v>
      </c>
      <c r="AS1542" t="str">
        <f t="shared" si="1419"/>
        <v>a</v>
      </c>
      <c r="AT1542" t="str">
        <f t="shared" si="1420"/>
        <v>Offensive</v>
      </c>
      <c r="BA1542" s="6">
        <f t="shared" si="1409"/>
        <v>356</v>
      </c>
      <c r="BB1542">
        <f t="shared" si="1410"/>
        <v>18981</v>
      </c>
      <c r="BC1542" t="str">
        <f t="shared" si="1411"/>
        <v>Nelson</v>
      </c>
      <c r="BD1542" t="str">
        <f t="shared" si="1412"/>
        <v>Velodrome</v>
      </c>
      <c r="BE1542" t="s">
        <v>7</v>
      </c>
      <c r="BF1542" t="s">
        <v>182</v>
      </c>
      <c r="BG1542" t="s">
        <v>68</v>
      </c>
      <c r="BI1542" cm="1">
        <f t="array" ref="BI1542">IFERROR(_xlfn._xlws.FILTER(shifts!A:A,(shifts!B:B=events!AD1542)*(shifts!AG:AG&gt;=events!BK1542)*(shifts!AH:AH&lt;=events!BL1542)),BI1541)</f>
        <v>66</v>
      </c>
      <c r="BJ1542" s="15">
        <f t="shared" si="1413"/>
        <v>0</v>
      </c>
      <c r="BK1542">
        <f t="shared" si="1421"/>
        <v>131</v>
      </c>
      <c r="BL1542">
        <f t="shared" si="1422"/>
        <v>131</v>
      </c>
      <c r="BM1542" s="15">
        <f>SUMIFS(BJ$2:BJ1542,K$2:K1542,"=Intermission")+SUMIFS(BJ$2:BJ1542,K$2:K1542,"=Timeout")</f>
        <v>72</v>
      </c>
      <c r="BN1542">
        <f t="shared" si="1423"/>
        <v>1152</v>
      </c>
      <c r="BO1542" s="19">
        <f t="shared" si="1424"/>
        <v>2101</v>
      </c>
      <c r="BP1542">
        <f t="shared" si="1425"/>
        <v>2096</v>
      </c>
      <c r="BQ1542" s="17">
        <f t="shared" si="1426"/>
        <v>2101</v>
      </c>
      <c r="BR1542" t="str">
        <f t="shared" si="1427"/>
        <v>event_team_player_1</v>
      </c>
      <c r="BS1542">
        <f>COUNTIFS(S$3:S1542,"="&amp;S1542,AI$3:AI1542,"="&amp;AI1542)</f>
        <v>1</v>
      </c>
      <c r="BT1542" t="str">
        <f>IFERROR(VLOOKUP(BB1542&amp;BU1542&amp;X1542,game_rosters!U:W,3,FALSE),"")</f>
        <v>P100002</v>
      </c>
      <c r="BU1542" t="str">
        <f t="shared" si="1428"/>
        <v>Velodrome</v>
      </c>
    </row>
    <row r="1543" spans="1:73" x14ac:dyDescent="0.2">
      <c r="A1543">
        <f t="shared" si="1414"/>
        <v>1</v>
      </c>
      <c r="J1543" s="44" t="str">
        <f t="shared" si="1429"/>
        <v/>
      </c>
      <c r="K1543" t="s">
        <v>7</v>
      </c>
      <c r="L1543" t="s">
        <v>182</v>
      </c>
      <c r="M1543" t="s">
        <v>68</v>
      </c>
      <c r="S1543">
        <v>827</v>
      </c>
      <c r="W1543" t="str">
        <f t="shared" si="1405"/>
        <v>a</v>
      </c>
      <c r="X1543">
        <v>22</v>
      </c>
      <c r="Y1543" t="e">
        <f>IF(X1543&lt;&gt;"",VLOOKUP(X1543,game_rosters!$C$43:$E$64,3,FALSE))</f>
        <v>#N/A</v>
      </c>
      <c r="Z1543" cm="1">
        <f t="array" ref="Z1543">IFERROR(IF(_xlfn._xlws.FILTER(game_rosters!$J:$J,(game_rosters!$G:$G=events!$AN1543)*(game_rosters!$J:$J=events!$X1543))&gt;0,1,""),"")</f>
        <v>1</v>
      </c>
      <c r="AA1543">
        <f t="shared" si="1363"/>
        <v>1827</v>
      </c>
      <c r="AB1543" t="str">
        <f t="shared" si="1364"/>
        <v/>
      </c>
      <c r="AC1543">
        <f t="shared" si="1402"/>
        <v>1827</v>
      </c>
      <c r="AD1543" s="6">
        <v>2</v>
      </c>
      <c r="AE1543" t="s">
        <v>942</v>
      </c>
      <c r="AF1543" t="s">
        <v>754</v>
      </c>
      <c r="AG1543" t="s">
        <v>756</v>
      </c>
      <c r="AH1543" t="s">
        <v>756</v>
      </c>
      <c r="AI1543" t="s">
        <v>367</v>
      </c>
      <c r="AJ1543" t="str">
        <f t="shared" ref="AJ1543:AK1543" si="1431">IF($J1543&lt;&gt;"",$J1543,IF($AC1543=$AC1542,AJ1542,""))</f>
        <v/>
      </c>
      <c r="AK1543" t="str">
        <f t="shared" si="1431"/>
        <v/>
      </c>
      <c r="AL1543" t="str">
        <f t="shared" si="1407"/>
        <v/>
      </c>
      <c r="AN1543" t="s">
        <v>862</v>
      </c>
      <c r="AO1543" t="str">
        <f t="shared" si="1408"/>
        <v>a</v>
      </c>
      <c r="AP1543" t="str">
        <f t="shared" si="1416"/>
        <v/>
      </c>
      <c r="AQ1543" t="str">
        <f t="shared" si="1417"/>
        <v/>
      </c>
      <c r="AR1543" t="str">
        <f t="shared" si="1418"/>
        <v>Away</v>
      </c>
      <c r="AS1543" t="str">
        <f t="shared" si="1419"/>
        <v>a</v>
      </c>
      <c r="AT1543" t="str">
        <f t="shared" si="1420"/>
        <v>Offensive</v>
      </c>
      <c r="BA1543" s="6">
        <f t="shared" si="1409"/>
        <v>356</v>
      </c>
      <c r="BB1543">
        <f t="shared" si="1410"/>
        <v>18981</v>
      </c>
      <c r="BC1543" t="str">
        <f t="shared" si="1411"/>
        <v>Nelson</v>
      </c>
      <c r="BD1543" t="str">
        <f t="shared" si="1412"/>
        <v>Velodrome</v>
      </c>
      <c r="BE1543" t="s">
        <v>7</v>
      </c>
      <c r="BF1543" t="s">
        <v>182</v>
      </c>
      <c r="BG1543" t="s">
        <v>68</v>
      </c>
      <c r="BI1543" cm="1">
        <f t="array" ref="BI1543">IFERROR(_xlfn._xlws.FILTER(shifts!A:A,(shifts!B:B=events!AD1543)*(shifts!AG:AG&gt;=events!BK1543)*(shifts!AH:AH&lt;=events!BL1543)),BI1542)</f>
        <v>66</v>
      </c>
      <c r="BJ1543" s="15">
        <f t="shared" si="1413"/>
        <v>0</v>
      </c>
      <c r="BK1543">
        <f t="shared" si="1421"/>
        <v>131</v>
      </c>
      <c r="BL1543">
        <f t="shared" si="1422"/>
        <v>131</v>
      </c>
      <c r="BM1543" s="15">
        <f>SUMIFS(BJ$2:BJ1543,K$2:K1543,"=Intermission")+SUMIFS(BJ$2:BJ1543,K$2:K1543,"=Timeout")</f>
        <v>72</v>
      </c>
      <c r="BN1543">
        <f t="shared" si="1423"/>
        <v>1152</v>
      </c>
      <c r="BO1543" s="19">
        <f t="shared" si="1424"/>
        <v>2101</v>
      </c>
      <c r="BP1543">
        <f t="shared" si="1425"/>
        <v>2096</v>
      </c>
      <c r="BQ1543" s="17">
        <f t="shared" si="1426"/>
        <v>2101</v>
      </c>
      <c r="BR1543" t="str">
        <f t="shared" si="1427"/>
        <v>event_team_player_2</v>
      </c>
      <c r="BS1543">
        <f>COUNTIFS(S$3:S1543,"="&amp;S1543,AI$3:AI1543,"="&amp;AI1543)</f>
        <v>2</v>
      </c>
      <c r="BT1543" t="str">
        <f>IFERROR(VLOOKUP(BB1543&amp;BU1543&amp;X1543,game_rosters!U:W,3,FALSE),"")</f>
        <v>P100108</v>
      </c>
      <c r="BU1543" t="str">
        <f t="shared" si="1428"/>
        <v>Velodrome</v>
      </c>
    </row>
    <row r="1544" spans="1:73" x14ac:dyDescent="0.2">
      <c r="A1544">
        <f t="shared" si="1414"/>
        <v>1</v>
      </c>
      <c r="J1544" s="44" t="str">
        <f t="shared" si="1429"/>
        <v/>
      </c>
      <c r="K1544" t="s">
        <v>7</v>
      </c>
      <c r="L1544" t="s">
        <v>182</v>
      </c>
      <c r="M1544" t="s">
        <v>68</v>
      </c>
      <c r="S1544">
        <v>827</v>
      </c>
      <c r="W1544" t="str">
        <f t="shared" si="1405"/>
        <v>a</v>
      </c>
      <c r="X1544">
        <v>37</v>
      </c>
      <c r="Y1544" t="b">
        <f>IF(X1544&lt;&gt;"",VLOOKUP(X1544,game_rosters!$C$43:$E$64,3,FALSE))</f>
        <v>0</v>
      </c>
      <c r="Z1544" t="str" cm="1">
        <f t="array" ref="Z1544">IFERROR(IF(_xlfn._xlws.FILTER(game_rosters!$J:$J,(game_rosters!$G:$G=events!$AN1544)*(game_rosters!$J:$J=events!$X1544))&gt;0,1,""),"")</f>
        <v/>
      </c>
      <c r="AA1544">
        <f t="shared" si="1363"/>
        <v>1827</v>
      </c>
      <c r="AB1544" t="str">
        <f t="shared" si="1364"/>
        <v/>
      </c>
      <c r="AC1544">
        <f t="shared" si="1402"/>
        <v>1827</v>
      </c>
      <c r="AD1544" s="6">
        <v>2</v>
      </c>
      <c r="AE1544" t="s">
        <v>942</v>
      </c>
      <c r="AF1544" t="s">
        <v>754</v>
      </c>
      <c r="AG1544" t="s">
        <v>756</v>
      </c>
      <c r="AH1544" t="s">
        <v>756</v>
      </c>
      <c r="AI1544" t="s">
        <v>368</v>
      </c>
      <c r="AJ1544" t="str">
        <f t="shared" ref="AJ1544:AK1544" si="1432">IF($J1544&lt;&gt;"",$J1544,IF($AC1544=$AC1543,AJ1543,""))</f>
        <v/>
      </c>
      <c r="AK1544" t="str">
        <f t="shared" si="1432"/>
        <v/>
      </c>
      <c r="AL1544" t="str">
        <f t="shared" si="1407"/>
        <v/>
      </c>
      <c r="AN1544" t="s">
        <v>862</v>
      </c>
      <c r="AO1544" t="str">
        <f t="shared" si="1408"/>
        <v>a</v>
      </c>
      <c r="AP1544" t="str">
        <f t="shared" si="1416"/>
        <v/>
      </c>
      <c r="AQ1544" t="str">
        <f t="shared" si="1417"/>
        <v/>
      </c>
      <c r="AR1544" t="str">
        <f t="shared" si="1418"/>
        <v>Away</v>
      </c>
      <c r="AS1544" t="str">
        <f t="shared" si="1419"/>
        <v>a</v>
      </c>
      <c r="AT1544" t="str">
        <f t="shared" si="1420"/>
        <v>Defensive</v>
      </c>
      <c r="BA1544" s="6">
        <f t="shared" si="1409"/>
        <v>356</v>
      </c>
      <c r="BB1544">
        <f t="shared" si="1410"/>
        <v>18981</v>
      </c>
      <c r="BC1544" t="str">
        <f t="shared" si="1411"/>
        <v>Nelson</v>
      </c>
      <c r="BD1544" t="str">
        <f t="shared" si="1412"/>
        <v>Velodrome</v>
      </c>
      <c r="BE1544" t="s">
        <v>7</v>
      </c>
      <c r="BF1544" t="s">
        <v>182</v>
      </c>
      <c r="BG1544" t="s">
        <v>68</v>
      </c>
      <c r="BI1544" cm="1">
        <f t="array" ref="BI1544">IFERROR(_xlfn._xlws.FILTER(shifts!A:A,(shifts!B:B=events!AD1544)*(shifts!AG:AG&gt;=events!BK1544)*(shifts!AH:AH&lt;=events!BL1544)),BI1543)</f>
        <v>66</v>
      </c>
      <c r="BJ1544" s="15">
        <f t="shared" si="1413"/>
        <v>0</v>
      </c>
      <c r="BK1544">
        <f t="shared" si="1421"/>
        <v>131</v>
      </c>
      <c r="BL1544">
        <f t="shared" si="1422"/>
        <v>131</v>
      </c>
      <c r="BM1544" s="15">
        <f>SUMIFS(BJ$2:BJ1544,K$2:K1544,"=Intermission")+SUMIFS(BJ$2:BJ1544,K$2:K1544,"=Timeout")</f>
        <v>72</v>
      </c>
      <c r="BN1544">
        <f t="shared" si="1423"/>
        <v>1152</v>
      </c>
      <c r="BO1544" s="19">
        <f t="shared" si="1424"/>
        <v>2101</v>
      </c>
      <c r="BP1544">
        <f t="shared" si="1425"/>
        <v>2096</v>
      </c>
      <c r="BQ1544" s="17">
        <f t="shared" si="1426"/>
        <v>2101</v>
      </c>
      <c r="BR1544" t="str">
        <f t="shared" si="1427"/>
        <v>opp_team_player_1</v>
      </c>
      <c r="BS1544">
        <f>COUNTIFS(S$3:S1544,"="&amp;S1544,AI$3:AI1544,"="&amp;AI1544)</f>
        <v>1</v>
      </c>
      <c r="BT1544" t="str">
        <f>IFERROR(VLOOKUP(BB1544&amp;BU1544&amp;X1544,game_rosters!U:W,3,FALSE),"")</f>
        <v>P100119</v>
      </c>
      <c r="BU1544" t="str">
        <f t="shared" si="1428"/>
        <v>Nelson</v>
      </c>
    </row>
    <row r="1545" spans="1:73" x14ac:dyDescent="0.2">
      <c r="A1545">
        <f t="shared" si="1414"/>
        <v>1</v>
      </c>
      <c r="J1545" s="44" t="str">
        <f t="shared" si="1429"/>
        <v/>
      </c>
      <c r="K1545" t="s">
        <v>9</v>
      </c>
      <c r="L1545" t="s">
        <v>173</v>
      </c>
      <c r="M1545" t="s">
        <v>74</v>
      </c>
      <c r="S1545">
        <v>828</v>
      </c>
      <c r="W1545" t="str">
        <f t="shared" si="1405"/>
        <v>a</v>
      </c>
      <c r="X1545">
        <v>91</v>
      </c>
      <c r="Y1545" t="e">
        <f>IF(X1545&lt;&gt;"",VLOOKUP(X1545,game_rosters!$C$43:$E$64,3,FALSE))</f>
        <v>#N/A</v>
      </c>
      <c r="Z1545" cm="1">
        <f t="array" ref="Z1545">IFERROR(IF(_xlfn._xlws.FILTER(game_rosters!$J:$J,(game_rosters!$G:$G=events!$AN1545)*(game_rosters!$J:$J=events!$X1545))&gt;0,1,""),"")</f>
        <v>1</v>
      </c>
      <c r="AA1545">
        <f t="shared" si="1363"/>
        <v>1828</v>
      </c>
      <c r="AB1545" t="str">
        <f t="shared" si="1364"/>
        <v/>
      </c>
      <c r="AC1545">
        <f t="shared" si="1402"/>
        <v>1828</v>
      </c>
      <c r="AD1545" s="6">
        <v>2</v>
      </c>
      <c r="AE1545" t="s">
        <v>942</v>
      </c>
      <c r="AF1545" t="s">
        <v>754</v>
      </c>
      <c r="AG1545" t="s">
        <v>756</v>
      </c>
      <c r="AH1545" t="s">
        <v>756</v>
      </c>
      <c r="AI1545" t="s">
        <v>367</v>
      </c>
      <c r="AJ1545" t="str">
        <f t="shared" ref="AJ1545:AK1545" si="1433">IF($J1545&lt;&gt;"",$J1545,IF($AC1545=$AC1544,AJ1544,""))</f>
        <v/>
      </c>
      <c r="AK1545" t="str">
        <f t="shared" si="1433"/>
        <v/>
      </c>
      <c r="AL1545" t="str">
        <f t="shared" si="1407"/>
        <v/>
      </c>
      <c r="AN1545" t="s">
        <v>862</v>
      </c>
      <c r="AO1545" t="str">
        <f t="shared" si="1408"/>
        <v>a</v>
      </c>
      <c r="AP1545" t="str">
        <f t="shared" si="1416"/>
        <v/>
      </c>
      <c r="AQ1545" t="str">
        <f t="shared" si="1417"/>
        <v/>
      </c>
      <c r="AR1545" t="str">
        <f t="shared" si="1418"/>
        <v>Away</v>
      </c>
      <c r="AS1545" t="str">
        <f t="shared" si="1419"/>
        <v>a</v>
      </c>
      <c r="AT1545" t="str">
        <f t="shared" si="1420"/>
        <v>Offensive</v>
      </c>
      <c r="BA1545" s="6">
        <f t="shared" si="1409"/>
        <v>356</v>
      </c>
      <c r="BB1545">
        <f t="shared" si="1410"/>
        <v>18981</v>
      </c>
      <c r="BC1545" t="str">
        <f t="shared" si="1411"/>
        <v>Nelson</v>
      </c>
      <c r="BD1545" t="str">
        <f t="shared" si="1412"/>
        <v>Velodrome</v>
      </c>
      <c r="BE1545" t="s">
        <v>9</v>
      </c>
      <c r="BF1545" t="s">
        <v>173</v>
      </c>
      <c r="BG1545" t="s">
        <v>74</v>
      </c>
      <c r="BI1545" cm="1">
        <f t="array" ref="BI1545">IFERROR(_xlfn._xlws.FILTER(shifts!A:A,(shifts!B:B=events!AD1545)*(shifts!AG:AG&gt;=events!BK1545)*(shifts!AH:AH&lt;=events!BL1545)),BI1544)</f>
        <v>66</v>
      </c>
      <c r="BJ1545" s="15">
        <f t="shared" si="1413"/>
        <v>0</v>
      </c>
      <c r="BK1545">
        <f t="shared" si="1421"/>
        <v>131</v>
      </c>
      <c r="BL1545">
        <f t="shared" si="1422"/>
        <v>131</v>
      </c>
      <c r="BM1545" s="15">
        <f>SUMIFS(BJ$2:BJ1545,K$2:K1545,"=Intermission")+SUMIFS(BJ$2:BJ1545,K$2:K1545,"=Timeout")</f>
        <v>72</v>
      </c>
      <c r="BN1545">
        <f t="shared" si="1423"/>
        <v>1152</v>
      </c>
      <c r="BO1545" s="19">
        <f t="shared" si="1424"/>
        <v>2101</v>
      </c>
      <c r="BP1545">
        <f t="shared" si="1425"/>
        <v>2096</v>
      </c>
      <c r="BQ1545" s="17">
        <f t="shared" si="1426"/>
        <v>2101</v>
      </c>
      <c r="BR1545" t="str">
        <f t="shared" si="1427"/>
        <v>event_team_player_1</v>
      </c>
      <c r="BS1545">
        <f>COUNTIFS(S$3:S1545,"="&amp;S1545,AI$3:AI1545,"="&amp;AI1545)</f>
        <v>1</v>
      </c>
      <c r="BT1545" t="str">
        <f>IFERROR(VLOOKUP(BB1545&amp;BU1545&amp;X1545,game_rosters!U:W,3,FALSE),"")</f>
        <v>P100002</v>
      </c>
      <c r="BU1545" t="str">
        <f t="shared" si="1428"/>
        <v>Velodrome</v>
      </c>
    </row>
    <row r="1546" spans="1:73" x14ac:dyDescent="0.2">
      <c r="A1546">
        <f t="shared" si="1414"/>
        <v>1</v>
      </c>
      <c r="J1546" s="44" t="str">
        <f t="shared" si="1429"/>
        <v/>
      </c>
      <c r="K1546" t="s">
        <v>9</v>
      </c>
      <c r="L1546" t="s">
        <v>173</v>
      </c>
      <c r="M1546" t="s">
        <v>365</v>
      </c>
      <c r="S1546">
        <v>829</v>
      </c>
      <c r="W1546" t="str">
        <f t="shared" si="1405"/>
        <v>h</v>
      </c>
      <c r="X1546">
        <v>44</v>
      </c>
      <c r="Y1546" t="b">
        <f>IF(X1546&lt;&gt;"",VLOOKUP(X1546,game_rosters!$C$43:$E$64,3,FALSE))</f>
        <v>0</v>
      </c>
      <c r="Z1546" cm="1">
        <f t="array" ref="Z1546">IFERROR(IF(_xlfn._xlws.FILTER(game_rosters!$J:$J,(game_rosters!$G:$G=events!$AN1546)*(game_rosters!$J:$J=events!$X1546))&gt;0,1,""),"")</f>
        <v>1</v>
      </c>
      <c r="AA1546">
        <f t="shared" si="1363"/>
        <v>1829</v>
      </c>
      <c r="AB1546" t="str">
        <f t="shared" si="1364"/>
        <v/>
      </c>
      <c r="AC1546">
        <f t="shared" si="1402"/>
        <v>1829</v>
      </c>
      <c r="AD1546" s="6">
        <v>2</v>
      </c>
      <c r="AE1546" t="s">
        <v>942</v>
      </c>
      <c r="AF1546" t="s">
        <v>920</v>
      </c>
      <c r="AG1546" t="s">
        <v>756</v>
      </c>
      <c r="AH1546" t="s">
        <v>756</v>
      </c>
      <c r="AI1546" t="s">
        <v>367</v>
      </c>
      <c r="AJ1546" t="str">
        <f t="shared" ref="AJ1546:AK1546" si="1434">IF($J1546&lt;&gt;"",$J1546,IF($AC1546=$AC1545,AJ1545,""))</f>
        <v/>
      </c>
      <c r="AK1546" t="str">
        <f t="shared" si="1434"/>
        <v/>
      </c>
      <c r="AL1546" t="str">
        <f t="shared" si="1407"/>
        <v/>
      </c>
      <c r="AN1546" t="s">
        <v>861</v>
      </c>
      <c r="AO1546" t="str">
        <f t="shared" si="1408"/>
        <v>h</v>
      </c>
      <c r="AP1546" t="str">
        <f t="shared" si="1416"/>
        <v/>
      </c>
      <c r="AQ1546" t="str">
        <f t="shared" si="1417"/>
        <v/>
      </c>
      <c r="AR1546" t="str">
        <f t="shared" si="1418"/>
        <v>Home</v>
      </c>
      <c r="AS1546" t="str">
        <f t="shared" si="1419"/>
        <v>h</v>
      </c>
      <c r="AT1546" t="str">
        <f t="shared" si="1420"/>
        <v>Offensive</v>
      </c>
      <c r="BA1546" s="6">
        <f t="shared" si="1409"/>
        <v>356</v>
      </c>
      <c r="BB1546">
        <f t="shared" si="1410"/>
        <v>18981</v>
      </c>
      <c r="BC1546" t="str">
        <f t="shared" si="1411"/>
        <v>Nelson</v>
      </c>
      <c r="BD1546" t="str">
        <f t="shared" si="1412"/>
        <v>Velodrome</v>
      </c>
      <c r="BE1546" t="s">
        <v>9</v>
      </c>
      <c r="BF1546" t="s">
        <v>173</v>
      </c>
      <c r="BG1546" t="s">
        <v>365</v>
      </c>
      <c r="BI1546" cm="1">
        <f t="array" ref="BI1546">IFERROR(_xlfn._xlws.FILTER(shifts!A:A,(shifts!B:B=events!AD1546)*(shifts!AG:AG&gt;=events!BK1546)*(shifts!AH:AH&lt;=events!BL1546)),BI1545)</f>
        <v>66</v>
      </c>
      <c r="BJ1546" s="15">
        <f t="shared" si="1413"/>
        <v>0</v>
      </c>
      <c r="BK1546">
        <f t="shared" si="1421"/>
        <v>129</v>
      </c>
      <c r="BL1546">
        <f t="shared" si="1422"/>
        <v>129</v>
      </c>
      <c r="BM1546" s="15">
        <f>SUMIFS(BJ$2:BJ1546,K$2:K1546,"=Intermission")+SUMIFS(BJ$2:BJ1546,K$2:K1546,"=Timeout")</f>
        <v>72</v>
      </c>
      <c r="BN1546">
        <f t="shared" si="1423"/>
        <v>1152</v>
      </c>
      <c r="BO1546" s="19">
        <f t="shared" si="1424"/>
        <v>2103</v>
      </c>
      <c r="BP1546">
        <f t="shared" si="1425"/>
        <v>2098</v>
      </c>
      <c r="BQ1546" s="17">
        <f t="shared" si="1426"/>
        <v>2103</v>
      </c>
      <c r="BR1546" t="str">
        <f t="shared" si="1427"/>
        <v>event_team_player_1</v>
      </c>
      <c r="BS1546">
        <f>COUNTIFS(S$3:S1546,"="&amp;S1546,AI$3:AI1546,"="&amp;AI1546)</f>
        <v>1</v>
      </c>
      <c r="BT1546" t="str">
        <f>IFERROR(VLOOKUP(BB1546&amp;BU1546&amp;X1546,game_rosters!U:W,3,FALSE),"")</f>
        <v>P100079</v>
      </c>
      <c r="BU1546" t="str">
        <f t="shared" si="1428"/>
        <v>Nelson</v>
      </c>
    </row>
    <row r="1547" spans="1:73" x14ac:dyDescent="0.2">
      <c r="A1547">
        <f t="shared" si="1414"/>
        <v>1</v>
      </c>
      <c r="J1547" s="44" t="str">
        <f t="shared" si="1429"/>
        <v/>
      </c>
      <c r="K1547" t="s">
        <v>238</v>
      </c>
      <c r="L1547" t="s">
        <v>193</v>
      </c>
      <c r="M1547" t="s">
        <v>91</v>
      </c>
      <c r="S1547">
        <v>830</v>
      </c>
      <c r="W1547" t="str">
        <f t="shared" si="1405"/>
        <v>a</v>
      </c>
      <c r="X1547">
        <v>91</v>
      </c>
      <c r="Y1547" t="e">
        <f>IF(X1547&lt;&gt;"",VLOOKUP(X1547,game_rosters!$C$43:$E$64,3,FALSE))</f>
        <v>#N/A</v>
      </c>
      <c r="Z1547" cm="1">
        <f t="array" ref="Z1547">IFERROR(IF(_xlfn._xlws.FILTER(game_rosters!$J:$J,(game_rosters!$G:$G=events!$AN1547)*(game_rosters!$J:$J=events!$X1547))&gt;0,1,""),"")</f>
        <v>1</v>
      </c>
      <c r="AA1547">
        <f t="shared" si="1363"/>
        <v>1830</v>
      </c>
      <c r="AB1547" t="str">
        <f t="shared" si="1364"/>
        <v/>
      </c>
      <c r="AC1547">
        <f t="shared" si="1402"/>
        <v>1830</v>
      </c>
      <c r="AD1547" s="6">
        <v>2</v>
      </c>
      <c r="AE1547" t="s">
        <v>942</v>
      </c>
      <c r="AF1547" t="s">
        <v>920</v>
      </c>
      <c r="AG1547" t="s">
        <v>756</v>
      </c>
      <c r="AH1547" t="s">
        <v>756</v>
      </c>
      <c r="AI1547" t="s">
        <v>367</v>
      </c>
      <c r="AJ1547" t="str">
        <f t="shared" ref="AJ1547:AK1547" si="1435">IF($J1547&lt;&gt;"",$J1547,IF($AC1547=$AC1546,AJ1546,""))</f>
        <v/>
      </c>
      <c r="AK1547" t="str">
        <f t="shared" si="1435"/>
        <v/>
      </c>
      <c r="AL1547" t="str">
        <f t="shared" si="1407"/>
        <v/>
      </c>
      <c r="AN1547" t="s">
        <v>862</v>
      </c>
      <c r="AO1547" t="str">
        <f t="shared" si="1408"/>
        <v>a</v>
      </c>
      <c r="AP1547" t="str">
        <f t="shared" si="1416"/>
        <v/>
      </c>
      <c r="AQ1547" t="str">
        <f t="shared" si="1417"/>
        <v/>
      </c>
      <c r="AR1547" t="str">
        <f t="shared" si="1418"/>
        <v>Away</v>
      </c>
      <c r="AS1547" t="str">
        <f t="shared" si="1419"/>
        <v>a</v>
      </c>
      <c r="AT1547" t="str">
        <f t="shared" si="1420"/>
        <v>Offensive</v>
      </c>
      <c r="BA1547" s="6">
        <f t="shared" si="1409"/>
        <v>356</v>
      </c>
      <c r="BB1547">
        <f t="shared" si="1410"/>
        <v>18981</v>
      </c>
      <c r="BC1547" t="str">
        <f t="shared" si="1411"/>
        <v>Nelson</v>
      </c>
      <c r="BD1547" t="str">
        <f t="shared" si="1412"/>
        <v>Velodrome</v>
      </c>
      <c r="BE1547" t="s">
        <v>238</v>
      </c>
      <c r="BF1547" t="s">
        <v>193</v>
      </c>
      <c r="BG1547" t="s">
        <v>91</v>
      </c>
      <c r="BI1547" cm="1">
        <f t="array" ref="BI1547">IFERROR(_xlfn._xlws.FILTER(shifts!A:A,(shifts!B:B=events!AD1547)*(shifts!AG:AG&gt;=events!BK1547)*(shifts!AH:AH&lt;=events!BL1547)),BI1546)</f>
        <v>66</v>
      </c>
      <c r="BJ1547" s="15">
        <f t="shared" si="1413"/>
        <v>0</v>
      </c>
      <c r="BK1547">
        <f t="shared" si="1421"/>
        <v>129</v>
      </c>
      <c r="BL1547">
        <f t="shared" si="1422"/>
        <v>129</v>
      </c>
      <c r="BM1547" s="15">
        <f>SUMIFS(BJ$2:BJ1547,K$2:K1547,"=Intermission")+SUMIFS(BJ$2:BJ1547,K$2:K1547,"=Timeout")</f>
        <v>72</v>
      </c>
      <c r="BN1547">
        <f t="shared" si="1423"/>
        <v>1152</v>
      </c>
      <c r="BO1547" s="19">
        <f t="shared" si="1424"/>
        <v>2103</v>
      </c>
      <c r="BP1547">
        <f t="shared" si="1425"/>
        <v>2098</v>
      </c>
      <c r="BQ1547" s="17">
        <f t="shared" si="1426"/>
        <v>2103</v>
      </c>
      <c r="BR1547" t="str">
        <f t="shared" si="1427"/>
        <v>event_team_player_1</v>
      </c>
      <c r="BS1547">
        <f>COUNTIFS(S$3:S1547,"="&amp;S1547,AI$3:AI1547,"="&amp;AI1547)</f>
        <v>1</v>
      </c>
      <c r="BT1547" t="str">
        <f>IFERROR(VLOOKUP(BB1547&amp;BU1547&amp;X1547,game_rosters!U:W,3,FALSE),"")</f>
        <v>P100002</v>
      </c>
      <c r="BU1547" t="str">
        <f t="shared" si="1428"/>
        <v>Velodrome</v>
      </c>
    </row>
    <row r="1548" spans="1:73" x14ac:dyDescent="0.2">
      <c r="A1548">
        <f t="shared" si="1414"/>
        <v>1</v>
      </c>
      <c r="J1548" s="44" t="str">
        <f t="shared" si="1429"/>
        <v/>
      </c>
      <c r="K1548" t="s">
        <v>13</v>
      </c>
      <c r="L1548" t="s">
        <v>756</v>
      </c>
      <c r="M1548" t="s">
        <v>756</v>
      </c>
      <c r="S1548">
        <v>831</v>
      </c>
      <c r="W1548" t="str">
        <f t="shared" si="1405"/>
        <v>a</v>
      </c>
      <c r="X1548">
        <v>91</v>
      </c>
      <c r="Y1548" t="e">
        <f>IF(X1548&lt;&gt;"",VLOOKUP(X1548,game_rosters!$C$43:$E$64,3,FALSE))</f>
        <v>#N/A</v>
      </c>
      <c r="Z1548" cm="1">
        <f t="array" ref="Z1548">IFERROR(IF(_xlfn._xlws.FILTER(game_rosters!$J:$J,(game_rosters!$G:$G=events!$AN1548)*(game_rosters!$J:$J=events!$X1548))&gt;0,1,""),"")</f>
        <v>1</v>
      </c>
      <c r="AA1548">
        <f t="shared" si="1363"/>
        <v>1831</v>
      </c>
      <c r="AB1548" t="str">
        <f t="shared" si="1364"/>
        <v/>
      </c>
      <c r="AC1548">
        <f t="shared" si="1402"/>
        <v>1831</v>
      </c>
      <c r="AD1548" s="6">
        <v>2</v>
      </c>
      <c r="AE1548" t="s">
        <v>942</v>
      </c>
      <c r="AF1548" t="s">
        <v>920</v>
      </c>
      <c r="AG1548" t="s">
        <v>942</v>
      </c>
      <c r="AH1548" t="s">
        <v>747</v>
      </c>
      <c r="AI1548" t="s">
        <v>367</v>
      </c>
      <c r="AJ1548" t="str">
        <f t="shared" ref="AJ1548:AK1548" si="1436">IF($J1548&lt;&gt;"",$J1548,IF($AC1548=$AC1547,AJ1547,""))</f>
        <v/>
      </c>
      <c r="AK1548" t="str">
        <f t="shared" si="1436"/>
        <v/>
      </c>
      <c r="AL1548" t="str">
        <f t="shared" si="1407"/>
        <v/>
      </c>
      <c r="AN1548" t="s">
        <v>862</v>
      </c>
      <c r="AO1548" t="str">
        <f t="shared" si="1408"/>
        <v>a</v>
      </c>
      <c r="AP1548" t="str">
        <f t="shared" si="1416"/>
        <v/>
      </c>
      <c r="AQ1548" t="str">
        <f t="shared" si="1417"/>
        <v/>
      </c>
      <c r="AR1548" t="str">
        <f t="shared" si="1418"/>
        <v>Away</v>
      </c>
      <c r="AS1548" t="str">
        <f t="shared" si="1419"/>
        <v>a</v>
      </c>
      <c r="AT1548" t="str">
        <f t="shared" si="1420"/>
        <v>Offensive</v>
      </c>
      <c r="BA1548" s="6">
        <f t="shared" si="1409"/>
        <v>356</v>
      </c>
      <c r="BB1548">
        <f t="shared" si="1410"/>
        <v>18981</v>
      </c>
      <c r="BC1548" t="str">
        <f t="shared" si="1411"/>
        <v>Nelson</v>
      </c>
      <c r="BD1548" t="str">
        <f t="shared" si="1412"/>
        <v>Velodrome</v>
      </c>
      <c r="BE1548" t="s">
        <v>13</v>
      </c>
      <c r="BF1548" t="s">
        <v>756</v>
      </c>
      <c r="BG1548" t="s">
        <v>756</v>
      </c>
      <c r="BI1548" cm="1">
        <f t="array" ref="BI1548">IFERROR(_xlfn._xlws.FILTER(shifts!A:A,(shifts!B:B=events!AD1548)*(shifts!AG:AG&gt;=events!BK1548)*(shifts!AH:AH&lt;=events!BL1548)),BI1547)</f>
        <v>66</v>
      </c>
      <c r="BJ1548" s="15">
        <f t="shared" si="1413"/>
        <v>2</v>
      </c>
      <c r="BK1548">
        <f t="shared" si="1421"/>
        <v>129</v>
      </c>
      <c r="BL1548">
        <f t="shared" si="1422"/>
        <v>127</v>
      </c>
      <c r="BM1548" s="15">
        <f>SUMIFS(BJ$2:BJ1548,K$2:K1548,"=Intermission")+SUMIFS(BJ$2:BJ1548,K$2:K1548,"=Timeout")</f>
        <v>72</v>
      </c>
      <c r="BN1548">
        <f t="shared" si="1423"/>
        <v>1152</v>
      </c>
      <c r="BO1548" s="19">
        <f t="shared" si="1424"/>
        <v>2103</v>
      </c>
      <c r="BP1548">
        <f t="shared" si="1425"/>
        <v>2098</v>
      </c>
      <c r="BQ1548" s="17">
        <f t="shared" si="1426"/>
        <v>2105</v>
      </c>
      <c r="BR1548" t="str">
        <f t="shared" si="1427"/>
        <v>event_team_player_1</v>
      </c>
      <c r="BS1548">
        <f>COUNTIFS(S$3:S1548,"="&amp;S1548,AI$3:AI1548,"="&amp;AI1548)</f>
        <v>1</v>
      </c>
      <c r="BT1548" t="str">
        <f>IFERROR(VLOOKUP(BB1548&amp;BU1548&amp;X1548,game_rosters!U:W,3,FALSE),"")</f>
        <v>P100002</v>
      </c>
      <c r="BU1548" t="str">
        <f t="shared" si="1428"/>
        <v>Velodrome</v>
      </c>
    </row>
    <row r="1549" spans="1:73" x14ac:dyDescent="0.2">
      <c r="A1549">
        <f t="shared" si="1414"/>
        <v>1</v>
      </c>
      <c r="J1549" s="44" t="str">
        <f t="shared" si="1429"/>
        <v/>
      </c>
      <c r="K1549" t="s">
        <v>9</v>
      </c>
      <c r="L1549" t="s">
        <v>173</v>
      </c>
      <c r="M1549" t="s">
        <v>391</v>
      </c>
      <c r="S1549">
        <v>831</v>
      </c>
      <c r="W1549" t="str">
        <f t="shared" si="1405"/>
        <v>a</v>
      </c>
      <c r="X1549">
        <v>91</v>
      </c>
      <c r="Y1549" t="e">
        <f>IF(X1549&lt;&gt;"",VLOOKUP(X1549,game_rosters!$C$43:$E$64,3,FALSE))</f>
        <v>#N/A</v>
      </c>
      <c r="Z1549" cm="1">
        <f t="array" ref="Z1549">IFERROR(IF(_xlfn._xlws.FILTER(game_rosters!$J:$J,(game_rosters!$G:$G=events!$AN1549)*(game_rosters!$J:$J=events!$X1549))&gt;0,1,""),"")</f>
        <v>1</v>
      </c>
      <c r="AA1549">
        <f t="shared" si="1363"/>
        <v>1831</v>
      </c>
      <c r="AB1549" t="str">
        <f t="shared" si="1364"/>
        <v/>
      </c>
      <c r="AC1549">
        <f t="shared" si="1402"/>
        <v>1831</v>
      </c>
      <c r="AD1549" s="6">
        <v>2</v>
      </c>
      <c r="AE1549" t="s">
        <v>942</v>
      </c>
      <c r="AF1549" t="s">
        <v>920</v>
      </c>
      <c r="AG1549" t="s">
        <v>942</v>
      </c>
      <c r="AH1549" t="s">
        <v>747</v>
      </c>
      <c r="AI1549" t="s">
        <v>367</v>
      </c>
      <c r="AJ1549" t="str">
        <f t="shared" ref="AJ1549:AK1549" si="1437">IF($J1549&lt;&gt;"",$J1549,IF($AC1549=$AC1548,AJ1548,""))</f>
        <v/>
      </c>
      <c r="AK1549" t="str">
        <f t="shared" si="1437"/>
        <v/>
      </c>
      <c r="AL1549" t="str">
        <f t="shared" si="1407"/>
        <v/>
      </c>
      <c r="AN1549" t="s">
        <v>862</v>
      </c>
      <c r="AO1549" t="str">
        <f t="shared" si="1408"/>
        <v>a</v>
      </c>
      <c r="AP1549" t="str">
        <f t="shared" si="1416"/>
        <v/>
      </c>
      <c r="AQ1549" t="str">
        <f t="shared" si="1417"/>
        <v/>
      </c>
      <c r="AR1549" t="str">
        <f t="shared" si="1418"/>
        <v>Away</v>
      </c>
      <c r="AS1549" t="str">
        <f t="shared" si="1419"/>
        <v>a</v>
      </c>
      <c r="AT1549" t="str">
        <f t="shared" si="1420"/>
        <v>Offensive</v>
      </c>
      <c r="BA1549" s="6">
        <f t="shared" si="1409"/>
        <v>356</v>
      </c>
      <c r="BB1549">
        <f t="shared" si="1410"/>
        <v>18981</v>
      </c>
      <c r="BC1549" t="str">
        <f t="shared" si="1411"/>
        <v>Nelson</v>
      </c>
      <c r="BD1549" t="str">
        <f t="shared" si="1412"/>
        <v>Velodrome</v>
      </c>
      <c r="BE1549" t="s">
        <v>9</v>
      </c>
      <c r="BF1549" t="s">
        <v>173</v>
      </c>
      <c r="BG1549" t="s">
        <v>391</v>
      </c>
      <c r="BI1549" cm="1">
        <f t="array" ref="BI1549">IFERROR(_xlfn._xlws.FILTER(shifts!A:A,(shifts!B:B=events!AD1549)*(shifts!AG:AG&gt;=events!BK1549)*(shifts!AH:AH&lt;=events!BL1549)),BI1548)</f>
        <v>66</v>
      </c>
      <c r="BJ1549" s="15">
        <f t="shared" si="1413"/>
        <v>2</v>
      </c>
      <c r="BK1549">
        <f t="shared" si="1421"/>
        <v>129</v>
      </c>
      <c r="BL1549">
        <f t="shared" si="1422"/>
        <v>127</v>
      </c>
      <c r="BM1549" s="15">
        <f>SUMIFS(BJ$2:BJ1549,K$2:K1549,"=Intermission")+SUMIFS(BJ$2:BJ1549,K$2:K1549,"=Timeout")</f>
        <v>72</v>
      </c>
      <c r="BN1549">
        <f t="shared" si="1423"/>
        <v>1152</v>
      </c>
      <c r="BO1549" s="19">
        <f t="shared" si="1424"/>
        <v>2103</v>
      </c>
      <c r="BP1549">
        <f t="shared" si="1425"/>
        <v>2098</v>
      </c>
      <c r="BQ1549" s="17">
        <f t="shared" si="1426"/>
        <v>2105</v>
      </c>
      <c r="BR1549" t="str">
        <f t="shared" si="1427"/>
        <v>event_team_player_2</v>
      </c>
      <c r="BS1549">
        <f>COUNTIFS(S$3:S1549,"="&amp;S1549,AI$3:AI1549,"="&amp;AI1549)</f>
        <v>2</v>
      </c>
      <c r="BT1549" t="str">
        <f>IFERROR(VLOOKUP(BB1549&amp;BU1549&amp;X1549,game_rosters!U:W,3,FALSE),"")</f>
        <v>P100002</v>
      </c>
      <c r="BU1549" t="str">
        <f t="shared" si="1428"/>
        <v>Velodrome</v>
      </c>
    </row>
    <row r="1550" spans="1:73" x14ac:dyDescent="0.2">
      <c r="A1550">
        <f t="shared" si="1414"/>
        <v>1</v>
      </c>
      <c r="J1550" s="44" t="str">
        <f t="shared" si="1429"/>
        <v/>
      </c>
      <c r="K1550" t="s">
        <v>7</v>
      </c>
      <c r="L1550" t="s">
        <v>182</v>
      </c>
      <c r="M1550" t="s">
        <v>66</v>
      </c>
      <c r="S1550">
        <v>832</v>
      </c>
      <c r="W1550" t="str">
        <f t="shared" si="1405"/>
        <v>h</v>
      </c>
      <c r="X1550">
        <v>23</v>
      </c>
      <c r="Y1550" t="b">
        <f>IF(X1550&lt;&gt;"",VLOOKUP(X1550,game_rosters!$C$43:$E$64,3,FALSE))</f>
        <v>0</v>
      </c>
      <c r="Z1550" cm="1">
        <f t="array" ref="Z1550">IFERROR(IF(_xlfn._xlws.FILTER(game_rosters!$J:$J,(game_rosters!$G:$G=events!$AN1550)*(game_rosters!$J:$J=events!$X1550))&gt;0,1,""),"")</f>
        <v>1</v>
      </c>
      <c r="AA1550">
        <f t="shared" si="1363"/>
        <v>1832</v>
      </c>
      <c r="AB1550" t="str">
        <f t="shared" si="1364"/>
        <v/>
      </c>
      <c r="AC1550">
        <f t="shared" si="1402"/>
        <v>1832</v>
      </c>
      <c r="AD1550" s="6">
        <v>2</v>
      </c>
      <c r="AE1550" t="s">
        <v>942</v>
      </c>
      <c r="AF1550" t="s">
        <v>913</v>
      </c>
      <c r="AG1550" t="s">
        <v>756</v>
      </c>
      <c r="AH1550" t="s">
        <v>756</v>
      </c>
      <c r="AI1550" t="s">
        <v>367</v>
      </c>
      <c r="AJ1550" t="str">
        <f t="shared" ref="AJ1550:AK1550" si="1438">IF($J1550&lt;&gt;"",$J1550,IF($AC1550=$AC1549,AJ1549,""))</f>
        <v/>
      </c>
      <c r="AK1550" t="str">
        <f t="shared" si="1438"/>
        <v/>
      </c>
      <c r="AL1550" t="str">
        <f t="shared" si="1407"/>
        <v/>
      </c>
      <c r="AN1550" t="s">
        <v>861</v>
      </c>
      <c r="AO1550" t="str">
        <f t="shared" si="1408"/>
        <v>h</v>
      </c>
      <c r="AP1550" t="str">
        <f t="shared" si="1416"/>
        <v/>
      </c>
      <c r="AQ1550" t="str">
        <f t="shared" si="1417"/>
        <v/>
      </c>
      <c r="AR1550" t="str">
        <f t="shared" si="1418"/>
        <v>Home</v>
      </c>
      <c r="AS1550" t="str">
        <f t="shared" si="1419"/>
        <v>h</v>
      </c>
      <c r="AT1550" t="str">
        <f t="shared" si="1420"/>
        <v>Offensive</v>
      </c>
      <c r="BA1550" s="6">
        <f t="shared" si="1409"/>
        <v>356</v>
      </c>
      <c r="BB1550">
        <f t="shared" si="1410"/>
        <v>18981</v>
      </c>
      <c r="BC1550" t="str">
        <f t="shared" si="1411"/>
        <v>Nelson</v>
      </c>
      <c r="BD1550" t="str">
        <f t="shared" si="1412"/>
        <v>Velodrome</v>
      </c>
      <c r="BE1550" t="s">
        <v>7</v>
      </c>
      <c r="BF1550" t="s">
        <v>182</v>
      </c>
      <c r="BG1550" t="s">
        <v>66</v>
      </c>
      <c r="BI1550">
        <v>66</v>
      </c>
      <c r="BJ1550" s="15">
        <f t="shared" si="1413"/>
        <v>0</v>
      </c>
      <c r="BK1550">
        <f t="shared" si="1421"/>
        <v>122</v>
      </c>
      <c r="BL1550">
        <f t="shared" si="1422"/>
        <v>122</v>
      </c>
      <c r="BM1550" s="15">
        <f>SUMIFS(BJ$2:BJ1550,K$2:K1550,"=Intermission")+SUMIFS(BJ$2:BJ1550,K$2:K1550,"=Timeout")</f>
        <v>72</v>
      </c>
      <c r="BN1550">
        <f t="shared" si="1423"/>
        <v>1152</v>
      </c>
      <c r="BO1550" s="19">
        <f t="shared" si="1424"/>
        <v>2110</v>
      </c>
      <c r="BP1550">
        <f t="shared" si="1425"/>
        <v>2105</v>
      </c>
      <c r="BQ1550" s="17">
        <f t="shared" si="1426"/>
        <v>2110</v>
      </c>
      <c r="BR1550" t="str">
        <f t="shared" si="1427"/>
        <v>event_team_player_1</v>
      </c>
      <c r="BS1550">
        <f>COUNTIFS(S$3:S1550,"="&amp;S1550,AI$3:AI1550,"="&amp;AI1550)</f>
        <v>1</v>
      </c>
      <c r="BT1550" t="str">
        <f>IFERROR(VLOOKUP(BB1550&amp;BU1550&amp;X1550,game_rosters!U:W,3,FALSE),"")</f>
        <v>P100061</v>
      </c>
      <c r="BU1550" t="str">
        <f t="shared" si="1428"/>
        <v>Nelson</v>
      </c>
    </row>
    <row r="1551" spans="1:73" x14ac:dyDescent="0.2">
      <c r="A1551">
        <f t="shared" si="1414"/>
        <v>1</v>
      </c>
      <c r="J1551" s="44" t="str">
        <f t="shared" si="1429"/>
        <v/>
      </c>
      <c r="K1551" t="s">
        <v>7</v>
      </c>
      <c r="L1551" t="s">
        <v>182</v>
      </c>
      <c r="M1551" t="s">
        <v>66</v>
      </c>
      <c r="S1551">
        <v>832</v>
      </c>
      <c r="W1551" t="str">
        <f t="shared" si="1405"/>
        <v>h</v>
      </c>
      <c r="X1551">
        <v>44</v>
      </c>
      <c r="Y1551" t="b">
        <f>IF(X1551&lt;&gt;"",VLOOKUP(X1551,game_rosters!$C$43:$E$64,3,FALSE))</f>
        <v>0</v>
      </c>
      <c r="Z1551" cm="1">
        <f t="array" ref="Z1551">IFERROR(IF(_xlfn._xlws.FILTER(game_rosters!$J:$J,(game_rosters!$G:$G=events!$AN1551)*(game_rosters!$J:$J=events!$X1551))&gt;0,1,""),"")</f>
        <v>1</v>
      </c>
      <c r="AA1551">
        <f t="shared" si="1363"/>
        <v>1832</v>
      </c>
      <c r="AB1551" t="str">
        <f t="shared" si="1364"/>
        <v/>
      </c>
      <c r="AC1551">
        <f t="shared" si="1402"/>
        <v>1832</v>
      </c>
      <c r="AD1551" s="6">
        <v>2</v>
      </c>
      <c r="AE1551" t="s">
        <v>942</v>
      </c>
      <c r="AF1551" t="s">
        <v>913</v>
      </c>
      <c r="AG1551" t="s">
        <v>756</v>
      </c>
      <c r="AH1551" t="s">
        <v>756</v>
      </c>
      <c r="AI1551" t="s">
        <v>367</v>
      </c>
      <c r="AJ1551" t="str">
        <f t="shared" ref="AJ1551:AK1551" si="1439">IF($J1551&lt;&gt;"",$J1551,IF($AC1551=$AC1550,AJ1550,""))</f>
        <v/>
      </c>
      <c r="AK1551" t="str">
        <f t="shared" si="1439"/>
        <v/>
      </c>
      <c r="AL1551" t="str">
        <f t="shared" si="1407"/>
        <v/>
      </c>
      <c r="AN1551" t="s">
        <v>861</v>
      </c>
      <c r="AO1551" t="str">
        <f t="shared" si="1408"/>
        <v>h</v>
      </c>
      <c r="AP1551" t="str">
        <f t="shared" si="1416"/>
        <v/>
      </c>
      <c r="AQ1551" t="str">
        <f t="shared" si="1417"/>
        <v/>
      </c>
      <c r="AR1551" t="str">
        <f t="shared" si="1418"/>
        <v>Home</v>
      </c>
      <c r="AS1551" t="str">
        <f t="shared" si="1419"/>
        <v>h</v>
      </c>
      <c r="AT1551" t="str">
        <f t="shared" si="1420"/>
        <v>Offensive</v>
      </c>
      <c r="BA1551" s="6">
        <f t="shared" si="1409"/>
        <v>356</v>
      </c>
      <c r="BB1551">
        <f t="shared" si="1410"/>
        <v>18981</v>
      </c>
      <c r="BC1551" t="str">
        <f t="shared" si="1411"/>
        <v>Nelson</v>
      </c>
      <c r="BD1551" t="str">
        <f t="shared" si="1412"/>
        <v>Velodrome</v>
      </c>
      <c r="BE1551" t="s">
        <v>7</v>
      </c>
      <c r="BF1551" t="s">
        <v>182</v>
      </c>
      <c r="BG1551" t="s">
        <v>66</v>
      </c>
      <c r="BI1551">
        <v>66</v>
      </c>
      <c r="BJ1551" s="15">
        <f t="shared" si="1413"/>
        <v>0</v>
      </c>
      <c r="BK1551">
        <f t="shared" si="1421"/>
        <v>122</v>
      </c>
      <c r="BL1551">
        <f t="shared" si="1422"/>
        <v>122</v>
      </c>
      <c r="BM1551" s="15">
        <f>SUMIFS(BJ$2:BJ1551,K$2:K1551,"=Intermission")+SUMIFS(BJ$2:BJ1551,K$2:K1551,"=Timeout")</f>
        <v>72</v>
      </c>
      <c r="BN1551">
        <f t="shared" si="1423"/>
        <v>1152</v>
      </c>
      <c r="BO1551" s="19">
        <f t="shared" si="1424"/>
        <v>2110</v>
      </c>
      <c r="BP1551">
        <f t="shared" si="1425"/>
        <v>2105</v>
      </c>
      <c r="BQ1551" s="17">
        <f t="shared" si="1426"/>
        <v>2110</v>
      </c>
      <c r="BR1551" t="str">
        <f t="shared" si="1427"/>
        <v>event_team_player_2</v>
      </c>
      <c r="BS1551">
        <f>COUNTIFS(S$3:S1551,"="&amp;S1551,AI$3:AI1551,"="&amp;AI1551)</f>
        <v>2</v>
      </c>
      <c r="BT1551" t="str">
        <f>IFERROR(VLOOKUP(BB1551&amp;BU1551&amp;X1551,game_rosters!U:W,3,FALSE),"")</f>
        <v>P100079</v>
      </c>
      <c r="BU1551" t="str">
        <f t="shared" si="1428"/>
        <v>Nelson</v>
      </c>
    </row>
    <row r="1552" spans="1:73" x14ac:dyDescent="0.2">
      <c r="A1552">
        <f t="shared" si="1414"/>
        <v>1</v>
      </c>
      <c r="J1552" s="44" t="str">
        <f t="shared" si="1429"/>
        <v>d</v>
      </c>
      <c r="K1552" t="s">
        <v>238</v>
      </c>
      <c r="L1552" t="s">
        <v>184</v>
      </c>
      <c r="M1552" t="s">
        <v>376</v>
      </c>
      <c r="S1552">
        <v>833</v>
      </c>
      <c r="W1552" t="str">
        <f t="shared" si="1405"/>
        <v>h</v>
      </c>
      <c r="X1552">
        <v>23</v>
      </c>
      <c r="Y1552" t="b">
        <f>IF(X1552&lt;&gt;"",VLOOKUP(X1552,game_rosters!$C$43:$E$64,3,FALSE))</f>
        <v>0</v>
      </c>
      <c r="Z1552" cm="1">
        <f t="array" ref="Z1552">IFERROR(IF(_xlfn._xlws.FILTER(game_rosters!$J:$J,(game_rosters!$G:$G=events!$AN1552)*(game_rosters!$J:$J=events!$X1552))&gt;0,1,""),"")</f>
        <v>1</v>
      </c>
      <c r="AA1552">
        <f t="shared" si="1363"/>
        <v>1833</v>
      </c>
      <c r="AB1552" t="str">
        <f t="shared" si="1364"/>
        <v/>
      </c>
      <c r="AC1552">
        <f t="shared" si="1402"/>
        <v>1833</v>
      </c>
      <c r="AD1552" s="6">
        <v>2</v>
      </c>
      <c r="AE1552" t="s">
        <v>943</v>
      </c>
      <c r="AF1552" t="s">
        <v>896</v>
      </c>
      <c r="AG1552" t="s">
        <v>756</v>
      </c>
      <c r="AH1552" t="s">
        <v>756</v>
      </c>
      <c r="AI1552" t="s">
        <v>367</v>
      </c>
      <c r="AJ1552" t="str">
        <f t="shared" ref="AJ1552:AK1552" si="1440">IF($J1552&lt;&gt;"",$J1552,IF($AC1552=$AC1551,AJ1551,""))</f>
        <v>d</v>
      </c>
      <c r="AK1552" t="str">
        <f t="shared" si="1440"/>
        <v>d</v>
      </c>
      <c r="AL1552" t="str">
        <f t="shared" si="1407"/>
        <v>d</v>
      </c>
      <c r="AN1552" t="s">
        <v>861</v>
      </c>
      <c r="AO1552" t="str">
        <f t="shared" si="1408"/>
        <v>h</v>
      </c>
      <c r="AP1552" t="str">
        <f t="shared" si="1416"/>
        <v>d</v>
      </c>
      <c r="AQ1552" t="str">
        <f t="shared" si="1417"/>
        <v/>
      </c>
      <c r="AR1552" t="str">
        <f t="shared" si="1418"/>
        <v>Home</v>
      </c>
      <c r="AS1552" t="str">
        <f t="shared" si="1419"/>
        <v>h</v>
      </c>
      <c r="AT1552" t="str">
        <f t="shared" si="1420"/>
        <v>Offensive</v>
      </c>
      <c r="BA1552" s="6">
        <f t="shared" si="1409"/>
        <v>357</v>
      </c>
      <c r="BB1552">
        <f t="shared" si="1410"/>
        <v>18981</v>
      </c>
      <c r="BC1552" t="str">
        <f t="shared" si="1411"/>
        <v>Nelson</v>
      </c>
      <c r="BD1552" t="str">
        <f t="shared" si="1412"/>
        <v>Velodrome</v>
      </c>
      <c r="BE1552" t="s">
        <v>238</v>
      </c>
      <c r="BF1552" t="s">
        <v>184</v>
      </c>
      <c r="BG1552" t="s">
        <v>376</v>
      </c>
      <c r="BI1552" cm="1">
        <f t="array" ref="BI1552">IFERROR(_xlfn._xlws.FILTER(shifts!A:A,(shifts!B:B=events!AD1552)*(shifts!AG:AG&gt;=events!BK1552)*(shifts!AH:AH&lt;=events!BL1552)),BI1551)</f>
        <v>68</v>
      </c>
      <c r="BJ1552" s="15">
        <f t="shared" si="1413"/>
        <v>0</v>
      </c>
      <c r="BK1552">
        <f t="shared" si="1421"/>
        <v>119</v>
      </c>
      <c r="BL1552">
        <f t="shared" si="1422"/>
        <v>119</v>
      </c>
      <c r="BM1552" s="15">
        <f>SUMIFS(BJ$2:BJ1552,K$2:K1552,"=Intermission")+SUMIFS(BJ$2:BJ1552,K$2:K1552,"=Timeout")</f>
        <v>72</v>
      </c>
      <c r="BN1552">
        <f t="shared" si="1423"/>
        <v>1152</v>
      </c>
      <c r="BO1552" s="19">
        <f t="shared" si="1424"/>
        <v>2113</v>
      </c>
      <c r="BP1552">
        <f t="shared" si="1425"/>
        <v>2108</v>
      </c>
      <c r="BQ1552" s="17">
        <f t="shared" si="1426"/>
        <v>2113</v>
      </c>
      <c r="BR1552" t="str">
        <f t="shared" si="1427"/>
        <v>event_team_player_1</v>
      </c>
      <c r="BS1552">
        <f>COUNTIFS(S$3:S1552,"="&amp;S1552,AI$3:AI1552,"="&amp;AI1552)</f>
        <v>1</v>
      </c>
      <c r="BT1552" t="str">
        <f>IFERROR(VLOOKUP(BB1552&amp;BU1552&amp;X1552,game_rosters!U:W,3,FALSE),"")</f>
        <v>P100061</v>
      </c>
      <c r="BU1552" t="str">
        <f t="shared" si="1428"/>
        <v>Nelson</v>
      </c>
    </row>
    <row r="1553" spans="1:73" x14ac:dyDescent="0.2">
      <c r="A1553">
        <f t="shared" si="1414"/>
        <v>1</v>
      </c>
      <c r="J1553" s="44" t="str">
        <f t="shared" si="1429"/>
        <v>d</v>
      </c>
      <c r="K1553" t="s">
        <v>238</v>
      </c>
      <c r="L1553" t="s">
        <v>184</v>
      </c>
      <c r="M1553" t="s">
        <v>376</v>
      </c>
      <c r="S1553">
        <v>833</v>
      </c>
      <c r="W1553" t="str">
        <f t="shared" si="1405"/>
        <v>h</v>
      </c>
      <c r="X1553">
        <v>44</v>
      </c>
      <c r="Y1553" t="b">
        <f>IF(X1553&lt;&gt;"",VLOOKUP(X1553,game_rosters!$C$43:$E$64,3,FALSE))</f>
        <v>0</v>
      </c>
      <c r="Z1553" cm="1">
        <f t="array" ref="Z1553">IFERROR(IF(_xlfn._xlws.FILTER(game_rosters!$J:$J,(game_rosters!$G:$G=events!$AN1553)*(game_rosters!$J:$J=events!$X1553))&gt;0,1,""),"")</f>
        <v>1</v>
      </c>
      <c r="AA1553">
        <f t="shared" si="1363"/>
        <v>1833</v>
      </c>
      <c r="AB1553" t="str">
        <f t="shared" si="1364"/>
        <v/>
      </c>
      <c r="AC1553">
        <f t="shared" si="1402"/>
        <v>1833</v>
      </c>
      <c r="AD1553" s="6">
        <v>2</v>
      </c>
      <c r="AE1553" t="s">
        <v>943</v>
      </c>
      <c r="AF1553" t="s">
        <v>896</v>
      </c>
      <c r="AG1553" t="s">
        <v>756</v>
      </c>
      <c r="AH1553" t="s">
        <v>756</v>
      </c>
      <c r="AI1553" t="s">
        <v>367</v>
      </c>
      <c r="AJ1553" t="str">
        <f t="shared" ref="AJ1553:AK1553" si="1441">IF($J1553&lt;&gt;"",$J1553,IF($AC1553=$AC1552,AJ1552,""))</f>
        <v>d</v>
      </c>
      <c r="AK1553" t="str">
        <f t="shared" si="1441"/>
        <v>d</v>
      </c>
      <c r="AL1553" t="str">
        <f t="shared" si="1407"/>
        <v>d</v>
      </c>
      <c r="AN1553" t="s">
        <v>861</v>
      </c>
      <c r="AO1553" t="str">
        <f t="shared" si="1408"/>
        <v>h</v>
      </c>
      <c r="AP1553" t="str">
        <f t="shared" si="1416"/>
        <v>d</v>
      </c>
      <c r="AQ1553" t="str">
        <f t="shared" si="1417"/>
        <v/>
      </c>
      <c r="AR1553" t="str">
        <f t="shared" si="1418"/>
        <v>Home</v>
      </c>
      <c r="AS1553" t="str">
        <f t="shared" si="1419"/>
        <v>h</v>
      </c>
      <c r="AT1553" t="str">
        <f t="shared" si="1420"/>
        <v>Offensive</v>
      </c>
      <c r="BA1553" s="6">
        <f t="shared" si="1409"/>
        <v>358</v>
      </c>
      <c r="BB1553">
        <f t="shared" si="1410"/>
        <v>18981</v>
      </c>
      <c r="BC1553" t="str">
        <f t="shared" si="1411"/>
        <v>Nelson</v>
      </c>
      <c r="BD1553" t="str">
        <f t="shared" si="1412"/>
        <v>Velodrome</v>
      </c>
      <c r="BE1553" t="s">
        <v>238</v>
      </c>
      <c r="BF1553" t="s">
        <v>184</v>
      </c>
      <c r="BG1553" t="s">
        <v>376</v>
      </c>
      <c r="BI1553" cm="1">
        <f t="array" ref="BI1553">IFERROR(_xlfn._xlws.FILTER(shifts!A:A,(shifts!B:B=events!AD1553)*(shifts!AG:AG&gt;=events!BK1553)*(shifts!AH:AH&lt;=events!BL1553)),BI1552)</f>
        <v>68</v>
      </c>
      <c r="BJ1553" s="15">
        <f t="shared" si="1413"/>
        <v>0</v>
      </c>
      <c r="BK1553">
        <f t="shared" si="1421"/>
        <v>119</v>
      </c>
      <c r="BL1553">
        <f t="shared" si="1422"/>
        <v>119</v>
      </c>
      <c r="BM1553" s="15">
        <f>SUMIFS(BJ$2:BJ1553,K$2:K1553,"=Intermission")+SUMIFS(BJ$2:BJ1553,K$2:K1553,"=Timeout")</f>
        <v>72</v>
      </c>
      <c r="BN1553">
        <f t="shared" si="1423"/>
        <v>1152</v>
      </c>
      <c r="BO1553" s="19">
        <f t="shared" si="1424"/>
        <v>2113</v>
      </c>
      <c r="BP1553">
        <f t="shared" si="1425"/>
        <v>2108</v>
      </c>
      <c r="BQ1553" s="17">
        <f t="shared" si="1426"/>
        <v>2113</v>
      </c>
      <c r="BR1553" t="str">
        <f t="shared" si="1427"/>
        <v>event_team_player_2</v>
      </c>
      <c r="BS1553">
        <f>COUNTIFS(S$3:S1553,"="&amp;S1553,AI$3:AI1553,"="&amp;AI1553)</f>
        <v>2</v>
      </c>
      <c r="BT1553" t="str">
        <f>IFERROR(VLOOKUP(BB1553&amp;BU1553&amp;X1553,game_rosters!U:W,3,FALSE),"")</f>
        <v>P100079</v>
      </c>
      <c r="BU1553" t="str">
        <f t="shared" si="1428"/>
        <v>Nelson</v>
      </c>
    </row>
    <row r="1554" spans="1:73" x14ac:dyDescent="0.2">
      <c r="A1554">
        <f t="shared" si="1414"/>
        <v>1</v>
      </c>
      <c r="J1554" s="44" t="str">
        <f t="shared" si="1429"/>
        <v/>
      </c>
      <c r="K1554" t="s">
        <v>9</v>
      </c>
      <c r="L1554" t="s">
        <v>173</v>
      </c>
      <c r="M1554" t="s">
        <v>71</v>
      </c>
      <c r="S1554">
        <v>834</v>
      </c>
      <c r="W1554" t="str">
        <f t="shared" si="1405"/>
        <v>h</v>
      </c>
      <c r="X1554">
        <v>44</v>
      </c>
      <c r="Y1554" t="b">
        <f>IF(X1554&lt;&gt;"",VLOOKUP(X1554,game_rosters!$C$43:$E$64,3,FALSE))</f>
        <v>0</v>
      </c>
      <c r="Z1554" cm="1">
        <f t="array" ref="Z1554">IFERROR(IF(_xlfn._xlws.FILTER(game_rosters!$J:$J,(game_rosters!$G:$G=events!$AN1554)*(game_rosters!$J:$J=events!$X1554))&gt;0,1,""),"")</f>
        <v>1</v>
      </c>
      <c r="AA1554">
        <f t="shared" si="1363"/>
        <v>1834</v>
      </c>
      <c r="AB1554" t="str">
        <f t="shared" si="1364"/>
        <v/>
      </c>
      <c r="AC1554">
        <f t="shared" si="1402"/>
        <v>1834</v>
      </c>
      <c r="AD1554" s="6">
        <v>2</v>
      </c>
      <c r="AE1554" t="s">
        <v>943</v>
      </c>
      <c r="AF1554" t="s">
        <v>733</v>
      </c>
      <c r="AG1554" t="s">
        <v>756</v>
      </c>
      <c r="AH1554" t="s">
        <v>756</v>
      </c>
      <c r="AI1554" t="s">
        <v>367</v>
      </c>
      <c r="AJ1554" t="str">
        <f t="shared" ref="AJ1554:AK1554" si="1442">IF($J1554&lt;&gt;"",$J1554,IF($AC1554=$AC1553,AJ1553,""))</f>
        <v/>
      </c>
      <c r="AK1554" t="str">
        <f t="shared" si="1442"/>
        <v/>
      </c>
      <c r="AL1554" t="str">
        <f t="shared" si="1407"/>
        <v/>
      </c>
      <c r="AN1554" t="s">
        <v>861</v>
      </c>
      <c r="AO1554" t="str">
        <f t="shared" si="1408"/>
        <v>h</v>
      </c>
      <c r="AP1554" t="str">
        <f t="shared" si="1416"/>
        <v/>
      </c>
      <c r="AQ1554" t="str">
        <f t="shared" si="1417"/>
        <v/>
      </c>
      <c r="AR1554" t="str">
        <f t="shared" si="1418"/>
        <v>Home</v>
      </c>
      <c r="AS1554" t="str">
        <f t="shared" si="1419"/>
        <v>h</v>
      </c>
      <c r="AT1554" t="str">
        <f t="shared" si="1420"/>
        <v>Offensive</v>
      </c>
      <c r="BA1554" s="6">
        <f t="shared" si="1409"/>
        <v>358</v>
      </c>
      <c r="BB1554">
        <f t="shared" si="1410"/>
        <v>18981</v>
      </c>
      <c r="BC1554" t="str">
        <f t="shared" si="1411"/>
        <v>Nelson</v>
      </c>
      <c r="BD1554" t="str">
        <f t="shared" si="1412"/>
        <v>Velodrome</v>
      </c>
      <c r="BE1554" t="s">
        <v>9</v>
      </c>
      <c r="BF1554" t="s">
        <v>173</v>
      </c>
      <c r="BG1554" t="s">
        <v>71</v>
      </c>
      <c r="BI1554" cm="1">
        <f t="array" ref="BI1554">IFERROR(_xlfn._xlws.FILTER(shifts!A:A,(shifts!B:B=events!AD1554)*(shifts!AG:AG&gt;=events!BK1554)*(shifts!AH:AH&lt;=events!BL1554)),BI1553)</f>
        <v>68</v>
      </c>
      <c r="BJ1554" s="15">
        <f t="shared" si="1413"/>
        <v>0</v>
      </c>
      <c r="BK1554">
        <f t="shared" si="1421"/>
        <v>116</v>
      </c>
      <c r="BL1554">
        <f t="shared" si="1422"/>
        <v>116</v>
      </c>
      <c r="BM1554" s="15">
        <f>SUMIFS(BJ$2:BJ1554,K$2:K1554,"=Intermission")+SUMIFS(BJ$2:BJ1554,K$2:K1554,"=Timeout")</f>
        <v>72</v>
      </c>
      <c r="BN1554">
        <f t="shared" si="1423"/>
        <v>1152</v>
      </c>
      <c r="BO1554" s="19">
        <f t="shared" si="1424"/>
        <v>2116</v>
      </c>
      <c r="BP1554">
        <f t="shared" si="1425"/>
        <v>2111</v>
      </c>
      <c r="BQ1554" s="17">
        <f t="shared" si="1426"/>
        <v>2116</v>
      </c>
      <c r="BR1554" t="str">
        <f t="shared" si="1427"/>
        <v>event_team_player_1</v>
      </c>
      <c r="BS1554">
        <f>COUNTIFS(S$3:S1554,"="&amp;S1554,AI$3:AI1554,"="&amp;AI1554)</f>
        <v>1</v>
      </c>
      <c r="BT1554" t="str">
        <f>IFERROR(VLOOKUP(BB1554&amp;BU1554&amp;X1554,game_rosters!U:W,3,FALSE),"")</f>
        <v>P100079</v>
      </c>
      <c r="BU1554" t="str">
        <f t="shared" si="1428"/>
        <v>Nelson</v>
      </c>
    </row>
    <row r="1555" spans="1:73" x14ac:dyDescent="0.2">
      <c r="A1555">
        <f t="shared" si="1414"/>
        <v>1</v>
      </c>
      <c r="J1555" s="44" t="str">
        <f t="shared" si="1429"/>
        <v/>
      </c>
      <c r="K1555" t="s">
        <v>9</v>
      </c>
      <c r="L1555" t="s">
        <v>173</v>
      </c>
      <c r="M1555" t="s">
        <v>365</v>
      </c>
      <c r="S1555">
        <v>835</v>
      </c>
      <c r="W1555" t="str">
        <f t="shared" si="1405"/>
        <v>a</v>
      </c>
      <c r="X1555">
        <v>14</v>
      </c>
      <c r="Y1555" t="e">
        <f>IF(X1555&lt;&gt;"",VLOOKUP(X1555,game_rosters!$C$43:$E$64,3,FALSE))</f>
        <v>#N/A</v>
      </c>
      <c r="Z1555" cm="1">
        <f t="array" ref="Z1555">IFERROR(IF(_xlfn._xlws.FILTER(game_rosters!$J:$J,(game_rosters!$G:$G=events!$AN1555)*(game_rosters!$J:$J=events!$X1555))&gt;0,1,""),"")</f>
        <v>1</v>
      </c>
      <c r="AA1555">
        <f t="shared" si="1363"/>
        <v>1835</v>
      </c>
      <c r="AB1555" t="str">
        <f t="shared" si="1364"/>
        <v/>
      </c>
      <c r="AC1555">
        <f t="shared" si="1402"/>
        <v>1835</v>
      </c>
      <c r="AD1555" s="6">
        <v>2</v>
      </c>
      <c r="AE1555" t="s">
        <v>943</v>
      </c>
      <c r="AF1555" t="s">
        <v>753</v>
      </c>
      <c r="AG1555" t="s">
        <v>756</v>
      </c>
      <c r="AH1555" t="s">
        <v>756</v>
      </c>
      <c r="AI1555" t="s">
        <v>367</v>
      </c>
      <c r="AJ1555" t="str">
        <f t="shared" ref="AJ1555:AK1555" si="1443">IF($J1555&lt;&gt;"",$J1555,IF($AC1555=$AC1554,AJ1554,""))</f>
        <v/>
      </c>
      <c r="AK1555" t="str">
        <f t="shared" si="1443"/>
        <v/>
      </c>
      <c r="AL1555" t="str">
        <f t="shared" si="1407"/>
        <v/>
      </c>
      <c r="AN1555" t="s">
        <v>862</v>
      </c>
      <c r="AO1555" t="str">
        <f t="shared" si="1408"/>
        <v>a</v>
      </c>
      <c r="AP1555" t="str">
        <f t="shared" si="1416"/>
        <v/>
      </c>
      <c r="AQ1555" t="str">
        <f t="shared" si="1417"/>
        <v/>
      </c>
      <c r="AR1555" t="str">
        <f t="shared" si="1418"/>
        <v>Away</v>
      </c>
      <c r="AS1555" t="str">
        <f t="shared" si="1419"/>
        <v>a</v>
      </c>
      <c r="AT1555" t="str">
        <f t="shared" si="1420"/>
        <v>Offensive</v>
      </c>
      <c r="BA1555" s="6">
        <f t="shared" si="1409"/>
        <v>358</v>
      </c>
      <c r="BB1555">
        <f t="shared" si="1410"/>
        <v>18981</v>
      </c>
      <c r="BC1555" t="str">
        <f t="shared" si="1411"/>
        <v>Nelson</v>
      </c>
      <c r="BD1555" t="str">
        <f t="shared" si="1412"/>
        <v>Velodrome</v>
      </c>
      <c r="BE1555" t="s">
        <v>9</v>
      </c>
      <c r="BF1555" t="s">
        <v>173</v>
      </c>
      <c r="BG1555" t="s">
        <v>365</v>
      </c>
      <c r="BI1555">
        <v>68</v>
      </c>
      <c r="BJ1555" s="15">
        <f t="shared" si="1413"/>
        <v>0</v>
      </c>
      <c r="BK1555">
        <f t="shared" si="1421"/>
        <v>115</v>
      </c>
      <c r="BL1555">
        <f t="shared" si="1422"/>
        <v>115</v>
      </c>
      <c r="BM1555" s="15">
        <f>SUMIFS(BJ$2:BJ1555,K$2:K1555,"=Intermission")+SUMIFS(BJ$2:BJ1555,K$2:K1555,"=Timeout")</f>
        <v>72</v>
      </c>
      <c r="BN1555">
        <f t="shared" si="1423"/>
        <v>1152</v>
      </c>
      <c r="BO1555" s="19">
        <f t="shared" si="1424"/>
        <v>2117</v>
      </c>
      <c r="BP1555">
        <f t="shared" si="1425"/>
        <v>2112</v>
      </c>
      <c r="BQ1555" s="17">
        <f t="shared" si="1426"/>
        <v>2117</v>
      </c>
      <c r="BR1555" t="str">
        <f t="shared" si="1427"/>
        <v>event_team_player_1</v>
      </c>
      <c r="BS1555">
        <f>COUNTIFS(S$3:S1555,"="&amp;S1555,AI$3:AI1555,"="&amp;AI1555)</f>
        <v>1</v>
      </c>
      <c r="BT1555" t="str">
        <f>IFERROR(VLOOKUP(BB1555&amp;BU1555&amp;X1555,game_rosters!U:W,3,FALSE),"")</f>
        <v>P100132</v>
      </c>
      <c r="BU1555" t="str">
        <f t="shared" si="1428"/>
        <v>Velodrome</v>
      </c>
    </row>
    <row r="1556" spans="1:73" x14ac:dyDescent="0.2">
      <c r="A1556">
        <f t="shared" si="1414"/>
        <v>1</v>
      </c>
      <c r="J1556" s="44" t="str">
        <f t="shared" si="1429"/>
        <v>o</v>
      </c>
      <c r="K1556" t="s">
        <v>238</v>
      </c>
      <c r="L1556" t="s">
        <v>174</v>
      </c>
      <c r="M1556" t="s">
        <v>87</v>
      </c>
      <c r="S1556">
        <v>836</v>
      </c>
      <c r="W1556" t="str">
        <f t="shared" si="1405"/>
        <v>h</v>
      </c>
      <c r="X1556">
        <v>23</v>
      </c>
      <c r="Y1556" t="b">
        <f>IF(X1556&lt;&gt;"",VLOOKUP(X1556,game_rosters!$C$43:$E$64,3,FALSE))</f>
        <v>0</v>
      </c>
      <c r="Z1556" cm="1">
        <f t="array" ref="Z1556">IFERROR(IF(_xlfn._xlws.FILTER(game_rosters!$J:$J,(game_rosters!$G:$G=events!$AN1556)*(game_rosters!$J:$J=events!$X1556))&gt;0,1,""),"")</f>
        <v>1</v>
      </c>
      <c r="AA1556">
        <f t="shared" si="1363"/>
        <v>1836</v>
      </c>
      <c r="AB1556" t="str">
        <f t="shared" si="1364"/>
        <v/>
      </c>
      <c r="AC1556">
        <f t="shared" si="1402"/>
        <v>1836</v>
      </c>
      <c r="AD1556" s="6">
        <v>2</v>
      </c>
      <c r="AE1556" t="s">
        <v>943</v>
      </c>
      <c r="AF1556" t="s">
        <v>921</v>
      </c>
      <c r="AG1556" t="s">
        <v>756</v>
      </c>
      <c r="AH1556" t="s">
        <v>756</v>
      </c>
      <c r="AI1556" t="s">
        <v>367</v>
      </c>
      <c r="AJ1556" t="str">
        <f t="shared" ref="AJ1556:AK1556" si="1444">IF($J1556&lt;&gt;"",$J1556,IF($AC1556=$AC1555,AJ1555,""))</f>
        <v>o</v>
      </c>
      <c r="AK1556" t="str">
        <f t="shared" si="1444"/>
        <v>o</v>
      </c>
      <c r="AL1556" t="str">
        <f t="shared" si="1407"/>
        <v>o</v>
      </c>
      <c r="AN1556" t="s">
        <v>861</v>
      </c>
      <c r="AO1556" t="str">
        <f t="shared" si="1408"/>
        <v>h</v>
      </c>
      <c r="AP1556" t="str">
        <f t="shared" si="1416"/>
        <v>o</v>
      </c>
      <c r="AQ1556" t="str">
        <f t="shared" si="1417"/>
        <v/>
      </c>
      <c r="AR1556" t="str">
        <f t="shared" si="1418"/>
        <v>Home</v>
      </c>
      <c r="AS1556" t="str">
        <f t="shared" si="1419"/>
        <v>h</v>
      </c>
      <c r="AT1556" t="str">
        <f t="shared" si="1420"/>
        <v>Offensive</v>
      </c>
      <c r="BA1556" s="6">
        <f t="shared" si="1409"/>
        <v>359</v>
      </c>
      <c r="BB1556">
        <f t="shared" si="1410"/>
        <v>18981</v>
      </c>
      <c r="BC1556" t="str">
        <f t="shared" si="1411"/>
        <v>Nelson</v>
      </c>
      <c r="BD1556" t="str">
        <f t="shared" si="1412"/>
        <v>Velodrome</v>
      </c>
      <c r="BE1556" t="s">
        <v>238</v>
      </c>
      <c r="BF1556" t="s">
        <v>174</v>
      </c>
      <c r="BG1556" t="s">
        <v>87</v>
      </c>
      <c r="BI1556" cm="1">
        <f t="array" ref="BI1556">IFERROR(_xlfn._xlws.FILTER(shifts!A:A,(shifts!B:B=events!AD1556)*(shifts!AG:AG&gt;=events!BK1556)*(shifts!AH:AH&lt;=events!BL1556)),BI1555)</f>
        <v>69</v>
      </c>
      <c r="BJ1556" s="15">
        <f t="shared" si="1413"/>
        <v>0</v>
      </c>
      <c r="BK1556">
        <f t="shared" si="1421"/>
        <v>113</v>
      </c>
      <c r="BL1556">
        <f t="shared" si="1422"/>
        <v>113</v>
      </c>
      <c r="BM1556" s="15">
        <f>SUMIFS(BJ$2:BJ1556,K$2:K1556,"=Intermission")+SUMIFS(BJ$2:BJ1556,K$2:K1556,"=Timeout")</f>
        <v>72</v>
      </c>
      <c r="BN1556">
        <f t="shared" si="1423"/>
        <v>1152</v>
      </c>
      <c r="BO1556" s="19">
        <f t="shared" si="1424"/>
        <v>2119</v>
      </c>
      <c r="BP1556">
        <f t="shared" si="1425"/>
        <v>2114</v>
      </c>
      <c r="BQ1556" s="17">
        <f t="shared" si="1426"/>
        <v>2119</v>
      </c>
      <c r="BR1556" t="str">
        <f t="shared" si="1427"/>
        <v>event_team_player_1</v>
      </c>
      <c r="BS1556">
        <f>COUNTIFS(S$3:S1556,"="&amp;S1556,AI$3:AI1556,"="&amp;AI1556)</f>
        <v>1</v>
      </c>
      <c r="BT1556" t="str">
        <f>IFERROR(VLOOKUP(BB1556&amp;BU1556&amp;X1556,game_rosters!U:W,3,FALSE),"")</f>
        <v>P100061</v>
      </c>
      <c r="BU1556" t="str">
        <f t="shared" si="1428"/>
        <v>Nelson</v>
      </c>
    </row>
    <row r="1557" spans="1:73" x14ac:dyDescent="0.2">
      <c r="A1557">
        <f t="shared" si="1414"/>
        <v>1</v>
      </c>
      <c r="J1557" s="44" t="str">
        <f t="shared" si="1429"/>
        <v/>
      </c>
      <c r="K1557" t="s">
        <v>9</v>
      </c>
      <c r="L1557" t="s">
        <v>173</v>
      </c>
      <c r="M1557" t="s">
        <v>354</v>
      </c>
      <c r="S1557">
        <v>837</v>
      </c>
      <c r="W1557" t="str">
        <f t="shared" si="1405"/>
        <v>h</v>
      </c>
      <c r="X1557">
        <v>23</v>
      </c>
      <c r="Y1557" t="b">
        <f>IF(X1557&lt;&gt;"",VLOOKUP(X1557,game_rosters!$C$43:$E$64,3,FALSE))</f>
        <v>0</v>
      </c>
      <c r="Z1557" cm="1">
        <f t="array" ref="Z1557">IFERROR(IF(_xlfn._xlws.FILTER(game_rosters!$J:$J,(game_rosters!$G:$G=events!$AN1557)*(game_rosters!$J:$J=events!$X1557))&gt;0,1,""),"")</f>
        <v>1</v>
      </c>
      <c r="AA1557">
        <f t="shared" si="1363"/>
        <v>1837</v>
      </c>
      <c r="AB1557" t="str">
        <f t="shared" si="1364"/>
        <v/>
      </c>
      <c r="AC1557">
        <f t="shared" si="1402"/>
        <v>1837</v>
      </c>
      <c r="AD1557" s="6">
        <v>2</v>
      </c>
      <c r="AE1557" t="s">
        <v>943</v>
      </c>
      <c r="AF1557" t="s">
        <v>921</v>
      </c>
      <c r="AG1557" t="s">
        <v>756</v>
      </c>
      <c r="AH1557" t="s">
        <v>756</v>
      </c>
      <c r="AI1557" t="s">
        <v>367</v>
      </c>
      <c r="AJ1557" t="str">
        <f t="shared" ref="AJ1557:AK1557" si="1445">IF($J1557&lt;&gt;"",$J1557,IF($AC1557=$AC1556,AJ1556,""))</f>
        <v/>
      </c>
      <c r="AK1557" t="str">
        <f t="shared" si="1445"/>
        <v/>
      </c>
      <c r="AL1557" t="str">
        <f t="shared" si="1407"/>
        <v/>
      </c>
      <c r="AN1557" t="s">
        <v>861</v>
      </c>
      <c r="AO1557" t="str">
        <f t="shared" si="1408"/>
        <v>h</v>
      </c>
      <c r="AP1557" t="str">
        <f t="shared" si="1416"/>
        <v/>
      </c>
      <c r="AQ1557" t="str">
        <f t="shared" si="1417"/>
        <v/>
      </c>
      <c r="AR1557" t="str">
        <f t="shared" si="1418"/>
        <v>Home</v>
      </c>
      <c r="AS1557" t="str">
        <f t="shared" si="1419"/>
        <v>h</v>
      </c>
      <c r="AT1557" t="str">
        <f t="shared" si="1420"/>
        <v>Offensive</v>
      </c>
      <c r="BA1557" s="6">
        <f t="shared" si="1409"/>
        <v>359</v>
      </c>
      <c r="BB1557">
        <f t="shared" si="1410"/>
        <v>18981</v>
      </c>
      <c r="BC1557" t="str">
        <f t="shared" si="1411"/>
        <v>Nelson</v>
      </c>
      <c r="BD1557" t="str">
        <f t="shared" si="1412"/>
        <v>Velodrome</v>
      </c>
      <c r="BE1557" t="s">
        <v>9</v>
      </c>
      <c r="BF1557" t="s">
        <v>173</v>
      </c>
      <c r="BG1557" t="s">
        <v>354</v>
      </c>
      <c r="BI1557" cm="1">
        <f t="array" ref="BI1557">IFERROR(_xlfn._xlws.FILTER(shifts!A:A,(shifts!B:B=events!AD1557)*(shifts!AG:AG&gt;=events!BK1557)*(shifts!AH:AH&lt;=events!BL1557)),BI1556)</f>
        <v>69</v>
      </c>
      <c r="BJ1557" s="15">
        <f t="shared" si="1413"/>
        <v>0</v>
      </c>
      <c r="BK1557">
        <f t="shared" si="1421"/>
        <v>113</v>
      </c>
      <c r="BL1557">
        <f t="shared" si="1422"/>
        <v>113</v>
      </c>
      <c r="BM1557" s="15">
        <f>SUMIFS(BJ$2:BJ1557,K$2:K1557,"=Intermission")+SUMIFS(BJ$2:BJ1557,K$2:K1557,"=Timeout")</f>
        <v>72</v>
      </c>
      <c r="BN1557">
        <f t="shared" si="1423"/>
        <v>1152</v>
      </c>
      <c r="BO1557" s="19">
        <f t="shared" si="1424"/>
        <v>2119</v>
      </c>
      <c r="BP1557">
        <f t="shared" si="1425"/>
        <v>2114</v>
      </c>
      <c r="BQ1557" s="17">
        <f t="shared" si="1426"/>
        <v>2119</v>
      </c>
      <c r="BR1557" t="str">
        <f t="shared" si="1427"/>
        <v>event_team_player_1</v>
      </c>
      <c r="BS1557">
        <f>COUNTIFS(S$3:S1557,"="&amp;S1557,AI$3:AI1557,"="&amp;AI1557)</f>
        <v>1</v>
      </c>
      <c r="BT1557" t="str">
        <f>IFERROR(VLOOKUP(BB1557&amp;BU1557&amp;X1557,game_rosters!U:W,3,FALSE),"")</f>
        <v>P100061</v>
      </c>
      <c r="BU1557" t="str">
        <f t="shared" si="1428"/>
        <v>Nelson</v>
      </c>
    </row>
    <row r="1558" spans="1:73" x14ac:dyDescent="0.2">
      <c r="A1558">
        <f t="shared" si="1414"/>
        <v>1</v>
      </c>
      <c r="J1558" s="44" t="str">
        <f t="shared" si="1429"/>
        <v/>
      </c>
      <c r="K1558" t="s">
        <v>13</v>
      </c>
      <c r="L1558" t="s">
        <v>756</v>
      </c>
      <c r="M1558" t="s">
        <v>756</v>
      </c>
      <c r="S1558">
        <v>838</v>
      </c>
      <c r="W1558" t="str">
        <f t="shared" si="1405"/>
        <v>a</v>
      </c>
      <c r="X1558">
        <v>52</v>
      </c>
      <c r="Y1558" t="e">
        <f>IF(X1558&lt;&gt;"",VLOOKUP(X1558,game_rosters!$C$43:$E$64,3,FALSE))</f>
        <v>#N/A</v>
      </c>
      <c r="Z1558" cm="1">
        <f t="array" ref="Z1558">IFERROR(IF(_xlfn._xlws.FILTER(game_rosters!$J:$J,(game_rosters!$G:$G=events!$AN1558)*(game_rosters!$J:$J=events!$X1558))&gt;0,1,""),"")</f>
        <v>1</v>
      </c>
      <c r="AA1558">
        <f t="shared" si="1363"/>
        <v>1838</v>
      </c>
      <c r="AB1558" t="str">
        <f t="shared" si="1364"/>
        <v/>
      </c>
      <c r="AC1558">
        <f t="shared" si="1402"/>
        <v>1838</v>
      </c>
      <c r="AD1558" s="6">
        <v>2</v>
      </c>
      <c r="AE1558" t="s">
        <v>943</v>
      </c>
      <c r="AF1558" t="s">
        <v>935</v>
      </c>
      <c r="AG1558" t="s">
        <v>943</v>
      </c>
      <c r="AH1558" t="s">
        <v>923</v>
      </c>
      <c r="AI1558" t="s">
        <v>367</v>
      </c>
      <c r="AJ1558" t="str">
        <f t="shared" ref="AJ1558:AK1558" si="1446">IF($J1558&lt;&gt;"",$J1558,IF($AC1558=$AC1557,AJ1557,""))</f>
        <v/>
      </c>
      <c r="AK1558" t="str">
        <f t="shared" si="1446"/>
        <v/>
      </c>
      <c r="AL1558" t="str">
        <f t="shared" si="1407"/>
        <v/>
      </c>
      <c r="AN1558" t="s">
        <v>862</v>
      </c>
      <c r="AO1558" t="str">
        <f t="shared" si="1408"/>
        <v>a</v>
      </c>
      <c r="AP1558" t="str">
        <f t="shared" si="1416"/>
        <v/>
      </c>
      <c r="AQ1558" t="str">
        <f t="shared" si="1417"/>
        <v/>
      </c>
      <c r="AR1558" t="str">
        <f t="shared" si="1418"/>
        <v>Away</v>
      </c>
      <c r="AS1558" t="str">
        <f t="shared" si="1419"/>
        <v>a</v>
      </c>
      <c r="AT1558" t="str">
        <f t="shared" si="1420"/>
        <v>Offensive</v>
      </c>
      <c r="BA1558" s="6">
        <f t="shared" si="1409"/>
        <v>359</v>
      </c>
      <c r="BB1558">
        <f t="shared" si="1410"/>
        <v>18981</v>
      </c>
      <c r="BC1558" t="str">
        <f t="shared" si="1411"/>
        <v>Nelson</v>
      </c>
      <c r="BD1558" t="str">
        <f t="shared" si="1412"/>
        <v>Velodrome</v>
      </c>
      <c r="BE1558" t="s">
        <v>13</v>
      </c>
      <c r="BF1558" t="s">
        <v>756</v>
      </c>
      <c r="BG1558" t="s">
        <v>756</v>
      </c>
      <c r="BI1558" cm="1">
        <f t="array" ref="BI1558">IFERROR(_xlfn._xlws.FILTER(shifts!A:A,(shifts!B:B=events!AD1558)*(shifts!AG:AG&gt;=events!BK1558)*(shifts!AH:AH&lt;=events!BL1558)),BI1557)</f>
        <v>69</v>
      </c>
      <c r="BJ1558" s="15">
        <f t="shared" si="1413"/>
        <v>1</v>
      </c>
      <c r="BK1558">
        <f t="shared" si="1421"/>
        <v>105</v>
      </c>
      <c r="BL1558">
        <f t="shared" si="1422"/>
        <v>104</v>
      </c>
      <c r="BM1558" s="15">
        <f>SUMIFS(BJ$2:BJ1558,K$2:K1558,"=Intermission")+SUMIFS(BJ$2:BJ1558,K$2:K1558,"=Timeout")</f>
        <v>72</v>
      </c>
      <c r="BN1558">
        <f t="shared" si="1423"/>
        <v>1152</v>
      </c>
      <c r="BO1558" s="19">
        <f t="shared" si="1424"/>
        <v>2127</v>
      </c>
      <c r="BP1558">
        <f t="shared" si="1425"/>
        <v>2122</v>
      </c>
      <c r="BQ1558" s="17">
        <f t="shared" si="1426"/>
        <v>2128</v>
      </c>
      <c r="BR1558" t="str">
        <f t="shared" si="1427"/>
        <v>event_team_player_1</v>
      </c>
      <c r="BS1558">
        <f>COUNTIFS(S$3:S1558,"="&amp;S1558,AI$3:AI1558,"="&amp;AI1558)</f>
        <v>1</v>
      </c>
      <c r="BT1558" t="str">
        <f>IFERROR(VLOOKUP(BB1558&amp;BU1558&amp;X1558,game_rosters!U:W,3,FALSE),"")</f>
        <v>P100070</v>
      </c>
      <c r="BU1558" t="str">
        <f t="shared" si="1428"/>
        <v>Velodrome</v>
      </c>
    </row>
    <row r="1559" spans="1:73" x14ac:dyDescent="0.2">
      <c r="A1559">
        <f t="shared" si="1414"/>
        <v>1</v>
      </c>
      <c r="J1559" s="44" t="str">
        <f t="shared" si="1429"/>
        <v/>
      </c>
      <c r="K1559" t="s">
        <v>7</v>
      </c>
      <c r="L1559" t="s">
        <v>182</v>
      </c>
      <c r="M1559" t="s">
        <v>69</v>
      </c>
      <c r="S1559">
        <v>839</v>
      </c>
      <c r="W1559" t="str">
        <f t="shared" si="1405"/>
        <v>a</v>
      </c>
      <c r="X1559">
        <v>52</v>
      </c>
      <c r="Y1559" t="e">
        <f>IF(X1559&lt;&gt;"",VLOOKUP(X1559,game_rosters!$C$43:$E$64,3,FALSE))</f>
        <v>#N/A</v>
      </c>
      <c r="Z1559" cm="1">
        <f t="array" ref="Z1559">IFERROR(IF(_xlfn._xlws.FILTER(game_rosters!$J:$J,(game_rosters!$G:$G=events!$AN1559)*(game_rosters!$J:$J=events!$X1559))&gt;0,1,""),"")</f>
        <v>1</v>
      </c>
      <c r="AA1559">
        <f t="shared" si="1363"/>
        <v>1839</v>
      </c>
      <c r="AB1559" t="str">
        <f t="shared" si="1364"/>
        <v/>
      </c>
      <c r="AC1559">
        <f t="shared" si="1402"/>
        <v>1839</v>
      </c>
      <c r="AD1559" s="6">
        <v>2</v>
      </c>
      <c r="AE1559" t="s">
        <v>943</v>
      </c>
      <c r="AF1559" t="s">
        <v>923</v>
      </c>
      <c r="AG1559" t="s">
        <v>756</v>
      </c>
      <c r="AH1559" t="s">
        <v>756</v>
      </c>
      <c r="AI1559" t="s">
        <v>367</v>
      </c>
      <c r="AJ1559" t="str">
        <f t="shared" ref="AJ1559:AK1559" si="1447">IF($J1559&lt;&gt;"",$J1559,IF($AC1559=$AC1558,AJ1558,""))</f>
        <v/>
      </c>
      <c r="AK1559" t="str">
        <f t="shared" si="1447"/>
        <v/>
      </c>
      <c r="AL1559" t="str">
        <f t="shared" si="1407"/>
        <v/>
      </c>
      <c r="AN1559" t="s">
        <v>862</v>
      </c>
      <c r="AO1559" t="str">
        <f t="shared" si="1408"/>
        <v>a</v>
      </c>
      <c r="AP1559" t="str">
        <f t="shared" si="1416"/>
        <v/>
      </c>
      <c r="AQ1559" t="str">
        <f t="shared" si="1417"/>
        <v/>
      </c>
      <c r="AR1559" t="str">
        <f t="shared" si="1418"/>
        <v>Away</v>
      </c>
      <c r="AS1559" t="str">
        <f t="shared" si="1419"/>
        <v>a</v>
      </c>
      <c r="AT1559" t="str">
        <f t="shared" si="1420"/>
        <v>Offensive</v>
      </c>
      <c r="BA1559" s="6">
        <f t="shared" si="1409"/>
        <v>359</v>
      </c>
      <c r="BB1559">
        <f t="shared" si="1410"/>
        <v>18981</v>
      </c>
      <c r="BC1559" t="str">
        <f t="shared" si="1411"/>
        <v>Nelson</v>
      </c>
      <c r="BD1559" t="str">
        <f t="shared" si="1412"/>
        <v>Velodrome</v>
      </c>
      <c r="BE1559" t="s">
        <v>7</v>
      </c>
      <c r="BF1559" t="s">
        <v>182</v>
      </c>
      <c r="BG1559" t="s">
        <v>69</v>
      </c>
      <c r="BI1559" cm="1">
        <f t="array" ref="BI1559">IFERROR(_xlfn._xlws.FILTER(shifts!A:A,(shifts!B:B=events!AD1559)*(shifts!AG:AG&gt;=events!BK1559)*(shifts!AH:AH&lt;=events!BL1559)),BI1558)</f>
        <v>69</v>
      </c>
      <c r="BJ1559" s="15">
        <f t="shared" si="1413"/>
        <v>0</v>
      </c>
      <c r="BK1559">
        <f t="shared" si="1421"/>
        <v>104</v>
      </c>
      <c r="BL1559">
        <f t="shared" si="1422"/>
        <v>104</v>
      </c>
      <c r="BM1559" s="15">
        <f>SUMIFS(BJ$2:BJ1559,K$2:K1559,"=Intermission")+SUMIFS(BJ$2:BJ1559,K$2:K1559,"=Timeout")</f>
        <v>72</v>
      </c>
      <c r="BN1559">
        <f t="shared" si="1423"/>
        <v>1152</v>
      </c>
      <c r="BO1559" s="19">
        <f t="shared" si="1424"/>
        <v>2128</v>
      </c>
      <c r="BP1559">
        <f t="shared" si="1425"/>
        <v>2123</v>
      </c>
      <c r="BQ1559" s="17">
        <f t="shared" si="1426"/>
        <v>2128</v>
      </c>
      <c r="BR1559" t="str">
        <f t="shared" si="1427"/>
        <v>event_team_player_1</v>
      </c>
      <c r="BS1559">
        <f>COUNTIFS(S$3:S1559,"="&amp;S1559,AI$3:AI1559,"="&amp;AI1559)</f>
        <v>1</v>
      </c>
      <c r="BT1559" t="str">
        <f>IFERROR(VLOOKUP(BB1559&amp;BU1559&amp;X1559,game_rosters!U:W,3,FALSE),"")</f>
        <v>P100070</v>
      </c>
      <c r="BU1559" t="str">
        <f t="shared" si="1428"/>
        <v>Velodrome</v>
      </c>
    </row>
    <row r="1560" spans="1:73" x14ac:dyDescent="0.2">
      <c r="A1560">
        <f t="shared" si="1414"/>
        <v>1</v>
      </c>
      <c r="J1560" s="44" t="str">
        <f t="shared" si="1429"/>
        <v/>
      </c>
      <c r="K1560" t="s">
        <v>7</v>
      </c>
      <c r="L1560" t="s">
        <v>182</v>
      </c>
      <c r="M1560" t="s">
        <v>69</v>
      </c>
      <c r="S1560">
        <v>839</v>
      </c>
      <c r="W1560" t="str">
        <f t="shared" si="1405"/>
        <v>a</v>
      </c>
      <c r="X1560">
        <v>14</v>
      </c>
      <c r="Y1560" t="e">
        <f>IF(X1560&lt;&gt;"",VLOOKUP(X1560,game_rosters!$C$43:$E$64,3,FALSE))</f>
        <v>#N/A</v>
      </c>
      <c r="Z1560" cm="1">
        <f t="array" ref="Z1560">IFERROR(IF(_xlfn._xlws.FILTER(game_rosters!$J:$J,(game_rosters!$G:$G=events!$AN1560)*(game_rosters!$J:$J=events!$X1560))&gt;0,1,""),"")</f>
        <v>1</v>
      </c>
      <c r="AA1560">
        <f t="shared" si="1363"/>
        <v>1839</v>
      </c>
      <c r="AB1560" t="str">
        <f t="shared" si="1364"/>
        <v/>
      </c>
      <c r="AC1560">
        <f t="shared" si="1402"/>
        <v>1839</v>
      </c>
      <c r="AD1560" s="6">
        <v>2</v>
      </c>
      <c r="AE1560" t="s">
        <v>943</v>
      </c>
      <c r="AF1560" t="s">
        <v>923</v>
      </c>
      <c r="AG1560" t="s">
        <v>756</v>
      </c>
      <c r="AH1560" t="s">
        <v>756</v>
      </c>
      <c r="AI1560" t="s">
        <v>367</v>
      </c>
      <c r="AJ1560" t="str">
        <f t="shared" ref="AJ1560:AK1560" si="1448">IF($J1560&lt;&gt;"",$J1560,IF($AC1560=$AC1559,AJ1559,""))</f>
        <v/>
      </c>
      <c r="AK1560" t="str">
        <f t="shared" si="1448"/>
        <v/>
      </c>
      <c r="AL1560" t="str">
        <f t="shared" si="1407"/>
        <v/>
      </c>
      <c r="AN1560" t="s">
        <v>862</v>
      </c>
      <c r="AO1560" t="str">
        <f t="shared" si="1408"/>
        <v>a</v>
      </c>
      <c r="AP1560" t="str">
        <f t="shared" si="1416"/>
        <v/>
      </c>
      <c r="AQ1560" t="str">
        <f t="shared" si="1417"/>
        <v/>
      </c>
      <c r="AR1560" t="str">
        <f t="shared" si="1418"/>
        <v>Away</v>
      </c>
      <c r="AS1560" t="str">
        <f t="shared" si="1419"/>
        <v>a</v>
      </c>
      <c r="AT1560" t="str">
        <f t="shared" si="1420"/>
        <v>Offensive</v>
      </c>
      <c r="BA1560" s="6">
        <f t="shared" si="1409"/>
        <v>359</v>
      </c>
      <c r="BB1560">
        <f t="shared" si="1410"/>
        <v>18981</v>
      </c>
      <c r="BC1560" t="str">
        <f t="shared" si="1411"/>
        <v>Nelson</v>
      </c>
      <c r="BD1560" t="str">
        <f t="shared" si="1412"/>
        <v>Velodrome</v>
      </c>
      <c r="BE1560" t="s">
        <v>7</v>
      </c>
      <c r="BF1560" t="s">
        <v>182</v>
      </c>
      <c r="BG1560" t="s">
        <v>69</v>
      </c>
      <c r="BI1560" cm="1">
        <f t="array" ref="BI1560">IFERROR(_xlfn._xlws.FILTER(shifts!A:A,(shifts!B:B=events!AD1560)*(shifts!AG:AG&gt;=events!BK1560)*(shifts!AH:AH&lt;=events!BL1560)),BI1559)</f>
        <v>69</v>
      </c>
      <c r="BJ1560" s="15">
        <f t="shared" si="1413"/>
        <v>0</v>
      </c>
      <c r="BK1560">
        <f t="shared" si="1421"/>
        <v>104</v>
      </c>
      <c r="BL1560">
        <f t="shared" si="1422"/>
        <v>104</v>
      </c>
      <c r="BM1560" s="15">
        <f>SUMIFS(BJ$2:BJ1560,K$2:K1560,"=Intermission")+SUMIFS(BJ$2:BJ1560,K$2:K1560,"=Timeout")</f>
        <v>72</v>
      </c>
      <c r="BN1560">
        <f t="shared" si="1423"/>
        <v>1152</v>
      </c>
      <c r="BO1560" s="19">
        <f t="shared" si="1424"/>
        <v>2128</v>
      </c>
      <c r="BP1560">
        <f t="shared" si="1425"/>
        <v>2123</v>
      </c>
      <c r="BQ1560" s="17">
        <f t="shared" si="1426"/>
        <v>2128</v>
      </c>
      <c r="BR1560" t="str">
        <f t="shared" si="1427"/>
        <v>event_team_player_2</v>
      </c>
      <c r="BS1560">
        <f>COUNTIFS(S$3:S1560,"="&amp;S1560,AI$3:AI1560,"="&amp;AI1560)</f>
        <v>2</v>
      </c>
      <c r="BT1560" t="str">
        <f>IFERROR(VLOOKUP(BB1560&amp;BU1560&amp;X1560,game_rosters!U:W,3,FALSE),"")</f>
        <v>P100132</v>
      </c>
      <c r="BU1560" t="str">
        <f t="shared" si="1428"/>
        <v>Velodrome</v>
      </c>
    </row>
    <row r="1561" spans="1:73" x14ac:dyDescent="0.2">
      <c r="A1561">
        <f t="shared" si="1414"/>
        <v>1</v>
      </c>
      <c r="J1561" s="44" t="str">
        <f t="shared" si="1429"/>
        <v>d</v>
      </c>
      <c r="K1561" t="s">
        <v>238</v>
      </c>
      <c r="L1561" t="s">
        <v>184</v>
      </c>
      <c r="M1561" t="s">
        <v>376</v>
      </c>
      <c r="S1561">
        <v>840</v>
      </c>
      <c r="W1561" t="str">
        <f t="shared" si="1405"/>
        <v>a</v>
      </c>
      <c r="X1561">
        <v>52</v>
      </c>
      <c r="Y1561" t="e">
        <f>IF(X1561&lt;&gt;"",VLOOKUP(X1561,game_rosters!$C$43:$E$64,3,FALSE))</f>
        <v>#N/A</v>
      </c>
      <c r="Z1561" cm="1">
        <f t="array" ref="Z1561">IFERROR(IF(_xlfn._xlws.FILTER(game_rosters!$J:$J,(game_rosters!$G:$G=events!$AN1561)*(game_rosters!$J:$J=events!$X1561))&gt;0,1,""),"")</f>
        <v>1</v>
      </c>
      <c r="AA1561">
        <f t="shared" si="1363"/>
        <v>1840</v>
      </c>
      <c r="AB1561" t="str">
        <f t="shared" si="1364"/>
        <v/>
      </c>
      <c r="AC1561">
        <f t="shared" si="1402"/>
        <v>1840</v>
      </c>
      <c r="AD1561" s="6">
        <v>2</v>
      </c>
      <c r="AE1561" t="s">
        <v>943</v>
      </c>
      <c r="AF1561" t="s">
        <v>923</v>
      </c>
      <c r="AG1561" t="s">
        <v>756</v>
      </c>
      <c r="AH1561" t="s">
        <v>756</v>
      </c>
      <c r="AI1561" t="s">
        <v>367</v>
      </c>
      <c r="AJ1561" t="str">
        <f t="shared" ref="AJ1561:AK1561" si="1449">IF($J1561&lt;&gt;"",$J1561,IF($AC1561=$AC1560,AJ1560,""))</f>
        <v>d</v>
      </c>
      <c r="AK1561" t="str">
        <f t="shared" si="1449"/>
        <v>d</v>
      </c>
      <c r="AL1561" t="str">
        <f t="shared" si="1407"/>
        <v>o</v>
      </c>
      <c r="AN1561" t="s">
        <v>862</v>
      </c>
      <c r="AO1561" t="str">
        <f t="shared" si="1408"/>
        <v>a</v>
      </c>
      <c r="AP1561" t="str">
        <f t="shared" si="1416"/>
        <v>o</v>
      </c>
      <c r="AQ1561" t="str">
        <f t="shared" si="1417"/>
        <v/>
      </c>
      <c r="AR1561" t="str">
        <f t="shared" si="1418"/>
        <v>Away</v>
      </c>
      <c r="AS1561" t="str">
        <f t="shared" si="1419"/>
        <v>a</v>
      </c>
      <c r="AT1561" t="str">
        <f t="shared" si="1420"/>
        <v>Offensive</v>
      </c>
      <c r="BA1561" s="6">
        <f t="shared" si="1409"/>
        <v>360</v>
      </c>
      <c r="BB1561">
        <f t="shared" si="1410"/>
        <v>18981</v>
      </c>
      <c r="BC1561" t="str">
        <f t="shared" si="1411"/>
        <v>Nelson</v>
      </c>
      <c r="BD1561" t="str">
        <f t="shared" si="1412"/>
        <v>Velodrome</v>
      </c>
      <c r="BE1561" t="s">
        <v>238</v>
      </c>
      <c r="BF1561" t="s">
        <v>184</v>
      </c>
      <c r="BG1561" t="s">
        <v>376</v>
      </c>
      <c r="BI1561" cm="1">
        <f t="array" ref="BI1561">IFERROR(_xlfn._xlws.FILTER(shifts!A:A,(shifts!B:B=events!AD1561)*(shifts!AG:AG&gt;=events!BK1561)*(shifts!AH:AH&lt;=events!BL1561)),BI1560)</f>
        <v>69</v>
      </c>
      <c r="BJ1561" s="15">
        <f t="shared" si="1413"/>
        <v>0</v>
      </c>
      <c r="BK1561">
        <f t="shared" si="1421"/>
        <v>104</v>
      </c>
      <c r="BL1561">
        <f t="shared" si="1422"/>
        <v>104</v>
      </c>
      <c r="BM1561" s="15">
        <f>SUMIFS(BJ$2:BJ1561,K$2:K1561,"=Intermission")+SUMIFS(BJ$2:BJ1561,K$2:K1561,"=Timeout")</f>
        <v>72</v>
      </c>
      <c r="BN1561">
        <f t="shared" si="1423"/>
        <v>1152</v>
      </c>
      <c r="BO1561" s="19">
        <f t="shared" si="1424"/>
        <v>2128</v>
      </c>
      <c r="BP1561">
        <f t="shared" si="1425"/>
        <v>2123</v>
      </c>
      <c r="BQ1561" s="17">
        <f t="shared" si="1426"/>
        <v>2128</v>
      </c>
      <c r="BR1561" t="str">
        <f t="shared" si="1427"/>
        <v>event_team_player_1</v>
      </c>
      <c r="BS1561">
        <f>COUNTIFS(S$3:S1561,"="&amp;S1561,AI$3:AI1561,"="&amp;AI1561)</f>
        <v>1</v>
      </c>
      <c r="BT1561" t="str">
        <f>IFERROR(VLOOKUP(BB1561&amp;BU1561&amp;X1561,game_rosters!U:W,3,FALSE),"")</f>
        <v>P100070</v>
      </c>
      <c r="BU1561" t="str">
        <f t="shared" si="1428"/>
        <v>Velodrome</v>
      </c>
    </row>
    <row r="1562" spans="1:73" x14ac:dyDescent="0.2">
      <c r="A1562">
        <f t="shared" si="1414"/>
        <v>1</v>
      </c>
      <c r="J1562" s="44" t="str">
        <f t="shared" si="1429"/>
        <v>d</v>
      </c>
      <c r="K1562" t="s">
        <v>238</v>
      </c>
      <c r="L1562" t="s">
        <v>184</v>
      </c>
      <c r="M1562" t="s">
        <v>376</v>
      </c>
      <c r="S1562">
        <v>840</v>
      </c>
      <c r="W1562" t="str">
        <f t="shared" si="1405"/>
        <v>a</v>
      </c>
      <c r="X1562">
        <v>14</v>
      </c>
      <c r="Y1562" t="e">
        <f>IF(X1562&lt;&gt;"",VLOOKUP(X1562,game_rosters!$C$43:$E$64,3,FALSE))</f>
        <v>#N/A</v>
      </c>
      <c r="Z1562" cm="1">
        <f t="array" ref="Z1562">IFERROR(IF(_xlfn._xlws.FILTER(game_rosters!$J:$J,(game_rosters!$G:$G=events!$AN1562)*(game_rosters!$J:$J=events!$X1562))&gt;0,1,""),"")</f>
        <v>1</v>
      </c>
      <c r="AA1562">
        <f t="shared" si="1363"/>
        <v>1840</v>
      </c>
      <c r="AB1562" t="str">
        <f t="shared" si="1364"/>
        <v/>
      </c>
      <c r="AC1562">
        <f t="shared" si="1402"/>
        <v>1840</v>
      </c>
      <c r="AD1562" s="6">
        <v>2</v>
      </c>
      <c r="AE1562" t="s">
        <v>943</v>
      </c>
      <c r="AF1562" t="s">
        <v>923</v>
      </c>
      <c r="AG1562" t="s">
        <v>756</v>
      </c>
      <c r="AH1562" t="s">
        <v>756</v>
      </c>
      <c r="AI1562" t="s">
        <v>367</v>
      </c>
      <c r="AJ1562" t="str">
        <f t="shared" ref="AJ1562:AK1562" si="1450">IF($J1562&lt;&gt;"",$J1562,IF($AC1562=$AC1561,AJ1561,""))</f>
        <v>d</v>
      </c>
      <c r="AK1562" t="str">
        <f t="shared" si="1450"/>
        <v>d</v>
      </c>
      <c r="AL1562" t="str">
        <f t="shared" si="1407"/>
        <v>o</v>
      </c>
      <c r="AN1562" t="s">
        <v>862</v>
      </c>
      <c r="AO1562" t="str">
        <f t="shared" si="1408"/>
        <v>a</v>
      </c>
      <c r="AP1562" t="str">
        <f t="shared" si="1416"/>
        <v>o</v>
      </c>
      <c r="AQ1562" t="str">
        <f t="shared" si="1417"/>
        <v/>
      </c>
      <c r="AR1562" t="str">
        <f t="shared" si="1418"/>
        <v>Away</v>
      </c>
      <c r="AS1562" t="str">
        <f t="shared" si="1419"/>
        <v>a</v>
      </c>
      <c r="AT1562" t="str">
        <f t="shared" si="1420"/>
        <v>Offensive</v>
      </c>
      <c r="BA1562" s="6">
        <f t="shared" si="1409"/>
        <v>361</v>
      </c>
      <c r="BB1562">
        <f t="shared" si="1410"/>
        <v>18981</v>
      </c>
      <c r="BC1562" t="str">
        <f t="shared" si="1411"/>
        <v>Nelson</v>
      </c>
      <c r="BD1562" t="str">
        <f t="shared" si="1412"/>
        <v>Velodrome</v>
      </c>
      <c r="BE1562" t="s">
        <v>238</v>
      </c>
      <c r="BF1562" t="s">
        <v>184</v>
      </c>
      <c r="BG1562" t="s">
        <v>376</v>
      </c>
      <c r="BI1562" cm="1">
        <f t="array" ref="BI1562">IFERROR(_xlfn._xlws.FILTER(shifts!A:A,(shifts!B:B=events!AD1562)*(shifts!AG:AG&gt;=events!BK1562)*(shifts!AH:AH&lt;=events!BL1562)),BI1561)</f>
        <v>69</v>
      </c>
      <c r="BJ1562" s="15">
        <f t="shared" si="1413"/>
        <v>0</v>
      </c>
      <c r="BK1562">
        <f t="shared" si="1421"/>
        <v>104</v>
      </c>
      <c r="BL1562">
        <f t="shared" si="1422"/>
        <v>104</v>
      </c>
      <c r="BM1562" s="15">
        <f>SUMIFS(BJ$2:BJ1562,K$2:K1562,"=Intermission")+SUMIFS(BJ$2:BJ1562,K$2:K1562,"=Timeout")</f>
        <v>72</v>
      </c>
      <c r="BN1562">
        <f t="shared" si="1423"/>
        <v>1152</v>
      </c>
      <c r="BO1562" s="19">
        <f t="shared" si="1424"/>
        <v>2128</v>
      </c>
      <c r="BP1562">
        <f t="shared" si="1425"/>
        <v>2123</v>
      </c>
      <c r="BQ1562" s="17">
        <f t="shared" si="1426"/>
        <v>2128</v>
      </c>
      <c r="BR1562" t="str">
        <f t="shared" si="1427"/>
        <v>event_team_player_2</v>
      </c>
      <c r="BS1562">
        <f>COUNTIFS(S$3:S1562,"="&amp;S1562,AI$3:AI1562,"="&amp;AI1562)</f>
        <v>2</v>
      </c>
      <c r="BT1562" t="str">
        <f>IFERROR(VLOOKUP(BB1562&amp;BU1562&amp;X1562,game_rosters!U:W,3,FALSE),"")</f>
        <v>P100132</v>
      </c>
      <c r="BU1562" t="str">
        <f t="shared" si="1428"/>
        <v>Velodrome</v>
      </c>
    </row>
    <row r="1563" spans="1:73" x14ac:dyDescent="0.2">
      <c r="A1563">
        <f t="shared" si="1414"/>
        <v>1</v>
      </c>
      <c r="J1563" s="44" t="str">
        <f t="shared" si="1429"/>
        <v/>
      </c>
      <c r="K1563" t="s">
        <v>9</v>
      </c>
      <c r="L1563" t="s">
        <v>173</v>
      </c>
      <c r="M1563" t="s">
        <v>383</v>
      </c>
      <c r="S1563">
        <v>841</v>
      </c>
      <c r="W1563" t="str">
        <f t="shared" si="1405"/>
        <v>a</v>
      </c>
      <c r="X1563">
        <v>52</v>
      </c>
      <c r="Y1563" t="e">
        <f>IF(X1563&lt;&gt;"",VLOOKUP(X1563,game_rosters!$C$43:$E$64,3,FALSE))</f>
        <v>#N/A</v>
      </c>
      <c r="Z1563" cm="1">
        <f t="array" ref="Z1563">IFERROR(IF(_xlfn._xlws.FILTER(game_rosters!$J:$J,(game_rosters!$G:$G=events!$AN1563)*(game_rosters!$J:$J=events!$X1563))&gt;0,1,""),"")</f>
        <v>1</v>
      </c>
      <c r="AA1563">
        <f t="shared" si="1363"/>
        <v>1841</v>
      </c>
      <c r="AB1563" t="str">
        <f t="shared" si="1364"/>
        <v/>
      </c>
      <c r="AC1563">
        <f t="shared" si="1402"/>
        <v>1841</v>
      </c>
      <c r="AD1563" s="6">
        <v>2</v>
      </c>
      <c r="AE1563" t="s">
        <v>943</v>
      </c>
      <c r="AF1563" t="s">
        <v>923</v>
      </c>
      <c r="AG1563" t="s">
        <v>756</v>
      </c>
      <c r="AH1563" t="s">
        <v>756</v>
      </c>
      <c r="AI1563" t="s">
        <v>367</v>
      </c>
      <c r="AJ1563" t="str">
        <f t="shared" ref="AJ1563:AK1563" si="1451">IF($J1563&lt;&gt;"",$J1563,IF($AC1563=$AC1562,AJ1562,""))</f>
        <v/>
      </c>
      <c r="AK1563" t="str">
        <f t="shared" si="1451"/>
        <v/>
      </c>
      <c r="AL1563" t="str">
        <f t="shared" si="1407"/>
        <v/>
      </c>
      <c r="AN1563" t="s">
        <v>862</v>
      </c>
      <c r="AO1563" t="str">
        <f t="shared" si="1408"/>
        <v>a</v>
      </c>
      <c r="AP1563" t="str">
        <f t="shared" si="1416"/>
        <v/>
      </c>
      <c r="AQ1563" t="str">
        <f t="shared" si="1417"/>
        <v/>
      </c>
      <c r="AR1563" t="str">
        <f t="shared" si="1418"/>
        <v>Away</v>
      </c>
      <c r="AS1563" t="str">
        <f t="shared" si="1419"/>
        <v>a</v>
      </c>
      <c r="AT1563" t="str">
        <f t="shared" si="1420"/>
        <v>Offensive</v>
      </c>
      <c r="BA1563" s="6">
        <f t="shared" si="1409"/>
        <v>361</v>
      </c>
      <c r="BB1563">
        <f t="shared" si="1410"/>
        <v>18981</v>
      </c>
      <c r="BC1563" t="str">
        <f t="shared" si="1411"/>
        <v>Nelson</v>
      </c>
      <c r="BD1563" t="str">
        <f t="shared" si="1412"/>
        <v>Velodrome</v>
      </c>
      <c r="BE1563" t="s">
        <v>9</v>
      </c>
      <c r="BF1563" t="s">
        <v>173</v>
      </c>
      <c r="BG1563" t="s">
        <v>383</v>
      </c>
      <c r="BI1563" cm="1">
        <f t="array" ref="BI1563">IFERROR(_xlfn._xlws.FILTER(shifts!A:A,(shifts!B:B=events!AD1563)*(shifts!AG:AG&gt;=events!BK1563)*(shifts!AH:AH&lt;=events!BL1563)),BI1562)</f>
        <v>69</v>
      </c>
      <c r="BJ1563" s="15">
        <f t="shared" si="1413"/>
        <v>0</v>
      </c>
      <c r="BK1563">
        <f t="shared" si="1421"/>
        <v>104</v>
      </c>
      <c r="BL1563">
        <f t="shared" si="1422"/>
        <v>104</v>
      </c>
      <c r="BM1563" s="15">
        <f>SUMIFS(BJ$2:BJ1563,K$2:K1563,"=Intermission")+SUMIFS(BJ$2:BJ1563,K$2:K1563,"=Timeout")</f>
        <v>72</v>
      </c>
      <c r="BN1563">
        <f t="shared" si="1423"/>
        <v>1152</v>
      </c>
      <c r="BO1563" s="19">
        <f t="shared" si="1424"/>
        <v>2128</v>
      </c>
      <c r="BP1563">
        <f t="shared" si="1425"/>
        <v>2123</v>
      </c>
      <c r="BQ1563" s="17">
        <f t="shared" si="1426"/>
        <v>2128</v>
      </c>
      <c r="BR1563" t="str">
        <f t="shared" si="1427"/>
        <v>event_team_player_1</v>
      </c>
      <c r="BS1563">
        <f>COUNTIFS(S$3:S1563,"="&amp;S1563,AI$3:AI1563,"="&amp;AI1563)</f>
        <v>1</v>
      </c>
      <c r="BT1563" t="str">
        <f>IFERROR(VLOOKUP(BB1563&amp;BU1563&amp;X1563,game_rosters!U:W,3,FALSE),"")</f>
        <v>P100070</v>
      </c>
      <c r="BU1563" t="str">
        <f t="shared" si="1428"/>
        <v>Velodrome</v>
      </c>
    </row>
    <row r="1564" spans="1:73" x14ac:dyDescent="0.2">
      <c r="A1564">
        <f t="shared" si="1414"/>
        <v>1</v>
      </c>
      <c r="J1564" s="44" t="str">
        <f t="shared" si="1429"/>
        <v>o</v>
      </c>
      <c r="K1564" t="s">
        <v>238</v>
      </c>
      <c r="L1564" t="s">
        <v>174</v>
      </c>
      <c r="M1564" t="s">
        <v>375</v>
      </c>
      <c r="S1564">
        <v>842</v>
      </c>
      <c r="W1564" t="str">
        <f t="shared" si="1405"/>
        <v>a</v>
      </c>
      <c r="X1564">
        <v>52</v>
      </c>
      <c r="Y1564" t="e">
        <f>IF(X1564&lt;&gt;"",VLOOKUP(X1564,game_rosters!$C$43:$E$64,3,FALSE))</f>
        <v>#N/A</v>
      </c>
      <c r="Z1564" cm="1">
        <f t="array" ref="Z1564">IFERROR(IF(_xlfn._xlws.FILTER(game_rosters!$J:$J,(game_rosters!$G:$G=events!$AN1564)*(game_rosters!$J:$J=events!$X1564))&gt;0,1,""),"")</f>
        <v>1</v>
      </c>
      <c r="AA1564">
        <f t="shared" si="1363"/>
        <v>1842</v>
      </c>
      <c r="AB1564" t="str">
        <f t="shared" si="1364"/>
        <v/>
      </c>
      <c r="AC1564">
        <f t="shared" si="1402"/>
        <v>1842</v>
      </c>
      <c r="AD1564" s="6">
        <v>2</v>
      </c>
      <c r="AE1564" t="s">
        <v>943</v>
      </c>
      <c r="AF1564" t="s">
        <v>903</v>
      </c>
      <c r="AG1564" t="s">
        <v>756</v>
      </c>
      <c r="AH1564" t="s">
        <v>756</v>
      </c>
      <c r="AI1564" t="s">
        <v>367</v>
      </c>
      <c r="AJ1564" t="str">
        <f t="shared" ref="AJ1564:AK1564" si="1452">IF($J1564&lt;&gt;"",$J1564,IF($AC1564=$AC1563,AJ1563,""))</f>
        <v>o</v>
      </c>
      <c r="AK1564" t="str">
        <f t="shared" si="1452"/>
        <v>o</v>
      </c>
      <c r="AL1564" t="str">
        <f t="shared" si="1407"/>
        <v>d</v>
      </c>
      <c r="AN1564" t="s">
        <v>862</v>
      </c>
      <c r="AO1564" t="str">
        <f t="shared" si="1408"/>
        <v>a</v>
      </c>
      <c r="AP1564" t="str">
        <f t="shared" si="1416"/>
        <v>d</v>
      </c>
      <c r="AQ1564" t="str">
        <f t="shared" si="1417"/>
        <v/>
      </c>
      <c r="AR1564" t="str">
        <f t="shared" si="1418"/>
        <v>Away</v>
      </c>
      <c r="AS1564" t="str">
        <f t="shared" si="1419"/>
        <v>a</v>
      </c>
      <c r="AT1564" t="str">
        <f t="shared" si="1420"/>
        <v>Offensive</v>
      </c>
      <c r="BA1564" s="6">
        <f t="shared" si="1409"/>
        <v>362</v>
      </c>
      <c r="BB1564">
        <f t="shared" si="1410"/>
        <v>18981</v>
      </c>
      <c r="BC1564" t="str">
        <f t="shared" si="1411"/>
        <v>Nelson</v>
      </c>
      <c r="BD1564" t="str">
        <f t="shared" si="1412"/>
        <v>Velodrome</v>
      </c>
      <c r="BE1564" t="s">
        <v>238</v>
      </c>
      <c r="BF1564" t="s">
        <v>174</v>
      </c>
      <c r="BG1564" t="s">
        <v>375</v>
      </c>
      <c r="BI1564" cm="1">
        <f t="array" ref="BI1564">IFERROR(_xlfn._xlws.FILTER(shifts!A:A,(shifts!B:B=events!AD1564)*(shifts!AG:AG&gt;=events!BK1564)*(shifts!AH:AH&lt;=events!BL1564)),BI1563)</f>
        <v>69</v>
      </c>
      <c r="BJ1564" s="15">
        <f t="shared" si="1413"/>
        <v>0</v>
      </c>
      <c r="BK1564">
        <f t="shared" si="1421"/>
        <v>100</v>
      </c>
      <c r="BL1564">
        <f t="shared" si="1422"/>
        <v>100</v>
      </c>
      <c r="BM1564" s="15">
        <f>SUMIFS(BJ$2:BJ1564,K$2:K1564,"=Intermission")+SUMIFS(BJ$2:BJ1564,K$2:K1564,"=Timeout")</f>
        <v>72</v>
      </c>
      <c r="BN1564">
        <f t="shared" si="1423"/>
        <v>1152</v>
      </c>
      <c r="BO1564" s="19">
        <f t="shared" si="1424"/>
        <v>2132</v>
      </c>
      <c r="BP1564">
        <f t="shared" si="1425"/>
        <v>2127</v>
      </c>
      <c r="BQ1564" s="17">
        <f t="shared" si="1426"/>
        <v>2132</v>
      </c>
      <c r="BR1564" t="str">
        <f t="shared" si="1427"/>
        <v>event_team_player_1</v>
      </c>
      <c r="BS1564">
        <f>COUNTIFS(S$3:S1564,"="&amp;S1564,AI$3:AI1564,"="&amp;AI1564)</f>
        <v>1</v>
      </c>
      <c r="BT1564" t="str">
        <f>IFERROR(VLOOKUP(BB1564&amp;BU1564&amp;X1564,game_rosters!U:W,3,FALSE),"")</f>
        <v>P100070</v>
      </c>
      <c r="BU1564" t="str">
        <f t="shared" si="1428"/>
        <v>Velodrome</v>
      </c>
    </row>
    <row r="1565" spans="1:73" x14ac:dyDescent="0.2">
      <c r="A1565">
        <f t="shared" si="1414"/>
        <v>1</v>
      </c>
      <c r="J1565" s="44" t="str">
        <f t="shared" si="1429"/>
        <v/>
      </c>
      <c r="K1565" t="s">
        <v>13</v>
      </c>
      <c r="L1565" t="s">
        <v>756</v>
      </c>
      <c r="M1565" t="s">
        <v>756</v>
      </c>
      <c r="S1565">
        <v>843</v>
      </c>
      <c r="W1565" t="str">
        <f t="shared" si="1405"/>
        <v>a</v>
      </c>
      <c r="X1565">
        <v>37</v>
      </c>
      <c r="Y1565" t="b">
        <f>IF(X1565&lt;&gt;"",VLOOKUP(X1565,game_rosters!$C$43:$E$64,3,FALSE))</f>
        <v>0</v>
      </c>
      <c r="Z1565" t="str" cm="1">
        <f t="array" ref="Z1565">IFERROR(IF(_xlfn._xlws.FILTER(game_rosters!$J:$J,(game_rosters!$G:$G=events!$AN1565)*(game_rosters!$J:$J=events!$X1565))&gt;0,1,""),"")</f>
        <v/>
      </c>
      <c r="AA1565">
        <f t="shared" ref="AA1565:AA1628" si="1453">S1565+1000</f>
        <v>1843</v>
      </c>
      <c r="AB1565" t="str">
        <f t="shared" ref="AB1565:AB1628" si="1454">IF(T1565&lt;&gt;"",9000+T1565,"")</f>
        <v/>
      </c>
      <c r="AC1565">
        <f t="shared" si="1402"/>
        <v>1843</v>
      </c>
      <c r="AD1565" s="6">
        <v>2</v>
      </c>
      <c r="AE1565" t="s">
        <v>943</v>
      </c>
      <c r="AF1565" t="s">
        <v>903</v>
      </c>
      <c r="AG1565" t="s">
        <v>943</v>
      </c>
      <c r="AH1565" t="s">
        <v>928</v>
      </c>
      <c r="AI1565" t="s">
        <v>367</v>
      </c>
      <c r="AJ1565" t="str">
        <f t="shared" ref="AJ1565:AK1565" si="1455">IF($J1565&lt;&gt;"",$J1565,IF($AC1565=$AC1564,AJ1564,""))</f>
        <v/>
      </c>
      <c r="AK1565" t="str">
        <f t="shared" si="1455"/>
        <v/>
      </c>
      <c r="AL1565" t="str">
        <f t="shared" si="1407"/>
        <v/>
      </c>
      <c r="AN1565" t="s">
        <v>862</v>
      </c>
      <c r="AO1565" t="str">
        <f t="shared" si="1408"/>
        <v>a</v>
      </c>
      <c r="AP1565" t="str">
        <f t="shared" si="1416"/>
        <v/>
      </c>
      <c r="AQ1565" t="str">
        <f t="shared" si="1417"/>
        <v/>
      </c>
      <c r="AR1565" t="str">
        <f t="shared" si="1418"/>
        <v>Away</v>
      </c>
      <c r="AS1565" t="str">
        <f t="shared" si="1419"/>
        <v>a</v>
      </c>
      <c r="AT1565" t="str">
        <f t="shared" si="1420"/>
        <v>Offensive</v>
      </c>
      <c r="BA1565" s="6">
        <f t="shared" si="1409"/>
        <v>362</v>
      </c>
      <c r="BB1565">
        <f t="shared" si="1410"/>
        <v>18981</v>
      </c>
      <c r="BC1565" t="str">
        <f t="shared" si="1411"/>
        <v>Nelson</v>
      </c>
      <c r="BD1565" t="str">
        <f t="shared" si="1412"/>
        <v>Velodrome</v>
      </c>
      <c r="BE1565" t="s">
        <v>13</v>
      </c>
      <c r="BF1565" t="s">
        <v>756</v>
      </c>
      <c r="BG1565" t="s">
        <v>756</v>
      </c>
      <c r="BI1565" cm="1">
        <f t="array" ref="BI1565">IFERROR(_xlfn._xlws.FILTER(shifts!A:A,(shifts!B:B=events!AD1565)*(shifts!AG:AG&gt;=events!BK1565)*(shifts!AH:AH&lt;=events!BL1565)),BI1564)</f>
        <v>69</v>
      </c>
      <c r="BJ1565" s="15">
        <f t="shared" si="1413"/>
        <v>3</v>
      </c>
      <c r="BK1565">
        <f t="shared" si="1421"/>
        <v>100</v>
      </c>
      <c r="BL1565">
        <f t="shared" si="1422"/>
        <v>97</v>
      </c>
      <c r="BM1565" s="15">
        <f>SUMIFS(BJ$2:BJ1565,K$2:K1565,"=Intermission")+SUMIFS(BJ$2:BJ1565,K$2:K1565,"=Timeout")</f>
        <v>72</v>
      </c>
      <c r="BN1565">
        <f t="shared" si="1423"/>
        <v>1152</v>
      </c>
      <c r="BO1565" s="19">
        <f t="shared" si="1424"/>
        <v>2132</v>
      </c>
      <c r="BP1565">
        <f t="shared" si="1425"/>
        <v>2127</v>
      </c>
      <c r="BQ1565" s="17">
        <f t="shared" si="1426"/>
        <v>2135</v>
      </c>
      <c r="BR1565" t="str">
        <f t="shared" si="1427"/>
        <v>event_team_player_1</v>
      </c>
      <c r="BS1565">
        <f>COUNTIFS(S$3:S1565,"="&amp;S1565,AI$3:AI1565,"="&amp;AI1565)</f>
        <v>1</v>
      </c>
      <c r="BT1565" t="str">
        <f>IFERROR(VLOOKUP(BB1565&amp;BU1565&amp;X1565,game_rosters!U:W,3,FALSE),"")</f>
        <v>P100119</v>
      </c>
      <c r="BU1565" t="s">
        <v>944</v>
      </c>
    </row>
    <row r="1566" spans="1:73" x14ac:dyDescent="0.2">
      <c r="A1566">
        <f t="shared" si="1414"/>
        <v>1</v>
      </c>
      <c r="J1566" s="44" t="str">
        <f t="shared" si="1429"/>
        <v/>
      </c>
      <c r="K1566" t="s">
        <v>230</v>
      </c>
      <c r="L1566" t="s">
        <v>389</v>
      </c>
      <c r="M1566" t="s">
        <v>432</v>
      </c>
      <c r="S1566">
        <v>844</v>
      </c>
      <c r="W1566" t="str">
        <f t="shared" si="1405"/>
        <v>a</v>
      </c>
      <c r="X1566">
        <v>49</v>
      </c>
      <c r="Y1566" t="e">
        <f>IF(X1566&lt;&gt;"",VLOOKUP(X1566,game_rosters!$C$43:$E$64,3,FALSE))</f>
        <v>#N/A</v>
      </c>
      <c r="Z1566" cm="1">
        <f t="array" ref="Z1566">IFERROR(IF(_xlfn._xlws.FILTER(game_rosters!$J:$J,(game_rosters!$G:$G=events!$AN1566)*(game_rosters!$J:$J=events!$X1566))&gt;0,1,""),"")</f>
        <v>1</v>
      </c>
      <c r="AA1566">
        <f t="shared" si="1453"/>
        <v>1844</v>
      </c>
      <c r="AB1566" t="str">
        <f t="shared" si="1454"/>
        <v/>
      </c>
      <c r="AC1566">
        <f t="shared" si="1402"/>
        <v>1844</v>
      </c>
      <c r="AD1566" s="6">
        <v>2</v>
      </c>
      <c r="AE1566" t="s">
        <v>943</v>
      </c>
      <c r="AF1566" t="s">
        <v>928</v>
      </c>
      <c r="AG1566" t="s">
        <v>756</v>
      </c>
      <c r="AH1566" t="s">
        <v>756</v>
      </c>
      <c r="AI1566" t="s">
        <v>367</v>
      </c>
      <c r="AJ1566" t="str">
        <f t="shared" ref="AJ1566:AK1566" si="1456">IF($J1566&lt;&gt;"",$J1566,IF($AC1566=$AC1565,AJ1565,""))</f>
        <v/>
      </c>
      <c r="AK1566" t="str">
        <f t="shared" si="1456"/>
        <v/>
      </c>
      <c r="AL1566" t="str">
        <f t="shared" si="1407"/>
        <v/>
      </c>
      <c r="AN1566" t="s">
        <v>862</v>
      </c>
      <c r="AO1566" t="str">
        <f t="shared" si="1408"/>
        <v>a</v>
      </c>
      <c r="AP1566" t="str">
        <f t="shared" si="1416"/>
        <v/>
      </c>
      <c r="AQ1566" t="str">
        <f t="shared" si="1417"/>
        <v/>
      </c>
      <c r="AR1566" t="str">
        <f t="shared" si="1418"/>
        <v>Away</v>
      </c>
      <c r="AS1566" t="str">
        <f t="shared" si="1419"/>
        <v>a</v>
      </c>
      <c r="AT1566" t="str">
        <f t="shared" si="1420"/>
        <v>Defensive</v>
      </c>
      <c r="BA1566" s="6">
        <f t="shared" si="1409"/>
        <v>362</v>
      </c>
      <c r="BB1566">
        <f t="shared" si="1410"/>
        <v>18981</v>
      </c>
      <c r="BC1566" t="str">
        <f t="shared" si="1411"/>
        <v>Nelson</v>
      </c>
      <c r="BD1566" t="str">
        <f t="shared" si="1412"/>
        <v>Velodrome</v>
      </c>
      <c r="BE1566" t="s">
        <v>230</v>
      </c>
      <c r="BF1566" t="s">
        <v>389</v>
      </c>
      <c r="BG1566" t="s">
        <v>432</v>
      </c>
      <c r="BI1566" cm="1">
        <f t="array" ref="BI1566">IFERROR(_xlfn._xlws.FILTER(shifts!A:A,(shifts!B:B=events!AD1566)*(shifts!AG:AG&gt;=events!BK1566)*(shifts!AH:AH&lt;=events!BL1566)),BI1565)</f>
        <v>70</v>
      </c>
      <c r="BJ1566" s="15">
        <f t="shared" si="1413"/>
        <v>0</v>
      </c>
      <c r="BK1566">
        <f t="shared" si="1421"/>
        <v>97</v>
      </c>
      <c r="BL1566">
        <f t="shared" si="1422"/>
        <v>97</v>
      </c>
      <c r="BM1566" s="15">
        <f>SUMIFS(BJ$2:BJ1566,K$2:K1566,"=Intermission")+SUMIFS(BJ$2:BJ1566,K$2:K1566,"=Timeout")</f>
        <v>72</v>
      </c>
      <c r="BN1566">
        <f t="shared" si="1423"/>
        <v>1152</v>
      </c>
      <c r="BO1566" s="19">
        <f t="shared" si="1424"/>
        <v>2135</v>
      </c>
      <c r="BP1566">
        <f t="shared" si="1425"/>
        <v>2130</v>
      </c>
      <c r="BQ1566" s="17">
        <f t="shared" si="1426"/>
        <v>2135</v>
      </c>
      <c r="BR1566" t="str">
        <f t="shared" si="1427"/>
        <v>event_team_player_1</v>
      </c>
      <c r="BS1566">
        <f>COUNTIFS(S$3:S1566,"="&amp;S1566,AI$3:AI1566,"="&amp;AI1566)</f>
        <v>1</v>
      </c>
      <c r="BT1566" t="str">
        <f>IFERROR(VLOOKUP(BB1566&amp;BU1566&amp;X1566,game_rosters!U:W,3,FALSE),"")</f>
        <v>P100161</v>
      </c>
      <c r="BU1566" t="str">
        <f t="shared" si="1428"/>
        <v>Velodrome</v>
      </c>
    </row>
    <row r="1567" spans="1:73" x14ac:dyDescent="0.2">
      <c r="A1567">
        <f t="shared" si="1414"/>
        <v>1</v>
      </c>
      <c r="J1567" s="44" t="str">
        <f t="shared" si="1429"/>
        <v/>
      </c>
      <c r="K1567" t="s">
        <v>230</v>
      </c>
      <c r="L1567" t="s">
        <v>389</v>
      </c>
      <c r="M1567" t="s">
        <v>432</v>
      </c>
      <c r="S1567">
        <v>844</v>
      </c>
      <c r="W1567" t="str">
        <f t="shared" si="1405"/>
        <v>a</v>
      </c>
      <c r="X1567">
        <v>37</v>
      </c>
      <c r="Y1567" t="b">
        <f>IF(X1567&lt;&gt;"",VLOOKUP(X1567,game_rosters!$C$43:$E$64,3,FALSE))</f>
        <v>0</v>
      </c>
      <c r="Z1567" t="str" cm="1">
        <f t="array" ref="Z1567">IFERROR(IF(_xlfn._xlws.FILTER(game_rosters!$J:$J,(game_rosters!$G:$G=events!$AN1567)*(game_rosters!$J:$J=events!$X1567))&gt;0,1,""),"")</f>
        <v/>
      </c>
      <c r="AA1567">
        <f t="shared" si="1453"/>
        <v>1844</v>
      </c>
      <c r="AB1567" t="str">
        <f t="shared" si="1454"/>
        <v/>
      </c>
      <c r="AC1567">
        <f t="shared" si="1402"/>
        <v>1844</v>
      </c>
      <c r="AD1567" s="6">
        <v>2</v>
      </c>
      <c r="AE1567" t="s">
        <v>943</v>
      </c>
      <c r="AF1567" t="s">
        <v>928</v>
      </c>
      <c r="AG1567" t="s">
        <v>756</v>
      </c>
      <c r="AH1567" t="s">
        <v>756</v>
      </c>
      <c r="AI1567" t="s">
        <v>368</v>
      </c>
      <c r="AJ1567" t="str">
        <f t="shared" ref="AJ1567:AK1567" si="1457">IF($J1567&lt;&gt;"",$J1567,IF($AC1567=$AC1566,AJ1566,""))</f>
        <v/>
      </c>
      <c r="AK1567" t="str">
        <f t="shared" si="1457"/>
        <v/>
      </c>
      <c r="AL1567" t="str">
        <f t="shared" si="1407"/>
        <v/>
      </c>
      <c r="AN1567" t="s">
        <v>862</v>
      </c>
      <c r="AO1567" t="str">
        <f t="shared" si="1408"/>
        <v>a</v>
      </c>
      <c r="AP1567" t="str">
        <f t="shared" si="1416"/>
        <v/>
      </c>
      <c r="AQ1567" t="str">
        <f t="shared" si="1417"/>
        <v/>
      </c>
      <c r="AR1567" t="str">
        <f t="shared" si="1418"/>
        <v>Away</v>
      </c>
      <c r="AS1567" t="str">
        <f t="shared" si="1419"/>
        <v>a</v>
      </c>
      <c r="AT1567" t="str">
        <f t="shared" si="1420"/>
        <v>Offensive</v>
      </c>
      <c r="BA1567" s="6">
        <f t="shared" si="1409"/>
        <v>362</v>
      </c>
      <c r="BB1567">
        <f t="shared" si="1410"/>
        <v>18981</v>
      </c>
      <c r="BC1567" t="str">
        <f t="shared" si="1411"/>
        <v>Nelson</v>
      </c>
      <c r="BD1567" t="str">
        <f t="shared" si="1412"/>
        <v>Velodrome</v>
      </c>
      <c r="BE1567" t="s">
        <v>230</v>
      </c>
      <c r="BF1567" t="s">
        <v>389</v>
      </c>
      <c r="BG1567" t="s">
        <v>432</v>
      </c>
      <c r="BI1567" cm="1">
        <f t="array" ref="BI1567">IFERROR(_xlfn._xlws.FILTER(shifts!A:A,(shifts!B:B=events!AD1567)*(shifts!AG:AG&gt;=events!BK1567)*(shifts!AH:AH&lt;=events!BL1567)),BI1566)</f>
        <v>70</v>
      </c>
      <c r="BJ1567" s="15">
        <f t="shared" si="1413"/>
        <v>0</v>
      </c>
      <c r="BK1567">
        <f t="shared" si="1421"/>
        <v>97</v>
      </c>
      <c r="BL1567">
        <f t="shared" si="1422"/>
        <v>97</v>
      </c>
      <c r="BM1567" s="15">
        <f>SUMIFS(BJ$2:BJ1567,K$2:K1567,"=Intermission")+SUMIFS(BJ$2:BJ1567,K$2:K1567,"=Timeout")</f>
        <v>72</v>
      </c>
      <c r="BN1567">
        <f t="shared" si="1423"/>
        <v>1152</v>
      </c>
      <c r="BO1567" s="19">
        <f t="shared" si="1424"/>
        <v>2135</v>
      </c>
      <c r="BP1567">
        <f t="shared" si="1425"/>
        <v>2130</v>
      </c>
      <c r="BQ1567" s="17">
        <f t="shared" si="1426"/>
        <v>2135</v>
      </c>
      <c r="BR1567" t="str">
        <f t="shared" si="1427"/>
        <v>opp_team_player_1</v>
      </c>
      <c r="BS1567">
        <f>COUNTIFS(S$3:S1567,"="&amp;S1567,AI$3:AI1567,"="&amp;AI1567)</f>
        <v>1</v>
      </c>
      <c r="BT1567" t="str">
        <f>IFERROR(VLOOKUP(BB1567&amp;BU1567&amp;X1567,game_rosters!U:W,3,FALSE),"")</f>
        <v>P100119</v>
      </c>
      <c r="BU1567" t="str">
        <f t="shared" si="1428"/>
        <v>Nelson</v>
      </c>
    </row>
    <row r="1568" spans="1:73" x14ac:dyDescent="0.2">
      <c r="A1568">
        <f t="shared" si="1414"/>
        <v>1</v>
      </c>
      <c r="J1568" s="44" t="str">
        <f t="shared" si="1429"/>
        <v/>
      </c>
      <c r="K1568" t="s">
        <v>7</v>
      </c>
      <c r="L1568" t="s">
        <v>172</v>
      </c>
      <c r="M1568" t="s">
        <v>67</v>
      </c>
      <c r="S1568">
        <v>845</v>
      </c>
      <c r="W1568" t="str">
        <f t="shared" si="1405"/>
        <v>h</v>
      </c>
      <c r="X1568">
        <v>23</v>
      </c>
      <c r="Y1568" t="b">
        <f>IF(X1568&lt;&gt;"",VLOOKUP(X1568,game_rosters!$C$43:$E$64,3,FALSE))</f>
        <v>0</v>
      </c>
      <c r="Z1568" cm="1">
        <f t="array" ref="Z1568">IFERROR(IF(_xlfn._xlws.FILTER(game_rosters!$J:$J,(game_rosters!$G:$G=events!$AN1568)*(game_rosters!$J:$J=events!$X1568))&gt;0,1,""),"")</f>
        <v>1</v>
      </c>
      <c r="AA1568">
        <f t="shared" si="1453"/>
        <v>1845</v>
      </c>
      <c r="AB1568" t="str">
        <f t="shared" si="1454"/>
        <v/>
      </c>
      <c r="AC1568">
        <f t="shared" si="1402"/>
        <v>1845</v>
      </c>
      <c r="AD1568" s="6">
        <v>2</v>
      </c>
      <c r="AE1568" t="s">
        <v>943</v>
      </c>
      <c r="AF1568" t="s">
        <v>750</v>
      </c>
      <c r="AG1568" t="s">
        <v>756</v>
      </c>
      <c r="AH1568" t="s">
        <v>756</v>
      </c>
      <c r="AI1568" t="s">
        <v>367</v>
      </c>
      <c r="AJ1568" t="str">
        <f t="shared" ref="AJ1568:AK1568" si="1458">IF($J1568&lt;&gt;"",$J1568,IF($AC1568=$AC1567,AJ1567,""))</f>
        <v/>
      </c>
      <c r="AK1568" t="str">
        <f t="shared" si="1458"/>
        <v/>
      </c>
      <c r="AL1568" t="str">
        <f t="shared" si="1407"/>
        <v/>
      </c>
      <c r="AN1568" t="s">
        <v>861</v>
      </c>
      <c r="AO1568" t="str">
        <f t="shared" si="1408"/>
        <v>h</v>
      </c>
      <c r="AP1568" t="str">
        <f t="shared" si="1416"/>
        <v/>
      </c>
      <c r="AQ1568" t="str">
        <f t="shared" si="1417"/>
        <v/>
      </c>
      <c r="AR1568" t="str">
        <f t="shared" si="1418"/>
        <v>Home</v>
      </c>
      <c r="AS1568" t="str">
        <f t="shared" si="1419"/>
        <v>h</v>
      </c>
      <c r="AT1568" t="str">
        <f t="shared" si="1420"/>
        <v>Offensive</v>
      </c>
      <c r="BA1568" s="6">
        <f t="shared" si="1409"/>
        <v>362</v>
      </c>
      <c r="BB1568">
        <f t="shared" si="1410"/>
        <v>18981</v>
      </c>
      <c r="BC1568" t="str">
        <f t="shared" si="1411"/>
        <v>Nelson</v>
      </c>
      <c r="BD1568" t="str">
        <f t="shared" si="1412"/>
        <v>Velodrome</v>
      </c>
      <c r="BE1568" t="s">
        <v>7</v>
      </c>
      <c r="BF1568" t="s">
        <v>172</v>
      </c>
      <c r="BG1568" t="s">
        <v>67</v>
      </c>
      <c r="BI1568" cm="1">
        <f t="array" ref="BI1568">IFERROR(_xlfn._xlws.FILTER(shifts!A:A,(shifts!B:B=events!AD1568)*(shifts!AG:AG&gt;=events!BK1568)*(shifts!AH:AH&lt;=events!BL1568)),BI1567)</f>
        <v>70</v>
      </c>
      <c r="BJ1568" s="15">
        <f t="shared" si="1413"/>
        <v>0</v>
      </c>
      <c r="BK1568">
        <f t="shared" si="1421"/>
        <v>95</v>
      </c>
      <c r="BL1568">
        <f t="shared" si="1422"/>
        <v>95</v>
      </c>
      <c r="BM1568" s="15">
        <f>SUMIFS(BJ$2:BJ1568,K$2:K1568,"=Intermission")+SUMIFS(BJ$2:BJ1568,K$2:K1568,"=Timeout")</f>
        <v>72</v>
      </c>
      <c r="BN1568">
        <f t="shared" si="1423"/>
        <v>1152</v>
      </c>
      <c r="BO1568" s="19">
        <f t="shared" si="1424"/>
        <v>2137</v>
      </c>
      <c r="BP1568">
        <f t="shared" si="1425"/>
        <v>2132</v>
      </c>
      <c r="BQ1568" s="17">
        <f t="shared" si="1426"/>
        <v>2137</v>
      </c>
      <c r="BR1568" t="str">
        <f t="shared" si="1427"/>
        <v>event_team_player_1</v>
      </c>
      <c r="BS1568">
        <f>COUNTIFS(S$3:S1568,"="&amp;S1568,AI$3:AI1568,"="&amp;AI1568)</f>
        <v>1</v>
      </c>
      <c r="BT1568" t="str">
        <f>IFERROR(VLOOKUP(BB1568&amp;BU1568&amp;X1568,game_rosters!U:W,3,FALSE),"")</f>
        <v>P100061</v>
      </c>
      <c r="BU1568" t="str">
        <f t="shared" si="1428"/>
        <v>Nelson</v>
      </c>
    </row>
    <row r="1569" spans="1:73" x14ac:dyDescent="0.2">
      <c r="A1569">
        <f t="shared" si="1414"/>
        <v>1</v>
      </c>
      <c r="J1569" s="44" t="str">
        <f t="shared" si="1429"/>
        <v/>
      </c>
      <c r="K1569" t="s">
        <v>7</v>
      </c>
      <c r="L1569" t="s">
        <v>172</v>
      </c>
      <c r="M1569" t="s">
        <v>67</v>
      </c>
      <c r="S1569">
        <v>845</v>
      </c>
      <c r="W1569" t="str">
        <f t="shared" si="1405"/>
        <v>h</v>
      </c>
      <c r="X1569">
        <v>37</v>
      </c>
      <c r="Y1569" t="b">
        <f>IF(X1569&lt;&gt;"",VLOOKUP(X1569,game_rosters!$C$43:$E$64,3,FALSE))</f>
        <v>0</v>
      </c>
      <c r="Z1569" cm="1">
        <f t="array" ref="Z1569">IFERROR(IF(_xlfn._xlws.FILTER(game_rosters!$J:$J,(game_rosters!$G:$G=events!$AN1569)*(game_rosters!$J:$J=events!$X1569))&gt;0,1,""),"")</f>
        <v>1</v>
      </c>
      <c r="AA1569">
        <f t="shared" si="1453"/>
        <v>1845</v>
      </c>
      <c r="AB1569" t="str">
        <f t="shared" si="1454"/>
        <v/>
      </c>
      <c r="AC1569">
        <f t="shared" si="1402"/>
        <v>1845</v>
      </c>
      <c r="AD1569" s="6">
        <v>2</v>
      </c>
      <c r="AE1569" t="s">
        <v>943</v>
      </c>
      <c r="AF1569" t="s">
        <v>750</v>
      </c>
      <c r="AG1569" t="s">
        <v>756</v>
      </c>
      <c r="AH1569" t="s">
        <v>756</v>
      </c>
      <c r="AI1569" t="s">
        <v>367</v>
      </c>
      <c r="AJ1569" t="str">
        <f t="shared" ref="AJ1569:AK1569" si="1459">IF($J1569&lt;&gt;"",$J1569,IF($AC1569=$AC1568,AJ1568,""))</f>
        <v/>
      </c>
      <c r="AK1569" t="str">
        <f t="shared" si="1459"/>
        <v/>
      </c>
      <c r="AL1569" t="str">
        <f t="shared" si="1407"/>
        <v/>
      </c>
      <c r="AN1569" t="s">
        <v>861</v>
      </c>
      <c r="AO1569" t="str">
        <f t="shared" si="1408"/>
        <v>h</v>
      </c>
      <c r="AP1569" t="str">
        <f t="shared" si="1416"/>
        <v/>
      </c>
      <c r="AQ1569" t="str">
        <f t="shared" si="1417"/>
        <v/>
      </c>
      <c r="AR1569" t="str">
        <f t="shared" si="1418"/>
        <v>Home</v>
      </c>
      <c r="AS1569" t="str">
        <f t="shared" si="1419"/>
        <v>h</v>
      </c>
      <c r="AT1569" t="str">
        <f t="shared" si="1420"/>
        <v>Offensive</v>
      </c>
      <c r="BA1569" s="6">
        <f t="shared" si="1409"/>
        <v>362</v>
      </c>
      <c r="BB1569">
        <f t="shared" si="1410"/>
        <v>18981</v>
      </c>
      <c r="BC1569" t="str">
        <f t="shared" si="1411"/>
        <v>Nelson</v>
      </c>
      <c r="BD1569" t="str">
        <f t="shared" si="1412"/>
        <v>Velodrome</v>
      </c>
      <c r="BE1569" t="s">
        <v>7</v>
      </c>
      <c r="BF1569" t="s">
        <v>172</v>
      </c>
      <c r="BG1569" t="s">
        <v>67</v>
      </c>
      <c r="BI1569" cm="1">
        <f t="array" ref="BI1569">IFERROR(_xlfn._xlws.FILTER(shifts!A:A,(shifts!B:B=events!AD1569)*(shifts!AG:AG&gt;=events!BK1569)*(shifts!AH:AH&lt;=events!BL1569)),BI1568)</f>
        <v>70</v>
      </c>
      <c r="BJ1569" s="15">
        <f t="shared" si="1413"/>
        <v>0</v>
      </c>
      <c r="BK1569">
        <f t="shared" si="1421"/>
        <v>95</v>
      </c>
      <c r="BL1569">
        <f t="shared" si="1422"/>
        <v>95</v>
      </c>
      <c r="BM1569" s="15">
        <f>SUMIFS(BJ$2:BJ1569,K$2:K1569,"=Intermission")+SUMIFS(BJ$2:BJ1569,K$2:K1569,"=Timeout")</f>
        <v>72</v>
      </c>
      <c r="BN1569">
        <f t="shared" si="1423"/>
        <v>1152</v>
      </c>
      <c r="BO1569" s="19">
        <f t="shared" si="1424"/>
        <v>2137</v>
      </c>
      <c r="BP1569">
        <f t="shared" si="1425"/>
        <v>2132</v>
      </c>
      <c r="BQ1569" s="17">
        <f t="shared" si="1426"/>
        <v>2137</v>
      </c>
      <c r="BR1569" t="str">
        <f t="shared" si="1427"/>
        <v>event_team_player_2</v>
      </c>
      <c r="BS1569">
        <f>COUNTIFS(S$3:S1569,"="&amp;S1569,AI$3:AI1569,"="&amp;AI1569)</f>
        <v>2</v>
      </c>
      <c r="BT1569" t="str">
        <f>IFERROR(VLOOKUP(BB1569&amp;BU1569&amp;X1569,game_rosters!U:W,3,FALSE),"")</f>
        <v>P100119</v>
      </c>
      <c r="BU1569" t="str">
        <f t="shared" si="1428"/>
        <v>Nelson</v>
      </c>
    </row>
    <row r="1570" spans="1:73" x14ac:dyDescent="0.2">
      <c r="A1570">
        <f t="shared" si="1414"/>
        <v>1</v>
      </c>
      <c r="J1570" s="44" t="str">
        <f t="shared" si="1429"/>
        <v>d</v>
      </c>
      <c r="K1570" t="s">
        <v>238</v>
      </c>
      <c r="L1570" t="s">
        <v>184</v>
      </c>
      <c r="M1570" t="s">
        <v>88</v>
      </c>
      <c r="S1570">
        <v>846</v>
      </c>
      <c r="W1570" t="str">
        <f t="shared" si="1405"/>
        <v>h</v>
      </c>
      <c r="X1570">
        <v>37</v>
      </c>
      <c r="Y1570" t="b">
        <f>IF(X1570&lt;&gt;"",VLOOKUP(X1570,game_rosters!$C$43:$E$64,3,FALSE))</f>
        <v>0</v>
      </c>
      <c r="Z1570" cm="1">
        <f t="array" ref="Z1570">IFERROR(IF(_xlfn._xlws.FILTER(game_rosters!$J:$J,(game_rosters!$G:$G=events!$AN1570)*(game_rosters!$J:$J=events!$X1570))&gt;0,1,""),"")</f>
        <v>1</v>
      </c>
      <c r="AA1570">
        <f t="shared" si="1453"/>
        <v>1846</v>
      </c>
      <c r="AB1570" t="str">
        <f t="shared" si="1454"/>
        <v/>
      </c>
      <c r="AC1570">
        <f t="shared" si="1402"/>
        <v>1846</v>
      </c>
      <c r="AD1570" s="6">
        <v>2</v>
      </c>
      <c r="AE1570" t="s">
        <v>943</v>
      </c>
      <c r="AF1570" t="s">
        <v>750</v>
      </c>
      <c r="AG1570" t="s">
        <v>943</v>
      </c>
      <c r="AH1570" t="s">
        <v>914</v>
      </c>
      <c r="AI1570" t="s">
        <v>367</v>
      </c>
      <c r="AJ1570" t="str">
        <f t="shared" ref="AJ1570:AK1570" si="1460">IF($J1570&lt;&gt;"",$J1570,IF($AC1570=$AC1569,AJ1569,""))</f>
        <v>d</v>
      </c>
      <c r="AK1570" t="str">
        <f t="shared" si="1460"/>
        <v>d</v>
      </c>
      <c r="AL1570" t="str">
        <f t="shared" si="1407"/>
        <v>d</v>
      </c>
      <c r="AN1570" t="s">
        <v>861</v>
      </c>
      <c r="AO1570" t="str">
        <f t="shared" si="1408"/>
        <v>h</v>
      </c>
      <c r="AP1570" t="str">
        <f t="shared" si="1416"/>
        <v>d</v>
      </c>
      <c r="AQ1570" t="str">
        <f t="shared" si="1417"/>
        <v/>
      </c>
      <c r="AR1570" t="str">
        <f t="shared" si="1418"/>
        <v>Home</v>
      </c>
      <c r="AS1570" t="str">
        <f t="shared" si="1419"/>
        <v>h</v>
      </c>
      <c r="AT1570" t="str">
        <f t="shared" si="1420"/>
        <v>Offensive</v>
      </c>
      <c r="BA1570" s="6">
        <f t="shared" si="1409"/>
        <v>363</v>
      </c>
      <c r="BB1570">
        <f t="shared" si="1410"/>
        <v>18981</v>
      </c>
      <c r="BC1570" t="str">
        <f t="shared" si="1411"/>
        <v>Nelson</v>
      </c>
      <c r="BD1570" t="str">
        <f t="shared" si="1412"/>
        <v>Velodrome</v>
      </c>
      <c r="BE1570" t="s">
        <v>238</v>
      </c>
      <c r="BF1570" t="s">
        <v>184</v>
      </c>
      <c r="BG1570" t="s">
        <v>88</v>
      </c>
      <c r="BI1570" cm="1">
        <f t="array" ref="BI1570">IFERROR(_xlfn._xlws.FILTER(shifts!A:A,(shifts!B:B=events!AD1570)*(shifts!AG:AG&gt;=events!BK1570)*(shifts!AH:AH&lt;=events!BL1570)),BI1569)</f>
        <v>70</v>
      </c>
      <c r="BJ1570" s="15">
        <f t="shared" si="1413"/>
        <v>2</v>
      </c>
      <c r="BK1570">
        <f t="shared" si="1421"/>
        <v>95</v>
      </c>
      <c r="BL1570">
        <f t="shared" si="1422"/>
        <v>93</v>
      </c>
      <c r="BM1570" s="15">
        <f>SUMIFS(BJ$2:BJ1570,K$2:K1570,"=Intermission")+SUMIFS(BJ$2:BJ1570,K$2:K1570,"=Timeout")</f>
        <v>72</v>
      </c>
      <c r="BN1570">
        <f t="shared" si="1423"/>
        <v>1152</v>
      </c>
      <c r="BO1570" s="19">
        <f t="shared" si="1424"/>
        <v>2137</v>
      </c>
      <c r="BP1570">
        <f t="shared" si="1425"/>
        <v>2132</v>
      </c>
      <c r="BQ1570" s="17">
        <f t="shared" si="1426"/>
        <v>2139</v>
      </c>
      <c r="BR1570" t="str">
        <f t="shared" si="1427"/>
        <v>event_team_player_1</v>
      </c>
      <c r="BS1570">
        <f>COUNTIFS(S$3:S1570,"="&amp;S1570,AI$3:AI1570,"="&amp;AI1570)</f>
        <v>1</v>
      </c>
      <c r="BT1570" t="str">
        <f>IFERROR(VLOOKUP(BB1570&amp;BU1570&amp;X1570,game_rosters!U:W,3,FALSE),"")</f>
        <v>P100119</v>
      </c>
      <c r="BU1570" t="str">
        <f t="shared" si="1428"/>
        <v>Nelson</v>
      </c>
    </row>
    <row r="1571" spans="1:73" x14ac:dyDescent="0.2">
      <c r="A1571">
        <f t="shared" si="1414"/>
        <v>1</v>
      </c>
      <c r="J1571" s="44" t="str">
        <f t="shared" si="1429"/>
        <v/>
      </c>
      <c r="K1571" t="s">
        <v>13</v>
      </c>
      <c r="L1571" t="s">
        <v>756</v>
      </c>
      <c r="M1571" t="s">
        <v>756</v>
      </c>
      <c r="S1571">
        <v>847</v>
      </c>
      <c r="W1571" t="str">
        <f t="shared" si="1405"/>
        <v>h</v>
      </c>
      <c r="X1571">
        <v>37</v>
      </c>
      <c r="Y1571" t="b">
        <f>IF(X1571&lt;&gt;"",VLOOKUP(X1571,game_rosters!$C$43:$E$64,3,FALSE))</f>
        <v>0</v>
      </c>
      <c r="Z1571" cm="1">
        <f t="array" ref="Z1571">IFERROR(IF(_xlfn._xlws.FILTER(game_rosters!$J:$J,(game_rosters!$G:$G=events!$AN1571)*(game_rosters!$J:$J=events!$X1571))&gt;0,1,""),"")</f>
        <v>1</v>
      </c>
      <c r="AA1571">
        <f t="shared" si="1453"/>
        <v>1847</v>
      </c>
      <c r="AB1571" t="str">
        <f t="shared" si="1454"/>
        <v/>
      </c>
      <c r="AC1571">
        <f t="shared" si="1402"/>
        <v>1847</v>
      </c>
      <c r="AD1571" s="6">
        <v>2</v>
      </c>
      <c r="AE1571" t="s">
        <v>943</v>
      </c>
      <c r="AF1571" t="s">
        <v>914</v>
      </c>
      <c r="AG1571" t="s">
        <v>943</v>
      </c>
      <c r="AH1571" t="s">
        <v>738</v>
      </c>
      <c r="AI1571" t="s">
        <v>367</v>
      </c>
      <c r="AJ1571" t="str">
        <f t="shared" ref="AJ1571:AK1571" si="1461">IF($J1571&lt;&gt;"",$J1571,IF($AC1571=$AC1570,AJ1570,""))</f>
        <v/>
      </c>
      <c r="AK1571" t="str">
        <f t="shared" si="1461"/>
        <v/>
      </c>
      <c r="AL1571" t="str">
        <f t="shared" si="1407"/>
        <v/>
      </c>
      <c r="AN1571" t="s">
        <v>861</v>
      </c>
      <c r="AO1571" t="str">
        <f t="shared" si="1408"/>
        <v>h</v>
      </c>
      <c r="AP1571" t="str">
        <f t="shared" si="1416"/>
        <v/>
      </c>
      <c r="AQ1571" t="str">
        <f t="shared" si="1417"/>
        <v/>
      </c>
      <c r="AR1571" t="str">
        <f t="shared" si="1418"/>
        <v>Home</v>
      </c>
      <c r="AS1571" t="str">
        <f t="shared" si="1419"/>
        <v>h</v>
      </c>
      <c r="AT1571" t="str">
        <f t="shared" si="1420"/>
        <v>Offensive</v>
      </c>
      <c r="BA1571" s="6">
        <f t="shared" si="1409"/>
        <v>363</v>
      </c>
      <c r="BB1571">
        <f t="shared" si="1410"/>
        <v>18981</v>
      </c>
      <c r="BC1571" t="str">
        <f t="shared" si="1411"/>
        <v>Nelson</v>
      </c>
      <c r="BD1571" t="str">
        <f t="shared" si="1412"/>
        <v>Velodrome</v>
      </c>
      <c r="BE1571" t="s">
        <v>13</v>
      </c>
      <c r="BF1571" t="s">
        <v>756</v>
      </c>
      <c r="BG1571" t="s">
        <v>756</v>
      </c>
      <c r="BI1571" cm="1">
        <f t="array" ref="BI1571">IFERROR(_xlfn._xlws.FILTER(shifts!A:A,(shifts!B:B=events!AD1571)*(shifts!AG:AG&gt;=events!BK1571)*(shifts!AH:AH&lt;=events!BL1571)),BI1570)</f>
        <v>70</v>
      </c>
      <c r="BJ1571" s="15">
        <f t="shared" si="1413"/>
        <v>2</v>
      </c>
      <c r="BK1571">
        <f t="shared" si="1421"/>
        <v>93</v>
      </c>
      <c r="BL1571">
        <f t="shared" si="1422"/>
        <v>91</v>
      </c>
      <c r="BM1571" s="15">
        <f>SUMIFS(BJ$2:BJ1571,K$2:K1571,"=Intermission")+SUMIFS(BJ$2:BJ1571,K$2:K1571,"=Timeout")</f>
        <v>72</v>
      </c>
      <c r="BN1571">
        <f t="shared" si="1423"/>
        <v>1152</v>
      </c>
      <c r="BO1571" s="19">
        <f t="shared" si="1424"/>
        <v>2139</v>
      </c>
      <c r="BP1571">
        <f t="shared" si="1425"/>
        <v>2134</v>
      </c>
      <c r="BQ1571" s="17">
        <f t="shared" si="1426"/>
        <v>2141</v>
      </c>
      <c r="BR1571" t="str">
        <f t="shared" si="1427"/>
        <v>event_team_player_1</v>
      </c>
      <c r="BS1571">
        <f>COUNTIFS(S$3:S1571,"="&amp;S1571,AI$3:AI1571,"="&amp;AI1571)</f>
        <v>1</v>
      </c>
      <c r="BT1571" t="str">
        <f>IFERROR(VLOOKUP(BB1571&amp;BU1571&amp;X1571,game_rosters!U:W,3,FALSE),"")</f>
        <v>P100119</v>
      </c>
      <c r="BU1571" t="str">
        <f t="shared" si="1428"/>
        <v>Nelson</v>
      </c>
    </row>
    <row r="1572" spans="1:73" x14ac:dyDescent="0.2">
      <c r="A1572">
        <f t="shared" si="1414"/>
        <v>1</v>
      </c>
      <c r="J1572" s="44" t="str">
        <f t="shared" si="1429"/>
        <v/>
      </c>
      <c r="K1572" t="s">
        <v>13</v>
      </c>
      <c r="L1572" t="s">
        <v>756</v>
      </c>
      <c r="M1572" t="s">
        <v>756</v>
      </c>
      <c r="S1572">
        <v>847</v>
      </c>
      <c r="W1572" t="str">
        <f t="shared" si="1405"/>
        <v>h</v>
      </c>
      <c r="X1572">
        <v>14</v>
      </c>
      <c r="Y1572" t="e">
        <f>IF(X1572&lt;&gt;"",VLOOKUP(X1572,game_rosters!$C$43:$E$64,3,FALSE))</f>
        <v>#N/A</v>
      </c>
      <c r="Z1572" t="str" cm="1">
        <f t="array" ref="Z1572">IFERROR(IF(_xlfn._xlws.FILTER(game_rosters!$J:$J,(game_rosters!$G:$G=events!$AN1572)*(game_rosters!$J:$J=events!$X1572))&gt;0,1,""),"")</f>
        <v/>
      </c>
      <c r="AA1572">
        <f t="shared" si="1453"/>
        <v>1847</v>
      </c>
      <c r="AB1572" t="str">
        <f t="shared" si="1454"/>
        <v/>
      </c>
      <c r="AC1572">
        <f t="shared" si="1402"/>
        <v>1847</v>
      </c>
      <c r="AD1572" s="6">
        <v>2</v>
      </c>
      <c r="AE1572" t="s">
        <v>943</v>
      </c>
      <c r="AF1572" t="s">
        <v>914</v>
      </c>
      <c r="AG1572" t="s">
        <v>943</v>
      </c>
      <c r="AH1572" t="s">
        <v>738</v>
      </c>
      <c r="AI1572" t="s">
        <v>368</v>
      </c>
      <c r="AJ1572" t="str">
        <f t="shared" ref="AJ1572:AK1572" si="1462">IF($J1572&lt;&gt;"",$J1572,IF($AC1572=$AC1571,AJ1571,""))</f>
        <v/>
      </c>
      <c r="AK1572" t="str">
        <f t="shared" si="1462"/>
        <v/>
      </c>
      <c r="AL1572" t="str">
        <f t="shared" si="1407"/>
        <v/>
      </c>
      <c r="AN1572" t="s">
        <v>861</v>
      </c>
      <c r="AO1572" t="str">
        <f t="shared" si="1408"/>
        <v>h</v>
      </c>
      <c r="AP1572" t="str">
        <f t="shared" si="1416"/>
        <v/>
      </c>
      <c r="AQ1572" t="str">
        <f t="shared" si="1417"/>
        <v/>
      </c>
      <c r="AR1572" t="str">
        <f t="shared" si="1418"/>
        <v>Home</v>
      </c>
      <c r="AS1572" t="str">
        <f t="shared" si="1419"/>
        <v>h</v>
      </c>
      <c r="AT1572" t="str">
        <f t="shared" si="1420"/>
        <v>Defensive</v>
      </c>
      <c r="BA1572" s="6">
        <f t="shared" si="1409"/>
        <v>363</v>
      </c>
      <c r="BB1572">
        <f t="shared" si="1410"/>
        <v>18981</v>
      </c>
      <c r="BC1572" t="str">
        <f t="shared" si="1411"/>
        <v>Nelson</v>
      </c>
      <c r="BD1572" t="str">
        <f t="shared" si="1412"/>
        <v>Velodrome</v>
      </c>
      <c r="BE1572" t="s">
        <v>13</v>
      </c>
      <c r="BF1572" t="s">
        <v>756</v>
      </c>
      <c r="BG1572" t="s">
        <v>756</v>
      </c>
      <c r="BI1572" cm="1">
        <f t="array" ref="BI1572">IFERROR(_xlfn._xlws.FILTER(shifts!A:A,(shifts!B:B=events!AD1572)*(shifts!AG:AG&gt;=events!BK1572)*(shifts!AH:AH&lt;=events!BL1572)),BI1571)</f>
        <v>70</v>
      </c>
      <c r="BJ1572" s="15">
        <f t="shared" si="1413"/>
        <v>2</v>
      </c>
      <c r="BK1572">
        <f t="shared" si="1421"/>
        <v>93</v>
      </c>
      <c r="BL1572">
        <f t="shared" si="1422"/>
        <v>91</v>
      </c>
      <c r="BM1572" s="15">
        <f>SUMIFS(BJ$2:BJ1572,K$2:K1572,"=Intermission")+SUMIFS(BJ$2:BJ1572,K$2:K1572,"=Timeout")</f>
        <v>72</v>
      </c>
      <c r="BN1572">
        <f t="shared" si="1423"/>
        <v>1152</v>
      </c>
      <c r="BO1572" s="19">
        <f t="shared" si="1424"/>
        <v>2139</v>
      </c>
      <c r="BP1572">
        <f t="shared" si="1425"/>
        <v>2134</v>
      </c>
      <c r="BQ1572" s="17">
        <f t="shared" si="1426"/>
        <v>2141</v>
      </c>
      <c r="BR1572" t="str">
        <f t="shared" si="1427"/>
        <v>opp_team_player_1</v>
      </c>
      <c r="BS1572">
        <f>COUNTIFS(S$3:S1572,"="&amp;S1572,AI$3:AI1572,"="&amp;AI1572)</f>
        <v>1</v>
      </c>
      <c r="BT1572" t="str">
        <f>IFERROR(VLOOKUP(BB1572&amp;BU1572&amp;X1572,game_rosters!U:W,3,FALSE),"")</f>
        <v>P100132</v>
      </c>
      <c r="BU1572" t="str">
        <f t="shared" si="1428"/>
        <v>Velodrome</v>
      </c>
    </row>
    <row r="1573" spans="1:73" x14ac:dyDescent="0.2">
      <c r="A1573">
        <f t="shared" si="1414"/>
        <v>1</v>
      </c>
      <c r="J1573" s="44" t="str">
        <f t="shared" si="1429"/>
        <v>o</v>
      </c>
      <c r="K1573" t="s">
        <v>238</v>
      </c>
      <c r="L1573" t="s">
        <v>174</v>
      </c>
      <c r="M1573" t="s">
        <v>85</v>
      </c>
      <c r="S1573">
        <v>848</v>
      </c>
      <c r="W1573" t="str">
        <f t="shared" si="1405"/>
        <v>h</v>
      </c>
      <c r="X1573">
        <v>37</v>
      </c>
      <c r="Y1573" t="b">
        <f>IF(X1573&lt;&gt;"",VLOOKUP(X1573,game_rosters!$C$43:$E$64,3,FALSE))</f>
        <v>0</v>
      </c>
      <c r="Z1573" cm="1">
        <f t="array" ref="Z1573">IFERROR(IF(_xlfn._xlws.FILTER(game_rosters!$J:$J,(game_rosters!$G:$G=events!$AN1573)*(game_rosters!$J:$J=events!$X1573))&gt;0,1,""),"")</f>
        <v>1</v>
      </c>
      <c r="AA1573">
        <f t="shared" si="1453"/>
        <v>1848</v>
      </c>
      <c r="AB1573" t="str">
        <f t="shared" si="1454"/>
        <v/>
      </c>
      <c r="AC1573">
        <f t="shared" si="1402"/>
        <v>1848</v>
      </c>
      <c r="AD1573" s="6">
        <v>2</v>
      </c>
      <c r="AE1573" t="s">
        <v>943</v>
      </c>
      <c r="AF1573" t="s">
        <v>738</v>
      </c>
      <c r="AG1573" t="s">
        <v>943</v>
      </c>
      <c r="AH1573" t="s">
        <v>906</v>
      </c>
      <c r="AI1573" t="s">
        <v>367</v>
      </c>
      <c r="AJ1573" t="str">
        <f t="shared" ref="AJ1573:AK1573" si="1463">IF($J1573&lt;&gt;"",$J1573,IF($AC1573=$AC1572,AJ1572,""))</f>
        <v>o</v>
      </c>
      <c r="AK1573" t="str">
        <f t="shared" si="1463"/>
        <v>o</v>
      </c>
      <c r="AL1573" t="str">
        <f t="shared" si="1407"/>
        <v>o</v>
      </c>
      <c r="AN1573" t="s">
        <v>861</v>
      </c>
      <c r="AO1573" t="str">
        <f t="shared" si="1408"/>
        <v>h</v>
      </c>
      <c r="AP1573" t="str">
        <f t="shared" si="1416"/>
        <v>o</v>
      </c>
      <c r="AQ1573" t="str">
        <f t="shared" si="1417"/>
        <v/>
      </c>
      <c r="AR1573" t="str">
        <f t="shared" si="1418"/>
        <v>Home</v>
      </c>
      <c r="AS1573" t="str">
        <f t="shared" si="1419"/>
        <v>h</v>
      </c>
      <c r="AT1573" t="str">
        <f t="shared" si="1420"/>
        <v>Offensive</v>
      </c>
      <c r="BA1573" s="6">
        <f t="shared" si="1409"/>
        <v>364</v>
      </c>
      <c r="BB1573">
        <f t="shared" si="1410"/>
        <v>18981</v>
      </c>
      <c r="BC1573" t="str">
        <f t="shared" si="1411"/>
        <v>Nelson</v>
      </c>
      <c r="BD1573" t="str">
        <f t="shared" si="1412"/>
        <v>Velodrome</v>
      </c>
      <c r="BE1573" t="s">
        <v>238</v>
      </c>
      <c r="BF1573" t="s">
        <v>174</v>
      </c>
      <c r="BG1573" t="s">
        <v>85</v>
      </c>
      <c r="BI1573" cm="1">
        <f t="array" ref="BI1573">IFERROR(_xlfn._xlws.FILTER(shifts!A:A,(shifts!B:B=events!AD1573)*(shifts!AG:AG&gt;=events!BK1573)*(shifts!AH:AH&lt;=events!BL1573)),BI1572)</f>
        <v>70</v>
      </c>
      <c r="BJ1573" s="15">
        <f t="shared" si="1413"/>
        <v>2</v>
      </c>
      <c r="BK1573">
        <f t="shared" si="1421"/>
        <v>91</v>
      </c>
      <c r="BL1573">
        <f t="shared" si="1422"/>
        <v>89</v>
      </c>
      <c r="BM1573" s="15">
        <f>SUMIFS(BJ$2:BJ1573,K$2:K1573,"=Intermission")+SUMIFS(BJ$2:BJ1573,K$2:K1573,"=Timeout")</f>
        <v>72</v>
      </c>
      <c r="BN1573">
        <f t="shared" si="1423"/>
        <v>1152</v>
      </c>
      <c r="BO1573" s="19">
        <f t="shared" si="1424"/>
        <v>2141</v>
      </c>
      <c r="BP1573">
        <f t="shared" si="1425"/>
        <v>2136</v>
      </c>
      <c r="BQ1573" s="17">
        <f t="shared" si="1426"/>
        <v>2143</v>
      </c>
      <c r="BR1573" t="str">
        <f t="shared" si="1427"/>
        <v>event_team_player_1</v>
      </c>
      <c r="BS1573">
        <f>COUNTIFS(S$3:S1573,"="&amp;S1573,AI$3:AI1573,"="&amp;AI1573)</f>
        <v>1</v>
      </c>
      <c r="BT1573" t="str">
        <f>IFERROR(VLOOKUP(BB1573&amp;BU1573&amp;X1573,game_rosters!U:W,3,FALSE),"")</f>
        <v>P100119</v>
      </c>
      <c r="BU1573" t="str">
        <f t="shared" si="1428"/>
        <v>Nelson</v>
      </c>
    </row>
    <row r="1574" spans="1:73" x14ac:dyDescent="0.2">
      <c r="A1574">
        <f t="shared" si="1414"/>
        <v>1</v>
      </c>
      <c r="J1574" s="44" t="str">
        <f t="shared" si="1429"/>
        <v>o</v>
      </c>
      <c r="K1574" t="s">
        <v>238</v>
      </c>
      <c r="L1574" t="s">
        <v>174</v>
      </c>
      <c r="M1574" t="s">
        <v>85</v>
      </c>
      <c r="S1574">
        <v>848</v>
      </c>
      <c r="W1574" t="str">
        <f t="shared" si="1405"/>
        <v>h</v>
      </c>
      <c r="X1574">
        <v>14</v>
      </c>
      <c r="Y1574" t="e">
        <f>IF(X1574&lt;&gt;"",VLOOKUP(X1574,game_rosters!$C$43:$E$64,3,FALSE))</f>
        <v>#N/A</v>
      </c>
      <c r="Z1574" t="str" cm="1">
        <f t="array" ref="Z1574">IFERROR(IF(_xlfn._xlws.FILTER(game_rosters!$J:$J,(game_rosters!$G:$G=events!$AN1574)*(game_rosters!$J:$J=events!$X1574))&gt;0,1,""),"")</f>
        <v/>
      </c>
      <c r="AA1574">
        <f t="shared" si="1453"/>
        <v>1848</v>
      </c>
      <c r="AB1574" t="str">
        <f t="shared" si="1454"/>
        <v/>
      </c>
      <c r="AC1574">
        <f t="shared" si="1402"/>
        <v>1848</v>
      </c>
      <c r="AD1574" s="6">
        <v>2</v>
      </c>
      <c r="AE1574" t="s">
        <v>943</v>
      </c>
      <c r="AF1574" t="s">
        <v>738</v>
      </c>
      <c r="AG1574" t="s">
        <v>943</v>
      </c>
      <c r="AH1574" t="s">
        <v>906</v>
      </c>
      <c r="AI1574" t="s">
        <v>368</v>
      </c>
      <c r="AJ1574" t="str">
        <f t="shared" ref="AJ1574:AK1574" si="1464">IF($J1574&lt;&gt;"",$J1574,IF($AC1574=$AC1573,AJ1573,""))</f>
        <v>o</v>
      </c>
      <c r="AK1574" t="str">
        <f t="shared" si="1464"/>
        <v>o</v>
      </c>
      <c r="AL1574" t="str">
        <f t="shared" si="1407"/>
        <v>o</v>
      </c>
      <c r="AN1574" t="s">
        <v>861</v>
      </c>
      <c r="AO1574" t="str">
        <f t="shared" si="1408"/>
        <v>h</v>
      </c>
      <c r="AP1574" t="str">
        <f t="shared" si="1416"/>
        <v>o</v>
      </c>
      <c r="AQ1574" t="str">
        <f t="shared" si="1417"/>
        <v/>
      </c>
      <c r="AR1574" t="str">
        <f t="shared" si="1418"/>
        <v>Home</v>
      </c>
      <c r="AS1574" t="str">
        <f t="shared" si="1419"/>
        <v>h</v>
      </c>
      <c r="AT1574" t="str">
        <f t="shared" si="1420"/>
        <v>Defensive</v>
      </c>
      <c r="BA1574" s="6">
        <f t="shared" si="1409"/>
        <v>365</v>
      </c>
      <c r="BB1574">
        <f t="shared" si="1410"/>
        <v>18981</v>
      </c>
      <c r="BC1574" t="str">
        <f t="shared" si="1411"/>
        <v>Nelson</v>
      </c>
      <c r="BD1574" t="str">
        <f t="shared" si="1412"/>
        <v>Velodrome</v>
      </c>
      <c r="BE1574" t="s">
        <v>238</v>
      </c>
      <c r="BF1574" t="s">
        <v>174</v>
      </c>
      <c r="BG1574" t="s">
        <v>85</v>
      </c>
      <c r="BI1574" cm="1">
        <f t="array" ref="BI1574">IFERROR(_xlfn._xlws.FILTER(shifts!A:A,(shifts!B:B=events!AD1574)*(shifts!AG:AG&gt;=events!BK1574)*(shifts!AH:AH&lt;=events!BL1574)),BI1573)</f>
        <v>70</v>
      </c>
      <c r="BJ1574" s="15">
        <f t="shared" si="1413"/>
        <v>2</v>
      </c>
      <c r="BK1574">
        <f t="shared" si="1421"/>
        <v>91</v>
      </c>
      <c r="BL1574">
        <f t="shared" si="1422"/>
        <v>89</v>
      </c>
      <c r="BM1574" s="15">
        <f>SUMIFS(BJ$2:BJ1574,K$2:K1574,"=Intermission")+SUMIFS(BJ$2:BJ1574,K$2:K1574,"=Timeout")</f>
        <v>72</v>
      </c>
      <c r="BN1574">
        <f t="shared" si="1423"/>
        <v>1152</v>
      </c>
      <c r="BO1574" s="19">
        <f t="shared" si="1424"/>
        <v>2141</v>
      </c>
      <c r="BP1574">
        <f t="shared" si="1425"/>
        <v>2136</v>
      </c>
      <c r="BQ1574" s="17">
        <f t="shared" si="1426"/>
        <v>2143</v>
      </c>
      <c r="BR1574" t="str">
        <f t="shared" si="1427"/>
        <v>opp_team_player_1</v>
      </c>
      <c r="BS1574">
        <f>COUNTIFS(S$3:S1574,"="&amp;S1574,AI$3:AI1574,"="&amp;AI1574)</f>
        <v>1</v>
      </c>
      <c r="BT1574" t="str">
        <f>IFERROR(VLOOKUP(BB1574&amp;BU1574&amp;X1574,game_rosters!U:W,3,FALSE),"")</f>
        <v>P100132</v>
      </c>
      <c r="BU1574" t="str">
        <f t="shared" si="1428"/>
        <v>Velodrome</v>
      </c>
    </row>
    <row r="1575" spans="1:73" x14ac:dyDescent="0.2">
      <c r="A1575">
        <f t="shared" si="1414"/>
        <v>1</v>
      </c>
      <c r="J1575" s="44" t="str">
        <f t="shared" si="1429"/>
        <v>o</v>
      </c>
      <c r="K1575" t="s">
        <v>238</v>
      </c>
      <c r="L1575" t="s">
        <v>174</v>
      </c>
      <c r="M1575" t="s">
        <v>85</v>
      </c>
      <c r="S1575">
        <v>848</v>
      </c>
      <c r="W1575" t="str">
        <f t="shared" si="1405"/>
        <v>h</v>
      </c>
      <c r="X1575">
        <v>52</v>
      </c>
      <c r="Y1575" t="e">
        <f>IF(X1575&lt;&gt;"",VLOOKUP(X1575,game_rosters!$C$43:$E$64,3,FALSE))</f>
        <v>#N/A</v>
      </c>
      <c r="Z1575" t="str" cm="1">
        <f t="array" ref="Z1575">IFERROR(IF(_xlfn._xlws.FILTER(game_rosters!$J:$J,(game_rosters!$G:$G=events!$AN1575)*(game_rosters!$J:$J=events!$X1575))&gt;0,1,""),"")</f>
        <v/>
      </c>
      <c r="AA1575">
        <f t="shared" si="1453"/>
        <v>1848</v>
      </c>
      <c r="AB1575" t="str">
        <f t="shared" si="1454"/>
        <v/>
      </c>
      <c r="AC1575">
        <f t="shared" si="1402"/>
        <v>1848</v>
      </c>
      <c r="AD1575" s="6">
        <v>2</v>
      </c>
      <c r="AE1575" t="s">
        <v>943</v>
      </c>
      <c r="AF1575" t="s">
        <v>738</v>
      </c>
      <c r="AG1575" t="s">
        <v>943</v>
      </c>
      <c r="AH1575" t="s">
        <v>906</v>
      </c>
      <c r="AI1575" t="s">
        <v>368</v>
      </c>
      <c r="AJ1575" t="str">
        <f t="shared" ref="AJ1575:AK1575" si="1465">IF($J1575&lt;&gt;"",$J1575,IF($AC1575=$AC1574,AJ1574,""))</f>
        <v>o</v>
      </c>
      <c r="AK1575" t="str">
        <f t="shared" si="1465"/>
        <v>o</v>
      </c>
      <c r="AL1575" t="str">
        <f t="shared" si="1407"/>
        <v>o</v>
      </c>
      <c r="AN1575" t="s">
        <v>861</v>
      </c>
      <c r="AO1575" t="str">
        <f t="shared" si="1408"/>
        <v>h</v>
      </c>
      <c r="AP1575" t="str">
        <f t="shared" si="1416"/>
        <v>o</v>
      </c>
      <c r="AQ1575" t="str">
        <f t="shared" si="1417"/>
        <v/>
      </c>
      <c r="AR1575" t="str">
        <f t="shared" si="1418"/>
        <v>Home</v>
      </c>
      <c r="AS1575" t="str">
        <f t="shared" si="1419"/>
        <v>h</v>
      </c>
      <c r="AT1575" t="str">
        <f t="shared" si="1420"/>
        <v>Defensive</v>
      </c>
      <c r="BA1575" s="6">
        <f t="shared" si="1409"/>
        <v>366</v>
      </c>
      <c r="BB1575">
        <f t="shared" si="1410"/>
        <v>18981</v>
      </c>
      <c r="BC1575" t="str">
        <f t="shared" si="1411"/>
        <v>Nelson</v>
      </c>
      <c r="BD1575" t="str">
        <f t="shared" si="1412"/>
        <v>Velodrome</v>
      </c>
      <c r="BE1575" t="s">
        <v>238</v>
      </c>
      <c r="BF1575" t="s">
        <v>174</v>
      </c>
      <c r="BG1575" t="s">
        <v>85</v>
      </c>
      <c r="BI1575" cm="1">
        <f t="array" ref="BI1575">IFERROR(_xlfn._xlws.FILTER(shifts!A:A,(shifts!B:B=events!AD1575)*(shifts!AG:AG&gt;=events!BK1575)*(shifts!AH:AH&lt;=events!BL1575)),BI1574)</f>
        <v>70</v>
      </c>
      <c r="BJ1575" s="15">
        <f t="shared" si="1413"/>
        <v>2</v>
      </c>
      <c r="BK1575">
        <f t="shared" si="1421"/>
        <v>91</v>
      </c>
      <c r="BL1575">
        <f t="shared" si="1422"/>
        <v>89</v>
      </c>
      <c r="BM1575" s="15">
        <f>SUMIFS(BJ$2:BJ1575,K$2:K1575,"=Intermission")+SUMIFS(BJ$2:BJ1575,K$2:K1575,"=Timeout")</f>
        <v>72</v>
      </c>
      <c r="BN1575">
        <f t="shared" si="1423"/>
        <v>1152</v>
      </c>
      <c r="BO1575" s="19">
        <f t="shared" si="1424"/>
        <v>2141</v>
      </c>
      <c r="BP1575">
        <f t="shared" si="1425"/>
        <v>2136</v>
      </c>
      <c r="BQ1575" s="17">
        <f t="shared" si="1426"/>
        <v>2143</v>
      </c>
      <c r="BR1575" t="str">
        <f t="shared" si="1427"/>
        <v>opp_team_player_2</v>
      </c>
      <c r="BS1575">
        <f>COUNTIFS(S$3:S1575,"="&amp;S1575,AI$3:AI1575,"="&amp;AI1575)</f>
        <v>2</v>
      </c>
      <c r="BT1575" t="str">
        <f>IFERROR(VLOOKUP(BB1575&amp;BU1575&amp;X1575,game_rosters!U:W,3,FALSE),"")</f>
        <v>P100070</v>
      </c>
      <c r="BU1575" t="str">
        <f t="shared" si="1428"/>
        <v>Velodrome</v>
      </c>
    </row>
    <row r="1576" spans="1:73" x14ac:dyDescent="0.2">
      <c r="A1576">
        <f t="shared" si="1414"/>
        <v>1</v>
      </c>
      <c r="J1576" s="44" t="str">
        <f t="shared" si="1429"/>
        <v>o</v>
      </c>
      <c r="K1576" t="s">
        <v>238</v>
      </c>
      <c r="L1576" t="s">
        <v>174</v>
      </c>
      <c r="M1576" t="s">
        <v>85</v>
      </c>
      <c r="S1576">
        <v>848</v>
      </c>
      <c r="W1576" t="str">
        <f t="shared" si="1405"/>
        <v>h</v>
      </c>
      <c r="X1576">
        <v>93</v>
      </c>
      <c r="Y1576" t="e">
        <f>IF(X1576&lt;&gt;"",VLOOKUP(X1576,game_rosters!$C$43:$E$64,3,FALSE))</f>
        <v>#N/A</v>
      </c>
      <c r="Z1576" t="str" cm="1">
        <f t="array" ref="Z1576">IFERROR(IF(_xlfn._xlws.FILTER(game_rosters!$J:$J,(game_rosters!$G:$G=events!$AN1576)*(game_rosters!$J:$J=events!$X1576))&gt;0,1,""),"")</f>
        <v/>
      </c>
      <c r="AA1576">
        <f t="shared" si="1453"/>
        <v>1848</v>
      </c>
      <c r="AB1576" t="str">
        <f t="shared" si="1454"/>
        <v/>
      </c>
      <c r="AC1576">
        <f t="shared" si="1402"/>
        <v>1848</v>
      </c>
      <c r="AD1576" s="6">
        <v>2</v>
      </c>
      <c r="AE1576" t="s">
        <v>943</v>
      </c>
      <c r="AF1576" t="s">
        <v>738</v>
      </c>
      <c r="AG1576" t="s">
        <v>943</v>
      </c>
      <c r="AH1576" t="s">
        <v>906</v>
      </c>
      <c r="AI1576" t="s">
        <v>368</v>
      </c>
      <c r="AJ1576" t="str">
        <f t="shared" ref="AJ1576:AK1576" si="1466">IF($J1576&lt;&gt;"",$J1576,IF($AC1576=$AC1575,AJ1575,""))</f>
        <v>o</v>
      </c>
      <c r="AK1576" t="str">
        <f t="shared" si="1466"/>
        <v>o</v>
      </c>
      <c r="AL1576" t="str">
        <f t="shared" si="1407"/>
        <v>o</v>
      </c>
      <c r="AN1576" t="s">
        <v>861</v>
      </c>
      <c r="AO1576" t="str">
        <f t="shared" si="1408"/>
        <v>h</v>
      </c>
      <c r="AP1576" t="str">
        <f t="shared" si="1416"/>
        <v>o</v>
      </c>
      <c r="AQ1576" t="str">
        <f t="shared" si="1417"/>
        <v/>
      </c>
      <c r="AR1576" t="str">
        <f t="shared" si="1418"/>
        <v>Home</v>
      </c>
      <c r="AS1576" t="str">
        <f t="shared" si="1419"/>
        <v>h</v>
      </c>
      <c r="AT1576" t="str">
        <f t="shared" si="1420"/>
        <v>Defensive</v>
      </c>
      <c r="BA1576" s="6">
        <f t="shared" si="1409"/>
        <v>367</v>
      </c>
      <c r="BB1576">
        <f t="shared" si="1410"/>
        <v>18981</v>
      </c>
      <c r="BC1576" t="str">
        <f t="shared" si="1411"/>
        <v>Nelson</v>
      </c>
      <c r="BD1576" t="str">
        <f t="shared" si="1412"/>
        <v>Velodrome</v>
      </c>
      <c r="BE1576" t="s">
        <v>238</v>
      </c>
      <c r="BF1576" t="s">
        <v>174</v>
      </c>
      <c r="BG1576" t="s">
        <v>85</v>
      </c>
      <c r="BI1576" cm="1">
        <f t="array" ref="BI1576">IFERROR(_xlfn._xlws.FILTER(shifts!A:A,(shifts!B:B=events!AD1576)*(shifts!AG:AG&gt;=events!BK1576)*(shifts!AH:AH&lt;=events!BL1576)),BI1575)</f>
        <v>70</v>
      </c>
      <c r="BJ1576" s="15">
        <f t="shared" si="1413"/>
        <v>2</v>
      </c>
      <c r="BK1576">
        <f t="shared" si="1421"/>
        <v>91</v>
      </c>
      <c r="BL1576">
        <f t="shared" si="1422"/>
        <v>89</v>
      </c>
      <c r="BM1576" s="15">
        <f>SUMIFS(BJ$2:BJ1576,K$2:K1576,"=Intermission")+SUMIFS(BJ$2:BJ1576,K$2:K1576,"=Timeout")</f>
        <v>72</v>
      </c>
      <c r="BN1576">
        <f t="shared" si="1423"/>
        <v>1152</v>
      </c>
      <c r="BO1576" s="19">
        <f t="shared" si="1424"/>
        <v>2141</v>
      </c>
      <c r="BP1576">
        <f t="shared" si="1425"/>
        <v>2136</v>
      </c>
      <c r="BQ1576" s="17">
        <f t="shared" si="1426"/>
        <v>2143</v>
      </c>
      <c r="BR1576" t="str">
        <f t="shared" si="1427"/>
        <v>opp_team_player_3</v>
      </c>
      <c r="BS1576">
        <f>COUNTIFS(S$3:S1576,"="&amp;S1576,AI$3:AI1576,"="&amp;AI1576)</f>
        <v>3</v>
      </c>
      <c r="BT1576" t="str">
        <f>IFERROR(VLOOKUP(BB1576&amp;BU1576&amp;X1576,game_rosters!U:W,3,FALSE),"")</f>
        <v>P100093</v>
      </c>
      <c r="BU1576" t="str">
        <f t="shared" si="1428"/>
        <v>Velodrome</v>
      </c>
    </row>
    <row r="1577" spans="1:73" x14ac:dyDescent="0.2">
      <c r="A1577">
        <f t="shared" si="1414"/>
        <v>1</v>
      </c>
      <c r="J1577" s="44" t="str">
        <f t="shared" si="1429"/>
        <v/>
      </c>
      <c r="K1577" t="s">
        <v>230</v>
      </c>
      <c r="L1577" t="s">
        <v>388</v>
      </c>
      <c r="M1577" t="s">
        <v>447</v>
      </c>
      <c r="S1577">
        <v>849</v>
      </c>
      <c r="W1577" t="str">
        <f t="shared" si="1405"/>
        <v>h</v>
      </c>
      <c r="X1577">
        <v>37</v>
      </c>
      <c r="Y1577" t="b">
        <f>IF(X1577&lt;&gt;"",VLOOKUP(X1577,game_rosters!$C$43:$E$64,3,FALSE))</f>
        <v>0</v>
      </c>
      <c r="Z1577" cm="1">
        <f t="array" ref="Z1577">IFERROR(IF(_xlfn._xlws.FILTER(game_rosters!$J:$J,(game_rosters!$G:$G=events!$AN1577)*(game_rosters!$J:$J=events!$X1577))&gt;0,1,""),"")</f>
        <v>1</v>
      </c>
      <c r="AA1577">
        <f t="shared" si="1453"/>
        <v>1849</v>
      </c>
      <c r="AB1577" t="str">
        <f t="shared" si="1454"/>
        <v/>
      </c>
      <c r="AC1577">
        <f t="shared" si="1402"/>
        <v>1849</v>
      </c>
      <c r="AD1577" s="6">
        <v>2</v>
      </c>
      <c r="AE1577" t="s">
        <v>943</v>
      </c>
      <c r="AF1577" t="s">
        <v>906</v>
      </c>
      <c r="AG1577" t="s">
        <v>756</v>
      </c>
      <c r="AH1577" t="s">
        <v>756</v>
      </c>
      <c r="AI1577" t="s">
        <v>367</v>
      </c>
      <c r="AJ1577" t="str">
        <f t="shared" ref="AJ1577:AK1577" si="1467">IF($J1577&lt;&gt;"",$J1577,IF($AC1577=$AC1576,AJ1576,""))</f>
        <v/>
      </c>
      <c r="AK1577" t="str">
        <f t="shared" si="1467"/>
        <v/>
      </c>
      <c r="AL1577" t="str">
        <f t="shared" si="1407"/>
        <v/>
      </c>
      <c r="AN1577" t="s">
        <v>861</v>
      </c>
      <c r="AO1577" t="str">
        <f t="shared" si="1408"/>
        <v>h</v>
      </c>
      <c r="AP1577" t="str">
        <f t="shared" si="1416"/>
        <v/>
      </c>
      <c r="AQ1577" t="str">
        <f t="shared" si="1417"/>
        <v/>
      </c>
      <c r="AR1577" t="str">
        <f t="shared" si="1418"/>
        <v>Home</v>
      </c>
      <c r="AS1577" t="str">
        <f t="shared" si="1419"/>
        <v>h</v>
      </c>
      <c r="AT1577" t="str">
        <f t="shared" si="1420"/>
        <v>Offensive</v>
      </c>
      <c r="BA1577" s="6">
        <f t="shared" si="1409"/>
        <v>367</v>
      </c>
      <c r="BB1577">
        <f t="shared" si="1410"/>
        <v>18981</v>
      </c>
      <c r="BC1577" t="str">
        <f t="shared" si="1411"/>
        <v>Nelson</v>
      </c>
      <c r="BD1577" t="str">
        <f t="shared" si="1412"/>
        <v>Velodrome</v>
      </c>
      <c r="BE1577" t="s">
        <v>230</v>
      </c>
      <c r="BF1577" t="s">
        <v>388</v>
      </c>
      <c r="BG1577" t="s">
        <v>447</v>
      </c>
      <c r="BI1577" cm="1">
        <f t="array" ref="BI1577">IFERROR(_xlfn._xlws.FILTER(shifts!A:A,(shifts!B:B=events!AD1577)*(shifts!AG:AG&gt;=events!BK1577)*(shifts!AH:AH&lt;=events!BL1577)),BI1576)</f>
        <v>70</v>
      </c>
      <c r="BJ1577" s="15">
        <f t="shared" si="1413"/>
        <v>0</v>
      </c>
      <c r="BK1577">
        <f t="shared" si="1421"/>
        <v>89</v>
      </c>
      <c r="BL1577">
        <f t="shared" si="1422"/>
        <v>89</v>
      </c>
      <c r="BM1577" s="15">
        <f>SUMIFS(BJ$2:BJ1577,K$2:K1577,"=Intermission")+SUMIFS(BJ$2:BJ1577,K$2:K1577,"=Timeout")</f>
        <v>72</v>
      </c>
      <c r="BN1577">
        <f t="shared" si="1423"/>
        <v>1152</v>
      </c>
      <c r="BO1577" s="19">
        <f t="shared" si="1424"/>
        <v>2143</v>
      </c>
      <c r="BP1577">
        <f t="shared" si="1425"/>
        <v>2138</v>
      </c>
      <c r="BQ1577" s="17">
        <f t="shared" si="1426"/>
        <v>2143</v>
      </c>
      <c r="BR1577" t="str">
        <f t="shared" si="1427"/>
        <v>event_team_player_1</v>
      </c>
      <c r="BS1577">
        <f>COUNTIFS(S$3:S1577,"="&amp;S1577,AI$3:AI1577,"="&amp;AI1577)</f>
        <v>1</v>
      </c>
      <c r="BT1577" t="str">
        <f>IFERROR(VLOOKUP(BB1577&amp;BU1577&amp;X1577,game_rosters!U:W,3,FALSE),"")</f>
        <v>P100119</v>
      </c>
      <c r="BU1577" t="str">
        <f t="shared" si="1428"/>
        <v>Nelson</v>
      </c>
    </row>
    <row r="1578" spans="1:73" x14ac:dyDescent="0.2">
      <c r="A1578">
        <f t="shared" si="1414"/>
        <v>1</v>
      </c>
      <c r="J1578" s="44" t="str">
        <f t="shared" si="1429"/>
        <v/>
      </c>
      <c r="K1578" t="s">
        <v>230</v>
      </c>
      <c r="L1578" t="s">
        <v>388</v>
      </c>
      <c r="M1578" t="s">
        <v>447</v>
      </c>
      <c r="S1578">
        <v>849</v>
      </c>
      <c r="W1578" t="str">
        <f t="shared" si="1405"/>
        <v>h</v>
      </c>
      <c r="X1578">
        <v>52</v>
      </c>
      <c r="Y1578" t="e">
        <f>IF(X1578&lt;&gt;"",VLOOKUP(X1578,game_rosters!$C$43:$E$64,3,FALSE))</f>
        <v>#N/A</v>
      </c>
      <c r="Z1578" t="str" cm="1">
        <f t="array" ref="Z1578">IFERROR(IF(_xlfn._xlws.FILTER(game_rosters!$J:$J,(game_rosters!$G:$G=events!$AN1578)*(game_rosters!$J:$J=events!$X1578))&gt;0,1,""),"")</f>
        <v/>
      </c>
      <c r="AA1578">
        <f t="shared" si="1453"/>
        <v>1849</v>
      </c>
      <c r="AB1578" t="str">
        <f t="shared" si="1454"/>
        <v/>
      </c>
      <c r="AC1578">
        <f t="shared" si="1402"/>
        <v>1849</v>
      </c>
      <c r="AD1578" s="6">
        <v>2</v>
      </c>
      <c r="AE1578" t="s">
        <v>943</v>
      </c>
      <c r="AF1578" t="s">
        <v>906</v>
      </c>
      <c r="AG1578" t="s">
        <v>756</v>
      </c>
      <c r="AH1578" t="s">
        <v>756</v>
      </c>
      <c r="AI1578" t="s">
        <v>368</v>
      </c>
      <c r="AJ1578" t="str">
        <f t="shared" ref="AJ1578:AK1578" si="1468">IF($J1578&lt;&gt;"",$J1578,IF($AC1578=$AC1577,AJ1577,""))</f>
        <v/>
      </c>
      <c r="AK1578" t="str">
        <f t="shared" si="1468"/>
        <v/>
      </c>
      <c r="AL1578" t="str">
        <f t="shared" si="1407"/>
        <v/>
      </c>
      <c r="AN1578" t="s">
        <v>861</v>
      </c>
      <c r="AO1578" t="str">
        <f t="shared" si="1408"/>
        <v>h</v>
      </c>
      <c r="AP1578" t="str">
        <f t="shared" si="1416"/>
        <v/>
      </c>
      <c r="AQ1578" t="str">
        <f t="shared" si="1417"/>
        <v/>
      </c>
      <c r="AR1578" t="str">
        <f t="shared" si="1418"/>
        <v>Home</v>
      </c>
      <c r="AS1578" t="str">
        <f t="shared" si="1419"/>
        <v>h</v>
      </c>
      <c r="AT1578" t="str">
        <f t="shared" si="1420"/>
        <v>Defensive</v>
      </c>
      <c r="BA1578" s="6">
        <f t="shared" si="1409"/>
        <v>367</v>
      </c>
      <c r="BB1578">
        <f t="shared" si="1410"/>
        <v>18981</v>
      </c>
      <c r="BC1578" t="str">
        <f t="shared" si="1411"/>
        <v>Nelson</v>
      </c>
      <c r="BD1578" t="str">
        <f t="shared" si="1412"/>
        <v>Velodrome</v>
      </c>
      <c r="BE1578" t="s">
        <v>230</v>
      </c>
      <c r="BF1578" t="s">
        <v>388</v>
      </c>
      <c r="BG1578" t="s">
        <v>447</v>
      </c>
      <c r="BI1578" cm="1">
        <f t="array" ref="BI1578">IFERROR(_xlfn._xlws.FILTER(shifts!A:A,(shifts!B:B=events!AD1578)*(shifts!AG:AG&gt;=events!BK1578)*(shifts!AH:AH&lt;=events!BL1578)),BI1577)</f>
        <v>70</v>
      </c>
      <c r="BJ1578" s="15">
        <f t="shared" si="1413"/>
        <v>0</v>
      </c>
      <c r="BK1578">
        <f t="shared" si="1421"/>
        <v>89</v>
      </c>
      <c r="BL1578">
        <f t="shared" si="1422"/>
        <v>89</v>
      </c>
      <c r="BM1578" s="15">
        <f>SUMIFS(BJ$2:BJ1578,K$2:K1578,"=Intermission")+SUMIFS(BJ$2:BJ1578,K$2:K1578,"=Timeout")</f>
        <v>72</v>
      </c>
      <c r="BN1578">
        <f t="shared" si="1423"/>
        <v>1152</v>
      </c>
      <c r="BO1578" s="19">
        <f t="shared" si="1424"/>
        <v>2143</v>
      </c>
      <c r="BP1578">
        <f t="shared" si="1425"/>
        <v>2138</v>
      </c>
      <c r="BQ1578" s="17">
        <f t="shared" si="1426"/>
        <v>2143</v>
      </c>
      <c r="BR1578" t="str">
        <f t="shared" si="1427"/>
        <v>opp_team_player_1</v>
      </c>
      <c r="BS1578">
        <f>COUNTIFS(S$3:S1578,"="&amp;S1578,AI$3:AI1578,"="&amp;AI1578)</f>
        <v>1</v>
      </c>
      <c r="BT1578" t="str">
        <f>IFERROR(VLOOKUP(BB1578&amp;BU1578&amp;X1578,game_rosters!U:W,3,FALSE),"")</f>
        <v>P100070</v>
      </c>
      <c r="BU1578" t="str">
        <f t="shared" si="1428"/>
        <v>Velodrome</v>
      </c>
    </row>
    <row r="1579" spans="1:73" x14ac:dyDescent="0.2">
      <c r="A1579">
        <f t="shared" si="1414"/>
        <v>1</v>
      </c>
      <c r="J1579" s="44" t="str">
        <f t="shared" si="1429"/>
        <v/>
      </c>
      <c r="K1579" t="s">
        <v>13</v>
      </c>
      <c r="L1579" t="s">
        <v>756</v>
      </c>
      <c r="M1579" t="s">
        <v>756</v>
      </c>
      <c r="S1579">
        <v>850</v>
      </c>
      <c r="W1579" t="str">
        <f t="shared" si="1405"/>
        <v>h</v>
      </c>
      <c r="X1579">
        <v>37</v>
      </c>
      <c r="Y1579" t="b">
        <f>IF(X1579&lt;&gt;"",VLOOKUP(X1579,game_rosters!$C$43:$E$64,3,FALSE))</f>
        <v>0</v>
      </c>
      <c r="Z1579" cm="1">
        <f t="array" ref="Z1579">IFERROR(IF(_xlfn._xlws.FILTER(game_rosters!$J:$J,(game_rosters!$G:$G=events!$AN1579)*(game_rosters!$J:$J=events!$X1579))&gt;0,1,""),"")</f>
        <v>1</v>
      </c>
      <c r="AA1579">
        <f t="shared" si="1453"/>
        <v>1850</v>
      </c>
      <c r="AB1579" t="str">
        <f t="shared" si="1454"/>
        <v/>
      </c>
      <c r="AC1579">
        <f t="shared" si="1402"/>
        <v>1850</v>
      </c>
      <c r="AD1579" s="6">
        <v>2</v>
      </c>
      <c r="AE1579" t="s">
        <v>943</v>
      </c>
      <c r="AF1579" t="s">
        <v>906</v>
      </c>
      <c r="AG1579" t="s">
        <v>943</v>
      </c>
      <c r="AH1579" t="s">
        <v>916</v>
      </c>
      <c r="AI1579" t="s">
        <v>367</v>
      </c>
      <c r="AJ1579" t="str">
        <f t="shared" ref="AJ1579:AK1579" si="1469">IF($J1579&lt;&gt;"",$J1579,IF($AC1579=$AC1578,AJ1578,""))</f>
        <v/>
      </c>
      <c r="AK1579" t="str">
        <f t="shared" si="1469"/>
        <v/>
      </c>
      <c r="AL1579" t="str">
        <f t="shared" si="1407"/>
        <v/>
      </c>
      <c r="AN1579" t="s">
        <v>861</v>
      </c>
      <c r="AO1579" t="str">
        <f t="shared" si="1408"/>
        <v>h</v>
      </c>
      <c r="AP1579" t="str">
        <f t="shared" si="1416"/>
        <v/>
      </c>
      <c r="AQ1579" t="str">
        <f t="shared" si="1417"/>
        <v/>
      </c>
      <c r="AR1579" t="str">
        <f t="shared" si="1418"/>
        <v>Home</v>
      </c>
      <c r="AS1579" t="str">
        <f t="shared" si="1419"/>
        <v>h</v>
      </c>
      <c r="AT1579" t="str">
        <f t="shared" si="1420"/>
        <v>Offensive</v>
      </c>
      <c r="BA1579" s="6">
        <f t="shared" si="1409"/>
        <v>367</v>
      </c>
      <c r="BB1579">
        <f t="shared" si="1410"/>
        <v>18981</v>
      </c>
      <c r="BC1579" t="str">
        <f t="shared" si="1411"/>
        <v>Nelson</v>
      </c>
      <c r="BD1579" t="str">
        <f t="shared" si="1412"/>
        <v>Velodrome</v>
      </c>
      <c r="BE1579" t="s">
        <v>13</v>
      </c>
      <c r="BF1579" t="s">
        <v>756</v>
      </c>
      <c r="BG1579" t="s">
        <v>756</v>
      </c>
      <c r="BI1579" cm="1">
        <f t="array" ref="BI1579">IFERROR(_xlfn._xlws.FILTER(shifts!A:A,(shifts!B:B=events!AD1579)*(shifts!AG:AG&gt;=events!BK1579)*(shifts!AH:AH&lt;=events!BL1579)),BI1578)</f>
        <v>70</v>
      </c>
      <c r="BJ1579" s="15">
        <f t="shared" si="1413"/>
        <v>2</v>
      </c>
      <c r="BK1579">
        <f t="shared" si="1421"/>
        <v>89</v>
      </c>
      <c r="BL1579">
        <f t="shared" si="1422"/>
        <v>87</v>
      </c>
      <c r="BM1579" s="15">
        <f>SUMIFS(BJ$2:BJ1579,K$2:K1579,"=Intermission")+SUMIFS(BJ$2:BJ1579,K$2:K1579,"=Timeout")</f>
        <v>72</v>
      </c>
      <c r="BN1579">
        <f t="shared" si="1423"/>
        <v>1152</v>
      </c>
      <c r="BO1579" s="19">
        <f t="shared" si="1424"/>
        <v>2143</v>
      </c>
      <c r="BP1579">
        <f t="shared" si="1425"/>
        <v>2138</v>
      </c>
      <c r="BQ1579" s="17">
        <f t="shared" si="1426"/>
        <v>2145</v>
      </c>
      <c r="BR1579" t="str">
        <f t="shared" si="1427"/>
        <v>event_team_player_1</v>
      </c>
      <c r="BS1579">
        <f>COUNTIFS(S$3:S1579,"="&amp;S1579,AI$3:AI1579,"="&amp;AI1579)</f>
        <v>1</v>
      </c>
      <c r="BT1579" t="str">
        <f>IFERROR(VLOOKUP(BB1579&amp;BU1579&amp;X1579,game_rosters!U:W,3,FALSE),"")</f>
        <v>P100119</v>
      </c>
      <c r="BU1579" t="str">
        <f t="shared" si="1428"/>
        <v>Nelson</v>
      </c>
    </row>
    <row r="1580" spans="1:73" x14ac:dyDescent="0.2">
      <c r="A1580">
        <f t="shared" si="1414"/>
        <v>1</v>
      </c>
      <c r="J1580" s="44" t="str">
        <f t="shared" si="1429"/>
        <v/>
      </c>
      <c r="K1580" t="s">
        <v>9</v>
      </c>
      <c r="L1580" t="s">
        <v>183</v>
      </c>
      <c r="M1580" t="s">
        <v>80</v>
      </c>
      <c r="S1580">
        <v>851</v>
      </c>
      <c r="W1580" t="str">
        <f t="shared" si="1405"/>
        <v>a</v>
      </c>
      <c r="X1580">
        <v>93</v>
      </c>
      <c r="Y1580" t="e">
        <f>IF(X1580&lt;&gt;"",VLOOKUP(X1580,game_rosters!$C$43:$E$64,3,FALSE))</f>
        <v>#N/A</v>
      </c>
      <c r="Z1580" cm="1">
        <f t="array" ref="Z1580">IFERROR(IF(_xlfn._xlws.FILTER(game_rosters!$J:$J,(game_rosters!$G:$G=events!$AN1580)*(game_rosters!$J:$J=events!$X1580))&gt;0,1,""),"")</f>
        <v>1</v>
      </c>
      <c r="AA1580">
        <f t="shared" si="1453"/>
        <v>1851</v>
      </c>
      <c r="AB1580" t="str">
        <f t="shared" si="1454"/>
        <v/>
      </c>
      <c r="AC1580">
        <f t="shared" si="1402"/>
        <v>1851</v>
      </c>
      <c r="AD1580" s="6">
        <v>2</v>
      </c>
      <c r="AE1580" t="s">
        <v>943</v>
      </c>
      <c r="AF1580" t="s">
        <v>916</v>
      </c>
      <c r="AG1580" t="s">
        <v>756</v>
      </c>
      <c r="AH1580" t="s">
        <v>756</v>
      </c>
      <c r="AI1580" t="s">
        <v>367</v>
      </c>
      <c r="AJ1580" t="str">
        <f t="shared" ref="AJ1580:AK1580" si="1470">IF($J1580&lt;&gt;"",$J1580,IF($AC1580=$AC1579,AJ1579,""))</f>
        <v/>
      </c>
      <c r="AK1580" t="str">
        <f t="shared" si="1470"/>
        <v/>
      </c>
      <c r="AL1580" t="str">
        <f t="shared" si="1407"/>
        <v/>
      </c>
      <c r="AN1580" t="s">
        <v>862</v>
      </c>
      <c r="AO1580" t="str">
        <f t="shared" si="1408"/>
        <v>a</v>
      </c>
      <c r="AP1580" t="str">
        <f t="shared" si="1416"/>
        <v/>
      </c>
      <c r="AQ1580" t="str">
        <f t="shared" si="1417"/>
        <v/>
      </c>
      <c r="AR1580" t="str">
        <f t="shared" si="1418"/>
        <v>Away</v>
      </c>
      <c r="AS1580" t="str">
        <f t="shared" si="1419"/>
        <v>a</v>
      </c>
      <c r="AT1580" t="str">
        <f t="shared" si="1420"/>
        <v>Defensive</v>
      </c>
      <c r="BA1580" s="6">
        <f t="shared" si="1409"/>
        <v>367</v>
      </c>
      <c r="BB1580">
        <f t="shared" si="1410"/>
        <v>18981</v>
      </c>
      <c r="BC1580" t="str">
        <f t="shared" si="1411"/>
        <v>Nelson</v>
      </c>
      <c r="BD1580" t="str">
        <f t="shared" si="1412"/>
        <v>Velodrome</v>
      </c>
      <c r="BE1580" t="s">
        <v>9</v>
      </c>
      <c r="BF1580" t="s">
        <v>183</v>
      </c>
      <c r="BG1580" t="s">
        <v>80</v>
      </c>
      <c r="BI1580" cm="1">
        <f t="array" ref="BI1580">IFERROR(_xlfn._xlws.FILTER(shifts!A:A,(shifts!B:B=events!AD1580)*(shifts!AG:AG&gt;=events!BK1580)*(shifts!AH:AH&lt;=events!BL1580)),BI1579)</f>
        <v>70</v>
      </c>
      <c r="BJ1580" s="15">
        <f t="shared" si="1413"/>
        <v>0</v>
      </c>
      <c r="BK1580">
        <f t="shared" si="1421"/>
        <v>87</v>
      </c>
      <c r="BL1580">
        <f t="shared" si="1422"/>
        <v>87</v>
      </c>
      <c r="BM1580" s="15">
        <f>SUMIFS(BJ$2:BJ1580,K$2:K1580,"=Intermission")+SUMIFS(BJ$2:BJ1580,K$2:K1580,"=Timeout")</f>
        <v>72</v>
      </c>
      <c r="BN1580">
        <f t="shared" si="1423"/>
        <v>1152</v>
      </c>
      <c r="BO1580" s="19">
        <f t="shared" si="1424"/>
        <v>2145</v>
      </c>
      <c r="BP1580">
        <f t="shared" si="1425"/>
        <v>2140</v>
      </c>
      <c r="BQ1580" s="17">
        <f t="shared" si="1426"/>
        <v>2145</v>
      </c>
      <c r="BR1580" t="str">
        <f t="shared" si="1427"/>
        <v>event_team_player_1</v>
      </c>
      <c r="BS1580">
        <f>COUNTIFS(S$3:S1580,"="&amp;S1580,AI$3:AI1580,"="&amp;AI1580)</f>
        <v>1</v>
      </c>
      <c r="BT1580" t="str">
        <f>IFERROR(VLOOKUP(BB1580&amp;BU1580&amp;X1580,game_rosters!U:W,3,FALSE),"")</f>
        <v>P100093</v>
      </c>
      <c r="BU1580" t="str">
        <f t="shared" si="1428"/>
        <v>Velodrome</v>
      </c>
    </row>
    <row r="1581" spans="1:73" x14ac:dyDescent="0.2">
      <c r="A1581">
        <f t="shared" si="1414"/>
        <v>1</v>
      </c>
      <c r="J1581" s="44" t="str">
        <f t="shared" si="1429"/>
        <v/>
      </c>
      <c r="K1581" t="s">
        <v>9</v>
      </c>
      <c r="L1581" t="s">
        <v>183</v>
      </c>
      <c r="M1581" t="s">
        <v>80</v>
      </c>
      <c r="S1581">
        <v>851</v>
      </c>
      <c r="W1581" t="str">
        <f t="shared" si="1405"/>
        <v>a</v>
      </c>
      <c r="X1581">
        <v>37</v>
      </c>
      <c r="Y1581" t="b">
        <f>IF(X1581&lt;&gt;"",VLOOKUP(X1581,game_rosters!$C$43:$E$64,3,FALSE))</f>
        <v>0</v>
      </c>
      <c r="Z1581" t="str" cm="1">
        <f t="array" ref="Z1581">IFERROR(IF(_xlfn._xlws.FILTER(game_rosters!$J:$J,(game_rosters!$G:$G=events!$AN1581)*(game_rosters!$J:$J=events!$X1581))&gt;0,1,""),"")</f>
        <v/>
      </c>
      <c r="AA1581">
        <f t="shared" si="1453"/>
        <v>1851</v>
      </c>
      <c r="AB1581" t="str">
        <f t="shared" si="1454"/>
        <v/>
      </c>
      <c r="AC1581">
        <f t="shared" si="1402"/>
        <v>1851</v>
      </c>
      <c r="AD1581" s="6">
        <v>2</v>
      </c>
      <c r="AE1581" t="s">
        <v>943</v>
      </c>
      <c r="AF1581" t="s">
        <v>916</v>
      </c>
      <c r="AG1581" t="s">
        <v>756</v>
      </c>
      <c r="AH1581" t="s">
        <v>756</v>
      </c>
      <c r="AI1581" t="s">
        <v>368</v>
      </c>
      <c r="AJ1581" t="str">
        <f t="shared" ref="AJ1581:AK1581" si="1471">IF($J1581&lt;&gt;"",$J1581,IF($AC1581=$AC1580,AJ1580,""))</f>
        <v/>
      </c>
      <c r="AK1581" t="str">
        <f t="shared" si="1471"/>
        <v/>
      </c>
      <c r="AL1581" t="str">
        <f t="shared" si="1407"/>
        <v/>
      </c>
      <c r="AN1581" t="s">
        <v>862</v>
      </c>
      <c r="AO1581" t="str">
        <f t="shared" si="1408"/>
        <v>a</v>
      </c>
      <c r="AP1581" t="str">
        <f t="shared" si="1416"/>
        <v/>
      </c>
      <c r="AQ1581" t="str">
        <f t="shared" si="1417"/>
        <v/>
      </c>
      <c r="AR1581" t="str">
        <f t="shared" si="1418"/>
        <v>Away</v>
      </c>
      <c r="AS1581" t="str">
        <f t="shared" si="1419"/>
        <v>a</v>
      </c>
      <c r="AT1581" t="str">
        <f t="shared" si="1420"/>
        <v>Offensive</v>
      </c>
      <c r="BA1581" s="6">
        <f t="shared" si="1409"/>
        <v>367</v>
      </c>
      <c r="BB1581">
        <f t="shared" si="1410"/>
        <v>18981</v>
      </c>
      <c r="BC1581" t="str">
        <f t="shared" si="1411"/>
        <v>Nelson</v>
      </c>
      <c r="BD1581" t="str">
        <f t="shared" si="1412"/>
        <v>Velodrome</v>
      </c>
      <c r="BE1581" t="s">
        <v>9</v>
      </c>
      <c r="BF1581" t="s">
        <v>183</v>
      </c>
      <c r="BG1581" t="s">
        <v>80</v>
      </c>
      <c r="BI1581" cm="1">
        <f t="array" ref="BI1581">IFERROR(_xlfn._xlws.FILTER(shifts!A:A,(shifts!B:B=events!AD1581)*(shifts!AG:AG&gt;=events!BK1581)*(shifts!AH:AH&lt;=events!BL1581)),BI1580)</f>
        <v>70</v>
      </c>
      <c r="BJ1581" s="15">
        <f t="shared" si="1413"/>
        <v>0</v>
      </c>
      <c r="BK1581">
        <f t="shared" si="1421"/>
        <v>87</v>
      </c>
      <c r="BL1581">
        <f t="shared" si="1422"/>
        <v>87</v>
      </c>
      <c r="BM1581" s="15">
        <f>SUMIFS(BJ$2:BJ1581,K$2:K1581,"=Intermission")+SUMIFS(BJ$2:BJ1581,K$2:K1581,"=Timeout")</f>
        <v>72</v>
      </c>
      <c r="BN1581">
        <f t="shared" si="1423"/>
        <v>1152</v>
      </c>
      <c r="BO1581" s="19">
        <f t="shared" si="1424"/>
        <v>2145</v>
      </c>
      <c r="BP1581">
        <f t="shared" si="1425"/>
        <v>2140</v>
      </c>
      <c r="BQ1581" s="17">
        <f t="shared" si="1426"/>
        <v>2145</v>
      </c>
      <c r="BR1581" t="str">
        <f t="shared" si="1427"/>
        <v>opp_team_player_1</v>
      </c>
      <c r="BS1581">
        <f>COUNTIFS(S$3:S1581,"="&amp;S1581,AI$3:AI1581,"="&amp;AI1581)</f>
        <v>1</v>
      </c>
      <c r="BT1581" t="str">
        <f>IFERROR(VLOOKUP(BB1581&amp;BU1581&amp;X1581,game_rosters!U:W,3,FALSE),"")</f>
        <v>P100119</v>
      </c>
      <c r="BU1581" t="str">
        <f t="shared" si="1428"/>
        <v>Nelson</v>
      </c>
    </row>
    <row r="1582" spans="1:73" x14ac:dyDescent="0.2">
      <c r="A1582">
        <f t="shared" si="1414"/>
        <v>1</v>
      </c>
      <c r="J1582" s="44" t="str">
        <f t="shared" si="1429"/>
        <v>d</v>
      </c>
      <c r="K1582" t="s">
        <v>238</v>
      </c>
      <c r="L1582" t="s">
        <v>184</v>
      </c>
      <c r="M1582" t="s">
        <v>90</v>
      </c>
      <c r="S1582">
        <v>852</v>
      </c>
      <c r="W1582" t="str">
        <f t="shared" si="1405"/>
        <v>a</v>
      </c>
      <c r="X1582">
        <v>52</v>
      </c>
      <c r="Y1582" t="e">
        <f>IF(X1582&lt;&gt;"",VLOOKUP(X1582,game_rosters!$C$43:$E$64,3,FALSE))</f>
        <v>#N/A</v>
      </c>
      <c r="Z1582" cm="1">
        <f t="array" ref="Z1582">IFERROR(IF(_xlfn._xlws.FILTER(game_rosters!$J:$J,(game_rosters!$G:$G=events!$AN1582)*(game_rosters!$J:$J=events!$X1582))&gt;0,1,""),"")</f>
        <v>1</v>
      </c>
      <c r="AA1582">
        <f t="shared" si="1453"/>
        <v>1852</v>
      </c>
      <c r="AB1582" t="str">
        <f t="shared" si="1454"/>
        <v/>
      </c>
      <c r="AC1582">
        <f t="shared" si="1402"/>
        <v>1852</v>
      </c>
      <c r="AD1582" s="6">
        <v>2</v>
      </c>
      <c r="AE1582" t="s">
        <v>943</v>
      </c>
      <c r="AF1582" t="s">
        <v>918</v>
      </c>
      <c r="AG1582" t="s">
        <v>756</v>
      </c>
      <c r="AH1582" t="s">
        <v>756</v>
      </c>
      <c r="AI1582" t="s">
        <v>367</v>
      </c>
      <c r="AJ1582" t="str">
        <f t="shared" ref="AJ1582:AK1582" si="1472">IF($J1582&lt;&gt;"",$J1582,IF($AC1582=$AC1581,AJ1581,""))</f>
        <v>d</v>
      </c>
      <c r="AK1582" t="str">
        <f t="shared" si="1472"/>
        <v>d</v>
      </c>
      <c r="AL1582" t="str">
        <f t="shared" si="1407"/>
        <v>o</v>
      </c>
      <c r="AN1582" t="s">
        <v>862</v>
      </c>
      <c r="AO1582" t="str">
        <f t="shared" si="1408"/>
        <v>a</v>
      </c>
      <c r="AP1582" t="str">
        <f t="shared" si="1416"/>
        <v>o</v>
      </c>
      <c r="AQ1582" t="str">
        <f t="shared" si="1417"/>
        <v/>
      </c>
      <c r="AR1582" t="str">
        <f t="shared" si="1418"/>
        <v>Away</v>
      </c>
      <c r="AS1582" t="str">
        <f t="shared" si="1419"/>
        <v>a</v>
      </c>
      <c r="AT1582" t="str">
        <f t="shared" si="1420"/>
        <v>Offensive</v>
      </c>
      <c r="BA1582" s="6">
        <f t="shared" si="1409"/>
        <v>368</v>
      </c>
      <c r="BB1582">
        <f t="shared" si="1410"/>
        <v>18981</v>
      </c>
      <c r="BC1582" t="str">
        <f t="shared" si="1411"/>
        <v>Nelson</v>
      </c>
      <c r="BD1582" t="str">
        <f t="shared" si="1412"/>
        <v>Velodrome</v>
      </c>
      <c r="BE1582" t="s">
        <v>238</v>
      </c>
      <c r="BF1582" t="s">
        <v>184</v>
      </c>
      <c r="BG1582" t="s">
        <v>90</v>
      </c>
      <c r="BI1582" cm="1">
        <f t="array" ref="BI1582">IFERROR(_xlfn._xlws.FILTER(shifts!A:A,(shifts!B:B=events!AD1582)*(shifts!AG:AG&gt;=events!BK1582)*(shifts!AH:AH&lt;=events!BL1582)),BI1581)</f>
        <v>70</v>
      </c>
      <c r="BJ1582" s="15">
        <f t="shared" si="1413"/>
        <v>0</v>
      </c>
      <c r="BK1582">
        <f t="shared" si="1421"/>
        <v>82</v>
      </c>
      <c r="BL1582">
        <f t="shared" si="1422"/>
        <v>82</v>
      </c>
      <c r="BM1582" s="15">
        <f>SUMIFS(BJ$2:BJ1582,K$2:K1582,"=Intermission")+SUMIFS(BJ$2:BJ1582,K$2:K1582,"=Timeout")</f>
        <v>72</v>
      </c>
      <c r="BN1582">
        <f t="shared" si="1423"/>
        <v>1152</v>
      </c>
      <c r="BO1582" s="19">
        <f t="shared" si="1424"/>
        <v>2150</v>
      </c>
      <c r="BP1582">
        <f t="shared" si="1425"/>
        <v>2145</v>
      </c>
      <c r="BQ1582" s="17">
        <f t="shared" si="1426"/>
        <v>2150</v>
      </c>
      <c r="BR1582" t="str">
        <f t="shared" si="1427"/>
        <v>event_team_player_1</v>
      </c>
      <c r="BS1582">
        <f>COUNTIFS(S$3:S1582,"="&amp;S1582,AI$3:AI1582,"="&amp;AI1582)</f>
        <v>1</v>
      </c>
      <c r="BT1582" t="str">
        <f>IFERROR(VLOOKUP(BB1582&amp;BU1582&amp;X1582,game_rosters!U:W,3,FALSE),"")</f>
        <v>P100070</v>
      </c>
      <c r="BU1582" t="str">
        <f t="shared" si="1428"/>
        <v>Velodrome</v>
      </c>
    </row>
    <row r="1583" spans="1:73" x14ac:dyDescent="0.2">
      <c r="A1583">
        <f t="shared" si="1414"/>
        <v>1</v>
      </c>
      <c r="J1583" s="44" t="str">
        <f t="shared" si="1429"/>
        <v/>
      </c>
      <c r="K1583" t="s">
        <v>7</v>
      </c>
      <c r="L1583" t="s">
        <v>172</v>
      </c>
      <c r="M1583" t="s">
        <v>68</v>
      </c>
      <c r="S1583">
        <v>853</v>
      </c>
      <c r="W1583" t="str">
        <f t="shared" si="1405"/>
        <v>h</v>
      </c>
      <c r="X1583">
        <v>7</v>
      </c>
      <c r="Y1583" t="b">
        <f>IF(X1583&lt;&gt;"",VLOOKUP(X1583,game_rosters!$C$43:$E$64,3,FALSE))</f>
        <v>0</v>
      </c>
      <c r="Z1583" cm="1">
        <f t="array" ref="Z1583">IFERROR(IF(_xlfn._xlws.FILTER(game_rosters!$J:$J,(game_rosters!$G:$G=events!$AN1583)*(game_rosters!$J:$J=events!$X1583))&gt;0,1,""),"")</f>
        <v>1</v>
      </c>
      <c r="AA1583">
        <f t="shared" si="1453"/>
        <v>1853</v>
      </c>
      <c r="AB1583" t="str">
        <f t="shared" si="1454"/>
        <v/>
      </c>
      <c r="AC1583">
        <f t="shared" si="1402"/>
        <v>1853</v>
      </c>
      <c r="AD1583" s="6">
        <v>2</v>
      </c>
      <c r="AE1583" t="s">
        <v>943</v>
      </c>
      <c r="AF1583" t="s">
        <v>908</v>
      </c>
      <c r="AG1583" t="s">
        <v>756</v>
      </c>
      <c r="AH1583" t="s">
        <v>756</v>
      </c>
      <c r="AI1583" t="s">
        <v>367</v>
      </c>
      <c r="AJ1583" t="str">
        <f t="shared" ref="AJ1583:AK1583" si="1473">IF($J1583&lt;&gt;"",$J1583,IF($AC1583=$AC1582,AJ1582,""))</f>
        <v/>
      </c>
      <c r="AK1583" t="str">
        <f t="shared" si="1473"/>
        <v/>
      </c>
      <c r="AL1583" t="str">
        <f t="shared" si="1407"/>
        <v/>
      </c>
      <c r="AN1583" t="s">
        <v>861</v>
      </c>
      <c r="AO1583" t="str">
        <f t="shared" si="1408"/>
        <v>h</v>
      </c>
      <c r="AP1583" t="str">
        <f t="shared" si="1416"/>
        <v/>
      </c>
      <c r="AQ1583" t="str">
        <f t="shared" si="1417"/>
        <v/>
      </c>
      <c r="AR1583" t="str">
        <f t="shared" si="1418"/>
        <v>Home</v>
      </c>
      <c r="AS1583" t="str">
        <f t="shared" si="1419"/>
        <v>h</v>
      </c>
      <c r="AT1583" t="str">
        <f t="shared" si="1420"/>
        <v>Offensive</v>
      </c>
      <c r="BA1583" s="6">
        <f t="shared" si="1409"/>
        <v>368</v>
      </c>
      <c r="BB1583">
        <f t="shared" si="1410"/>
        <v>18981</v>
      </c>
      <c r="BC1583" t="str">
        <f t="shared" si="1411"/>
        <v>Nelson</v>
      </c>
      <c r="BD1583" t="str">
        <f t="shared" si="1412"/>
        <v>Velodrome</v>
      </c>
      <c r="BE1583" t="s">
        <v>7</v>
      </c>
      <c r="BF1583" t="s">
        <v>172</v>
      </c>
      <c r="BG1583" t="s">
        <v>68</v>
      </c>
      <c r="BI1583" cm="1">
        <f t="array" ref="BI1583">IFERROR(_xlfn._xlws.FILTER(shifts!A:A,(shifts!B:B=events!AD1583)*(shifts!AG:AG&gt;=events!BK1583)*(shifts!AH:AH&lt;=events!BL1583)),BI1582)</f>
        <v>70</v>
      </c>
      <c r="BJ1583" s="15">
        <f t="shared" si="1413"/>
        <v>0</v>
      </c>
      <c r="BK1583">
        <f t="shared" si="1421"/>
        <v>79</v>
      </c>
      <c r="BL1583">
        <f t="shared" si="1422"/>
        <v>79</v>
      </c>
      <c r="BM1583" s="15">
        <f>SUMIFS(BJ$2:BJ1583,K$2:K1583,"=Intermission")+SUMIFS(BJ$2:BJ1583,K$2:K1583,"=Timeout")</f>
        <v>72</v>
      </c>
      <c r="BN1583">
        <f t="shared" si="1423"/>
        <v>1152</v>
      </c>
      <c r="BO1583" s="19">
        <f t="shared" si="1424"/>
        <v>2153</v>
      </c>
      <c r="BP1583">
        <f t="shared" si="1425"/>
        <v>2148</v>
      </c>
      <c r="BQ1583" s="17">
        <f t="shared" si="1426"/>
        <v>2153</v>
      </c>
      <c r="BR1583" t="str">
        <f t="shared" si="1427"/>
        <v>event_team_player_1</v>
      </c>
      <c r="BS1583">
        <f>COUNTIFS(S$3:S1583,"="&amp;S1583,AI$3:AI1583,"="&amp;AI1583)</f>
        <v>1</v>
      </c>
      <c r="BT1583" t="str">
        <f>IFERROR(VLOOKUP(BB1583&amp;BU1583&amp;X1583,game_rosters!U:W,3,FALSE),"")</f>
        <v>P100072</v>
      </c>
      <c r="BU1583" t="str">
        <f t="shared" si="1428"/>
        <v>Nelson</v>
      </c>
    </row>
    <row r="1584" spans="1:73" x14ac:dyDescent="0.2">
      <c r="A1584">
        <f t="shared" si="1414"/>
        <v>1</v>
      </c>
      <c r="J1584" s="44" t="str">
        <f t="shared" si="1429"/>
        <v/>
      </c>
      <c r="K1584" t="s">
        <v>7</v>
      </c>
      <c r="L1584" t="s">
        <v>172</v>
      </c>
      <c r="M1584" t="s">
        <v>68</v>
      </c>
      <c r="S1584">
        <v>853</v>
      </c>
      <c r="W1584" t="str">
        <f t="shared" si="1405"/>
        <v>h</v>
      </c>
      <c r="X1584">
        <v>23</v>
      </c>
      <c r="Y1584" t="b">
        <f>IF(X1584&lt;&gt;"",VLOOKUP(X1584,game_rosters!$C$43:$E$64,3,FALSE))</f>
        <v>0</v>
      </c>
      <c r="Z1584" cm="1">
        <f t="array" ref="Z1584">IFERROR(IF(_xlfn._xlws.FILTER(game_rosters!$J:$J,(game_rosters!$G:$G=events!$AN1584)*(game_rosters!$J:$J=events!$X1584))&gt;0,1,""),"")</f>
        <v>1</v>
      </c>
      <c r="AA1584">
        <f t="shared" si="1453"/>
        <v>1853</v>
      </c>
      <c r="AB1584" t="str">
        <f t="shared" si="1454"/>
        <v/>
      </c>
      <c r="AC1584">
        <f t="shared" si="1402"/>
        <v>1853</v>
      </c>
      <c r="AD1584" s="6">
        <v>2</v>
      </c>
      <c r="AE1584" t="s">
        <v>943</v>
      </c>
      <c r="AF1584" t="s">
        <v>908</v>
      </c>
      <c r="AG1584" t="s">
        <v>756</v>
      </c>
      <c r="AH1584" t="s">
        <v>756</v>
      </c>
      <c r="AI1584" t="s">
        <v>367</v>
      </c>
      <c r="AJ1584" t="str">
        <f t="shared" ref="AJ1584:AK1584" si="1474">IF($J1584&lt;&gt;"",$J1584,IF($AC1584=$AC1583,AJ1583,""))</f>
        <v/>
      </c>
      <c r="AK1584" t="str">
        <f t="shared" si="1474"/>
        <v/>
      </c>
      <c r="AL1584" t="str">
        <f t="shared" si="1407"/>
        <v/>
      </c>
      <c r="AN1584" t="s">
        <v>861</v>
      </c>
      <c r="AO1584" t="str">
        <f t="shared" si="1408"/>
        <v>h</v>
      </c>
      <c r="AP1584" t="str">
        <f t="shared" si="1416"/>
        <v/>
      </c>
      <c r="AQ1584" t="str">
        <f t="shared" si="1417"/>
        <v/>
      </c>
      <c r="AR1584" t="str">
        <f t="shared" si="1418"/>
        <v>Home</v>
      </c>
      <c r="AS1584" t="str">
        <f t="shared" si="1419"/>
        <v>h</v>
      </c>
      <c r="AT1584" t="str">
        <f t="shared" si="1420"/>
        <v>Offensive</v>
      </c>
      <c r="BA1584" s="6">
        <f t="shared" si="1409"/>
        <v>368</v>
      </c>
      <c r="BB1584">
        <f t="shared" si="1410"/>
        <v>18981</v>
      </c>
      <c r="BC1584" t="str">
        <f t="shared" si="1411"/>
        <v>Nelson</v>
      </c>
      <c r="BD1584" t="str">
        <f t="shared" si="1412"/>
        <v>Velodrome</v>
      </c>
      <c r="BE1584" t="s">
        <v>7</v>
      </c>
      <c r="BF1584" t="s">
        <v>172</v>
      </c>
      <c r="BG1584" t="s">
        <v>68</v>
      </c>
      <c r="BI1584" cm="1">
        <f t="array" ref="BI1584">IFERROR(_xlfn._xlws.FILTER(shifts!A:A,(shifts!B:B=events!AD1584)*(shifts!AG:AG&gt;=events!BK1584)*(shifts!AH:AH&lt;=events!BL1584)),BI1583)</f>
        <v>70</v>
      </c>
      <c r="BJ1584" s="15">
        <f t="shared" si="1413"/>
        <v>0</v>
      </c>
      <c r="BK1584">
        <f t="shared" si="1421"/>
        <v>79</v>
      </c>
      <c r="BL1584">
        <f t="shared" si="1422"/>
        <v>79</v>
      </c>
      <c r="BM1584" s="15">
        <f>SUMIFS(BJ$2:BJ1584,K$2:K1584,"=Intermission")+SUMIFS(BJ$2:BJ1584,K$2:K1584,"=Timeout")</f>
        <v>72</v>
      </c>
      <c r="BN1584">
        <f t="shared" si="1423"/>
        <v>1152</v>
      </c>
      <c r="BO1584" s="19">
        <f t="shared" si="1424"/>
        <v>2153</v>
      </c>
      <c r="BP1584">
        <f t="shared" si="1425"/>
        <v>2148</v>
      </c>
      <c r="BQ1584" s="17">
        <f t="shared" si="1426"/>
        <v>2153</v>
      </c>
      <c r="BR1584" t="str">
        <f t="shared" si="1427"/>
        <v>event_team_player_2</v>
      </c>
      <c r="BS1584">
        <f>COUNTIFS(S$3:S1584,"="&amp;S1584,AI$3:AI1584,"="&amp;AI1584)</f>
        <v>2</v>
      </c>
      <c r="BT1584" t="str">
        <f>IFERROR(VLOOKUP(BB1584&amp;BU1584&amp;X1584,game_rosters!U:W,3,FALSE),"")</f>
        <v>P100061</v>
      </c>
      <c r="BU1584" t="str">
        <f t="shared" si="1428"/>
        <v>Nelson</v>
      </c>
    </row>
    <row r="1585" spans="1:73" x14ac:dyDescent="0.2">
      <c r="A1585">
        <f t="shared" si="1414"/>
        <v>1</v>
      </c>
      <c r="J1585" s="44" t="str">
        <f t="shared" si="1429"/>
        <v/>
      </c>
      <c r="K1585" t="s">
        <v>7</v>
      </c>
      <c r="L1585" t="s">
        <v>199</v>
      </c>
      <c r="M1585" t="s">
        <v>68</v>
      </c>
      <c r="S1585">
        <v>854</v>
      </c>
      <c r="W1585" t="str">
        <f t="shared" si="1405"/>
        <v>h</v>
      </c>
      <c r="X1585">
        <v>23</v>
      </c>
      <c r="Y1585" t="b">
        <f>IF(X1585&lt;&gt;"",VLOOKUP(X1585,game_rosters!$C$43:$E$64,3,FALSE))</f>
        <v>0</v>
      </c>
      <c r="Z1585" cm="1">
        <f t="array" ref="Z1585">IFERROR(IF(_xlfn._xlws.FILTER(game_rosters!$J:$J,(game_rosters!$G:$G=events!$AN1585)*(game_rosters!$J:$J=events!$X1585))&gt;0,1,""),"")</f>
        <v>1</v>
      </c>
      <c r="AA1585">
        <f t="shared" si="1453"/>
        <v>1854</v>
      </c>
      <c r="AB1585" t="str">
        <f t="shared" si="1454"/>
        <v/>
      </c>
      <c r="AC1585">
        <f t="shared" si="1402"/>
        <v>1854</v>
      </c>
      <c r="AD1585" s="6">
        <v>2</v>
      </c>
      <c r="AE1585" t="s">
        <v>943</v>
      </c>
      <c r="AF1585" t="s">
        <v>732</v>
      </c>
      <c r="AG1585" t="s">
        <v>756</v>
      </c>
      <c r="AH1585" t="s">
        <v>756</v>
      </c>
      <c r="AI1585" t="s">
        <v>367</v>
      </c>
      <c r="AJ1585" t="str">
        <f t="shared" ref="AJ1585:AK1585" si="1475">IF($J1585&lt;&gt;"",$J1585,IF($AC1585=$AC1584,AJ1584,""))</f>
        <v/>
      </c>
      <c r="AK1585" t="str">
        <f t="shared" si="1475"/>
        <v/>
      </c>
      <c r="AL1585" t="str">
        <f t="shared" si="1407"/>
        <v/>
      </c>
      <c r="AN1585" t="s">
        <v>861</v>
      </c>
      <c r="AO1585" t="str">
        <f t="shared" si="1408"/>
        <v>h</v>
      </c>
      <c r="AP1585" t="str">
        <f t="shared" si="1416"/>
        <v/>
      </c>
      <c r="AQ1585" t="str">
        <f t="shared" si="1417"/>
        <v/>
      </c>
      <c r="AR1585" t="str">
        <f t="shared" si="1418"/>
        <v>Home</v>
      </c>
      <c r="AS1585" t="str">
        <f t="shared" si="1419"/>
        <v>h</v>
      </c>
      <c r="AT1585" t="str">
        <f t="shared" si="1420"/>
        <v>Offensive</v>
      </c>
      <c r="BA1585" s="6">
        <f t="shared" si="1409"/>
        <v>368</v>
      </c>
      <c r="BB1585">
        <f t="shared" si="1410"/>
        <v>18981</v>
      </c>
      <c r="BC1585" t="str">
        <f t="shared" si="1411"/>
        <v>Nelson</v>
      </c>
      <c r="BD1585" t="str">
        <f t="shared" si="1412"/>
        <v>Velodrome</v>
      </c>
      <c r="BE1585" t="s">
        <v>7</v>
      </c>
      <c r="BF1585" t="s">
        <v>199</v>
      </c>
      <c r="BG1585" t="s">
        <v>68</v>
      </c>
      <c r="BI1585" cm="1">
        <f t="array" ref="BI1585">IFERROR(_xlfn._xlws.FILTER(shifts!A:A,(shifts!B:B=events!AD1585)*(shifts!AG:AG&gt;=events!BK1585)*(shifts!AH:AH&lt;=events!BL1585)),BI1584)</f>
        <v>70</v>
      </c>
      <c r="BJ1585" s="15">
        <f t="shared" si="1413"/>
        <v>0</v>
      </c>
      <c r="BK1585">
        <f t="shared" si="1421"/>
        <v>77</v>
      </c>
      <c r="BL1585">
        <f t="shared" si="1422"/>
        <v>77</v>
      </c>
      <c r="BM1585" s="15">
        <f>SUMIFS(BJ$2:BJ1585,K$2:K1585,"=Intermission")+SUMIFS(BJ$2:BJ1585,K$2:K1585,"=Timeout")</f>
        <v>72</v>
      </c>
      <c r="BN1585">
        <f t="shared" si="1423"/>
        <v>1152</v>
      </c>
      <c r="BO1585" s="19">
        <f t="shared" si="1424"/>
        <v>2155</v>
      </c>
      <c r="BP1585">
        <f t="shared" si="1425"/>
        <v>2150</v>
      </c>
      <c r="BQ1585" s="17">
        <f t="shared" si="1426"/>
        <v>2155</v>
      </c>
      <c r="BR1585" t="str">
        <f t="shared" si="1427"/>
        <v>event_team_player_1</v>
      </c>
      <c r="BS1585">
        <f>COUNTIFS(S$3:S1585,"="&amp;S1585,AI$3:AI1585,"="&amp;AI1585)</f>
        <v>1</v>
      </c>
      <c r="BT1585" t="str">
        <f>IFERROR(VLOOKUP(BB1585&amp;BU1585&amp;X1585,game_rosters!U:W,3,FALSE),"")</f>
        <v>P100061</v>
      </c>
      <c r="BU1585" t="str">
        <f t="shared" si="1428"/>
        <v>Nelson</v>
      </c>
    </row>
    <row r="1586" spans="1:73" x14ac:dyDescent="0.2">
      <c r="A1586">
        <f t="shared" si="1414"/>
        <v>1</v>
      </c>
      <c r="J1586" s="44" t="str">
        <f t="shared" si="1429"/>
        <v/>
      </c>
      <c r="K1586" t="s">
        <v>7</v>
      </c>
      <c r="L1586" t="s">
        <v>199</v>
      </c>
      <c r="M1586" t="s">
        <v>68</v>
      </c>
      <c r="S1586">
        <v>854</v>
      </c>
      <c r="W1586" t="str">
        <f t="shared" si="1405"/>
        <v>h</v>
      </c>
      <c r="X1586">
        <v>37</v>
      </c>
      <c r="Y1586" t="b">
        <f>IF(X1586&lt;&gt;"",VLOOKUP(X1586,game_rosters!$C$43:$E$64,3,FALSE))</f>
        <v>0</v>
      </c>
      <c r="Z1586" cm="1">
        <f t="array" ref="Z1586">IFERROR(IF(_xlfn._xlws.FILTER(game_rosters!$J:$J,(game_rosters!$G:$G=events!$AN1586)*(game_rosters!$J:$J=events!$X1586))&gt;0,1,""),"")</f>
        <v>1</v>
      </c>
      <c r="AA1586">
        <f t="shared" si="1453"/>
        <v>1854</v>
      </c>
      <c r="AB1586" t="str">
        <f t="shared" si="1454"/>
        <v/>
      </c>
      <c r="AC1586">
        <f t="shared" si="1402"/>
        <v>1854</v>
      </c>
      <c r="AD1586" s="6">
        <v>2</v>
      </c>
      <c r="AE1586" t="s">
        <v>943</v>
      </c>
      <c r="AF1586" t="s">
        <v>732</v>
      </c>
      <c r="AG1586" t="s">
        <v>756</v>
      </c>
      <c r="AH1586" t="s">
        <v>756</v>
      </c>
      <c r="AI1586" t="s">
        <v>367</v>
      </c>
      <c r="AJ1586" t="str">
        <f t="shared" ref="AJ1586:AK1586" si="1476">IF($J1586&lt;&gt;"",$J1586,IF($AC1586=$AC1585,AJ1585,""))</f>
        <v/>
      </c>
      <c r="AK1586" t="str">
        <f t="shared" si="1476"/>
        <v/>
      </c>
      <c r="AL1586" t="str">
        <f t="shared" si="1407"/>
        <v/>
      </c>
      <c r="AN1586" t="s">
        <v>861</v>
      </c>
      <c r="AO1586" t="str">
        <f t="shared" si="1408"/>
        <v>h</v>
      </c>
      <c r="AP1586" t="str">
        <f t="shared" si="1416"/>
        <v/>
      </c>
      <c r="AQ1586" t="str">
        <f t="shared" si="1417"/>
        <v/>
      </c>
      <c r="AR1586" t="str">
        <f t="shared" si="1418"/>
        <v>Home</v>
      </c>
      <c r="AS1586" t="str">
        <f t="shared" si="1419"/>
        <v>h</v>
      </c>
      <c r="AT1586" t="str">
        <f t="shared" si="1420"/>
        <v>Offensive</v>
      </c>
      <c r="BA1586" s="6">
        <f t="shared" si="1409"/>
        <v>368</v>
      </c>
      <c r="BB1586">
        <f t="shared" si="1410"/>
        <v>18981</v>
      </c>
      <c r="BC1586" t="str">
        <f t="shared" si="1411"/>
        <v>Nelson</v>
      </c>
      <c r="BD1586" t="str">
        <f t="shared" si="1412"/>
        <v>Velodrome</v>
      </c>
      <c r="BE1586" t="s">
        <v>7</v>
      </c>
      <c r="BF1586" t="s">
        <v>199</v>
      </c>
      <c r="BG1586" t="s">
        <v>68</v>
      </c>
      <c r="BI1586" cm="1">
        <f t="array" ref="BI1586">IFERROR(_xlfn._xlws.FILTER(shifts!A:A,(shifts!B:B=events!AD1586)*(shifts!AG:AG&gt;=events!BK1586)*(shifts!AH:AH&lt;=events!BL1586)),BI1585)</f>
        <v>70</v>
      </c>
      <c r="BJ1586" s="15">
        <f t="shared" si="1413"/>
        <v>0</v>
      </c>
      <c r="BK1586">
        <f t="shared" si="1421"/>
        <v>77</v>
      </c>
      <c r="BL1586">
        <f t="shared" si="1422"/>
        <v>77</v>
      </c>
      <c r="BM1586" s="15">
        <f>SUMIFS(BJ$2:BJ1586,K$2:K1586,"=Intermission")+SUMIFS(BJ$2:BJ1586,K$2:K1586,"=Timeout")</f>
        <v>72</v>
      </c>
      <c r="BN1586">
        <f t="shared" si="1423"/>
        <v>1152</v>
      </c>
      <c r="BO1586" s="19">
        <f t="shared" si="1424"/>
        <v>2155</v>
      </c>
      <c r="BP1586">
        <f t="shared" si="1425"/>
        <v>2150</v>
      </c>
      <c r="BQ1586" s="17">
        <f t="shared" si="1426"/>
        <v>2155</v>
      </c>
      <c r="BR1586" t="str">
        <f t="shared" si="1427"/>
        <v>event_team_player_2</v>
      </c>
      <c r="BS1586">
        <f>COUNTIFS(S$3:S1586,"="&amp;S1586,AI$3:AI1586,"="&amp;AI1586)</f>
        <v>2</v>
      </c>
      <c r="BT1586" t="str">
        <f>IFERROR(VLOOKUP(BB1586&amp;BU1586&amp;X1586,game_rosters!U:W,3,FALSE),"")</f>
        <v>P100119</v>
      </c>
      <c r="BU1586" t="str">
        <f t="shared" si="1428"/>
        <v>Nelson</v>
      </c>
    </row>
    <row r="1587" spans="1:73" x14ac:dyDescent="0.2">
      <c r="A1587">
        <f t="shared" si="1414"/>
        <v>1</v>
      </c>
      <c r="J1587" s="44" t="str">
        <f t="shared" si="1429"/>
        <v/>
      </c>
      <c r="K1587" t="s">
        <v>7</v>
      </c>
      <c r="L1587" t="s">
        <v>199</v>
      </c>
      <c r="M1587" t="s">
        <v>68</v>
      </c>
      <c r="S1587">
        <v>854</v>
      </c>
      <c r="W1587" t="str">
        <f t="shared" si="1405"/>
        <v>h</v>
      </c>
      <c r="X1587">
        <v>14</v>
      </c>
      <c r="Y1587" t="e">
        <f>IF(X1587&lt;&gt;"",VLOOKUP(X1587,game_rosters!$C$43:$E$64,3,FALSE))</f>
        <v>#N/A</v>
      </c>
      <c r="Z1587" t="str" cm="1">
        <f t="array" ref="Z1587">IFERROR(IF(_xlfn._xlws.FILTER(game_rosters!$J:$J,(game_rosters!$G:$G=events!$AN1587)*(game_rosters!$J:$J=events!$X1587))&gt;0,1,""),"")</f>
        <v/>
      </c>
      <c r="AA1587">
        <f t="shared" si="1453"/>
        <v>1854</v>
      </c>
      <c r="AB1587" t="str">
        <f t="shared" si="1454"/>
        <v/>
      </c>
      <c r="AC1587">
        <f t="shared" si="1402"/>
        <v>1854</v>
      </c>
      <c r="AD1587" s="6">
        <v>2</v>
      </c>
      <c r="AE1587" t="s">
        <v>943</v>
      </c>
      <c r="AF1587" t="s">
        <v>732</v>
      </c>
      <c r="AG1587" t="s">
        <v>756</v>
      </c>
      <c r="AH1587" t="s">
        <v>756</v>
      </c>
      <c r="AI1587" t="s">
        <v>368</v>
      </c>
      <c r="AJ1587" t="str">
        <f t="shared" ref="AJ1587:AK1587" si="1477">IF($J1587&lt;&gt;"",$J1587,IF($AC1587=$AC1586,AJ1586,""))</f>
        <v/>
      </c>
      <c r="AK1587" t="str">
        <f t="shared" si="1477"/>
        <v/>
      </c>
      <c r="AL1587" t="str">
        <f t="shared" si="1407"/>
        <v/>
      </c>
      <c r="AN1587" t="s">
        <v>861</v>
      </c>
      <c r="AO1587" t="str">
        <f t="shared" si="1408"/>
        <v>h</v>
      </c>
      <c r="AP1587" t="str">
        <f t="shared" si="1416"/>
        <v/>
      </c>
      <c r="AQ1587" t="str">
        <f t="shared" si="1417"/>
        <v/>
      </c>
      <c r="AR1587" t="str">
        <f t="shared" si="1418"/>
        <v>Home</v>
      </c>
      <c r="AS1587" t="str">
        <f t="shared" si="1419"/>
        <v>h</v>
      </c>
      <c r="AT1587" t="str">
        <f t="shared" si="1420"/>
        <v>Defensive</v>
      </c>
      <c r="BA1587" s="6">
        <f t="shared" si="1409"/>
        <v>368</v>
      </c>
      <c r="BB1587">
        <f t="shared" si="1410"/>
        <v>18981</v>
      </c>
      <c r="BC1587" t="str">
        <f t="shared" si="1411"/>
        <v>Nelson</v>
      </c>
      <c r="BD1587" t="str">
        <f t="shared" si="1412"/>
        <v>Velodrome</v>
      </c>
      <c r="BE1587" t="s">
        <v>7</v>
      </c>
      <c r="BF1587" t="s">
        <v>199</v>
      </c>
      <c r="BG1587" t="s">
        <v>68</v>
      </c>
      <c r="BI1587" cm="1">
        <f t="array" ref="BI1587">IFERROR(_xlfn._xlws.FILTER(shifts!A:A,(shifts!B:B=events!AD1587)*(shifts!AG:AG&gt;=events!BK1587)*(shifts!AH:AH&lt;=events!BL1587)),BI1586)</f>
        <v>70</v>
      </c>
      <c r="BJ1587" s="15">
        <f t="shared" si="1413"/>
        <v>0</v>
      </c>
      <c r="BK1587">
        <f t="shared" si="1421"/>
        <v>77</v>
      </c>
      <c r="BL1587">
        <f t="shared" si="1422"/>
        <v>77</v>
      </c>
      <c r="BM1587" s="15">
        <f>SUMIFS(BJ$2:BJ1587,K$2:K1587,"=Intermission")+SUMIFS(BJ$2:BJ1587,K$2:K1587,"=Timeout")</f>
        <v>72</v>
      </c>
      <c r="BN1587">
        <f t="shared" si="1423"/>
        <v>1152</v>
      </c>
      <c r="BO1587" s="19">
        <f t="shared" si="1424"/>
        <v>2155</v>
      </c>
      <c r="BP1587">
        <f t="shared" si="1425"/>
        <v>2150</v>
      </c>
      <c r="BQ1587" s="17">
        <f t="shared" si="1426"/>
        <v>2155</v>
      </c>
      <c r="BR1587" t="str">
        <f t="shared" si="1427"/>
        <v>opp_team_player_1</v>
      </c>
      <c r="BS1587">
        <f>COUNTIFS(S$3:S1587,"="&amp;S1587,AI$3:AI1587,"="&amp;AI1587)</f>
        <v>1</v>
      </c>
      <c r="BT1587" t="str">
        <f>IFERROR(VLOOKUP(BB1587&amp;BU1587&amp;X1587,game_rosters!U:W,3,FALSE),"")</f>
        <v>P100132</v>
      </c>
      <c r="BU1587" t="str">
        <f t="shared" si="1428"/>
        <v>Velodrome</v>
      </c>
    </row>
    <row r="1588" spans="1:73" x14ac:dyDescent="0.2">
      <c r="A1588">
        <f t="shared" si="1414"/>
        <v>1</v>
      </c>
      <c r="J1588" s="44" t="str">
        <f t="shared" si="1429"/>
        <v/>
      </c>
      <c r="K1588" t="s">
        <v>9</v>
      </c>
      <c r="L1588" t="s">
        <v>173</v>
      </c>
      <c r="M1588" t="s">
        <v>73</v>
      </c>
      <c r="S1588">
        <v>855</v>
      </c>
      <c r="W1588" t="str">
        <f t="shared" si="1405"/>
        <v>h</v>
      </c>
      <c r="X1588">
        <v>23</v>
      </c>
      <c r="Y1588" t="b">
        <f>IF(X1588&lt;&gt;"",VLOOKUP(X1588,game_rosters!$C$43:$E$64,3,FALSE))</f>
        <v>0</v>
      </c>
      <c r="Z1588" cm="1">
        <f t="array" ref="Z1588">IFERROR(IF(_xlfn._xlws.FILTER(game_rosters!$J:$J,(game_rosters!$G:$G=events!$AN1588)*(game_rosters!$J:$J=events!$X1588))&gt;0,1,""),"")</f>
        <v>1</v>
      </c>
      <c r="AA1588">
        <f t="shared" si="1453"/>
        <v>1855</v>
      </c>
      <c r="AB1588" t="str">
        <f t="shared" si="1454"/>
        <v/>
      </c>
      <c r="AC1588">
        <f t="shared" si="1402"/>
        <v>1855</v>
      </c>
      <c r="AD1588" s="6">
        <v>2</v>
      </c>
      <c r="AE1588" t="s">
        <v>943</v>
      </c>
      <c r="AF1588" t="s">
        <v>732</v>
      </c>
      <c r="AG1588" t="s">
        <v>756</v>
      </c>
      <c r="AH1588" t="s">
        <v>756</v>
      </c>
      <c r="AI1588" t="s">
        <v>367</v>
      </c>
      <c r="AJ1588" t="str">
        <f t="shared" ref="AJ1588:AK1588" si="1478">IF($J1588&lt;&gt;"",$J1588,IF($AC1588=$AC1587,AJ1587,""))</f>
        <v/>
      </c>
      <c r="AK1588" t="str">
        <f t="shared" si="1478"/>
        <v/>
      </c>
      <c r="AL1588" t="str">
        <f t="shared" si="1407"/>
        <v/>
      </c>
      <c r="AN1588" t="s">
        <v>861</v>
      </c>
      <c r="AO1588" t="str">
        <f t="shared" si="1408"/>
        <v>h</v>
      </c>
      <c r="AP1588" t="str">
        <f t="shared" si="1416"/>
        <v/>
      </c>
      <c r="AQ1588" t="str">
        <f t="shared" si="1417"/>
        <v/>
      </c>
      <c r="AR1588" t="str">
        <f t="shared" si="1418"/>
        <v>Home</v>
      </c>
      <c r="AS1588" t="str">
        <f t="shared" si="1419"/>
        <v>h</v>
      </c>
      <c r="AT1588" t="str">
        <f t="shared" si="1420"/>
        <v>Offensive</v>
      </c>
      <c r="BA1588" s="6">
        <f t="shared" si="1409"/>
        <v>368</v>
      </c>
      <c r="BB1588">
        <f t="shared" si="1410"/>
        <v>18981</v>
      </c>
      <c r="BC1588" t="str">
        <f t="shared" si="1411"/>
        <v>Nelson</v>
      </c>
      <c r="BD1588" t="str">
        <f t="shared" si="1412"/>
        <v>Velodrome</v>
      </c>
      <c r="BE1588" t="s">
        <v>9</v>
      </c>
      <c r="BF1588" t="s">
        <v>173</v>
      </c>
      <c r="BG1588" t="s">
        <v>73</v>
      </c>
      <c r="BI1588" cm="1">
        <f t="array" ref="BI1588">IFERROR(_xlfn._xlws.FILTER(shifts!A:A,(shifts!B:B=events!AD1588)*(shifts!AG:AG&gt;=events!BK1588)*(shifts!AH:AH&lt;=events!BL1588)),BI1587)</f>
        <v>70</v>
      </c>
      <c r="BJ1588" s="15">
        <f t="shared" si="1413"/>
        <v>0</v>
      </c>
      <c r="BK1588">
        <f t="shared" si="1421"/>
        <v>77</v>
      </c>
      <c r="BL1588">
        <f t="shared" si="1422"/>
        <v>77</v>
      </c>
      <c r="BM1588" s="15">
        <f>SUMIFS(BJ$2:BJ1588,K$2:K1588,"=Intermission")+SUMIFS(BJ$2:BJ1588,K$2:K1588,"=Timeout")</f>
        <v>72</v>
      </c>
      <c r="BN1588">
        <f t="shared" si="1423"/>
        <v>1152</v>
      </c>
      <c r="BO1588" s="19">
        <f t="shared" si="1424"/>
        <v>2155</v>
      </c>
      <c r="BP1588">
        <f t="shared" si="1425"/>
        <v>2150</v>
      </c>
      <c r="BQ1588" s="17">
        <f t="shared" si="1426"/>
        <v>2155</v>
      </c>
      <c r="BR1588" t="str">
        <f t="shared" si="1427"/>
        <v>event_team_player_1</v>
      </c>
      <c r="BS1588">
        <f>COUNTIFS(S$3:S1588,"="&amp;S1588,AI$3:AI1588,"="&amp;AI1588)</f>
        <v>1</v>
      </c>
      <c r="BT1588" t="str">
        <f>IFERROR(VLOOKUP(BB1588&amp;BU1588&amp;X1588,game_rosters!U:W,3,FALSE),"")</f>
        <v>P100061</v>
      </c>
      <c r="BU1588" t="str">
        <f t="shared" si="1428"/>
        <v>Nelson</v>
      </c>
    </row>
    <row r="1589" spans="1:73" x14ac:dyDescent="0.2">
      <c r="A1589">
        <f t="shared" si="1414"/>
        <v>1</v>
      </c>
      <c r="J1589" s="44" t="str">
        <f t="shared" si="1429"/>
        <v/>
      </c>
      <c r="K1589" t="s">
        <v>13</v>
      </c>
      <c r="L1589" t="s">
        <v>756</v>
      </c>
      <c r="M1589" t="s">
        <v>756</v>
      </c>
      <c r="S1589">
        <v>856</v>
      </c>
      <c r="W1589" t="str">
        <f t="shared" si="1405"/>
        <v>a</v>
      </c>
      <c r="X1589">
        <v>14</v>
      </c>
      <c r="Y1589" t="e">
        <f>IF(X1589&lt;&gt;"",VLOOKUP(X1589,game_rosters!$C$43:$E$64,3,FALSE))</f>
        <v>#N/A</v>
      </c>
      <c r="Z1589" cm="1">
        <f t="array" ref="Z1589">IFERROR(IF(_xlfn._xlws.FILTER(game_rosters!$J:$J,(game_rosters!$G:$G=events!$AN1589)*(game_rosters!$J:$J=events!$X1589))&gt;0,1,""),"")</f>
        <v>1</v>
      </c>
      <c r="AA1589">
        <f t="shared" si="1453"/>
        <v>1856</v>
      </c>
      <c r="AB1589" t="str">
        <f t="shared" si="1454"/>
        <v/>
      </c>
      <c r="AC1589">
        <f t="shared" si="1402"/>
        <v>1856</v>
      </c>
      <c r="AD1589" s="6">
        <v>2</v>
      </c>
      <c r="AE1589" t="s">
        <v>943</v>
      </c>
      <c r="AF1589" t="s">
        <v>744</v>
      </c>
      <c r="AG1589" t="s">
        <v>943</v>
      </c>
      <c r="AH1589" t="s">
        <v>926</v>
      </c>
      <c r="AI1589" t="s">
        <v>367</v>
      </c>
      <c r="AJ1589" t="str">
        <f t="shared" ref="AJ1589:AK1589" si="1479">IF($J1589&lt;&gt;"",$J1589,IF($AC1589=$AC1588,AJ1588,""))</f>
        <v/>
      </c>
      <c r="AK1589" t="str">
        <f t="shared" si="1479"/>
        <v/>
      </c>
      <c r="AL1589" t="str">
        <f t="shared" si="1407"/>
        <v/>
      </c>
      <c r="AN1589" t="s">
        <v>862</v>
      </c>
      <c r="AO1589" t="str">
        <f t="shared" si="1408"/>
        <v>a</v>
      </c>
      <c r="AP1589" t="str">
        <f t="shared" si="1416"/>
        <v/>
      </c>
      <c r="AQ1589" t="str">
        <f t="shared" si="1417"/>
        <v/>
      </c>
      <c r="AR1589" t="str">
        <f t="shared" si="1418"/>
        <v>Away</v>
      </c>
      <c r="AS1589" t="str">
        <f t="shared" si="1419"/>
        <v>a</v>
      </c>
      <c r="AT1589" t="str">
        <f t="shared" si="1420"/>
        <v>Offensive</v>
      </c>
      <c r="BA1589" s="6">
        <f t="shared" si="1409"/>
        <v>368</v>
      </c>
      <c r="BB1589">
        <f t="shared" si="1410"/>
        <v>18981</v>
      </c>
      <c r="BC1589" t="str">
        <f t="shared" si="1411"/>
        <v>Nelson</v>
      </c>
      <c r="BD1589" t="str">
        <f t="shared" si="1412"/>
        <v>Velodrome</v>
      </c>
      <c r="BE1589" t="s">
        <v>13</v>
      </c>
      <c r="BF1589" t="s">
        <v>756</v>
      </c>
      <c r="BG1589" t="s">
        <v>756</v>
      </c>
      <c r="BI1589" cm="1">
        <f t="array" ref="BI1589">IFERROR(_xlfn._xlws.FILTER(shifts!A:A,(shifts!B:B=events!AD1589)*(shifts!AG:AG&gt;=events!BK1589)*(shifts!AH:AH&lt;=events!BL1589)),BI1588)</f>
        <v>70</v>
      </c>
      <c r="BJ1589" s="15">
        <f t="shared" si="1413"/>
        <v>2</v>
      </c>
      <c r="BK1589">
        <f t="shared" si="1421"/>
        <v>75</v>
      </c>
      <c r="BL1589">
        <f t="shared" si="1422"/>
        <v>73</v>
      </c>
      <c r="BM1589" s="15">
        <f>SUMIFS(BJ$2:BJ1589,K$2:K1589,"=Intermission")+SUMIFS(BJ$2:BJ1589,K$2:K1589,"=Timeout")</f>
        <v>72</v>
      </c>
      <c r="BN1589">
        <f t="shared" si="1423"/>
        <v>1152</v>
      </c>
      <c r="BO1589" s="19">
        <f t="shared" si="1424"/>
        <v>2157</v>
      </c>
      <c r="BP1589">
        <f t="shared" si="1425"/>
        <v>2152</v>
      </c>
      <c r="BQ1589" s="17">
        <f t="shared" si="1426"/>
        <v>2159</v>
      </c>
      <c r="BR1589" t="str">
        <f t="shared" si="1427"/>
        <v>event_team_player_1</v>
      </c>
      <c r="BS1589">
        <f>COUNTIFS(S$3:S1589,"="&amp;S1589,AI$3:AI1589,"="&amp;AI1589)</f>
        <v>1</v>
      </c>
      <c r="BT1589" t="str">
        <f>IFERROR(VLOOKUP(BB1589&amp;BU1589&amp;X1589,game_rosters!U:W,3,FALSE),"")</f>
        <v>P100132</v>
      </c>
      <c r="BU1589" t="str">
        <f t="shared" si="1428"/>
        <v>Velodrome</v>
      </c>
    </row>
    <row r="1590" spans="1:73" x14ac:dyDescent="0.2">
      <c r="A1590">
        <f t="shared" si="1414"/>
        <v>1</v>
      </c>
      <c r="J1590" s="44" t="str">
        <f t="shared" si="1429"/>
        <v/>
      </c>
      <c r="K1590" t="s">
        <v>13</v>
      </c>
      <c r="L1590" t="s">
        <v>756</v>
      </c>
      <c r="M1590" t="s">
        <v>756</v>
      </c>
      <c r="S1590">
        <v>856</v>
      </c>
      <c r="W1590" t="str">
        <f t="shared" si="1405"/>
        <v>a</v>
      </c>
      <c r="X1590">
        <v>23</v>
      </c>
      <c r="Y1590" t="b">
        <f>IF(X1590&lt;&gt;"",VLOOKUP(X1590,game_rosters!$C$43:$E$64,3,FALSE))</f>
        <v>0</v>
      </c>
      <c r="Z1590" t="str" cm="1">
        <f t="array" ref="Z1590">IFERROR(IF(_xlfn._xlws.FILTER(game_rosters!$J:$J,(game_rosters!$G:$G=events!$AN1590)*(game_rosters!$J:$J=events!$X1590))&gt;0,1,""),"")</f>
        <v/>
      </c>
      <c r="AA1590">
        <f t="shared" si="1453"/>
        <v>1856</v>
      </c>
      <c r="AB1590" t="str">
        <f t="shared" si="1454"/>
        <v/>
      </c>
      <c r="AC1590">
        <f t="shared" si="1402"/>
        <v>1856</v>
      </c>
      <c r="AD1590" s="6">
        <v>2</v>
      </c>
      <c r="AE1590" t="s">
        <v>943</v>
      </c>
      <c r="AF1590" t="s">
        <v>744</v>
      </c>
      <c r="AG1590" t="s">
        <v>943</v>
      </c>
      <c r="AH1590" t="s">
        <v>926</v>
      </c>
      <c r="AI1590" t="s">
        <v>368</v>
      </c>
      <c r="AJ1590" t="str">
        <f t="shared" ref="AJ1590:AK1590" si="1480">IF($J1590&lt;&gt;"",$J1590,IF($AC1590=$AC1589,AJ1589,""))</f>
        <v/>
      </c>
      <c r="AK1590" t="str">
        <f t="shared" si="1480"/>
        <v/>
      </c>
      <c r="AL1590" t="str">
        <f t="shared" si="1407"/>
        <v/>
      </c>
      <c r="AN1590" t="s">
        <v>862</v>
      </c>
      <c r="AO1590" t="str">
        <f t="shared" si="1408"/>
        <v>a</v>
      </c>
      <c r="AP1590" t="str">
        <f t="shared" si="1416"/>
        <v/>
      </c>
      <c r="AQ1590" t="str">
        <f t="shared" si="1417"/>
        <v/>
      </c>
      <c r="AR1590" t="str">
        <f t="shared" si="1418"/>
        <v>Away</v>
      </c>
      <c r="AS1590" t="str">
        <f t="shared" si="1419"/>
        <v>a</v>
      </c>
      <c r="AT1590" t="str">
        <f t="shared" si="1420"/>
        <v>Defensive</v>
      </c>
      <c r="BA1590" s="6">
        <f t="shared" si="1409"/>
        <v>368</v>
      </c>
      <c r="BB1590">
        <f t="shared" si="1410"/>
        <v>18981</v>
      </c>
      <c r="BC1590" t="str">
        <f t="shared" si="1411"/>
        <v>Nelson</v>
      </c>
      <c r="BD1590" t="str">
        <f t="shared" si="1412"/>
        <v>Velodrome</v>
      </c>
      <c r="BE1590" t="s">
        <v>13</v>
      </c>
      <c r="BF1590" t="s">
        <v>756</v>
      </c>
      <c r="BG1590" t="s">
        <v>756</v>
      </c>
      <c r="BI1590" cm="1">
        <f t="array" ref="BI1590">IFERROR(_xlfn._xlws.FILTER(shifts!A:A,(shifts!B:B=events!AD1590)*(shifts!AG:AG&gt;=events!BK1590)*(shifts!AH:AH&lt;=events!BL1590)),BI1589)</f>
        <v>70</v>
      </c>
      <c r="BJ1590" s="15">
        <f t="shared" si="1413"/>
        <v>2</v>
      </c>
      <c r="BK1590">
        <f t="shared" si="1421"/>
        <v>75</v>
      </c>
      <c r="BL1590">
        <f t="shared" si="1422"/>
        <v>73</v>
      </c>
      <c r="BM1590" s="15">
        <f>SUMIFS(BJ$2:BJ1590,K$2:K1590,"=Intermission")+SUMIFS(BJ$2:BJ1590,K$2:K1590,"=Timeout")</f>
        <v>72</v>
      </c>
      <c r="BN1590">
        <f t="shared" si="1423"/>
        <v>1152</v>
      </c>
      <c r="BO1590" s="19">
        <f t="shared" si="1424"/>
        <v>2157</v>
      </c>
      <c r="BP1590">
        <f t="shared" si="1425"/>
        <v>2152</v>
      </c>
      <c r="BQ1590" s="17">
        <f t="shared" si="1426"/>
        <v>2159</v>
      </c>
      <c r="BR1590" t="str">
        <f t="shared" si="1427"/>
        <v>opp_team_player_1</v>
      </c>
      <c r="BS1590">
        <f>COUNTIFS(S$3:S1590,"="&amp;S1590,AI$3:AI1590,"="&amp;AI1590)</f>
        <v>1</v>
      </c>
      <c r="BT1590" t="str">
        <f>IFERROR(VLOOKUP(BB1590&amp;BU1590&amp;X1590,game_rosters!U:W,3,FALSE),"")</f>
        <v>P100061</v>
      </c>
      <c r="BU1590" t="str">
        <f t="shared" si="1428"/>
        <v>Nelson</v>
      </c>
    </row>
    <row r="1591" spans="1:73" x14ac:dyDescent="0.2">
      <c r="A1591">
        <f t="shared" si="1414"/>
        <v>1</v>
      </c>
      <c r="J1591" s="44" t="str">
        <f t="shared" si="1429"/>
        <v>o</v>
      </c>
      <c r="K1591" t="s">
        <v>238</v>
      </c>
      <c r="L1591" t="s">
        <v>174</v>
      </c>
      <c r="M1591" t="s">
        <v>169</v>
      </c>
      <c r="S1591">
        <v>857</v>
      </c>
      <c r="W1591" t="str">
        <f t="shared" si="1405"/>
        <v>a</v>
      </c>
      <c r="X1591">
        <v>14</v>
      </c>
      <c r="Y1591" t="e">
        <f>IF(X1591&lt;&gt;"",VLOOKUP(X1591,game_rosters!$C$43:$E$64,3,FALSE))</f>
        <v>#N/A</v>
      </c>
      <c r="Z1591" cm="1">
        <f t="array" ref="Z1591">IFERROR(IF(_xlfn._xlws.FILTER(game_rosters!$J:$J,(game_rosters!$G:$G=events!$AN1591)*(game_rosters!$J:$J=events!$X1591))&gt;0,1,""),"")</f>
        <v>1</v>
      </c>
      <c r="AA1591">
        <f t="shared" si="1453"/>
        <v>1857</v>
      </c>
      <c r="AB1591" t="str">
        <f t="shared" si="1454"/>
        <v/>
      </c>
      <c r="AC1591">
        <f t="shared" si="1402"/>
        <v>1857</v>
      </c>
      <c r="AD1591" s="6">
        <v>2</v>
      </c>
      <c r="AE1591" t="s">
        <v>943</v>
      </c>
      <c r="AF1591" t="s">
        <v>911</v>
      </c>
      <c r="AG1591" t="s">
        <v>756</v>
      </c>
      <c r="AH1591" t="s">
        <v>756</v>
      </c>
      <c r="AI1591" t="s">
        <v>367</v>
      </c>
      <c r="AJ1591" t="str">
        <f t="shared" ref="AJ1591:AK1591" si="1481">IF($J1591&lt;&gt;"",$J1591,IF($AC1591=$AC1590,AJ1590,""))</f>
        <v>o</v>
      </c>
      <c r="AK1591" t="str">
        <f t="shared" si="1481"/>
        <v>o</v>
      </c>
      <c r="AL1591" t="str">
        <f t="shared" si="1407"/>
        <v>d</v>
      </c>
      <c r="AN1591" t="s">
        <v>862</v>
      </c>
      <c r="AO1591" t="str">
        <f t="shared" si="1408"/>
        <v>a</v>
      </c>
      <c r="AP1591" t="str">
        <f t="shared" si="1416"/>
        <v>d</v>
      </c>
      <c r="AQ1591" t="str">
        <f t="shared" si="1417"/>
        <v/>
      </c>
      <c r="AR1591" t="str">
        <f t="shared" si="1418"/>
        <v>Away</v>
      </c>
      <c r="AS1591" t="str">
        <f t="shared" si="1419"/>
        <v>a</v>
      </c>
      <c r="AT1591" t="str">
        <f t="shared" si="1420"/>
        <v>Offensive</v>
      </c>
      <c r="BA1591" s="6">
        <f t="shared" si="1409"/>
        <v>369</v>
      </c>
      <c r="BB1591">
        <f t="shared" si="1410"/>
        <v>18981</v>
      </c>
      <c r="BC1591" t="str">
        <f t="shared" si="1411"/>
        <v>Nelson</v>
      </c>
      <c r="BD1591" t="str">
        <f t="shared" si="1412"/>
        <v>Velodrome</v>
      </c>
      <c r="BE1591" t="s">
        <v>238</v>
      </c>
      <c r="BF1591" t="s">
        <v>174</v>
      </c>
      <c r="BG1591" t="s">
        <v>169</v>
      </c>
      <c r="BI1591" cm="1">
        <f t="array" ref="BI1591">IFERROR(_xlfn._xlws.FILTER(shifts!A:A,(shifts!B:B=events!AD1591)*(shifts!AG:AG&gt;=events!BK1591)*(shifts!AH:AH&lt;=events!BL1591)),BI1590)</f>
        <v>70</v>
      </c>
      <c r="BJ1591" s="15">
        <f t="shared" si="1413"/>
        <v>0</v>
      </c>
      <c r="BK1591">
        <f t="shared" si="1421"/>
        <v>66</v>
      </c>
      <c r="BL1591">
        <f t="shared" si="1422"/>
        <v>66</v>
      </c>
      <c r="BM1591" s="15">
        <f>SUMIFS(BJ$2:BJ1591,K$2:K1591,"=Intermission")+SUMIFS(BJ$2:BJ1591,K$2:K1591,"=Timeout")</f>
        <v>72</v>
      </c>
      <c r="BN1591">
        <f t="shared" si="1423"/>
        <v>1152</v>
      </c>
      <c r="BO1591" s="19">
        <f t="shared" si="1424"/>
        <v>2166</v>
      </c>
      <c r="BP1591">
        <f t="shared" si="1425"/>
        <v>2161</v>
      </c>
      <c r="BQ1591" s="17">
        <f t="shared" si="1426"/>
        <v>2166</v>
      </c>
      <c r="BR1591" t="str">
        <f t="shared" si="1427"/>
        <v>event_team_player_1</v>
      </c>
      <c r="BS1591">
        <f>COUNTIFS(S$3:S1591,"="&amp;S1591,AI$3:AI1591,"="&amp;AI1591)</f>
        <v>1</v>
      </c>
      <c r="BT1591" t="str">
        <f>IFERROR(VLOOKUP(BB1591&amp;BU1591&amp;X1591,game_rosters!U:W,3,FALSE),"")</f>
        <v>P100132</v>
      </c>
      <c r="BU1591" t="str">
        <f t="shared" si="1428"/>
        <v>Velodrome</v>
      </c>
    </row>
    <row r="1592" spans="1:73" x14ac:dyDescent="0.2">
      <c r="A1592">
        <f t="shared" si="1414"/>
        <v>1</v>
      </c>
      <c r="J1592" s="44" t="str">
        <f t="shared" si="1429"/>
        <v>o</v>
      </c>
      <c r="K1592" t="s">
        <v>238</v>
      </c>
      <c r="L1592" t="s">
        <v>174</v>
      </c>
      <c r="M1592" t="s">
        <v>169</v>
      </c>
      <c r="S1592">
        <v>857</v>
      </c>
      <c r="W1592" t="str">
        <f t="shared" si="1405"/>
        <v>a</v>
      </c>
      <c r="X1592">
        <v>23</v>
      </c>
      <c r="Y1592" t="b">
        <f>IF(X1592&lt;&gt;"",VLOOKUP(X1592,game_rosters!$C$43:$E$64,3,FALSE))</f>
        <v>0</v>
      </c>
      <c r="Z1592" t="str" cm="1">
        <f t="array" ref="Z1592">IFERROR(IF(_xlfn._xlws.FILTER(game_rosters!$J:$J,(game_rosters!$G:$G=events!$AN1592)*(game_rosters!$J:$J=events!$X1592))&gt;0,1,""),"")</f>
        <v/>
      </c>
      <c r="AA1592">
        <f t="shared" si="1453"/>
        <v>1857</v>
      </c>
      <c r="AB1592" t="str">
        <f t="shared" si="1454"/>
        <v/>
      </c>
      <c r="AC1592">
        <f t="shared" si="1402"/>
        <v>1857</v>
      </c>
      <c r="AD1592" s="6">
        <v>2</v>
      </c>
      <c r="AE1592" t="s">
        <v>943</v>
      </c>
      <c r="AF1592" t="s">
        <v>911</v>
      </c>
      <c r="AG1592" t="s">
        <v>756</v>
      </c>
      <c r="AH1592" t="s">
        <v>756</v>
      </c>
      <c r="AI1592" t="s">
        <v>368</v>
      </c>
      <c r="AJ1592" t="str">
        <f t="shared" ref="AJ1592:AK1592" si="1482">IF($J1592&lt;&gt;"",$J1592,IF($AC1592=$AC1591,AJ1591,""))</f>
        <v>o</v>
      </c>
      <c r="AK1592" t="str">
        <f t="shared" si="1482"/>
        <v>o</v>
      </c>
      <c r="AL1592" t="str">
        <f t="shared" si="1407"/>
        <v>d</v>
      </c>
      <c r="AN1592" t="s">
        <v>862</v>
      </c>
      <c r="AO1592" t="str">
        <f t="shared" si="1408"/>
        <v>a</v>
      </c>
      <c r="AP1592" t="str">
        <f t="shared" si="1416"/>
        <v>d</v>
      </c>
      <c r="AQ1592" t="str">
        <f t="shared" si="1417"/>
        <v/>
      </c>
      <c r="AR1592" t="str">
        <f t="shared" si="1418"/>
        <v>Away</v>
      </c>
      <c r="AS1592" t="str">
        <f t="shared" si="1419"/>
        <v>a</v>
      </c>
      <c r="AT1592" t="str">
        <f t="shared" si="1420"/>
        <v>Defensive</v>
      </c>
      <c r="BA1592" s="6">
        <f t="shared" si="1409"/>
        <v>370</v>
      </c>
      <c r="BB1592">
        <f t="shared" si="1410"/>
        <v>18981</v>
      </c>
      <c r="BC1592" t="str">
        <f t="shared" si="1411"/>
        <v>Nelson</v>
      </c>
      <c r="BD1592" t="str">
        <f t="shared" si="1412"/>
        <v>Velodrome</v>
      </c>
      <c r="BE1592" t="s">
        <v>238</v>
      </c>
      <c r="BF1592" t="s">
        <v>174</v>
      </c>
      <c r="BG1592" t="s">
        <v>169</v>
      </c>
      <c r="BI1592" cm="1">
        <f t="array" ref="BI1592">IFERROR(_xlfn._xlws.FILTER(shifts!A:A,(shifts!B:B=events!AD1592)*(shifts!AG:AG&gt;=events!BK1592)*(shifts!AH:AH&lt;=events!BL1592)),BI1591)</f>
        <v>70</v>
      </c>
      <c r="BJ1592" s="15">
        <f t="shared" si="1413"/>
        <v>0</v>
      </c>
      <c r="BK1592">
        <f t="shared" si="1421"/>
        <v>66</v>
      </c>
      <c r="BL1592">
        <f t="shared" si="1422"/>
        <v>66</v>
      </c>
      <c r="BM1592" s="15">
        <f>SUMIFS(BJ$2:BJ1592,K$2:K1592,"=Intermission")+SUMIFS(BJ$2:BJ1592,K$2:K1592,"=Timeout")</f>
        <v>72</v>
      </c>
      <c r="BN1592">
        <f t="shared" si="1423"/>
        <v>1152</v>
      </c>
      <c r="BO1592" s="19">
        <f t="shared" si="1424"/>
        <v>2166</v>
      </c>
      <c r="BP1592">
        <f t="shared" si="1425"/>
        <v>2161</v>
      </c>
      <c r="BQ1592" s="17">
        <f t="shared" si="1426"/>
        <v>2166</v>
      </c>
      <c r="BR1592" t="str">
        <f t="shared" si="1427"/>
        <v>opp_team_player_1</v>
      </c>
      <c r="BS1592">
        <f>COUNTIFS(S$3:S1592,"="&amp;S1592,AI$3:AI1592,"="&amp;AI1592)</f>
        <v>1</v>
      </c>
      <c r="BT1592" t="str">
        <f>IFERROR(VLOOKUP(BB1592&amp;BU1592&amp;X1592,game_rosters!U:W,3,FALSE),"")</f>
        <v>P100061</v>
      </c>
      <c r="BU1592" t="str">
        <f t="shared" si="1428"/>
        <v>Nelson</v>
      </c>
    </row>
    <row r="1593" spans="1:73" x14ac:dyDescent="0.2">
      <c r="A1593">
        <f t="shared" si="1414"/>
        <v>1</v>
      </c>
      <c r="J1593" s="44" t="str">
        <f t="shared" si="1429"/>
        <v/>
      </c>
      <c r="K1593" t="s">
        <v>9</v>
      </c>
      <c r="L1593" t="s">
        <v>183</v>
      </c>
      <c r="M1593" t="s">
        <v>79</v>
      </c>
      <c r="S1593">
        <v>858</v>
      </c>
      <c r="W1593" t="str">
        <f t="shared" si="1405"/>
        <v>h</v>
      </c>
      <c r="X1593">
        <v>23</v>
      </c>
      <c r="Y1593" t="b">
        <f>IF(X1593&lt;&gt;"",VLOOKUP(X1593,game_rosters!$C$43:$E$64,3,FALSE))</f>
        <v>0</v>
      </c>
      <c r="Z1593" cm="1">
        <f t="array" ref="Z1593">IFERROR(IF(_xlfn._xlws.FILTER(game_rosters!$J:$J,(game_rosters!$G:$G=events!$AN1593)*(game_rosters!$J:$J=events!$X1593))&gt;0,1,""),"")</f>
        <v>1</v>
      </c>
      <c r="AA1593">
        <f t="shared" si="1453"/>
        <v>1858</v>
      </c>
      <c r="AB1593" t="str">
        <f t="shared" si="1454"/>
        <v/>
      </c>
      <c r="AC1593">
        <f t="shared" si="1402"/>
        <v>1858</v>
      </c>
      <c r="AD1593" s="6">
        <v>2</v>
      </c>
      <c r="AE1593" t="s">
        <v>943</v>
      </c>
      <c r="AF1593" t="s">
        <v>911</v>
      </c>
      <c r="AG1593" t="s">
        <v>756</v>
      </c>
      <c r="AH1593" t="s">
        <v>756</v>
      </c>
      <c r="AI1593" t="s">
        <v>367</v>
      </c>
      <c r="AJ1593" t="str">
        <f t="shared" ref="AJ1593:AK1593" si="1483">IF($J1593&lt;&gt;"",$J1593,IF($AC1593=$AC1592,AJ1592,""))</f>
        <v/>
      </c>
      <c r="AK1593" t="str">
        <f t="shared" si="1483"/>
        <v/>
      </c>
      <c r="AL1593" t="str">
        <f t="shared" si="1407"/>
        <v/>
      </c>
      <c r="AN1593" t="s">
        <v>861</v>
      </c>
      <c r="AO1593" t="str">
        <f t="shared" si="1408"/>
        <v>h</v>
      </c>
      <c r="AP1593" t="str">
        <f t="shared" si="1416"/>
        <v/>
      </c>
      <c r="AQ1593" t="str">
        <f t="shared" si="1417"/>
        <v/>
      </c>
      <c r="AR1593" t="str">
        <f t="shared" si="1418"/>
        <v>Home</v>
      </c>
      <c r="AS1593" t="str">
        <f t="shared" si="1419"/>
        <v>h</v>
      </c>
      <c r="AT1593" t="str">
        <f t="shared" si="1420"/>
        <v>Defensive</v>
      </c>
      <c r="BA1593" s="6">
        <f t="shared" si="1409"/>
        <v>370</v>
      </c>
      <c r="BB1593">
        <f t="shared" si="1410"/>
        <v>18981</v>
      </c>
      <c r="BC1593" t="str">
        <f t="shared" si="1411"/>
        <v>Nelson</v>
      </c>
      <c r="BD1593" t="str">
        <f t="shared" si="1412"/>
        <v>Velodrome</v>
      </c>
      <c r="BE1593" t="s">
        <v>9</v>
      </c>
      <c r="BF1593" t="s">
        <v>183</v>
      </c>
      <c r="BG1593" t="s">
        <v>79</v>
      </c>
      <c r="BI1593" cm="1">
        <f t="array" ref="BI1593">IFERROR(_xlfn._xlws.FILTER(shifts!A:A,(shifts!B:B=events!AD1593)*(shifts!AG:AG&gt;=events!BK1593)*(shifts!AH:AH&lt;=events!BL1593)),BI1592)</f>
        <v>70</v>
      </c>
      <c r="BJ1593" s="15">
        <f t="shared" si="1413"/>
        <v>0</v>
      </c>
      <c r="BK1593">
        <f t="shared" si="1421"/>
        <v>66</v>
      </c>
      <c r="BL1593">
        <f t="shared" si="1422"/>
        <v>66</v>
      </c>
      <c r="BM1593" s="15">
        <f>SUMIFS(BJ$2:BJ1593,K$2:K1593,"=Intermission")+SUMIFS(BJ$2:BJ1593,K$2:K1593,"=Timeout")</f>
        <v>72</v>
      </c>
      <c r="BN1593">
        <f t="shared" si="1423"/>
        <v>1152</v>
      </c>
      <c r="BO1593" s="19">
        <f t="shared" si="1424"/>
        <v>2166</v>
      </c>
      <c r="BP1593">
        <f t="shared" si="1425"/>
        <v>2161</v>
      </c>
      <c r="BQ1593" s="17">
        <f t="shared" si="1426"/>
        <v>2166</v>
      </c>
      <c r="BR1593" t="str">
        <f t="shared" si="1427"/>
        <v>event_team_player_1</v>
      </c>
      <c r="BS1593">
        <f>COUNTIFS(S$3:S1593,"="&amp;S1593,AI$3:AI1593,"="&amp;AI1593)</f>
        <v>1</v>
      </c>
      <c r="BT1593" t="str">
        <f>IFERROR(VLOOKUP(BB1593&amp;BU1593&amp;X1593,game_rosters!U:W,3,FALSE),"")</f>
        <v>P100061</v>
      </c>
      <c r="BU1593" t="str">
        <f t="shared" si="1428"/>
        <v>Nelson</v>
      </c>
    </row>
    <row r="1594" spans="1:73" x14ac:dyDescent="0.2">
      <c r="A1594">
        <f t="shared" si="1414"/>
        <v>1</v>
      </c>
      <c r="J1594" s="44" t="str">
        <f t="shared" si="1429"/>
        <v/>
      </c>
      <c r="K1594" t="s">
        <v>9</v>
      </c>
      <c r="L1594" t="s">
        <v>183</v>
      </c>
      <c r="M1594" t="s">
        <v>79</v>
      </c>
      <c r="S1594">
        <v>858</v>
      </c>
      <c r="W1594" t="str">
        <f t="shared" si="1405"/>
        <v>h</v>
      </c>
      <c r="X1594">
        <v>14</v>
      </c>
      <c r="Y1594" t="e">
        <f>IF(X1594&lt;&gt;"",VLOOKUP(X1594,game_rosters!$C$43:$E$64,3,FALSE))</f>
        <v>#N/A</v>
      </c>
      <c r="Z1594" t="str" cm="1">
        <f t="array" ref="Z1594">IFERROR(IF(_xlfn._xlws.FILTER(game_rosters!$J:$J,(game_rosters!$G:$G=events!$AN1594)*(game_rosters!$J:$J=events!$X1594))&gt;0,1,""),"")</f>
        <v/>
      </c>
      <c r="AA1594">
        <f t="shared" si="1453"/>
        <v>1858</v>
      </c>
      <c r="AB1594" t="str">
        <f t="shared" si="1454"/>
        <v/>
      </c>
      <c r="AC1594">
        <f t="shared" si="1402"/>
        <v>1858</v>
      </c>
      <c r="AD1594" s="6">
        <v>2</v>
      </c>
      <c r="AE1594" t="s">
        <v>943</v>
      </c>
      <c r="AF1594" t="s">
        <v>911</v>
      </c>
      <c r="AG1594" t="s">
        <v>756</v>
      </c>
      <c r="AH1594" t="s">
        <v>756</v>
      </c>
      <c r="AI1594" t="s">
        <v>368</v>
      </c>
      <c r="AJ1594" t="str">
        <f t="shared" ref="AJ1594:AK1594" si="1484">IF($J1594&lt;&gt;"",$J1594,IF($AC1594=$AC1593,AJ1593,""))</f>
        <v/>
      </c>
      <c r="AK1594" t="str">
        <f t="shared" si="1484"/>
        <v/>
      </c>
      <c r="AL1594" t="str">
        <f t="shared" si="1407"/>
        <v/>
      </c>
      <c r="AN1594" t="s">
        <v>861</v>
      </c>
      <c r="AO1594" t="str">
        <f t="shared" si="1408"/>
        <v>h</v>
      </c>
      <c r="AP1594" t="str">
        <f t="shared" si="1416"/>
        <v/>
      </c>
      <c r="AQ1594" t="str">
        <f t="shared" si="1417"/>
        <v/>
      </c>
      <c r="AR1594" t="str">
        <f t="shared" si="1418"/>
        <v>Home</v>
      </c>
      <c r="AS1594" t="str">
        <f t="shared" si="1419"/>
        <v>h</v>
      </c>
      <c r="AT1594" t="str">
        <f t="shared" si="1420"/>
        <v>Offensive</v>
      </c>
      <c r="BA1594" s="6">
        <f t="shared" si="1409"/>
        <v>370</v>
      </c>
      <c r="BB1594">
        <f t="shared" si="1410"/>
        <v>18981</v>
      </c>
      <c r="BC1594" t="str">
        <f t="shared" si="1411"/>
        <v>Nelson</v>
      </c>
      <c r="BD1594" t="str">
        <f t="shared" si="1412"/>
        <v>Velodrome</v>
      </c>
      <c r="BE1594" t="s">
        <v>9</v>
      </c>
      <c r="BF1594" t="s">
        <v>183</v>
      </c>
      <c r="BG1594" t="s">
        <v>79</v>
      </c>
      <c r="BI1594" cm="1">
        <f t="array" ref="BI1594">IFERROR(_xlfn._xlws.FILTER(shifts!A:A,(shifts!B:B=events!AD1594)*(shifts!AG:AG&gt;=events!BK1594)*(shifts!AH:AH&lt;=events!BL1594)),BI1593)</f>
        <v>70</v>
      </c>
      <c r="BJ1594" s="15">
        <f t="shared" si="1413"/>
        <v>0</v>
      </c>
      <c r="BK1594">
        <f t="shared" si="1421"/>
        <v>66</v>
      </c>
      <c r="BL1594">
        <f t="shared" si="1422"/>
        <v>66</v>
      </c>
      <c r="BM1594" s="15">
        <f>SUMIFS(BJ$2:BJ1594,K$2:K1594,"=Intermission")+SUMIFS(BJ$2:BJ1594,K$2:K1594,"=Timeout")</f>
        <v>72</v>
      </c>
      <c r="BN1594">
        <f t="shared" si="1423"/>
        <v>1152</v>
      </c>
      <c r="BO1594" s="19">
        <f t="shared" si="1424"/>
        <v>2166</v>
      </c>
      <c r="BP1594">
        <f t="shared" si="1425"/>
        <v>2161</v>
      </c>
      <c r="BQ1594" s="17">
        <f t="shared" si="1426"/>
        <v>2166</v>
      </c>
      <c r="BR1594" t="str">
        <f t="shared" si="1427"/>
        <v>opp_team_player_1</v>
      </c>
      <c r="BS1594">
        <f>COUNTIFS(S$3:S1594,"="&amp;S1594,AI$3:AI1594,"="&amp;AI1594)</f>
        <v>1</v>
      </c>
      <c r="BT1594" t="str">
        <f>IFERROR(VLOOKUP(BB1594&amp;BU1594&amp;X1594,game_rosters!U:W,3,FALSE),"")</f>
        <v>P100132</v>
      </c>
      <c r="BU1594" t="str">
        <f t="shared" si="1428"/>
        <v>Velodrome</v>
      </c>
    </row>
    <row r="1595" spans="1:73" x14ac:dyDescent="0.2">
      <c r="A1595">
        <f t="shared" si="1414"/>
        <v>1</v>
      </c>
      <c r="J1595" s="44" t="str">
        <f t="shared" si="1429"/>
        <v>d</v>
      </c>
      <c r="K1595" t="s">
        <v>238</v>
      </c>
      <c r="L1595" t="s">
        <v>184</v>
      </c>
      <c r="M1595" t="s">
        <v>90</v>
      </c>
      <c r="S1595">
        <v>859</v>
      </c>
      <c r="W1595" t="str">
        <f t="shared" si="1405"/>
        <v>h</v>
      </c>
      <c r="X1595">
        <v>7</v>
      </c>
      <c r="Y1595" t="b">
        <f>IF(X1595&lt;&gt;"",VLOOKUP(X1595,game_rosters!$C$43:$E$64,3,FALSE))</f>
        <v>0</v>
      </c>
      <c r="Z1595" cm="1">
        <f t="array" ref="Z1595">IFERROR(IF(_xlfn._xlws.FILTER(game_rosters!$J:$J,(game_rosters!$G:$G=events!$AN1595)*(game_rosters!$J:$J=events!$X1595))&gt;0,1,""),"")</f>
        <v>1</v>
      </c>
      <c r="AA1595">
        <f t="shared" si="1453"/>
        <v>1859</v>
      </c>
      <c r="AB1595" t="str">
        <f t="shared" si="1454"/>
        <v/>
      </c>
      <c r="AC1595">
        <f t="shared" si="1402"/>
        <v>1859</v>
      </c>
      <c r="AD1595" s="6">
        <v>2</v>
      </c>
      <c r="AE1595" t="s">
        <v>943</v>
      </c>
      <c r="AF1595" t="s">
        <v>911</v>
      </c>
      <c r="AG1595" t="s">
        <v>756</v>
      </c>
      <c r="AH1595" t="s">
        <v>756</v>
      </c>
      <c r="AI1595" t="s">
        <v>367</v>
      </c>
      <c r="AJ1595" t="str">
        <f t="shared" ref="AJ1595:AK1595" si="1485">IF($J1595&lt;&gt;"",$J1595,IF($AC1595=$AC1594,AJ1594,""))</f>
        <v>d</v>
      </c>
      <c r="AK1595" t="str">
        <f t="shared" si="1485"/>
        <v>d</v>
      </c>
      <c r="AL1595" t="str">
        <f t="shared" si="1407"/>
        <v>d</v>
      </c>
      <c r="AN1595" t="s">
        <v>861</v>
      </c>
      <c r="AO1595" t="str">
        <f t="shared" si="1408"/>
        <v>h</v>
      </c>
      <c r="AP1595" t="str">
        <f t="shared" si="1416"/>
        <v>d</v>
      </c>
      <c r="AQ1595" t="str">
        <f t="shared" si="1417"/>
        <v/>
      </c>
      <c r="AR1595" t="str">
        <f t="shared" si="1418"/>
        <v>Home</v>
      </c>
      <c r="AS1595" t="str">
        <f t="shared" si="1419"/>
        <v>h</v>
      </c>
      <c r="AT1595" t="str">
        <f t="shared" si="1420"/>
        <v>Offensive</v>
      </c>
      <c r="BA1595" s="6">
        <f t="shared" si="1409"/>
        <v>371</v>
      </c>
      <c r="BB1595">
        <f t="shared" si="1410"/>
        <v>18981</v>
      </c>
      <c r="BC1595" t="str">
        <f t="shared" si="1411"/>
        <v>Nelson</v>
      </c>
      <c r="BD1595" t="str">
        <f t="shared" si="1412"/>
        <v>Velodrome</v>
      </c>
      <c r="BE1595" t="s">
        <v>238</v>
      </c>
      <c r="BF1595" t="s">
        <v>184</v>
      </c>
      <c r="BG1595" t="s">
        <v>90</v>
      </c>
      <c r="BI1595" cm="1">
        <f t="array" ref="BI1595">IFERROR(_xlfn._xlws.FILTER(shifts!A:A,(shifts!B:B=events!AD1595)*(shifts!AG:AG&gt;=events!BK1595)*(shifts!AH:AH&lt;=events!BL1595)),BI1594)</f>
        <v>70</v>
      </c>
      <c r="BJ1595" s="15">
        <f t="shared" si="1413"/>
        <v>0</v>
      </c>
      <c r="BK1595">
        <f t="shared" si="1421"/>
        <v>66</v>
      </c>
      <c r="BL1595">
        <f t="shared" si="1422"/>
        <v>66</v>
      </c>
      <c r="BM1595" s="15">
        <f>SUMIFS(BJ$2:BJ1595,K$2:K1595,"=Intermission")+SUMIFS(BJ$2:BJ1595,K$2:K1595,"=Timeout")</f>
        <v>72</v>
      </c>
      <c r="BN1595">
        <f t="shared" si="1423"/>
        <v>1152</v>
      </c>
      <c r="BO1595" s="19">
        <f t="shared" si="1424"/>
        <v>2166</v>
      </c>
      <c r="BP1595">
        <f t="shared" si="1425"/>
        <v>2161</v>
      </c>
      <c r="BQ1595" s="17">
        <f t="shared" si="1426"/>
        <v>2166</v>
      </c>
      <c r="BR1595" t="str">
        <f t="shared" si="1427"/>
        <v>event_team_player_1</v>
      </c>
      <c r="BS1595">
        <f>COUNTIFS(S$3:S1595,"="&amp;S1595,AI$3:AI1595,"="&amp;AI1595)</f>
        <v>1</v>
      </c>
      <c r="BT1595" t="str">
        <f>IFERROR(VLOOKUP(BB1595&amp;BU1595&amp;X1595,game_rosters!U:W,3,FALSE),"")</f>
        <v>P100072</v>
      </c>
      <c r="BU1595" t="str">
        <f t="shared" si="1428"/>
        <v>Nelson</v>
      </c>
    </row>
    <row r="1596" spans="1:73" x14ac:dyDescent="0.2">
      <c r="A1596">
        <f t="shared" si="1414"/>
        <v>1</v>
      </c>
      <c r="J1596" s="44" t="str">
        <f t="shared" si="1429"/>
        <v>o</v>
      </c>
      <c r="K1596" t="s">
        <v>238</v>
      </c>
      <c r="L1596" t="s">
        <v>174</v>
      </c>
      <c r="M1596" t="s">
        <v>375</v>
      </c>
      <c r="S1596">
        <v>860</v>
      </c>
      <c r="W1596" t="str">
        <f t="shared" si="1405"/>
        <v>h</v>
      </c>
      <c r="X1596">
        <v>7</v>
      </c>
      <c r="Y1596" t="b">
        <f>IF(X1596&lt;&gt;"",VLOOKUP(X1596,game_rosters!$C$43:$E$64,3,FALSE))</f>
        <v>0</v>
      </c>
      <c r="Z1596" cm="1">
        <f t="array" ref="Z1596">IFERROR(IF(_xlfn._xlws.FILTER(game_rosters!$J:$J,(game_rosters!$G:$G=events!$AN1596)*(game_rosters!$J:$J=events!$X1596))&gt;0,1,""),"")</f>
        <v>1</v>
      </c>
      <c r="AA1596">
        <f t="shared" si="1453"/>
        <v>1860</v>
      </c>
      <c r="AB1596" t="str">
        <f t="shared" si="1454"/>
        <v/>
      </c>
      <c r="AC1596">
        <f t="shared" si="1402"/>
        <v>1860</v>
      </c>
      <c r="AD1596" s="6">
        <v>2</v>
      </c>
      <c r="AE1596" t="s">
        <v>943</v>
      </c>
      <c r="AF1596" t="s">
        <v>925</v>
      </c>
      <c r="AG1596" t="s">
        <v>756</v>
      </c>
      <c r="AH1596" t="s">
        <v>756</v>
      </c>
      <c r="AI1596" t="s">
        <v>367</v>
      </c>
      <c r="AJ1596" t="str">
        <f t="shared" ref="AJ1596:AK1596" si="1486">IF($J1596&lt;&gt;"",$J1596,IF($AC1596=$AC1595,AJ1595,""))</f>
        <v>o</v>
      </c>
      <c r="AK1596" t="str">
        <f t="shared" si="1486"/>
        <v>o</v>
      </c>
      <c r="AL1596" t="str">
        <f t="shared" si="1407"/>
        <v>o</v>
      </c>
      <c r="AN1596" t="s">
        <v>861</v>
      </c>
      <c r="AO1596" t="str">
        <f t="shared" si="1408"/>
        <v>h</v>
      </c>
      <c r="AP1596" t="str">
        <f t="shared" si="1416"/>
        <v>o</v>
      </c>
      <c r="AQ1596" t="str">
        <f t="shared" si="1417"/>
        <v/>
      </c>
      <c r="AR1596" t="str">
        <f t="shared" si="1418"/>
        <v>Home</v>
      </c>
      <c r="AS1596" t="str">
        <f t="shared" si="1419"/>
        <v>h</v>
      </c>
      <c r="AT1596" t="str">
        <f t="shared" si="1420"/>
        <v>Offensive</v>
      </c>
      <c r="BA1596" s="6">
        <f t="shared" si="1409"/>
        <v>372</v>
      </c>
      <c r="BB1596">
        <f t="shared" si="1410"/>
        <v>18981</v>
      </c>
      <c r="BC1596" t="str">
        <f t="shared" si="1411"/>
        <v>Nelson</v>
      </c>
      <c r="BD1596" t="str">
        <f t="shared" si="1412"/>
        <v>Velodrome</v>
      </c>
      <c r="BE1596" t="s">
        <v>238</v>
      </c>
      <c r="BF1596" t="s">
        <v>174</v>
      </c>
      <c r="BG1596" t="s">
        <v>375</v>
      </c>
      <c r="BI1596" cm="1">
        <f t="array" ref="BI1596">IFERROR(_xlfn._xlws.FILTER(shifts!A:A,(shifts!B:B=events!AD1596)*(shifts!AG:AG&gt;=events!BK1596)*(shifts!AH:AH&lt;=events!BL1596)),BI1595)</f>
        <v>70</v>
      </c>
      <c r="BJ1596" s="15">
        <f t="shared" si="1413"/>
        <v>0</v>
      </c>
      <c r="BK1596">
        <f t="shared" si="1421"/>
        <v>63</v>
      </c>
      <c r="BL1596">
        <f t="shared" si="1422"/>
        <v>63</v>
      </c>
      <c r="BM1596" s="15">
        <f>SUMIFS(BJ$2:BJ1596,K$2:K1596,"=Intermission")+SUMIFS(BJ$2:BJ1596,K$2:K1596,"=Timeout")</f>
        <v>72</v>
      </c>
      <c r="BN1596">
        <f t="shared" si="1423"/>
        <v>1152</v>
      </c>
      <c r="BO1596" s="19">
        <f t="shared" si="1424"/>
        <v>2169</v>
      </c>
      <c r="BP1596">
        <f t="shared" si="1425"/>
        <v>2164</v>
      </c>
      <c r="BQ1596" s="17">
        <f t="shared" si="1426"/>
        <v>2169</v>
      </c>
      <c r="BR1596" t="str">
        <f t="shared" si="1427"/>
        <v>event_team_player_1</v>
      </c>
      <c r="BS1596">
        <f>COUNTIFS(S$3:S1596,"="&amp;S1596,AI$3:AI1596,"="&amp;AI1596)</f>
        <v>1</v>
      </c>
      <c r="BT1596" t="str">
        <f>IFERROR(VLOOKUP(BB1596&amp;BU1596&amp;X1596,game_rosters!U:W,3,FALSE),"")</f>
        <v>P100072</v>
      </c>
      <c r="BU1596" t="str">
        <f t="shared" si="1428"/>
        <v>Nelson</v>
      </c>
    </row>
    <row r="1597" spans="1:73" x14ac:dyDescent="0.2">
      <c r="A1597">
        <f t="shared" si="1414"/>
        <v>1</v>
      </c>
      <c r="J1597" s="44" t="str">
        <f t="shared" si="1429"/>
        <v/>
      </c>
      <c r="K1597" t="s">
        <v>9</v>
      </c>
      <c r="L1597" t="s">
        <v>173</v>
      </c>
      <c r="M1597" t="s">
        <v>354</v>
      </c>
      <c r="S1597">
        <v>861</v>
      </c>
      <c r="W1597" t="str">
        <f t="shared" si="1405"/>
        <v>h</v>
      </c>
      <c r="X1597">
        <v>7</v>
      </c>
      <c r="Y1597" t="b">
        <f>IF(X1597&lt;&gt;"",VLOOKUP(X1597,game_rosters!$C$43:$E$64,3,FALSE))</f>
        <v>0</v>
      </c>
      <c r="Z1597" cm="1">
        <f t="array" ref="Z1597">IFERROR(IF(_xlfn._xlws.FILTER(game_rosters!$J:$J,(game_rosters!$G:$G=events!$AN1597)*(game_rosters!$J:$J=events!$X1597))&gt;0,1,""),"")</f>
        <v>1</v>
      </c>
      <c r="AA1597">
        <f t="shared" si="1453"/>
        <v>1861</v>
      </c>
      <c r="AB1597" t="str">
        <f t="shared" si="1454"/>
        <v/>
      </c>
      <c r="AC1597">
        <f t="shared" si="1402"/>
        <v>1861</v>
      </c>
      <c r="AD1597" s="6">
        <v>2</v>
      </c>
      <c r="AE1597" t="s">
        <v>943</v>
      </c>
      <c r="AF1597" t="s">
        <v>925</v>
      </c>
      <c r="AG1597" t="s">
        <v>756</v>
      </c>
      <c r="AH1597" t="s">
        <v>756</v>
      </c>
      <c r="AI1597" t="s">
        <v>367</v>
      </c>
      <c r="AJ1597" t="str">
        <f t="shared" ref="AJ1597:AK1597" si="1487">IF($J1597&lt;&gt;"",$J1597,IF($AC1597=$AC1596,AJ1596,""))</f>
        <v/>
      </c>
      <c r="AK1597" t="str">
        <f t="shared" si="1487"/>
        <v/>
      </c>
      <c r="AL1597" t="str">
        <f t="shared" si="1407"/>
        <v/>
      </c>
      <c r="AN1597" t="s">
        <v>861</v>
      </c>
      <c r="AO1597" t="str">
        <f t="shared" si="1408"/>
        <v>h</v>
      </c>
      <c r="AP1597" t="str">
        <f t="shared" si="1416"/>
        <v/>
      </c>
      <c r="AQ1597" t="str">
        <f t="shared" si="1417"/>
        <v/>
      </c>
      <c r="AR1597" t="str">
        <f t="shared" si="1418"/>
        <v>Home</v>
      </c>
      <c r="AS1597" t="str">
        <f t="shared" si="1419"/>
        <v>h</v>
      </c>
      <c r="AT1597" t="str">
        <f t="shared" si="1420"/>
        <v>Offensive</v>
      </c>
      <c r="BA1597" s="6">
        <f t="shared" si="1409"/>
        <v>372</v>
      </c>
      <c r="BB1597">
        <f t="shared" si="1410"/>
        <v>18981</v>
      </c>
      <c r="BC1597" t="str">
        <f t="shared" si="1411"/>
        <v>Nelson</v>
      </c>
      <c r="BD1597" t="str">
        <f t="shared" si="1412"/>
        <v>Velodrome</v>
      </c>
      <c r="BE1597" t="s">
        <v>9</v>
      </c>
      <c r="BF1597" t="s">
        <v>173</v>
      </c>
      <c r="BG1597" t="s">
        <v>354</v>
      </c>
      <c r="BI1597" cm="1">
        <f t="array" ref="BI1597">IFERROR(_xlfn._xlws.FILTER(shifts!A:A,(shifts!B:B=events!AD1597)*(shifts!AG:AG&gt;=events!BK1597)*(shifts!AH:AH&lt;=events!BL1597)),BI1596)</f>
        <v>70</v>
      </c>
      <c r="BJ1597" s="15">
        <f t="shared" si="1413"/>
        <v>0</v>
      </c>
      <c r="BK1597">
        <f t="shared" si="1421"/>
        <v>63</v>
      </c>
      <c r="BL1597">
        <f t="shared" si="1422"/>
        <v>63</v>
      </c>
      <c r="BM1597" s="15">
        <f>SUMIFS(BJ$2:BJ1597,K$2:K1597,"=Intermission")+SUMIFS(BJ$2:BJ1597,K$2:K1597,"=Timeout")</f>
        <v>72</v>
      </c>
      <c r="BN1597">
        <f t="shared" si="1423"/>
        <v>1152</v>
      </c>
      <c r="BO1597" s="19">
        <f t="shared" si="1424"/>
        <v>2169</v>
      </c>
      <c r="BP1597">
        <f t="shared" si="1425"/>
        <v>2164</v>
      </c>
      <c r="BQ1597" s="17">
        <f t="shared" si="1426"/>
        <v>2169</v>
      </c>
      <c r="BR1597" t="str">
        <f t="shared" si="1427"/>
        <v>event_team_player_1</v>
      </c>
      <c r="BS1597">
        <f>COUNTIFS(S$3:S1597,"="&amp;S1597,AI$3:AI1597,"="&amp;AI1597)</f>
        <v>1</v>
      </c>
      <c r="BT1597" t="str">
        <f>IFERROR(VLOOKUP(BB1597&amp;BU1597&amp;X1597,game_rosters!U:W,3,FALSE),"")</f>
        <v>P100072</v>
      </c>
      <c r="BU1597" t="str">
        <f t="shared" si="1428"/>
        <v>Nelson</v>
      </c>
    </row>
    <row r="1598" spans="1:73" x14ac:dyDescent="0.2">
      <c r="A1598">
        <f t="shared" si="1414"/>
        <v>1</v>
      </c>
      <c r="J1598" s="44" t="str">
        <f t="shared" si="1429"/>
        <v/>
      </c>
      <c r="K1598" t="s">
        <v>13</v>
      </c>
      <c r="L1598" t="s">
        <v>756</v>
      </c>
      <c r="M1598" t="s">
        <v>756</v>
      </c>
      <c r="S1598">
        <v>862</v>
      </c>
      <c r="W1598" t="str">
        <f t="shared" si="1405"/>
        <v>a</v>
      </c>
      <c r="X1598">
        <v>93</v>
      </c>
      <c r="Y1598" t="e">
        <f>IF(X1598&lt;&gt;"",VLOOKUP(X1598,game_rosters!$C$43:$E$64,3,FALSE))</f>
        <v>#N/A</v>
      </c>
      <c r="Z1598" cm="1">
        <f t="array" ref="Z1598">IFERROR(IF(_xlfn._xlws.FILTER(game_rosters!$J:$J,(game_rosters!$G:$G=events!$AN1598)*(game_rosters!$J:$J=events!$X1598))&gt;0,1,""),"")</f>
        <v>1</v>
      </c>
      <c r="AA1598">
        <f t="shared" si="1453"/>
        <v>1862</v>
      </c>
      <c r="AB1598" t="str">
        <f t="shared" si="1454"/>
        <v/>
      </c>
      <c r="AC1598">
        <f t="shared" si="1402"/>
        <v>1862</v>
      </c>
      <c r="AD1598" s="6">
        <v>2</v>
      </c>
      <c r="AE1598" t="s">
        <v>943</v>
      </c>
      <c r="AF1598" t="s">
        <v>748</v>
      </c>
      <c r="AG1598" t="s">
        <v>742</v>
      </c>
      <c r="AH1598" t="s">
        <v>896</v>
      </c>
      <c r="AI1598" t="s">
        <v>367</v>
      </c>
      <c r="AJ1598" t="str">
        <f t="shared" ref="AJ1598:AK1598" si="1488">IF($J1598&lt;&gt;"",$J1598,IF($AC1598=$AC1597,AJ1597,""))</f>
        <v/>
      </c>
      <c r="AK1598" t="str">
        <f t="shared" si="1488"/>
        <v/>
      </c>
      <c r="AL1598" t="str">
        <f t="shared" si="1407"/>
        <v/>
      </c>
      <c r="AN1598" t="s">
        <v>862</v>
      </c>
      <c r="AO1598" t="str">
        <f t="shared" si="1408"/>
        <v>a</v>
      </c>
      <c r="AP1598" t="str">
        <f t="shared" si="1416"/>
        <v/>
      </c>
      <c r="AQ1598" t="str">
        <f t="shared" si="1417"/>
        <v/>
      </c>
      <c r="AR1598" t="str">
        <f t="shared" si="1418"/>
        <v>Away</v>
      </c>
      <c r="AS1598" t="str">
        <f t="shared" si="1419"/>
        <v>a</v>
      </c>
      <c r="AT1598" t="str">
        <f t="shared" si="1420"/>
        <v>Offensive</v>
      </c>
      <c r="BA1598" s="6">
        <f t="shared" si="1409"/>
        <v>372</v>
      </c>
      <c r="BB1598">
        <f t="shared" si="1410"/>
        <v>18981</v>
      </c>
      <c r="BC1598" t="str">
        <f t="shared" si="1411"/>
        <v>Nelson</v>
      </c>
      <c r="BD1598" t="str">
        <f t="shared" si="1412"/>
        <v>Velodrome</v>
      </c>
      <c r="BE1598" t="s">
        <v>13</v>
      </c>
      <c r="BF1598" t="s">
        <v>756</v>
      </c>
      <c r="BG1598" t="s">
        <v>756</v>
      </c>
      <c r="BI1598" cm="1">
        <f t="array" ref="BI1598">IFERROR(_xlfn._xlws.FILTER(shifts!A:A,(shifts!B:B=events!AD1598)*(shifts!AG:AG&gt;=events!BK1598)*(shifts!AH:AH&lt;=events!BL1598)),BI1597)</f>
        <v>70</v>
      </c>
      <c r="BJ1598" s="15">
        <f t="shared" si="1413"/>
        <v>2</v>
      </c>
      <c r="BK1598">
        <f t="shared" si="1421"/>
        <v>61</v>
      </c>
      <c r="BL1598">
        <f t="shared" si="1422"/>
        <v>59</v>
      </c>
      <c r="BM1598" s="15">
        <f>SUMIFS(BJ$2:BJ1598,K$2:K1598,"=Intermission")+SUMIFS(BJ$2:BJ1598,K$2:K1598,"=Timeout")</f>
        <v>72</v>
      </c>
      <c r="BN1598">
        <f t="shared" si="1423"/>
        <v>1152</v>
      </c>
      <c r="BO1598" s="19">
        <f t="shared" si="1424"/>
        <v>2171</v>
      </c>
      <c r="BP1598">
        <f t="shared" si="1425"/>
        <v>2166</v>
      </c>
      <c r="BQ1598" s="17">
        <f t="shared" si="1426"/>
        <v>2173</v>
      </c>
      <c r="BR1598" t="str">
        <f t="shared" si="1427"/>
        <v>event_team_player_1</v>
      </c>
      <c r="BS1598">
        <f>COUNTIFS(S$3:S1598,"="&amp;S1598,AI$3:AI1598,"="&amp;AI1598)</f>
        <v>1</v>
      </c>
      <c r="BT1598" t="str">
        <f>IFERROR(VLOOKUP(BB1598&amp;BU1598&amp;X1598,game_rosters!U:W,3,FALSE),"")</f>
        <v>P100093</v>
      </c>
      <c r="BU1598" t="str">
        <f t="shared" si="1428"/>
        <v>Velodrome</v>
      </c>
    </row>
    <row r="1599" spans="1:73" x14ac:dyDescent="0.2">
      <c r="A1599">
        <f t="shared" si="1414"/>
        <v>1</v>
      </c>
      <c r="J1599" s="44" t="str">
        <f t="shared" si="1429"/>
        <v/>
      </c>
      <c r="K1599" t="s">
        <v>7</v>
      </c>
      <c r="L1599" t="s">
        <v>182</v>
      </c>
      <c r="M1599" t="s">
        <v>65</v>
      </c>
      <c r="S1599">
        <v>863</v>
      </c>
      <c r="W1599" t="str">
        <f t="shared" si="1405"/>
        <v>a</v>
      </c>
      <c r="X1599">
        <v>93</v>
      </c>
      <c r="Y1599" t="e">
        <f>IF(X1599&lt;&gt;"",VLOOKUP(X1599,game_rosters!$C$43:$E$64,3,FALSE))</f>
        <v>#N/A</v>
      </c>
      <c r="Z1599" cm="1">
        <f t="array" ref="Z1599">IFERROR(IF(_xlfn._xlws.FILTER(game_rosters!$J:$J,(game_rosters!$G:$G=events!$AN1599)*(game_rosters!$J:$J=events!$X1599))&gt;0,1,""),"")</f>
        <v>1</v>
      </c>
      <c r="AA1599">
        <f t="shared" si="1453"/>
        <v>1863</v>
      </c>
      <c r="AB1599" t="str">
        <f t="shared" si="1454"/>
        <v/>
      </c>
      <c r="AC1599">
        <f t="shared" si="1402"/>
        <v>1863</v>
      </c>
      <c r="AD1599" s="6">
        <v>2</v>
      </c>
      <c r="AE1599" t="s">
        <v>742</v>
      </c>
      <c r="AF1599" t="s">
        <v>896</v>
      </c>
      <c r="AG1599" t="s">
        <v>756</v>
      </c>
      <c r="AH1599" t="s">
        <v>756</v>
      </c>
      <c r="AI1599" t="s">
        <v>367</v>
      </c>
      <c r="AJ1599" t="str">
        <f t="shared" ref="AJ1599:AK1599" si="1489">IF($J1599&lt;&gt;"",$J1599,IF($AC1599=$AC1598,AJ1598,""))</f>
        <v/>
      </c>
      <c r="AK1599" t="str">
        <f t="shared" si="1489"/>
        <v/>
      </c>
      <c r="AL1599" t="str">
        <f t="shared" si="1407"/>
        <v/>
      </c>
      <c r="AN1599" t="s">
        <v>862</v>
      </c>
      <c r="AO1599" t="str">
        <f t="shared" si="1408"/>
        <v>a</v>
      </c>
      <c r="AP1599" t="str">
        <f t="shared" si="1416"/>
        <v/>
      </c>
      <c r="AQ1599" t="str">
        <f t="shared" si="1417"/>
        <v/>
      </c>
      <c r="AR1599" t="str">
        <f t="shared" si="1418"/>
        <v>Away</v>
      </c>
      <c r="AS1599" t="str">
        <f t="shared" si="1419"/>
        <v>a</v>
      </c>
      <c r="AT1599" t="str">
        <f t="shared" si="1420"/>
        <v>Offensive</v>
      </c>
      <c r="BA1599" s="6">
        <f t="shared" si="1409"/>
        <v>372</v>
      </c>
      <c r="BB1599">
        <f t="shared" si="1410"/>
        <v>18981</v>
      </c>
      <c r="BC1599" t="str">
        <f t="shared" si="1411"/>
        <v>Nelson</v>
      </c>
      <c r="BD1599" t="str">
        <f t="shared" si="1412"/>
        <v>Velodrome</v>
      </c>
      <c r="BE1599" t="s">
        <v>7</v>
      </c>
      <c r="BF1599" t="s">
        <v>182</v>
      </c>
      <c r="BG1599" t="s">
        <v>65</v>
      </c>
      <c r="BI1599">
        <v>70</v>
      </c>
      <c r="BJ1599" s="15">
        <f t="shared" si="1413"/>
        <v>0</v>
      </c>
      <c r="BK1599">
        <f t="shared" si="1421"/>
        <v>59</v>
      </c>
      <c r="BL1599">
        <f t="shared" si="1422"/>
        <v>59</v>
      </c>
      <c r="BM1599" s="15">
        <f>SUMIFS(BJ$2:BJ1599,K$2:K1599,"=Intermission")+SUMIFS(BJ$2:BJ1599,K$2:K1599,"=Timeout")</f>
        <v>72</v>
      </c>
      <c r="BN1599">
        <f t="shared" si="1423"/>
        <v>1152</v>
      </c>
      <c r="BO1599" s="19">
        <f t="shared" si="1424"/>
        <v>2173</v>
      </c>
      <c r="BP1599">
        <f t="shared" si="1425"/>
        <v>2168</v>
      </c>
      <c r="BQ1599" s="17">
        <f t="shared" si="1426"/>
        <v>2173</v>
      </c>
      <c r="BR1599" t="str">
        <f t="shared" si="1427"/>
        <v>event_team_player_1</v>
      </c>
      <c r="BS1599">
        <f>COUNTIFS(S$3:S1599,"="&amp;S1599,AI$3:AI1599,"="&amp;AI1599)</f>
        <v>1</v>
      </c>
      <c r="BT1599" t="str">
        <f>IFERROR(VLOOKUP(BB1599&amp;BU1599&amp;X1599,game_rosters!U:W,3,FALSE),"")</f>
        <v>P100093</v>
      </c>
      <c r="BU1599" t="str">
        <f t="shared" si="1428"/>
        <v>Velodrome</v>
      </c>
    </row>
    <row r="1600" spans="1:73" x14ac:dyDescent="0.2">
      <c r="A1600">
        <f t="shared" si="1414"/>
        <v>1</v>
      </c>
      <c r="J1600" s="44" t="str">
        <f t="shared" si="1429"/>
        <v/>
      </c>
      <c r="K1600" t="s">
        <v>7</v>
      </c>
      <c r="L1600" t="s">
        <v>182</v>
      </c>
      <c r="M1600" t="s">
        <v>65</v>
      </c>
      <c r="S1600">
        <v>863</v>
      </c>
      <c r="W1600" t="str">
        <f t="shared" si="1405"/>
        <v>a</v>
      </c>
      <c r="X1600">
        <v>49</v>
      </c>
      <c r="Y1600" t="e">
        <f>IF(X1600&lt;&gt;"",VLOOKUP(X1600,game_rosters!$C$43:$E$64,3,FALSE))</f>
        <v>#N/A</v>
      </c>
      <c r="Z1600" cm="1">
        <f t="array" ref="Z1600">IFERROR(IF(_xlfn._xlws.FILTER(game_rosters!$J:$J,(game_rosters!$G:$G=events!$AN1600)*(game_rosters!$J:$J=events!$X1600))&gt;0,1,""),"")</f>
        <v>1</v>
      </c>
      <c r="AA1600">
        <f t="shared" si="1453"/>
        <v>1863</v>
      </c>
      <c r="AB1600" t="str">
        <f t="shared" si="1454"/>
        <v/>
      </c>
      <c r="AC1600">
        <f t="shared" si="1402"/>
        <v>1863</v>
      </c>
      <c r="AD1600" s="6">
        <v>2</v>
      </c>
      <c r="AE1600" t="s">
        <v>742</v>
      </c>
      <c r="AF1600" t="s">
        <v>896</v>
      </c>
      <c r="AG1600" t="s">
        <v>756</v>
      </c>
      <c r="AH1600" t="s">
        <v>756</v>
      </c>
      <c r="AI1600" t="s">
        <v>367</v>
      </c>
      <c r="AJ1600" t="str">
        <f t="shared" ref="AJ1600:AK1600" si="1490">IF($J1600&lt;&gt;"",$J1600,IF($AC1600=$AC1599,AJ1599,""))</f>
        <v/>
      </c>
      <c r="AK1600" t="str">
        <f t="shared" si="1490"/>
        <v/>
      </c>
      <c r="AL1600" t="str">
        <f t="shared" si="1407"/>
        <v/>
      </c>
      <c r="AN1600" t="s">
        <v>862</v>
      </c>
      <c r="AO1600" t="str">
        <f t="shared" si="1408"/>
        <v>a</v>
      </c>
      <c r="AP1600" t="str">
        <f t="shared" si="1416"/>
        <v/>
      </c>
      <c r="AQ1600" t="str">
        <f t="shared" si="1417"/>
        <v/>
      </c>
      <c r="AR1600" t="str">
        <f t="shared" si="1418"/>
        <v>Away</v>
      </c>
      <c r="AS1600" t="str">
        <f t="shared" si="1419"/>
        <v>a</v>
      </c>
      <c r="AT1600" t="str">
        <f t="shared" si="1420"/>
        <v>Offensive</v>
      </c>
      <c r="BA1600" s="6">
        <f t="shared" si="1409"/>
        <v>372</v>
      </c>
      <c r="BB1600">
        <f t="shared" si="1410"/>
        <v>18981</v>
      </c>
      <c r="BC1600" t="str">
        <f t="shared" si="1411"/>
        <v>Nelson</v>
      </c>
      <c r="BD1600" t="str">
        <f t="shared" si="1412"/>
        <v>Velodrome</v>
      </c>
      <c r="BE1600" t="s">
        <v>7</v>
      </c>
      <c r="BF1600" t="s">
        <v>182</v>
      </c>
      <c r="BG1600" t="s">
        <v>65</v>
      </c>
      <c r="BI1600">
        <v>70</v>
      </c>
      <c r="BJ1600" s="15">
        <f t="shared" si="1413"/>
        <v>0</v>
      </c>
      <c r="BK1600">
        <f t="shared" si="1421"/>
        <v>59</v>
      </c>
      <c r="BL1600">
        <f t="shared" si="1422"/>
        <v>59</v>
      </c>
      <c r="BM1600" s="15">
        <f>SUMIFS(BJ$2:BJ1600,K$2:K1600,"=Intermission")+SUMIFS(BJ$2:BJ1600,K$2:K1600,"=Timeout")</f>
        <v>72</v>
      </c>
      <c r="BN1600">
        <f t="shared" si="1423"/>
        <v>1152</v>
      </c>
      <c r="BO1600" s="19">
        <f t="shared" si="1424"/>
        <v>2173</v>
      </c>
      <c r="BP1600">
        <f t="shared" si="1425"/>
        <v>2168</v>
      </c>
      <c r="BQ1600" s="17">
        <f t="shared" si="1426"/>
        <v>2173</v>
      </c>
      <c r="BR1600" t="str">
        <f t="shared" si="1427"/>
        <v>event_team_player_2</v>
      </c>
      <c r="BS1600">
        <f>COUNTIFS(S$3:S1600,"="&amp;S1600,AI$3:AI1600,"="&amp;AI1600)</f>
        <v>2</v>
      </c>
      <c r="BT1600" t="str">
        <f>IFERROR(VLOOKUP(BB1600&amp;BU1600&amp;X1600,game_rosters!U:W,3,FALSE),"")</f>
        <v>P100161</v>
      </c>
      <c r="BU1600" t="str">
        <f t="shared" si="1428"/>
        <v>Velodrome</v>
      </c>
    </row>
    <row r="1601" spans="1:73" x14ac:dyDescent="0.2">
      <c r="A1601">
        <f t="shared" si="1414"/>
        <v>1</v>
      </c>
      <c r="J1601" s="44" t="str">
        <f t="shared" si="1429"/>
        <v>d</v>
      </c>
      <c r="K1601" t="s">
        <v>238</v>
      </c>
      <c r="L1601" t="s">
        <v>184</v>
      </c>
      <c r="M1601" t="s">
        <v>376</v>
      </c>
      <c r="S1601">
        <v>864</v>
      </c>
      <c r="W1601" t="str">
        <f t="shared" si="1405"/>
        <v>a</v>
      </c>
      <c r="X1601">
        <v>93</v>
      </c>
      <c r="Y1601" t="e">
        <f>IF(X1601&lt;&gt;"",VLOOKUP(X1601,game_rosters!$C$43:$E$64,3,FALSE))</f>
        <v>#N/A</v>
      </c>
      <c r="Z1601" cm="1">
        <f t="array" ref="Z1601">IFERROR(IF(_xlfn._xlws.FILTER(game_rosters!$J:$J,(game_rosters!$G:$G=events!$AN1601)*(game_rosters!$J:$J=events!$X1601))&gt;0,1,""),"")</f>
        <v>1</v>
      </c>
      <c r="AA1601">
        <f t="shared" si="1453"/>
        <v>1864</v>
      </c>
      <c r="AB1601" t="str">
        <f t="shared" si="1454"/>
        <v/>
      </c>
      <c r="AC1601">
        <f t="shared" si="1402"/>
        <v>1864</v>
      </c>
      <c r="AD1601" s="6">
        <v>2</v>
      </c>
      <c r="AE1601" t="s">
        <v>742</v>
      </c>
      <c r="AF1601" t="s">
        <v>896</v>
      </c>
      <c r="AG1601" t="s">
        <v>756</v>
      </c>
      <c r="AH1601" t="s">
        <v>756</v>
      </c>
      <c r="AI1601" t="s">
        <v>367</v>
      </c>
      <c r="AJ1601" t="str">
        <f t="shared" ref="AJ1601:AK1601" si="1491">IF($J1601&lt;&gt;"",$J1601,IF($AC1601=$AC1600,AJ1600,""))</f>
        <v>d</v>
      </c>
      <c r="AK1601" t="str">
        <f t="shared" si="1491"/>
        <v>d</v>
      </c>
      <c r="AL1601" t="str">
        <f t="shared" si="1407"/>
        <v>o</v>
      </c>
      <c r="AN1601" t="s">
        <v>862</v>
      </c>
      <c r="AO1601" t="str">
        <f t="shared" si="1408"/>
        <v>a</v>
      </c>
      <c r="AP1601" t="str">
        <f t="shared" si="1416"/>
        <v>o</v>
      </c>
      <c r="AQ1601" t="str">
        <f t="shared" si="1417"/>
        <v/>
      </c>
      <c r="AR1601" t="str">
        <f t="shared" si="1418"/>
        <v>Away</v>
      </c>
      <c r="AS1601" t="str">
        <f t="shared" si="1419"/>
        <v>a</v>
      </c>
      <c r="AT1601" t="str">
        <f t="shared" si="1420"/>
        <v>Offensive</v>
      </c>
      <c r="BA1601" s="6">
        <f t="shared" si="1409"/>
        <v>373</v>
      </c>
      <c r="BB1601">
        <f t="shared" si="1410"/>
        <v>18981</v>
      </c>
      <c r="BC1601" t="str">
        <f t="shared" si="1411"/>
        <v>Nelson</v>
      </c>
      <c r="BD1601" t="str">
        <f t="shared" si="1412"/>
        <v>Velodrome</v>
      </c>
      <c r="BE1601" t="s">
        <v>238</v>
      </c>
      <c r="BF1601" t="s">
        <v>184</v>
      </c>
      <c r="BG1601" t="s">
        <v>376</v>
      </c>
      <c r="BI1601">
        <v>70</v>
      </c>
      <c r="BJ1601" s="15">
        <f t="shared" si="1413"/>
        <v>0</v>
      </c>
      <c r="BK1601">
        <f t="shared" si="1421"/>
        <v>59</v>
      </c>
      <c r="BL1601">
        <f t="shared" si="1422"/>
        <v>59</v>
      </c>
      <c r="BM1601" s="15">
        <f>SUMIFS(BJ$2:BJ1601,K$2:K1601,"=Intermission")+SUMIFS(BJ$2:BJ1601,K$2:K1601,"=Timeout")</f>
        <v>72</v>
      </c>
      <c r="BN1601">
        <f t="shared" si="1423"/>
        <v>1152</v>
      </c>
      <c r="BO1601" s="19">
        <f t="shared" si="1424"/>
        <v>2173</v>
      </c>
      <c r="BP1601">
        <f t="shared" si="1425"/>
        <v>2168</v>
      </c>
      <c r="BQ1601" s="17">
        <f t="shared" si="1426"/>
        <v>2173</v>
      </c>
      <c r="BR1601" t="str">
        <f t="shared" si="1427"/>
        <v>event_team_player_1</v>
      </c>
      <c r="BS1601">
        <f>COUNTIFS(S$3:S1601,"="&amp;S1601,AI$3:AI1601,"="&amp;AI1601)</f>
        <v>1</v>
      </c>
      <c r="BT1601" t="str">
        <f>IFERROR(VLOOKUP(BB1601&amp;BU1601&amp;X1601,game_rosters!U:W,3,FALSE),"")</f>
        <v>P100093</v>
      </c>
      <c r="BU1601" t="str">
        <f t="shared" si="1428"/>
        <v>Velodrome</v>
      </c>
    </row>
    <row r="1602" spans="1:73" x14ac:dyDescent="0.2">
      <c r="A1602">
        <f t="shared" si="1414"/>
        <v>1</v>
      </c>
      <c r="J1602" s="44" t="str">
        <f t="shared" si="1429"/>
        <v>d</v>
      </c>
      <c r="K1602" t="s">
        <v>238</v>
      </c>
      <c r="L1602" t="s">
        <v>184</v>
      </c>
      <c r="M1602" t="s">
        <v>376</v>
      </c>
      <c r="S1602">
        <v>864</v>
      </c>
      <c r="W1602" t="str">
        <f t="shared" si="1405"/>
        <v>a</v>
      </c>
      <c r="X1602">
        <v>49</v>
      </c>
      <c r="Y1602" t="e">
        <f>IF(X1602&lt;&gt;"",VLOOKUP(X1602,game_rosters!$C$43:$E$64,3,FALSE))</f>
        <v>#N/A</v>
      </c>
      <c r="Z1602" cm="1">
        <f t="array" ref="Z1602">IFERROR(IF(_xlfn._xlws.FILTER(game_rosters!$J:$J,(game_rosters!$G:$G=events!$AN1602)*(game_rosters!$J:$J=events!$X1602))&gt;0,1,""),"")</f>
        <v>1</v>
      </c>
      <c r="AA1602">
        <f t="shared" si="1453"/>
        <v>1864</v>
      </c>
      <c r="AB1602" t="str">
        <f t="shared" si="1454"/>
        <v/>
      </c>
      <c r="AC1602">
        <f t="shared" ref="AC1602:AC1665" si="1492">IF(AB1602&lt;&gt;"",AB1602,S1602+1000)</f>
        <v>1864</v>
      </c>
      <c r="AD1602" s="6">
        <v>2</v>
      </c>
      <c r="AE1602" t="s">
        <v>742</v>
      </c>
      <c r="AF1602" t="s">
        <v>896</v>
      </c>
      <c r="AG1602" t="s">
        <v>756</v>
      </c>
      <c r="AH1602" t="s">
        <v>756</v>
      </c>
      <c r="AI1602" t="s">
        <v>367</v>
      </c>
      <c r="AJ1602" t="str">
        <f t="shared" ref="AJ1602:AK1602" si="1493">IF($J1602&lt;&gt;"",$J1602,IF($AC1602=$AC1601,AJ1601,""))</f>
        <v>d</v>
      </c>
      <c r="AK1602" t="str">
        <f t="shared" si="1493"/>
        <v>d</v>
      </c>
      <c r="AL1602" t="str">
        <f t="shared" si="1407"/>
        <v>o</v>
      </c>
      <c r="AN1602" t="s">
        <v>862</v>
      </c>
      <c r="AO1602" t="str">
        <f t="shared" si="1408"/>
        <v>a</v>
      </c>
      <c r="AP1602" t="str">
        <f t="shared" si="1416"/>
        <v>o</v>
      </c>
      <c r="AQ1602" t="str">
        <f t="shared" si="1417"/>
        <v/>
      </c>
      <c r="AR1602" t="str">
        <f t="shared" si="1418"/>
        <v>Away</v>
      </c>
      <c r="AS1602" t="str">
        <f t="shared" si="1419"/>
        <v>a</v>
      </c>
      <c r="AT1602" t="str">
        <f t="shared" si="1420"/>
        <v>Offensive</v>
      </c>
      <c r="BA1602" s="6">
        <f t="shared" si="1409"/>
        <v>374</v>
      </c>
      <c r="BB1602">
        <f t="shared" si="1410"/>
        <v>18981</v>
      </c>
      <c r="BC1602" t="str">
        <f t="shared" si="1411"/>
        <v>Nelson</v>
      </c>
      <c r="BD1602" t="str">
        <f t="shared" si="1412"/>
        <v>Velodrome</v>
      </c>
      <c r="BE1602" t="s">
        <v>238</v>
      </c>
      <c r="BF1602" t="s">
        <v>184</v>
      </c>
      <c r="BG1602" t="s">
        <v>376</v>
      </c>
      <c r="BI1602">
        <v>70</v>
      </c>
      <c r="BJ1602" s="15">
        <f t="shared" si="1413"/>
        <v>0</v>
      </c>
      <c r="BK1602">
        <f t="shared" si="1421"/>
        <v>59</v>
      </c>
      <c r="BL1602">
        <f t="shared" si="1422"/>
        <v>59</v>
      </c>
      <c r="BM1602" s="15">
        <f>SUMIFS(BJ$2:BJ1602,K$2:K1602,"=Intermission")+SUMIFS(BJ$2:BJ1602,K$2:K1602,"=Timeout")</f>
        <v>72</v>
      </c>
      <c r="BN1602">
        <f t="shared" si="1423"/>
        <v>1152</v>
      </c>
      <c r="BO1602" s="19">
        <f t="shared" si="1424"/>
        <v>2173</v>
      </c>
      <c r="BP1602">
        <f t="shared" si="1425"/>
        <v>2168</v>
      </c>
      <c r="BQ1602" s="17">
        <f t="shared" si="1426"/>
        <v>2173</v>
      </c>
      <c r="BR1602" t="str">
        <f t="shared" si="1427"/>
        <v>event_team_player_2</v>
      </c>
      <c r="BS1602">
        <f>COUNTIFS(S$3:S1602,"="&amp;S1602,AI$3:AI1602,"="&amp;AI1602)</f>
        <v>2</v>
      </c>
      <c r="BT1602" t="str">
        <f>IFERROR(VLOOKUP(BB1602&amp;BU1602&amp;X1602,game_rosters!U:W,3,FALSE),"")</f>
        <v>P100161</v>
      </c>
      <c r="BU1602" t="str">
        <f t="shared" si="1428"/>
        <v>Velodrome</v>
      </c>
    </row>
    <row r="1603" spans="1:73" x14ac:dyDescent="0.2">
      <c r="A1603">
        <f t="shared" si="1414"/>
        <v>1</v>
      </c>
      <c r="J1603" s="44" t="str">
        <f t="shared" si="1429"/>
        <v>o</v>
      </c>
      <c r="K1603" t="s">
        <v>238</v>
      </c>
      <c r="L1603" t="s">
        <v>174</v>
      </c>
      <c r="M1603" t="s">
        <v>390</v>
      </c>
      <c r="S1603">
        <v>865</v>
      </c>
      <c r="W1603" t="str">
        <f t="shared" si="1405"/>
        <v>a</v>
      </c>
      <c r="X1603">
        <v>93</v>
      </c>
      <c r="Y1603" t="e">
        <f>IF(X1603&lt;&gt;"",VLOOKUP(X1603,game_rosters!$C$43:$E$64,3,FALSE))</f>
        <v>#N/A</v>
      </c>
      <c r="Z1603" cm="1">
        <f t="array" ref="Z1603">IFERROR(IF(_xlfn._xlws.FILTER(game_rosters!$J:$J,(game_rosters!$G:$G=events!$AN1603)*(game_rosters!$J:$J=events!$X1603))&gt;0,1,""),"")</f>
        <v>1</v>
      </c>
      <c r="AA1603">
        <f t="shared" si="1453"/>
        <v>1865</v>
      </c>
      <c r="AB1603" t="str">
        <f t="shared" si="1454"/>
        <v/>
      </c>
      <c r="AC1603">
        <f t="shared" si="1492"/>
        <v>1865</v>
      </c>
      <c r="AD1603" s="6">
        <v>2</v>
      </c>
      <c r="AE1603" t="s">
        <v>742</v>
      </c>
      <c r="AF1603" t="s">
        <v>896</v>
      </c>
      <c r="AG1603" t="s">
        <v>756</v>
      </c>
      <c r="AH1603" t="s">
        <v>756</v>
      </c>
      <c r="AI1603" t="s">
        <v>367</v>
      </c>
      <c r="AJ1603" t="str">
        <f t="shared" ref="AJ1603:AK1603" si="1494">IF($J1603&lt;&gt;"",$J1603,IF($AC1603=$AC1602,AJ1602,""))</f>
        <v>o</v>
      </c>
      <c r="AK1603" t="str">
        <f t="shared" si="1494"/>
        <v>o</v>
      </c>
      <c r="AL1603" t="str">
        <f t="shared" si="1407"/>
        <v>d</v>
      </c>
      <c r="AN1603" t="s">
        <v>862</v>
      </c>
      <c r="AO1603" t="str">
        <f t="shared" si="1408"/>
        <v>a</v>
      </c>
      <c r="AP1603" t="str">
        <f t="shared" si="1416"/>
        <v>d</v>
      </c>
      <c r="AQ1603" t="str">
        <f t="shared" si="1417"/>
        <v/>
      </c>
      <c r="AR1603" t="str">
        <f t="shared" si="1418"/>
        <v>Away</v>
      </c>
      <c r="AS1603" t="str">
        <f t="shared" si="1419"/>
        <v>a</v>
      </c>
      <c r="AT1603" t="str">
        <f t="shared" si="1420"/>
        <v>Offensive</v>
      </c>
      <c r="BA1603" s="6">
        <f t="shared" si="1409"/>
        <v>375</v>
      </c>
      <c r="BB1603">
        <f t="shared" si="1410"/>
        <v>18981</v>
      </c>
      <c r="BC1603" t="str">
        <f t="shared" si="1411"/>
        <v>Nelson</v>
      </c>
      <c r="BD1603" t="str">
        <f t="shared" si="1412"/>
        <v>Velodrome</v>
      </c>
      <c r="BE1603" t="s">
        <v>238</v>
      </c>
      <c r="BF1603" t="s">
        <v>174</v>
      </c>
      <c r="BG1603" t="s">
        <v>390</v>
      </c>
      <c r="BI1603">
        <v>70</v>
      </c>
      <c r="BJ1603" s="15">
        <f t="shared" si="1413"/>
        <v>0</v>
      </c>
      <c r="BK1603">
        <f t="shared" si="1421"/>
        <v>59</v>
      </c>
      <c r="BL1603">
        <f t="shared" si="1422"/>
        <v>59</v>
      </c>
      <c r="BM1603" s="15">
        <f>SUMIFS(BJ$2:BJ1603,K$2:K1603,"=Intermission")+SUMIFS(BJ$2:BJ1603,K$2:K1603,"=Timeout")</f>
        <v>72</v>
      </c>
      <c r="BN1603">
        <f t="shared" si="1423"/>
        <v>1152</v>
      </c>
      <c r="BO1603" s="19">
        <f t="shared" si="1424"/>
        <v>2173</v>
      </c>
      <c r="BP1603">
        <f t="shared" si="1425"/>
        <v>2168</v>
      </c>
      <c r="BQ1603" s="17">
        <f t="shared" si="1426"/>
        <v>2173</v>
      </c>
      <c r="BR1603" t="str">
        <f t="shared" si="1427"/>
        <v>event_team_player_1</v>
      </c>
      <c r="BS1603">
        <f>COUNTIFS(S$3:S1603,"="&amp;S1603,AI$3:AI1603,"="&amp;AI1603)</f>
        <v>1</v>
      </c>
      <c r="BT1603" t="str">
        <f>IFERROR(VLOOKUP(BB1603&amp;BU1603&amp;X1603,game_rosters!U:W,3,FALSE),"")</f>
        <v>P100093</v>
      </c>
      <c r="BU1603" t="str">
        <f t="shared" si="1428"/>
        <v>Velodrome</v>
      </c>
    </row>
    <row r="1604" spans="1:73" x14ac:dyDescent="0.2">
      <c r="A1604">
        <f t="shared" si="1414"/>
        <v>1</v>
      </c>
      <c r="J1604" s="44" t="str">
        <f t="shared" si="1429"/>
        <v/>
      </c>
      <c r="K1604" t="s">
        <v>9</v>
      </c>
      <c r="L1604" t="s">
        <v>173</v>
      </c>
      <c r="M1604" t="s">
        <v>383</v>
      </c>
      <c r="S1604">
        <v>866</v>
      </c>
      <c r="W1604" t="str">
        <f t="shared" ref="W1604:W1667" si="1495">IF(AN1604="Away","a",IF(AN1604="Home","h",""))</f>
        <v>a</v>
      </c>
      <c r="X1604">
        <v>93</v>
      </c>
      <c r="Y1604" t="e">
        <f>IF(X1604&lt;&gt;"",VLOOKUP(X1604,game_rosters!$C$43:$E$64,3,FALSE))</f>
        <v>#N/A</v>
      </c>
      <c r="Z1604" cm="1">
        <f t="array" ref="Z1604">IFERROR(IF(_xlfn._xlws.FILTER(game_rosters!$J:$J,(game_rosters!$G:$G=events!$AN1604)*(game_rosters!$J:$J=events!$X1604))&gt;0,1,""),"")</f>
        <v>1</v>
      </c>
      <c r="AA1604">
        <f t="shared" si="1453"/>
        <v>1866</v>
      </c>
      <c r="AB1604" t="str">
        <f t="shared" si="1454"/>
        <v/>
      </c>
      <c r="AC1604">
        <f t="shared" si="1492"/>
        <v>1866</v>
      </c>
      <c r="AD1604" s="6">
        <v>2</v>
      </c>
      <c r="AE1604" t="s">
        <v>742</v>
      </c>
      <c r="AF1604" t="s">
        <v>927</v>
      </c>
      <c r="AG1604" t="s">
        <v>756</v>
      </c>
      <c r="AH1604" t="s">
        <v>756</v>
      </c>
      <c r="AI1604" t="s">
        <v>367</v>
      </c>
      <c r="AJ1604" t="str">
        <f t="shared" ref="AJ1604:AK1604" si="1496">IF($J1604&lt;&gt;"",$J1604,IF($AC1604=$AC1603,AJ1603,""))</f>
        <v/>
      </c>
      <c r="AK1604" t="str">
        <f t="shared" si="1496"/>
        <v/>
      </c>
      <c r="AL1604" t="str">
        <f t="shared" ref="AL1604:AL1667" si="1497">IF($W1604="","",IF($AJ1604="","",IF($W1604="h",$AJ1604,IF($AJ1604="n","n",IF(AND($W1604="a",$AJ1604="d"),"o",IF(AND($W1604="a",$AJ1604="o"),"d"))))))</f>
        <v/>
      </c>
      <c r="AN1604" t="s">
        <v>862</v>
      </c>
      <c r="AO1604" t="str">
        <f t="shared" ref="AO1604:AO1667" si="1498">IF($W1604&lt;&gt;"",$W1604,IF($AC1604=$AC1603,AO1603,""))</f>
        <v>a</v>
      </c>
      <c r="AP1604" t="str">
        <f t="shared" si="1416"/>
        <v/>
      </c>
      <c r="AQ1604" t="str">
        <f t="shared" si="1417"/>
        <v/>
      </c>
      <c r="AR1604" t="str">
        <f t="shared" si="1418"/>
        <v>Away</v>
      </c>
      <c r="AS1604" t="str">
        <f t="shared" si="1419"/>
        <v>a</v>
      </c>
      <c r="AT1604" t="str">
        <f t="shared" si="1420"/>
        <v>Offensive</v>
      </c>
      <c r="BA1604" s="6">
        <f t="shared" ref="BA1604:BA1667" si="1499">IF(OR(L1604="Zone_Entry",L1604="Zone_Exit"),BA1603+1,BA1603)</f>
        <v>375</v>
      </c>
      <c r="BB1604">
        <f t="shared" ref="BB1604:BB1667" si="1500">BB1603</f>
        <v>18981</v>
      </c>
      <c r="BC1604" t="str">
        <f t="shared" ref="BC1604:BC1667" si="1501">BC1603</f>
        <v>Nelson</v>
      </c>
      <c r="BD1604" t="str">
        <f t="shared" ref="BD1604:BD1667" si="1502">BD1603</f>
        <v>Velodrome</v>
      </c>
      <c r="BE1604" t="s">
        <v>9</v>
      </c>
      <c r="BF1604" t="s">
        <v>173</v>
      </c>
      <c r="BG1604" t="s">
        <v>383</v>
      </c>
      <c r="BI1604" cm="1">
        <f t="array" ref="BI1604">IFERROR(_xlfn._xlws.FILTER(shifts!A:A,(shifts!B:B=events!AD1604)*(shifts!AG:AG&gt;=events!BK1604)*(shifts!AH:AH&lt;=events!BL1604)),BI1603)</f>
        <v>71</v>
      </c>
      <c r="BJ1604" s="15">
        <f t="shared" ref="BJ1604:BJ1667" si="1503">IF(AND(AG1604="",AH1604=""),0,((AE1604*60)+AF1604)-((AG1604*60)+AH1604))</f>
        <v>0</v>
      </c>
      <c r="BK1604">
        <f t="shared" si="1421"/>
        <v>57</v>
      </c>
      <c r="BL1604">
        <f t="shared" si="1422"/>
        <v>57</v>
      </c>
      <c r="BM1604" s="15">
        <f>SUMIFS(BJ$2:BJ1604,K$2:K1604,"=Intermission")+SUMIFS(BJ$2:BJ1604,K$2:K1604,"=Timeout")</f>
        <v>72</v>
      </c>
      <c r="BN1604">
        <f t="shared" si="1423"/>
        <v>1152</v>
      </c>
      <c r="BO1604" s="19">
        <f t="shared" si="1424"/>
        <v>2175</v>
      </c>
      <c r="BP1604">
        <f t="shared" si="1425"/>
        <v>2170</v>
      </c>
      <c r="BQ1604" s="17">
        <f t="shared" si="1426"/>
        <v>2175</v>
      </c>
      <c r="BR1604" t="str">
        <f t="shared" si="1427"/>
        <v>event_team_player_1</v>
      </c>
      <c r="BS1604">
        <f>COUNTIFS(S$3:S1604,"="&amp;S1604,AI$3:AI1604,"="&amp;AI1604)</f>
        <v>1</v>
      </c>
      <c r="BT1604" t="str">
        <f>IFERROR(VLOOKUP(BB1604&amp;BU1604&amp;X1604,game_rosters!U:W,3,FALSE),"")</f>
        <v>P100093</v>
      </c>
      <c r="BU1604" t="str">
        <f t="shared" si="1428"/>
        <v>Velodrome</v>
      </c>
    </row>
    <row r="1605" spans="1:73" x14ac:dyDescent="0.2">
      <c r="A1605">
        <f t="shared" ref="A1605:A1668" si="1504">IF(K1605&lt;&gt;"",1,IF(D1605="x","x",""))</f>
        <v>1</v>
      </c>
      <c r="J1605" s="44" t="str">
        <f t="shared" si="1429"/>
        <v/>
      </c>
      <c r="K1605" t="s">
        <v>13</v>
      </c>
      <c r="L1605" t="s">
        <v>756</v>
      </c>
      <c r="M1605" t="s">
        <v>756</v>
      </c>
      <c r="S1605">
        <v>867</v>
      </c>
      <c r="W1605" t="str">
        <f t="shared" si="1495"/>
        <v>h</v>
      </c>
      <c r="X1605">
        <v>37</v>
      </c>
      <c r="Y1605" t="b">
        <f>IF(X1605&lt;&gt;"",VLOOKUP(X1605,game_rosters!$C$43:$E$64,3,FALSE))</f>
        <v>0</v>
      </c>
      <c r="Z1605" cm="1">
        <f t="array" ref="Z1605">IFERROR(IF(_xlfn._xlws.FILTER(game_rosters!$J:$J,(game_rosters!$G:$G=events!$AN1605)*(game_rosters!$J:$J=events!$X1605))&gt;0,1,""),"")</f>
        <v>1</v>
      </c>
      <c r="AA1605">
        <f t="shared" si="1453"/>
        <v>1867</v>
      </c>
      <c r="AB1605" t="str">
        <f t="shared" si="1454"/>
        <v/>
      </c>
      <c r="AC1605">
        <f t="shared" si="1492"/>
        <v>1867</v>
      </c>
      <c r="AD1605" s="6">
        <v>2</v>
      </c>
      <c r="AE1605" t="s">
        <v>742</v>
      </c>
      <c r="AF1605" t="s">
        <v>753</v>
      </c>
      <c r="AG1605" t="s">
        <v>742</v>
      </c>
      <c r="AH1605" t="s">
        <v>921</v>
      </c>
      <c r="AI1605" t="s">
        <v>367</v>
      </c>
      <c r="AJ1605" t="str">
        <f t="shared" ref="AJ1605:AK1605" si="1505">IF($J1605&lt;&gt;"",$J1605,IF($AC1605=$AC1604,AJ1604,""))</f>
        <v/>
      </c>
      <c r="AK1605" t="str">
        <f t="shared" si="1505"/>
        <v/>
      </c>
      <c r="AL1605" t="str">
        <f t="shared" si="1497"/>
        <v/>
      </c>
      <c r="AN1605" t="s">
        <v>861</v>
      </c>
      <c r="AO1605" t="str">
        <f t="shared" si="1498"/>
        <v>h</v>
      </c>
      <c r="AP1605" t="str">
        <f t="shared" ref="AP1605:AP1668" si="1506">IF(AL1605&lt;&gt;"",AL1605,IF($AC1605=$AC1604,AP1604,""))</f>
        <v/>
      </c>
      <c r="AQ1605" t="str">
        <f t="shared" ref="AQ1605:AQ1668" si="1507">IF(AM1605&lt;&gt;"",AM1605,IF($AC1605=$AC1604,AQ1604,""))</f>
        <v/>
      </c>
      <c r="AR1605" t="str">
        <f t="shared" ref="AR1605:AR1668" si="1508">IF(AN1605&lt;&gt;"",AN1605,IF($AC1605=$AC1604,AR1604,""))</f>
        <v>Home</v>
      </c>
      <c r="AS1605" t="str">
        <f t="shared" ref="AS1605:AS1668" si="1509">IF(AO1605&lt;&gt;"",AO1605,IF($AC1605=$AC1604,AS1604,""))</f>
        <v>h</v>
      </c>
      <c r="AT1605" t="str">
        <f t="shared" ref="AT1605:AT1668" si="1510">IF(AND(AI1605="e",OR(BE1605="Save",BF1605="Turnover_Takeaway",BF1605="Play_Defensive")),"Defensive",IF(AND(AI1605="o",OR(BE1605="Save",BF1605="Turnover_Takeaway",BF1605="Play_Defensive")),"Offensive",IF(OR(BE1605="Deadice",BE1605="Stoppage",BE1605="Intermission"),"",IF(AI1605="e","Offensive",IF(AI1605="o","Defensive","")))))</f>
        <v>Offensive</v>
      </c>
      <c r="BA1605" s="6">
        <f t="shared" si="1499"/>
        <v>375</v>
      </c>
      <c r="BB1605">
        <f t="shared" si="1500"/>
        <v>18981</v>
      </c>
      <c r="BC1605" t="str">
        <f t="shared" si="1501"/>
        <v>Nelson</v>
      </c>
      <c r="BD1605" t="str">
        <f t="shared" si="1502"/>
        <v>Velodrome</v>
      </c>
      <c r="BE1605" t="s">
        <v>13</v>
      </c>
      <c r="BF1605" t="s">
        <v>756</v>
      </c>
      <c r="BG1605" t="s">
        <v>756</v>
      </c>
      <c r="BI1605" cm="1">
        <f t="array" ref="BI1605">IFERROR(_xlfn._xlws.FILTER(shifts!A:A,(shifts!B:B=events!AD1605)*(shifts!AG:AG&gt;=events!BK1605)*(shifts!AH:AH&lt;=events!BL1605)),BI1604)</f>
        <v>71</v>
      </c>
      <c r="BJ1605" s="15">
        <f t="shared" si="1503"/>
        <v>2</v>
      </c>
      <c r="BK1605">
        <f t="shared" ref="BK1605:BK1668" si="1511">(AE1605*60)+AF1605</f>
        <v>55</v>
      </c>
      <c r="BL1605">
        <f t="shared" ref="BL1605:BL1668" si="1512">IF(AND(AG1605="",AH1605=""),BK1605,((AG1605*60)+AH1605))</f>
        <v>53</v>
      </c>
      <c r="BM1605" s="15">
        <f>SUMIFS(BJ$2:BJ1605,K$2:K1605,"=Intermission")+SUMIFS(BJ$2:BJ1605,K$2:K1605,"=Timeout")</f>
        <v>72</v>
      </c>
      <c r="BN1605">
        <f t="shared" ref="BN1605:BN1668" si="1513">IF(AD1605=1,0,IF(AD1605=2,1080+BM1605,IF(AD1605=3,(1080*2)+BM1605,0)))</f>
        <v>1152</v>
      </c>
      <c r="BO1605" s="19">
        <f t="shared" ref="BO1605:BO1668" si="1514">IF(K1605="Intermission",BO1604,((1080)-((AE1605*60)+AF1605))+BN1605)</f>
        <v>2177</v>
      </c>
      <c r="BP1605">
        <f t="shared" ref="BP1605:BP1668" si="1515">IF(BO1605&lt;5,0,BO1605-5)</f>
        <v>2172</v>
      </c>
      <c r="BQ1605" s="17">
        <f t="shared" ref="BQ1605:BQ1668" si="1516">BP1605+BJ1605+5</f>
        <v>2179</v>
      </c>
      <c r="BR1605" t="str">
        <f t="shared" ref="BR1605:BR1668" si="1517">IF(AI1605="e","event_team_player_"&amp;BS1605,IF(AI1605="o","opp_team_player_"&amp;BS1605,""))</f>
        <v>event_team_player_1</v>
      </c>
      <c r="BS1605">
        <f>COUNTIFS(S$3:S1605,"="&amp;S1605,AI$3:AI1605,"="&amp;AI1605)</f>
        <v>1</v>
      </c>
      <c r="BT1605" t="str">
        <f>IFERROR(VLOOKUP(BB1605&amp;BU1605&amp;X1605,game_rosters!U:W,3,FALSE),"")</f>
        <v>P100119</v>
      </c>
      <c r="BU1605" t="str">
        <f t="shared" ref="BU1605:BU1668" si="1518">IF(AR1605="","",IF(AND(AR1605="Away",AI1605="e"),BD1605,IF(AND(AR1605="Home",AI1605="e"),BC1605,IF(AND(AR1605="Away",AI1605="o"),BC1605,IF(AND(AR1605="Home",AI1605="o"),BD1605)))))</f>
        <v>Nelson</v>
      </c>
    </row>
    <row r="1606" spans="1:73" x14ac:dyDescent="0.2">
      <c r="A1606">
        <f t="shared" si="1504"/>
        <v>1</v>
      </c>
      <c r="J1606" s="44" t="str">
        <f t="shared" ref="J1606:J1669" si="1519">IF(OR(K1606="Goal",K1606="Shot",L1606="Zone_Entry",M1606="Stoppage-Goal",M1605="Stoppage-Goal"),"o",IF(OR(K1606="Save",K1606="Rebound",L1606="Zone_Exit",M1606="Stoppage-GoalieStoppage",M1605="Stoppage-GoalieStoppage"),"d",IF(OR(L1606="Faceoff_AfterGoal",L1606="Faceoff_PeriodStart",698="Faceoff_GameStart",M1605="Stoppage-Goal"),"n","")))</f>
        <v/>
      </c>
      <c r="K1606" t="s">
        <v>7</v>
      </c>
      <c r="L1606" t="s">
        <v>182</v>
      </c>
      <c r="M1606" t="s">
        <v>65</v>
      </c>
      <c r="S1606">
        <v>868</v>
      </c>
      <c r="W1606" t="str">
        <f t="shared" si="1495"/>
        <v>h</v>
      </c>
      <c r="X1606">
        <v>37</v>
      </c>
      <c r="Y1606" t="b">
        <f>IF(X1606&lt;&gt;"",VLOOKUP(X1606,game_rosters!$C$43:$E$64,3,FALSE))</f>
        <v>0</v>
      </c>
      <c r="Z1606" cm="1">
        <f t="array" ref="Z1606">IFERROR(IF(_xlfn._xlws.FILTER(game_rosters!$J:$J,(game_rosters!$G:$G=events!$AN1606)*(game_rosters!$J:$J=events!$X1606))&gt;0,1,""),"")</f>
        <v>1</v>
      </c>
      <c r="AA1606">
        <f t="shared" si="1453"/>
        <v>1868</v>
      </c>
      <c r="AB1606" t="str">
        <f t="shared" si="1454"/>
        <v/>
      </c>
      <c r="AC1606">
        <f t="shared" si="1492"/>
        <v>1868</v>
      </c>
      <c r="AD1606" s="6">
        <v>2</v>
      </c>
      <c r="AE1606" t="s">
        <v>742</v>
      </c>
      <c r="AF1606" t="s">
        <v>921</v>
      </c>
      <c r="AG1606" t="s">
        <v>756</v>
      </c>
      <c r="AH1606" t="s">
        <v>756</v>
      </c>
      <c r="AI1606" t="s">
        <v>367</v>
      </c>
      <c r="AJ1606" t="str">
        <f t="shared" ref="AJ1606:AK1606" si="1520">IF($J1606&lt;&gt;"",$J1606,IF($AC1606=$AC1605,AJ1605,""))</f>
        <v/>
      </c>
      <c r="AK1606" t="str">
        <f t="shared" si="1520"/>
        <v/>
      </c>
      <c r="AL1606" t="str">
        <f t="shared" si="1497"/>
        <v/>
      </c>
      <c r="AN1606" t="s">
        <v>861</v>
      </c>
      <c r="AO1606" t="str">
        <f t="shared" si="1498"/>
        <v>h</v>
      </c>
      <c r="AP1606" t="str">
        <f t="shared" si="1506"/>
        <v/>
      </c>
      <c r="AQ1606" t="str">
        <f t="shared" si="1507"/>
        <v/>
      </c>
      <c r="AR1606" t="str">
        <f t="shared" si="1508"/>
        <v>Home</v>
      </c>
      <c r="AS1606" t="str">
        <f t="shared" si="1509"/>
        <v>h</v>
      </c>
      <c r="AT1606" t="str">
        <f t="shared" si="1510"/>
        <v>Offensive</v>
      </c>
      <c r="BA1606" s="6">
        <f t="shared" si="1499"/>
        <v>375</v>
      </c>
      <c r="BB1606">
        <f t="shared" si="1500"/>
        <v>18981</v>
      </c>
      <c r="BC1606" t="str">
        <f t="shared" si="1501"/>
        <v>Nelson</v>
      </c>
      <c r="BD1606" t="str">
        <f t="shared" si="1502"/>
        <v>Velodrome</v>
      </c>
      <c r="BE1606" t="s">
        <v>7</v>
      </c>
      <c r="BF1606" t="s">
        <v>182</v>
      </c>
      <c r="BG1606" t="s">
        <v>65</v>
      </c>
      <c r="BI1606" cm="1">
        <f t="array" ref="BI1606">IFERROR(_xlfn._xlws.FILTER(shifts!A:A,(shifts!B:B=events!AD1606)*(shifts!AG:AG&gt;=events!BK1606)*(shifts!AH:AH&lt;=events!BL1606)),BI1605)</f>
        <v>71</v>
      </c>
      <c r="BJ1606" s="15">
        <f t="shared" si="1503"/>
        <v>0</v>
      </c>
      <c r="BK1606">
        <f t="shared" si="1511"/>
        <v>53</v>
      </c>
      <c r="BL1606">
        <f t="shared" si="1512"/>
        <v>53</v>
      </c>
      <c r="BM1606" s="15">
        <f>SUMIFS(BJ$2:BJ1606,K$2:K1606,"=Intermission")+SUMIFS(BJ$2:BJ1606,K$2:K1606,"=Timeout")</f>
        <v>72</v>
      </c>
      <c r="BN1606">
        <f t="shared" si="1513"/>
        <v>1152</v>
      </c>
      <c r="BO1606" s="19">
        <f t="shared" si="1514"/>
        <v>2179</v>
      </c>
      <c r="BP1606">
        <f t="shared" si="1515"/>
        <v>2174</v>
      </c>
      <c r="BQ1606" s="17">
        <f t="shared" si="1516"/>
        <v>2179</v>
      </c>
      <c r="BR1606" t="str">
        <f t="shared" si="1517"/>
        <v>event_team_player_1</v>
      </c>
      <c r="BS1606">
        <f>COUNTIFS(S$3:S1606,"="&amp;S1606,AI$3:AI1606,"="&amp;AI1606)</f>
        <v>1</v>
      </c>
      <c r="BT1606" t="str">
        <f>IFERROR(VLOOKUP(BB1606&amp;BU1606&amp;X1606,game_rosters!U:W,3,FALSE),"")</f>
        <v>P100119</v>
      </c>
      <c r="BU1606" t="str">
        <f t="shared" si="1518"/>
        <v>Nelson</v>
      </c>
    </row>
    <row r="1607" spans="1:73" x14ac:dyDescent="0.2">
      <c r="A1607">
        <f t="shared" si="1504"/>
        <v>1</v>
      </c>
      <c r="J1607" s="44" t="str">
        <f t="shared" si="1519"/>
        <v/>
      </c>
      <c r="K1607" t="s">
        <v>7</v>
      </c>
      <c r="L1607" t="s">
        <v>182</v>
      </c>
      <c r="M1607" t="s">
        <v>65</v>
      </c>
      <c r="S1607">
        <v>868</v>
      </c>
      <c r="W1607" t="str">
        <f t="shared" si="1495"/>
        <v>h</v>
      </c>
      <c r="X1607">
        <v>10</v>
      </c>
      <c r="Y1607" t="b">
        <f>IF(X1607&lt;&gt;"",VLOOKUP(X1607,game_rosters!$C$43:$E$64,3,FALSE))</f>
        <v>0</v>
      </c>
      <c r="Z1607" cm="1">
        <f t="array" ref="Z1607">IFERROR(IF(_xlfn._xlws.FILTER(game_rosters!$J:$J,(game_rosters!$G:$G=events!$AN1607)*(game_rosters!$J:$J=events!$X1607))&gt;0,1,""),"")</f>
        <v>1</v>
      </c>
      <c r="AA1607">
        <f t="shared" si="1453"/>
        <v>1868</v>
      </c>
      <c r="AB1607" t="str">
        <f t="shared" si="1454"/>
        <v/>
      </c>
      <c r="AC1607">
        <f t="shared" si="1492"/>
        <v>1868</v>
      </c>
      <c r="AD1607" s="6">
        <v>2</v>
      </c>
      <c r="AE1607" t="s">
        <v>742</v>
      </c>
      <c r="AF1607" t="s">
        <v>921</v>
      </c>
      <c r="AG1607" t="s">
        <v>756</v>
      </c>
      <c r="AH1607" t="s">
        <v>756</v>
      </c>
      <c r="AI1607" t="s">
        <v>367</v>
      </c>
      <c r="AJ1607" t="str">
        <f t="shared" ref="AJ1607:AK1607" si="1521">IF($J1607&lt;&gt;"",$J1607,IF($AC1607=$AC1606,AJ1606,""))</f>
        <v/>
      </c>
      <c r="AK1607" t="str">
        <f t="shared" si="1521"/>
        <v/>
      </c>
      <c r="AL1607" t="str">
        <f t="shared" si="1497"/>
        <v/>
      </c>
      <c r="AN1607" t="s">
        <v>861</v>
      </c>
      <c r="AO1607" t="str">
        <f t="shared" si="1498"/>
        <v>h</v>
      </c>
      <c r="AP1607" t="str">
        <f t="shared" si="1506"/>
        <v/>
      </c>
      <c r="AQ1607" t="str">
        <f t="shared" si="1507"/>
        <v/>
      </c>
      <c r="AR1607" t="str">
        <f t="shared" si="1508"/>
        <v>Home</v>
      </c>
      <c r="AS1607" t="str">
        <f t="shared" si="1509"/>
        <v>h</v>
      </c>
      <c r="AT1607" t="str">
        <f t="shared" si="1510"/>
        <v>Offensive</v>
      </c>
      <c r="BA1607" s="6">
        <f t="shared" si="1499"/>
        <v>375</v>
      </c>
      <c r="BB1607">
        <f t="shared" si="1500"/>
        <v>18981</v>
      </c>
      <c r="BC1607" t="str">
        <f t="shared" si="1501"/>
        <v>Nelson</v>
      </c>
      <c r="BD1607" t="str">
        <f t="shared" si="1502"/>
        <v>Velodrome</v>
      </c>
      <c r="BE1607" t="s">
        <v>7</v>
      </c>
      <c r="BF1607" t="s">
        <v>182</v>
      </c>
      <c r="BG1607" t="s">
        <v>65</v>
      </c>
      <c r="BI1607" cm="1">
        <f t="array" ref="BI1607">IFERROR(_xlfn._xlws.FILTER(shifts!A:A,(shifts!B:B=events!AD1607)*(shifts!AG:AG&gt;=events!BK1607)*(shifts!AH:AH&lt;=events!BL1607)),BI1606)</f>
        <v>71</v>
      </c>
      <c r="BJ1607" s="15">
        <f t="shared" si="1503"/>
        <v>0</v>
      </c>
      <c r="BK1607">
        <f t="shared" si="1511"/>
        <v>53</v>
      </c>
      <c r="BL1607">
        <f t="shared" si="1512"/>
        <v>53</v>
      </c>
      <c r="BM1607" s="15">
        <f>SUMIFS(BJ$2:BJ1607,K$2:K1607,"=Intermission")+SUMIFS(BJ$2:BJ1607,K$2:K1607,"=Timeout")</f>
        <v>72</v>
      </c>
      <c r="BN1607">
        <f t="shared" si="1513"/>
        <v>1152</v>
      </c>
      <c r="BO1607" s="19">
        <f t="shared" si="1514"/>
        <v>2179</v>
      </c>
      <c r="BP1607">
        <f t="shared" si="1515"/>
        <v>2174</v>
      </c>
      <c r="BQ1607" s="17">
        <f t="shared" si="1516"/>
        <v>2179</v>
      </c>
      <c r="BR1607" t="str">
        <f t="shared" si="1517"/>
        <v>event_team_player_2</v>
      </c>
      <c r="BS1607">
        <f>COUNTIFS(S$3:S1607,"="&amp;S1607,AI$3:AI1607,"="&amp;AI1607)</f>
        <v>2</v>
      </c>
      <c r="BT1607" t="str">
        <f>IFERROR(VLOOKUP(BB1607&amp;BU1607&amp;X1607,game_rosters!U:W,3,FALSE),"")</f>
        <v>P100078</v>
      </c>
      <c r="BU1607" t="str">
        <f t="shared" si="1518"/>
        <v>Nelson</v>
      </c>
    </row>
    <row r="1608" spans="1:73" x14ac:dyDescent="0.2">
      <c r="A1608">
        <f t="shared" si="1504"/>
        <v>1</v>
      </c>
      <c r="J1608" s="44" t="str">
        <f t="shared" si="1519"/>
        <v>d</v>
      </c>
      <c r="K1608" t="s">
        <v>238</v>
      </c>
      <c r="L1608" t="s">
        <v>184</v>
      </c>
      <c r="M1608" t="s">
        <v>376</v>
      </c>
      <c r="S1608">
        <v>869</v>
      </c>
      <c r="W1608" t="str">
        <f t="shared" si="1495"/>
        <v>h</v>
      </c>
      <c r="X1608">
        <v>37</v>
      </c>
      <c r="Y1608" t="b">
        <f>IF(X1608&lt;&gt;"",VLOOKUP(X1608,game_rosters!$C$43:$E$64,3,FALSE))</f>
        <v>0</v>
      </c>
      <c r="Z1608" cm="1">
        <f t="array" ref="Z1608">IFERROR(IF(_xlfn._xlws.FILTER(game_rosters!$J:$J,(game_rosters!$G:$G=events!$AN1608)*(game_rosters!$J:$J=events!$X1608))&gt;0,1,""),"")</f>
        <v>1</v>
      </c>
      <c r="AA1608">
        <f t="shared" si="1453"/>
        <v>1869</v>
      </c>
      <c r="AB1608" t="str">
        <f t="shared" si="1454"/>
        <v/>
      </c>
      <c r="AC1608">
        <f t="shared" si="1492"/>
        <v>1869</v>
      </c>
      <c r="AD1608" s="6">
        <v>2</v>
      </c>
      <c r="AE1608" t="s">
        <v>742</v>
      </c>
      <c r="AF1608" t="s">
        <v>921</v>
      </c>
      <c r="AG1608" t="s">
        <v>756</v>
      </c>
      <c r="AH1608" t="s">
        <v>756</v>
      </c>
      <c r="AI1608" t="s">
        <v>367</v>
      </c>
      <c r="AJ1608" t="str">
        <f t="shared" ref="AJ1608:AK1608" si="1522">IF($J1608&lt;&gt;"",$J1608,IF($AC1608=$AC1607,AJ1607,""))</f>
        <v>d</v>
      </c>
      <c r="AK1608" t="str">
        <f t="shared" si="1522"/>
        <v>d</v>
      </c>
      <c r="AL1608" t="str">
        <f t="shared" si="1497"/>
        <v>d</v>
      </c>
      <c r="AN1608" t="s">
        <v>861</v>
      </c>
      <c r="AO1608" t="str">
        <f t="shared" si="1498"/>
        <v>h</v>
      </c>
      <c r="AP1608" t="str">
        <f t="shared" si="1506"/>
        <v>d</v>
      </c>
      <c r="AQ1608" t="str">
        <f t="shared" si="1507"/>
        <v/>
      </c>
      <c r="AR1608" t="str">
        <f t="shared" si="1508"/>
        <v>Home</v>
      </c>
      <c r="AS1608" t="str">
        <f t="shared" si="1509"/>
        <v>h</v>
      </c>
      <c r="AT1608" t="str">
        <f t="shared" si="1510"/>
        <v>Offensive</v>
      </c>
      <c r="BA1608" s="6">
        <f t="shared" si="1499"/>
        <v>376</v>
      </c>
      <c r="BB1608">
        <f t="shared" si="1500"/>
        <v>18981</v>
      </c>
      <c r="BC1608" t="str">
        <f t="shared" si="1501"/>
        <v>Nelson</v>
      </c>
      <c r="BD1608" t="str">
        <f t="shared" si="1502"/>
        <v>Velodrome</v>
      </c>
      <c r="BE1608" t="s">
        <v>238</v>
      </c>
      <c r="BF1608" t="s">
        <v>184</v>
      </c>
      <c r="BG1608" t="s">
        <v>376</v>
      </c>
      <c r="BI1608" cm="1">
        <f t="array" ref="BI1608">IFERROR(_xlfn._xlws.FILTER(shifts!A:A,(shifts!B:B=events!AD1608)*(shifts!AG:AG&gt;=events!BK1608)*(shifts!AH:AH&lt;=events!BL1608)),BI1607)</f>
        <v>71</v>
      </c>
      <c r="BJ1608" s="15">
        <f t="shared" si="1503"/>
        <v>0</v>
      </c>
      <c r="BK1608">
        <f t="shared" si="1511"/>
        <v>53</v>
      </c>
      <c r="BL1608">
        <f t="shared" si="1512"/>
        <v>53</v>
      </c>
      <c r="BM1608" s="15">
        <f>SUMIFS(BJ$2:BJ1608,K$2:K1608,"=Intermission")+SUMIFS(BJ$2:BJ1608,K$2:K1608,"=Timeout")</f>
        <v>72</v>
      </c>
      <c r="BN1608">
        <f t="shared" si="1513"/>
        <v>1152</v>
      </c>
      <c r="BO1608" s="19">
        <f t="shared" si="1514"/>
        <v>2179</v>
      </c>
      <c r="BP1608">
        <f t="shared" si="1515"/>
        <v>2174</v>
      </c>
      <c r="BQ1608" s="17">
        <f t="shared" si="1516"/>
        <v>2179</v>
      </c>
      <c r="BR1608" t="str">
        <f t="shared" si="1517"/>
        <v>event_team_player_1</v>
      </c>
      <c r="BS1608">
        <f>COUNTIFS(S$3:S1608,"="&amp;S1608,AI$3:AI1608,"="&amp;AI1608)</f>
        <v>1</v>
      </c>
      <c r="BT1608" t="str">
        <f>IFERROR(VLOOKUP(BB1608&amp;BU1608&amp;X1608,game_rosters!U:W,3,FALSE),"")</f>
        <v>P100119</v>
      </c>
      <c r="BU1608" t="str">
        <f t="shared" si="1518"/>
        <v>Nelson</v>
      </c>
    </row>
    <row r="1609" spans="1:73" x14ac:dyDescent="0.2">
      <c r="A1609">
        <f t="shared" si="1504"/>
        <v>1</v>
      </c>
      <c r="J1609" s="44" t="str">
        <f t="shared" si="1519"/>
        <v>d</v>
      </c>
      <c r="K1609" t="s">
        <v>238</v>
      </c>
      <c r="L1609" t="s">
        <v>184</v>
      </c>
      <c r="M1609" t="s">
        <v>376</v>
      </c>
      <c r="S1609">
        <v>869</v>
      </c>
      <c r="W1609" t="str">
        <f t="shared" si="1495"/>
        <v>h</v>
      </c>
      <c r="X1609">
        <v>10</v>
      </c>
      <c r="Y1609" t="b">
        <f>IF(X1609&lt;&gt;"",VLOOKUP(X1609,game_rosters!$C$43:$E$64,3,FALSE))</f>
        <v>0</v>
      </c>
      <c r="Z1609" cm="1">
        <f t="array" ref="Z1609">IFERROR(IF(_xlfn._xlws.FILTER(game_rosters!$J:$J,(game_rosters!$G:$G=events!$AN1609)*(game_rosters!$J:$J=events!$X1609))&gt;0,1,""),"")</f>
        <v>1</v>
      </c>
      <c r="AA1609">
        <f t="shared" si="1453"/>
        <v>1869</v>
      </c>
      <c r="AB1609" t="str">
        <f t="shared" si="1454"/>
        <v/>
      </c>
      <c r="AC1609">
        <f t="shared" si="1492"/>
        <v>1869</v>
      </c>
      <c r="AD1609" s="6">
        <v>2</v>
      </c>
      <c r="AE1609" t="s">
        <v>742</v>
      </c>
      <c r="AF1609" t="s">
        <v>921</v>
      </c>
      <c r="AG1609" t="s">
        <v>756</v>
      </c>
      <c r="AH1609" t="s">
        <v>756</v>
      </c>
      <c r="AI1609" t="s">
        <v>367</v>
      </c>
      <c r="AJ1609" t="str">
        <f t="shared" ref="AJ1609:AK1609" si="1523">IF($J1609&lt;&gt;"",$J1609,IF($AC1609=$AC1608,AJ1608,""))</f>
        <v>d</v>
      </c>
      <c r="AK1609" t="str">
        <f t="shared" si="1523"/>
        <v>d</v>
      </c>
      <c r="AL1609" t="str">
        <f t="shared" si="1497"/>
        <v>d</v>
      </c>
      <c r="AN1609" t="s">
        <v>861</v>
      </c>
      <c r="AO1609" t="str">
        <f t="shared" si="1498"/>
        <v>h</v>
      </c>
      <c r="AP1609" t="str">
        <f t="shared" si="1506"/>
        <v>d</v>
      </c>
      <c r="AQ1609" t="str">
        <f t="shared" si="1507"/>
        <v/>
      </c>
      <c r="AR1609" t="str">
        <f t="shared" si="1508"/>
        <v>Home</v>
      </c>
      <c r="AS1609" t="str">
        <f t="shared" si="1509"/>
        <v>h</v>
      </c>
      <c r="AT1609" t="str">
        <f t="shared" si="1510"/>
        <v>Offensive</v>
      </c>
      <c r="BA1609" s="6">
        <f t="shared" si="1499"/>
        <v>377</v>
      </c>
      <c r="BB1609">
        <f t="shared" si="1500"/>
        <v>18981</v>
      </c>
      <c r="BC1609" t="str">
        <f t="shared" si="1501"/>
        <v>Nelson</v>
      </c>
      <c r="BD1609" t="str">
        <f t="shared" si="1502"/>
        <v>Velodrome</v>
      </c>
      <c r="BE1609" t="s">
        <v>238</v>
      </c>
      <c r="BF1609" t="s">
        <v>184</v>
      </c>
      <c r="BG1609" t="s">
        <v>376</v>
      </c>
      <c r="BI1609" cm="1">
        <f t="array" ref="BI1609">IFERROR(_xlfn._xlws.FILTER(shifts!A:A,(shifts!B:B=events!AD1609)*(shifts!AG:AG&gt;=events!BK1609)*(shifts!AH:AH&lt;=events!BL1609)),BI1608)</f>
        <v>71</v>
      </c>
      <c r="BJ1609" s="15">
        <f t="shared" si="1503"/>
        <v>0</v>
      </c>
      <c r="BK1609">
        <f t="shared" si="1511"/>
        <v>53</v>
      </c>
      <c r="BL1609">
        <f t="shared" si="1512"/>
        <v>53</v>
      </c>
      <c r="BM1609" s="15">
        <f>SUMIFS(BJ$2:BJ1609,K$2:K1609,"=Intermission")+SUMIFS(BJ$2:BJ1609,K$2:K1609,"=Timeout")</f>
        <v>72</v>
      </c>
      <c r="BN1609">
        <f t="shared" si="1513"/>
        <v>1152</v>
      </c>
      <c r="BO1609" s="19">
        <f t="shared" si="1514"/>
        <v>2179</v>
      </c>
      <c r="BP1609">
        <f t="shared" si="1515"/>
        <v>2174</v>
      </c>
      <c r="BQ1609" s="17">
        <f t="shared" si="1516"/>
        <v>2179</v>
      </c>
      <c r="BR1609" t="str">
        <f t="shared" si="1517"/>
        <v>event_team_player_2</v>
      </c>
      <c r="BS1609">
        <f>COUNTIFS(S$3:S1609,"="&amp;S1609,AI$3:AI1609,"="&amp;AI1609)</f>
        <v>2</v>
      </c>
      <c r="BT1609" t="str">
        <f>IFERROR(VLOOKUP(BB1609&amp;BU1609&amp;X1609,game_rosters!U:W,3,FALSE),"")</f>
        <v>P100078</v>
      </c>
      <c r="BU1609" t="str">
        <f t="shared" si="1518"/>
        <v>Nelson</v>
      </c>
    </row>
    <row r="1610" spans="1:73" x14ac:dyDescent="0.2">
      <c r="A1610">
        <f t="shared" si="1504"/>
        <v>1</v>
      </c>
      <c r="J1610" s="44" t="str">
        <f t="shared" si="1519"/>
        <v>o</v>
      </c>
      <c r="K1610" t="s">
        <v>238</v>
      </c>
      <c r="L1610" t="s">
        <v>174</v>
      </c>
      <c r="M1610" t="s">
        <v>87</v>
      </c>
      <c r="S1610">
        <v>870</v>
      </c>
      <c r="W1610" t="str">
        <f t="shared" si="1495"/>
        <v>h</v>
      </c>
      <c r="X1610">
        <v>10</v>
      </c>
      <c r="Y1610" t="b">
        <f>IF(X1610&lt;&gt;"",VLOOKUP(X1610,game_rosters!$C$43:$E$64,3,FALSE))</f>
        <v>0</v>
      </c>
      <c r="Z1610" cm="1">
        <f t="array" ref="Z1610">IFERROR(IF(_xlfn._xlws.FILTER(game_rosters!$J:$J,(game_rosters!$G:$G=events!$AN1610)*(game_rosters!$J:$J=events!$X1610))&gt;0,1,""),"")</f>
        <v>1</v>
      </c>
      <c r="AA1610">
        <f t="shared" si="1453"/>
        <v>1870</v>
      </c>
      <c r="AB1610" t="str">
        <f t="shared" si="1454"/>
        <v/>
      </c>
      <c r="AC1610">
        <f t="shared" si="1492"/>
        <v>1870</v>
      </c>
      <c r="AD1610" s="6">
        <v>2</v>
      </c>
      <c r="AE1610" t="s">
        <v>742</v>
      </c>
      <c r="AF1610" t="s">
        <v>751</v>
      </c>
      <c r="AG1610" t="s">
        <v>756</v>
      </c>
      <c r="AH1610" t="s">
        <v>756</v>
      </c>
      <c r="AI1610" t="s">
        <v>367</v>
      </c>
      <c r="AJ1610" t="str">
        <f t="shared" ref="AJ1610:AK1610" si="1524">IF($J1610&lt;&gt;"",$J1610,IF($AC1610=$AC1609,AJ1609,""))</f>
        <v>o</v>
      </c>
      <c r="AK1610" t="str">
        <f t="shared" si="1524"/>
        <v>o</v>
      </c>
      <c r="AL1610" t="str">
        <f t="shared" si="1497"/>
        <v>o</v>
      </c>
      <c r="AN1610" t="s">
        <v>861</v>
      </c>
      <c r="AO1610" t="str">
        <f t="shared" si="1498"/>
        <v>h</v>
      </c>
      <c r="AP1610" t="str">
        <f t="shared" si="1506"/>
        <v>o</v>
      </c>
      <c r="AQ1610" t="str">
        <f t="shared" si="1507"/>
        <v/>
      </c>
      <c r="AR1610" t="str">
        <f t="shared" si="1508"/>
        <v>Home</v>
      </c>
      <c r="AS1610" t="str">
        <f t="shared" si="1509"/>
        <v>h</v>
      </c>
      <c r="AT1610" t="str">
        <f t="shared" si="1510"/>
        <v>Offensive</v>
      </c>
      <c r="BA1610" s="6">
        <f t="shared" si="1499"/>
        <v>378</v>
      </c>
      <c r="BB1610">
        <f t="shared" si="1500"/>
        <v>18981</v>
      </c>
      <c r="BC1610" t="str">
        <f t="shared" si="1501"/>
        <v>Nelson</v>
      </c>
      <c r="BD1610" t="str">
        <f t="shared" si="1502"/>
        <v>Velodrome</v>
      </c>
      <c r="BE1610" t="s">
        <v>238</v>
      </c>
      <c r="BF1610" t="s">
        <v>174</v>
      </c>
      <c r="BG1610" t="s">
        <v>87</v>
      </c>
      <c r="BI1610" cm="1">
        <f t="array" ref="BI1610">IFERROR(_xlfn._xlws.FILTER(shifts!A:A,(shifts!B:B=events!AD1610)*(shifts!AG:AG&gt;=events!BK1610)*(shifts!AH:AH&lt;=events!BL1610)),BI1609)</f>
        <v>71</v>
      </c>
      <c r="BJ1610" s="15">
        <f t="shared" si="1503"/>
        <v>0</v>
      </c>
      <c r="BK1610">
        <f t="shared" si="1511"/>
        <v>49</v>
      </c>
      <c r="BL1610">
        <f t="shared" si="1512"/>
        <v>49</v>
      </c>
      <c r="BM1610" s="15">
        <f>SUMIFS(BJ$2:BJ1610,K$2:K1610,"=Intermission")+SUMIFS(BJ$2:BJ1610,K$2:K1610,"=Timeout")</f>
        <v>72</v>
      </c>
      <c r="BN1610">
        <f t="shared" si="1513"/>
        <v>1152</v>
      </c>
      <c r="BO1610" s="19">
        <f t="shared" si="1514"/>
        <v>2183</v>
      </c>
      <c r="BP1610">
        <f t="shared" si="1515"/>
        <v>2178</v>
      </c>
      <c r="BQ1610" s="17">
        <f t="shared" si="1516"/>
        <v>2183</v>
      </c>
      <c r="BR1610" t="str">
        <f t="shared" si="1517"/>
        <v>event_team_player_1</v>
      </c>
      <c r="BS1610">
        <f>COUNTIFS(S$3:S1610,"="&amp;S1610,AI$3:AI1610,"="&amp;AI1610)</f>
        <v>1</v>
      </c>
      <c r="BT1610" t="str">
        <f>IFERROR(VLOOKUP(BB1610&amp;BU1610&amp;X1610,game_rosters!U:W,3,FALSE),"")</f>
        <v>P100078</v>
      </c>
      <c r="BU1610" t="str">
        <f t="shared" si="1518"/>
        <v>Nelson</v>
      </c>
    </row>
    <row r="1611" spans="1:73" x14ac:dyDescent="0.2">
      <c r="A1611">
        <f t="shared" si="1504"/>
        <v>1</v>
      </c>
      <c r="J1611" s="44" t="str">
        <f t="shared" si="1519"/>
        <v/>
      </c>
      <c r="K1611" t="s">
        <v>9</v>
      </c>
      <c r="L1611" t="s">
        <v>173</v>
      </c>
      <c r="M1611" t="s">
        <v>354</v>
      </c>
      <c r="S1611">
        <v>871</v>
      </c>
      <c r="W1611" t="str">
        <f t="shared" si="1495"/>
        <v>h</v>
      </c>
      <c r="X1611">
        <v>10</v>
      </c>
      <c r="Y1611" t="b">
        <f>IF(X1611&lt;&gt;"",VLOOKUP(X1611,game_rosters!$C$43:$E$64,3,FALSE))</f>
        <v>0</v>
      </c>
      <c r="Z1611" cm="1">
        <f t="array" ref="Z1611">IFERROR(IF(_xlfn._xlws.FILTER(game_rosters!$J:$J,(game_rosters!$G:$G=events!$AN1611)*(game_rosters!$J:$J=events!$X1611))&gt;0,1,""),"")</f>
        <v>1</v>
      </c>
      <c r="AA1611">
        <f t="shared" si="1453"/>
        <v>1871</v>
      </c>
      <c r="AB1611" t="str">
        <f t="shared" si="1454"/>
        <v/>
      </c>
      <c r="AC1611">
        <f t="shared" si="1492"/>
        <v>1871</v>
      </c>
      <c r="AD1611" s="6">
        <v>2</v>
      </c>
      <c r="AE1611" t="s">
        <v>742</v>
      </c>
      <c r="AF1611" t="s">
        <v>751</v>
      </c>
      <c r="AG1611" t="s">
        <v>756</v>
      </c>
      <c r="AH1611" t="s">
        <v>756</v>
      </c>
      <c r="AI1611" t="s">
        <v>367</v>
      </c>
      <c r="AJ1611" t="str">
        <f t="shared" ref="AJ1611:AK1611" si="1525">IF($J1611&lt;&gt;"",$J1611,IF($AC1611=$AC1610,AJ1610,""))</f>
        <v/>
      </c>
      <c r="AK1611" t="str">
        <f t="shared" si="1525"/>
        <v/>
      </c>
      <c r="AL1611" t="str">
        <f t="shared" si="1497"/>
        <v/>
      </c>
      <c r="AN1611" t="s">
        <v>861</v>
      </c>
      <c r="AO1611" t="str">
        <f t="shared" si="1498"/>
        <v>h</v>
      </c>
      <c r="AP1611" t="str">
        <f t="shared" si="1506"/>
        <v/>
      </c>
      <c r="AQ1611" t="str">
        <f t="shared" si="1507"/>
        <v/>
      </c>
      <c r="AR1611" t="str">
        <f t="shared" si="1508"/>
        <v>Home</v>
      </c>
      <c r="AS1611" t="str">
        <f t="shared" si="1509"/>
        <v>h</v>
      </c>
      <c r="AT1611" t="str">
        <f t="shared" si="1510"/>
        <v>Offensive</v>
      </c>
      <c r="BA1611" s="6">
        <f t="shared" si="1499"/>
        <v>378</v>
      </c>
      <c r="BB1611">
        <f t="shared" si="1500"/>
        <v>18981</v>
      </c>
      <c r="BC1611" t="str">
        <f t="shared" si="1501"/>
        <v>Nelson</v>
      </c>
      <c r="BD1611" t="str">
        <f t="shared" si="1502"/>
        <v>Velodrome</v>
      </c>
      <c r="BE1611" t="s">
        <v>9</v>
      </c>
      <c r="BF1611" t="s">
        <v>173</v>
      </c>
      <c r="BG1611" t="s">
        <v>354</v>
      </c>
      <c r="BI1611" cm="1">
        <f t="array" ref="BI1611">IFERROR(_xlfn._xlws.FILTER(shifts!A:A,(shifts!B:B=events!AD1611)*(shifts!AG:AG&gt;=events!BK1611)*(shifts!AH:AH&lt;=events!BL1611)),BI1610)</f>
        <v>71</v>
      </c>
      <c r="BJ1611" s="15">
        <f t="shared" si="1503"/>
        <v>0</v>
      </c>
      <c r="BK1611">
        <f t="shared" si="1511"/>
        <v>49</v>
      </c>
      <c r="BL1611">
        <f t="shared" si="1512"/>
        <v>49</v>
      </c>
      <c r="BM1611" s="15">
        <f>SUMIFS(BJ$2:BJ1611,K$2:K1611,"=Intermission")+SUMIFS(BJ$2:BJ1611,K$2:K1611,"=Timeout")</f>
        <v>72</v>
      </c>
      <c r="BN1611">
        <f t="shared" si="1513"/>
        <v>1152</v>
      </c>
      <c r="BO1611" s="19">
        <f t="shared" si="1514"/>
        <v>2183</v>
      </c>
      <c r="BP1611">
        <f t="shared" si="1515"/>
        <v>2178</v>
      </c>
      <c r="BQ1611" s="17">
        <f t="shared" si="1516"/>
        <v>2183</v>
      </c>
      <c r="BR1611" t="str">
        <f t="shared" si="1517"/>
        <v>event_team_player_1</v>
      </c>
      <c r="BS1611">
        <f>COUNTIFS(S$3:S1611,"="&amp;S1611,AI$3:AI1611,"="&amp;AI1611)</f>
        <v>1</v>
      </c>
      <c r="BT1611" t="str">
        <f>IFERROR(VLOOKUP(BB1611&amp;BU1611&amp;X1611,game_rosters!U:W,3,FALSE),"")</f>
        <v>P100078</v>
      </c>
      <c r="BU1611" t="str">
        <f t="shared" si="1518"/>
        <v>Nelson</v>
      </c>
    </row>
    <row r="1612" spans="1:73" x14ac:dyDescent="0.2">
      <c r="A1612">
        <f t="shared" si="1504"/>
        <v>1</v>
      </c>
      <c r="J1612" s="44" t="str">
        <f t="shared" si="1519"/>
        <v/>
      </c>
      <c r="K1612" t="s">
        <v>9</v>
      </c>
      <c r="L1612" t="s">
        <v>173</v>
      </c>
      <c r="M1612" t="s">
        <v>365</v>
      </c>
      <c r="S1612">
        <v>872</v>
      </c>
      <c r="W1612" t="str">
        <f t="shared" si="1495"/>
        <v>a</v>
      </c>
      <c r="X1612">
        <v>52</v>
      </c>
      <c r="Y1612" t="e">
        <f>IF(X1612&lt;&gt;"",VLOOKUP(X1612,game_rosters!$C$43:$E$64,3,FALSE))</f>
        <v>#N/A</v>
      </c>
      <c r="Z1612" cm="1">
        <f t="array" ref="Z1612">IFERROR(IF(_xlfn._xlws.FILTER(game_rosters!$J:$J,(game_rosters!$G:$G=events!$AN1612)*(game_rosters!$J:$J=events!$X1612))&gt;0,1,""),"")</f>
        <v>1</v>
      </c>
      <c r="AA1612">
        <f t="shared" si="1453"/>
        <v>1872</v>
      </c>
      <c r="AB1612" t="str">
        <f t="shared" si="1454"/>
        <v/>
      </c>
      <c r="AC1612">
        <f t="shared" si="1492"/>
        <v>1872</v>
      </c>
      <c r="AD1612" s="6">
        <v>2</v>
      </c>
      <c r="AE1612" t="s">
        <v>742</v>
      </c>
      <c r="AF1612" t="s">
        <v>923</v>
      </c>
      <c r="AG1612" t="s">
        <v>756</v>
      </c>
      <c r="AH1612" t="s">
        <v>756</v>
      </c>
      <c r="AI1612" t="s">
        <v>367</v>
      </c>
      <c r="AJ1612" t="str">
        <f t="shared" ref="AJ1612:AK1612" si="1526">IF($J1612&lt;&gt;"",$J1612,IF($AC1612=$AC1611,AJ1611,""))</f>
        <v/>
      </c>
      <c r="AK1612" t="str">
        <f t="shared" si="1526"/>
        <v/>
      </c>
      <c r="AL1612" t="str">
        <f t="shared" si="1497"/>
        <v/>
      </c>
      <c r="AN1612" t="s">
        <v>862</v>
      </c>
      <c r="AO1612" t="str">
        <f t="shared" si="1498"/>
        <v>a</v>
      </c>
      <c r="AP1612" t="str">
        <f t="shared" si="1506"/>
        <v/>
      </c>
      <c r="AQ1612" t="str">
        <f t="shared" si="1507"/>
        <v/>
      </c>
      <c r="AR1612" t="str">
        <f t="shared" si="1508"/>
        <v>Away</v>
      </c>
      <c r="AS1612" t="str">
        <f t="shared" si="1509"/>
        <v>a</v>
      </c>
      <c r="AT1612" t="str">
        <f t="shared" si="1510"/>
        <v>Offensive</v>
      </c>
      <c r="BA1612" s="6">
        <f t="shared" si="1499"/>
        <v>378</v>
      </c>
      <c r="BB1612">
        <f t="shared" si="1500"/>
        <v>18981</v>
      </c>
      <c r="BC1612" t="str">
        <f t="shared" si="1501"/>
        <v>Nelson</v>
      </c>
      <c r="BD1612" t="str">
        <f t="shared" si="1502"/>
        <v>Velodrome</v>
      </c>
      <c r="BE1612" t="s">
        <v>9</v>
      </c>
      <c r="BF1612" t="s">
        <v>173</v>
      </c>
      <c r="BG1612" t="s">
        <v>365</v>
      </c>
      <c r="BI1612" t="e" cm="1" vm="2">
        <f t="array" aca="1" ref="BI1612" ca="1">IFERROR(_xlfn._xlws.FILTER(shifts!A:A,(shifts!B:B=events!AD1612)*(shifts!AG:AG&gt;=events!BK1612)*(shifts!AH:AH&lt;=events!BL1612)),BI1611)</f>
        <v>#VALUE!</v>
      </c>
      <c r="BJ1612" s="15">
        <f t="shared" si="1503"/>
        <v>0</v>
      </c>
      <c r="BK1612">
        <f t="shared" si="1511"/>
        <v>44</v>
      </c>
      <c r="BL1612">
        <f t="shared" si="1512"/>
        <v>44</v>
      </c>
      <c r="BM1612" s="15">
        <f>SUMIFS(BJ$2:BJ1612,K$2:K1612,"=Intermission")+SUMIFS(BJ$2:BJ1612,K$2:K1612,"=Timeout")</f>
        <v>72</v>
      </c>
      <c r="BN1612">
        <f t="shared" si="1513"/>
        <v>1152</v>
      </c>
      <c r="BO1612" s="19">
        <f t="shared" si="1514"/>
        <v>2188</v>
      </c>
      <c r="BP1612">
        <f t="shared" si="1515"/>
        <v>2183</v>
      </c>
      <c r="BQ1612" s="17">
        <f t="shared" si="1516"/>
        <v>2188</v>
      </c>
      <c r="BR1612" t="str">
        <f t="shared" si="1517"/>
        <v>event_team_player_1</v>
      </c>
      <c r="BS1612">
        <f>COUNTIFS(S$3:S1612,"="&amp;S1612,AI$3:AI1612,"="&amp;AI1612)</f>
        <v>1</v>
      </c>
      <c r="BT1612" t="str">
        <f>IFERROR(VLOOKUP(BB1612&amp;BU1612&amp;X1612,game_rosters!U:W,3,FALSE),"")</f>
        <v>P100070</v>
      </c>
      <c r="BU1612" t="str">
        <f t="shared" si="1518"/>
        <v>Velodrome</v>
      </c>
    </row>
    <row r="1613" spans="1:73" x14ac:dyDescent="0.2">
      <c r="A1613">
        <f t="shared" si="1504"/>
        <v>1</v>
      </c>
      <c r="J1613" s="44" t="str">
        <f t="shared" si="1519"/>
        <v/>
      </c>
      <c r="K1613" t="s">
        <v>7</v>
      </c>
      <c r="L1613" t="s">
        <v>172</v>
      </c>
      <c r="M1613" t="s">
        <v>68</v>
      </c>
      <c r="S1613">
        <v>873</v>
      </c>
      <c r="W1613" t="str">
        <f t="shared" si="1495"/>
        <v>h</v>
      </c>
      <c r="X1613">
        <v>79</v>
      </c>
      <c r="Y1613" t="b">
        <f>IF(X1613&lt;&gt;"",VLOOKUP(X1613,game_rosters!$C$43:$E$64,3,FALSE))</f>
        <v>0</v>
      </c>
      <c r="Z1613" cm="1">
        <f t="array" ref="Z1613">IFERROR(IF(_xlfn._xlws.FILTER(game_rosters!$J:$J,(game_rosters!$G:$G=events!$AN1613)*(game_rosters!$J:$J=events!$X1613))&gt;0,1,""),"")</f>
        <v>1</v>
      </c>
      <c r="AA1613">
        <f t="shared" si="1453"/>
        <v>1873</v>
      </c>
      <c r="AB1613" t="str">
        <f t="shared" si="1454"/>
        <v/>
      </c>
      <c r="AC1613">
        <f t="shared" si="1492"/>
        <v>1873</v>
      </c>
      <c r="AD1613" s="6">
        <v>2</v>
      </c>
      <c r="AE1613" t="s">
        <v>742</v>
      </c>
      <c r="AF1613" t="s">
        <v>749</v>
      </c>
      <c r="AG1613" t="s">
        <v>756</v>
      </c>
      <c r="AH1613" t="s">
        <v>756</v>
      </c>
      <c r="AI1613" t="s">
        <v>367</v>
      </c>
      <c r="AJ1613" t="str">
        <f t="shared" ref="AJ1613:AK1613" si="1527">IF($J1613&lt;&gt;"",$J1613,IF($AC1613=$AC1612,AJ1612,""))</f>
        <v/>
      </c>
      <c r="AK1613" t="str">
        <f t="shared" si="1527"/>
        <v/>
      </c>
      <c r="AL1613" t="str">
        <f t="shared" si="1497"/>
        <v/>
      </c>
      <c r="AN1613" t="s">
        <v>861</v>
      </c>
      <c r="AO1613" t="str">
        <f t="shared" si="1498"/>
        <v>h</v>
      </c>
      <c r="AP1613" t="str">
        <f t="shared" si="1506"/>
        <v/>
      </c>
      <c r="AQ1613" t="str">
        <f t="shared" si="1507"/>
        <v/>
      </c>
      <c r="AR1613" t="str">
        <f t="shared" si="1508"/>
        <v>Home</v>
      </c>
      <c r="AS1613" t="str">
        <f t="shared" si="1509"/>
        <v>h</v>
      </c>
      <c r="AT1613" t="str">
        <f t="shared" si="1510"/>
        <v>Offensive</v>
      </c>
      <c r="BA1613" s="6">
        <f t="shared" si="1499"/>
        <v>378</v>
      </c>
      <c r="BB1613">
        <f t="shared" si="1500"/>
        <v>18981</v>
      </c>
      <c r="BC1613" t="str">
        <f t="shared" si="1501"/>
        <v>Nelson</v>
      </c>
      <c r="BD1613" t="str">
        <f t="shared" si="1502"/>
        <v>Velodrome</v>
      </c>
      <c r="BE1613" t="s">
        <v>7</v>
      </c>
      <c r="BF1613" t="s">
        <v>172</v>
      </c>
      <c r="BG1613" t="s">
        <v>68</v>
      </c>
      <c r="BI1613" cm="1">
        <f t="array" aca="1" ref="BI1613" ca="1">IFERROR(_xlfn._xlws.FILTER(shifts!A:A,(shifts!B:B=events!AD1613)*(shifts!AG:AG&gt;=events!BK1613)*(shifts!AH:AH&lt;=events!BL1613)),BI1612)</f>
        <v>72</v>
      </c>
      <c r="BJ1613" s="15">
        <f t="shared" si="1503"/>
        <v>0</v>
      </c>
      <c r="BK1613">
        <f t="shared" si="1511"/>
        <v>39</v>
      </c>
      <c r="BL1613">
        <f t="shared" si="1512"/>
        <v>39</v>
      </c>
      <c r="BM1613" s="15">
        <f>SUMIFS(BJ$2:BJ1613,K$2:K1613,"=Intermission")+SUMIFS(BJ$2:BJ1613,K$2:K1613,"=Timeout")</f>
        <v>72</v>
      </c>
      <c r="BN1613">
        <f t="shared" si="1513"/>
        <v>1152</v>
      </c>
      <c r="BO1613" s="19">
        <f t="shared" si="1514"/>
        <v>2193</v>
      </c>
      <c r="BP1613">
        <f t="shared" si="1515"/>
        <v>2188</v>
      </c>
      <c r="BQ1613" s="17">
        <f t="shared" si="1516"/>
        <v>2193</v>
      </c>
      <c r="BR1613" t="str">
        <f t="shared" si="1517"/>
        <v>event_team_player_1</v>
      </c>
      <c r="BS1613">
        <f>COUNTIFS(S$3:S1613,"="&amp;S1613,AI$3:AI1613,"="&amp;AI1613)</f>
        <v>1</v>
      </c>
      <c r="BT1613" t="str">
        <f>IFERROR(VLOOKUP(BB1613&amp;BU1613&amp;X1613,game_rosters!U:W,3,FALSE),"")</f>
        <v>P100066</v>
      </c>
      <c r="BU1613" t="str">
        <f t="shared" si="1518"/>
        <v>Nelson</v>
      </c>
    </row>
    <row r="1614" spans="1:73" x14ac:dyDescent="0.2">
      <c r="A1614">
        <f t="shared" si="1504"/>
        <v>1</v>
      </c>
      <c r="J1614" s="44" t="str">
        <f t="shared" si="1519"/>
        <v/>
      </c>
      <c r="K1614" t="s">
        <v>7</v>
      </c>
      <c r="L1614" t="s">
        <v>172</v>
      </c>
      <c r="M1614" t="s">
        <v>68</v>
      </c>
      <c r="S1614">
        <v>873</v>
      </c>
      <c r="W1614" t="str">
        <f t="shared" si="1495"/>
        <v>h</v>
      </c>
      <c r="X1614">
        <v>16</v>
      </c>
      <c r="Y1614" t="b">
        <f>IF(X1614&lt;&gt;"",VLOOKUP(X1614,game_rosters!$C$43:$E$64,3,FALSE))</f>
        <v>0</v>
      </c>
      <c r="Z1614" cm="1">
        <f t="array" ref="Z1614">IFERROR(IF(_xlfn._xlws.FILTER(game_rosters!$J:$J,(game_rosters!$G:$G=events!$AN1614)*(game_rosters!$J:$J=events!$X1614))&gt;0,1,""),"")</f>
        <v>1</v>
      </c>
      <c r="AA1614">
        <f t="shared" si="1453"/>
        <v>1873</v>
      </c>
      <c r="AB1614" t="str">
        <f t="shared" si="1454"/>
        <v/>
      </c>
      <c r="AC1614">
        <f t="shared" si="1492"/>
        <v>1873</v>
      </c>
      <c r="AD1614" s="6">
        <v>2</v>
      </c>
      <c r="AE1614" t="s">
        <v>742</v>
      </c>
      <c r="AF1614" t="s">
        <v>749</v>
      </c>
      <c r="AG1614" t="s">
        <v>756</v>
      </c>
      <c r="AH1614" t="s">
        <v>756</v>
      </c>
      <c r="AI1614" t="s">
        <v>367</v>
      </c>
      <c r="AJ1614" t="str">
        <f t="shared" ref="AJ1614:AK1614" si="1528">IF($J1614&lt;&gt;"",$J1614,IF($AC1614=$AC1613,AJ1613,""))</f>
        <v/>
      </c>
      <c r="AK1614" t="str">
        <f t="shared" si="1528"/>
        <v/>
      </c>
      <c r="AL1614" t="str">
        <f t="shared" si="1497"/>
        <v/>
      </c>
      <c r="AN1614" t="s">
        <v>861</v>
      </c>
      <c r="AO1614" t="str">
        <f t="shared" si="1498"/>
        <v>h</v>
      </c>
      <c r="AP1614" t="str">
        <f t="shared" si="1506"/>
        <v/>
      </c>
      <c r="AQ1614" t="str">
        <f t="shared" si="1507"/>
        <v/>
      </c>
      <c r="AR1614" t="str">
        <f t="shared" si="1508"/>
        <v>Home</v>
      </c>
      <c r="AS1614" t="str">
        <f t="shared" si="1509"/>
        <v>h</v>
      </c>
      <c r="AT1614" t="str">
        <f t="shared" si="1510"/>
        <v>Offensive</v>
      </c>
      <c r="BA1614" s="6">
        <f t="shared" si="1499"/>
        <v>378</v>
      </c>
      <c r="BB1614">
        <f t="shared" si="1500"/>
        <v>18981</v>
      </c>
      <c r="BC1614" t="str">
        <f t="shared" si="1501"/>
        <v>Nelson</v>
      </c>
      <c r="BD1614" t="str">
        <f t="shared" si="1502"/>
        <v>Velodrome</v>
      </c>
      <c r="BE1614" t="s">
        <v>7</v>
      </c>
      <c r="BF1614" t="s">
        <v>172</v>
      </c>
      <c r="BG1614" t="s">
        <v>68</v>
      </c>
      <c r="BI1614" cm="1">
        <f t="array" aca="1" ref="BI1614" ca="1">IFERROR(_xlfn._xlws.FILTER(shifts!A:A,(shifts!B:B=events!AD1614)*(shifts!AG:AG&gt;=events!BK1614)*(shifts!AH:AH&lt;=events!BL1614)),BI1613)</f>
        <v>72</v>
      </c>
      <c r="BJ1614" s="15">
        <f t="shared" si="1503"/>
        <v>0</v>
      </c>
      <c r="BK1614">
        <f t="shared" si="1511"/>
        <v>39</v>
      </c>
      <c r="BL1614">
        <f t="shared" si="1512"/>
        <v>39</v>
      </c>
      <c r="BM1614" s="15">
        <f>SUMIFS(BJ$2:BJ1614,K$2:K1614,"=Intermission")+SUMIFS(BJ$2:BJ1614,K$2:K1614,"=Timeout")</f>
        <v>72</v>
      </c>
      <c r="BN1614">
        <f t="shared" si="1513"/>
        <v>1152</v>
      </c>
      <c r="BO1614" s="19">
        <f t="shared" si="1514"/>
        <v>2193</v>
      </c>
      <c r="BP1614">
        <f t="shared" si="1515"/>
        <v>2188</v>
      </c>
      <c r="BQ1614" s="17">
        <f t="shared" si="1516"/>
        <v>2193</v>
      </c>
      <c r="BR1614" t="str">
        <f t="shared" si="1517"/>
        <v>event_team_player_2</v>
      </c>
      <c r="BS1614">
        <f>COUNTIFS(S$3:S1614,"="&amp;S1614,AI$3:AI1614,"="&amp;AI1614)</f>
        <v>2</v>
      </c>
      <c r="BT1614" t="str">
        <f>IFERROR(VLOOKUP(BB1614&amp;BU1614&amp;X1614,game_rosters!U:W,3,FALSE),"")</f>
        <v>P100164</v>
      </c>
      <c r="BU1614" t="str">
        <f t="shared" si="1518"/>
        <v>Nelson</v>
      </c>
    </row>
    <row r="1615" spans="1:73" x14ac:dyDescent="0.2">
      <c r="A1615">
        <f t="shared" si="1504"/>
        <v>1</v>
      </c>
      <c r="J1615" s="44" t="str">
        <f t="shared" si="1519"/>
        <v/>
      </c>
      <c r="K1615" t="s">
        <v>7</v>
      </c>
      <c r="L1615" t="s">
        <v>172</v>
      </c>
      <c r="M1615" t="s">
        <v>68</v>
      </c>
      <c r="S1615">
        <v>873</v>
      </c>
      <c r="W1615" t="str">
        <f t="shared" si="1495"/>
        <v>h</v>
      </c>
      <c r="X1615">
        <v>61</v>
      </c>
      <c r="Y1615" t="e">
        <f>IF(X1615&lt;&gt;"",VLOOKUP(X1615,game_rosters!$C$43:$E$64,3,FALSE))</f>
        <v>#N/A</v>
      </c>
      <c r="Z1615" t="str" cm="1">
        <f t="array" ref="Z1615">IFERROR(IF(_xlfn._xlws.FILTER(game_rosters!$J:$J,(game_rosters!$G:$G=events!$AN1615)*(game_rosters!$J:$J=events!$X1615))&gt;0,1,""),"")</f>
        <v/>
      </c>
      <c r="AA1615">
        <f t="shared" si="1453"/>
        <v>1873</v>
      </c>
      <c r="AB1615" t="str">
        <f t="shared" si="1454"/>
        <v/>
      </c>
      <c r="AC1615">
        <f t="shared" si="1492"/>
        <v>1873</v>
      </c>
      <c r="AD1615" s="6">
        <v>2</v>
      </c>
      <c r="AE1615" t="s">
        <v>742</v>
      </c>
      <c r="AF1615" t="s">
        <v>749</v>
      </c>
      <c r="AG1615" t="s">
        <v>756</v>
      </c>
      <c r="AH1615" t="s">
        <v>756</v>
      </c>
      <c r="AI1615" t="s">
        <v>368</v>
      </c>
      <c r="AJ1615" t="str">
        <f t="shared" ref="AJ1615:AK1615" si="1529">IF($J1615&lt;&gt;"",$J1615,IF($AC1615=$AC1614,AJ1614,""))</f>
        <v/>
      </c>
      <c r="AK1615" t="str">
        <f t="shared" si="1529"/>
        <v/>
      </c>
      <c r="AL1615" t="str">
        <f t="shared" si="1497"/>
        <v/>
      </c>
      <c r="AN1615" t="s">
        <v>861</v>
      </c>
      <c r="AO1615" t="str">
        <f t="shared" si="1498"/>
        <v>h</v>
      </c>
      <c r="AP1615" t="str">
        <f t="shared" si="1506"/>
        <v/>
      </c>
      <c r="AQ1615" t="str">
        <f t="shared" si="1507"/>
        <v/>
      </c>
      <c r="AR1615" t="str">
        <f t="shared" si="1508"/>
        <v>Home</v>
      </c>
      <c r="AS1615" t="str">
        <f t="shared" si="1509"/>
        <v>h</v>
      </c>
      <c r="AT1615" t="str">
        <f t="shared" si="1510"/>
        <v>Defensive</v>
      </c>
      <c r="BA1615" s="6">
        <f t="shared" si="1499"/>
        <v>378</v>
      </c>
      <c r="BB1615">
        <f t="shared" si="1500"/>
        <v>18981</v>
      </c>
      <c r="BC1615" t="str">
        <f t="shared" si="1501"/>
        <v>Nelson</v>
      </c>
      <c r="BD1615" t="str">
        <f t="shared" si="1502"/>
        <v>Velodrome</v>
      </c>
      <c r="BE1615" t="s">
        <v>7</v>
      </c>
      <c r="BF1615" t="s">
        <v>172</v>
      </c>
      <c r="BG1615" t="s">
        <v>68</v>
      </c>
      <c r="BI1615" cm="1">
        <f t="array" aca="1" ref="BI1615" ca="1">IFERROR(_xlfn._xlws.FILTER(shifts!A:A,(shifts!B:B=events!AD1615)*(shifts!AG:AG&gt;=events!BK1615)*(shifts!AH:AH&lt;=events!BL1615)),BI1614)</f>
        <v>72</v>
      </c>
      <c r="BJ1615" s="15">
        <f t="shared" si="1503"/>
        <v>0</v>
      </c>
      <c r="BK1615">
        <f t="shared" si="1511"/>
        <v>39</v>
      </c>
      <c r="BL1615">
        <f t="shared" si="1512"/>
        <v>39</v>
      </c>
      <c r="BM1615" s="15">
        <f>SUMIFS(BJ$2:BJ1615,K$2:K1615,"=Intermission")+SUMIFS(BJ$2:BJ1615,K$2:K1615,"=Timeout")</f>
        <v>72</v>
      </c>
      <c r="BN1615">
        <f t="shared" si="1513"/>
        <v>1152</v>
      </c>
      <c r="BO1615" s="19">
        <f t="shared" si="1514"/>
        <v>2193</v>
      </c>
      <c r="BP1615">
        <f t="shared" si="1515"/>
        <v>2188</v>
      </c>
      <c r="BQ1615" s="17">
        <f t="shared" si="1516"/>
        <v>2193</v>
      </c>
      <c r="BR1615" t="str">
        <f t="shared" si="1517"/>
        <v>opp_team_player_1</v>
      </c>
      <c r="BS1615">
        <f>COUNTIFS(S$3:S1615,"="&amp;S1615,AI$3:AI1615,"="&amp;AI1615)</f>
        <v>1</v>
      </c>
      <c r="BT1615" t="str">
        <f>IFERROR(VLOOKUP(BB1615&amp;BU1615&amp;X1615,game_rosters!U:W,3,FALSE),"")</f>
        <v>P100224</v>
      </c>
      <c r="BU1615" t="str">
        <f t="shared" si="1518"/>
        <v>Velodrome</v>
      </c>
    </row>
    <row r="1616" spans="1:73" x14ac:dyDescent="0.2">
      <c r="A1616">
        <f t="shared" si="1504"/>
        <v>1</v>
      </c>
      <c r="J1616" s="44" t="str">
        <f t="shared" si="1519"/>
        <v>o</v>
      </c>
      <c r="K1616" t="s">
        <v>6</v>
      </c>
      <c r="L1616" t="s">
        <v>205</v>
      </c>
      <c r="M1616" t="s">
        <v>56</v>
      </c>
      <c r="S1616">
        <v>874</v>
      </c>
      <c r="W1616" t="str">
        <f t="shared" si="1495"/>
        <v>h</v>
      </c>
      <c r="X1616">
        <v>16</v>
      </c>
      <c r="Y1616" t="b">
        <f>IF(X1616&lt;&gt;"",VLOOKUP(X1616,game_rosters!$C$43:$E$64,3,FALSE))</f>
        <v>0</v>
      </c>
      <c r="Z1616" cm="1">
        <f t="array" ref="Z1616">IFERROR(IF(_xlfn._xlws.FILTER(game_rosters!$J:$J,(game_rosters!$G:$G=events!$AN1616)*(game_rosters!$J:$J=events!$X1616))&gt;0,1,""),"")</f>
        <v>1</v>
      </c>
      <c r="AA1616">
        <f t="shared" si="1453"/>
        <v>1874</v>
      </c>
      <c r="AB1616" t="str">
        <f t="shared" si="1454"/>
        <v/>
      </c>
      <c r="AC1616">
        <f t="shared" si="1492"/>
        <v>1874</v>
      </c>
      <c r="AD1616" s="6">
        <v>2</v>
      </c>
      <c r="AE1616" t="s">
        <v>742</v>
      </c>
      <c r="AF1616" t="s">
        <v>865</v>
      </c>
      <c r="AG1616" t="s">
        <v>756</v>
      </c>
      <c r="AH1616" t="s">
        <v>756</v>
      </c>
      <c r="AI1616" t="s">
        <v>367</v>
      </c>
      <c r="AJ1616" t="str">
        <f t="shared" ref="AJ1616:AK1616" si="1530">IF($J1616&lt;&gt;"",$J1616,IF($AC1616=$AC1615,AJ1615,""))</f>
        <v>o</v>
      </c>
      <c r="AK1616" t="str">
        <f t="shared" si="1530"/>
        <v>o</v>
      </c>
      <c r="AL1616" t="str">
        <f t="shared" si="1497"/>
        <v>o</v>
      </c>
      <c r="AN1616" t="s">
        <v>861</v>
      </c>
      <c r="AO1616" t="str">
        <f t="shared" si="1498"/>
        <v>h</v>
      </c>
      <c r="AP1616" t="str">
        <f t="shared" si="1506"/>
        <v>o</v>
      </c>
      <c r="AQ1616" t="str">
        <f t="shared" si="1507"/>
        <v/>
      </c>
      <c r="AR1616" t="str">
        <f t="shared" si="1508"/>
        <v>Home</v>
      </c>
      <c r="AS1616" t="str">
        <f t="shared" si="1509"/>
        <v>h</v>
      </c>
      <c r="AT1616" t="str">
        <f t="shared" si="1510"/>
        <v>Offensive</v>
      </c>
      <c r="BA1616" s="6">
        <f t="shared" si="1499"/>
        <v>378</v>
      </c>
      <c r="BB1616">
        <f t="shared" si="1500"/>
        <v>18981</v>
      </c>
      <c r="BC1616" t="str">
        <f t="shared" si="1501"/>
        <v>Nelson</v>
      </c>
      <c r="BD1616" t="str">
        <f t="shared" si="1502"/>
        <v>Velodrome</v>
      </c>
      <c r="BE1616" t="s">
        <v>6</v>
      </c>
      <c r="BF1616" t="s">
        <v>205</v>
      </c>
      <c r="BG1616" t="s">
        <v>56</v>
      </c>
      <c r="BI1616" cm="1">
        <f t="array" aca="1" ref="BI1616" ca="1">IFERROR(_xlfn._xlws.FILTER(shifts!A:A,(shifts!B:B=events!AD1616)*(shifts!AG:AG&gt;=events!BK1616)*(shifts!AH:AH&lt;=events!BL1616)),BI1615)</f>
        <v>72</v>
      </c>
      <c r="BJ1616" s="15">
        <f t="shared" si="1503"/>
        <v>0</v>
      </c>
      <c r="BK1616">
        <f t="shared" si="1511"/>
        <v>38</v>
      </c>
      <c r="BL1616">
        <f t="shared" si="1512"/>
        <v>38</v>
      </c>
      <c r="BM1616" s="15">
        <f>SUMIFS(BJ$2:BJ1616,K$2:K1616,"=Intermission")+SUMIFS(BJ$2:BJ1616,K$2:K1616,"=Timeout")</f>
        <v>72</v>
      </c>
      <c r="BN1616">
        <f t="shared" si="1513"/>
        <v>1152</v>
      </c>
      <c r="BO1616" s="19">
        <f t="shared" si="1514"/>
        <v>2194</v>
      </c>
      <c r="BP1616">
        <f t="shared" si="1515"/>
        <v>2189</v>
      </c>
      <c r="BQ1616" s="17">
        <f t="shared" si="1516"/>
        <v>2194</v>
      </c>
      <c r="BR1616" t="str">
        <f t="shared" si="1517"/>
        <v>event_team_player_1</v>
      </c>
      <c r="BS1616">
        <f>COUNTIFS(S$3:S1616,"="&amp;S1616,AI$3:AI1616,"="&amp;AI1616)</f>
        <v>1</v>
      </c>
      <c r="BT1616" t="str">
        <f>IFERROR(VLOOKUP(BB1616&amp;BU1616&amp;X1616,game_rosters!U:W,3,FALSE),"")</f>
        <v>P100164</v>
      </c>
      <c r="BU1616" t="str">
        <f t="shared" si="1518"/>
        <v>Nelson</v>
      </c>
    </row>
    <row r="1617" spans="1:73" x14ac:dyDescent="0.2">
      <c r="A1617">
        <f t="shared" si="1504"/>
        <v>1</v>
      </c>
      <c r="J1617" s="44" t="str">
        <f t="shared" si="1519"/>
        <v>o</v>
      </c>
      <c r="K1617" t="s">
        <v>6</v>
      </c>
      <c r="L1617" t="s">
        <v>205</v>
      </c>
      <c r="M1617" t="s">
        <v>56</v>
      </c>
      <c r="S1617">
        <v>874</v>
      </c>
      <c r="W1617" t="str">
        <f t="shared" si="1495"/>
        <v>h</v>
      </c>
      <c r="X1617">
        <v>39</v>
      </c>
      <c r="Y1617" t="e">
        <f>IF(X1617&lt;&gt;"",VLOOKUP(X1617,game_rosters!$C$43:$E$64,3,FALSE))</f>
        <v>#N/A</v>
      </c>
      <c r="Z1617" t="str" cm="1">
        <f t="array" ref="Z1617">IFERROR(IF(_xlfn._xlws.FILTER(game_rosters!$J:$J,(game_rosters!$G:$G=events!$AN1617)*(game_rosters!$J:$J=events!$X1617))&gt;0,1,""),"")</f>
        <v/>
      </c>
      <c r="AA1617">
        <f t="shared" si="1453"/>
        <v>1874</v>
      </c>
      <c r="AB1617" t="str">
        <f t="shared" si="1454"/>
        <v/>
      </c>
      <c r="AC1617">
        <f t="shared" si="1492"/>
        <v>1874</v>
      </c>
      <c r="AD1617" s="6">
        <v>2</v>
      </c>
      <c r="AE1617" t="s">
        <v>742</v>
      </c>
      <c r="AF1617" t="s">
        <v>865</v>
      </c>
      <c r="AG1617" t="s">
        <v>756</v>
      </c>
      <c r="AH1617" t="s">
        <v>756</v>
      </c>
      <c r="AI1617" t="s">
        <v>367</v>
      </c>
      <c r="AJ1617" t="str">
        <f t="shared" ref="AJ1617:AK1617" si="1531">IF($J1617&lt;&gt;"",$J1617,IF($AC1617=$AC1616,AJ1616,""))</f>
        <v>o</v>
      </c>
      <c r="AK1617" t="str">
        <f t="shared" si="1531"/>
        <v>o</v>
      </c>
      <c r="AL1617" t="str">
        <f t="shared" si="1497"/>
        <v>o</v>
      </c>
      <c r="AN1617" t="s">
        <v>861</v>
      </c>
      <c r="AO1617" t="str">
        <f t="shared" si="1498"/>
        <v>h</v>
      </c>
      <c r="AP1617" t="str">
        <f t="shared" si="1506"/>
        <v>o</v>
      </c>
      <c r="AQ1617" t="str">
        <f t="shared" si="1507"/>
        <v/>
      </c>
      <c r="AR1617" t="str">
        <f t="shared" si="1508"/>
        <v>Home</v>
      </c>
      <c r="AS1617" t="str">
        <f t="shared" si="1509"/>
        <v>h</v>
      </c>
      <c r="AT1617" t="str">
        <f t="shared" si="1510"/>
        <v>Offensive</v>
      </c>
      <c r="BA1617" s="6">
        <f t="shared" si="1499"/>
        <v>378</v>
      </c>
      <c r="BB1617">
        <f t="shared" si="1500"/>
        <v>18981</v>
      </c>
      <c r="BC1617" t="str">
        <f t="shared" si="1501"/>
        <v>Nelson</v>
      </c>
      <c r="BD1617" t="str">
        <f t="shared" si="1502"/>
        <v>Velodrome</v>
      </c>
      <c r="BE1617" t="s">
        <v>6</v>
      </c>
      <c r="BF1617" t="s">
        <v>205</v>
      </c>
      <c r="BG1617" t="s">
        <v>56</v>
      </c>
      <c r="BI1617" cm="1">
        <f t="array" aca="1" ref="BI1617" ca="1">IFERROR(_xlfn._xlws.FILTER(shifts!A:A,(shifts!B:B=events!AD1617)*(shifts!AG:AG&gt;=events!BK1617)*(shifts!AH:AH&lt;=events!BL1617)),BI1616)</f>
        <v>72</v>
      </c>
      <c r="BJ1617" s="15">
        <f t="shared" si="1503"/>
        <v>0</v>
      </c>
      <c r="BK1617">
        <f t="shared" si="1511"/>
        <v>38</v>
      </c>
      <c r="BL1617">
        <f t="shared" si="1512"/>
        <v>38</v>
      </c>
      <c r="BM1617" s="15">
        <f>SUMIFS(BJ$2:BJ1617,K$2:K1617,"=Intermission")+SUMIFS(BJ$2:BJ1617,K$2:K1617,"=Timeout")</f>
        <v>72</v>
      </c>
      <c r="BN1617">
        <f t="shared" si="1513"/>
        <v>1152</v>
      </c>
      <c r="BO1617" s="19">
        <f t="shared" si="1514"/>
        <v>2194</v>
      </c>
      <c r="BP1617">
        <f t="shared" si="1515"/>
        <v>2189</v>
      </c>
      <c r="BQ1617" s="17">
        <f t="shared" si="1516"/>
        <v>2194</v>
      </c>
      <c r="BR1617" t="str">
        <f t="shared" si="1517"/>
        <v>event_team_player_2</v>
      </c>
      <c r="BS1617">
        <f>COUNTIFS(S$3:S1617,"="&amp;S1617,AI$3:AI1617,"="&amp;AI1617)</f>
        <v>2</v>
      </c>
      <c r="BT1617" t="str">
        <f>IFERROR(VLOOKUP(BB1617&amp;BU1617&amp;X1617,game_rosters!U:W,3,FALSE),"")</f>
        <v>P100016</v>
      </c>
      <c r="BU1617" t="s">
        <v>521</v>
      </c>
    </row>
    <row r="1618" spans="1:73" x14ac:dyDescent="0.2">
      <c r="A1618">
        <f t="shared" si="1504"/>
        <v>1</v>
      </c>
      <c r="J1618" s="44" t="str">
        <f t="shared" si="1519"/>
        <v>o</v>
      </c>
      <c r="K1618" t="s">
        <v>6</v>
      </c>
      <c r="L1618" t="s">
        <v>205</v>
      </c>
      <c r="M1618" t="s">
        <v>56</v>
      </c>
      <c r="S1618">
        <v>874</v>
      </c>
      <c r="W1618" t="str">
        <f t="shared" si="1495"/>
        <v>h</v>
      </c>
      <c r="X1618">
        <v>93</v>
      </c>
      <c r="Y1618" t="e">
        <f>IF(X1618&lt;&gt;"",VLOOKUP(X1618,game_rosters!$C$43:$E$64,3,FALSE))</f>
        <v>#N/A</v>
      </c>
      <c r="Z1618" t="str" cm="1">
        <f t="array" ref="Z1618">IFERROR(IF(_xlfn._xlws.FILTER(game_rosters!$J:$J,(game_rosters!$G:$G=events!$AN1618)*(game_rosters!$J:$J=events!$X1618))&gt;0,1,""),"")</f>
        <v/>
      </c>
      <c r="AA1618">
        <f t="shared" si="1453"/>
        <v>1874</v>
      </c>
      <c r="AB1618" t="str">
        <f t="shared" si="1454"/>
        <v/>
      </c>
      <c r="AC1618">
        <f t="shared" si="1492"/>
        <v>1874</v>
      </c>
      <c r="AD1618" s="6">
        <v>2</v>
      </c>
      <c r="AE1618" t="s">
        <v>742</v>
      </c>
      <c r="AF1618" t="s">
        <v>865</v>
      </c>
      <c r="AG1618" t="s">
        <v>756</v>
      </c>
      <c r="AH1618" t="s">
        <v>756</v>
      </c>
      <c r="AI1618" t="s">
        <v>368</v>
      </c>
      <c r="AJ1618" t="str">
        <f t="shared" ref="AJ1618:AK1618" si="1532">IF($J1618&lt;&gt;"",$J1618,IF($AC1618=$AC1617,AJ1617,""))</f>
        <v>o</v>
      </c>
      <c r="AK1618" t="str">
        <f t="shared" si="1532"/>
        <v>o</v>
      </c>
      <c r="AL1618" t="str">
        <f t="shared" si="1497"/>
        <v>o</v>
      </c>
      <c r="AN1618" t="s">
        <v>861</v>
      </c>
      <c r="AO1618" t="str">
        <f t="shared" si="1498"/>
        <v>h</v>
      </c>
      <c r="AP1618" t="str">
        <f t="shared" si="1506"/>
        <v>o</v>
      </c>
      <c r="AQ1618" t="str">
        <f t="shared" si="1507"/>
        <v/>
      </c>
      <c r="AR1618" t="str">
        <f t="shared" si="1508"/>
        <v>Home</v>
      </c>
      <c r="AS1618" t="str">
        <f t="shared" si="1509"/>
        <v>h</v>
      </c>
      <c r="AT1618" t="str">
        <f t="shared" si="1510"/>
        <v>Defensive</v>
      </c>
      <c r="BA1618" s="6">
        <f t="shared" si="1499"/>
        <v>378</v>
      </c>
      <c r="BB1618">
        <f t="shared" si="1500"/>
        <v>18981</v>
      </c>
      <c r="BC1618" t="str">
        <f t="shared" si="1501"/>
        <v>Nelson</v>
      </c>
      <c r="BD1618" t="str">
        <f t="shared" si="1502"/>
        <v>Velodrome</v>
      </c>
      <c r="BE1618" t="s">
        <v>6</v>
      </c>
      <c r="BF1618" t="s">
        <v>205</v>
      </c>
      <c r="BG1618" t="s">
        <v>56</v>
      </c>
      <c r="BI1618" cm="1">
        <f t="array" aca="1" ref="BI1618" ca="1">IFERROR(_xlfn._xlws.FILTER(shifts!A:A,(shifts!B:B=events!AD1618)*(shifts!AG:AG&gt;=events!BK1618)*(shifts!AH:AH&lt;=events!BL1618)),BI1617)</f>
        <v>72</v>
      </c>
      <c r="BJ1618" s="15">
        <f t="shared" si="1503"/>
        <v>0</v>
      </c>
      <c r="BK1618">
        <f t="shared" si="1511"/>
        <v>38</v>
      </c>
      <c r="BL1618">
        <f t="shared" si="1512"/>
        <v>38</v>
      </c>
      <c r="BM1618" s="15">
        <f>SUMIFS(BJ$2:BJ1618,K$2:K1618,"=Intermission")+SUMIFS(BJ$2:BJ1618,K$2:K1618,"=Timeout")</f>
        <v>72</v>
      </c>
      <c r="BN1618">
        <f t="shared" si="1513"/>
        <v>1152</v>
      </c>
      <c r="BO1618" s="19">
        <f t="shared" si="1514"/>
        <v>2194</v>
      </c>
      <c r="BP1618">
        <f t="shared" si="1515"/>
        <v>2189</v>
      </c>
      <c r="BQ1618" s="17">
        <f t="shared" si="1516"/>
        <v>2194</v>
      </c>
      <c r="BR1618" t="str">
        <f t="shared" si="1517"/>
        <v>opp_team_player_1</v>
      </c>
      <c r="BS1618">
        <f>COUNTIFS(S$3:S1618,"="&amp;S1618,AI$3:AI1618,"="&amp;AI1618)</f>
        <v>1</v>
      </c>
      <c r="BT1618" t="str">
        <f>IFERROR(VLOOKUP(BB1618&amp;BU1618&amp;X1618,game_rosters!U:W,3,FALSE),"")</f>
        <v>P100093</v>
      </c>
      <c r="BU1618" t="str">
        <f t="shared" si="1518"/>
        <v>Velodrome</v>
      </c>
    </row>
    <row r="1619" spans="1:73" x14ac:dyDescent="0.2">
      <c r="A1619">
        <f t="shared" si="1504"/>
        <v>1</v>
      </c>
      <c r="J1619" s="44" t="str">
        <f t="shared" si="1519"/>
        <v>d</v>
      </c>
      <c r="K1619" t="s">
        <v>15</v>
      </c>
      <c r="L1619" t="s">
        <v>179</v>
      </c>
      <c r="M1619" t="s">
        <v>98</v>
      </c>
      <c r="S1619">
        <v>875</v>
      </c>
      <c r="W1619" t="str">
        <f t="shared" si="1495"/>
        <v>a</v>
      </c>
      <c r="X1619">
        <v>39</v>
      </c>
      <c r="Y1619" t="e">
        <f>IF(X1619&lt;&gt;"",VLOOKUP(X1619,game_rosters!$C$43:$E$64,3,FALSE))</f>
        <v>#N/A</v>
      </c>
      <c r="Z1619" cm="1">
        <f t="array" ref="Z1619">IFERROR(IF(_xlfn._xlws.FILTER(game_rosters!$J:$J,(game_rosters!$G:$G=events!$AN1619)*(game_rosters!$J:$J=events!$X1619))&gt;0,1,""),"")</f>
        <v>1</v>
      </c>
      <c r="AA1619">
        <f t="shared" si="1453"/>
        <v>1875</v>
      </c>
      <c r="AB1619" t="str">
        <f t="shared" si="1454"/>
        <v/>
      </c>
      <c r="AC1619">
        <f t="shared" si="1492"/>
        <v>1875</v>
      </c>
      <c r="AD1619" s="6">
        <v>2</v>
      </c>
      <c r="AE1619" t="s">
        <v>742</v>
      </c>
      <c r="AF1619" t="s">
        <v>865</v>
      </c>
      <c r="AG1619" t="s">
        <v>756</v>
      </c>
      <c r="AH1619" t="s">
        <v>756</v>
      </c>
      <c r="AI1619" t="s">
        <v>367</v>
      </c>
      <c r="AJ1619" t="str">
        <f t="shared" ref="AJ1619:AK1619" si="1533">IF($J1619&lt;&gt;"",$J1619,IF($AC1619=$AC1618,AJ1618,""))</f>
        <v>d</v>
      </c>
      <c r="AK1619" t="str">
        <f t="shared" si="1533"/>
        <v>d</v>
      </c>
      <c r="AL1619" t="str">
        <f t="shared" si="1497"/>
        <v>o</v>
      </c>
      <c r="AN1619" t="s">
        <v>862</v>
      </c>
      <c r="AO1619" t="str">
        <f t="shared" si="1498"/>
        <v>a</v>
      </c>
      <c r="AP1619" t="str">
        <f t="shared" si="1506"/>
        <v>o</v>
      </c>
      <c r="AQ1619" t="str">
        <f t="shared" si="1507"/>
        <v/>
      </c>
      <c r="AR1619" t="str">
        <f t="shared" si="1508"/>
        <v>Away</v>
      </c>
      <c r="AS1619" t="str">
        <f t="shared" si="1509"/>
        <v>a</v>
      </c>
      <c r="AT1619" t="str">
        <f t="shared" si="1510"/>
        <v>Defensive</v>
      </c>
      <c r="BA1619" s="6">
        <f t="shared" si="1499"/>
        <v>378</v>
      </c>
      <c r="BB1619">
        <f t="shared" si="1500"/>
        <v>18981</v>
      </c>
      <c r="BC1619" t="str">
        <f t="shared" si="1501"/>
        <v>Nelson</v>
      </c>
      <c r="BD1619" t="str">
        <f t="shared" si="1502"/>
        <v>Velodrome</v>
      </c>
      <c r="BE1619" t="s">
        <v>15</v>
      </c>
      <c r="BF1619" t="s">
        <v>179</v>
      </c>
      <c r="BG1619" t="s">
        <v>98</v>
      </c>
      <c r="BI1619" cm="1">
        <f t="array" aca="1" ref="BI1619" ca="1">IFERROR(_xlfn._xlws.FILTER(shifts!A:A,(shifts!B:B=events!AD1619)*(shifts!AG:AG&gt;=events!BK1619)*(shifts!AH:AH&lt;=events!BL1619)),BI1618)</f>
        <v>72</v>
      </c>
      <c r="BJ1619" s="15">
        <f t="shared" si="1503"/>
        <v>0</v>
      </c>
      <c r="BK1619">
        <f t="shared" si="1511"/>
        <v>38</v>
      </c>
      <c r="BL1619">
        <f t="shared" si="1512"/>
        <v>38</v>
      </c>
      <c r="BM1619" s="15">
        <f>SUMIFS(BJ$2:BJ1619,K$2:K1619,"=Intermission")+SUMIFS(BJ$2:BJ1619,K$2:K1619,"=Timeout")</f>
        <v>72</v>
      </c>
      <c r="BN1619">
        <f t="shared" si="1513"/>
        <v>1152</v>
      </c>
      <c r="BO1619" s="19">
        <f t="shared" si="1514"/>
        <v>2194</v>
      </c>
      <c r="BP1619">
        <f t="shared" si="1515"/>
        <v>2189</v>
      </c>
      <c r="BQ1619" s="17">
        <f t="shared" si="1516"/>
        <v>2194</v>
      </c>
      <c r="BR1619" t="str">
        <f t="shared" si="1517"/>
        <v>event_team_player_1</v>
      </c>
      <c r="BS1619">
        <f>COUNTIFS(S$3:S1619,"="&amp;S1619,AI$3:AI1619,"="&amp;AI1619)</f>
        <v>1</v>
      </c>
      <c r="BT1619" t="str">
        <f>IFERROR(VLOOKUP(BB1619&amp;BU1619&amp;X1619,game_rosters!U:W,3,FALSE),"")</f>
        <v>P100016</v>
      </c>
      <c r="BU1619" t="str">
        <f t="shared" si="1518"/>
        <v>Velodrome</v>
      </c>
    </row>
    <row r="1620" spans="1:73" x14ac:dyDescent="0.2">
      <c r="A1620">
        <f t="shared" si="1504"/>
        <v>1</v>
      </c>
      <c r="J1620" s="44" t="str">
        <f t="shared" si="1519"/>
        <v>d</v>
      </c>
      <c r="K1620" t="s">
        <v>15</v>
      </c>
      <c r="L1620" t="s">
        <v>179</v>
      </c>
      <c r="M1620" t="s">
        <v>98</v>
      </c>
      <c r="S1620">
        <v>875</v>
      </c>
      <c r="W1620" t="str">
        <f t="shared" si="1495"/>
        <v>a</v>
      </c>
      <c r="X1620">
        <v>93</v>
      </c>
      <c r="Y1620" t="e">
        <f>IF(X1620&lt;&gt;"",VLOOKUP(X1620,game_rosters!$C$43:$E$64,3,FALSE))</f>
        <v>#N/A</v>
      </c>
      <c r="Z1620" cm="1">
        <f t="array" ref="Z1620">IFERROR(IF(_xlfn._xlws.FILTER(game_rosters!$J:$J,(game_rosters!$G:$G=events!$AN1620)*(game_rosters!$J:$J=events!$X1620))&gt;0,1,""),"")</f>
        <v>1</v>
      </c>
      <c r="AA1620">
        <f t="shared" si="1453"/>
        <v>1875</v>
      </c>
      <c r="AB1620" t="str">
        <f t="shared" si="1454"/>
        <v/>
      </c>
      <c r="AC1620">
        <f t="shared" si="1492"/>
        <v>1875</v>
      </c>
      <c r="AD1620" s="6">
        <v>2</v>
      </c>
      <c r="AE1620" t="s">
        <v>742</v>
      </c>
      <c r="AF1620" t="s">
        <v>865</v>
      </c>
      <c r="AG1620" t="s">
        <v>756</v>
      </c>
      <c r="AH1620" t="s">
        <v>756</v>
      </c>
      <c r="AI1620" t="s">
        <v>367</v>
      </c>
      <c r="AJ1620" t="str">
        <f t="shared" ref="AJ1620:AK1620" si="1534">IF($J1620&lt;&gt;"",$J1620,IF($AC1620=$AC1619,AJ1619,""))</f>
        <v>d</v>
      </c>
      <c r="AK1620" t="str">
        <f t="shared" si="1534"/>
        <v>d</v>
      </c>
      <c r="AL1620" t="str">
        <f t="shared" si="1497"/>
        <v>o</v>
      </c>
      <c r="AN1620" t="s">
        <v>862</v>
      </c>
      <c r="AO1620" t="str">
        <f t="shared" si="1498"/>
        <v>a</v>
      </c>
      <c r="AP1620" t="str">
        <f t="shared" si="1506"/>
        <v>o</v>
      </c>
      <c r="AQ1620" t="str">
        <f t="shared" si="1507"/>
        <v/>
      </c>
      <c r="AR1620" t="str">
        <f t="shared" si="1508"/>
        <v>Away</v>
      </c>
      <c r="AS1620" t="str">
        <f t="shared" si="1509"/>
        <v>a</v>
      </c>
      <c r="AT1620" t="str">
        <f t="shared" si="1510"/>
        <v>Defensive</v>
      </c>
      <c r="BA1620" s="6">
        <f t="shared" si="1499"/>
        <v>378</v>
      </c>
      <c r="BB1620">
        <f t="shared" si="1500"/>
        <v>18981</v>
      </c>
      <c r="BC1620" t="str">
        <f t="shared" si="1501"/>
        <v>Nelson</v>
      </c>
      <c r="BD1620" t="str">
        <f t="shared" si="1502"/>
        <v>Velodrome</v>
      </c>
      <c r="BE1620" t="s">
        <v>15</v>
      </c>
      <c r="BF1620" t="s">
        <v>179</v>
      </c>
      <c r="BG1620" t="s">
        <v>98</v>
      </c>
      <c r="BI1620" cm="1">
        <f t="array" aca="1" ref="BI1620" ca="1">IFERROR(_xlfn._xlws.FILTER(shifts!A:A,(shifts!B:B=events!AD1620)*(shifts!AG:AG&gt;=events!BK1620)*(shifts!AH:AH&lt;=events!BL1620)),BI1619)</f>
        <v>72</v>
      </c>
      <c r="BJ1620" s="15">
        <f t="shared" si="1503"/>
        <v>0</v>
      </c>
      <c r="BK1620">
        <f t="shared" si="1511"/>
        <v>38</v>
      </c>
      <c r="BL1620">
        <f t="shared" si="1512"/>
        <v>38</v>
      </c>
      <c r="BM1620" s="15">
        <f>SUMIFS(BJ$2:BJ1620,K$2:K1620,"=Intermission")+SUMIFS(BJ$2:BJ1620,K$2:K1620,"=Timeout")</f>
        <v>72</v>
      </c>
      <c r="BN1620">
        <f t="shared" si="1513"/>
        <v>1152</v>
      </c>
      <c r="BO1620" s="19">
        <f t="shared" si="1514"/>
        <v>2194</v>
      </c>
      <c r="BP1620">
        <f t="shared" si="1515"/>
        <v>2189</v>
      </c>
      <c r="BQ1620" s="17">
        <f t="shared" si="1516"/>
        <v>2194</v>
      </c>
      <c r="BR1620" t="str">
        <f t="shared" si="1517"/>
        <v>event_team_player_2</v>
      </c>
      <c r="BS1620">
        <f>COUNTIFS(S$3:S1620,"="&amp;S1620,AI$3:AI1620,"="&amp;AI1620)</f>
        <v>2</v>
      </c>
      <c r="BT1620" t="str">
        <f>IFERROR(VLOOKUP(BB1620&amp;BU1620&amp;X1620,game_rosters!U:W,3,FALSE),"")</f>
        <v>P100093</v>
      </c>
      <c r="BU1620" t="str">
        <f t="shared" si="1518"/>
        <v>Velodrome</v>
      </c>
    </row>
    <row r="1621" spans="1:73" x14ac:dyDescent="0.2">
      <c r="A1621">
        <f t="shared" si="1504"/>
        <v>1</v>
      </c>
      <c r="J1621" s="44" t="str">
        <f t="shared" si="1519"/>
        <v>d</v>
      </c>
      <c r="K1621" t="s">
        <v>15</v>
      </c>
      <c r="L1621" t="s">
        <v>179</v>
      </c>
      <c r="M1621" t="s">
        <v>98</v>
      </c>
      <c r="S1621">
        <v>875</v>
      </c>
      <c r="W1621" t="str">
        <f t="shared" si="1495"/>
        <v>a</v>
      </c>
      <c r="X1621">
        <v>16</v>
      </c>
      <c r="Y1621" t="b">
        <f>IF(X1621&lt;&gt;"",VLOOKUP(X1621,game_rosters!$C$43:$E$64,3,FALSE))</f>
        <v>0</v>
      </c>
      <c r="Z1621" t="str" cm="1">
        <f t="array" ref="Z1621">IFERROR(IF(_xlfn._xlws.FILTER(game_rosters!$J:$J,(game_rosters!$G:$G=events!$AN1621)*(game_rosters!$J:$J=events!$X1621))&gt;0,1,""),"")</f>
        <v/>
      </c>
      <c r="AA1621">
        <f t="shared" si="1453"/>
        <v>1875</v>
      </c>
      <c r="AB1621" t="str">
        <f t="shared" si="1454"/>
        <v/>
      </c>
      <c r="AC1621">
        <f t="shared" si="1492"/>
        <v>1875</v>
      </c>
      <c r="AD1621" s="6">
        <v>2</v>
      </c>
      <c r="AE1621" t="s">
        <v>742</v>
      </c>
      <c r="AF1621" t="s">
        <v>865</v>
      </c>
      <c r="AG1621" t="s">
        <v>756</v>
      </c>
      <c r="AH1621" t="s">
        <v>756</v>
      </c>
      <c r="AI1621" t="s">
        <v>368</v>
      </c>
      <c r="AJ1621" t="str">
        <f t="shared" ref="AJ1621:AK1621" si="1535">IF($J1621&lt;&gt;"",$J1621,IF($AC1621=$AC1620,AJ1620,""))</f>
        <v>d</v>
      </c>
      <c r="AK1621" t="str">
        <f t="shared" si="1535"/>
        <v>d</v>
      </c>
      <c r="AL1621" t="str">
        <f t="shared" si="1497"/>
        <v>o</v>
      </c>
      <c r="AN1621" t="s">
        <v>862</v>
      </c>
      <c r="AO1621" t="str">
        <f t="shared" si="1498"/>
        <v>a</v>
      </c>
      <c r="AP1621" t="str">
        <f t="shared" si="1506"/>
        <v>o</v>
      </c>
      <c r="AQ1621" t="str">
        <f t="shared" si="1507"/>
        <v/>
      </c>
      <c r="AR1621" t="str">
        <f t="shared" si="1508"/>
        <v>Away</v>
      </c>
      <c r="AS1621" t="str">
        <f t="shared" si="1509"/>
        <v>a</v>
      </c>
      <c r="AT1621" t="str">
        <f t="shared" si="1510"/>
        <v>Offensive</v>
      </c>
      <c r="BA1621" s="6">
        <f t="shared" si="1499"/>
        <v>378</v>
      </c>
      <c r="BB1621">
        <f t="shared" si="1500"/>
        <v>18981</v>
      </c>
      <c r="BC1621" t="str">
        <f t="shared" si="1501"/>
        <v>Nelson</v>
      </c>
      <c r="BD1621" t="str">
        <f t="shared" si="1502"/>
        <v>Velodrome</v>
      </c>
      <c r="BE1621" t="s">
        <v>15</v>
      </c>
      <c r="BF1621" t="s">
        <v>179</v>
      </c>
      <c r="BG1621" t="s">
        <v>98</v>
      </c>
      <c r="BI1621" cm="1">
        <f t="array" aca="1" ref="BI1621" ca="1">IFERROR(_xlfn._xlws.FILTER(shifts!A:A,(shifts!B:B=events!AD1621)*(shifts!AG:AG&gt;=events!BK1621)*(shifts!AH:AH&lt;=events!BL1621)),BI1620)</f>
        <v>72</v>
      </c>
      <c r="BJ1621" s="15">
        <f t="shared" si="1503"/>
        <v>0</v>
      </c>
      <c r="BK1621">
        <f t="shared" si="1511"/>
        <v>38</v>
      </c>
      <c r="BL1621">
        <f t="shared" si="1512"/>
        <v>38</v>
      </c>
      <c r="BM1621" s="15">
        <f>SUMIFS(BJ$2:BJ1621,K$2:K1621,"=Intermission")+SUMIFS(BJ$2:BJ1621,K$2:K1621,"=Timeout")</f>
        <v>72</v>
      </c>
      <c r="BN1621">
        <f t="shared" si="1513"/>
        <v>1152</v>
      </c>
      <c r="BO1621" s="19">
        <f t="shared" si="1514"/>
        <v>2194</v>
      </c>
      <c r="BP1621">
        <f t="shared" si="1515"/>
        <v>2189</v>
      </c>
      <c r="BQ1621" s="17">
        <f t="shared" si="1516"/>
        <v>2194</v>
      </c>
      <c r="BR1621" t="str">
        <f t="shared" si="1517"/>
        <v>opp_team_player_1</v>
      </c>
      <c r="BS1621">
        <f>COUNTIFS(S$3:S1621,"="&amp;S1621,AI$3:AI1621,"="&amp;AI1621)</f>
        <v>1</v>
      </c>
      <c r="BT1621" t="str">
        <f>IFERROR(VLOOKUP(BB1621&amp;BU1621&amp;X1621,game_rosters!U:W,3,FALSE),"")</f>
        <v>P100164</v>
      </c>
      <c r="BU1621" t="str">
        <f t="shared" si="1518"/>
        <v>Nelson</v>
      </c>
    </row>
    <row r="1622" spans="1:73" x14ac:dyDescent="0.2">
      <c r="A1622">
        <f t="shared" si="1504"/>
        <v>1</v>
      </c>
      <c r="J1622" s="44" t="str">
        <f t="shared" si="1519"/>
        <v>d</v>
      </c>
      <c r="K1622" t="s">
        <v>231</v>
      </c>
      <c r="L1622" t="s">
        <v>234</v>
      </c>
      <c r="M1622" t="s">
        <v>756</v>
      </c>
      <c r="S1622">
        <v>876</v>
      </c>
      <c r="W1622" t="str">
        <f t="shared" si="1495"/>
        <v>a</v>
      </c>
      <c r="X1622">
        <v>39</v>
      </c>
      <c r="Y1622" t="e">
        <f>IF(X1622&lt;&gt;"",VLOOKUP(X1622,game_rosters!$C$43:$E$64,3,FALSE))</f>
        <v>#N/A</v>
      </c>
      <c r="Z1622" cm="1">
        <f t="array" ref="Z1622">IFERROR(IF(_xlfn._xlws.FILTER(game_rosters!$J:$J,(game_rosters!$G:$G=events!$AN1622)*(game_rosters!$J:$J=events!$X1622))&gt;0,1,""),"")</f>
        <v>1</v>
      </c>
      <c r="AA1622">
        <f t="shared" si="1453"/>
        <v>1876</v>
      </c>
      <c r="AB1622" t="str">
        <f t="shared" si="1454"/>
        <v/>
      </c>
      <c r="AC1622">
        <f t="shared" si="1492"/>
        <v>1876</v>
      </c>
      <c r="AD1622" s="6">
        <v>2</v>
      </c>
      <c r="AE1622" t="s">
        <v>742</v>
      </c>
      <c r="AF1622" t="s">
        <v>928</v>
      </c>
      <c r="AG1622" t="s">
        <v>756</v>
      </c>
      <c r="AH1622" t="s">
        <v>756</v>
      </c>
      <c r="AI1622" t="s">
        <v>367</v>
      </c>
      <c r="AJ1622" t="str">
        <f t="shared" ref="AJ1622:AK1622" si="1536">IF($J1622&lt;&gt;"",$J1622,IF($AC1622=$AC1621,AJ1621,""))</f>
        <v>d</v>
      </c>
      <c r="AK1622" t="str">
        <f t="shared" si="1536"/>
        <v>d</v>
      </c>
      <c r="AL1622" t="str">
        <f t="shared" si="1497"/>
        <v>o</v>
      </c>
      <c r="AN1622" t="s">
        <v>862</v>
      </c>
      <c r="AO1622" t="str">
        <f t="shared" si="1498"/>
        <v>a</v>
      </c>
      <c r="AP1622" t="str">
        <f t="shared" si="1506"/>
        <v>o</v>
      </c>
      <c r="AQ1622" t="str">
        <f t="shared" si="1507"/>
        <v/>
      </c>
      <c r="AR1622" t="str">
        <f t="shared" si="1508"/>
        <v>Away</v>
      </c>
      <c r="AS1622" t="str">
        <f t="shared" si="1509"/>
        <v>a</v>
      </c>
      <c r="AT1622" t="str">
        <f t="shared" si="1510"/>
        <v>Offensive</v>
      </c>
      <c r="BA1622" s="6">
        <f t="shared" si="1499"/>
        <v>378</v>
      </c>
      <c r="BB1622">
        <f t="shared" si="1500"/>
        <v>18981</v>
      </c>
      <c r="BC1622" t="str">
        <f t="shared" si="1501"/>
        <v>Nelson</v>
      </c>
      <c r="BD1622" t="str">
        <f t="shared" si="1502"/>
        <v>Velodrome</v>
      </c>
      <c r="BE1622" t="s">
        <v>231</v>
      </c>
      <c r="BF1622" t="s">
        <v>234</v>
      </c>
      <c r="BG1622" t="s">
        <v>756</v>
      </c>
      <c r="BI1622" cm="1">
        <f t="array" aca="1" ref="BI1622" ca="1">IFERROR(_xlfn._xlws.FILTER(shifts!A:A,(shifts!B:B=events!AD1622)*(shifts!AG:AG&gt;=events!BK1622)*(shifts!AH:AH&lt;=events!BL1622)),BI1621)</f>
        <v>72</v>
      </c>
      <c r="BJ1622" s="15">
        <f t="shared" si="1503"/>
        <v>0</v>
      </c>
      <c r="BK1622">
        <f t="shared" si="1511"/>
        <v>37</v>
      </c>
      <c r="BL1622">
        <f t="shared" si="1512"/>
        <v>37</v>
      </c>
      <c r="BM1622" s="15">
        <f>SUMIFS(BJ$2:BJ1622,K$2:K1622,"=Intermission")+SUMIFS(BJ$2:BJ1622,K$2:K1622,"=Timeout")</f>
        <v>72</v>
      </c>
      <c r="BN1622">
        <f t="shared" si="1513"/>
        <v>1152</v>
      </c>
      <c r="BO1622" s="19">
        <f t="shared" si="1514"/>
        <v>2195</v>
      </c>
      <c r="BP1622">
        <f t="shared" si="1515"/>
        <v>2190</v>
      </c>
      <c r="BQ1622" s="17">
        <f t="shared" si="1516"/>
        <v>2195</v>
      </c>
      <c r="BR1622" t="str">
        <f t="shared" si="1517"/>
        <v>event_team_player_1</v>
      </c>
      <c r="BS1622">
        <f>COUNTIFS(S$3:S1622,"="&amp;S1622,AI$3:AI1622,"="&amp;AI1622)</f>
        <v>1</v>
      </c>
      <c r="BT1622" t="str">
        <f>IFERROR(VLOOKUP(BB1622&amp;BU1622&amp;X1622,game_rosters!U:W,3,FALSE),"")</f>
        <v>P100016</v>
      </c>
      <c r="BU1622" t="str">
        <f t="shared" si="1518"/>
        <v>Velodrome</v>
      </c>
    </row>
    <row r="1623" spans="1:73" x14ac:dyDescent="0.2">
      <c r="A1623">
        <f t="shared" si="1504"/>
        <v>1</v>
      </c>
      <c r="J1623" s="44" t="str">
        <f t="shared" si="1519"/>
        <v>o</v>
      </c>
      <c r="K1623" t="s">
        <v>6</v>
      </c>
      <c r="L1623" t="s">
        <v>181</v>
      </c>
      <c r="M1623" t="s">
        <v>51</v>
      </c>
      <c r="S1623">
        <v>877</v>
      </c>
      <c r="W1623" t="str">
        <f t="shared" si="1495"/>
        <v>h</v>
      </c>
      <c r="X1623">
        <v>79</v>
      </c>
      <c r="Y1623" t="b">
        <f>IF(X1623&lt;&gt;"",VLOOKUP(X1623,game_rosters!$C$43:$E$64,3,FALSE))</f>
        <v>0</v>
      </c>
      <c r="Z1623" cm="1">
        <f t="array" ref="Z1623">IFERROR(IF(_xlfn._xlws.FILTER(game_rosters!$J:$J,(game_rosters!$G:$G=events!$AN1623)*(game_rosters!$J:$J=events!$X1623))&gt;0,1,""),"")</f>
        <v>1</v>
      </c>
      <c r="AA1623">
        <f t="shared" si="1453"/>
        <v>1877</v>
      </c>
      <c r="AB1623" t="str">
        <f t="shared" si="1454"/>
        <v/>
      </c>
      <c r="AC1623">
        <f t="shared" si="1492"/>
        <v>1877</v>
      </c>
      <c r="AD1623" s="6">
        <v>2</v>
      </c>
      <c r="AE1623" t="s">
        <v>742</v>
      </c>
      <c r="AF1623" t="s">
        <v>904</v>
      </c>
      <c r="AG1623" t="s">
        <v>756</v>
      </c>
      <c r="AH1623" t="s">
        <v>756</v>
      </c>
      <c r="AI1623" t="s">
        <v>367</v>
      </c>
      <c r="AJ1623" t="str">
        <f t="shared" ref="AJ1623:AK1623" si="1537">IF($J1623&lt;&gt;"",$J1623,IF($AC1623=$AC1622,AJ1622,""))</f>
        <v>o</v>
      </c>
      <c r="AK1623" t="str">
        <f t="shared" si="1537"/>
        <v>o</v>
      </c>
      <c r="AL1623" t="str">
        <f t="shared" si="1497"/>
        <v>o</v>
      </c>
      <c r="AN1623" t="s">
        <v>861</v>
      </c>
      <c r="AO1623" t="str">
        <f t="shared" si="1498"/>
        <v>h</v>
      </c>
      <c r="AP1623" t="str">
        <f t="shared" si="1506"/>
        <v>o</v>
      </c>
      <c r="AQ1623" t="str">
        <f t="shared" si="1507"/>
        <v/>
      </c>
      <c r="AR1623" t="str">
        <f t="shared" si="1508"/>
        <v>Home</v>
      </c>
      <c r="AS1623" t="str">
        <f t="shared" si="1509"/>
        <v>h</v>
      </c>
      <c r="AT1623" t="str">
        <f t="shared" si="1510"/>
        <v>Offensive</v>
      </c>
      <c r="BA1623" s="6">
        <f t="shared" si="1499"/>
        <v>378</v>
      </c>
      <c r="BB1623">
        <f t="shared" si="1500"/>
        <v>18981</v>
      </c>
      <c r="BC1623" t="str">
        <f t="shared" si="1501"/>
        <v>Nelson</v>
      </c>
      <c r="BD1623" t="str">
        <f t="shared" si="1502"/>
        <v>Velodrome</v>
      </c>
      <c r="BE1623" t="s">
        <v>6</v>
      </c>
      <c r="BF1623" t="s">
        <v>181</v>
      </c>
      <c r="BG1623" t="s">
        <v>51</v>
      </c>
      <c r="BI1623" cm="1">
        <f t="array" aca="1" ref="BI1623" ca="1">IFERROR(_xlfn._xlws.FILTER(shifts!A:A,(shifts!B:B=events!AD1623)*(shifts!AG:AG&gt;=events!BK1623)*(shifts!AH:AH&lt;=events!BL1623)),BI1622)</f>
        <v>72</v>
      </c>
      <c r="BJ1623" s="15">
        <f t="shared" si="1503"/>
        <v>0</v>
      </c>
      <c r="BK1623">
        <f t="shared" si="1511"/>
        <v>36</v>
      </c>
      <c r="BL1623">
        <f t="shared" si="1512"/>
        <v>36</v>
      </c>
      <c r="BM1623" s="15">
        <f>SUMIFS(BJ$2:BJ1623,K$2:K1623,"=Intermission")+SUMIFS(BJ$2:BJ1623,K$2:K1623,"=Timeout")</f>
        <v>72</v>
      </c>
      <c r="BN1623">
        <f t="shared" si="1513"/>
        <v>1152</v>
      </c>
      <c r="BO1623" s="19">
        <f t="shared" si="1514"/>
        <v>2196</v>
      </c>
      <c r="BP1623">
        <f t="shared" si="1515"/>
        <v>2191</v>
      </c>
      <c r="BQ1623" s="17">
        <f t="shared" si="1516"/>
        <v>2196</v>
      </c>
      <c r="BR1623" t="str">
        <f t="shared" si="1517"/>
        <v>event_team_player_1</v>
      </c>
      <c r="BS1623">
        <f>COUNTIFS(S$3:S1623,"="&amp;S1623,AI$3:AI1623,"="&amp;AI1623)</f>
        <v>1</v>
      </c>
      <c r="BT1623" t="str">
        <f>IFERROR(VLOOKUP(BB1623&amp;BU1623&amp;X1623,game_rosters!U:W,3,FALSE),"")</f>
        <v>P100066</v>
      </c>
      <c r="BU1623" t="str">
        <f t="shared" si="1518"/>
        <v>Nelson</v>
      </c>
    </row>
    <row r="1624" spans="1:73" x14ac:dyDescent="0.2">
      <c r="A1624">
        <f t="shared" si="1504"/>
        <v>1</v>
      </c>
      <c r="J1624" s="44" t="str">
        <f t="shared" si="1519"/>
        <v/>
      </c>
      <c r="K1624" t="s">
        <v>9</v>
      </c>
      <c r="L1624" t="s">
        <v>173</v>
      </c>
      <c r="M1624" t="s">
        <v>77</v>
      </c>
      <c r="S1624">
        <v>878</v>
      </c>
      <c r="W1624" t="str">
        <f t="shared" si="1495"/>
        <v>h</v>
      </c>
      <c r="X1624">
        <v>79</v>
      </c>
      <c r="Y1624" t="b">
        <f>IF(X1624&lt;&gt;"",VLOOKUP(X1624,game_rosters!$C$43:$E$64,3,FALSE))</f>
        <v>0</v>
      </c>
      <c r="Z1624" cm="1">
        <f t="array" ref="Z1624">IFERROR(IF(_xlfn._xlws.FILTER(game_rosters!$J:$J,(game_rosters!$G:$G=events!$AN1624)*(game_rosters!$J:$J=events!$X1624))&gt;0,1,""),"")</f>
        <v>1</v>
      </c>
      <c r="AA1624">
        <f t="shared" si="1453"/>
        <v>1878</v>
      </c>
      <c r="AB1624" t="str">
        <f t="shared" si="1454"/>
        <v/>
      </c>
      <c r="AC1624">
        <f t="shared" si="1492"/>
        <v>1878</v>
      </c>
      <c r="AD1624" s="6">
        <v>2</v>
      </c>
      <c r="AE1624" t="s">
        <v>742</v>
      </c>
      <c r="AF1624" t="s">
        <v>904</v>
      </c>
      <c r="AG1624" t="s">
        <v>756</v>
      </c>
      <c r="AH1624" t="s">
        <v>756</v>
      </c>
      <c r="AI1624" t="s">
        <v>367</v>
      </c>
      <c r="AJ1624" t="str">
        <f t="shared" ref="AJ1624:AK1624" si="1538">IF($J1624&lt;&gt;"",$J1624,IF($AC1624=$AC1623,AJ1623,""))</f>
        <v/>
      </c>
      <c r="AK1624" t="str">
        <f t="shared" si="1538"/>
        <v/>
      </c>
      <c r="AL1624" t="str">
        <f t="shared" si="1497"/>
        <v/>
      </c>
      <c r="AN1624" t="s">
        <v>861</v>
      </c>
      <c r="AO1624" t="str">
        <f t="shared" si="1498"/>
        <v>h</v>
      </c>
      <c r="AP1624" t="str">
        <f t="shared" si="1506"/>
        <v/>
      </c>
      <c r="AQ1624" t="str">
        <f t="shared" si="1507"/>
        <v/>
      </c>
      <c r="AR1624" t="str">
        <f t="shared" si="1508"/>
        <v>Home</v>
      </c>
      <c r="AS1624" t="str">
        <f t="shared" si="1509"/>
        <v>h</v>
      </c>
      <c r="AT1624" t="str">
        <f t="shared" si="1510"/>
        <v>Offensive</v>
      </c>
      <c r="BA1624" s="6">
        <f t="shared" si="1499"/>
        <v>378</v>
      </c>
      <c r="BB1624">
        <f t="shared" si="1500"/>
        <v>18981</v>
      </c>
      <c r="BC1624" t="str">
        <f t="shared" si="1501"/>
        <v>Nelson</v>
      </c>
      <c r="BD1624" t="str">
        <f t="shared" si="1502"/>
        <v>Velodrome</v>
      </c>
      <c r="BE1624" t="s">
        <v>9</v>
      </c>
      <c r="BF1624" t="s">
        <v>173</v>
      </c>
      <c r="BG1624" t="s">
        <v>77</v>
      </c>
      <c r="BI1624" cm="1">
        <f t="array" aca="1" ref="BI1624" ca="1">IFERROR(_xlfn._xlws.FILTER(shifts!A:A,(shifts!B:B=events!AD1624)*(shifts!AG:AG&gt;=events!BK1624)*(shifts!AH:AH&lt;=events!BL1624)),BI1623)</f>
        <v>72</v>
      </c>
      <c r="BJ1624" s="15">
        <f t="shared" si="1503"/>
        <v>0</v>
      </c>
      <c r="BK1624">
        <f t="shared" si="1511"/>
        <v>36</v>
      </c>
      <c r="BL1624">
        <f t="shared" si="1512"/>
        <v>36</v>
      </c>
      <c r="BM1624" s="15">
        <f>SUMIFS(BJ$2:BJ1624,K$2:K1624,"=Intermission")+SUMIFS(BJ$2:BJ1624,K$2:K1624,"=Timeout")</f>
        <v>72</v>
      </c>
      <c r="BN1624">
        <f t="shared" si="1513"/>
        <v>1152</v>
      </c>
      <c r="BO1624" s="19">
        <f t="shared" si="1514"/>
        <v>2196</v>
      </c>
      <c r="BP1624">
        <f t="shared" si="1515"/>
        <v>2191</v>
      </c>
      <c r="BQ1624" s="17">
        <f t="shared" si="1516"/>
        <v>2196</v>
      </c>
      <c r="BR1624" t="str">
        <f t="shared" si="1517"/>
        <v>event_team_player_1</v>
      </c>
      <c r="BS1624">
        <f>COUNTIFS(S$3:S1624,"="&amp;S1624,AI$3:AI1624,"="&amp;AI1624)</f>
        <v>1</v>
      </c>
      <c r="BT1624" t="str">
        <f>IFERROR(VLOOKUP(BB1624&amp;BU1624&amp;X1624,game_rosters!U:W,3,FALSE),"")</f>
        <v>P100066</v>
      </c>
      <c r="BU1624" t="str">
        <f t="shared" si="1518"/>
        <v>Nelson</v>
      </c>
    </row>
    <row r="1625" spans="1:73" x14ac:dyDescent="0.2">
      <c r="A1625">
        <f t="shared" si="1504"/>
        <v>1</v>
      </c>
      <c r="J1625" s="44" t="str">
        <f t="shared" si="1519"/>
        <v/>
      </c>
      <c r="K1625" t="s">
        <v>9</v>
      </c>
      <c r="L1625" t="s">
        <v>173</v>
      </c>
      <c r="M1625" t="s">
        <v>365</v>
      </c>
      <c r="S1625">
        <v>879</v>
      </c>
      <c r="W1625" t="str">
        <f t="shared" si="1495"/>
        <v>a</v>
      </c>
      <c r="X1625">
        <v>14</v>
      </c>
      <c r="Y1625" t="e">
        <f>IF(X1625&lt;&gt;"",VLOOKUP(X1625,game_rosters!$C$43:$E$64,3,FALSE))</f>
        <v>#N/A</v>
      </c>
      <c r="Z1625" cm="1">
        <f t="array" ref="Z1625">IFERROR(IF(_xlfn._xlws.FILTER(game_rosters!$J:$J,(game_rosters!$G:$G=events!$AN1625)*(game_rosters!$J:$J=events!$X1625))&gt;0,1,""),"")</f>
        <v>1</v>
      </c>
      <c r="AA1625">
        <f t="shared" si="1453"/>
        <v>1879</v>
      </c>
      <c r="AB1625" t="str">
        <f t="shared" si="1454"/>
        <v/>
      </c>
      <c r="AC1625">
        <f t="shared" si="1492"/>
        <v>1879</v>
      </c>
      <c r="AD1625" s="6">
        <v>2</v>
      </c>
      <c r="AE1625" t="s">
        <v>742</v>
      </c>
      <c r="AF1625" t="s">
        <v>738</v>
      </c>
      <c r="AG1625" t="s">
        <v>756</v>
      </c>
      <c r="AH1625" t="s">
        <v>756</v>
      </c>
      <c r="AI1625" t="s">
        <v>367</v>
      </c>
      <c r="AJ1625" t="str">
        <f t="shared" ref="AJ1625:AK1625" si="1539">IF($J1625&lt;&gt;"",$J1625,IF($AC1625=$AC1624,AJ1624,""))</f>
        <v/>
      </c>
      <c r="AK1625" t="str">
        <f t="shared" si="1539"/>
        <v/>
      </c>
      <c r="AL1625" t="str">
        <f t="shared" si="1497"/>
        <v/>
      </c>
      <c r="AN1625" t="s">
        <v>862</v>
      </c>
      <c r="AO1625" t="str">
        <f t="shared" si="1498"/>
        <v>a</v>
      </c>
      <c r="AP1625" t="str">
        <f t="shared" si="1506"/>
        <v/>
      </c>
      <c r="AQ1625" t="str">
        <f t="shared" si="1507"/>
        <v/>
      </c>
      <c r="AR1625" t="str">
        <f t="shared" si="1508"/>
        <v>Away</v>
      </c>
      <c r="AS1625" t="str">
        <f t="shared" si="1509"/>
        <v>a</v>
      </c>
      <c r="AT1625" t="str">
        <f t="shared" si="1510"/>
        <v>Offensive</v>
      </c>
      <c r="BA1625" s="6">
        <f t="shared" si="1499"/>
        <v>378</v>
      </c>
      <c r="BB1625">
        <f t="shared" si="1500"/>
        <v>18981</v>
      </c>
      <c r="BC1625" t="str">
        <f t="shared" si="1501"/>
        <v>Nelson</v>
      </c>
      <c r="BD1625" t="str">
        <f t="shared" si="1502"/>
        <v>Velodrome</v>
      </c>
      <c r="BE1625" t="s">
        <v>9</v>
      </c>
      <c r="BF1625" t="s">
        <v>173</v>
      </c>
      <c r="BG1625" t="s">
        <v>365</v>
      </c>
      <c r="BI1625" cm="1">
        <f t="array" aca="1" ref="BI1625" ca="1">IFERROR(_xlfn._xlws.FILTER(shifts!A:A,(shifts!B:B=events!AD1625)*(shifts!AG:AG&gt;=events!BK1625)*(shifts!AH:AH&lt;=events!BL1625)),BI1624)</f>
        <v>72</v>
      </c>
      <c r="BJ1625" s="15">
        <f t="shared" si="1503"/>
        <v>0</v>
      </c>
      <c r="BK1625">
        <f t="shared" si="1511"/>
        <v>31</v>
      </c>
      <c r="BL1625">
        <f t="shared" si="1512"/>
        <v>31</v>
      </c>
      <c r="BM1625" s="15">
        <f>SUMIFS(BJ$2:BJ1625,K$2:K1625,"=Intermission")+SUMIFS(BJ$2:BJ1625,K$2:K1625,"=Timeout")</f>
        <v>72</v>
      </c>
      <c r="BN1625">
        <f t="shared" si="1513"/>
        <v>1152</v>
      </c>
      <c r="BO1625" s="19">
        <f t="shared" si="1514"/>
        <v>2201</v>
      </c>
      <c r="BP1625">
        <f t="shared" si="1515"/>
        <v>2196</v>
      </c>
      <c r="BQ1625" s="17">
        <f t="shared" si="1516"/>
        <v>2201</v>
      </c>
      <c r="BR1625" t="str">
        <f t="shared" si="1517"/>
        <v>event_team_player_1</v>
      </c>
      <c r="BS1625">
        <f>COUNTIFS(S$3:S1625,"="&amp;S1625,AI$3:AI1625,"="&amp;AI1625)</f>
        <v>1</v>
      </c>
      <c r="BT1625" t="str">
        <f>IFERROR(VLOOKUP(BB1625&amp;BU1625&amp;X1625,game_rosters!U:W,3,FALSE),"")</f>
        <v>P100132</v>
      </c>
      <c r="BU1625" t="str">
        <f t="shared" si="1518"/>
        <v>Velodrome</v>
      </c>
    </row>
    <row r="1626" spans="1:73" x14ac:dyDescent="0.2">
      <c r="A1626">
        <f t="shared" si="1504"/>
        <v>1</v>
      </c>
      <c r="J1626" s="44" t="str">
        <f t="shared" si="1519"/>
        <v/>
      </c>
      <c r="K1626" t="s">
        <v>238</v>
      </c>
      <c r="L1626" t="s">
        <v>193</v>
      </c>
      <c r="M1626" t="s">
        <v>91</v>
      </c>
      <c r="S1626">
        <v>880</v>
      </c>
      <c r="W1626" t="str">
        <f t="shared" si="1495"/>
        <v>h</v>
      </c>
      <c r="X1626">
        <v>8</v>
      </c>
      <c r="Y1626" t="b">
        <f>IF(X1626&lt;&gt;"",VLOOKUP(X1626,game_rosters!$C$43:$E$64,3,FALSE))</f>
        <v>0</v>
      </c>
      <c r="Z1626" cm="1">
        <f t="array" ref="Z1626">IFERROR(IF(_xlfn._xlws.FILTER(game_rosters!$J:$J,(game_rosters!$G:$G=events!$AN1626)*(game_rosters!$J:$J=events!$X1626))&gt;0,1,""),"")</f>
        <v>1</v>
      </c>
      <c r="AA1626">
        <f t="shared" si="1453"/>
        <v>1880</v>
      </c>
      <c r="AB1626" t="str">
        <f t="shared" si="1454"/>
        <v/>
      </c>
      <c r="AC1626">
        <f t="shared" si="1492"/>
        <v>1880</v>
      </c>
      <c r="AD1626" s="6">
        <v>2</v>
      </c>
      <c r="AE1626" t="s">
        <v>742</v>
      </c>
      <c r="AF1626" t="s">
        <v>738</v>
      </c>
      <c r="AG1626" t="s">
        <v>756</v>
      </c>
      <c r="AH1626" t="s">
        <v>756</v>
      </c>
      <c r="AI1626" t="s">
        <v>367</v>
      </c>
      <c r="AJ1626" t="str">
        <f t="shared" ref="AJ1626:AK1626" si="1540">IF($J1626&lt;&gt;"",$J1626,IF($AC1626=$AC1625,AJ1625,""))</f>
        <v/>
      </c>
      <c r="AK1626" t="str">
        <f t="shared" si="1540"/>
        <v/>
      </c>
      <c r="AL1626" t="str">
        <f t="shared" si="1497"/>
        <v/>
      </c>
      <c r="AN1626" t="s">
        <v>861</v>
      </c>
      <c r="AO1626" t="str">
        <f t="shared" si="1498"/>
        <v>h</v>
      </c>
      <c r="AP1626" t="str">
        <f t="shared" si="1506"/>
        <v/>
      </c>
      <c r="AQ1626" t="str">
        <f t="shared" si="1507"/>
        <v/>
      </c>
      <c r="AR1626" t="str">
        <f t="shared" si="1508"/>
        <v>Home</v>
      </c>
      <c r="AS1626" t="str">
        <f t="shared" si="1509"/>
        <v>h</v>
      </c>
      <c r="AT1626" t="str">
        <f t="shared" si="1510"/>
        <v>Offensive</v>
      </c>
      <c r="BA1626" s="6">
        <f t="shared" si="1499"/>
        <v>378</v>
      </c>
      <c r="BB1626">
        <f t="shared" si="1500"/>
        <v>18981</v>
      </c>
      <c r="BC1626" t="str">
        <f t="shared" si="1501"/>
        <v>Nelson</v>
      </c>
      <c r="BD1626" t="str">
        <f t="shared" si="1502"/>
        <v>Velodrome</v>
      </c>
      <c r="BE1626" t="s">
        <v>238</v>
      </c>
      <c r="BF1626" t="s">
        <v>193</v>
      </c>
      <c r="BG1626" t="s">
        <v>91</v>
      </c>
      <c r="BI1626" cm="1">
        <f t="array" aca="1" ref="BI1626" ca="1">IFERROR(_xlfn._xlws.FILTER(shifts!A:A,(shifts!B:B=events!AD1626)*(shifts!AG:AG&gt;=events!BK1626)*(shifts!AH:AH&lt;=events!BL1626)),BI1625)</f>
        <v>72</v>
      </c>
      <c r="BJ1626" s="15">
        <f t="shared" si="1503"/>
        <v>0</v>
      </c>
      <c r="BK1626">
        <f t="shared" si="1511"/>
        <v>31</v>
      </c>
      <c r="BL1626">
        <f t="shared" si="1512"/>
        <v>31</v>
      </c>
      <c r="BM1626" s="15">
        <f>SUMIFS(BJ$2:BJ1626,K$2:K1626,"=Intermission")+SUMIFS(BJ$2:BJ1626,K$2:K1626,"=Timeout")</f>
        <v>72</v>
      </c>
      <c r="BN1626">
        <f t="shared" si="1513"/>
        <v>1152</v>
      </c>
      <c r="BO1626" s="19">
        <f t="shared" si="1514"/>
        <v>2201</v>
      </c>
      <c r="BP1626">
        <f t="shared" si="1515"/>
        <v>2196</v>
      </c>
      <c r="BQ1626" s="17">
        <f t="shared" si="1516"/>
        <v>2201</v>
      </c>
      <c r="BR1626" t="str">
        <f t="shared" si="1517"/>
        <v>event_team_player_1</v>
      </c>
      <c r="BS1626">
        <f>COUNTIFS(S$3:S1626,"="&amp;S1626,AI$3:AI1626,"="&amp;AI1626)</f>
        <v>1</v>
      </c>
      <c r="BT1626" t="str">
        <f>IFERROR(VLOOKUP(BB1626&amp;BU1626&amp;X1626,game_rosters!U:W,3,FALSE),"")</f>
        <v>P100074</v>
      </c>
      <c r="BU1626" t="str">
        <f t="shared" si="1518"/>
        <v>Nelson</v>
      </c>
    </row>
    <row r="1627" spans="1:73" x14ac:dyDescent="0.2">
      <c r="A1627">
        <f t="shared" si="1504"/>
        <v>1</v>
      </c>
      <c r="J1627" s="44" t="str">
        <f t="shared" si="1519"/>
        <v/>
      </c>
      <c r="K1627" t="s">
        <v>9</v>
      </c>
      <c r="L1627" t="s">
        <v>173</v>
      </c>
      <c r="M1627" t="s">
        <v>365</v>
      </c>
      <c r="S1627">
        <v>881</v>
      </c>
      <c r="W1627" t="str">
        <f t="shared" si="1495"/>
        <v>h</v>
      </c>
      <c r="X1627">
        <v>8</v>
      </c>
      <c r="Y1627" t="b">
        <f>IF(X1627&lt;&gt;"",VLOOKUP(X1627,game_rosters!$C$43:$E$64,3,FALSE))</f>
        <v>0</v>
      </c>
      <c r="Z1627" cm="1">
        <f t="array" ref="Z1627">IFERROR(IF(_xlfn._xlws.FILTER(game_rosters!$J:$J,(game_rosters!$G:$G=events!$AN1627)*(game_rosters!$J:$J=events!$X1627))&gt;0,1,""),"")</f>
        <v>1</v>
      </c>
      <c r="AA1627">
        <f t="shared" si="1453"/>
        <v>1881</v>
      </c>
      <c r="AB1627" t="str">
        <f t="shared" si="1454"/>
        <v/>
      </c>
      <c r="AC1627">
        <f t="shared" si="1492"/>
        <v>1881</v>
      </c>
      <c r="AD1627" s="6">
        <v>2</v>
      </c>
      <c r="AE1627" t="s">
        <v>742</v>
      </c>
      <c r="AF1627" t="s">
        <v>738</v>
      </c>
      <c r="AG1627" t="s">
        <v>756</v>
      </c>
      <c r="AH1627" t="s">
        <v>756</v>
      </c>
      <c r="AI1627" t="s">
        <v>367</v>
      </c>
      <c r="AJ1627" t="str">
        <f t="shared" ref="AJ1627:AK1627" si="1541">IF($J1627&lt;&gt;"",$J1627,IF($AC1627=$AC1626,AJ1626,""))</f>
        <v/>
      </c>
      <c r="AK1627" t="str">
        <f t="shared" si="1541"/>
        <v/>
      </c>
      <c r="AL1627" t="str">
        <f t="shared" si="1497"/>
        <v/>
      </c>
      <c r="AN1627" t="s">
        <v>861</v>
      </c>
      <c r="AO1627" t="str">
        <f t="shared" si="1498"/>
        <v>h</v>
      </c>
      <c r="AP1627" t="str">
        <f t="shared" si="1506"/>
        <v/>
      </c>
      <c r="AQ1627" t="str">
        <f t="shared" si="1507"/>
        <v/>
      </c>
      <c r="AR1627" t="str">
        <f t="shared" si="1508"/>
        <v>Home</v>
      </c>
      <c r="AS1627" t="str">
        <f t="shared" si="1509"/>
        <v>h</v>
      </c>
      <c r="AT1627" t="str">
        <f t="shared" si="1510"/>
        <v>Offensive</v>
      </c>
      <c r="BA1627" s="6">
        <f t="shared" si="1499"/>
        <v>378</v>
      </c>
      <c r="BB1627">
        <f t="shared" si="1500"/>
        <v>18981</v>
      </c>
      <c r="BC1627" t="str">
        <f t="shared" si="1501"/>
        <v>Nelson</v>
      </c>
      <c r="BD1627" t="str">
        <f t="shared" si="1502"/>
        <v>Velodrome</v>
      </c>
      <c r="BE1627" t="s">
        <v>9</v>
      </c>
      <c r="BF1627" t="s">
        <v>173</v>
      </c>
      <c r="BG1627" t="s">
        <v>365</v>
      </c>
      <c r="BI1627" cm="1">
        <f t="array" aca="1" ref="BI1627" ca="1">IFERROR(_xlfn._xlws.FILTER(shifts!A:A,(shifts!B:B=events!AD1627)*(shifts!AG:AG&gt;=events!BK1627)*(shifts!AH:AH&lt;=events!BL1627)),BI1626)</f>
        <v>72</v>
      </c>
      <c r="BJ1627" s="15">
        <f t="shared" si="1503"/>
        <v>0</v>
      </c>
      <c r="BK1627">
        <f t="shared" si="1511"/>
        <v>31</v>
      </c>
      <c r="BL1627">
        <f t="shared" si="1512"/>
        <v>31</v>
      </c>
      <c r="BM1627" s="15">
        <f>SUMIFS(BJ$2:BJ1627,K$2:K1627,"=Intermission")+SUMIFS(BJ$2:BJ1627,K$2:K1627,"=Timeout")</f>
        <v>72</v>
      </c>
      <c r="BN1627">
        <f t="shared" si="1513"/>
        <v>1152</v>
      </c>
      <c r="BO1627" s="19">
        <f t="shared" si="1514"/>
        <v>2201</v>
      </c>
      <c r="BP1627">
        <f t="shared" si="1515"/>
        <v>2196</v>
      </c>
      <c r="BQ1627" s="17">
        <f t="shared" si="1516"/>
        <v>2201</v>
      </c>
      <c r="BR1627" t="str">
        <f t="shared" si="1517"/>
        <v>event_team_player_1</v>
      </c>
      <c r="BS1627">
        <f>COUNTIFS(S$3:S1627,"="&amp;S1627,AI$3:AI1627,"="&amp;AI1627)</f>
        <v>1</v>
      </c>
      <c r="BT1627" t="str">
        <f>IFERROR(VLOOKUP(BB1627&amp;BU1627&amp;X1627,game_rosters!U:W,3,FALSE),"")</f>
        <v>P100074</v>
      </c>
      <c r="BU1627" t="str">
        <f t="shared" si="1518"/>
        <v>Nelson</v>
      </c>
    </row>
    <row r="1628" spans="1:73" x14ac:dyDescent="0.2">
      <c r="A1628">
        <f t="shared" si="1504"/>
        <v>1</v>
      </c>
      <c r="J1628" s="44" t="str">
        <f t="shared" si="1519"/>
        <v/>
      </c>
      <c r="K1628" t="s">
        <v>11</v>
      </c>
      <c r="L1628" t="s">
        <v>187</v>
      </c>
      <c r="M1628" t="s">
        <v>106</v>
      </c>
      <c r="S1628">
        <v>882</v>
      </c>
      <c r="W1628" t="str">
        <f t="shared" si="1495"/>
        <v>a</v>
      </c>
      <c r="X1628">
        <v>14</v>
      </c>
      <c r="Y1628" t="e">
        <f>IF(X1628&lt;&gt;"",VLOOKUP(X1628,game_rosters!$C$43:$E$64,3,FALSE))</f>
        <v>#N/A</v>
      </c>
      <c r="Z1628" cm="1">
        <f t="array" ref="Z1628">IFERROR(IF(_xlfn._xlws.FILTER(game_rosters!$J:$J,(game_rosters!$G:$G=events!$AN1628)*(game_rosters!$J:$J=events!$X1628))&gt;0,1,""),"")</f>
        <v>1</v>
      </c>
      <c r="AA1628">
        <f t="shared" si="1453"/>
        <v>1882</v>
      </c>
      <c r="AB1628" t="str">
        <f t="shared" si="1454"/>
        <v/>
      </c>
      <c r="AC1628">
        <f t="shared" si="1492"/>
        <v>1882</v>
      </c>
      <c r="AD1628" s="6">
        <v>2</v>
      </c>
      <c r="AE1628" t="s">
        <v>742</v>
      </c>
      <c r="AF1628" t="s">
        <v>915</v>
      </c>
      <c r="AG1628" t="s">
        <v>756</v>
      </c>
      <c r="AH1628" t="s">
        <v>756</v>
      </c>
      <c r="AI1628" t="s">
        <v>367</v>
      </c>
      <c r="AJ1628" t="str">
        <f t="shared" ref="AJ1628:AK1628" si="1542">IF($J1628&lt;&gt;"",$J1628,IF($AC1628=$AC1627,AJ1627,""))</f>
        <v/>
      </c>
      <c r="AK1628" t="str">
        <f t="shared" si="1542"/>
        <v/>
      </c>
      <c r="AL1628" t="str">
        <f t="shared" si="1497"/>
        <v/>
      </c>
      <c r="AN1628" t="s">
        <v>862</v>
      </c>
      <c r="AO1628" t="str">
        <f t="shared" si="1498"/>
        <v>a</v>
      </c>
      <c r="AP1628" t="str">
        <f t="shared" si="1506"/>
        <v/>
      </c>
      <c r="AQ1628" t="str">
        <f t="shared" si="1507"/>
        <v/>
      </c>
      <c r="AR1628" t="str">
        <f t="shared" si="1508"/>
        <v>Away</v>
      </c>
      <c r="AS1628" t="str">
        <f t="shared" si="1509"/>
        <v>a</v>
      </c>
      <c r="AT1628" t="str">
        <f t="shared" si="1510"/>
        <v/>
      </c>
      <c r="BA1628" s="6">
        <f t="shared" si="1499"/>
        <v>378</v>
      </c>
      <c r="BB1628">
        <f t="shared" si="1500"/>
        <v>18981</v>
      </c>
      <c r="BC1628" t="str">
        <f t="shared" si="1501"/>
        <v>Nelson</v>
      </c>
      <c r="BD1628" t="str">
        <f t="shared" si="1502"/>
        <v>Velodrome</v>
      </c>
      <c r="BE1628" t="s">
        <v>11</v>
      </c>
      <c r="BF1628" t="s">
        <v>187</v>
      </c>
      <c r="BG1628" t="s">
        <v>106</v>
      </c>
      <c r="BI1628" cm="1">
        <f t="array" aca="1" ref="BI1628" ca="1">IFERROR(_xlfn._xlws.FILTER(shifts!A:A,(shifts!B:B=events!AD1628)*(shifts!AG:AG&gt;=events!BK1628)*(shifts!AH:AH&lt;=events!BL1628)),BI1627)</f>
        <v>72</v>
      </c>
      <c r="BJ1628" s="15">
        <f t="shared" si="1503"/>
        <v>0</v>
      </c>
      <c r="BK1628">
        <f t="shared" si="1511"/>
        <v>30</v>
      </c>
      <c r="BL1628">
        <f t="shared" si="1512"/>
        <v>30</v>
      </c>
      <c r="BM1628" s="15">
        <f>SUMIFS(BJ$2:BJ1628,K$2:K1628,"=Intermission")+SUMIFS(BJ$2:BJ1628,K$2:K1628,"=Timeout")</f>
        <v>72</v>
      </c>
      <c r="BN1628">
        <f t="shared" si="1513"/>
        <v>1152</v>
      </c>
      <c r="BO1628" s="19">
        <f t="shared" si="1514"/>
        <v>2202</v>
      </c>
      <c r="BP1628">
        <f t="shared" si="1515"/>
        <v>2197</v>
      </c>
      <c r="BQ1628" s="17">
        <f t="shared" si="1516"/>
        <v>2202</v>
      </c>
      <c r="BR1628" t="str">
        <f t="shared" si="1517"/>
        <v>event_team_player_1</v>
      </c>
      <c r="BS1628">
        <f>COUNTIFS(S$3:S1628,"="&amp;S1628,AI$3:AI1628,"="&amp;AI1628)</f>
        <v>1</v>
      </c>
      <c r="BT1628" t="str">
        <f>IFERROR(VLOOKUP(BB1628&amp;BU1628&amp;X1628,game_rosters!U:W,3,FALSE),"")</f>
        <v>P100132</v>
      </c>
      <c r="BU1628" t="str">
        <f t="shared" si="1518"/>
        <v>Velodrome</v>
      </c>
    </row>
    <row r="1629" spans="1:73" x14ac:dyDescent="0.2">
      <c r="A1629">
        <f t="shared" si="1504"/>
        <v>1</v>
      </c>
      <c r="J1629" s="44" t="str">
        <f t="shared" si="1519"/>
        <v/>
      </c>
      <c r="K1629" t="s">
        <v>241</v>
      </c>
      <c r="L1629" t="s">
        <v>756</v>
      </c>
      <c r="M1629" t="s">
        <v>756</v>
      </c>
      <c r="S1629">
        <v>883</v>
      </c>
      <c r="W1629" t="str">
        <f t="shared" si="1495"/>
        <v>a</v>
      </c>
      <c r="X1629">
        <v>14</v>
      </c>
      <c r="Y1629" t="e">
        <f>IF(X1629&lt;&gt;"",VLOOKUP(X1629,game_rosters!$C$43:$E$64,3,FALSE))</f>
        <v>#N/A</v>
      </c>
      <c r="Z1629" cm="1">
        <f t="array" ref="Z1629">IFERROR(IF(_xlfn._xlws.FILTER(game_rosters!$J:$J,(game_rosters!$G:$G=events!$AN1629)*(game_rosters!$J:$J=events!$X1629))&gt;0,1,""),"")</f>
        <v>1</v>
      </c>
      <c r="AA1629">
        <f t="shared" ref="AA1629:AA1692" si="1543">S1629+1000</f>
        <v>1883</v>
      </c>
      <c r="AB1629" t="str">
        <f t="shared" ref="AB1629:AB1692" si="1544">IF(T1629&lt;&gt;"",9000+T1629,"")</f>
        <v/>
      </c>
      <c r="AC1629">
        <f t="shared" si="1492"/>
        <v>1883</v>
      </c>
      <c r="AD1629" s="6">
        <v>2</v>
      </c>
      <c r="AE1629" t="s">
        <v>742</v>
      </c>
      <c r="AF1629" t="s">
        <v>740</v>
      </c>
      <c r="AG1629" t="s">
        <v>742</v>
      </c>
      <c r="AH1629" t="s">
        <v>925</v>
      </c>
      <c r="AI1629" t="s">
        <v>367</v>
      </c>
      <c r="AJ1629" t="str">
        <f t="shared" ref="AJ1629:AK1629" si="1545">IF($J1629&lt;&gt;"",$J1629,IF($AC1629=$AC1628,AJ1628,""))</f>
        <v/>
      </c>
      <c r="AK1629" t="str">
        <f t="shared" si="1545"/>
        <v/>
      </c>
      <c r="AL1629" t="str">
        <f t="shared" si="1497"/>
        <v/>
      </c>
      <c r="AN1629" t="s">
        <v>862</v>
      </c>
      <c r="AO1629" t="str">
        <f t="shared" si="1498"/>
        <v>a</v>
      </c>
      <c r="AP1629" t="str">
        <f t="shared" si="1506"/>
        <v/>
      </c>
      <c r="AQ1629" t="str">
        <f t="shared" si="1507"/>
        <v/>
      </c>
      <c r="AR1629" t="str">
        <f t="shared" si="1508"/>
        <v>Away</v>
      </c>
      <c r="AS1629" t="str">
        <f t="shared" si="1509"/>
        <v>a</v>
      </c>
      <c r="AT1629" t="str">
        <f t="shared" si="1510"/>
        <v/>
      </c>
      <c r="BA1629" s="6">
        <f t="shared" si="1499"/>
        <v>378</v>
      </c>
      <c r="BB1629">
        <f t="shared" si="1500"/>
        <v>18981</v>
      </c>
      <c r="BC1629" t="str">
        <f t="shared" si="1501"/>
        <v>Nelson</v>
      </c>
      <c r="BD1629" t="str">
        <f t="shared" si="1502"/>
        <v>Velodrome</v>
      </c>
      <c r="BE1629" t="s">
        <v>241</v>
      </c>
      <c r="BF1629" t="s">
        <v>756</v>
      </c>
      <c r="BG1629" t="s">
        <v>756</v>
      </c>
      <c r="BI1629" cm="1">
        <f t="array" aca="1" ref="BI1629" ca="1">IFERROR(_xlfn._xlws.FILTER(shifts!A:A,(shifts!B:B=events!AD1629)*(shifts!AG:AG&gt;=events!BK1629)*(shifts!AH:AH&lt;=events!BL1629)),BI1628)</f>
        <v>72</v>
      </c>
      <c r="BJ1629" s="15">
        <f t="shared" si="1503"/>
        <v>22</v>
      </c>
      <c r="BK1629">
        <f t="shared" si="1511"/>
        <v>25</v>
      </c>
      <c r="BL1629">
        <f t="shared" si="1512"/>
        <v>3</v>
      </c>
      <c r="BM1629" s="15">
        <f>SUMIFS(BJ$2:BJ1629,K$2:K1629,"=Intermission")+SUMIFS(BJ$2:BJ1629,K$2:K1629,"=Timeout")</f>
        <v>72</v>
      </c>
      <c r="BN1629">
        <f t="shared" si="1513"/>
        <v>1152</v>
      </c>
      <c r="BO1629" s="19">
        <f t="shared" si="1514"/>
        <v>2207</v>
      </c>
      <c r="BP1629">
        <f t="shared" si="1515"/>
        <v>2202</v>
      </c>
      <c r="BQ1629" s="17">
        <f t="shared" si="1516"/>
        <v>2229</v>
      </c>
      <c r="BR1629" t="str">
        <f t="shared" si="1517"/>
        <v>event_team_player_1</v>
      </c>
      <c r="BS1629">
        <f>COUNTIFS(S$3:S1629,"="&amp;S1629,AI$3:AI1629,"="&amp;AI1629)</f>
        <v>1</v>
      </c>
      <c r="BT1629" t="str">
        <f>IFERROR(VLOOKUP(BB1629&amp;BU1629&amp;X1629,game_rosters!U:W,3,FALSE),"")</f>
        <v>P100132</v>
      </c>
      <c r="BU1629" t="str">
        <f t="shared" si="1518"/>
        <v>Velodrome</v>
      </c>
    </row>
    <row r="1630" spans="1:73" x14ac:dyDescent="0.2">
      <c r="A1630">
        <f t="shared" si="1504"/>
        <v>1</v>
      </c>
      <c r="J1630" s="44" t="str">
        <f t="shared" si="1519"/>
        <v/>
      </c>
      <c r="K1630" t="s">
        <v>5</v>
      </c>
      <c r="L1630" t="s">
        <v>236</v>
      </c>
      <c r="M1630" t="s">
        <v>756</v>
      </c>
      <c r="S1630">
        <v>864</v>
      </c>
      <c r="W1630" t="str">
        <f t="shared" si="1495"/>
        <v>a</v>
      </c>
      <c r="X1630">
        <v>49</v>
      </c>
      <c r="Y1630" t="e">
        <f>IF(X1630&lt;&gt;"",VLOOKUP(X1630,game_rosters!$C$43:$E$64,3,FALSE))</f>
        <v>#N/A</v>
      </c>
      <c r="Z1630" cm="1">
        <f t="array" ref="Z1630">IFERROR(IF(_xlfn._xlws.FILTER(game_rosters!$J:$J,(game_rosters!$G:$G=events!$AN1630)*(game_rosters!$J:$J=events!$X1630))&gt;0,1,""),"")</f>
        <v>1</v>
      </c>
      <c r="AA1630">
        <f t="shared" si="1543"/>
        <v>1864</v>
      </c>
      <c r="AB1630" t="str">
        <f t="shared" si="1544"/>
        <v/>
      </c>
      <c r="AC1630">
        <f t="shared" si="1492"/>
        <v>1864</v>
      </c>
      <c r="AD1630" s="6">
        <v>2</v>
      </c>
      <c r="AE1630" t="s">
        <v>742</v>
      </c>
      <c r="AF1630" t="s">
        <v>925</v>
      </c>
      <c r="AG1630" t="s">
        <v>756</v>
      </c>
      <c r="AH1630" t="s">
        <v>756</v>
      </c>
      <c r="AI1630" t="s">
        <v>367</v>
      </c>
      <c r="AJ1630" t="str">
        <f t="shared" ref="AJ1630:AK1630" si="1546">IF($J1630&lt;&gt;"",$J1630,IF($AC1630=$AC1629,AJ1629,""))</f>
        <v/>
      </c>
      <c r="AK1630" t="str">
        <f t="shared" si="1546"/>
        <v/>
      </c>
      <c r="AL1630" t="str">
        <f t="shared" si="1497"/>
        <v/>
      </c>
      <c r="AN1630" t="s">
        <v>862</v>
      </c>
      <c r="AO1630" t="str">
        <f t="shared" si="1498"/>
        <v>a</v>
      </c>
      <c r="AP1630" t="str">
        <f t="shared" si="1506"/>
        <v/>
      </c>
      <c r="AQ1630" t="str">
        <f t="shared" si="1507"/>
        <v/>
      </c>
      <c r="AR1630" t="str">
        <f t="shared" si="1508"/>
        <v>Away</v>
      </c>
      <c r="AS1630" t="str">
        <f t="shared" si="1509"/>
        <v>a</v>
      </c>
      <c r="AT1630" t="str">
        <f t="shared" si="1510"/>
        <v>Offensive</v>
      </c>
      <c r="BA1630" s="6">
        <f t="shared" si="1499"/>
        <v>378</v>
      </c>
      <c r="BB1630">
        <f t="shared" si="1500"/>
        <v>18981</v>
      </c>
      <c r="BC1630" t="str">
        <f t="shared" si="1501"/>
        <v>Nelson</v>
      </c>
      <c r="BD1630" t="str">
        <f t="shared" si="1502"/>
        <v>Velodrome</v>
      </c>
      <c r="BE1630" t="s">
        <v>5</v>
      </c>
      <c r="BF1630" t="s">
        <v>236</v>
      </c>
      <c r="BG1630" t="s">
        <v>756</v>
      </c>
      <c r="BI1630" cm="1">
        <f t="array" aca="1" ref="BI1630" ca="1">IFERROR(_xlfn._xlws.FILTER(shifts!A:A,(shifts!B:B=events!AD1630)*(shifts!AG:AG&gt;=events!BK1630)*(shifts!AH:AH&lt;=events!BL1630)),BI1629)</f>
        <v>73</v>
      </c>
      <c r="BJ1630" s="15">
        <f t="shared" si="1503"/>
        <v>0</v>
      </c>
      <c r="BK1630">
        <f t="shared" si="1511"/>
        <v>3</v>
      </c>
      <c r="BL1630">
        <f t="shared" si="1512"/>
        <v>3</v>
      </c>
      <c r="BM1630" s="15">
        <f>SUMIFS(BJ$2:BJ1630,K$2:K1630,"=Intermission")+SUMIFS(BJ$2:BJ1630,K$2:K1630,"=Timeout")</f>
        <v>72</v>
      </c>
      <c r="BN1630">
        <f t="shared" si="1513"/>
        <v>1152</v>
      </c>
      <c r="BO1630" s="19">
        <f t="shared" si="1514"/>
        <v>2229</v>
      </c>
      <c r="BP1630">
        <f t="shared" si="1515"/>
        <v>2224</v>
      </c>
      <c r="BQ1630" s="17">
        <f t="shared" si="1516"/>
        <v>2229</v>
      </c>
      <c r="BR1630" t="str">
        <f t="shared" si="1517"/>
        <v>event_team_player_3</v>
      </c>
      <c r="BS1630">
        <f>COUNTIFS(S$3:S1630,"="&amp;S1630,AI$3:AI1630,"="&amp;AI1630)</f>
        <v>3</v>
      </c>
      <c r="BT1630" t="str">
        <f>IFERROR(VLOOKUP(BB1630&amp;BU1630&amp;X1630,game_rosters!U:W,3,FALSE),"")</f>
        <v>P100161</v>
      </c>
      <c r="BU1630" t="str">
        <f t="shared" si="1518"/>
        <v>Velodrome</v>
      </c>
    </row>
    <row r="1631" spans="1:73" x14ac:dyDescent="0.2">
      <c r="A1631">
        <f t="shared" si="1504"/>
        <v>1</v>
      </c>
      <c r="J1631" s="44" t="str">
        <f t="shared" si="1519"/>
        <v/>
      </c>
      <c r="K1631" t="s">
        <v>5</v>
      </c>
      <c r="L1631" t="s">
        <v>236</v>
      </c>
      <c r="M1631" t="s">
        <v>756</v>
      </c>
      <c r="S1631">
        <v>864</v>
      </c>
      <c r="W1631" t="str">
        <f t="shared" si="1495"/>
        <v>a</v>
      </c>
      <c r="X1631">
        <v>93</v>
      </c>
      <c r="Y1631" t="e">
        <f>IF(X1631&lt;&gt;"",VLOOKUP(X1631,game_rosters!$C$43:$E$64,3,FALSE))</f>
        <v>#N/A</v>
      </c>
      <c r="Z1631" cm="1">
        <f t="array" ref="Z1631">IFERROR(IF(_xlfn._xlws.FILTER(game_rosters!$J:$J,(game_rosters!$G:$G=events!$AN1631)*(game_rosters!$J:$J=events!$X1631))&gt;0,1,""),"")</f>
        <v>1</v>
      </c>
      <c r="AA1631">
        <f t="shared" si="1543"/>
        <v>1864</v>
      </c>
      <c r="AB1631" t="str">
        <f t="shared" si="1544"/>
        <v/>
      </c>
      <c r="AC1631">
        <f t="shared" si="1492"/>
        <v>1864</v>
      </c>
      <c r="AD1631" s="6">
        <v>2</v>
      </c>
      <c r="AE1631" t="s">
        <v>742</v>
      </c>
      <c r="AF1631" t="s">
        <v>925</v>
      </c>
      <c r="AG1631" t="s">
        <v>756</v>
      </c>
      <c r="AH1631" t="s">
        <v>756</v>
      </c>
      <c r="AI1631" t="s">
        <v>367</v>
      </c>
      <c r="AJ1631" t="str">
        <f t="shared" ref="AJ1631:AK1631" si="1547">IF($J1631&lt;&gt;"",$J1631,IF($AC1631=$AC1630,AJ1630,""))</f>
        <v/>
      </c>
      <c r="AK1631" t="str">
        <f t="shared" si="1547"/>
        <v/>
      </c>
      <c r="AL1631" t="str">
        <f t="shared" si="1497"/>
        <v/>
      </c>
      <c r="AN1631" t="s">
        <v>862</v>
      </c>
      <c r="AO1631" t="str">
        <f t="shared" si="1498"/>
        <v>a</v>
      </c>
      <c r="AP1631" t="str">
        <f t="shared" si="1506"/>
        <v/>
      </c>
      <c r="AQ1631" t="str">
        <f t="shared" si="1507"/>
        <v/>
      </c>
      <c r="AR1631" t="str">
        <f t="shared" si="1508"/>
        <v>Away</v>
      </c>
      <c r="AS1631" t="str">
        <f t="shared" si="1509"/>
        <v>a</v>
      </c>
      <c r="AT1631" t="str">
        <f t="shared" si="1510"/>
        <v>Offensive</v>
      </c>
      <c r="BA1631" s="6">
        <f t="shared" si="1499"/>
        <v>378</v>
      </c>
      <c r="BB1631">
        <f t="shared" si="1500"/>
        <v>18981</v>
      </c>
      <c r="BC1631" t="str">
        <f t="shared" si="1501"/>
        <v>Nelson</v>
      </c>
      <c r="BD1631" t="str">
        <f t="shared" si="1502"/>
        <v>Velodrome</v>
      </c>
      <c r="BE1631" t="s">
        <v>5</v>
      </c>
      <c r="BF1631" t="s">
        <v>236</v>
      </c>
      <c r="BG1631" t="s">
        <v>756</v>
      </c>
      <c r="BI1631" cm="1">
        <f t="array" aca="1" ref="BI1631" ca="1">IFERROR(_xlfn._xlws.FILTER(shifts!A:A,(shifts!B:B=events!AD1631)*(shifts!AG:AG&gt;=events!BK1631)*(shifts!AH:AH&lt;=events!BL1631)),BI1630)</f>
        <v>73</v>
      </c>
      <c r="BJ1631" s="15">
        <f t="shared" si="1503"/>
        <v>0</v>
      </c>
      <c r="BK1631">
        <f t="shared" si="1511"/>
        <v>3</v>
      </c>
      <c r="BL1631">
        <f t="shared" si="1512"/>
        <v>3</v>
      </c>
      <c r="BM1631" s="15">
        <f>SUMIFS(BJ$2:BJ1631,K$2:K1631,"=Intermission")+SUMIFS(BJ$2:BJ1631,K$2:K1631,"=Timeout")</f>
        <v>72</v>
      </c>
      <c r="BN1631">
        <f t="shared" si="1513"/>
        <v>1152</v>
      </c>
      <c r="BO1631" s="19">
        <f t="shared" si="1514"/>
        <v>2229</v>
      </c>
      <c r="BP1631">
        <f t="shared" si="1515"/>
        <v>2224</v>
      </c>
      <c r="BQ1631" s="17">
        <f t="shared" si="1516"/>
        <v>2229</v>
      </c>
      <c r="BR1631" t="str">
        <f t="shared" si="1517"/>
        <v>event_team_player_4</v>
      </c>
      <c r="BS1631">
        <f>COUNTIFS(S$3:S1631,"="&amp;S1631,AI$3:AI1631,"="&amp;AI1631)</f>
        <v>4</v>
      </c>
      <c r="BT1631" t="str">
        <f>IFERROR(VLOOKUP(BB1631&amp;BU1631&amp;X1631,game_rosters!U:W,3,FALSE),"")</f>
        <v>P100093</v>
      </c>
      <c r="BU1631" t="str">
        <f t="shared" si="1518"/>
        <v>Velodrome</v>
      </c>
    </row>
    <row r="1632" spans="1:73" x14ac:dyDescent="0.2">
      <c r="A1632">
        <f t="shared" si="1504"/>
        <v>1</v>
      </c>
      <c r="J1632" s="44" t="str">
        <f t="shared" si="1519"/>
        <v/>
      </c>
      <c r="K1632" t="s">
        <v>5</v>
      </c>
      <c r="L1632" t="s">
        <v>236</v>
      </c>
      <c r="M1632" t="s">
        <v>756</v>
      </c>
      <c r="S1632">
        <v>864</v>
      </c>
      <c r="W1632" t="str">
        <f t="shared" si="1495"/>
        <v>a</v>
      </c>
      <c r="X1632">
        <v>79</v>
      </c>
      <c r="Y1632" t="b">
        <f>IF(X1632&lt;&gt;"",VLOOKUP(X1632,game_rosters!$C$43:$E$64,3,FALSE))</f>
        <v>0</v>
      </c>
      <c r="Z1632" t="str" cm="1">
        <f t="array" ref="Z1632">IFERROR(IF(_xlfn._xlws.FILTER(game_rosters!$J:$J,(game_rosters!$G:$G=events!$AN1632)*(game_rosters!$J:$J=events!$X1632))&gt;0,1,""),"")</f>
        <v/>
      </c>
      <c r="AA1632">
        <f t="shared" si="1543"/>
        <v>1864</v>
      </c>
      <c r="AB1632" t="str">
        <f t="shared" si="1544"/>
        <v/>
      </c>
      <c r="AC1632">
        <f t="shared" si="1492"/>
        <v>1864</v>
      </c>
      <c r="AD1632" s="6">
        <v>2</v>
      </c>
      <c r="AE1632" t="s">
        <v>742</v>
      </c>
      <c r="AF1632" t="s">
        <v>925</v>
      </c>
      <c r="AG1632" t="s">
        <v>756</v>
      </c>
      <c r="AH1632" t="s">
        <v>756</v>
      </c>
      <c r="AI1632" t="s">
        <v>368</v>
      </c>
      <c r="AJ1632" t="str">
        <f t="shared" ref="AJ1632:AK1632" si="1548">IF($J1632&lt;&gt;"",$J1632,IF($AC1632=$AC1631,AJ1631,""))</f>
        <v/>
      </c>
      <c r="AK1632" t="str">
        <f t="shared" si="1548"/>
        <v/>
      </c>
      <c r="AL1632" t="str">
        <f t="shared" si="1497"/>
        <v/>
      </c>
      <c r="AN1632" t="s">
        <v>862</v>
      </c>
      <c r="AO1632" t="str">
        <f t="shared" si="1498"/>
        <v>a</v>
      </c>
      <c r="AP1632" t="str">
        <f t="shared" si="1506"/>
        <v/>
      </c>
      <c r="AQ1632" t="str">
        <f t="shared" si="1507"/>
        <v/>
      </c>
      <c r="AR1632" t="str">
        <f t="shared" si="1508"/>
        <v>Away</v>
      </c>
      <c r="AS1632" t="str">
        <f t="shared" si="1509"/>
        <v>a</v>
      </c>
      <c r="AT1632" t="str">
        <f t="shared" si="1510"/>
        <v>Defensive</v>
      </c>
      <c r="BA1632" s="6">
        <f t="shared" si="1499"/>
        <v>378</v>
      </c>
      <c r="BB1632">
        <f t="shared" si="1500"/>
        <v>18981</v>
      </c>
      <c r="BC1632" t="str">
        <f t="shared" si="1501"/>
        <v>Nelson</v>
      </c>
      <c r="BD1632" t="str">
        <f t="shared" si="1502"/>
        <v>Velodrome</v>
      </c>
      <c r="BE1632" t="s">
        <v>5</v>
      </c>
      <c r="BF1632" t="s">
        <v>236</v>
      </c>
      <c r="BG1632" t="s">
        <v>756</v>
      </c>
      <c r="BI1632" cm="1">
        <f t="array" aca="1" ref="BI1632" ca="1">IFERROR(_xlfn._xlws.FILTER(shifts!A:A,(shifts!B:B=events!AD1632)*(shifts!AG:AG&gt;=events!BK1632)*(shifts!AH:AH&lt;=events!BL1632)),BI1631)</f>
        <v>73</v>
      </c>
      <c r="BJ1632" s="15">
        <f t="shared" si="1503"/>
        <v>0</v>
      </c>
      <c r="BK1632">
        <f t="shared" si="1511"/>
        <v>3</v>
      </c>
      <c r="BL1632">
        <f t="shared" si="1512"/>
        <v>3</v>
      </c>
      <c r="BM1632" s="15">
        <f>SUMIFS(BJ$2:BJ1632,K$2:K1632,"=Intermission")+SUMIFS(BJ$2:BJ1632,K$2:K1632,"=Timeout")</f>
        <v>72</v>
      </c>
      <c r="BN1632">
        <f t="shared" si="1513"/>
        <v>1152</v>
      </c>
      <c r="BO1632" s="19">
        <f t="shared" si="1514"/>
        <v>2229</v>
      </c>
      <c r="BP1632">
        <f t="shared" si="1515"/>
        <v>2224</v>
      </c>
      <c r="BQ1632" s="17">
        <f t="shared" si="1516"/>
        <v>2229</v>
      </c>
      <c r="BR1632" t="str">
        <f t="shared" si="1517"/>
        <v>opp_team_player_1</v>
      </c>
      <c r="BS1632">
        <f>COUNTIFS(S$3:S1632,"="&amp;S1632,AI$3:AI1632,"="&amp;AI1632)</f>
        <v>1</v>
      </c>
      <c r="BT1632" t="str">
        <f>IFERROR(VLOOKUP(BB1632&amp;BU1632&amp;X1632,game_rosters!U:W,3,FALSE),"")</f>
        <v>P100066</v>
      </c>
      <c r="BU1632" t="str">
        <f t="shared" si="1518"/>
        <v>Nelson</v>
      </c>
    </row>
    <row r="1633" spans="1:73" x14ac:dyDescent="0.2">
      <c r="A1633">
        <f t="shared" si="1504"/>
        <v>1</v>
      </c>
      <c r="J1633" s="44" t="str">
        <f t="shared" si="1519"/>
        <v/>
      </c>
      <c r="K1633" t="s">
        <v>13</v>
      </c>
      <c r="L1633" t="s">
        <v>756</v>
      </c>
      <c r="M1633" t="s">
        <v>756</v>
      </c>
      <c r="S1633">
        <v>865</v>
      </c>
      <c r="W1633" t="str">
        <f t="shared" si="1495"/>
        <v>a</v>
      </c>
      <c r="X1633">
        <v>93</v>
      </c>
      <c r="Y1633" t="e">
        <f>IF(X1633&lt;&gt;"",VLOOKUP(X1633,game_rosters!$C$43:$E$64,3,FALSE))</f>
        <v>#N/A</v>
      </c>
      <c r="Z1633" cm="1">
        <f t="array" ref="Z1633">IFERROR(IF(_xlfn._xlws.FILTER(game_rosters!$J:$J,(game_rosters!$G:$G=events!$AN1633)*(game_rosters!$J:$J=events!$X1633))&gt;0,1,""),"")</f>
        <v>1</v>
      </c>
      <c r="AA1633">
        <f t="shared" si="1543"/>
        <v>1865</v>
      </c>
      <c r="AB1633" t="str">
        <f t="shared" si="1544"/>
        <v/>
      </c>
      <c r="AC1633">
        <f t="shared" si="1492"/>
        <v>1865</v>
      </c>
      <c r="AD1633" s="6">
        <v>2</v>
      </c>
      <c r="AE1633" t="s">
        <v>742</v>
      </c>
      <c r="AF1633" t="s">
        <v>925</v>
      </c>
      <c r="AG1633" t="s">
        <v>742</v>
      </c>
      <c r="AH1633" t="s">
        <v>413</v>
      </c>
      <c r="AI1633" t="s">
        <v>367</v>
      </c>
      <c r="AJ1633" t="str">
        <f t="shared" ref="AJ1633:AK1633" si="1549">IF($J1633&lt;&gt;"",$J1633,IF($AC1633=$AC1632,AJ1632,""))</f>
        <v/>
      </c>
      <c r="AK1633" t="str">
        <f t="shared" si="1549"/>
        <v/>
      </c>
      <c r="AL1633" t="str">
        <f t="shared" si="1497"/>
        <v/>
      </c>
      <c r="AN1633" t="s">
        <v>862</v>
      </c>
      <c r="AO1633" t="str">
        <f t="shared" si="1498"/>
        <v>a</v>
      </c>
      <c r="AP1633" t="str">
        <f t="shared" si="1506"/>
        <v/>
      </c>
      <c r="AQ1633" t="str">
        <f t="shared" si="1507"/>
        <v/>
      </c>
      <c r="AR1633" t="str">
        <f t="shared" si="1508"/>
        <v>Away</v>
      </c>
      <c r="AS1633" t="str">
        <f t="shared" si="1509"/>
        <v>a</v>
      </c>
      <c r="AT1633" t="str">
        <f t="shared" si="1510"/>
        <v>Offensive</v>
      </c>
      <c r="BA1633" s="6">
        <f t="shared" si="1499"/>
        <v>378</v>
      </c>
      <c r="BB1633">
        <f t="shared" si="1500"/>
        <v>18981</v>
      </c>
      <c r="BC1633" t="str">
        <f t="shared" si="1501"/>
        <v>Nelson</v>
      </c>
      <c r="BD1633" t="str">
        <f t="shared" si="1502"/>
        <v>Velodrome</v>
      </c>
      <c r="BE1633" t="s">
        <v>13</v>
      </c>
      <c r="BF1633" t="s">
        <v>756</v>
      </c>
      <c r="BG1633" t="s">
        <v>756</v>
      </c>
      <c r="BI1633" cm="1">
        <f t="array" aca="1" ref="BI1633" ca="1">IFERROR(_xlfn._xlws.FILTER(shifts!A:A,(shifts!B:B=events!AD1633)*(shifts!AG:AG&gt;=events!BK1633)*(shifts!AH:AH&lt;=events!BL1633)),BI1632)</f>
        <v>73</v>
      </c>
      <c r="BJ1633" s="15">
        <f t="shared" si="1503"/>
        <v>3</v>
      </c>
      <c r="BK1633">
        <f t="shared" si="1511"/>
        <v>3</v>
      </c>
      <c r="BL1633">
        <f t="shared" si="1512"/>
        <v>0</v>
      </c>
      <c r="BM1633" s="15">
        <f>SUMIFS(BJ$2:BJ1633,K$2:K1633,"=Intermission")+SUMIFS(BJ$2:BJ1633,K$2:K1633,"=Timeout")</f>
        <v>72</v>
      </c>
      <c r="BN1633">
        <f t="shared" si="1513"/>
        <v>1152</v>
      </c>
      <c r="BO1633" s="19">
        <f t="shared" si="1514"/>
        <v>2229</v>
      </c>
      <c r="BP1633">
        <f t="shared" si="1515"/>
        <v>2224</v>
      </c>
      <c r="BQ1633" s="17">
        <f t="shared" si="1516"/>
        <v>2232</v>
      </c>
      <c r="BR1633" t="str">
        <f t="shared" si="1517"/>
        <v>event_team_player_2</v>
      </c>
      <c r="BS1633">
        <f>COUNTIFS(S$3:S1633,"="&amp;S1633,AI$3:AI1633,"="&amp;AI1633)</f>
        <v>2</v>
      </c>
      <c r="BT1633" t="str">
        <f>IFERROR(VLOOKUP(BB1633&amp;BU1633&amp;X1633,game_rosters!U:W,3,FALSE),"")</f>
        <v>P100093</v>
      </c>
      <c r="BU1633" t="str">
        <f t="shared" si="1518"/>
        <v>Velodrome</v>
      </c>
    </row>
    <row r="1634" spans="1:73" x14ac:dyDescent="0.2">
      <c r="A1634">
        <f t="shared" si="1504"/>
        <v>1</v>
      </c>
      <c r="J1634" s="44" t="str">
        <f t="shared" si="1519"/>
        <v/>
      </c>
      <c r="K1634" t="s">
        <v>11</v>
      </c>
      <c r="L1634" t="s">
        <v>177</v>
      </c>
      <c r="M1634" t="s">
        <v>39</v>
      </c>
      <c r="S1634">
        <v>866</v>
      </c>
      <c r="W1634" t="str">
        <f t="shared" si="1495"/>
        <v/>
      </c>
      <c r="Y1634" t="b">
        <f>IF(X1634&lt;&gt;"",VLOOKUP(X1634,game_rosters!$C$43:$E$64,3,FALSE))</f>
        <v>0</v>
      </c>
      <c r="Z1634" t="e" cm="1" vm="1">
        <f t="array" aca="1" ref="Z1634" ca="1">IFERROR(IF(_xlfn._xlws.FILTER(game_rosters!$J:$J,(game_rosters!$G:$G=events!$AN1634)*(game_rosters!$J:$J=events!$X1634))&gt;0,1,""),"")</f>
        <v>#VALUE!</v>
      </c>
      <c r="AA1634">
        <f t="shared" si="1543"/>
        <v>1866</v>
      </c>
      <c r="AB1634" t="str">
        <f t="shared" si="1544"/>
        <v/>
      </c>
      <c r="AC1634">
        <f t="shared" si="1492"/>
        <v>1866</v>
      </c>
      <c r="AD1634" s="6">
        <v>2</v>
      </c>
      <c r="AE1634" t="s">
        <v>742</v>
      </c>
      <c r="AF1634" t="s">
        <v>413</v>
      </c>
      <c r="AG1634" t="s">
        <v>756</v>
      </c>
      <c r="AH1634" t="s">
        <v>756</v>
      </c>
      <c r="AJ1634" t="str">
        <f t="shared" ref="AJ1634:AK1634" si="1550">IF($J1634&lt;&gt;"",$J1634,IF($AC1634=$AC1633,AJ1633,""))</f>
        <v/>
      </c>
      <c r="AK1634" t="str">
        <f t="shared" si="1550"/>
        <v/>
      </c>
      <c r="AL1634" t="str">
        <f t="shared" si="1497"/>
        <v/>
      </c>
      <c r="AO1634" t="str">
        <f t="shared" si="1498"/>
        <v/>
      </c>
      <c r="AP1634" t="str">
        <f t="shared" si="1506"/>
        <v/>
      </c>
      <c r="AQ1634" t="str">
        <f t="shared" si="1507"/>
        <v/>
      </c>
      <c r="AR1634" t="str">
        <f t="shared" si="1508"/>
        <v/>
      </c>
      <c r="AS1634" t="str">
        <f t="shared" si="1509"/>
        <v/>
      </c>
      <c r="AT1634" t="str">
        <f t="shared" si="1510"/>
        <v/>
      </c>
      <c r="BA1634" s="6">
        <f t="shared" si="1499"/>
        <v>378</v>
      </c>
      <c r="BB1634">
        <f t="shared" si="1500"/>
        <v>18981</v>
      </c>
      <c r="BC1634" t="str">
        <f t="shared" si="1501"/>
        <v>Nelson</v>
      </c>
      <c r="BD1634" t="str">
        <f t="shared" si="1502"/>
        <v>Velodrome</v>
      </c>
      <c r="BE1634" t="s">
        <v>11</v>
      </c>
      <c r="BF1634" t="s">
        <v>177</v>
      </c>
      <c r="BG1634" t="s">
        <v>39</v>
      </c>
      <c r="BI1634" cm="1">
        <f t="array" aca="1" ref="BI1634" ca="1">IFERROR(_xlfn._xlws.FILTER(shifts!A:A,(shifts!B:B=events!AD1634)*(shifts!AG:AG&gt;=events!BK1634)*(shifts!AH:AH&lt;=events!BL1634)),BI1633)</f>
        <v>74</v>
      </c>
      <c r="BJ1634" s="15">
        <f t="shared" si="1503"/>
        <v>0</v>
      </c>
      <c r="BK1634">
        <f t="shared" si="1511"/>
        <v>0</v>
      </c>
      <c r="BL1634">
        <f t="shared" si="1512"/>
        <v>0</v>
      </c>
      <c r="BM1634" s="15">
        <f>SUMIFS(BJ$2:BJ1634,K$2:K1634,"=Intermission")+SUMIFS(BJ$2:BJ1634,K$2:K1634,"=Timeout")</f>
        <v>72</v>
      </c>
      <c r="BN1634">
        <f t="shared" si="1513"/>
        <v>1152</v>
      </c>
      <c r="BO1634" s="19">
        <f t="shared" si="1514"/>
        <v>2232</v>
      </c>
      <c r="BP1634">
        <f t="shared" si="1515"/>
        <v>2227</v>
      </c>
      <c r="BQ1634" s="17">
        <f t="shared" si="1516"/>
        <v>2232</v>
      </c>
      <c r="BR1634" t="str">
        <f t="shared" si="1517"/>
        <v/>
      </c>
      <c r="BS1634">
        <f>COUNTIFS(S$3:S1634,"="&amp;S1634,AI$3:AI1634,"="&amp;AI1634)</f>
        <v>1</v>
      </c>
      <c r="BT1634" t="str">
        <f>IFERROR(VLOOKUP(BB1634&amp;BU1634&amp;X1634,game_rosters!U:W,3,FALSE),"")</f>
        <v/>
      </c>
      <c r="BU1634" t="str">
        <f t="shared" si="1518"/>
        <v/>
      </c>
    </row>
    <row r="1635" spans="1:73" x14ac:dyDescent="0.2">
      <c r="A1635">
        <f t="shared" si="1504"/>
        <v>1</v>
      </c>
      <c r="J1635" s="44" t="str">
        <f t="shared" si="1519"/>
        <v/>
      </c>
      <c r="K1635" t="s">
        <v>393</v>
      </c>
      <c r="L1635" t="s">
        <v>756</v>
      </c>
      <c r="M1635" t="s">
        <v>756</v>
      </c>
      <c r="S1635">
        <v>867</v>
      </c>
      <c r="W1635" t="str">
        <f t="shared" si="1495"/>
        <v/>
      </c>
      <c r="Y1635" t="b">
        <f>IF(X1635&lt;&gt;"",VLOOKUP(X1635,game_rosters!$C$43:$E$64,3,FALSE))</f>
        <v>0</v>
      </c>
      <c r="Z1635" t="e" cm="1" vm="1">
        <f t="array" aca="1" ref="Z1635" ca="1">IFERROR(IF(_xlfn._xlws.FILTER(game_rosters!$J:$J,(game_rosters!$G:$G=events!$AN1635)*(game_rosters!$J:$J=events!$X1635))&gt;0,1,""),"")</f>
        <v>#VALUE!</v>
      </c>
      <c r="AA1635">
        <f t="shared" si="1543"/>
        <v>1867</v>
      </c>
      <c r="AB1635" t="str">
        <f t="shared" si="1544"/>
        <v/>
      </c>
      <c r="AC1635">
        <f t="shared" si="1492"/>
        <v>1867</v>
      </c>
      <c r="AD1635" s="6">
        <v>3</v>
      </c>
      <c r="AE1635" t="s">
        <v>917</v>
      </c>
      <c r="AF1635" t="s">
        <v>751</v>
      </c>
      <c r="AG1635" t="s">
        <v>918</v>
      </c>
      <c r="AH1635" t="s">
        <v>749</v>
      </c>
      <c r="AJ1635" t="str">
        <f t="shared" ref="AJ1635:AK1635" si="1551">IF($J1635&lt;&gt;"",$J1635,IF($AC1635=$AC1634,AJ1634,""))</f>
        <v/>
      </c>
      <c r="AK1635" t="str">
        <f t="shared" si="1551"/>
        <v/>
      </c>
      <c r="AL1635" t="str">
        <f t="shared" si="1497"/>
        <v/>
      </c>
      <c r="AN1635" t="s">
        <v>756</v>
      </c>
      <c r="AO1635" t="str">
        <f t="shared" si="1498"/>
        <v/>
      </c>
      <c r="AP1635" t="str">
        <f t="shared" si="1506"/>
        <v/>
      </c>
      <c r="AQ1635" t="str">
        <f t="shared" si="1507"/>
        <v/>
      </c>
      <c r="AR1635" t="str">
        <f t="shared" si="1508"/>
        <v/>
      </c>
      <c r="AS1635" t="str">
        <f t="shared" si="1509"/>
        <v/>
      </c>
      <c r="AT1635" t="str">
        <f t="shared" si="1510"/>
        <v/>
      </c>
      <c r="BA1635" s="6">
        <f t="shared" si="1499"/>
        <v>378</v>
      </c>
      <c r="BB1635">
        <f t="shared" si="1500"/>
        <v>18981</v>
      </c>
      <c r="BC1635" t="str">
        <f t="shared" si="1501"/>
        <v>Nelson</v>
      </c>
      <c r="BD1635" t="str">
        <f t="shared" si="1502"/>
        <v>Velodrome</v>
      </c>
      <c r="BE1635" t="s">
        <v>393</v>
      </c>
      <c r="BF1635" t="s">
        <v>756</v>
      </c>
      <c r="BG1635" t="s">
        <v>756</v>
      </c>
      <c r="BI1635" cm="1">
        <f t="array" aca="1" ref="BI1635" ca="1">IFERROR(_xlfn._xlws.FILTER(shifts!A:A,(shifts!B:B=events!AD1635)*(shifts!AG:AG&gt;=events!BK1635)*(shifts!AH:AH&lt;=events!BL1635)),BI1634)</f>
        <v>74</v>
      </c>
      <c r="BJ1635" s="15">
        <f t="shared" si="1503"/>
        <v>70</v>
      </c>
      <c r="BK1635">
        <f t="shared" si="1511"/>
        <v>1429</v>
      </c>
      <c r="BL1635">
        <f t="shared" si="1512"/>
        <v>1359</v>
      </c>
      <c r="BM1635" s="15">
        <f>SUMIFS(BJ$2:BJ1635,K$2:K1635,"=Intermission")+SUMIFS(BJ$2:BJ1635,K$2:K1635,"=Timeout")</f>
        <v>142</v>
      </c>
      <c r="BN1635">
        <f t="shared" si="1513"/>
        <v>2302</v>
      </c>
      <c r="BO1635" s="19">
        <f t="shared" si="1514"/>
        <v>2232</v>
      </c>
      <c r="BP1635">
        <f t="shared" si="1515"/>
        <v>2227</v>
      </c>
      <c r="BQ1635" s="17">
        <f t="shared" si="1516"/>
        <v>2302</v>
      </c>
      <c r="BR1635" t="str">
        <f t="shared" si="1517"/>
        <v/>
      </c>
      <c r="BS1635">
        <f>COUNTIFS(S$3:S1635,"="&amp;S1635,AI$3:AI1635,"="&amp;AI1635)</f>
        <v>1</v>
      </c>
      <c r="BT1635" t="str">
        <f>IFERROR(VLOOKUP(BB1635&amp;BU1635&amp;X1635,game_rosters!U:W,3,FALSE),"")</f>
        <v/>
      </c>
      <c r="BU1635" t="str">
        <f t="shared" si="1518"/>
        <v/>
      </c>
    </row>
    <row r="1636" spans="1:73" x14ac:dyDescent="0.2">
      <c r="A1636">
        <f t="shared" si="1504"/>
        <v>1</v>
      </c>
      <c r="J1636" s="44" t="str">
        <f t="shared" si="1519"/>
        <v>n</v>
      </c>
      <c r="K1636" t="s">
        <v>5</v>
      </c>
      <c r="L1636" t="s">
        <v>197</v>
      </c>
      <c r="M1636" t="s">
        <v>756</v>
      </c>
      <c r="S1636">
        <v>868</v>
      </c>
      <c r="W1636" t="str">
        <f t="shared" si="1495"/>
        <v>h</v>
      </c>
      <c r="X1636">
        <v>70</v>
      </c>
      <c r="Y1636" t="e">
        <f>IF(X1636&lt;&gt;"",VLOOKUP(X1636,game_rosters!$C$43:$E$64,3,FALSE))</f>
        <v>#N/A</v>
      </c>
      <c r="Z1636" t="str" cm="1">
        <f t="array" ref="Z1636">IFERROR(IF(_xlfn._xlws.FILTER(game_rosters!$J:$J,(game_rosters!$G:$G=events!$AN1636)*(game_rosters!$J:$J=events!$X1636))&gt;0,1,""),"")</f>
        <v/>
      </c>
      <c r="AA1636">
        <f t="shared" si="1543"/>
        <v>1868</v>
      </c>
      <c r="AB1636" t="str">
        <f t="shared" si="1544"/>
        <v/>
      </c>
      <c r="AC1636">
        <f t="shared" si="1492"/>
        <v>1868</v>
      </c>
      <c r="AD1636" s="6">
        <v>3</v>
      </c>
      <c r="AE1636" t="s">
        <v>743</v>
      </c>
      <c r="AF1636" t="s">
        <v>413</v>
      </c>
      <c r="AG1636" t="s">
        <v>756</v>
      </c>
      <c r="AH1636" t="s">
        <v>756</v>
      </c>
      <c r="AI1636" t="s">
        <v>367</v>
      </c>
      <c r="AJ1636" t="str">
        <f t="shared" ref="AJ1636:AK1636" si="1552">IF($J1636&lt;&gt;"",$J1636,IF($AC1636=$AC1635,AJ1635,""))</f>
        <v>n</v>
      </c>
      <c r="AK1636" t="str">
        <f t="shared" si="1552"/>
        <v>n</v>
      </c>
      <c r="AL1636" t="str">
        <f t="shared" si="1497"/>
        <v>n</v>
      </c>
      <c r="AN1636" t="s">
        <v>861</v>
      </c>
      <c r="AO1636" t="str">
        <f t="shared" si="1498"/>
        <v>h</v>
      </c>
      <c r="AP1636" t="str">
        <f t="shared" si="1506"/>
        <v>n</v>
      </c>
      <c r="AQ1636" t="str">
        <f t="shared" si="1507"/>
        <v/>
      </c>
      <c r="AR1636" t="str">
        <f t="shared" si="1508"/>
        <v>Home</v>
      </c>
      <c r="AS1636" t="str">
        <f t="shared" si="1509"/>
        <v>h</v>
      </c>
      <c r="AT1636" t="str">
        <f t="shared" si="1510"/>
        <v>Offensive</v>
      </c>
      <c r="BA1636" s="6">
        <f t="shared" si="1499"/>
        <v>378</v>
      </c>
      <c r="BB1636">
        <f t="shared" si="1500"/>
        <v>18981</v>
      </c>
      <c r="BC1636" t="str">
        <f t="shared" si="1501"/>
        <v>Nelson</v>
      </c>
      <c r="BD1636" t="str">
        <f t="shared" si="1502"/>
        <v>Velodrome</v>
      </c>
      <c r="BE1636" t="s">
        <v>5</v>
      </c>
      <c r="BF1636" t="s">
        <v>197</v>
      </c>
      <c r="BG1636" t="s">
        <v>756</v>
      </c>
      <c r="BI1636" cm="1">
        <f t="array" aca="1" ref="BI1636" ca="1">IFERROR(_xlfn._xlws.FILTER(shifts!A:A,(shifts!B:B=events!AD1636)*(shifts!AG:AG&gt;=events!BK1636)*(shifts!AH:AH&lt;=events!BL1636)),BI1635)</f>
        <v>75</v>
      </c>
      <c r="BJ1636" s="15">
        <f t="shared" si="1503"/>
        <v>0</v>
      </c>
      <c r="BK1636">
        <f t="shared" si="1511"/>
        <v>1080</v>
      </c>
      <c r="BL1636">
        <f t="shared" si="1512"/>
        <v>1080</v>
      </c>
      <c r="BM1636" s="15">
        <f>SUMIFS(BJ$2:BJ1636,K$2:K1636,"=Intermission")+SUMIFS(BJ$2:BJ1636,K$2:K1636,"=Timeout")</f>
        <v>142</v>
      </c>
      <c r="BN1636">
        <f t="shared" si="1513"/>
        <v>2302</v>
      </c>
      <c r="BO1636" s="19">
        <f t="shared" si="1514"/>
        <v>2302</v>
      </c>
      <c r="BP1636">
        <f t="shared" si="1515"/>
        <v>2297</v>
      </c>
      <c r="BQ1636" s="17">
        <f t="shared" si="1516"/>
        <v>2302</v>
      </c>
      <c r="BR1636" t="str">
        <f t="shared" si="1517"/>
        <v>event_team_player_3</v>
      </c>
      <c r="BS1636">
        <f>COUNTIFS(S$3:S1636,"="&amp;S1636,AI$3:AI1636,"="&amp;AI1636)</f>
        <v>3</v>
      </c>
      <c r="BT1636" t="str">
        <f>IFERROR(VLOOKUP(BB1636&amp;BU1636&amp;X1636,game_rosters!U:W,3,FALSE),"")</f>
        <v>P100001</v>
      </c>
      <c r="BU1636" t="s">
        <v>521</v>
      </c>
    </row>
    <row r="1637" spans="1:73" x14ac:dyDescent="0.2">
      <c r="A1637">
        <f t="shared" si="1504"/>
        <v>1</v>
      </c>
      <c r="J1637" s="44" t="str">
        <f t="shared" si="1519"/>
        <v>n</v>
      </c>
      <c r="K1637" t="s">
        <v>5</v>
      </c>
      <c r="L1637" t="s">
        <v>197</v>
      </c>
      <c r="M1637" t="s">
        <v>756</v>
      </c>
      <c r="S1637">
        <v>868</v>
      </c>
      <c r="W1637" t="str">
        <f t="shared" si="1495"/>
        <v>h</v>
      </c>
      <c r="X1637">
        <v>79</v>
      </c>
      <c r="Y1637" t="b">
        <f>IF(X1637&lt;&gt;"",VLOOKUP(X1637,game_rosters!$C$43:$E$64,3,FALSE))</f>
        <v>0</v>
      </c>
      <c r="Z1637" cm="1">
        <f t="array" ref="Z1637">IFERROR(IF(_xlfn._xlws.FILTER(game_rosters!$J:$J,(game_rosters!$G:$G=events!$AN1637)*(game_rosters!$J:$J=events!$X1637))&gt;0,1,""),"")</f>
        <v>1</v>
      </c>
      <c r="AA1637">
        <f t="shared" si="1543"/>
        <v>1868</v>
      </c>
      <c r="AB1637" t="str">
        <f t="shared" si="1544"/>
        <v/>
      </c>
      <c r="AC1637">
        <f t="shared" si="1492"/>
        <v>1868</v>
      </c>
      <c r="AD1637" s="6">
        <v>3</v>
      </c>
      <c r="AE1637" t="s">
        <v>743</v>
      </c>
      <c r="AF1637" t="s">
        <v>413</v>
      </c>
      <c r="AG1637" t="s">
        <v>756</v>
      </c>
      <c r="AH1637" t="s">
        <v>756</v>
      </c>
      <c r="AI1637" t="s">
        <v>368</v>
      </c>
      <c r="AJ1637" t="str">
        <f t="shared" ref="AJ1637:AK1637" si="1553">IF($J1637&lt;&gt;"",$J1637,IF($AC1637=$AC1636,AJ1636,""))</f>
        <v>n</v>
      </c>
      <c r="AK1637" t="str">
        <f t="shared" si="1553"/>
        <v>n</v>
      </c>
      <c r="AL1637" t="str">
        <f t="shared" si="1497"/>
        <v>n</v>
      </c>
      <c r="AN1637" t="s">
        <v>861</v>
      </c>
      <c r="AO1637" t="str">
        <f t="shared" si="1498"/>
        <v>h</v>
      </c>
      <c r="AP1637" t="str">
        <f t="shared" si="1506"/>
        <v>n</v>
      </c>
      <c r="AQ1637" t="str">
        <f t="shared" si="1507"/>
        <v/>
      </c>
      <c r="AR1637" t="str">
        <f t="shared" si="1508"/>
        <v>Home</v>
      </c>
      <c r="AS1637" t="str">
        <f t="shared" si="1509"/>
        <v>h</v>
      </c>
      <c r="AT1637" t="str">
        <f t="shared" si="1510"/>
        <v>Defensive</v>
      </c>
      <c r="BA1637" s="6">
        <f t="shared" si="1499"/>
        <v>378</v>
      </c>
      <c r="BB1637">
        <f t="shared" si="1500"/>
        <v>18981</v>
      </c>
      <c r="BC1637" t="str">
        <f t="shared" si="1501"/>
        <v>Nelson</v>
      </c>
      <c r="BD1637" t="str">
        <f t="shared" si="1502"/>
        <v>Velodrome</v>
      </c>
      <c r="BE1637" t="s">
        <v>5</v>
      </c>
      <c r="BF1637" t="s">
        <v>197</v>
      </c>
      <c r="BG1637" t="s">
        <v>756</v>
      </c>
      <c r="BI1637" cm="1">
        <f t="array" aca="1" ref="BI1637" ca="1">IFERROR(_xlfn._xlws.FILTER(shifts!A:A,(shifts!B:B=events!AD1637)*(shifts!AG:AG&gt;=events!BK1637)*(shifts!AH:AH&lt;=events!BL1637)),BI1636)</f>
        <v>75</v>
      </c>
      <c r="BJ1637" s="15">
        <f t="shared" si="1503"/>
        <v>0</v>
      </c>
      <c r="BK1637">
        <f t="shared" si="1511"/>
        <v>1080</v>
      </c>
      <c r="BL1637">
        <f t="shared" si="1512"/>
        <v>1080</v>
      </c>
      <c r="BM1637" s="15">
        <f>SUMIFS(BJ$2:BJ1637,K$2:K1637,"=Intermission")+SUMIFS(BJ$2:BJ1637,K$2:K1637,"=Timeout")</f>
        <v>142</v>
      </c>
      <c r="BN1637">
        <f t="shared" si="1513"/>
        <v>2302</v>
      </c>
      <c r="BO1637" s="19">
        <f t="shared" si="1514"/>
        <v>2302</v>
      </c>
      <c r="BP1637">
        <f t="shared" si="1515"/>
        <v>2297</v>
      </c>
      <c r="BQ1637" s="17">
        <f t="shared" si="1516"/>
        <v>2302</v>
      </c>
      <c r="BR1637" t="str">
        <f t="shared" si="1517"/>
        <v>opp_team_player_1</v>
      </c>
      <c r="BS1637">
        <f>COUNTIFS(S$3:S1637,"="&amp;S1637,AI$3:AI1637,"="&amp;AI1637)</f>
        <v>1</v>
      </c>
      <c r="BT1637" t="str">
        <f>IFERROR(VLOOKUP(BB1637&amp;BU1637&amp;X1637,game_rosters!U:W,3,FALSE),"")</f>
        <v>P100066</v>
      </c>
      <c r="BU1637" t="s">
        <v>944</v>
      </c>
    </row>
    <row r="1638" spans="1:73" x14ac:dyDescent="0.2">
      <c r="A1638">
        <f t="shared" si="1504"/>
        <v>1</v>
      </c>
      <c r="J1638" s="44" t="str">
        <f t="shared" si="1519"/>
        <v/>
      </c>
      <c r="K1638" t="s">
        <v>9</v>
      </c>
      <c r="L1638" t="s">
        <v>173</v>
      </c>
      <c r="M1638" t="s">
        <v>74</v>
      </c>
      <c r="S1638">
        <v>869</v>
      </c>
      <c r="W1638" t="str">
        <f t="shared" si="1495"/>
        <v>a</v>
      </c>
      <c r="X1638">
        <v>75</v>
      </c>
      <c r="Y1638" t="e">
        <f>IF(X1638&lt;&gt;"",VLOOKUP(X1638,game_rosters!$C$43:$E$64,3,FALSE))</f>
        <v>#N/A</v>
      </c>
      <c r="Z1638" cm="1">
        <f t="array" ref="Z1638">IFERROR(IF(_xlfn._xlws.FILTER(game_rosters!$J:$J,(game_rosters!$G:$G=events!$AN1638)*(game_rosters!$J:$J=events!$X1638))&gt;0,1,""),"")</f>
        <v>1</v>
      </c>
      <c r="AA1638">
        <f t="shared" si="1543"/>
        <v>1869</v>
      </c>
      <c r="AB1638" t="str">
        <f t="shared" si="1544"/>
        <v/>
      </c>
      <c r="AC1638">
        <f t="shared" si="1492"/>
        <v>1869</v>
      </c>
      <c r="AD1638" s="6">
        <v>3</v>
      </c>
      <c r="AE1638" t="s">
        <v>732</v>
      </c>
      <c r="AF1638" t="s">
        <v>932</v>
      </c>
      <c r="AG1638" t="s">
        <v>756</v>
      </c>
      <c r="AH1638" t="s">
        <v>756</v>
      </c>
      <c r="AI1638" t="s">
        <v>367</v>
      </c>
      <c r="AJ1638" t="str">
        <f t="shared" ref="AJ1638:AK1638" si="1554">IF($J1638&lt;&gt;"",$J1638,IF($AC1638=$AC1637,AJ1637,""))</f>
        <v/>
      </c>
      <c r="AK1638" t="str">
        <f t="shared" si="1554"/>
        <v/>
      </c>
      <c r="AL1638" t="str">
        <f t="shared" si="1497"/>
        <v/>
      </c>
      <c r="AN1638" t="s">
        <v>862</v>
      </c>
      <c r="AO1638" t="str">
        <f t="shared" si="1498"/>
        <v>a</v>
      </c>
      <c r="AP1638" t="str">
        <f t="shared" si="1506"/>
        <v/>
      </c>
      <c r="AQ1638" t="str">
        <f t="shared" si="1507"/>
        <v/>
      </c>
      <c r="AR1638" t="str">
        <f t="shared" si="1508"/>
        <v>Away</v>
      </c>
      <c r="AS1638" t="str">
        <f t="shared" si="1509"/>
        <v>a</v>
      </c>
      <c r="AT1638" t="str">
        <f t="shared" si="1510"/>
        <v>Offensive</v>
      </c>
      <c r="BA1638" s="6">
        <f t="shared" si="1499"/>
        <v>378</v>
      </c>
      <c r="BB1638">
        <f t="shared" si="1500"/>
        <v>18981</v>
      </c>
      <c r="BC1638" t="str">
        <f t="shared" si="1501"/>
        <v>Nelson</v>
      </c>
      <c r="BD1638" t="str">
        <f t="shared" si="1502"/>
        <v>Velodrome</v>
      </c>
      <c r="BE1638" t="s">
        <v>9</v>
      </c>
      <c r="BF1638" t="s">
        <v>173</v>
      </c>
      <c r="BG1638" t="s">
        <v>74</v>
      </c>
      <c r="BI1638" cm="1">
        <f t="array" aca="1" ref="BI1638" ca="1">IFERROR(_xlfn._xlws.FILTER(shifts!A:A,(shifts!B:B=events!AD1638)*(shifts!AG:AG&gt;=events!BK1638)*(shifts!AH:AH&lt;=events!BL1638)),BI1637)</f>
        <v>75</v>
      </c>
      <c r="BJ1638" s="15">
        <f t="shared" si="1503"/>
        <v>0</v>
      </c>
      <c r="BK1638">
        <f t="shared" si="1511"/>
        <v>1078</v>
      </c>
      <c r="BL1638">
        <f t="shared" si="1512"/>
        <v>1078</v>
      </c>
      <c r="BM1638" s="15">
        <f>SUMIFS(BJ$2:BJ1638,K$2:K1638,"=Intermission")+SUMIFS(BJ$2:BJ1638,K$2:K1638,"=Timeout")</f>
        <v>142</v>
      </c>
      <c r="BN1638">
        <f t="shared" si="1513"/>
        <v>2302</v>
      </c>
      <c r="BO1638" s="19">
        <f t="shared" si="1514"/>
        <v>2304</v>
      </c>
      <c r="BP1638">
        <f t="shared" si="1515"/>
        <v>2299</v>
      </c>
      <c r="BQ1638" s="17">
        <f t="shared" si="1516"/>
        <v>2304</v>
      </c>
      <c r="BR1638" t="str">
        <f t="shared" si="1517"/>
        <v>event_team_player_3</v>
      </c>
      <c r="BS1638">
        <f>COUNTIFS(S$3:S1638,"="&amp;S1638,AI$3:AI1638,"="&amp;AI1638)</f>
        <v>3</v>
      </c>
      <c r="BT1638" t="str">
        <f>IFERROR(VLOOKUP(BB1638&amp;BU1638&amp;X1638,game_rosters!U:W,3,FALSE),"")</f>
        <v>P100039</v>
      </c>
      <c r="BU1638" t="str">
        <f t="shared" si="1518"/>
        <v>Velodrome</v>
      </c>
    </row>
    <row r="1639" spans="1:73" x14ac:dyDescent="0.2">
      <c r="A1639">
        <f t="shared" si="1504"/>
        <v>1</v>
      </c>
      <c r="J1639" s="44" t="str">
        <f t="shared" si="1519"/>
        <v/>
      </c>
      <c r="K1639" t="s">
        <v>9</v>
      </c>
      <c r="L1639" t="s">
        <v>173</v>
      </c>
      <c r="M1639" t="s">
        <v>74</v>
      </c>
      <c r="S1639">
        <v>869</v>
      </c>
      <c r="W1639" t="str">
        <f t="shared" si="1495"/>
        <v>a</v>
      </c>
      <c r="X1639">
        <v>70</v>
      </c>
      <c r="Y1639" t="e">
        <f>IF(X1639&lt;&gt;"",VLOOKUP(X1639,game_rosters!$C$43:$E$64,3,FALSE))</f>
        <v>#N/A</v>
      </c>
      <c r="Z1639" cm="1">
        <f t="array" ref="Z1639">IFERROR(IF(_xlfn._xlws.FILTER(game_rosters!$J:$J,(game_rosters!$G:$G=events!$AN1639)*(game_rosters!$J:$J=events!$X1639))&gt;0,1,""),"")</f>
        <v>1</v>
      </c>
      <c r="AA1639">
        <f t="shared" si="1543"/>
        <v>1869</v>
      </c>
      <c r="AB1639" t="str">
        <f t="shared" si="1544"/>
        <v/>
      </c>
      <c r="AC1639">
        <f t="shared" si="1492"/>
        <v>1869</v>
      </c>
      <c r="AD1639" s="6">
        <v>3</v>
      </c>
      <c r="AE1639" t="s">
        <v>732</v>
      </c>
      <c r="AF1639" t="s">
        <v>932</v>
      </c>
      <c r="AG1639" t="s">
        <v>756</v>
      </c>
      <c r="AH1639" t="s">
        <v>756</v>
      </c>
      <c r="AI1639" t="s">
        <v>367</v>
      </c>
      <c r="AJ1639" t="str">
        <f t="shared" ref="AJ1639:AK1639" si="1555">IF($J1639&lt;&gt;"",$J1639,IF($AC1639=$AC1638,AJ1638,""))</f>
        <v/>
      </c>
      <c r="AK1639" t="str">
        <f t="shared" si="1555"/>
        <v/>
      </c>
      <c r="AL1639" t="str">
        <f t="shared" si="1497"/>
        <v/>
      </c>
      <c r="AN1639" t="s">
        <v>862</v>
      </c>
      <c r="AO1639" t="str">
        <f t="shared" si="1498"/>
        <v>a</v>
      </c>
      <c r="AP1639" t="str">
        <f t="shared" si="1506"/>
        <v/>
      </c>
      <c r="AQ1639" t="str">
        <f t="shared" si="1507"/>
        <v/>
      </c>
      <c r="AR1639" t="str">
        <f t="shared" si="1508"/>
        <v>Away</v>
      </c>
      <c r="AS1639" t="str">
        <f t="shared" si="1509"/>
        <v>a</v>
      </c>
      <c r="AT1639" t="str">
        <f t="shared" si="1510"/>
        <v>Offensive</v>
      </c>
      <c r="BA1639" s="6">
        <f t="shared" si="1499"/>
        <v>378</v>
      </c>
      <c r="BB1639">
        <f t="shared" si="1500"/>
        <v>18981</v>
      </c>
      <c r="BC1639" t="str">
        <f t="shared" si="1501"/>
        <v>Nelson</v>
      </c>
      <c r="BD1639" t="str">
        <f t="shared" si="1502"/>
        <v>Velodrome</v>
      </c>
      <c r="BE1639" t="s">
        <v>9</v>
      </c>
      <c r="BF1639" t="s">
        <v>173</v>
      </c>
      <c r="BG1639" t="s">
        <v>74</v>
      </c>
      <c r="BI1639" cm="1">
        <f t="array" aca="1" ref="BI1639" ca="1">IFERROR(_xlfn._xlws.FILTER(shifts!A:A,(shifts!B:B=events!AD1639)*(shifts!AG:AG&gt;=events!BK1639)*(shifts!AH:AH&lt;=events!BL1639)),BI1638)</f>
        <v>75</v>
      </c>
      <c r="BJ1639" s="15">
        <f t="shared" si="1503"/>
        <v>0</v>
      </c>
      <c r="BK1639">
        <f t="shared" si="1511"/>
        <v>1078</v>
      </c>
      <c r="BL1639">
        <f t="shared" si="1512"/>
        <v>1078</v>
      </c>
      <c r="BM1639" s="15">
        <f>SUMIFS(BJ$2:BJ1639,K$2:K1639,"=Intermission")+SUMIFS(BJ$2:BJ1639,K$2:K1639,"=Timeout")</f>
        <v>142</v>
      </c>
      <c r="BN1639">
        <f t="shared" si="1513"/>
        <v>2302</v>
      </c>
      <c r="BO1639" s="19">
        <f t="shared" si="1514"/>
        <v>2304</v>
      </c>
      <c r="BP1639">
        <f t="shared" si="1515"/>
        <v>2299</v>
      </c>
      <c r="BQ1639" s="17">
        <f t="shared" si="1516"/>
        <v>2304</v>
      </c>
      <c r="BR1639" t="str">
        <f t="shared" si="1517"/>
        <v>event_team_player_4</v>
      </c>
      <c r="BS1639">
        <f>COUNTIFS(S$3:S1639,"="&amp;S1639,AI$3:AI1639,"="&amp;AI1639)</f>
        <v>4</v>
      </c>
      <c r="BT1639" t="str">
        <f>IFERROR(VLOOKUP(BB1639&amp;BU1639&amp;X1639,game_rosters!U:W,3,FALSE),"")</f>
        <v>P100001</v>
      </c>
      <c r="BU1639" t="str">
        <f t="shared" si="1518"/>
        <v>Velodrome</v>
      </c>
    </row>
    <row r="1640" spans="1:73" x14ac:dyDescent="0.2">
      <c r="A1640">
        <f t="shared" si="1504"/>
        <v>1</v>
      </c>
      <c r="J1640" s="44" t="str">
        <f t="shared" si="1519"/>
        <v/>
      </c>
      <c r="K1640" t="s">
        <v>9</v>
      </c>
      <c r="L1640" t="s">
        <v>173</v>
      </c>
      <c r="M1640" t="s">
        <v>74</v>
      </c>
      <c r="S1640">
        <v>869</v>
      </c>
      <c r="W1640" t="str">
        <f t="shared" si="1495"/>
        <v>a</v>
      </c>
      <c r="X1640">
        <v>16</v>
      </c>
      <c r="Y1640" t="b">
        <f>IF(X1640&lt;&gt;"",VLOOKUP(X1640,game_rosters!$C$43:$E$64,3,FALSE))</f>
        <v>0</v>
      </c>
      <c r="Z1640" t="str" cm="1">
        <f t="array" ref="Z1640">IFERROR(IF(_xlfn._xlws.FILTER(game_rosters!$J:$J,(game_rosters!$G:$G=events!$AN1640)*(game_rosters!$J:$J=events!$X1640))&gt;0,1,""),"")</f>
        <v/>
      </c>
      <c r="AA1640">
        <f t="shared" si="1543"/>
        <v>1869</v>
      </c>
      <c r="AB1640" t="str">
        <f t="shared" si="1544"/>
        <v/>
      </c>
      <c r="AC1640">
        <f t="shared" si="1492"/>
        <v>1869</v>
      </c>
      <c r="AD1640" s="6">
        <v>3</v>
      </c>
      <c r="AE1640" t="s">
        <v>732</v>
      </c>
      <c r="AF1640" t="s">
        <v>932</v>
      </c>
      <c r="AG1640" t="s">
        <v>756</v>
      </c>
      <c r="AH1640" t="s">
        <v>756</v>
      </c>
      <c r="AI1640" t="s">
        <v>368</v>
      </c>
      <c r="AJ1640" t="str">
        <f t="shared" ref="AJ1640:AK1640" si="1556">IF($J1640&lt;&gt;"",$J1640,IF($AC1640=$AC1639,AJ1639,""))</f>
        <v/>
      </c>
      <c r="AK1640" t="str">
        <f t="shared" si="1556"/>
        <v/>
      </c>
      <c r="AL1640" t="str">
        <f t="shared" si="1497"/>
        <v/>
      </c>
      <c r="AN1640" t="s">
        <v>862</v>
      </c>
      <c r="AO1640" t="str">
        <f t="shared" si="1498"/>
        <v>a</v>
      </c>
      <c r="AP1640" t="str">
        <f t="shared" si="1506"/>
        <v/>
      </c>
      <c r="AQ1640" t="str">
        <f t="shared" si="1507"/>
        <v/>
      </c>
      <c r="AR1640" t="str">
        <f t="shared" si="1508"/>
        <v>Away</v>
      </c>
      <c r="AS1640" t="str">
        <f t="shared" si="1509"/>
        <v>a</v>
      </c>
      <c r="AT1640" t="str">
        <f t="shared" si="1510"/>
        <v>Defensive</v>
      </c>
      <c r="BA1640" s="6">
        <f t="shared" si="1499"/>
        <v>378</v>
      </c>
      <c r="BB1640">
        <f t="shared" si="1500"/>
        <v>18981</v>
      </c>
      <c r="BC1640" t="str">
        <f t="shared" si="1501"/>
        <v>Nelson</v>
      </c>
      <c r="BD1640" t="str">
        <f t="shared" si="1502"/>
        <v>Velodrome</v>
      </c>
      <c r="BE1640" t="s">
        <v>9</v>
      </c>
      <c r="BF1640" t="s">
        <v>173</v>
      </c>
      <c r="BG1640" t="s">
        <v>74</v>
      </c>
      <c r="BI1640" cm="1">
        <f t="array" aca="1" ref="BI1640" ca="1">IFERROR(_xlfn._xlws.FILTER(shifts!A:A,(shifts!B:B=events!AD1640)*(shifts!AG:AG&gt;=events!BK1640)*(shifts!AH:AH&lt;=events!BL1640)),BI1639)</f>
        <v>75</v>
      </c>
      <c r="BJ1640" s="15">
        <f t="shared" si="1503"/>
        <v>0</v>
      </c>
      <c r="BK1640">
        <f t="shared" si="1511"/>
        <v>1078</v>
      </c>
      <c r="BL1640">
        <f t="shared" si="1512"/>
        <v>1078</v>
      </c>
      <c r="BM1640" s="15">
        <f>SUMIFS(BJ$2:BJ1640,K$2:K1640,"=Intermission")+SUMIFS(BJ$2:BJ1640,K$2:K1640,"=Timeout")</f>
        <v>142</v>
      </c>
      <c r="BN1640">
        <f t="shared" si="1513"/>
        <v>2302</v>
      </c>
      <c r="BO1640" s="19">
        <f t="shared" si="1514"/>
        <v>2304</v>
      </c>
      <c r="BP1640">
        <f t="shared" si="1515"/>
        <v>2299</v>
      </c>
      <c r="BQ1640" s="17">
        <f t="shared" si="1516"/>
        <v>2304</v>
      </c>
      <c r="BR1640" t="str">
        <f t="shared" si="1517"/>
        <v>opp_team_player_1</v>
      </c>
      <c r="BS1640">
        <f>COUNTIFS(S$3:S1640,"="&amp;S1640,AI$3:AI1640,"="&amp;AI1640)</f>
        <v>1</v>
      </c>
      <c r="BT1640" t="str">
        <f>IFERROR(VLOOKUP(BB1640&amp;BU1640&amp;X1640,game_rosters!U:W,3,FALSE),"")</f>
        <v>P100164</v>
      </c>
      <c r="BU1640" t="str">
        <f t="shared" si="1518"/>
        <v>Nelson</v>
      </c>
    </row>
    <row r="1641" spans="1:73" x14ac:dyDescent="0.2">
      <c r="A1641">
        <f t="shared" si="1504"/>
        <v>1</v>
      </c>
      <c r="J1641" s="44" t="str">
        <f t="shared" si="1519"/>
        <v/>
      </c>
      <c r="K1641" t="s">
        <v>230</v>
      </c>
      <c r="L1641" t="s">
        <v>389</v>
      </c>
      <c r="M1641" t="s">
        <v>432</v>
      </c>
      <c r="S1641">
        <v>870</v>
      </c>
      <c r="W1641" t="str">
        <f t="shared" si="1495"/>
        <v>a</v>
      </c>
      <c r="X1641">
        <v>87</v>
      </c>
      <c r="Y1641" t="e">
        <f>IF(X1641&lt;&gt;"",VLOOKUP(X1641,game_rosters!$C$43:$E$64,3,FALSE))</f>
        <v>#N/A</v>
      </c>
      <c r="Z1641" cm="1">
        <f t="array" ref="Z1641">IFERROR(IF(_xlfn._xlws.FILTER(game_rosters!$J:$J,(game_rosters!$G:$G=events!$AN1641)*(game_rosters!$J:$J=events!$X1641))&gt;0,1,""),"")</f>
        <v>1</v>
      </c>
      <c r="AA1641">
        <f t="shared" si="1543"/>
        <v>1870</v>
      </c>
      <c r="AB1641" t="str">
        <f t="shared" si="1544"/>
        <v/>
      </c>
      <c r="AC1641">
        <f t="shared" si="1492"/>
        <v>1870</v>
      </c>
      <c r="AD1641" s="6">
        <v>3</v>
      </c>
      <c r="AE1641" t="s">
        <v>732</v>
      </c>
      <c r="AF1641" t="s">
        <v>927</v>
      </c>
      <c r="AG1641" t="s">
        <v>756</v>
      </c>
      <c r="AH1641" t="s">
        <v>756</v>
      </c>
      <c r="AI1641" t="s">
        <v>367</v>
      </c>
      <c r="AJ1641" t="str">
        <f t="shared" ref="AJ1641:AK1641" si="1557">IF($J1641&lt;&gt;"",$J1641,IF($AC1641=$AC1640,AJ1640,""))</f>
        <v/>
      </c>
      <c r="AK1641" t="str">
        <f t="shared" si="1557"/>
        <v/>
      </c>
      <c r="AL1641" t="str">
        <f t="shared" si="1497"/>
        <v/>
      </c>
      <c r="AN1641" t="s">
        <v>862</v>
      </c>
      <c r="AO1641" t="str">
        <f t="shared" si="1498"/>
        <v>a</v>
      </c>
      <c r="AP1641" t="str">
        <f t="shared" si="1506"/>
        <v/>
      </c>
      <c r="AQ1641" t="str">
        <f t="shared" si="1507"/>
        <v/>
      </c>
      <c r="AR1641" t="str">
        <f t="shared" si="1508"/>
        <v>Away</v>
      </c>
      <c r="AS1641" t="str">
        <f t="shared" si="1509"/>
        <v>a</v>
      </c>
      <c r="AT1641" t="str">
        <f t="shared" si="1510"/>
        <v>Defensive</v>
      </c>
      <c r="BA1641" s="6">
        <f t="shared" si="1499"/>
        <v>378</v>
      </c>
      <c r="BB1641">
        <f t="shared" si="1500"/>
        <v>18981</v>
      </c>
      <c r="BC1641" t="str">
        <f t="shared" si="1501"/>
        <v>Nelson</v>
      </c>
      <c r="BD1641" t="str">
        <f t="shared" si="1502"/>
        <v>Velodrome</v>
      </c>
      <c r="BE1641" t="s">
        <v>230</v>
      </c>
      <c r="BF1641" t="s">
        <v>389</v>
      </c>
      <c r="BG1641" t="s">
        <v>432</v>
      </c>
      <c r="BI1641" cm="1">
        <f t="array" aca="1" ref="BI1641" ca="1">IFERROR(_xlfn._xlws.FILTER(shifts!A:A,(shifts!B:B=events!AD1641)*(shifts!AG:AG&gt;=events!BK1641)*(shifts!AH:AH&lt;=events!BL1641)),BI1640)</f>
        <v>75</v>
      </c>
      <c r="BJ1641" s="15">
        <f t="shared" si="1503"/>
        <v>0</v>
      </c>
      <c r="BK1641">
        <f t="shared" si="1511"/>
        <v>1077</v>
      </c>
      <c r="BL1641">
        <f t="shared" si="1512"/>
        <v>1077</v>
      </c>
      <c r="BM1641" s="15">
        <f>SUMIFS(BJ$2:BJ1641,K$2:K1641,"=Intermission")+SUMIFS(BJ$2:BJ1641,K$2:K1641,"=Timeout")</f>
        <v>142</v>
      </c>
      <c r="BN1641">
        <f t="shared" si="1513"/>
        <v>2302</v>
      </c>
      <c r="BO1641" s="19">
        <f t="shared" si="1514"/>
        <v>2305</v>
      </c>
      <c r="BP1641">
        <f t="shared" si="1515"/>
        <v>2300</v>
      </c>
      <c r="BQ1641" s="17">
        <f t="shared" si="1516"/>
        <v>2305</v>
      </c>
      <c r="BR1641" t="str">
        <f t="shared" si="1517"/>
        <v>event_team_player_2</v>
      </c>
      <c r="BS1641">
        <f>COUNTIFS(S$3:S1641,"="&amp;S1641,AI$3:AI1641,"="&amp;AI1641)</f>
        <v>2</v>
      </c>
      <c r="BT1641" t="str">
        <f>IFERROR(VLOOKUP(BB1641&amp;BU1641&amp;X1641,game_rosters!U:W,3,FALSE),"")</f>
        <v>P100159</v>
      </c>
      <c r="BU1641" t="str">
        <f t="shared" si="1518"/>
        <v>Velodrome</v>
      </c>
    </row>
    <row r="1642" spans="1:73" x14ac:dyDescent="0.2">
      <c r="A1642">
        <f t="shared" si="1504"/>
        <v>1</v>
      </c>
      <c r="J1642" s="44" t="str">
        <f t="shared" si="1519"/>
        <v/>
      </c>
      <c r="K1642" t="s">
        <v>230</v>
      </c>
      <c r="L1642" t="s">
        <v>389</v>
      </c>
      <c r="M1642" t="s">
        <v>432</v>
      </c>
      <c r="S1642">
        <v>870</v>
      </c>
      <c r="W1642" t="str">
        <f t="shared" si="1495"/>
        <v>a</v>
      </c>
      <c r="X1642">
        <v>16</v>
      </c>
      <c r="Y1642" t="b">
        <f>IF(X1642&lt;&gt;"",VLOOKUP(X1642,game_rosters!$C$43:$E$64,3,FALSE))</f>
        <v>0</v>
      </c>
      <c r="Z1642" t="str" cm="1">
        <f t="array" ref="Z1642">IFERROR(IF(_xlfn._xlws.FILTER(game_rosters!$J:$J,(game_rosters!$G:$G=events!$AN1642)*(game_rosters!$J:$J=events!$X1642))&gt;0,1,""),"")</f>
        <v/>
      </c>
      <c r="AA1642">
        <f t="shared" si="1543"/>
        <v>1870</v>
      </c>
      <c r="AB1642" t="str">
        <f t="shared" si="1544"/>
        <v/>
      </c>
      <c r="AC1642">
        <f t="shared" si="1492"/>
        <v>1870</v>
      </c>
      <c r="AD1642" s="6">
        <v>3</v>
      </c>
      <c r="AE1642" t="s">
        <v>732</v>
      </c>
      <c r="AF1642" t="s">
        <v>927</v>
      </c>
      <c r="AG1642" t="s">
        <v>756</v>
      </c>
      <c r="AH1642" t="s">
        <v>756</v>
      </c>
      <c r="AI1642" t="s">
        <v>368</v>
      </c>
      <c r="AJ1642" t="str">
        <f t="shared" ref="AJ1642:AK1642" si="1558">IF($J1642&lt;&gt;"",$J1642,IF($AC1642=$AC1641,AJ1641,""))</f>
        <v/>
      </c>
      <c r="AK1642" t="str">
        <f t="shared" si="1558"/>
        <v/>
      </c>
      <c r="AL1642" t="str">
        <f t="shared" si="1497"/>
        <v/>
      </c>
      <c r="AN1642" t="s">
        <v>862</v>
      </c>
      <c r="AO1642" t="str">
        <f t="shared" si="1498"/>
        <v>a</v>
      </c>
      <c r="AP1642" t="str">
        <f t="shared" si="1506"/>
        <v/>
      </c>
      <c r="AQ1642" t="str">
        <f t="shared" si="1507"/>
        <v/>
      </c>
      <c r="AR1642" t="str">
        <f t="shared" si="1508"/>
        <v>Away</v>
      </c>
      <c r="AS1642" t="str">
        <f t="shared" si="1509"/>
        <v>a</v>
      </c>
      <c r="AT1642" t="str">
        <f t="shared" si="1510"/>
        <v>Offensive</v>
      </c>
      <c r="BA1642" s="6">
        <f t="shared" si="1499"/>
        <v>378</v>
      </c>
      <c r="BB1642">
        <f t="shared" si="1500"/>
        <v>18981</v>
      </c>
      <c r="BC1642" t="str">
        <f t="shared" si="1501"/>
        <v>Nelson</v>
      </c>
      <c r="BD1642" t="str">
        <f t="shared" si="1502"/>
        <v>Velodrome</v>
      </c>
      <c r="BE1642" t="s">
        <v>230</v>
      </c>
      <c r="BF1642" t="s">
        <v>389</v>
      </c>
      <c r="BG1642" t="s">
        <v>432</v>
      </c>
      <c r="BI1642" cm="1">
        <f t="array" aca="1" ref="BI1642" ca="1">IFERROR(_xlfn._xlws.FILTER(shifts!A:A,(shifts!B:B=events!AD1642)*(shifts!AG:AG&gt;=events!BK1642)*(shifts!AH:AH&lt;=events!BL1642)),BI1641)</f>
        <v>75</v>
      </c>
      <c r="BJ1642" s="15">
        <f t="shared" si="1503"/>
        <v>0</v>
      </c>
      <c r="BK1642">
        <f t="shared" si="1511"/>
        <v>1077</v>
      </c>
      <c r="BL1642">
        <f t="shared" si="1512"/>
        <v>1077</v>
      </c>
      <c r="BM1642" s="15">
        <f>SUMIFS(BJ$2:BJ1642,K$2:K1642,"=Intermission")+SUMIFS(BJ$2:BJ1642,K$2:K1642,"=Timeout")</f>
        <v>142</v>
      </c>
      <c r="BN1642">
        <f t="shared" si="1513"/>
        <v>2302</v>
      </c>
      <c r="BO1642" s="19">
        <f t="shared" si="1514"/>
        <v>2305</v>
      </c>
      <c r="BP1642">
        <f t="shared" si="1515"/>
        <v>2300</v>
      </c>
      <c r="BQ1642" s="17">
        <f t="shared" si="1516"/>
        <v>2305</v>
      </c>
      <c r="BR1642" t="str">
        <f t="shared" si="1517"/>
        <v>opp_team_player_1</v>
      </c>
      <c r="BS1642">
        <f>COUNTIFS(S$3:S1642,"="&amp;S1642,AI$3:AI1642,"="&amp;AI1642)</f>
        <v>1</v>
      </c>
      <c r="BT1642" t="str">
        <f>IFERROR(VLOOKUP(BB1642&amp;BU1642&amp;X1642,game_rosters!U:W,3,FALSE),"")</f>
        <v>P100164</v>
      </c>
      <c r="BU1642" t="str">
        <f t="shared" si="1518"/>
        <v>Nelson</v>
      </c>
    </row>
    <row r="1643" spans="1:73" x14ac:dyDescent="0.2">
      <c r="A1643">
        <f t="shared" si="1504"/>
        <v>1</v>
      </c>
      <c r="J1643" s="44" t="str">
        <f t="shared" si="1519"/>
        <v>o</v>
      </c>
      <c r="K1643" t="s">
        <v>238</v>
      </c>
      <c r="L1643" t="s">
        <v>174</v>
      </c>
      <c r="M1643" t="s">
        <v>85</v>
      </c>
      <c r="S1643">
        <v>871</v>
      </c>
      <c r="W1643" t="str">
        <f t="shared" si="1495"/>
        <v>h</v>
      </c>
      <c r="X1643">
        <v>79</v>
      </c>
      <c r="Y1643" t="b">
        <f>IF(X1643&lt;&gt;"",VLOOKUP(X1643,game_rosters!$C$43:$E$64,3,FALSE))</f>
        <v>0</v>
      </c>
      <c r="Z1643" cm="1">
        <f t="array" ref="Z1643">IFERROR(IF(_xlfn._xlws.FILTER(game_rosters!$J:$J,(game_rosters!$G:$G=events!$AN1643)*(game_rosters!$J:$J=events!$X1643))&gt;0,1,""),"")</f>
        <v>1</v>
      </c>
      <c r="AA1643">
        <f t="shared" si="1543"/>
        <v>1871</v>
      </c>
      <c r="AB1643" t="str">
        <f t="shared" si="1544"/>
        <v/>
      </c>
      <c r="AC1643">
        <f t="shared" si="1492"/>
        <v>1871</v>
      </c>
      <c r="AD1643" s="6">
        <v>3</v>
      </c>
      <c r="AE1643" t="s">
        <v>732</v>
      </c>
      <c r="AF1643" t="s">
        <v>921</v>
      </c>
      <c r="AG1643" t="s">
        <v>732</v>
      </c>
      <c r="AH1643" t="s">
        <v>898</v>
      </c>
      <c r="AI1643" t="s">
        <v>367</v>
      </c>
      <c r="AJ1643" t="str">
        <f t="shared" ref="AJ1643:AK1643" si="1559">IF($J1643&lt;&gt;"",$J1643,IF($AC1643=$AC1642,AJ1642,""))</f>
        <v>o</v>
      </c>
      <c r="AK1643" t="str">
        <f t="shared" si="1559"/>
        <v>o</v>
      </c>
      <c r="AL1643" t="str">
        <f t="shared" si="1497"/>
        <v>o</v>
      </c>
      <c r="AN1643" t="s">
        <v>861</v>
      </c>
      <c r="AO1643" t="str">
        <f t="shared" si="1498"/>
        <v>h</v>
      </c>
      <c r="AP1643" t="str">
        <f t="shared" si="1506"/>
        <v>o</v>
      </c>
      <c r="AQ1643" t="str">
        <f t="shared" si="1507"/>
        <v/>
      </c>
      <c r="AR1643" t="str">
        <f t="shared" si="1508"/>
        <v>Home</v>
      </c>
      <c r="AS1643" t="str">
        <f t="shared" si="1509"/>
        <v>h</v>
      </c>
      <c r="AT1643" t="str">
        <f t="shared" si="1510"/>
        <v>Offensive</v>
      </c>
      <c r="BA1643" s="6">
        <f t="shared" si="1499"/>
        <v>379</v>
      </c>
      <c r="BB1643">
        <f t="shared" si="1500"/>
        <v>18981</v>
      </c>
      <c r="BC1643" t="str">
        <f t="shared" si="1501"/>
        <v>Nelson</v>
      </c>
      <c r="BD1643" t="str">
        <f t="shared" si="1502"/>
        <v>Velodrome</v>
      </c>
      <c r="BE1643" t="s">
        <v>238</v>
      </c>
      <c r="BF1643" t="s">
        <v>174</v>
      </c>
      <c r="BG1643" t="s">
        <v>85</v>
      </c>
      <c r="BI1643" cm="1">
        <f t="array" aca="1" ref="BI1643" ca="1">IFERROR(_xlfn._xlws.FILTER(shifts!A:A,(shifts!B:B=events!AD1643)*(shifts!AG:AG&gt;=events!BK1643)*(shifts!AH:AH&lt;=events!BL1643)),BI1642)</f>
        <v>75</v>
      </c>
      <c r="BJ1643" s="15">
        <f t="shared" si="1503"/>
        <v>2</v>
      </c>
      <c r="BK1643">
        <f t="shared" si="1511"/>
        <v>1073</v>
      </c>
      <c r="BL1643">
        <f t="shared" si="1512"/>
        <v>1071</v>
      </c>
      <c r="BM1643" s="15">
        <f>SUMIFS(BJ$2:BJ1643,K$2:K1643,"=Intermission")+SUMIFS(BJ$2:BJ1643,K$2:K1643,"=Timeout")</f>
        <v>142</v>
      </c>
      <c r="BN1643">
        <f t="shared" si="1513"/>
        <v>2302</v>
      </c>
      <c r="BO1643" s="19">
        <f t="shared" si="1514"/>
        <v>2309</v>
      </c>
      <c r="BP1643">
        <f t="shared" si="1515"/>
        <v>2304</v>
      </c>
      <c r="BQ1643" s="17">
        <f t="shared" si="1516"/>
        <v>2311</v>
      </c>
      <c r="BR1643" t="str">
        <f t="shared" si="1517"/>
        <v>event_team_player_2</v>
      </c>
      <c r="BS1643">
        <f>COUNTIFS(S$3:S1643,"="&amp;S1643,AI$3:AI1643,"="&amp;AI1643)</f>
        <v>2</v>
      </c>
      <c r="BT1643" t="str">
        <f>IFERROR(VLOOKUP(BB1643&amp;BU1643&amp;X1643,game_rosters!U:W,3,FALSE),"")</f>
        <v>P100066</v>
      </c>
      <c r="BU1643" t="str">
        <f t="shared" si="1518"/>
        <v>Nelson</v>
      </c>
    </row>
    <row r="1644" spans="1:73" x14ac:dyDescent="0.2">
      <c r="A1644">
        <f t="shared" si="1504"/>
        <v>1</v>
      </c>
      <c r="J1644" s="44" t="str">
        <f t="shared" si="1519"/>
        <v>o</v>
      </c>
      <c r="K1644" t="s">
        <v>238</v>
      </c>
      <c r="L1644" t="s">
        <v>174</v>
      </c>
      <c r="M1644" t="s">
        <v>85</v>
      </c>
      <c r="S1644">
        <v>871</v>
      </c>
      <c r="W1644" t="str">
        <f t="shared" si="1495"/>
        <v>h</v>
      </c>
      <c r="X1644">
        <v>15</v>
      </c>
      <c r="Y1644" t="b">
        <f>IF(X1644&lt;&gt;"",VLOOKUP(X1644,game_rosters!$C$43:$E$64,3,FALSE))</f>
        <v>0</v>
      </c>
      <c r="Z1644" cm="1">
        <f t="array" ref="Z1644">IFERROR(IF(_xlfn._xlws.FILTER(game_rosters!$J:$J,(game_rosters!$G:$G=events!$AN1644)*(game_rosters!$J:$J=events!$X1644))&gt;0,1,""),"")</f>
        <v>1</v>
      </c>
      <c r="AA1644">
        <f t="shared" si="1543"/>
        <v>1871</v>
      </c>
      <c r="AB1644" t="str">
        <f t="shared" si="1544"/>
        <v/>
      </c>
      <c r="AC1644">
        <f t="shared" si="1492"/>
        <v>1871</v>
      </c>
      <c r="AD1644" s="6">
        <v>3</v>
      </c>
      <c r="AE1644" t="s">
        <v>732</v>
      </c>
      <c r="AF1644" t="s">
        <v>921</v>
      </c>
      <c r="AG1644" t="s">
        <v>732</v>
      </c>
      <c r="AH1644" t="s">
        <v>898</v>
      </c>
      <c r="AI1644" t="s">
        <v>367</v>
      </c>
      <c r="AJ1644" t="str">
        <f t="shared" ref="AJ1644:AK1644" si="1560">IF($J1644&lt;&gt;"",$J1644,IF($AC1644=$AC1643,AJ1643,""))</f>
        <v>o</v>
      </c>
      <c r="AK1644" t="str">
        <f t="shared" si="1560"/>
        <v>o</v>
      </c>
      <c r="AL1644" t="str">
        <f t="shared" si="1497"/>
        <v>o</v>
      </c>
      <c r="AN1644" t="s">
        <v>861</v>
      </c>
      <c r="AO1644" t="str">
        <f t="shared" si="1498"/>
        <v>h</v>
      </c>
      <c r="AP1644" t="str">
        <f t="shared" si="1506"/>
        <v>o</v>
      </c>
      <c r="AQ1644" t="str">
        <f t="shared" si="1507"/>
        <v/>
      </c>
      <c r="AR1644" t="str">
        <f t="shared" si="1508"/>
        <v>Home</v>
      </c>
      <c r="AS1644" t="str">
        <f t="shared" si="1509"/>
        <v>h</v>
      </c>
      <c r="AT1644" t="str">
        <f t="shared" si="1510"/>
        <v>Offensive</v>
      </c>
      <c r="BA1644" s="6">
        <f t="shared" si="1499"/>
        <v>380</v>
      </c>
      <c r="BB1644">
        <f t="shared" si="1500"/>
        <v>18981</v>
      </c>
      <c r="BC1644" t="str">
        <f t="shared" si="1501"/>
        <v>Nelson</v>
      </c>
      <c r="BD1644" t="str">
        <f t="shared" si="1502"/>
        <v>Velodrome</v>
      </c>
      <c r="BE1644" t="s">
        <v>238</v>
      </c>
      <c r="BF1644" t="s">
        <v>174</v>
      </c>
      <c r="BG1644" t="s">
        <v>85</v>
      </c>
      <c r="BI1644" cm="1">
        <f t="array" aca="1" ref="BI1644" ca="1">IFERROR(_xlfn._xlws.FILTER(shifts!A:A,(shifts!B:B=events!AD1644)*(shifts!AG:AG&gt;=events!BK1644)*(shifts!AH:AH&lt;=events!BL1644)),BI1643)</f>
        <v>75</v>
      </c>
      <c r="BJ1644" s="15">
        <f t="shared" si="1503"/>
        <v>2</v>
      </c>
      <c r="BK1644">
        <f t="shared" si="1511"/>
        <v>1073</v>
      </c>
      <c r="BL1644">
        <f t="shared" si="1512"/>
        <v>1071</v>
      </c>
      <c r="BM1644" s="15">
        <f>SUMIFS(BJ$2:BJ1644,K$2:K1644,"=Intermission")+SUMIFS(BJ$2:BJ1644,K$2:K1644,"=Timeout")</f>
        <v>142</v>
      </c>
      <c r="BN1644">
        <f t="shared" si="1513"/>
        <v>2302</v>
      </c>
      <c r="BO1644" s="19">
        <f t="shared" si="1514"/>
        <v>2309</v>
      </c>
      <c r="BP1644">
        <f t="shared" si="1515"/>
        <v>2304</v>
      </c>
      <c r="BQ1644" s="17">
        <f t="shared" si="1516"/>
        <v>2311</v>
      </c>
      <c r="BR1644" t="str">
        <f t="shared" si="1517"/>
        <v>event_team_player_3</v>
      </c>
      <c r="BS1644">
        <f>COUNTIFS(S$3:S1644,"="&amp;S1644,AI$3:AI1644,"="&amp;AI1644)</f>
        <v>3</v>
      </c>
      <c r="BT1644" t="str">
        <f>IFERROR(VLOOKUP(BB1644&amp;BU1644&amp;X1644,game_rosters!U:W,3,FALSE),"")</f>
        <v>P100071</v>
      </c>
      <c r="BU1644" t="str">
        <f t="shared" si="1518"/>
        <v>Nelson</v>
      </c>
    </row>
    <row r="1645" spans="1:73" x14ac:dyDescent="0.2">
      <c r="A1645">
        <f t="shared" si="1504"/>
        <v>1</v>
      </c>
      <c r="J1645" s="44" t="str">
        <f t="shared" si="1519"/>
        <v>o</v>
      </c>
      <c r="K1645" t="s">
        <v>238</v>
      </c>
      <c r="L1645" t="s">
        <v>174</v>
      </c>
      <c r="M1645" t="s">
        <v>85</v>
      </c>
      <c r="S1645">
        <v>871</v>
      </c>
      <c r="W1645" t="str">
        <f t="shared" si="1495"/>
        <v>h</v>
      </c>
      <c r="X1645">
        <v>14</v>
      </c>
      <c r="Y1645" t="e">
        <f>IF(X1645&lt;&gt;"",VLOOKUP(X1645,game_rosters!$C$43:$E$64,3,FALSE))</f>
        <v>#N/A</v>
      </c>
      <c r="Z1645" t="str" cm="1">
        <f t="array" ref="Z1645">IFERROR(IF(_xlfn._xlws.FILTER(game_rosters!$J:$J,(game_rosters!$G:$G=events!$AN1645)*(game_rosters!$J:$J=events!$X1645))&gt;0,1,""),"")</f>
        <v/>
      </c>
      <c r="AA1645">
        <f t="shared" si="1543"/>
        <v>1871</v>
      </c>
      <c r="AB1645" t="str">
        <f t="shared" si="1544"/>
        <v/>
      </c>
      <c r="AC1645">
        <f t="shared" si="1492"/>
        <v>1871</v>
      </c>
      <c r="AD1645" s="6">
        <v>3</v>
      </c>
      <c r="AE1645" t="s">
        <v>732</v>
      </c>
      <c r="AF1645" t="s">
        <v>921</v>
      </c>
      <c r="AG1645" t="s">
        <v>732</v>
      </c>
      <c r="AH1645" t="s">
        <v>898</v>
      </c>
      <c r="AI1645" t="s">
        <v>368</v>
      </c>
      <c r="AJ1645" t="str">
        <f t="shared" ref="AJ1645:AK1645" si="1561">IF($J1645&lt;&gt;"",$J1645,IF($AC1645=$AC1644,AJ1644,""))</f>
        <v>o</v>
      </c>
      <c r="AK1645" t="str">
        <f t="shared" si="1561"/>
        <v>o</v>
      </c>
      <c r="AL1645" t="str">
        <f t="shared" si="1497"/>
        <v>o</v>
      </c>
      <c r="AN1645" t="s">
        <v>861</v>
      </c>
      <c r="AO1645" t="str">
        <f t="shared" si="1498"/>
        <v>h</v>
      </c>
      <c r="AP1645" t="str">
        <f t="shared" si="1506"/>
        <v>o</v>
      </c>
      <c r="AQ1645" t="str">
        <f t="shared" si="1507"/>
        <v/>
      </c>
      <c r="AR1645" t="str">
        <f t="shared" si="1508"/>
        <v>Home</v>
      </c>
      <c r="AS1645" t="str">
        <f t="shared" si="1509"/>
        <v>h</v>
      </c>
      <c r="AT1645" t="str">
        <f t="shared" si="1510"/>
        <v>Defensive</v>
      </c>
      <c r="BA1645" s="6">
        <f t="shared" si="1499"/>
        <v>381</v>
      </c>
      <c r="BB1645">
        <f t="shared" si="1500"/>
        <v>18981</v>
      </c>
      <c r="BC1645" t="str">
        <f t="shared" si="1501"/>
        <v>Nelson</v>
      </c>
      <c r="BD1645" t="str">
        <f t="shared" si="1502"/>
        <v>Velodrome</v>
      </c>
      <c r="BE1645" t="s">
        <v>238</v>
      </c>
      <c r="BF1645" t="s">
        <v>174</v>
      </c>
      <c r="BG1645" t="s">
        <v>85</v>
      </c>
      <c r="BI1645" cm="1">
        <f t="array" aca="1" ref="BI1645" ca="1">IFERROR(_xlfn._xlws.FILTER(shifts!A:A,(shifts!B:B=events!AD1645)*(shifts!AG:AG&gt;=events!BK1645)*(shifts!AH:AH&lt;=events!BL1645)),BI1644)</f>
        <v>75</v>
      </c>
      <c r="BJ1645" s="15">
        <f t="shared" si="1503"/>
        <v>2</v>
      </c>
      <c r="BK1645">
        <f t="shared" si="1511"/>
        <v>1073</v>
      </c>
      <c r="BL1645">
        <f t="shared" si="1512"/>
        <v>1071</v>
      </c>
      <c r="BM1645" s="15">
        <f>SUMIFS(BJ$2:BJ1645,K$2:K1645,"=Intermission")+SUMIFS(BJ$2:BJ1645,K$2:K1645,"=Timeout")</f>
        <v>142</v>
      </c>
      <c r="BN1645">
        <f t="shared" si="1513"/>
        <v>2302</v>
      </c>
      <c r="BO1645" s="19">
        <f t="shared" si="1514"/>
        <v>2309</v>
      </c>
      <c r="BP1645">
        <f t="shared" si="1515"/>
        <v>2304</v>
      </c>
      <c r="BQ1645" s="17">
        <f t="shared" si="1516"/>
        <v>2311</v>
      </c>
      <c r="BR1645" t="str">
        <f t="shared" si="1517"/>
        <v>opp_team_player_1</v>
      </c>
      <c r="BS1645">
        <f>COUNTIFS(S$3:S1645,"="&amp;S1645,AI$3:AI1645,"="&amp;AI1645)</f>
        <v>1</v>
      </c>
      <c r="BT1645" t="str">
        <f>IFERROR(VLOOKUP(BB1645&amp;BU1645&amp;X1645,game_rosters!U:W,3,FALSE),"")</f>
        <v>P100132</v>
      </c>
      <c r="BU1645" t="str">
        <f t="shared" si="1518"/>
        <v>Velodrome</v>
      </c>
    </row>
    <row r="1646" spans="1:73" x14ac:dyDescent="0.2">
      <c r="A1646">
        <f t="shared" si="1504"/>
        <v>1</v>
      </c>
      <c r="J1646" s="44" t="str">
        <f t="shared" si="1519"/>
        <v>o</v>
      </c>
      <c r="K1646" t="s">
        <v>238</v>
      </c>
      <c r="L1646" t="s">
        <v>174</v>
      </c>
      <c r="M1646" t="s">
        <v>85</v>
      </c>
      <c r="S1646">
        <v>871</v>
      </c>
      <c r="W1646" t="str">
        <f t="shared" si="1495"/>
        <v>h</v>
      </c>
      <c r="X1646">
        <v>75</v>
      </c>
      <c r="Y1646" t="e">
        <f>IF(X1646&lt;&gt;"",VLOOKUP(X1646,game_rosters!$C$43:$E$64,3,FALSE))</f>
        <v>#N/A</v>
      </c>
      <c r="Z1646" t="str" cm="1">
        <f t="array" ref="Z1646">IFERROR(IF(_xlfn._xlws.FILTER(game_rosters!$J:$J,(game_rosters!$G:$G=events!$AN1646)*(game_rosters!$J:$J=events!$X1646))&gt;0,1,""),"")</f>
        <v/>
      </c>
      <c r="AA1646">
        <f t="shared" si="1543"/>
        <v>1871</v>
      </c>
      <c r="AB1646" t="str">
        <f t="shared" si="1544"/>
        <v/>
      </c>
      <c r="AC1646">
        <f t="shared" si="1492"/>
        <v>1871</v>
      </c>
      <c r="AD1646" s="6">
        <v>3</v>
      </c>
      <c r="AE1646" t="s">
        <v>732</v>
      </c>
      <c r="AF1646" t="s">
        <v>921</v>
      </c>
      <c r="AG1646" t="s">
        <v>732</v>
      </c>
      <c r="AH1646" t="s">
        <v>898</v>
      </c>
      <c r="AI1646" t="s">
        <v>368</v>
      </c>
      <c r="AJ1646" t="str">
        <f t="shared" ref="AJ1646:AK1646" si="1562">IF($J1646&lt;&gt;"",$J1646,IF($AC1646=$AC1645,AJ1645,""))</f>
        <v>o</v>
      </c>
      <c r="AK1646" t="str">
        <f t="shared" si="1562"/>
        <v>o</v>
      </c>
      <c r="AL1646" t="str">
        <f t="shared" si="1497"/>
        <v>o</v>
      </c>
      <c r="AN1646" t="s">
        <v>861</v>
      </c>
      <c r="AO1646" t="str">
        <f t="shared" si="1498"/>
        <v>h</v>
      </c>
      <c r="AP1646" t="str">
        <f t="shared" si="1506"/>
        <v>o</v>
      </c>
      <c r="AQ1646" t="str">
        <f t="shared" si="1507"/>
        <v/>
      </c>
      <c r="AR1646" t="str">
        <f t="shared" si="1508"/>
        <v>Home</v>
      </c>
      <c r="AS1646" t="str">
        <f t="shared" si="1509"/>
        <v>h</v>
      </c>
      <c r="AT1646" t="str">
        <f t="shared" si="1510"/>
        <v>Defensive</v>
      </c>
      <c r="BA1646" s="6">
        <f t="shared" si="1499"/>
        <v>382</v>
      </c>
      <c r="BB1646">
        <f t="shared" si="1500"/>
        <v>18981</v>
      </c>
      <c r="BC1646" t="str">
        <f t="shared" si="1501"/>
        <v>Nelson</v>
      </c>
      <c r="BD1646" t="str">
        <f t="shared" si="1502"/>
        <v>Velodrome</v>
      </c>
      <c r="BE1646" t="s">
        <v>238</v>
      </c>
      <c r="BF1646" t="s">
        <v>174</v>
      </c>
      <c r="BG1646" t="s">
        <v>85</v>
      </c>
      <c r="BI1646" cm="1">
        <f t="array" aca="1" ref="BI1646" ca="1">IFERROR(_xlfn._xlws.FILTER(shifts!A:A,(shifts!B:B=events!AD1646)*(shifts!AG:AG&gt;=events!BK1646)*(shifts!AH:AH&lt;=events!BL1646)),BI1645)</f>
        <v>75</v>
      </c>
      <c r="BJ1646" s="15">
        <f t="shared" si="1503"/>
        <v>2</v>
      </c>
      <c r="BK1646">
        <f t="shared" si="1511"/>
        <v>1073</v>
      </c>
      <c r="BL1646">
        <f t="shared" si="1512"/>
        <v>1071</v>
      </c>
      <c r="BM1646" s="15">
        <f>SUMIFS(BJ$2:BJ1646,K$2:K1646,"=Intermission")+SUMIFS(BJ$2:BJ1646,K$2:K1646,"=Timeout")</f>
        <v>142</v>
      </c>
      <c r="BN1646">
        <f t="shared" si="1513"/>
        <v>2302</v>
      </c>
      <c r="BO1646" s="19">
        <f t="shared" si="1514"/>
        <v>2309</v>
      </c>
      <c r="BP1646">
        <f t="shared" si="1515"/>
        <v>2304</v>
      </c>
      <c r="BQ1646" s="17">
        <f t="shared" si="1516"/>
        <v>2311</v>
      </c>
      <c r="BR1646" t="str">
        <f t="shared" si="1517"/>
        <v>opp_team_player_2</v>
      </c>
      <c r="BS1646">
        <f>COUNTIFS(S$3:S1646,"="&amp;S1646,AI$3:AI1646,"="&amp;AI1646)</f>
        <v>2</v>
      </c>
      <c r="BT1646" t="str">
        <f>IFERROR(VLOOKUP(BB1646&amp;BU1646&amp;X1646,game_rosters!U:W,3,FALSE),"")</f>
        <v>P100039</v>
      </c>
      <c r="BU1646" t="str">
        <f t="shared" si="1518"/>
        <v>Velodrome</v>
      </c>
    </row>
    <row r="1647" spans="1:73" x14ac:dyDescent="0.2">
      <c r="A1647">
        <f t="shared" si="1504"/>
        <v>1</v>
      </c>
      <c r="J1647" s="44" t="str">
        <f t="shared" si="1519"/>
        <v>o</v>
      </c>
      <c r="K1647" t="s">
        <v>238</v>
      </c>
      <c r="L1647" t="s">
        <v>174</v>
      </c>
      <c r="M1647" t="s">
        <v>85</v>
      </c>
      <c r="S1647">
        <v>871</v>
      </c>
      <c r="W1647" t="str">
        <f t="shared" si="1495"/>
        <v>h</v>
      </c>
      <c r="X1647">
        <v>9</v>
      </c>
      <c r="Y1647" t="e">
        <f>IF(X1647&lt;&gt;"",VLOOKUP(X1647,game_rosters!$C$43:$E$64,3,FALSE))</f>
        <v>#N/A</v>
      </c>
      <c r="Z1647" t="str" cm="1">
        <f t="array" ref="Z1647">IFERROR(IF(_xlfn._xlws.FILTER(game_rosters!$J:$J,(game_rosters!$G:$G=events!$AN1647)*(game_rosters!$J:$J=events!$X1647))&gt;0,1,""),"")</f>
        <v/>
      </c>
      <c r="AA1647">
        <f t="shared" si="1543"/>
        <v>1871</v>
      </c>
      <c r="AB1647" t="str">
        <f t="shared" si="1544"/>
        <v/>
      </c>
      <c r="AC1647">
        <f t="shared" si="1492"/>
        <v>1871</v>
      </c>
      <c r="AD1647" s="6">
        <v>3</v>
      </c>
      <c r="AE1647" t="s">
        <v>732</v>
      </c>
      <c r="AF1647" t="s">
        <v>921</v>
      </c>
      <c r="AG1647" t="s">
        <v>732</v>
      </c>
      <c r="AH1647" t="s">
        <v>898</v>
      </c>
      <c r="AI1647" t="s">
        <v>368</v>
      </c>
      <c r="AJ1647" t="str">
        <f t="shared" ref="AJ1647:AK1647" si="1563">IF($J1647&lt;&gt;"",$J1647,IF($AC1647=$AC1646,AJ1646,""))</f>
        <v>o</v>
      </c>
      <c r="AK1647" t="str">
        <f t="shared" si="1563"/>
        <v>o</v>
      </c>
      <c r="AL1647" t="str">
        <f t="shared" si="1497"/>
        <v>o</v>
      </c>
      <c r="AN1647" t="s">
        <v>861</v>
      </c>
      <c r="AO1647" t="str">
        <f t="shared" si="1498"/>
        <v>h</v>
      </c>
      <c r="AP1647" t="str">
        <f t="shared" si="1506"/>
        <v>o</v>
      </c>
      <c r="AQ1647" t="str">
        <f t="shared" si="1507"/>
        <v/>
      </c>
      <c r="AR1647" t="str">
        <f t="shared" si="1508"/>
        <v>Home</v>
      </c>
      <c r="AS1647" t="str">
        <f t="shared" si="1509"/>
        <v>h</v>
      </c>
      <c r="AT1647" t="str">
        <f t="shared" si="1510"/>
        <v>Defensive</v>
      </c>
      <c r="BA1647" s="6">
        <f t="shared" si="1499"/>
        <v>383</v>
      </c>
      <c r="BB1647">
        <f t="shared" si="1500"/>
        <v>18981</v>
      </c>
      <c r="BC1647" t="str">
        <f t="shared" si="1501"/>
        <v>Nelson</v>
      </c>
      <c r="BD1647" t="str">
        <f t="shared" si="1502"/>
        <v>Velodrome</v>
      </c>
      <c r="BE1647" t="s">
        <v>238</v>
      </c>
      <c r="BF1647" t="s">
        <v>174</v>
      </c>
      <c r="BG1647" t="s">
        <v>85</v>
      </c>
      <c r="BI1647" cm="1">
        <f t="array" aca="1" ref="BI1647" ca="1">IFERROR(_xlfn._xlws.FILTER(shifts!A:A,(shifts!B:B=events!AD1647)*(shifts!AG:AG&gt;=events!BK1647)*(shifts!AH:AH&lt;=events!BL1647)),BI1646)</f>
        <v>75</v>
      </c>
      <c r="BJ1647" s="15">
        <f t="shared" si="1503"/>
        <v>2</v>
      </c>
      <c r="BK1647">
        <f t="shared" si="1511"/>
        <v>1073</v>
      </c>
      <c r="BL1647">
        <f t="shared" si="1512"/>
        <v>1071</v>
      </c>
      <c r="BM1647" s="15">
        <f>SUMIFS(BJ$2:BJ1647,K$2:K1647,"=Intermission")+SUMIFS(BJ$2:BJ1647,K$2:K1647,"=Timeout")</f>
        <v>142</v>
      </c>
      <c r="BN1647">
        <f t="shared" si="1513"/>
        <v>2302</v>
      </c>
      <c r="BO1647" s="19">
        <f t="shared" si="1514"/>
        <v>2309</v>
      </c>
      <c r="BP1647">
        <f t="shared" si="1515"/>
        <v>2304</v>
      </c>
      <c r="BQ1647" s="17">
        <f t="shared" si="1516"/>
        <v>2311</v>
      </c>
      <c r="BR1647" t="str">
        <f t="shared" si="1517"/>
        <v>opp_team_player_3</v>
      </c>
      <c r="BS1647">
        <f>COUNTIFS(S$3:S1647,"="&amp;S1647,AI$3:AI1647,"="&amp;AI1647)</f>
        <v>3</v>
      </c>
      <c r="BT1647" t="str">
        <f>IFERROR(VLOOKUP(BB1647&amp;BU1647&amp;X1647,game_rosters!U:W,3,FALSE),"")</f>
        <v>P100105</v>
      </c>
      <c r="BU1647" t="str">
        <f t="shared" si="1518"/>
        <v>Velodrome</v>
      </c>
    </row>
    <row r="1648" spans="1:73" x14ac:dyDescent="0.2">
      <c r="A1648">
        <f t="shared" si="1504"/>
        <v>1</v>
      </c>
      <c r="J1648" s="44" t="str">
        <f t="shared" si="1519"/>
        <v>o</v>
      </c>
      <c r="K1648" t="s">
        <v>238</v>
      </c>
      <c r="L1648" t="s">
        <v>174</v>
      </c>
      <c r="M1648" t="s">
        <v>85</v>
      </c>
      <c r="S1648">
        <v>871</v>
      </c>
      <c r="W1648" t="str">
        <f t="shared" si="1495"/>
        <v>h</v>
      </c>
      <c r="X1648">
        <v>84</v>
      </c>
      <c r="Y1648" t="e">
        <f>IF(X1648&lt;&gt;"",VLOOKUP(X1648,game_rosters!$C$43:$E$64,3,FALSE))</f>
        <v>#N/A</v>
      </c>
      <c r="Z1648" t="str" cm="1">
        <f t="array" ref="Z1648">IFERROR(IF(_xlfn._xlws.FILTER(game_rosters!$J:$J,(game_rosters!$G:$G=events!$AN1648)*(game_rosters!$J:$J=events!$X1648))&gt;0,1,""),"")</f>
        <v/>
      </c>
      <c r="AA1648">
        <f t="shared" si="1543"/>
        <v>1871</v>
      </c>
      <c r="AB1648" t="str">
        <f t="shared" si="1544"/>
        <v/>
      </c>
      <c r="AC1648">
        <f t="shared" si="1492"/>
        <v>1871</v>
      </c>
      <c r="AD1648" s="6">
        <v>3</v>
      </c>
      <c r="AE1648" t="s">
        <v>732</v>
      </c>
      <c r="AF1648" t="s">
        <v>921</v>
      </c>
      <c r="AG1648" t="s">
        <v>732</v>
      </c>
      <c r="AH1648" t="s">
        <v>898</v>
      </c>
      <c r="AI1648" t="s">
        <v>368</v>
      </c>
      <c r="AJ1648" t="str">
        <f t="shared" ref="AJ1648:AK1648" si="1564">IF($J1648&lt;&gt;"",$J1648,IF($AC1648=$AC1647,AJ1647,""))</f>
        <v>o</v>
      </c>
      <c r="AK1648" t="str">
        <f t="shared" si="1564"/>
        <v>o</v>
      </c>
      <c r="AL1648" t="str">
        <f t="shared" si="1497"/>
        <v>o</v>
      </c>
      <c r="AN1648" t="s">
        <v>861</v>
      </c>
      <c r="AO1648" t="str">
        <f t="shared" si="1498"/>
        <v>h</v>
      </c>
      <c r="AP1648" t="str">
        <f t="shared" si="1506"/>
        <v>o</v>
      </c>
      <c r="AQ1648" t="str">
        <f t="shared" si="1507"/>
        <v/>
      </c>
      <c r="AR1648" t="str">
        <f t="shared" si="1508"/>
        <v>Home</v>
      </c>
      <c r="AS1648" t="str">
        <f t="shared" si="1509"/>
        <v>h</v>
      </c>
      <c r="AT1648" t="str">
        <f t="shared" si="1510"/>
        <v>Defensive</v>
      </c>
      <c r="BA1648" s="6">
        <f t="shared" si="1499"/>
        <v>384</v>
      </c>
      <c r="BB1648">
        <f t="shared" si="1500"/>
        <v>18981</v>
      </c>
      <c r="BC1648" t="str">
        <f t="shared" si="1501"/>
        <v>Nelson</v>
      </c>
      <c r="BD1648" t="str">
        <f t="shared" si="1502"/>
        <v>Velodrome</v>
      </c>
      <c r="BE1648" t="s">
        <v>238</v>
      </c>
      <c r="BF1648" t="s">
        <v>174</v>
      </c>
      <c r="BG1648" t="s">
        <v>85</v>
      </c>
      <c r="BI1648" cm="1">
        <f t="array" aca="1" ref="BI1648" ca="1">IFERROR(_xlfn._xlws.FILTER(shifts!A:A,(shifts!B:B=events!AD1648)*(shifts!AG:AG&gt;=events!BK1648)*(shifts!AH:AH&lt;=events!BL1648)),BI1647)</f>
        <v>75</v>
      </c>
      <c r="BJ1648" s="15">
        <f t="shared" si="1503"/>
        <v>2</v>
      </c>
      <c r="BK1648">
        <f t="shared" si="1511"/>
        <v>1073</v>
      </c>
      <c r="BL1648">
        <f t="shared" si="1512"/>
        <v>1071</v>
      </c>
      <c r="BM1648" s="15">
        <f>SUMIFS(BJ$2:BJ1648,K$2:K1648,"=Intermission")+SUMIFS(BJ$2:BJ1648,K$2:K1648,"=Timeout")</f>
        <v>142</v>
      </c>
      <c r="BN1648">
        <f t="shared" si="1513"/>
        <v>2302</v>
      </c>
      <c r="BO1648" s="19">
        <f t="shared" si="1514"/>
        <v>2309</v>
      </c>
      <c r="BP1648">
        <f t="shared" si="1515"/>
        <v>2304</v>
      </c>
      <c r="BQ1648" s="17">
        <f t="shared" si="1516"/>
        <v>2311</v>
      </c>
      <c r="BR1648" t="str">
        <f t="shared" si="1517"/>
        <v>opp_team_player_4</v>
      </c>
      <c r="BS1648">
        <f>COUNTIFS(S$3:S1648,"="&amp;S1648,AI$3:AI1648,"="&amp;AI1648)</f>
        <v>4</v>
      </c>
      <c r="BT1648" t="str">
        <f>IFERROR(VLOOKUP(BB1648&amp;BU1648&amp;X1648,game_rosters!U:W,3,FALSE),"")</f>
        <v>P100198</v>
      </c>
      <c r="BU1648" t="str">
        <f t="shared" si="1518"/>
        <v>Velodrome</v>
      </c>
    </row>
    <row r="1649" spans="1:73" x14ac:dyDescent="0.2">
      <c r="A1649">
        <f t="shared" si="1504"/>
        <v>1</v>
      </c>
      <c r="J1649" s="44" t="str">
        <f t="shared" si="1519"/>
        <v/>
      </c>
      <c r="K1649" t="s">
        <v>7</v>
      </c>
      <c r="L1649" t="s">
        <v>182</v>
      </c>
      <c r="M1649" t="s">
        <v>381</v>
      </c>
      <c r="S1649">
        <v>872</v>
      </c>
      <c r="W1649" t="str">
        <f t="shared" si="1495"/>
        <v>h</v>
      </c>
      <c r="X1649">
        <v>79</v>
      </c>
      <c r="Y1649" t="b">
        <f>IF(X1649&lt;&gt;"",VLOOKUP(X1649,game_rosters!$C$43:$E$64,3,FALSE))</f>
        <v>0</v>
      </c>
      <c r="Z1649" cm="1">
        <f t="array" ref="Z1649">IFERROR(IF(_xlfn._xlws.FILTER(game_rosters!$J:$J,(game_rosters!$G:$G=events!$AN1649)*(game_rosters!$J:$J=events!$X1649))&gt;0,1,""),"")</f>
        <v>1</v>
      </c>
      <c r="AA1649">
        <f t="shared" si="1543"/>
        <v>1872</v>
      </c>
      <c r="AB1649" t="str">
        <f t="shared" si="1544"/>
        <v/>
      </c>
      <c r="AC1649">
        <f t="shared" si="1492"/>
        <v>1872</v>
      </c>
      <c r="AD1649" s="6">
        <v>3</v>
      </c>
      <c r="AE1649" t="s">
        <v>732</v>
      </c>
      <c r="AF1649" t="s">
        <v>751</v>
      </c>
      <c r="AG1649" t="s">
        <v>756</v>
      </c>
      <c r="AH1649" t="s">
        <v>756</v>
      </c>
      <c r="AI1649" t="s">
        <v>367</v>
      </c>
      <c r="AJ1649" t="str">
        <f t="shared" ref="AJ1649:AK1649" si="1565">IF($J1649&lt;&gt;"",$J1649,IF($AC1649=$AC1648,AJ1648,""))</f>
        <v/>
      </c>
      <c r="AK1649" t="str">
        <f t="shared" si="1565"/>
        <v/>
      </c>
      <c r="AL1649" t="str">
        <f t="shared" si="1497"/>
        <v/>
      </c>
      <c r="AN1649" t="s">
        <v>861</v>
      </c>
      <c r="AO1649" t="str">
        <f t="shared" si="1498"/>
        <v>h</v>
      </c>
      <c r="AP1649" t="str">
        <f t="shared" si="1506"/>
        <v/>
      </c>
      <c r="AQ1649" t="str">
        <f t="shared" si="1507"/>
        <v/>
      </c>
      <c r="AR1649" t="str">
        <f t="shared" si="1508"/>
        <v>Home</v>
      </c>
      <c r="AS1649" t="str">
        <f t="shared" si="1509"/>
        <v>h</v>
      </c>
      <c r="AT1649" t="str">
        <f t="shared" si="1510"/>
        <v>Offensive</v>
      </c>
      <c r="BA1649" s="6">
        <f t="shared" si="1499"/>
        <v>384</v>
      </c>
      <c r="BB1649">
        <f t="shared" si="1500"/>
        <v>18981</v>
      </c>
      <c r="BC1649" t="str">
        <f t="shared" si="1501"/>
        <v>Nelson</v>
      </c>
      <c r="BD1649" t="str">
        <f t="shared" si="1502"/>
        <v>Velodrome</v>
      </c>
      <c r="BE1649" t="s">
        <v>7</v>
      </c>
      <c r="BF1649" t="s">
        <v>182</v>
      </c>
      <c r="BG1649" t="s">
        <v>381</v>
      </c>
      <c r="BI1649" cm="1">
        <f t="array" aca="1" ref="BI1649" ca="1">IFERROR(_xlfn._xlws.FILTER(shifts!A:A,(shifts!B:B=events!AD1649)*(shifts!AG:AG&gt;=events!BK1649)*(shifts!AH:AH&lt;=events!BL1649)),BI1648)</f>
        <v>75</v>
      </c>
      <c r="BJ1649" s="15">
        <f t="shared" si="1503"/>
        <v>0</v>
      </c>
      <c r="BK1649">
        <f t="shared" si="1511"/>
        <v>1069</v>
      </c>
      <c r="BL1649">
        <f t="shared" si="1512"/>
        <v>1069</v>
      </c>
      <c r="BM1649" s="15">
        <f>SUMIFS(BJ$2:BJ1649,K$2:K1649,"=Intermission")+SUMIFS(BJ$2:BJ1649,K$2:K1649,"=Timeout")</f>
        <v>142</v>
      </c>
      <c r="BN1649">
        <f t="shared" si="1513"/>
        <v>2302</v>
      </c>
      <c r="BO1649" s="19">
        <f t="shared" si="1514"/>
        <v>2313</v>
      </c>
      <c r="BP1649">
        <f t="shared" si="1515"/>
        <v>2308</v>
      </c>
      <c r="BQ1649" s="17">
        <f t="shared" si="1516"/>
        <v>2313</v>
      </c>
      <c r="BR1649" t="str">
        <f t="shared" si="1517"/>
        <v>event_team_player_2</v>
      </c>
      <c r="BS1649">
        <f>COUNTIFS(S$3:S1649,"="&amp;S1649,AI$3:AI1649,"="&amp;AI1649)</f>
        <v>2</v>
      </c>
      <c r="BT1649" t="str">
        <f>IFERROR(VLOOKUP(BB1649&amp;BU1649&amp;X1649,game_rosters!U:W,3,FALSE),"")</f>
        <v>P100066</v>
      </c>
      <c r="BU1649" t="str">
        <f t="shared" si="1518"/>
        <v>Nelson</v>
      </c>
    </row>
    <row r="1650" spans="1:73" x14ac:dyDescent="0.2">
      <c r="A1650">
        <f t="shared" si="1504"/>
        <v>1</v>
      </c>
      <c r="J1650" s="44" t="str">
        <f t="shared" si="1519"/>
        <v/>
      </c>
      <c r="K1650" t="s">
        <v>7</v>
      </c>
      <c r="L1650" t="s">
        <v>182</v>
      </c>
      <c r="M1650" t="s">
        <v>381</v>
      </c>
      <c r="S1650">
        <v>872</v>
      </c>
      <c r="W1650" t="str">
        <f t="shared" si="1495"/>
        <v>h</v>
      </c>
      <c r="X1650">
        <v>15</v>
      </c>
      <c r="Y1650" t="b">
        <f>IF(X1650&lt;&gt;"",VLOOKUP(X1650,game_rosters!$C$43:$E$64,3,FALSE))</f>
        <v>0</v>
      </c>
      <c r="Z1650" cm="1">
        <f t="array" ref="Z1650">IFERROR(IF(_xlfn._xlws.FILTER(game_rosters!$J:$J,(game_rosters!$G:$G=events!$AN1650)*(game_rosters!$J:$J=events!$X1650))&gt;0,1,""),"")</f>
        <v>1</v>
      </c>
      <c r="AA1650">
        <f t="shared" si="1543"/>
        <v>1872</v>
      </c>
      <c r="AB1650" t="str">
        <f t="shared" si="1544"/>
        <v/>
      </c>
      <c r="AC1650">
        <f t="shared" si="1492"/>
        <v>1872</v>
      </c>
      <c r="AD1650" s="6">
        <v>3</v>
      </c>
      <c r="AE1650" t="s">
        <v>732</v>
      </c>
      <c r="AF1650" t="s">
        <v>751</v>
      </c>
      <c r="AG1650" t="s">
        <v>756</v>
      </c>
      <c r="AH1650" t="s">
        <v>756</v>
      </c>
      <c r="AI1650" t="s">
        <v>367</v>
      </c>
      <c r="AJ1650" t="str">
        <f t="shared" ref="AJ1650:AK1650" si="1566">IF($J1650&lt;&gt;"",$J1650,IF($AC1650=$AC1649,AJ1649,""))</f>
        <v/>
      </c>
      <c r="AK1650" t="str">
        <f t="shared" si="1566"/>
        <v/>
      </c>
      <c r="AL1650" t="str">
        <f t="shared" si="1497"/>
        <v/>
      </c>
      <c r="AN1650" t="s">
        <v>861</v>
      </c>
      <c r="AO1650" t="str">
        <f t="shared" si="1498"/>
        <v>h</v>
      </c>
      <c r="AP1650" t="str">
        <f t="shared" si="1506"/>
        <v/>
      </c>
      <c r="AQ1650" t="str">
        <f t="shared" si="1507"/>
        <v/>
      </c>
      <c r="AR1650" t="str">
        <f t="shared" si="1508"/>
        <v>Home</v>
      </c>
      <c r="AS1650" t="str">
        <f t="shared" si="1509"/>
        <v>h</v>
      </c>
      <c r="AT1650" t="str">
        <f t="shared" si="1510"/>
        <v>Offensive</v>
      </c>
      <c r="BA1650" s="6">
        <f t="shared" si="1499"/>
        <v>384</v>
      </c>
      <c r="BB1650">
        <f t="shared" si="1500"/>
        <v>18981</v>
      </c>
      <c r="BC1650" t="str">
        <f t="shared" si="1501"/>
        <v>Nelson</v>
      </c>
      <c r="BD1650" t="str">
        <f t="shared" si="1502"/>
        <v>Velodrome</v>
      </c>
      <c r="BE1650" t="s">
        <v>7</v>
      </c>
      <c r="BF1650" t="s">
        <v>182</v>
      </c>
      <c r="BG1650" t="s">
        <v>381</v>
      </c>
      <c r="BI1650" cm="1">
        <f t="array" aca="1" ref="BI1650" ca="1">IFERROR(_xlfn._xlws.FILTER(shifts!A:A,(shifts!B:B=events!AD1650)*(shifts!AG:AG&gt;=events!BK1650)*(shifts!AH:AH&lt;=events!BL1650)),BI1649)</f>
        <v>75</v>
      </c>
      <c r="BJ1650" s="15">
        <f t="shared" si="1503"/>
        <v>0</v>
      </c>
      <c r="BK1650">
        <f t="shared" si="1511"/>
        <v>1069</v>
      </c>
      <c r="BL1650">
        <f t="shared" si="1512"/>
        <v>1069</v>
      </c>
      <c r="BM1650" s="15">
        <f>SUMIFS(BJ$2:BJ1650,K$2:K1650,"=Intermission")+SUMIFS(BJ$2:BJ1650,K$2:K1650,"=Timeout")</f>
        <v>142</v>
      </c>
      <c r="BN1650">
        <f t="shared" si="1513"/>
        <v>2302</v>
      </c>
      <c r="BO1650" s="19">
        <f t="shared" si="1514"/>
        <v>2313</v>
      </c>
      <c r="BP1650">
        <f t="shared" si="1515"/>
        <v>2308</v>
      </c>
      <c r="BQ1650" s="17">
        <f t="shared" si="1516"/>
        <v>2313</v>
      </c>
      <c r="BR1650" t="str">
        <f t="shared" si="1517"/>
        <v>event_team_player_3</v>
      </c>
      <c r="BS1650">
        <f>COUNTIFS(S$3:S1650,"="&amp;S1650,AI$3:AI1650,"="&amp;AI1650)</f>
        <v>3</v>
      </c>
      <c r="BT1650" t="str">
        <f>IFERROR(VLOOKUP(BB1650&amp;BU1650&amp;X1650,game_rosters!U:W,3,FALSE),"")</f>
        <v>P100071</v>
      </c>
      <c r="BU1650" t="str">
        <f t="shared" si="1518"/>
        <v>Nelson</v>
      </c>
    </row>
    <row r="1651" spans="1:73" x14ac:dyDescent="0.2">
      <c r="A1651">
        <f t="shared" si="1504"/>
        <v>1</v>
      </c>
      <c r="J1651" s="44" t="str">
        <f t="shared" si="1519"/>
        <v/>
      </c>
      <c r="K1651" t="s">
        <v>238</v>
      </c>
      <c r="L1651" t="s">
        <v>193</v>
      </c>
      <c r="M1651" t="s">
        <v>91</v>
      </c>
      <c r="S1651">
        <v>873</v>
      </c>
      <c r="W1651" t="str">
        <f t="shared" si="1495"/>
        <v>h</v>
      </c>
      <c r="X1651">
        <v>80</v>
      </c>
      <c r="Y1651" t="b">
        <f>IF(X1651&lt;&gt;"",VLOOKUP(X1651,game_rosters!$C$43:$E$64,3,FALSE))</f>
        <v>0</v>
      </c>
      <c r="Z1651" cm="1">
        <f t="array" ref="Z1651">IFERROR(IF(_xlfn._xlws.FILTER(game_rosters!$J:$J,(game_rosters!$G:$G=events!$AN1651)*(game_rosters!$J:$J=events!$X1651))&gt;0,1,""),"")</f>
        <v>1</v>
      </c>
      <c r="AA1651">
        <f t="shared" si="1543"/>
        <v>1873</v>
      </c>
      <c r="AB1651" t="str">
        <f t="shared" si="1544"/>
        <v/>
      </c>
      <c r="AC1651">
        <f t="shared" si="1492"/>
        <v>1873</v>
      </c>
      <c r="AD1651" s="6">
        <v>3</v>
      </c>
      <c r="AE1651" t="s">
        <v>732</v>
      </c>
      <c r="AF1651" t="s">
        <v>737</v>
      </c>
      <c r="AG1651" t="s">
        <v>756</v>
      </c>
      <c r="AH1651" t="s">
        <v>756</v>
      </c>
      <c r="AI1651" t="s">
        <v>367</v>
      </c>
      <c r="AJ1651" t="str">
        <f t="shared" ref="AJ1651:AK1651" si="1567">IF($J1651&lt;&gt;"",$J1651,IF($AC1651=$AC1650,AJ1650,""))</f>
        <v/>
      </c>
      <c r="AK1651" t="str">
        <f t="shared" si="1567"/>
        <v/>
      </c>
      <c r="AL1651" t="str">
        <f t="shared" si="1497"/>
        <v/>
      </c>
      <c r="AN1651" t="s">
        <v>861</v>
      </c>
      <c r="AO1651" t="str">
        <f t="shared" si="1498"/>
        <v>h</v>
      </c>
      <c r="AP1651" t="str">
        <f t="shared" si="1506"/>
        <v/>
      </c>
      <c r="AQ1651" t="str">
        <f t="shared" si="1507"/>
        <v/>
      </c>
      <c r="AR1651" t="str">
        <f t="shared" si="1508"/>
        <v>Home</v>
      </c>
      <c r="AS1651" t="str">
        <f t="shared" si="1509"/>
        <v>h</v>
      </c>
      <c r="AT1651" t="str">
        <f t="shared" si="1510"/>
        <v>Offensive</v>
      </c>
      <c r="BA1651" s="6">
        <f t="shared" si="1499"/>
        <v>384</v>
      </c>
      <c r="BB1651">
        <f t="shared" si="1500"/>
        <v>18981</v>
      </c>
      <c r="BC1651" t="str">
        <f t="shared" si="1501"/>
        <v>Nelson</v>
      </c>
      <c r="BD1651" t="str">
        <f t="shared" si="1502"/>
        <v>Velodrome</v>
      </c>
      <c r="BE1651" t="s">
        <v>238</v>
      </c>
      <c r="BF1651" t="s">
        <v>193</v>
      </c>
      <c r="BG1651" t="s">
        <v>91</v>
      </c>
      <c r="BI1651" cm="1">
        <f t="array" aca="1" ref="BI1651" ca="1">IFERROR(_xlfn._xlws.FILTER(shifts!A:A,(shifts!B:B=events!AD1651)*(shifts!AG:AG&gt;=events!BK1651)*(shifts!AH:AH&lt;=events!BL1651)),BI1650)</f>
        <v>75</v>
      </c>
      <c r="BJ1651" s="15">
        <f t="shared" si="1503"/>
        <v>0</v>
      </c>
      <c r="BK1651">
        <f t="shared" si="1511"/>
        <v>1066</v>
      </c>
      <c r="BL1651">
        <f t="shared" si="1512"/>
        <v>1066</v>
      </c>
      <c r="BM1651" s="15">
        <f>SUMIFS(BJ$2:BJ1651,K$2:K1651,"=Intermission")+SUMIFS(BJ$2:BJ1651,K$2:K1651,"=Timeout")</f>
        <v>142</v>
      </c>
      <c r="BN1651">
        <f t="shared" si="1513"/>
        <v>2302</v>
      </c>
      <c r="BO1651" s="19">
        <f t="shared" si="1514"/>
        <v>2316</v>
      </c>
      <c r="BP1651">
        <f t="shared" si="1515"/>
        <v>2311</v>
      </c>
      <c r="BQ1651" s="17">
        <f t="shared" si="1516"/>
        <v>2316</v>
      </c>
      <c r="BR1651" t="str">
        <f t="shared" si="1517"/>
        <v>event_team_player_3</v>
      </c>
      <c r="BS1651">
        <f>COUNTIFS(S$3:S1651,"="&amp;S1651,AI$3:AI1651,"="&amp;AI1651)</f>
        <v>3</v>
      </c>
      <c r="BT1651" t="str">
        <f>IFERROR(VLOOKUP(BB1651&amp;BU1651&amp;X1651,game_rosters!U:W,3,FALSE),"")</f>
        <v>P100197</v>
      </c>
      <c r="BU1651" t="str">
        <f t="shared" si="1518"/>
        <v>Nelson</v>
      </c>
    </row>
    <row r="1652" spans="1:73" x14ac:dyDescent="0.2">
      <c r="A1652">
        <f t="shared" si="1504"/>
        <v>1</v>
      </c>
      <c r="J1652" s="44" t="str">
        <f t="shared" si="1519"/>
        <v/>
      </c>
      <c r="K1652" t="s">
        <v>238</v>
      </c>
      <c r="L1652" t="s">
        <v>193</v>
      </c>
      <c r="M1652" t="s">
        <v>91</v>
      </c>
      <c r="S1652">
        <v>873</v>
      </c>
      <c r="W1652" t="str">
        <f t="shared" si="1495"/>
        <v>h</v>
      </c>
      <c r="X1652">
        <v>70</v>
      </c>
      <c r="Y1652" t="e">
        <f>IF(X1652&lt;&gt;"",VLOOKUP(X1652,game_rosters!$C$43:$E$64,3,FALSE))</f>
        <v>#N/A</v>
      </c>
      <c r="Z1652" t="str" cm="1">
        <f t="array" ref="Z1652">IFERROR(IF(_xlfn._xlws.FILTER(game_rosters!$J:$J,(game_rosters!$G:$G=events!$AN1652)*(game_rosters!$J:$J=events!$X1652))&gt;0,1,""),"")</f>
        <v/>
      </c>
      <c r="AA1652">
        <f t="shared" si="1543"/>
        <v>1873</v>
      </c>
      <c r="AB1652" t="str">
        <f t="shared" si="1544"/>
        <v/>
      </c>
      <c r="AC1652">
        <f t="shared" si="1492"/>
        <v>1873</v>
      </c>
      <c r="AD1652" s="6">
        <v>3</v>
      </c>
      <c r="AE1652" t="s">
        <v>732</v>
      </c>
      <c r="AF1652" t="s">
        <v>737</v>
      </c>
      <c r="AG1652" t="s">
        <v>756</v>
      </c>
      <c r="AH1652" t="s">
        <v>756</v>
      </c>
      <c r="AI1652" t="s">
        <v>368</v>
      </c>
      <c r="AJ1652" t="str">
        <f t="shared" ref="AJ1652:AK1652" si="1568">IF($J1652&lt;&gt;"",$J1652,IF($AC1652=$AC1651,AJ1651,""))</f>
        <v/>
      </c>
      <c r="AK1652" t="str">
        <f t="shared" si="1568"/>
        <v/>
      </c>
      <c r="AL1652" t="str">
        <f t="shared" si="1497"/>
        <v/>
      </c>
      <c r="AN1652" t="s">
        <v>861</v>
      </c>
      <c r="AO1652" t="str">
        <f t="shared" si="1498"/>
        <v>h</v>
      </c>
      <c r="AP1652" t="str">
        <f t="shared" si="1506"/>
        <v/>
      </c>
      <c r="AQ1652" t="str">
        <f t="shared" si="1507"/>
        <v/>
      </c>
      <c r="AR1652" t="str">
        <f t="shared" si="1508"/>
        <v>Home</v>
      </c>
      <c r="AS1652" t="str">
        <f t="shared" si="1509"/>
        <v>h</v>
      </c>
      <c r="AT1652" t="str">
        <f t="shared" si="1510"/>
        <v>Defensive</v>
      </c>
      <c r="BA1652" s="6">
        <f t="shared" si="1499"/>
        <v>384</v>
      </c>
      <c r="BB1652">
        <f t="shared" si="1500"/>
        <v>18981</v>
      </c>
      <c r="BC1652" t="str">
        <f t="shared" si="1501"/>
        <v>Nelson</v>
      </c>
      <c r="BD1652" t="str">
        <f t="shared" si="1502"/>
        <v>Velodrome</v>
      </c>
      <c r="BE1652" t="s">
        <v>238</v>
      </c>
      <c r="BF1652" t="s">
        <v>193</v>
      </c>
      <c r="BG1652" t="s">
        <v>91</v>
      </c>
      <c r="BI1652" cm="1">
        <f t="array" aca="1" ref="BI1652" ca="1">IFERROR(_xlfn._xlws.FILTER(shifts!A:A,(shifts!B:B=events!AD1652)*(shifts!AG:AG&gt;=events!BK1652)*(shifts!AH:AH&lt;=events!BL1652)),BI1651)</f>
        <v>75</v>
      </c>
      <c r="BJ1652" s="15">
        <f t="shared" si="1503"/>
        <v>0</v>
      </c>
      <c r="BK1652">
        <f t="shared" si="1511"/>
        <v>1066</v>
      </c>
      <c r="BL1652">
        <f t="shared" si="1512"/>
        <v>1066</v>
      </c>
      <c r="BM1652" s="15">
        <f>SUMIFS(BJ$2:BJ1652,K$2:K1652,"=Intermission")+SUMIFS(BJ$2:BJ1652,K$2:K1652,"=Timeout")</f>
        <v>142</v>
      </c>
      <c r="BN1652">
        <f t="shared" si="1513"/>
        <v>2302</v>
      </c>
      <c r="BO1652" s="19">
        <f t="shared" si="1514"/>
        <v>2316</v>
      </c>
      <c r="BP1652">
        <f t="shared" si="1515"/>
        <v>2311</v>
      </c>
      <c r="BQ1652" s="17">
        <f t="shared" si="1516"/>
        <v>2316</v>
      </c>
      <c r="BR1652" t="str">
        <f t="shared" si="1517"/>
        <v>opp_team_player_2</v>
      </c>
      <c r="BS1652">
        <f>COUNTIFS(S$3:S1652,"="&amp;S1652,AI$3:AI1652,"="&amp;AI1652)</f>
        <v>2</v>
      </c>
      <c r="BT1652" t="str">
        <f>IFERROR(VLOOKUP(BB1652&amp;BU1652&amp;X1652,game_rosters!U:W,3,FALSE),"")</f>
        <v>P100001</v>
      </c>
      <c r="BU1652" t="str">
        <f t="shared" si="1518"/>
        <v>Velodrome</v>
      </c>
    </row>
    <row r="1653" spans="1:73" x14ac:dyDescent="0.2">
      <c r="A1653">
        <f t="shared" si="1504"/>
        <v>1</v>
      </c>
      <c r="J1653" s="44" t="str">
        <f t="shared" si="1519"/>
        <v/>
      </c>
      <c r="K1653" t="s">
        <v>13</v>
      </c>
      <c r="L1653" t="s">
        <v>756</v>
      </c>
      <c r="M1653" t="s">
        <v>756</v>
      </c>
      <c r="S1653">
        <v>874</v>
      </c>
      <c r="W1653" t="str">
        <f t="shared" si="1495"/>
        <v>h</v>
      </c>
      <c r="X1653">
        <v>80</v>
      </c>
      <c r="Y1653" t="b">
        <f>IF(X1653&lt;&gt;"",VLOOKUP(X1653,game_rosters!$C$43:$E$64,3,FALSE))</f>
        <v>0</v>
      </c>
      <c r="Z1653" cm="1">
        <f t="array" ref="Z1653">IFERROR(IF(_xlfn._xlws.FILTER(game_rosters!$J:$J,(game_rosters!$G:$G=events!$AN1653)*(game_rosters!$J:$J=events!$X1653))&gt;0,1,""),"")</f>
        <v>1</v>
      </c>
      <c r="AA1653">
        <f t="shared" si="1543"/>
        <v>1874</v>
      </c>
      <c r="AB1653" t="str">
        <f t="shared" si="1544"/>
        <v/>
      </c>
      <c r="AC1653">
        <f t="shared" si="1492"/>
        <v>1874</v>
      </c>
      <c r="AD1653" s="6">
        <v>3</v>
      </c>
      <c r="AE1653" t="s">
        <v>732</v>
      </c>
      <c r="AF1653" t="s">
        <v>737</v>
      </c>
      <c r="AG1653" t="s">
        <v>732</v>
      </c>
      <c r="AH1653" t="s">
        <v>923</v>
      </c>
      <c r="AI1653" t="s">
        <v>367</v>
      </c>
      <c r="AJ1653" t="str">
        <f t="shared" ref="AJ1653:AK1653" si="1569">IF($J1653&lt;&gt;"",$J1653,IF($AC1653=$AC1652,AJ1652,""))</f>
        <v/>
      </c>
      <c r="AK1653" t="str">
        <f t="shared" si="1569"/>
        <v/>
      </c>
      <c r="AL1653" t="str">
        <f t="shared" si="1497"/>
        <v/>
      </c>
      <c r="AN1653" t="s">
        <v>861</v>
      </c>
      <c r="AO1653" t="str">
        <f t="shared" si="1498"/>
        <v>h</v>
      </c>
      <c r="AP1653" t="str">
        <f t="shared" si="1506"/>
        <v/>
      </c>
      <c r="AQ1653" t="str">
        <f t="shared" si="1507"/>
        <v/>
      </c>
      <c r="AR1653" t="str">
        <f t="shared" si="1508"/>
        <v>Home</v>
      </c>
      <c r="AS1653" t="str">
        <f t="shared" si="1509"/>
        <v>h</v>
      </c>
      <c r="AT1653" t="str">
        <f t="shared" si="1510"/>
        <v>Offensive</v>
      </c>
      <c r="BA1653" s="6">
        <f t="shared" si="1499"/>
        <v>384</v>
      </c>
      <c r="BB1653">
        <f t="shared" si="1500"/>
        <v>18981</v>
      </c>
      <c r="BC1653" t="str">
        <f t="shared" si="1501"/>
        <v>Nelson</v>
      </c>
      <c r="BD1653" t="str">
        <f t="shared" si="1502"/>
        <v>Velodrome</v>
      </c>
      <c r="BE1653" t="s">
        <v>13</v>
      </c>
      <c r="BF1653" t="s">
        <v>756</v>
      </c>
      <c r="BG1653" t="s">
        <v>756</v>
      </c>
      <c r="BI1653" cm="1">
        <f t="array" aca="1" ref="BI1653" ca="1">IFERROR(_xlfn._xlws.FILTER(shifts!A:A,(shifts!B:B=events!AD1653)*(shifts!AG:AG&gt;=events!BK1653)*(shifts!AH:AH&lt;=events!BL1653)),BI1652)</f>
        <v>75</v>
      </c>
      <c r="BJ1653" s="15">
        <f t="shared" si="1503"/>
        <v>2</v>
      </c>
      <c r="BK1653">
        <f t="shared" si="1511"/>
        <v>1066</v>
      </c>
      <c r="BL1653">
        <f t="shared" si="1512"/>
        <v>1064</v>
      </c>
      <c r="BM1653" s="15">
        <f>SUMIFS(BJ$2:BJ1653,K$2:K1653,"=Intermission")+SUMIFS(BJ$2:BJ1653,K$2:K1653,"=Timeout")</f>
        <v>142</v>
      </c>
      <c r="BN1653">
        <f t="shared" si="1513"/>
        <v>2302</v>
      </c>
      <c r="BO1653" s="19">
        <f t="shared" si="1514"/>
        <v>2316</v>
      </c>
      <c r="BP1653">
        <f t="shared" si="1515"/>
        <v>2311</v>
      </c>
      <c r="BQ1653" s="17">
        <f t="shared" si="1516"/>
        <v>2318</v>
      </c>
      <c r="BR1653" t="str">
        <f t="shared" si="1517"/>
        <v>event_team_player_3</v>
      </c>
      <c r="BS1653">
        <f>COUNTIFS(S$3:S1653,"="&amp;S1653,AI$3:AI1653,"="&amp;AI1653)</f>
        <v>3</v>
      </c>
      <c r="BT1653" t="str">
        <f>IFERROR(VLOOKUP(BB1653&amp;BU1653&amp;X1653,game_rosters!U:W,3,FALSE),"")</f>
        <v>P100197</v>
      </c>
      <c r="BU1653" t="str">
        <f t="shared" si="1518"/>
        <v>Nelson</v>
      </c>
    </row>
    <row r="1654" spans="1:73" x14ac:dyDescent="0.2">
      <c r="A1654">
        <f t="shared" si="1504"/>
        <v>1</v>
      </c>
      <c r="J1654" s="44" t="str">
        <f t="shared" si="1519"/>
        <v/>
      </c>
      <c r="K1654" t="s">
        <v>13</v>
      </c>
      <c r="L1654" t="s">
        <v>756</v>
      </c>
      <c r="M1654" t="s">
        <v>756</v>
      </c>
      <c r="S1654">
        <v>874</v>
      </c>
      <c r="W1654" t="str">
        <f t="shared" si="1495"/>
        <v>h</v>
      </c>
      <c r="X1654">
        <v>70</v>
      </c>
      <c r="Y1654" t="e">
        <f>IF(X1654&lt;&gt;"",VLOOKUP(X1654,game_rosters!$C$43:$E$64,3,FALSE))</f>
        <v>#N/A</v>
      </c>
      <c r="Z1654" t="str" cm="1">
        <f t="array" ref="Z1654">IFERROR(IF(_xlfn._xlws.FILTER(game_rosters!$J:$J,(game_rosters!$G:$G=events!$AN1654)*(game_rosters!$J:$J=events!$X1654))&gt;0,1,""),"")</f>
        <v/>
      </c>
      <c r="AA1654">
        <f t="shared" si="1543"/>
        <v>1874</v>
      </c>
      <c r="AB1654" t="str">
        <f t="shared" si="1544"/>
        <v/>
      </c>
      <c r="AC1654">
        <f t="shared" si="1492"/>
        <v>1874</v>
      </c>
      <c r="AD1654" s="6">
        <v>3</v>
      </c>
      <c r="AE1654" t="s">
        <v>732</v>
      </c>
      <c r="AF1654" t="s">
        <v>737</v>
      </c>
      <c r="AG1654" t="s">
        <v>732</v>
      </c>
      <c r="AH1654" t="s">
        <v>923</v>
      </c>
      <c r="AI1654" t="s">
        <v>368</v>
      </c>
      <c r="AJ1654" t="str">
        <f t="shared" ref="AJ1654:AK1654" si="1570">IF($J1654&lt;&gt;"",$J1654,IF($AC1654=$AC1653,AJ1653,""))</f>
        <v/>
      </c>
      <c r="AK1654" t="str">
        <f t="shared" si="1570"/>
        <v/>
      </c>
      <c r="AL1654" t="str">
        <f t="shared" si="1497"/>
        <v/>
      </c>
      <c r="AN1654" t="s">
        <v>861</v>
      </c>
      <c r="AO1654" t="str">
        <f t="shared" si="1498"/>
        <v>h</v>
      </c>
      <c r="AP1654" t="str">
        <f t="shared" si="1506"/>
        <v/>
      </c>
      <c r="AQ1654" t="str">
        <f t="shared" si="1507"/>
        <v/>
      </c>
      <c r="AR1654" t="str">
        <f t="shared" si="1508"/>
        <v>Home</v>
      </c>
      <c r="AS1654" t="str">
        <f t="shared" si="1509"/>
        <v>h</v>
      </c>
      <c r="AT1654" t="str">
        <f t="shared" si="1510"/>
        <v>Defensive</v>
      </c>
      <c r="BA1654" s="6">
        <f t="shared" si="1499"/>
        <v>384</v>
      </c>
      <c r="BB1654">
        <f t="shared" si="1500"/>
        <v>18981</v>
      </c>
      <c r="BC1654" t="str">
        <f t="shared" si="1501"/>
        <v>Nelson</v>
      </c>
      <c r="BD1654" t="str">
        <f t="shared" si="1502"/>
        <v>Velodrome</v>
      </c>
      <c r="BE1654" t="s">
        <v>13</v>
      </c>
      <c r="BF1654" t="s">
        <v>756</v>
      </c>
      <c r="BG1654" t="s">
        <v>756</v>
      </c>
      <c r="BI1654" cm="1">
        <f t="array" aca="1" ref="BI1654" ca="1">IFERROR(_xlfn._xlws.FILTER(shifts!A:A,(shifts!B:B=events!AD1654)*(shifts!AG:AG&gt;=events!BK1654)*(shifts!AH:AH&lt;=events!BL1654)),BI1653)</f>
        <v>75</v>
      </c>
      <c r="BJ1654" s="15">
        <f t="shared" si="1503"/>
        <v>2</v>
      </c>
      <c r="BK1654">
        <f t="shared" si="1511"/>
        <v>1066</v>
      </c>
      <c r="BL1654">
        <f t="shared" si="1512"/>
        <v>1064</v>
      </c>
      <c r="BM1654" s="15">
        <f>SUMIFS(BJ$2:BJ1654,K$2:K1654,"=Intermission")+SUMIFS(BJ$2:BJ1654,K$2:K1654,"=Timeout")</f>
        <v>142</v>
      </c>
      <c r="BN1654">
        <f t="shared" si="1513"/>
        <v>2302</v>
      </c>
      <c r="BO1654" s="19">
        <f t="shared" si="1514"/>
        <v>2316</v>
      </c>
      <c r="BP1654">
        <f t="shared" si="1515"/>
        <v>2311</v>
      </c>
      <c r="BQ1654" s="17">
        <f t="shared" si="1516"/>
        <v>2318</v>
      </c>
      <c r="BR1654" t="str">
        <f t="shared" si="1517"/>
        <v>opp_team_player_2</v>
      </c>
      <c r="BS1654">
        <f>COUNTIFS(S$3:S1654,"="&amp;S1654,AI$3:AI1654,"="&amp;AI1654)</f>
        <v>2</v>
      </c>
      <c r="BT1654" t="str">
        <f>IFERROR(VLOOKUP(BB1654&amp;BU1654&amp;X1654,game_rosters!U:W,3,FALSE),"")</f>
        <v>P100001</v>
      </c>
      <c r="BU1654" t="str">
        <f t="shared" si="1518"/>
        <v>Velodrome</v>
      </c>
    </row>
    <row r="1655" spans="1:73" x14ac:dyDescent="0.2">
      <c r="A1655">
        <f t="shared" si="1504"/>
        <v>1</v>
      </c>
      <c r="J1655" s="44" t="str">
        <f t="shared" si="1519"/>
        <v/>
      </c>
      <c r="K1655" t="s">
        <v>7</v>
      </c>
      <c r="L1655" t="s">
        <v>172</v>
      </c>
      <c r="M1655" t="s">
        <v>444</v>
      </c>
      <c r="S1655">
        <v>875</v>
      </c>
      <c r="W1655" t="str">
        <f t="shared" si="1495"/>
        <v>h</v>
      </c>
      <c r="X1655">
        <v>80</v>
      </c>
      <c r="Y1655" t="b">
        <f>IF(X1655&lt;&gt;"",VLOOKUP(X1655,game_rosters!$C$43:$E$64,3,FALSE))</f>
        <v>0</v>
      </c>
      <c r="Z1655" cm="1">
        <f t="array" ref="Z1655">IFERROR(IF(_xlfn._xlws.FILTER(game_rosters!$J:$J,(game_rosters!$G:$G=events!$AN1655)*(game_rosters!$J:$J=events!$X1655))&gt;0,1,""),"")</f>
        <v>1</v>
      </c>
      <c r="AA1655">
        <f t="shared" si="1543"/>
        <v>1875</v>
      </c>
      <c r="AB1655" t="str">
        <f t="shared" si="1544"/>
        <v/>
      </c>
      <c r="AC1655">
        <f t="shared" si="1492"/>
        <v>1875</v>
      </c>
      <c r="AD1655" s="6">
        <v>3</v>
      </c>
      <c r="AE1655" t="s">
        <v>732</v>
      </c>
      <c r="AF1655" t="s">
        <v>923</v>
      </c>
      <c r="AG1655" t="s">
        <v>756</v>
      </c>
      <c r="AH1655" t="s">
        <v>756</v>
      </c>
      <c r="AI1655" t="s">
        <v>367</v>
      </c>
      <c r="AJ1655" t="str">
        <f t="shared" ref="AJ1655:AK1655" si="1571">IF($J1655&lt;&gt;"",$J1655,IF($AC1655=$AC1654,AJ1654,""))</f>
        <v/>
      </c>
      <c r="AK1655" t="str">
        <f t="shared" si="1571"/>
        <v/>
      </c>
      <c r="AL1655" t="str">
        <f t="shared" si="1497"/>
        <v/>
      </c>
      <c r="AN1655" t="s">
        <v>861</v>
      </c>
      <c r="AO1655" t="str">
        <f t="shared" si="1498"/>
        <v>h</v>
      </c>
      <c r="AP1655" t="str">
        <f t="shared" si="1506"/>
        <v/>
      </c>
      <c r="AQ1655" t="str">
        <f t="shared" si="1507"/>
        <v/>
      </c>
      <c r="AR1655" t="str">
        <f t="shared" si="1508"/>
        <v>Home</v>
      </c>
      <c r="AS1655" t="str">
        <f t="shared" si="1509"/>
        <v>h</v>
      </c>
      <c r="AT1655" t="str">
        <f t="shared" si="1510"/>
        <v>Offensive</v>
      </c>
      <c r="BA1655" s="6">
        <f t="shared" si="1499"/>
        <v>384</v>
      </c>
      <c r="BB1655">
        <f t="shared" si="1500"/>
        <v>18981</v>
      </c>
      <c r="BC1655" t="str">
        <f t="shared" si="1501"/>
        <v>Nelson</v>
      </c>
      <c r="BD1655" t="str">
        <f t="shared" si="1502"/>
        <v>Velodrome</v>
      </c>
      <c r="BE1655" t="s">
        <v>7</v>
      </c>
      <c r="BF1655" t="s">
        <v>172</v>
      </c>
      <c r="BG1655" t="s">
        <v>444</v>
      </c>
      <c r="BI1655" cm="1">
        <f t="array" aca="1" ref="BI1655" ca="1">IFERROR(_xlfn._xlws.FILTER(shifts!A:A,(shifts!B:B=events!AD1655)*(shifts!AG:AG&gt;=events!BK1655)*(shifts!AH:AH&lt;=events!BL1655)),BI1654)</f>
        <v>75</v>
      </c>
      <c r="BJ1655" s="15">
        <f t="shared" si="1503"/>
        <v>0</v>
      </c>
      <c r="BK1655">
        <f t="shared" si="1511"/>
        <v>1064</v>
      </c>
      <c r="BL1655">
        <f t="shared" si="1512"/>
        <v>1064</v>
      </c>
      <c r="BM1655" s="15">
        <f>SUMIFS(BJ$2:BJ1655,K$2:K1655,"=Intermission")+SUMIFS(BJ$2:BJ1655,K$2:K1655,"=Timeout")</f>
        <v>142</v>
      </c>
      <c r="BN1655">
        <f t="shared" si="1513"/>
        <v>2302</v>
      </c>
      <c r="BO1655" s="19">
        <f t="shared" si="1514"/>
        <v>2318</v>
      </c>
      <c r="BP1655">
        <f t="shared" si="1515"/>
        <v>2313</v>
      </c>
      <c r="BQ1655" s="17">
        <f t="shared" si="1516"/>
        <v>2318</v>
      </c>
      <c r="BR1655" t="str">
        <f t="shared" si="1517"/>
        <v>event_team_player_3</v>
      </c>
      <c r="BS1655">
        <f>COUNTIFS(S$3:S1655,"="&amp;S1655,AI$3:AI1655,"="&amp;AI1655)</f>
        <v>3</v>
      </c>
      <c r="BT1655" t="str">
        <f>IFERROR(VLOOKUP(BB1655&amp;BU1655&amp;X1655,game_rosters!U:W,3,FALSE),"")</f>
        <v>P100197</v>
      </c>
      <c r="BU1655" t="str">
        <f t="shared" si="1518"/>
        <v>Nelson</v>
      </c>
    </row>
    <row r="1656" spans="1:73" x14ac:dyDescent="0.2">
      <c r="A1656">
        <f t="shared" si="1504"/>
        <v>1</v>
      </c>
      <c r="J1656" s="44" t="str">
        <f t="shared" si="1519"/>
        <v/>
      </c>
      <c r="K1656" t="s">
        <v>7</v>
      </c>
      <c r="L1656" t="s">
        <v>172</v>
      </c>
      <c r="M1656" t="s">
        <v>444</v>
      </c>
      <c r="S1656">
        <v>875</v>
      </c>
      <c r="W1656" t="str">
        <f t="shared" si="1495"/>
        <v>h</v>
      </c>
      <c r="X1656">
        <v>79</v>
      </c>
      <c r="Y1656" t="b">
        <f>IF(X1656&lt;&gt;"",VLOOKUP(X1656,game_rosters!$C$43:$E$64,3,FALSE))</f>
        <v>0</v>
      </c>
      <c r="Z1656" cm="1">
        <f t="array" ref="Z1656">IFERROR(IF(_xlfn._xlws.FILTER(game_rosters!$J:$J,(game_rosters!$G:$G=events!$AN1656)*(game_rosters!$J:$J=events!$X1656))&gt;0,1,""),"")</f>
        <v>1</v>
      </c>
      <c r="AA1656">
        <f t="shared" si="1543"/>
        <v>1875</v>
      </c>
      <c r="AB1656" t="str">
        <f t="shared" si="1544"/>
        <v/>
      </c>
      <c r="AC1656">
        <f t="shared" si="1492"/>
        <v>1875</v>
      </c>
      <c r="AD1656" s="6">
        <v>3</v>
      </c>
      <c r="AE1656" t="s">
        <v>732</v>
      </c>
      <c r="AF1656" t="s">
        <v>923</v>
      </c>
      <c r="AG1656" t="s">
        <v>756</v>
      </c>
      <c r="AH1656" t="s">
        <v>756</v>
      </c>
      <c r="AI1656" t="s">
        <v>368</v>
      </c>
      <c r="AJ1656" t="str">
        <f t="shared" ref="AJ1656:AK1656" si="1572">IF($J1656&lt;&gt;"",$J1656,IF($AC1656=$AC1655,AJ1655,""))</f>
        <v/>
      </c>
      <c r="AK1656" t="str">
        <f t="shared" si="1572"/>
        <v/>
      </c>
      <c r="AL1656" t="str">
        <f t="shared" si="1497"/>
        <v/>
      </c>
      <c r="AN1656" t="s">
        <v>861</v>
      </c>
      <c r="AO1656" t="str">
        <f t="shared" si="1498"/>
        <v>h</v>
      </c>
      <c r="AP1656" t="str">
        <f t="shared" si="1506"/>
        <v/>
      </c>
      <c r="AQ1656" t="str">
        <f t="shared" si="1507"/>
        <v/>
      </c>
      <c r="AR1656" t="str">
        <f t="shared" si="1508"/>
        <v>Home</v>
      </c>
      <c r="AS1656" t="str">
        <f t="shared" si="1509"/>
        <v>h</v>
      </c>
      <c r="AT1656" t="str">
        <f t="shared" si="1510"/>
        <v>Defensive</v>
      </c>
      <c r="BA1656" s="6">
        <f t="shared" si="1499"/>
        <v>384</v>
      </c>
      <c r="BB1656">
        <f t="shared" si="1500"/>
        <v>18981</v>
      </c>
      <c r="BC1656" t="str">
        <f t="shared" si="1501"/>
        <v>Nelson</v>
      </c>
      <c r="BD1656" t="str">
        <f t="shared" si="1502"/>
        <v>Velodrome</v>
      </c>
      <c r="BE1656" t="s">
        <v>7</v>
      </c>
      <c r="BF1656" t="s">
        <v>172</v>
      </c>
      <c r="BG1656" t="s">
        <v>444</v>
      </c>
      <c r="BI1656" cm="1">
        <f t="array" aca="1" ref="BI1656" ca="1">IFERROR(_xlfn._xlws.FILTER(shifts!A:A,(shifts!B:B=events!AD1656)*(shifts!AG:AG&gt;=events!BK1656)*(shifts!AH:AH&lt;=events!BL1656)),BI1655)</f>
        <v>75</v>
      </c>
      <c r="BJ1656" s="15">
        <f t="shared" si="1503"/>
        <v>0</v>
      </c>
      <c r="BK1656">
        <f t="shared" si="1511"/>
        <v>1064</v>
      </c>
      <c r="BL1656">
        <f t="shared" si="1512"/>
        <v>1064</v>
      </c>
      <c r="BM1656" s="15">
        <f>SUMIFS(BJ$2:BJ1656,K$2:K1656,"=Intermission")+SUMIFS(BJ$2:BJ1656,K$2:K1656,"=Timeout")</f>
        <v>142</v>
      </c>
      <c r="BN1656">
        <f t="shared" si="1513"/>
        <v>2302</v>
      </c>
      <c r="BO1656" s="19">
        <f t="shared" si="1514"/>
        <v>2318</v>
      </c>
      <c r="BP1656">
        <f t="shared" si="1515"/>
        <v>2313</v>
      </c>
      <c r="BQ1656" s="17">
        <f t="shared" si="1516"/>
        <v>2318</v>
      </c>
      <c r="BR1656" t="str">
        <f t="shared" si="1517"/>
        <v>opp_team_player_2</v>
      </c>
      <c r="BS1656">
        <f>COUNTIFS(S$3:S1656,"="&amp;S1656,AI$3:AI1656,"="&amp;AI1656)</f>
        <v>2</v>
      </c>
      <c r="BT1656" t="str">
        <f>IFERROR(VLOOKUP(BB1656&amp;BU1656&amp;X1656,game_rosters!U:W,3,FALSE),"")</f>
        <v>P100066</v>
      </c>
      <c r="BU1656" t="s">
        <v>944</v>
      </c>
    </row>
    <row r="1657" spans="1:73" x14ac:dyDescent="0.2">
      <c r="A1657">
        <f t="shared" si="1504"/>
        <v>1</v>
      </c>
      <c r="J1657" s="44" t="str">
        <f t="shared" si="1519"/>
        <v/>
      </c>
      <c r="K1657" t="s">
        <v>7</v>
      </c>
      <c r="L1657" t="s">
        <v>172</v>
      </c>
      <c r="M1657" t="s">
        <v>444</v>
      </c>
      <c r="S1657">
        <v>875</v>
      </c>
      <c r="W1657" t="str">
        <f t="shared" si="1495"/>
        <v>h</v>
      </c>
      <c r="X1657">
        <v>84</v>
      </c>
      <c r="Y1657" t="e">
        <f>IF(X1657&lt;&gt;"",VLOOKUP(X1657,game_rosters!$C$43:$E$64,3,FALSE))</f>
        <v>#N/A</v>
      </c>
      <c r="Z1657" t="str" cm="1">
        <f t="array" ref="Z1657">IFERROR(IF(_xlfn._xlws.FILTER(game_rosters!$J:$J,(game_rosters!$G:$G=events!$AN1657)*(game_rosters!$J:$J=events!$X1657))&gt;0,1,""),"")</f>
        <v/>
      </c>
      <c r="AA1657">
        <f t="shared" si="1543"/>
        <v>1875</v>
      </c>
      <c r="AB1657" t="str">
        <f t="shared" si="1544"/>
        <v/>
      </c>
      <c r="AC1657">
        <f t="shared" si="1492"/>
        <v>1875</v>
      </c>
      <c r="AD1657" s="6">
        <v>3</v>
      </c>
      <c r="AE1657" t="s">
        <v>732</v>
      </c>
      <c r="AF1657" t="s">
        <v>923</v>
      </c>
      <c r="AG1657" t="s">
        <v>756</v>
      </c>
      <c r="AH1657" t="s">
        <v>756</v>
      </c>
      <c r="AI1657" t="s">
        <v>368</v>
      </c>
      <c r="AJ1657" t="str">
        <f t="shared" ref="AJ1657:AK1657" si="1573">IF($J1657&lt;&gt;"",$J1657,IF($AC1657=$AC1656,AJ1656,""))</f>
        <v/>
      </c>
      <c r="AK1657" t="str">
        <f t="shared" si="1573"/>
        <v/>
      </c>
      <c r="AL1657" t="str">
        <f t="shared" si="1497"/>
        <v/>
      </c>
      <c r="AN1657" t="s">
        <v>861</v>
      </c>
      <c r="AO1657" t="str">
        <f t="shared" si="1498"/>
        <v>h</v>
      </c>
      <c r="AP1657" t="str">
        <f t="shared" si="1506"/>
        <v/>
      </c>
      <c r="AQ1657" t="str">
        <f t="shared" si="1507"/>
        <v/>
      </c>
      <c r="AR1657" t="str">
        <f t="shared" si="1508"/>
        <v>Home</v>
      </c>
      <c r="AS1657" t="str">
        <f t="shared" si="1509"/>
        <v>h</v>
      </c>
      <c r="AT1657" t="str">
        <f t="shared" si="1510"/>
        <v>Defensive</v>
      </c>
      <c r="BA1657" s="6">
        <f t="shared" si="1499"/>
        <v>384</v>
      </c>
      <c r="BB1657">
        <f t="shared" si="1500"/>
        <v>18981</v>
      </c>
      <c r="BC1657" t="str">
        <f t="shared" si="1501"/>
        <v>Nelson</v>
      </c>
      <c r="BD1657" t="str">
        <f t="shared" si="1502"/>
        <v>Velodrome</v>
      </c>
      <c r="BE1657" t="s">
        <v>7</v>
      </c>
      <c r="BF1657" t="s">
        <v>172</v>
      </c>
      <c r="BG1657" t="s">
        <v>444</v>
      </c>
      <c r="BI1657" cm="1">
        <f t="array" aca="1" ref="BI1657" ca="1">IFERROR(_xlfn._xlws.FILTER(shifts!A:A,(shifts!B:B=events!AD1657)*(shifts!AG:AG&gt;=events!BK1657)*(shifts!AH:AH&lt;=events!BL1657)),BI1656)</f>
        <v>75</v>
      </c>
      <c r="BJ1657" s="15">
        <f t="shared" si="1503"/>
        <v>0</v>
      </c>
      <c r="BK1657">
        <f t="shared" si="1511"/>
        <v>1064</v>
      </c>
      <c r="BL1657">
        <f t="shared" si="1512"/>
        <v>1064</v>
      </c>
      <c r="BM1657" s="15">
        <f>SUMIFS(BJ$2:BJ1657,K$2:K1657,"=Intermission")+SUMIFS(BJ$2:BJ1657,K$2:K1657,"=Timeout")</f>
        <v>142</v>
      </c>
      <c r="BN1657">
        <f t="shared" si="1513"/>
        <v>2302</v>
      </c>
      <c r="BO1657" s="19">
        <f t="shared" si="1514"/>
        <v>2318</v>
      </c>
      <c r="BP1657">
        <f t="shared" si="1515"/>
        <v>2313</v>
      </c>
      <c r="BQ1657" s="17">
        <f t="shared" si="1516"/>
        <v>2318</v>
      </c>
      <c r="BR1657" t="str">
        <f t="shared" si="1517"/>
        <v>opp_team_player_3</v>
      </c>
      <c r="BS1657">
        <f>COUNTIFS(S$3:S1657,"="&amp;S1657,AI$3:AI1657,"="&amp;AI1657)</f>
        <v>3</v>
      </c>
      <c r="BT1657" t="str">
        <f>IFERROR(VLOOKUP(BB1657&amp;BU1657&amp;X1657,game_rosters!U:W,3,FALSE),"")</f>
        <v>P100198</v>
      </c>
      <c r="BU1657" t="str">
        <f t="shared" si="1518"/>
        <v>Velodrome</v>
      </c>
    </row>
    <row r="1658" spans="1:73" x14ac:dyDescent="0.2">
      <c r="A1658">
        <f t="shared" si="1504"/>
        <v>1</v>
      </c>
      <c r="J1658" s="44" t="str">
        <f t="shared" si="1519"/>
        <v/>
      </c>
      <c r="K1658" t="s">
        <v>7</v>
      </c>
      <c r="L1658" t="s">
        <v>172</v>
      </c>
      <c r="M1658" t="s">
        <v>444</v>
      </c>
      <c r="S1658">
        <v>875</v>
      </c>
      <c r="W1658" t="str">
        <f t="shared" si="1495"/>
        <v>h</v>
      </c>
      <c r="X1658">
        <v>70</v>
      </c>
      <c r="Y1658" t="e">
        <f>IF(X1658&lt;&gt;"",VLOOKUP(X1658,game_rosters!$C$43:$E$64,3,FALSE))</f>
        <v>#N/A</v>
      </c>
      <c r="Z1658" t="str" cm="1">
        <f t="array" ref="Z1658">IFERROR(IF(_xlfn._xlws.FILTER(game_rosters!$J:$J,(game_rosters!$G:$G=events!$AN1658)*(game_rosters!$J:$J=events!$X1658))&gt;0,1,""),"")</f>
        <v/>
      </c>
      <c r="AA1658">
        <f t="shared" si="1543"/>
        <v>1875</v>
      </c>
      <c r="AB1658" t="str">
        <f t="shared" si="1544"/>
        <v/>
      </c>
      <c r="AC1658">
        <f t="shared" si="1492"/>
        <v>1875</v>
      </c>
      <c r="AD1658" s="6">
        <v>3</v>
      </c>
      <c r="AE1658" t="s">
        <v>732</v>
      </c>
      <c r="AF1658" t="s">
        <v>923</v>
      </c>
      <c r="AG1658" t="s">
        <v>756</v>
      </c>
      <c r="AH1658" t="s">
        <v>756</v>
      </c>
      <c r="AI1658" t="s">
        <v>367</v>
      </c>
      <c r="AJ1658" t="str">
        <f t="shared" ref="AJ1658:AK1658" si="1574">IF($J1658&lt;&gt;"",$J1658,IF($AC1658=$AC1657,AJ1657,""))</f>
        <v/>
      </c>
      <c r="AK1658" t="str">
        <f t="shared" si="1574"/>
        <v/>
      </c>
      <c r="AL1658" t="str">
        <f t="shared" si="1497"/>
        <v/>
      </c>
      <c r="AN1658" t="s">
        <v>861</v>
      </c>
      <c r="AO1658" t="str">
        <f t="shared" si="1498"/>
        <v>h</v>
      </c>
      <c r="AP1658" t="str">
        <f t="shared" si="1506"/>
        <v/>
      </c>
      <c r="AQ1658" t="str">
        <f t="shared" si="1507"/>
        <v/>
      </c>
      <c r="AR1658" t="str">
        <f t="shared" si="1508"/>
        <v>Home</v>
      </c>
      <c r="AS1658" t="str">
        <f t="shared" si="1509"/>
        <v>h</v>
      </c>
      <c r="AT1658" t="str">
        <f t="shared" si="1510"/>
        <v>Offensive</v>
      </c>
      <c r="BA1658" s="6">
        <f t="shared" si="1499"/>
        <v>384</v>
      </c>
      <c r="BB1658">
        <f t="shared" si="1500"/>
        <v>18981</v>
      </c>
      <c r="BC1658" t="str">
        <f t="shared" si="1501"/>
        <v>Nelson</v>
      </c>
      <c r="BD1658" t="str">
        <f t="shared" si="1502"/>
        <v>Velodrome</v>
      </c>
      <c r="BE1658" t="s">
        <v>7</v>
      </c>
      <c r="BF1658" t="s">
        <v>172</v>
      </c>
      <c r="BG1658" t="s">
        <v>444</v>
      </c>
      <c r="BI1658" cm="1">
        <f t="array" aca="1" ref="BI1658" ca="1">IFERROR(_xlfn._xlws.FILTER(shifts!A:A,(shifts!B:B=events!AD1658)*(shifts!AG:AG&gt;=events!BK1658)*(shifts!AH:AH&lt;=events!BL1658)),BI1657)</f>
        <v>75</v>
      </c>
      <c r="BJ1658" s="15">
        <f t="shared" si="1503"/>
        <v>0</v>
      </c>
      <c r="BK1658">
        <f t="shared" si="1511"/>
        <v>1064</v>
      </c>
      <c r="BL1658">
        <f t="shared" si="1512"/>
        <v>1064</v>
      </c>
      <c r="BM1658" s="15">
        <f>SUMIFS(BJ$2:BJ1658,K$2:K1658,"=Intermission")+SUMIFS(BJ$2:BJ1658,K$2:K1658,"=Timeout")</f>
        <v>142</v>
      </c>
      <c r="BN1658">
        <f t="shared" si="1513"/>
        <v>2302</v>
      </c>
      <c r="BO1658" s="19">
        <f t="shared" si="1514"/>
        <v>2318</v>
      </c>
      <c r="BP1658">
        <f t="shared" si="1515"/>
        <v>2313</v>
      </c>
      <c r="BQ1658" s="17">
        <f t="shared" si="1516"/>
        <v>2318</v>
      </c>
      <c r="BR1658" t="str">
        <f t="shared" si="1517"/>
        <v>event_team_player_4</v>
      </c>
      <c r="BS1658">
        <f>COUNTIFS(S$3:S1658,"="&amp;S1658,AI$3:AI1658,"="&amp;AI1658)</f>
        <v>4</v>
      </c>
      <c r="BT1658" t="str">
        <f>IFERROR(VLOOKUP(BB1658&amp;BU1658&amp;X1658,game_rosters!U:W,3,FALSE),"")</f>
        <v>P100001</v>
      </c>
      <c r="BU1658" t="s">
        <v>521</v>
      </c>
    </row>
    <row r="1659" spans="1:73" x14ac:dyDescent="0.2">
      <c r="A1659">
        <f t="shared" si="1504"/>
        <v>1</v>
      </c>
      <c r="J1659" s="44" t="str">
        <f t="shared" si="1519"/>
        <v>o</v>
      </c>
      <c r="K1659" t="s">
        <v>6</v>
      </c>
      <c r="L1659" t="s">
        <v>181</v>
      </c>
      <c r="M1659" t="s">
        <v>204</v>
      </c>
      <c r="S1659">
        <v>876</v>
      </c>
      <c r="W1659" t="str">
        <f t="shared" si="1495"/>
        <v>h</v>
      </c>
      <c r="X1659">
        <v>79</v>
      </c>
      <c r="Y1659" t="b">
        <f>IF(X1659&lt;&gt;"",VLOOKUP(X1659,game_rosters!$C$43:$E$64,3,FALSE))</f>
        <v>0</v>
      </c>
      <c r="Z1659" cm="1">
        <f t="array" ref="Z1659">IFERROR(IF(_xlfn._xlws.FILTER(game_rosters!$J:$J,(game_rosters!$G:$G=events!$AN1659)*(game_rosters!$J:$J=events!$X1659))&gt;0,1,""),"")</f>
        <v>1</v>
      </c>
      <c r="AA1659">
        <f t="shared" si="1543"/>
        <v>1876</v>
      </c>
      <c r="AB1659" t="str">
        <f t="shared" si="1544"/>
        <v/>
      </c>
      <c r="AC1659">
        <f t="shared" si="1492"/>
        <v>1876</v>
      </c>
      <c r="AD1659" s="6">
        <v>3</v>
      </c>
      <c r="AE1659" t="s">
        <v>732</v>
      </c>
      <c r="AF1659" t="s">
        <v>923</v>
      </c>
      <c r="AG1659" t="s">
        <v>756</v>
      </c>
      <c r="AH1659" t="s">
        <v>756</v>
      </c>
      <c r="AI1659" t="s">
        <v>367</v>
      </c>
      <c r="AJ1659" t="str">
        <f t="shared" ref="AJ1659:AK1659" si="1575">IF($J1659&lt;&gt;"",$J1659,IF($AC1659=$AC1658,AJ1658,""))</f>
        <v>o</v>
      </c>
      <c r="AK1659" t="str">
        <f t="shared" si="1575"/>
        <v>o</v>
      </c>
      <c r="AL1659" t="str">
        <f t="shared" si="1497"/>
        <v>o</v>
      </c>
      <c r="AN1659" t="s">
        <v>861</v>
      </c>
      <c r="AO1659" t="str">
        <f t="shared" si="1498"/>
        <v>h</v>
      </c>
      <c r="AP1659" t="str">
        <f t="shared" si="1506"/>
        <v>o</v>
      </c>
      <c r="AQ1659" t="str">
        <f t="shared" si="1507"/>
        <v/>
      </c>
      <c r="AR1659" t="str">
        <f t="shared" si="1508"/>
        <v>Home</v>
      </c>
      <c r="AS1659" t="str">
        <f t="shared" si="1509"/>
        <v>h</v>
      </c>
      <c r="AT1659" t="str">
        <f t="shared" si="1510"/>
        <v>Offensive</v>
      </c>
      <c r="BA1659" s="6">
        <f t="shared" si="1499"/>
        <v>384</v>
      </c>
      <c r="BB1659">
        <f t="shared" si="1500"/>
        <v>18981</v>
      </c>
      <c r="BC1659" t="str">
        <f t="shared" si="1501"/>
        <v>Nelson</v>
      </c>
      <c r="BD1659" t="str">
        <f t="shared" si="1502"/>
        <v>Velodrome</v>
      </c>
      <c r="BE1659" t="s">
        <v>6</v>
      </c>
      <c r="BF1659" t="s">
        <v>181</v>
      </c>
      <c r="BG1659" t="s">
        <v>204</v>
      </c>
      <c r="BI1659" cm="1">
        <f t="array" aca="1" ref="BI1659" ca="1">IFERROR(_xlfn._xlws.FILTER(shifts!A:A,(shifts!B:B=events!AD1659)*(shifts!AG:AG&gt;=events!BK1659)*(shifts!AH:AH&lt;=events!BL1659)),BI1658)</f>
        <v>75</v>
      </c>
      <c r="BJ1659" s="15">
        <f t="shared" si="1503"/>
        <v>0</v>
      </c>
      <c r="BK1659">
        <f t="shared" si="1511"/>
        <v>1064</v>
      </c>
      <c r="BL1659">
        <f t="shared" si="1512"/>
        <v>1064</v>
      </c>
      <c r="BM1659" s="15">
        <f>SUMIFS(BJ$2:BJ1659,K$2:K1659,"=Intermission")+SUMIFS(BJ$2:BJ1659,K$2:K1659,"=Timeout")</f>
        <v>142</v>
      </c>
      <c r="BN1659">
        <f t="shared" si="1513"/>
        <v>2302</v>
      </c>
      <c r="BO1659" s="19">
        <f t="shared" si="1514"/>
        <v>2318</v>
      </c>
      <c r="BP1659">
        <f t="shared" si="1515"/>
        <v>2313</v>
      </c>
      <c r="BQ1659" s="17">
        <f t="shared" si="1516"/>
        <v>2318</v>
      </c>
      <c r="BR1659" t="str">
        <f t="shared" si="1517"/>
        <v>event_team_player_2</v>
      </c>
      <c r="BS1659">
        <f>COUNTIFS(S$3:S1659,"="&amp;S1659,AI$3:AI1659,"="&amp;AI1659)</f>
        <v>2</v>
      </c>
      <c r="BT1659" t="str">
        <f>IFERROR(VLOOKUP(BB1659&amp;BU1659&amp;X1659,game_rosters!U:W,3,FALSE),"")</f>
        <v>P100066</v>
      </c>
      <c r="BU1659" t="str">
        <f t="shared" si="1518"/>
        <v>Nelson</v>
      </c>
    </row>
    <row r="1660" spans="1:73" x14ac:dyDescent="0.2">
      <c r="A1660">
        <f t="shared" si="1504"/>
        <v>1</v>
      </c>
      <c r="J1660" s="44" t="str">
        <f t="shared" si="1519"/>
        <v>o</v>
      </c>
      <c r="K1660" t="s">
        <v>6</v>
      </c>
      <c r="L1660" t="s">
        <v>181</v>
      </c>
      <c r="M1660" t="s">
        <v>204</v>
      </c>
      <c r="S1660">
        <v>876</v>
      </c>
      <c r="W1660" t="str">
        <f t="shared" si="1495"/>
        <v>h</v>
      </c>
      <c r="X1660">
        <v>84</v>
      </c>
      <c r="Y1660" t="e">
        <f>IF(X1660&lt;&gt;"",VLOOKUP(X1660,game_rosters!$C$43:$E$64,3,FALSE))</f>
        <v>#N/A</v>
      </c>
      <c r="Z1660" t="str" cm="1">
        <f t="array" ref="Z1660">IFERROR(IF(_xlfn._xlws.FILTER(game_rosters!$J:$J,(game_rosters!$G:$G=events!$AN1660)*(game_rosters!$J:$J=events!$X1660))&gt;0,1,""),"")</f>
        <v/>
      </c>
      <c r="AA1660">
        <f t="shared" si="1543"/>
        <v>1876</v>
      </c>
      <c r="AB1660" t="str">
        <f t="shared" si="1544"/>
        <v/>
      </c>
      <c r="AC1660">
        <f t="shared" si="1492"/>
        <v>1876</v>
      </c>
      <c r="AD1660" s="6">
        <v>3</v>
      </c>
      <c r="AE1660" t="s">
        <v>732</v>
      </c>
      <c r="AF1660" t="s">
        <v>923</v>
      </c>
      <c r="AG1660" t="s">
        <v>756</v>
      </c>
      <c r="AH1660" t="s">
        <v>756</v>
      </c>
      <c r="AI1660" t="s">
        <v>368</v>
      </c>
      <c r="AJ1660" t="str">
        <f t="shared" ref="AJ1660:AK1660" si="1576">IF($J1660&lt;&gt;"",$J1660,IF($AC1660=$AC1659,AJ1659,""))</f>
        <v>o</v>
      </c>
      <c r="AK1660" t="str">
        <f t="shared" si="1576"/>
        <v>o</v>
      </c>
      <c r="AL1660" t="str">
        <f t="shared" si="1497"/>
        <v>o</v>
      </c>
      <c r="AN1660" t="s">
        <v>861</v>
      </c>
      <c r="AO1660" t="str">
        <f t="shared" si="1498"/>
        <v>h</v>
      </c>
      <c r="AP1660" t="str">
        <f t="shared" si="1506"/>
        <v>o</v>
      </c>
      <c r="AQ1660" t="str">
        <f t="shared" si="1507"/>
        <v/>
      </c>
      <c r="AR1660" t="str">
        <f t="shared" si="1508"/>
        <v>Home</v>
      </c>
      <c r="AS1660" t="str">
        <f t="shared" si="1509"/>
        <v>h</v>
      </c>
      <c r="AT1660" t="str">
        <f t="shared" si="1510"/>
        <v>Defensive</v>
      </c>
      <c r="BA1660" s="6">
        <f t="shared" si="1499"/>
        <v>384</v>
      </c>
      <c r="BB1660">
        <f t="shared" si="1500"/>
        <v>18981</v>
      </c>
      <c r="BC1660" t="str">
        <f t="shared" si="1501"/>
        <v>Nelson</v>
      </c>
      <c r="BD1660" t="str">
        <f t="shared" si="1502"/>
        <v>Velodrome</v>
      </c>
      <c r="BE1660" t="s">
        <v>6</v>
      </c>
      <c r="BF1660" t="s">
        <v>181</v>
      </c>
      <c r="BG1660" t="s">
        <v>204</v>
      </c>
      <c r="BI1660" cm="1">
        <f t="array" aca="1" ref="BI1660" ca="1">IFERROR(_xlfn._xlws.FILTER(shifts!A:A,(shifts!B:B=events!AD1660)*(shifts!AG:AG&gt;=events!BK1660)*(shifts!AH:AH&lt;=events!BL1660)),BI1659)</f>
        <v>75</v>
      </c>
      <c r="BJ1660" s="15">
        <f t="shared" si="1503"/>
        <v>0</v>
      </c>
      <c r="BK1660">
        <f t="shared" si="1511"/>
        <v>1064</v>
      </c>
      <c r="BL1660">
        <f t="shared" si="1512"/>
        <v>1064</v>
      </c>
      <c r="BM1660" s="15">
        <f>SUMIFS(BJ$2:BJ1660,K$2:K1660,"=Intermission")+SUMIFS(BJ$2:BJ1660,K$2:K1660,"=Timeout")</f>
        <v>142</v>
      </c>
      <c r="BN1660">
        <f t="shared" si="1513"/>
        <v>2302</v>
      </c>
      <c r="BO1660" s="19">
        <f t="shared" si="1514"/>
        <v>2318</v>
      </c>
      <c r="BP1660">
        <f t="shared" si="1515"/>
        <v>2313</v>
      </c>
      <c r="BQ1660" s="17">
        <f t="shared" si="1516"/>
        <v>2318</v>
      </c>
      <c r="BR1660" t="str">
        <f t="shared" si="1517"/>
        <v>opp_team_player_1</v>
      </c>
      <c r="BS1660">
        <f>COUNTIFS(S$3:S1660,"="&amp;S1660,AI$3:AI1660,"="&amp;AI1660)</f>
        <v>1</v>
      </c>
      <c r="BT1660" t="str">
        <f>IFERROR(VLOOKUP(BB1660&amp;BU1660&amp;X1660,game_rosters!U:W,3,FALSE),"")</f>
        <v>P100198</v>
      </c>
      <c r="BU1660" t="str">
        <f t="shared" si="1518"/>
        <v>Velodrome</v>
      </c>
    </row>
    <row r="1661" spans="1:73" x14ac:dyDescent="0.2">
      <c r="A1661">
        <f t="shared" si="1504"/>
        <v>1</v>
      </c>
      <c r="J1661" s="44" t="str">
        <f t="shared" si="1519"/>
        <v/>
      </c>
      <c r="K1661" t="s">
        <v>13</v>
      </c>
      <c r="L1661" t="s">
        <v>756</v>
      </c>
      <c r="M1661" t="s">
        <v>756</v>
      </c>
      <c r="S1661">
        <v>877</v>
      </c>
      <c r="W1661" t="str">
        <f t="shared" si="1495"/>
        <v>a</v>
      </c>
      <c r="X1661">
        <v>9</v>
      </c>
      <c r="Y1661" t="e">
        <f>IF(X1661&lt;&gt;"",VLOOKUP(X1661,game_rosters!$C$43:$E$64,3,FALSE))</f>
        <v>#N/A</v>
      </c>
      <c r="Z1661" cm="1">
        <f t="array" ref="Z1661">IFERROR(IF(_xlfn._xlws.FILTER(game_rosters!$J:$J,(game_rosters!$G:$G=events!$AN1661)*(game_rosters!$J:$J=events!$X1661))&gt;0,1,""),"")</f>
        <v>1</v>
      </c>
      <c r="AA1661">
        <f t="shared" si="1543"/>
        <v>1877</v>
      </c>
      <c r="AB1661" t="str">
        <f t="shared" si="1544"/>
        <v/>
      </c>
      <c r="AC1661">
        <f t="shared" si="1492"/>
        <v>1877</v>
      </c>
      <c r="AD1661" s="6">
        <v>3</v>
      </c>
      <c r="AE1661" t="s">
        <v>732</v>
      </c>
      <c r="AF1661" t="s">
        <v>924</v>
      </c>
      <c r="AG1661" t="s">
        <v>732</v>
      </c>
      <c r="AH1661" t="s">
        <v>749</v>
      </c>
      <c r="AI1661" t="s">
        <v>367</v>
      </c>
      <c r="AJ1661" t="str">
        <f t="shared" ref="AJ1661:AK1661" si="1577">IF($J1661&lt;&gt;"",$J1661,IF($AC1661=$AC1660,AJ1660,""))</f>
        <v/>
      </c>
      <c r="AK1661" t="str">
        <f t="shared" si="1577"/>
        <v/>
      </c>
      <c r="AL1661" t="str">
        <f t="shared" si="1497"/>
        <v/>
      </c>
      <c r="AN1661" t="s">
        <v>862</v>
      </c>
      <c r="AO1661" t="str">
        <f t="shared" si="1498"/>
        <v>a</v>
      </c>
      <c r="AP1661" t="str">
        <f t="shared" si="1506"/>
        <v/>
      </c>
      <c r="AQ1661" t="str">
        <f t="shared" si="1507"/>
        <v/>
      </c>
      <c r="AR1661" t="str">
        <f t="shared" si="1508"/>
        <v>Away</v>
      </c>
      <c r="AS1661" t="str">
        <f t="shared" si="1509"/>
        <v>a</v>
      </c>
      <c r="AT1661" t="str">
        <f t="shared" si="1510"/>
        <v>Offensive</v>
      </c>
      <c r="BA1661" s="6">
        <f t="shared" si="1499"/>
        <v>384</v>
      </c>
      <c r="BB1661">
        <f t="shared" si="1500"/>
        <v>18981</v>
      </c>
      <c r="BC1661" t="str">
        <f t="shared" si="1501"/>
        <v>Nelson</v>
      </c>
      <c r="BD1661" t="str">
        <f t="shared" si="1502"/>
        <v>Velodrome</v>
      </c>
      <c r="BE1661" t="s">
        <v>13</v>
      </c>
      <c r="BF1661" t="s">
        <v>756</v>
      </c>
      <c r="BG1661" t="s">
        <v>756</v>
      </c>
      <c r="BI1661" cm="1">
        <f t="array" aca="1" ref="BI1661" ca="1">IFERROR(_xlfn._xlws.FILTER(shifts!A:A,(shifts!B:B=events!AD1661)*(shifts!AG:AG&gt;=events!BK1661)*(shifts!AH:AH&lt;=events!BL1661)),BI1660)</f>
        <v>75</v>
      </c>
      <c r="BJ1661" s="15">
        <f t="shared" si="1503"/>
        <v>2</v>
      </c>
      <c r="BK1661">
        <f t="shared" si="1511"/>
        <v>1061</v>
      </c>
      <c r="BL1661">
        <f t="shared" si="1512"/>
        <v>1059</v>
      </c>
      <c r="BM1661" s="15">
        <f>SUMIFS(BJ$2:BJ1661,K$2:K1661,"=Intermission")+SUMIFS(BJ$2:BJ1661,K$2:K1661,"=Timeout")</f>
        <v>142</v>
      </c>
      <c r="BN1661">
        <f t="shared" si="1513"/>
        <v>2302</v>
      </c>
      <c r="BO1661" s="19">
        <f t="shared" si="1514"/>
        <v>2321</v>
      </c>
      <c r="BP1661">
        <f t="shared" si="1515"/>
        <v>2316</v>
      </c>
      <c r="BQ1661" s="17">
        <f t="shared" si="1516"/>
        <v>2323</v>
      </c>
      <c r="BR1661" t="str">
        <f t="shared" si="1517"/>
        <v>event_team_player_2</v>
      </c>
      <c r="BS1661">
        <f>COUNTIFS(S$3:S1661,"="&amp;S1661,AI$3:AI1661,"="&amp;AI1661)</f>
        <v>2</v>
      </c>
      <c r="BT1661" t="str">
        <f>IFERROR(VLOOKUP(BB1661&amp;BU1661&amp;X1661,game_rosters!U:W,3,FALSE),"")</f>
        <v>P100105</v>
      </c>
      <c r="BU1661" t="str">
        <f t="shared" si="1518"/>
        <v>Velodrome</v>
      </c>
    </row>
    <row r="1662" spans="1:73" x14ac:dyDescent="0.2">
      <c r="A1662">
        <f t="shared" si="1504"/>
        <v>1</v>
      </c>
      <c r="J1662" s="44" t="str">
        <f t="shared" si="1519"/>
        <v/>
      </c>
      <c r="K1662" t="s">
        <v>9</v>
      </c>
      <c r="L1662" t="s">
        <v>173</v>
      </c>
      <c r="M1662" t="s">
        <v>365</v>
      </c>
      <c r="S1662">
        <v>878</v>
      </c>
      <c r="W1662" t="str">
        <f t="shared" si="1495"/>
        <v>a</v>
      </c>
      <c r="X1662">
        <v>9</v>
      </c>
      <c r="Y1662" t="e">
        <f>IF(X1662&lt;&gt;"",VLOOKUP(X1662,game_rosters!$C$43:$E$64,3,FALSE))</f>
        <v>#N/A</v>
      </c>
      <c r="Z1662" cm="1">
        <f t="array" ref="Z1662">IFERROR(IF(_xlfn._xlws.FILTER(game_rosters!$J:$J,(game_rosters!$G:$G=events!$AN1662)*(game_rosters!$J:$J=events!$X1662))&gt;0,1,""),"")</f>
        <v>1</v>
      </c>
      <c r="AA1662">
        <f t="shared" si="1543"/>
        <v>1878</v>
      </c>
      <c r="AB1662" t="str">
        <f t="shared" si="1544"/>
        <v/>
      </c>
      <c r="AC1662">
        <f t="shared" si="1492"/>
        <v>1878</v>
      </c>
      <c r="AD1662" s="6">
        <v>3</v>
      </c>
      <c r="AE1662" t="s">
        <v>732</v>
      </c>
      <c r="AF1662" t="s">
        <v>749</v>
      </c>
      <c r="AG1662" t="s">
        <v>756</v>
      </c>
      <c r="AH1662" t="s">
        <v>756</v>
      </c>
      <c r="AI1662" t="s">
        <v>367</v>
      </c>
      <c r="AJ1662" t="str">
        <f t="shared" ref="AJ1662:AK1662" si="1578">IF($J1662&lt;&gt;"",$J1662,IF($AC1662=$AC1661,AJ1661,""))</f>
        <v/>
      </c>
      <c r="AK1662" t="str">
        <f t="shared" si="1578"/>
        <v/>
      </c>
      <c r="AL1662" t="str">
        <f t="shared" si="1497"/>
        <v/>
      </c>
      <c r="AN1662" t="s">
        <v>862</v>
      </c>
      <c r="AO1662" t="str">
        <f t="shared" si="1498"/>
        <v>a</v>
      </c>
      <c r="AP1662" t="str">
        <f t="shared" si="1506"/>
        <v/>
      </c>
      <c r="AQ1662" t="str">
        <f t="shared" si="1507"/>
        <v/>
      </c>
      <c r="AR1662" t="str">
        <f t="shared" si="1508"/>
        <v>Away</v>
      </c>
      <c r="AS1662" t="str">
        <f t="shared" si="1509"/>
        <v>a</v>
      </c>
      <c r="AT1662" t="str">
        <f t="shared" si="1510"/>
        <v>Offensive</v>
      </c>
      <c r="BA1662" s="6">
        <f t="shared" si="1499"/>
        <v>384</v>
      </c>
      <c r="BB1662">
        <f t="shared" si="1500"/>
        <v>18981</v>
      </c>
      <c r="BC1662" t="str">
        <f t="shared" si="1501"/>
        <v>Nelson</v>
      </c>
      <c r="BD1662" t="str">
        <f t="shared" si="1502"/>
        <v>Velodrome</v>
      </c>
      <c r="BE1662" t="s">
        <v>9</v>
      </c>
      <c r="BF1662" t="s">
        <v>173</v>
      </c>
      <c r="BG1662" t="s">
        <v>365</v>
      </c>
      <c r="BI1662" cm="1">
        <f t="array" aca="1" ref="BI1662" ca="1">IFERROR(_xlfn._xlws.FILTER(shifts!A:A,(shifts!B:B=events!AD1662)*(shifts!AG:AG&gt;=events!BK1662)*(shifts!AH:AH&lt;=events!BL1662)),BI1661)</f>
        <v>75</v>
      </c>
      <c r="BJ1662" s="15">
        <f t="shared" si="1503"/>
        <v>0</v>
      </c>
      <c r="BK1662">
        <f t="shared" si="1511"/>
        <v>1059</v>
      </c>
      <c r="BL1662">
        <f t="shared" si="1512"/>
        <v>1059</v>
      </c>
      <c r="BM1662" s="15">
        <f>SUMIFS(BJ$2:BJ1662,K$2:K1662,"=Intermission")+SUMIFS(BJ$2:BJ1662,K$2:K1662,"=Timeout")</f>
        <v>142</v>
      </c>
      <c r="BN1662">
        <f t="shared" si="1513"/>
        <v>2302</v>
      </c>
      <c r="BO1662" s="19">
        <f t="shared" si="1514"/>
        <v>2323</v>
      </c>
      <c r="BP1662">
        <f t="shared" si="1515"/>
        <v>2318</v>
      </c>
      <c r="BQ1662" s="17">
        <f t="shared" si="1516"/>
        <v>2323</v>
      </c>
      <c r="BR1662" t="str">
        <f t="shared" si="1517"/>
        <v>event_team_player_2</v>
      </c>
      <c r="BS1662">
        <f>COUNTIFS(S$3:S1662,"="&amp;S1662,AI$3:AI1662,"="&amp;AI1662)</f>
        <v>2</v>
      </c>
      <c r="BT1662" t="str">
        <f>IFERROR(VLOOKUP(BB1662&amp;BU1662&amp;X1662,game_rosters!U:W,3,FALSE),"")</f>
        <v>P100105</v>
      </c>
      <c r="BU1662" t="str">
        <f t="shared" si="1518"/>
        <v>Velodrome</v>
      </c>
    </row>
    <row r="1663" spans="1:73" x14ac:dyDescent="0.2">
      <c r="A1663">
        <f t="shared" si="1504"/>
        <v>1</v>
      </c>
      <c r="J1663" s="44" t="str">
        <f t="shared" si="1519"/>
        <v/>
      </c>
      <c r="K1663" t="s">
        <v>238</v>
      </c>
      <c r="L1663" t="s">
        <v>193</v>
      </c>
      <c r="M1663" t="s">
        <v>91</v>
      </c>
      <c r="S1663">
        <v>879</v>
      </c>
      <c r="W1663" t="str">
        <f t="shared" si="1495"/>
        <v>h</v>
      </c>
      <c r="X1663">
        <v>80</v>
      </c>
      <c r="Y1663" t="b">
        <f>IF(X1663&lt;&gt;"",VLOOKUP(X1663,game_rosters!$C$43:$E$64,3,FALSE))</f>
        <v>0</v>
      </c>
      <c r="Z1663" cm="1">
        <f t="array" ref="Z1663">IFERROR(IF(_xlfn._xlws.FILTER(game_rosters!$J:$J,(game_rosters!$G:$G=events!$AN1663)*(game_rosters!$J:$J=events!$X1663))&gt;0,1,""),"")</f>
        <v>1</v>
      </c>
      <c r="AA1663">
        <f t="shared" si="1543"/>
        <v>1879</v>
      </c>
      <c r="AB1663" t="str">
        <f t="shared" si="1544"/>
        <v/>
      </c>
      <c r="AC1663">
        <f t="shared" si="1492"/>
        <v>1879</v>
      </c>
      <c r="AD1663" s="6">
        <v>3</v>
      </c>
      <c r="AE1663" t="s">
        <v>732</v>
      </c>
      <c r="AF1663" t="s">
        <v>749</v>
      </c>
      <c r="AG1663" t="s">
        <v>756</v>
      </c>
      <c r="AH1663" t="s">
        <v>756</v>
      </c>
      <c r="AI1663" t="s">
        <v>367</v>
      </c>
      <c r="AJ1663" t="str">
        <f t="shared" ref="AJ1663:AK1663" si="1579">IF($J1663&lt;&gt;"",$J1663,IF($AC1663=$AC1662,AJ1662,""))</f>
        <v/>
      </c>
      <c r="AK1663" t="str">
        <f t="shared" si="1579"/>
        <v/>
      </c>
      <c r="AL1663" t="str">
        <f t="shared" si="1497"/>
        <v/>
      </c>
      <c r="AN1663" t="s">
        <v>861</v>
      </c>
      <c r="AO1663" t="str">
        <f t="shared" si="1498"/>
        <v>h</v>
      </c>
      <c r="AP1663" t="str">
        <f t="shared" si="1506"/>
        <v/>
      </c>
      <c r="AQ1663" t="str">
        <f t="shared" si="1507"/>
        <v/>
      </c>
      <c r="AR1663" t="str">
        <f t="shared" si="1508"/>
        <v>Home</v>
      </c>
      <c r="AS1663" t="str">
        <f t="shared" si="1509"/>
        <v>h</v>
      </c>
      <c r="AT1663" t="str">
        <f t="shared" si="1510"/>
        <v>Offensive</v>
      </c>
      <c r="BA1663" s="6">
        <f t="shared" si="1499"/>
        <v>384</v>
      </c>
      <c r="BB1663">
        <f t="shared" si="1500"/>
        <v>18981</v>
      </c>
      <c r="BC1663" t="str">
        <f t="shared" si="1501"/>
        <v>Nelson</v>
      </c>
      <c r="BD1663" t="str">
        <f t="shared" si="1502"/>
        <v>Velodrome</v>
      </c>
      <c r="BE1663" t="s">
        <v>238</v>
      </c>
      <c r="BF1663" t="s">
        <v>193</v>
      </c>
      <c r="BG1663" t="s">
        <v>91</v>
      </c>
      <c r="BI1663" cm="1">
        <f t="array" aca="1" ref="BI1663" ca="1">IFERROR(_xlfn._xlws.FILTER(shifts!A:A,(shifts!B:B=events!AD1663)*(shifts!AG:AG&gt;=events!BK1663)*(shifts!AH:AH&lt;=events!BL1663)),BI1662)</f>
        <v>75</v>
      </c>
      <c r="BJ1663" s="15">
        <f t="shared" si="1503"/>
        <v>0</v>
      </c>
      <c r="BK1663">
        <f t="shared" si="1511"/>
        <v>1059</v>
      </c>
      <c r="BL1663">
        <f t="shared" si="1512"/>
        <v>1059</v>
      </c>
      <c r="BM1663" s="15">
        <f>SUMIFS(BJ$2:BJ1663,K$2:K1663,"=Intermission")+SUMIFS(BJ$2:BJ1663,K$2:K1663,"=Timeout")</f>
        <v>142</v>
      </c>
      <c r="BN1663">
        <f t="shared" si="1513"/>
        <v>2302</v>
      </c>
      <c r="BO1663" s="19">
        <f t="shared" si="1514"/>
        <v>2323</v>
      </c>
      <c r="BP1663">
        <f t="shared" si="1515"/>
        <v>2318</v>
      </c>
      <c r="BQ1663" s="17">
        <f t="shared" si="1516"/>
        <v>2323</v>
      </c>
      <c r="BR1663" t="str">
        <f t="shared" si="1517"/>
        <v>event_team_player_2</v>
      </c>
      <c r="BS1663">
        <f>COUNTIFS(S$3:S1663,"="&amp;S1663,AI$3:AI1663,"="&amp;AI1663)</f>
        <v>2</v>
      </c>
      <c r="BT1663" t="str">
        <f>IFERROR(VLOOKUP(BB1663&amp;BU1663&amp;X1663,game_rosters!U:W,3,FALSE),"")</f>
        <v>P100197</v>
      </c>
      <c r="BU1663" t="str">
        <f t="shared" si="1518"/>
        <v>Nelson</v>
      </c>
    </row>
    <row r="1664" spans="1:73" x14ac:dyDescent="0.2">
      <c r="A1664">
        <f t="shared" si="1504"/>
        <v>1</v>
      </c>
      <c r="J1664" s="44" t="str">
        <f t="shared" si="1519"/>
        <v/>
      </c>
      <c r="K1664" t="s">
        <v>13</v>
      </c>
      <c r="L1664" t="s">
        <v>756</v>
      </c>
      <c r="M1664" t="s">
        <v>756</v>
      </c>
      <c r="S1664">
        <v>880</v>
      </c>
      <c r="W1664" t="str">
        <f t="shared" si="1495"/>
        <v>h</v>
      </c>
      <c r="X1664">
        <v>80</v>
      </c>
      <c r="Y1664" t="b">
        <f>IF(X1664&lt;&gt;"",VLOOKUP(X1664,game_rosters!$C$43:$E$64,3,FALSE))</f>
        <v>0</v>
      </c>
      <c r="Z1664" cm="1">
        <f t="array" ref="Z1664">IFERROR(IF(_xlfn._xlws.FILTER(game_rosters!$J:$J,(game_rosters!$G:$G=events!$AN1664)*(game_rosters!$J:$J=events!$X1664))&gt;0,1,""),"")</f>
        <v>1</v>
      </c>
      <c r="AA1664">
        <f t="shared" si="1543"/>
        <v>1880</v>
      </c>
      <c r="AB1664" t="str">
        <f t="shared" si="1544"/>
        <v/>
      </c>
      <c r="AC1664">
        <f t="shared" si="1492"/>
        <v>1880</v>
      </c>
      <c r="AD1664" s="6">
        <v>3</v>
      </c>
      <c r="AE1664" t="s">
        <v>732</v>
      </c>
      <c r="AF1664" t="s">
        <v>749</v>
      </c>
      <c r="AG1664" t="s">
        <v>732</v>
      </c>
      <c r="AH1664" t="s">
        <v>928</v>
      </c>
      <c r="AI1664" t="s">
        <v>367</v>
      </c>
      <c r="AJ1664" t="str">
        <f t="shared" ref="AJ1664:AK1664" si="1580">IF($J1664&lt;&gt;"",$J1664,IF($AC1664=$AC1663,AJ1663,""))</f>
        <v/>
      </c>
      <c r="AK1664" t="str">
        <f t="shared" si="1580"/>
        <v/>
      </c>
      <c r="AL1664" t="str">
        <f t="shared" si="1497"/>
        <v/>
      </c>
      <c r="AN1664" t="s">
        <v>861</v>
      </c>
      <c r="AO1664" t="str">
        <f t="shared" si="1498"/>
        <v>h</v>
      </c>
      <c r="AP1664" t="str">
        <f t="shared" si="1506"/>
        <v/>
      </c>
      <c r="AQ1664" t="str">
        <f t="shared" si="1507"/>
        <v/>
      </c>
      <c r="AR1664" t="str">
        <f t="shared" si="1508"/>
        <v>Home</v>
      </c>
      <c r="AS1664" t="str">
        <f t="shared" si="1509"/>
        <v>h</v>
      </c>
      <c r="AT1664" t="str">
        <f t="shared" si="1510"/>
        <v>Offensive</v>
      </c>
      <c r="BA1664" s="6">
        <f t="shared" si="1499"/>
        <v>384</v>
      </c>
      <c r="BB1664">
        <f t="shared" si="1500"/>
        <v>18981</v>
      </c>
      <c r="BC1664" t="str">
        <f t="shared" si="1501"/>
        <v>Nelson</v>
      </c>
      <c r="BD1664" t="str">
        <f t="shared" si="1502"/>
        <v>Velodrome</v>
      </c>
      <c r="BE1664" t="s">
        <v>13</v>
      </c>
      <c r="BF1664" t="s">
        <v>756</v>
      </c>
      <c r="BG1664" t="s">
        <v>756</v>
      </c>
      <c r="BI1664" cm="1">
        <f t="array" aca="1" ref="BI1664" ca="1">IFERROR(_xlfn._xlws.FILTER(shifts!A:A,(shifts!B:B=events!AD1664)*(shifts!AG:AG&gt;=events!BK1664)*(shifts!AH:AH&lt;=events!BL1664)),BI1663)</f>
        <v>75</v>
      </c>
      <c r="BJ1664" s="15">
        <f t="shared" si="1503"/>
        <v>2</v>
      </c>
      <c r="BK1664">
        <f t="shared" si="1511"/>
        <v>1059</v>
      </c>
      <c r="BL1664">
        <f t="shared" si="1512"/>
        <v>1057</v>
      </c>
      <c r="BM1664" s="15">
        <f>SUMIFS(BJ$2:BJ1664,K$2:K1664,"=Intermission")+SUMIFS(BJ$2:BJ1664,K$2:K1664,"=Timeout")</f>
        <v>142</v>
      </c>
      <c r="BN1664">
        <f t="shared" si="1513"/>
        <v>2302</v>
      </c>
      <c r="BO1664" s="19">
        <f t="shared" si="1514"/>
        <v>2323</v>
      </c>
      <c r="BP1664">
        <f t="shared" si="1515"/>
        <v>2318</v>
      </c>
      <c r="BQ1664" s="17">
        <f t="shared" si="1516"/>
        <v>2325</v>
      </c>
      <c r="BR1664" t="str">
        <f t="shared" si="1517"/>
        <v>event_team_player_2</v>
      </c>
      <c r="BS1664">
        <f>COUNTIFS(S$3:S1664,"="&amp;S1664,AI$3:AI1664,"="&amp;AI1664)</f>
        <v>2</v>
      </c>
      <c r="BT1664" t="str">
        <f>IFERROR(VLOOKUP(BB1664&amp;BU1664&amp;X1664,game_rosters!U:W,3,FALSE),"")</f>
        <v>P100197</v>
      </c>
      <c r="BU1664" t="str">
        <f t="shared" si="1518"/>
        <v>Nelson</v>
      </c>
    </row>
    <row r="1665" spans="1:73" x14ac:dyDescent="0.2">
      <c r="A1665">
        <f t="shared" si="1504"/>
        <v>1</v>
      </c>
      <c r="J1665" s="44" t="str">
        <f t="shared" si="1519"/>
        <v/>
      </c>
      <c r="K1665" t="s">
        <v>13</v>
      </c>
      <c r="L1665" t="s">
        <v>756</v>
      </c>
      <c r="M1665" t="s">
        <v>756</v>
      </c>
      <c r="S1665">
        <v>880</v>
      </c>
      <c r="W1665" t="str">
        <f t="shared" si="1495"/>
        <v>h</v>
      </c>
      <c r="X1665">
        <v>70</v>
      </c>
      <c r="Y1665" t="e">
        <f>IF(X1665&lt;&gt;"",VLOOKUP(X1665,game_rosters!$C$43:$E$64,3,FALSE))</f>
        <v>#N/A</v>
      </c>
      <c r="Z1665" t="str" cm="1">
        <f t="array" ref="Z1665">IFERROR(IF(_xlfn._xlws.FILTER(game_rosters!$J:$J,(game_rosters!$G:$G=events!$AN1665)*(game_rosters!$J:$J=events!$X1665))&gt;0,1,""),"")</f>
        <v/>
      </c>
      <c r="AA1665">
        <f t="shared" si="1543"/>
        <v>1880</v>
      </c>
      <c r="AB1665" t="str">
        <f t="shared" si="1544"/>
        <v/>
      </c>
      <c r="AC1665">
        <f t="shared" si="1492"/>
        <v>1880</v>
      </c>
      <c r="AD1665" s="6">
        <v>3</v>
      </c>
      <c r="AE1665" t="s">
        <v>732</v>
      </c>
      <c r="AF1665" t="s">
        <v>749</v>
      </c>
      <c r="AG1665" t="s">
        <v>732</v>
      </c>
      <c r="AH1665" t="s">
        <v>928</v>
      </c>
      <c r="AI1665" t="s">
        <v>368</v>
      </c>
      <c r="AJ1665" t="str">
        <f t="shared" ref="AJ1665:AK1665" si="1581">IF($J1665&lt;&gt;"",$J1665,IF($AC1665=$AC1664,AJ1664,""))</f>
        <v/>
      </c>
      <c r="AK1665" t="str">
        <f t="shared" si="1581"/>
        <v/>
      </c>
      <c r="AL1665" t="str">
        <f t="shared" si="1497"/>
        <v/>
      </c>
      <c r="AN1665" t="s">
        <v>861</v>
      </c>
      <c r="AO1665" t="str">
        <f t="shared" si="1498"/>
        <v>h</v>
      </c>
      <c r="AP1665" t="str">
        <f t="shared" si="1506"/>
        <v/>
      </c>
      <c r="AQ1665" t="str">
        <f t="shared" si="1507"/>
        <v/>
      </c>
      <c r="AR1665" t="str">
        <f t="shared" si="1508"/>
        <v>Home</v>
      </c>
      <c r="AS1665" t="str">
        <f t="shared" si="1509"/>
        <v>h</v>
      </c>
      <c r="AT1665" t="str">
        <f t="shared" si="1510"/>
        <v>Defensive</v>
      </c>
      <c r="BA1665" s="6">
        <f t="shared" si="1499"/>
        <v>384</v>
      </c>
      <c r="BB1665">
        <f t="shared" si="1500"/>
        <v>18981</v>
      </c>
      <c r="BC1665" t="str">
        <f t="shared" si="1501"/>
        <v>Nelson</v>
      </c>
      <c r="BD1665" t="str">
        <f t="shared" si="1502"/>
        <v>Velodrome</v>
      </c>
      <c r="BE1665" t="s">
        <v>13</v>
      </c>
      <c r="BF1665" t="s">
        <v>756</v>
      </c>
      <c r="BG1665" t="s">
        <v>756</v>
      </c>
      <c r="BI1665" cm="1">
        <f t="array" aca="1" ref="BI1665" ca="1">IFERROR(_xlfn._xlws.FILTER(shifts!A:A,(shifts!B:B=events!AD1665)*(shifts!AG:AG&gt;=events!BK1665)*(shifts!AH:AH&lt;=events!BL1665)),BI1664)</f>
        <v>75</v>
      </c>
      <c r="BJ1665" s="15">
        <f t="shared" si="1503"/>
        <v>2</v>
      </c>
      <c r="BK1665">
        <f t="shared" si="1511"/>
        <v>1059</v>
      </c>
      <c r="BL1665">
        <f t="shared" si="1512"/>
        <v>1057</v>
      </c>
      <c r="BM1665" s="15">
        <f>SUMIFS(BJ$2:BJ1665,K$2:K1665,"=Intermission")+SUMIFS(BJ$2:BJ1665,K$2:K1665,"=Timeout")</f>
        <v>142</v>
      </c>
      <c r="BN1665">
        <f t="shared" si="1513"/>
        <v>2302</v>
      </c>
      <c r="BO1665" s="19">
        <f t="shared" si="1514"/>
        <v>2323</v>
      </c>
      <c r="BP1665">
        <f t="shared" si="1515"/>
        <v>2318</v>
      </c>
      <c r="BQ1665" s="17">
        <f t="shared" si="1516"/>
        <v>2325</v>
      </c>
      <c r="BR1665" t="str">
        <f t="shared" si="1517"/>
        <v>opp_team_player_1</v>
      </c>
      <c r="BS1665">
        <f>COUNTIFS(S$3:S1665,"="&amp;S1665,AI$3:AI1665,"="&amp;AI1665)</f>
        <v>1</v>
      </c>
      <c r="BT1665" t="str">
        <f>IFERROR(VLOOKUP(BB1665&amp;BU1665&amp;X1665,game_rosters!U:W,3,FALSE),"")</f>
        <v>P100001</v>
      </c>
      <c r="BU1665" t="str">
        <f t="shared" si="1518"/>
        <v>Velodrome</v>
      </c>
    </row>
    <row r="1666" spans="1:73" x14ac:dyDescent="0.2">
      <c r="A1666">
        <f t="shared" si="1504"/>
        <v>1</v>
      </c>
      <c r="J1666" s="44" t="str">
        <f t="shared" si="1519"/>
        <v>o</v>
      </c>
      <c r="K1666" t="s">
        <v>6</v>
      </c>
      <c r="L1666" t="s">
        <v>181</v>
      </c>
      <c r="M1666" t="s">
        <v>51</v>
      </c>
      <c r="S1666">
        <v>881</v>
      </c>
      <c r="W1666" t="str">
        <f t="shared" si="1495"/>
        <v>h</v>
      </c>
      <c r="X1666">
        <v>80</v>
      </c>
      <c r="Y1666" t="b">
        <f>IF(X1666&lt;&gt;"",VLOOKUP(X1666,game_rosters!$C$43:$E$64,3,FALSE))</f>
        <v>0</v>
      </c>
      <c r="Z1666" cm="1">
        <f t="array" ref="Z1666">IFERROR(IF(_xlfn._xlws.FILTER(game_rosters!$J:$J,(game_rosters!$G:$G=events!$AN1666)*(game_rosters!$J:$J=events!$X1666))&gt;0,1,""),"")</f>
        <v>1</v>
      </c>
      <c r="AA1666">
        <f t="shared" si="1543"/>
        <v>1881</v>
      </c>
      <c r="AB1666" t="str">
        <f t="shared" si="1544"/>
        <v/>
      </c>
      <c r="AC1666">
        <f t="shared" ref="AC1666:AC1729" si="1582">IF(AB1666&lt;&gt;"",AB1666,S1666+1000)</f>
        <v>1881</v>
      </c>
      <c r="AD1666" s="6">
        <v>3</v>
      </c>
      <c r="AE1666" t="s">
        <v>732</v>
      </c>
      <c r="AF1666" t="s">
        <v>928</v>
      </c>
      <c r="AG1666" t="s">
        <v>756</v>
      </c>
      <c r="AH1666" t="s">
        <v>756</v>
      </c>
      <c r="AI1666" t="s">
        <v>367</v>
      </c>
      <c r="AJ1666" t="str">
        <f t="shared" ref="AJ1666:AK1666" si="1583">IF($J1666&lt;&gt;"",$J1666,IF($AC1666=$AC1665,AJ1665,""))</f>
        <v>o</v>
      </c>
      <c r="AK1666" t="str">
        <f t="shared" si="1583"/>
        <v>o</v>
      </c>
      <c r="AL1666" t="str">
        <f t="shared" si="1497"/>
        <v>o</v>
      </c>
      <c r="AN1666" t="s">
        <v>861</v>
      </c>
      <c r="AO1666" t="str">
        <f t="shared" si="1498"/>
        <v>h</v>
      </c>
      <c r="AP1666" t="str">
        <f t="shared" si="1506"/>
        <v>o</v>
      </c>
      <c r="AQ1666" t="str">
        <f t="shared" si="1507"/>
        <v/>
      </c>
      <c r="AR1666" t="str">
        <f t="shared" si="1508"/>
        <v>Home</v>
      </c>
      <c r="AS1666" t="str">
        <f t="shared" si="1509"/>
        <v>h</v>
      </c>
      <c r="AT1666" t="str">
        <f t="shared" si="1510"/>
        <v>Offensive</v>
      </c>
      <c r="BA1666" s="6">
        <f t="shared" si="1499"/>
        <v>384</v>
      </c>
      <c r="BB1666">
        <f t="shared" si="1500"/>
        <v>18981</v>
      </c>
      <c r="BC1666" t="str">
        <f t="shared" si="1501"/>
        <v>Nelson</v>
      </c>
      <c r="BD1666" t="str">
        <f t="shared" si="1502"/>
        <v>Velodrome</v>
      </c>
      <c r="BE1666" t="s">
        <v>6</v>
      </c>
      <c r="BF1666" t="s">
        <v>181</v>
      </c>
      <c r="BG1666" t="s">
        <v>51</v>
      </c>
      <c r="BI1666" cm="1">
        <f t="array" aca="1" ref="BI1666" ca="1">IFERROR(_xlfn._xlws.FILTER(shifts!A:A,(shifts!B:B=events!AD1666)*(shifts!AG:AG&gt;=events!BK1666)*(shifts!AH:AH&lt;=events!BL1666)),BI1665)</f>
        <v>75</v>
      </c>
      <c r="BJ1666" s="15">
        <f t="shared" si="1503"/>
        <v>0</v>
      </c>
      <c r="BK1666">
        <f t="shared" si="1511"/>
        <v>1057</v>
      </c>
      <c r="BL1666">
        <f t="shared" si="1512"/>
        <v>1057</v>
      </c>
      <c r="BM1666" s="15">
        <f>SUMIFS(BJ$2:BJ1666,K$2:K1666,"=Intermission")+SUMIFS(BJ$2:BJ1666,K$2:K1666,"=Timeout")</f>
        <v>142</v>
      </c>
      <c r="BN1666">
        <f t="shared" si="1513"/>
        <v>2302</v>
      </c>
      <c r="BO1666" s="19">
        <f t="shared" si="1514"/>
        <v>2325</v>
      </c>
      <c r="BP1666">
        <f t="shared" si="1515"/>
        <v>2320</v>
      </c>
      <c r="BQ1666" s="17">
        <f t="shared" si="1516"/>
        <v>2325</v>
      </c>
      <c r="BR1666" t="str">
        <f t="shared" si="1517"/>
        <v>event_team_player_2</v>
      </c>
      <c r="BS1666">
        <f>COUNTIFS(S$3:S1666,"="&amp;S1666,AI$3:AI1666,"="&amp;AI1666)</f>
        <v>2</v>
      </c>
      <c r="BT1666" t="str">
        <f>IFERROR(VLOOKUP(BB1666&amp;BU1666&amp;X1666,game_rosters!U:W,3,FALSE),"")</f>
        <v>P100197</v>
      </c>
      <c r="BU1666" t="str">
        <f t="shared" si="1518"/>
        <v>Nelson</v>
      </c>
    </row>
    <row r="1667" spans="1:73" x14ac:dyDescent="0.2">
      <c r="A1667">
        <f t="shared" si="1504"/>
        <v>1</v>
      </c>
      <c r="J1667" s="44" t="str">
        <f t="shared" si="1519"/>
        <v>o</v>
      </c>
      <c r="K1667" t="s">
        <v>6</v>
      </c>
      <c r="L1667" t="s">
        <v>181</v>
      </c>
      <c r="M1667" t="s">
        <v>51</v>
      </c>
      <c r="S1667">
        <v>881</v>
      </c>
      <c r="W1667" t="str">
        <f t="shared" si="1495"/>
        <v>h</v>
      </c>
      <c r="X1667">
        <v>79</v>
      </c>
      <c r="Y1667" t="b">
        <f>IF(X1667&lt;&gt;"",VLOOKUP(X1667,game_rosters!$C$43:$E$64,3,FALSE))</f>
        <v>0</v>
      </c>
      <c r="Z1667" cm="1">
        <f t="array" ref="Z1667">IFERROR(IF(_xlfn._xlws.FILTER(game_rosters!$J:$J,(game_rosters!$G:$G=events!$AN1667)*(game_rosters!$J:$J=events!$X1667))&gt;0,1,""),"")</f>
        <v>1</v>
      </c>
      <c r="AA1667">
        <f t="shared" si="1543"/>
        <v>1881</v>
      </c>
      <c r="AB1667" t="str">
        <f t="shared" si="1544"/>
        <v/>
      </c>
      <c r="AC1667">
        <f t="shared" si="1582"/>
        <v>1881</v>
      </c>
      <c r="AD1667" s="6">
        <v>3</v>
      </c>
      <c r="AE1667" t="s">
        <v>732</v>
      </c>
      <c r="AF1667" t="s">
        <v>928</v>
      </c>
      <c r="AG1667" t="s">
        <v>756</v>
      </c>
      <c r="AH1667" t="s">
        <v>756</v>
      </c>
      <c r="AI1667" t="s">
        <v>367</v>
      </c>
      <c r="AJ1667" t="str">
        <f t="shared" ref="AJ1667:AK1667" si="1584">IF($J1667&lt;&gt;"",$J1667,IF($AC1667=$AC1666,AJ1666,""))</f>
        <v>o</v>
      </c>
      <c r="AK1667" t="str">
        <f t="shared" si="1584"/>
        <v>o</v>
      </c>
      <c r="AL1667" t="str">
        <f t="shared" si="1497"/>
        <v>o</v>
      </c>
      <c r="AN1667" t="s">
        <v>861</v>
      </c>
      <c r="AO1667" t="str">
        <f t="shared" si="1498"/>
        <v>h</v>
      </c>
      <c r="AP1667" t="str">
        <f t="shared" si="1506"/>
        <v>o</v>
      </c>
      <c r="AQ1667" t="str">
        <f t="shared" si="1507"/>
        <v/>
      </c>
      <c r="AR1667" t="str">
        <f t="shared" si="1508"/>
        <v>Home</v>
      </c>
      <c r="AS1667" t="str">
        <f t="shared" si="1509"/>
        <v>h</v>
      </c>
      <c r="AT1667" t="str">
        <f t="shared" si="1510"/>
        <v>Offensive</v>
      </c>
      <c r="BA1667" s="6">
        <f t="shared" si="1499"/>
        <v>384</v>
      </c>
      <c r="BB1667">
        <f t="shared" si="1500"/>
        <v>18981</v>
      </c>
      <c r="BC1667" t="str">
        <f t="shared" si="1501"/>
        <v>Nelson</v>
      </c>
      <c r="BD1667" t="str">
        <f t="shared" si="1502"/>
        <v>Velodrome</v>
      </c>
      <c r="BE1667" t="s">
        <v>6</v>
      </c>
      <c r="BF1667" t="s">
        <v>181</v>
      </c>
      <c r="BG1667" t="s">
        <v>51</v>
      </c>
      <c r="BI1667" cm="1">
        <f t="array" aca="1" ref="BI1667" ca="1">IFERROR(_xlfn._xlws.FILTER(shifts!A:A,(shifts!B:B=events!AD1667)*(shifts!AG:AG&gt;=events!BK1667)*(shifts!AH:AH&lt;=events!BL1667)),BI1666)</f>
        <v>75</v>
      </c>
      <c r="BJ1667" s="15">
        <f t="shared" si="1503"/>
        <v>0</v>
      </c>
      <c r="BK1667">
        <f t="shared" si="1511"/>
        <v>1057</v>
      </c>
      <c r="BL1667">
        <f t="shared" si="1512"/>
        <v>1057</v>
      </c>
      <c r="BM1667" s="15">
        <f>SUMIFS(BJ$2:BJ1667,K$2:K1667,"=Intermission")+SUMIFS(BJ$2:BJ1667,K$2:K1667,"=Timeout")</f>
        <v>142</v>
      </c>
      <c r="BN1667">
        <f t="shared" si="1513"/>
        <v>2302</v>
      </c>
      <c r="BO1667" s="19">
        <f t="shared" si="1514"/>
        <v>2325</v>
      </c>
      <c r="BP1667">
        <f t="shared" si="1515"/>
        <v>2320</v>
      </c>
      <c r="BQ1667" s="17">
        <f t="shared" si="1516"/>
        <v>2325</v>
      </c>
      <c r="BR1667" t="str">
        <f t="shared" si="1517"/>
        <v>event_team_player_3</v>
      </c>
      <c r="BS1667">
        <f>COUNTIFS(S$3:S1667,"="&amp;S1667,AI$3:AI1667,"="&amp;AI1667)</f>
        <v>3</v>
      </c>
      <c r="BT1667" t="str">
        <f>IFERROR(VLOOKUP(BB1667&amp;BU1667&amp;X1667,game_rosters!U:W,3,FALSE),"")</f>
        <v>P100066</v>
      </c>
      <c r="BU1667" t="str">
        <f t="shared" si="1518"/>
        <v>Nelson</v>
      </c>
    </row>
    <row r="1668" spans="1:73" x14ac:dyDescent="0.2">
      <c r="A1668">
        <f t="shared" si="1504"/>
        <v>1</v>
      </c>
      <c r="J1668" s="44" t="str">
        <f t="shared" si="1519"/>
        <v>o</v>
      </c>
      <c r="K1668" t="s">
        <v>6</v>
      </c>
      <c r="L1668" t="s">
        <v>181</v>
      </c>
      <c r="M1668" t="s">
        <v>51</v>
      </c>
      <c r="S1668">
        <v>881</v>
      </c>
      <c r="W1668" t="str">
        <f t="shared" ref="W1668:W1731" si="1585">IF(AN1668="Away","a",IF(AN1668="Home","h",""))</f>
        <v>h</v>
      </c>
      <c r="X1668">
        <v>70</v>
      </c>
      <c r="Y1668" t="e">
        <f>IF(X1668&lt;&gt;"",VLOOKUP(X1668,game_rosters!$C$43:$E$64,3,FALSE))</f>
        <v>#N/A</v>
      </c>
      <c r="Z1668" t="str" cm="1">
        <f t="array" ref="Z1668">IFERROR(IF(_xlfn._xlws.FILTER(game_rosters!$J:$J,(game_rosters!$G:$G=events!$AN1668)*(game_rosters!$J:$J=events!$X1668))&gt;0,1,""),"")</f>
        <v/>
      </c>
      <c r="AA1668">
        <f t="shared" si="1543"/>
        <v>1881</v>
      </c>
      <c r="AB1668" t="str">
        <f t="shared" si="1544"/>
        <v/>
      </c>
      <c r="AC1668">
        <f t="shared" si="1582"/>
        <v>1881</v>
      </c>
      <c r="AD1668" s="6">
        <v>3</v>
      </c>
      <c r="AE1668" t="s">
        <v>732</v>
      </c>
      <c r="AF1668" t="s">
        <v>928</v>
      </c>
      <c r="AG1668" t="s">
        <v>756</v>
      </c>
      <c r="AH1668" t="s">
        <v>756</v>
      </c>
      <c r="AI1668" t="s">
        <v>368</v>
      </c>
      <c r="AJ1668" t="str">
        <f t="shared" ref="AJ1668:AK1668" si="1586">IF($J1668&lt;&gt;"",$J1668,IF($AC1668=$AC1667,AJ1667,""))</f>
        <v>o</v>
      </c>
      <c r="AK1668" t="str">
        <f t="shared" si="1586"/>
        <v>o</v>
      </c>
      <c r="AL1668" t="str">
        <f t="shared" ref="AL1668:AL1731" si="1587">IF($W1668="","",IF($AJ1668="","",IF($W1668="h",$AJ1668,IF($AJ1668="n","n",IF(AND($W1668="a",$AJ1668="d"),"o",IF(AND($W1668="a",$AJ1668="o"),"d"))))))</f>
        <v>o</v>
      </c>
      <c r="AN1668" t="s">
        <v>861</v>
      </c>
      <c r="AO1668" t="str">
        <f t="shared" ref="AO1668:AO1731" si="1588">IF($W1668&lt;&gt;"",$W1668,IF($AC1668=$AC1667,AO1667,""))</f>
        <v>h</v>
      </c>
      <c r="AP1668" t="str">
        <f t="shared" si="1506"/>
        <v>o</v>
      </c>
      <c r="AQ1668" t="str">
        <f t="shared" si="1507"/>
        <v/>
      </c>
      <c r="AR1668" t="str">
        <f t="shared" si="1508"/>
        <v>Home</v>
      </c>
      <c r="AS1668" t="str">
        <f t="shared" si="1509"/>
        <v>h</v>
      </c>
      <c r="AT1668" t="str">
        <f t="shared" si="1510"/>
        <v>Defensive</v>
      </c>
      <c r="BA1668" s="6">
        <f t="shared" ref="BA1668:BA1731" si="1589">IF(OR(L1668="Zone_Entry",L1668="Zone_Exit"),BA1667+1,BA1667)</f>
        <v>384</v>
      </c>
      <c r="BB1668">
        <f t="shared" ref="BB1668:BB1731" si="1590">BB1667</f>
        <v>18981</v>
      </c>
      <c r="BC1668" t="str">
        <f t="shared" ref="BC1668:BC1731" si="1591">BC1667</f>
        <v>Nelson</v>
      </c>
      <c r="BD1668" t="str">
        <f t="shared" ref="BD1668:BD1731" si="1592">BD1667</f>
        <v>Velodrome</v>
      </c>
      <c r="BE1668" t="s">
        <v>6</v>
      </c>
      <c r="BF1668" t="s">
        <v>181</v>
      </c>
      <c r="BG1668" t="s">
        <v>51</v>
      </c>
      <c r="BI1668" cm="1">
        <f t="array" aca="1" ref="BI1668" ca="1">IFERROR(_xlfn._xlws.FILTER(shifts!A:A,(shifts!B:B=events!AD1668)*(shifts!AG:AG&gt;=events!BK1668)*(shifts!AH:AH&lt;=events!BL1668)),BI1667)</f>
        <v>75</v>
      </c>
      <c r="BJ1668" s="15">
        <f t="shared" ref="BJ1668:BJ1731" si="1593">IF(AND(AG1668="",AH1668=""),0,((AE1668*60)+AF1668)-((AG1668*60)+AH1668))</f>
        <v>0</v>
      </c>
      <c r="BK1668">
        <f t="shared" si="1511"/>
        <v>1057</v>
      </c>
      <c r="BL1668">
        <f t="shared" si="1512"/>
        <v>1057</v>
      </c>
      <c r="BM1668" s="15">
        <f>SUMIFS(BJ$2:BJ1668,K$2:K1668,"=Intermission")+SUMIFS(BJ$2:BJ1668,K$2:K1668,"=Timeout")</f>
        <v>142</v>
      </c>
      <c r="BN1668">
        <f t="shared" si="1513"/>
        <v>2302</v>
      </c>
      <c r="BO1668" s="19">
        <f t="shared" si="1514"/>
        <v>2325</v>
      </c>
      <c r="BP1668">
        <f t="shared" si="1515"/>
        <v>2320</v>
      </c>
      <c r="BQ1668" s="17">
        <f t="shared" si="1516"/>
        <v>2325</v>
      </c>
      <c r="BR1668" t="str">
        <f t="shared" si="1517"/>
        <v>opp_team_player_1</v>
      </c>
      <c r="BS1668">
        <f>COUNTIFS(S$3:S1668,"="&amp;S1668,AI$3:AI1668,"="&amp;AI1668)</f>
        <v>1</v>
      </c>
      <c r="BT1668" t="str">
        <f>IFERROR(VLOOKUP(BB1668&amp;BU1668&amp;X1668,game_rosters!U:W,3,FALSE),"")</f>
        <v>P100001</v>
      </c>
      <c r="BU1668" t="str">
        <f t="shared" si="1518"/>
        <v>Velodrome</v>
      </c>
    </row>
    <row r="1669" spans="1:73" x14ac:dyDescent="0.2">
      <c r="A1669">
        <f t="shared" ref="A1669:A1732" si="1594">IF(K1669&lt;&gt;"",1,IF(D1669="x","x",""))</f>
        <v>1</v>
      </c>
      <c r="J1669" s="44" t="str">
        <f t="shared" si="1519"/>
        <v>o</v>
      </c>
      <c r="K1669" t="s">
        <v>6</v>
      </c>
      <c r="L1669" t="s">
        <v>181</v>
      </c>
      <c r="M1669" t="s">
        <v>51</v>
      </c>
      <c r="S1669">
        <v>881</v>
      </c>
      <c r="W1669" t="str">
        <f t="shared" si="1585"/>
        <v>h</v>
      </c>
      <c r="X1669">
        <v>9</v>
      </c>
      <c r="Y1669" t="e">
        <f>IF(X1669&lt;&gt;"",VLOOKUP(X1669,game_rosters!$C$43:$E$64,3,FALSE))</f>
        <v>#N/A</v>
      </c>
      <c r="Z1669" t="str" cm="1">
        <f t="array" ref="Z1669">IFERROR(IF(_xlfn._xlws.FILTER(game_rosters!$J:$J,(game_rosters!$G:$G=events!$AN1669)*(game_rosters!$J:$J=events!$X1669))&gt;0,1,""),"")</f>
        <v/>
      </c>
      <c r="AA1669">
        <f t="shared" si="1543"/>
        <v>1881</v>
      </c>
      <c r="AB1669" t="str">
        <f t="shared" si="1544"/>
        <v/>
      </c>
      <c r="AC1669">
        <f t="shared" si="1582"/>
        <v>1881</v>
      </c>
      <c r="AD1669" s="6">
        <v>3</v>
      </c>
      <c r="AE1669" t="s">
        <v>732</v>
      </c>
      <c r="AF1669" t="s">
        <v>928</v>
      </c>
      <c r="AG1669" t="s">
        <v>756</v>
      </c>
      <c r="AH1669" t="s">
        <v>756</v>
      </c>
      <c r="AI1669" t="s">
        <v>368</v>
      </c>
      <c r="AJ1669" t="str">
        <f t="shared" ref="AJ1669:AK1669" si="1595">IF($J1669&lt;&gt;"",$J1669,IF($AC1669=$AC1668,AJ1668,""))</f>
        <v>o</v>
      </c>
      <c r="AK1669" t="str">
        <f t="shared" si="1595"/>
        <v>o</v>
      </c>
      <c r="AL1669" t="str">
        <f t="shared" si="1587"/>
        <v>o</v>
      </c>
      <c r="AN1669" t="s">
        <v>861</v>
      </c>
      <c r="AO1669" t="str">
        <f t="shared" si="1588"/>
        <v>h</v>
      </c>
      <c r="AP1669" t="str">
        <f t="shared" ref="AP1669:AP1732" si="1596">IF(AL1669&lt;&gt;"",AL1669,IF($AC1669=$AC1668,AP1668,""))</f>
        <v>o</v>
      </c>
      <c r="AQ1669" t="str">
        <f t="shared" ref="AQ1669:AQ1732" si="1597">IF(AM1669&lt;&gt;"",AM1669,IF($AC1669=$AC1668,AQ1668,""))</f>
        <v/>
      </c>
      <c r="AR1669" t="str">
        <f t="shared" ref="AR1669:AR1732" si="1598">IF(AN1669&lt;&gt;"",AN1669,IF($AC1669=$AC1668,AR1668,""))</f>
        <v>Home</v>
      </c>
      <c r="AS1669" t="str">
        <f t="shared" ref="AS1669:AS1732" si="1599">IF(AO1669&lt;&gt;"",AO1669,IF($AC1669=$AC1668,AS1668,""))</f>
        <v>h</v>
      </c>
      <c r="AT1669" t="str">
        <f t="shared" ref="AT1669:AT1732" si="1600">IF(AND(AI1669="e",OR(BE1669="Save",BF1669="Turnover_Takeaway",BF1669="Play_Defensive")),"Defensive",IF(AND(AI1669="o",OR(BE1669="Save",BF1669="Turnover_Takeaway",BF1669="Play_Defensive")),"Offensive",IF(OR(BE1669="Deadice",BE1669="Stoppage",BE1669="Intermission"),"",IF(AI1669="e","Offensive",IF(AI1669="o","Defensive","")))))</f>
        <v>Defensive</v>
      </c>
      <c r="BA1669" s="6">
        <f t="shared" si="1589"/>
        <v>384</v>
      </c>
      <c r="BB1669">
        <f t="shared" si="1590"/>
        <v>18981</v>
      </c>
      <c r="BC1669" t="str">
        <f t="shared" si="1591"/>
        <v>Nelson</v>
      </c>
      <c r="BD1669" t="str">
        <f t="shared" si="1592"/>
        <v>Velodrome</v>
      </c>
      <c r="BE1669" t="s">
        <v>6</v>
      </c>
      <c r="BF1669" t="s">
        <v>181</v>
      </c>
      <c r="BG1669" t="s">
        <v>51</v>
      </c>
      <c r="BI1669" cm="1">
        <f t="array" aca="1" ref="BI1669" ca="1">IFERROR(_xlfn._xlws.FILTER(shifts!A:A,(shifts!B:B=events!AD1669)*(shifts!AG:AG&gt;=events!BK1669)*(shifts!AH:AH&lt;=events!BL1669)),BI1668)</f>
        <v>75</v>
      </c>
      <c r="BJ1669" s="15">
        <f t="shared" si="1593"/>
        <v>0</v>
      </c>
      <c r="BK1669">
        <f t="shared" ref="BK1669:BK1732" si="1601">(AE1669*60)+AF1669</f>
        <v>1057</v>
      </c>
      <c r="BL1669">
        <f t="shared" ref="BL1669:BL1732" si="1602">IF(AND(AG1669="",AH1669=""),BK1669,((AG1669*60)+AH1669))</f>
        <v>1057</v>
      </c>
      <c r="BM1669" s="15">
        <f>SUMIFS(BJ$2:BJ1669,K$2:K1669,"=Intermission")+SUMIFS(BJ$2:BJ1669,K$2:K1669,"=Timeout")</f>
        <v>142</v>
      </c>
      <c r="BN1669">
        <f t="shared" ref="BN1669:BN1732" si="1603">IF(AD1669=1,0,IF(AD1669=2,1080+BM1669,IF(AD1669=3,(1080*2)+BM1669,0)))</f>
        <v>2302</v>
      </c>
      <c r="BO1669" s="19">
        <f t="shared" ref="BO1669:BO1732" si="1604">IF(K1669="Intermission",BO1668,((1080)-((AE1669*60)+AF1669))+BN1669)</f>
        <v>2325</v>
      </c>
      <c r="BP1669">
        <f t="shared" ref="BP1669:BP1732" si="1605">IF(BO1669&lt;5,0,BO1669-5)</f>
        <v>2320</v>
      </c>
      <c r="BQ1669" s="17">
        <f t="shared" ref="BQ1669:BQ1732" si="1606">BP1669+BJ1669+5</f>
        <v>2325</v>
      </c>
      <c r="BR1669" t="str">
        <f t="shared" ref="BR1669:BR1732" si="1607">IF(AI1669="e","event_team_player_"&amp;BS1669,IF(AI1669="o","opp_team_player_"&amp;BS1669,""))</f>
        <v>opp_team_player_2</v>
      </c>
      <c r="BS1669">
        <f>COUNTIFS(S$3:S1669,"="&amp;S1669,AI$3:AI1669,"="&amp;AI1669)</f>
        <v>2</v>
      </c>
      <c r="BT1669" t="str">
        <f>IFERROR(VLOOKUP(BB1669&amp;BU1669&amp;X1669,game_rosters!U:W,3,FALSE),"")</f>
        <v>P100105</v>
      </c>
      <c r="BU1669" t="str">
        <f t="shared" ref="BU1669:BU1732" si="1608">IF(AR1669="","",IF(AND(AR1669="Away",AI1669="e"),BD1669,IF(AND(AR1669="Home",AI1669="e"),BC1669,IF(AND(AR1669="Away",AI1669="o"),BC1669,IF(AND(AR1669="Home",AI1669="o"),BD1669)))))</f>
        <v>Velodrome</v>
      </c>
    </row>
    <row r="1670" spans="1:73" x14ac:dyDescent="0.2">
      <c r="A1670">
        <f t="shared" si="1594"/>
        <v>1</v>
      </c>
      <c r="J1670" s="44" t="str">
        <f t="shared" ref="J1670:J1733" si="1609">IF(OR(K1670="Goal",K1670="Shot",L1670="Zone_Entry",M1670="Stoppage-Goal",M1669="Stoppage-Goal"),"o",IF(OR(K1670="Save",K1670="Rebound",L1670="Zone_Exit",M1670="Stoppage-GoalieStoppage",M1669="Stoppage-GoalieStoppage"),"d",IF(OR(L1670="Faceoff_AfterGoal",L1670="Faceoff_PeriodStart",698="Faceoff_GameStart",M1669="Stoppage-Goal"),"n","")))</f>
        <v>o</v>
      </c>
      <c r="K1670" t="s">
        <v>6</v>
      </c>
      <c r="L1670" t="s">
        <v>181</v>
      </c>
      <c r="M1670" t="s">
        <v>51</v>
      </c>
      <c r="S1670">
        <v>881</v>
      </c>
      <c r="W1670" t="str">
        <f t="shared" si="1585"/>
        <v>h</v>
      </c>
      <c r="X1670">
        <v>84</v>
      </c>
      <c r="Y1670" t="e">
        <f>IF(X1670&lt;&gt;"",VLOOKUP(X1670,game_rosters!$C$43:$E$64,3,FALSE))</f>
        <v>#N/A</v>
      </c>
      <c r="Z1670" t="str" cm="1">
        <f t="array" ref="Z1670">IFERROR(IF(_xlfn._xlws.FILTER(game_rosters!$J:$J,(game_rosters!$G:$G=events!$AN1670)*(game_rosters!$J:$J=events!$X1670))&gt;0,1,""),"")</f>
        <v/>
      </c>
      <c r="AA1670">
        <f t="shared" si="1543"/>
        <v>1881</v>
      </c>
      <c r="AB1670" t="str">
        <f t="shared" si="1544"/>
        <v/>
      </c>
      <c r="AC1670">
        <f t="shared" si="1582"/>
        <v>1881</v>
      </c>
      <c r="AD1670" s="6">
        <v>3</v>
      </c>
      <c r="AE1670" t="s">
        <v>732</v>
      </c>
      <c r="AF1670" t="s">
        <v>928</v>
      </c>
      <c r="AG1670" t="s">
        <v>756</v>
      </c>
      <c r="AH1670" t="s">
        <v>756</v>
      </c>
      <c r="AI1670" t="s">
        <v>368</v>
      </c>
      <c r="AJ1670" t="str">
        <f t="shared" ref="AJ1670:AK1670" si="1610">IF($J1670&lt;&gt;"",$J1670,IF($AC1670=$AC1669,AJ1669,""))</f>
        <v>o</v>
      </c>
      <c r="AK1670" t="str">
        <f t="shared" si="1610"/>
        <v>o</v>
      </c>
      <c r="AL1670" t="str">
        <f t="shared" si="1587"/>
        <v>o</v>
      </c>
      <c r="AN1670" t="s">
        <v>861</v>
      </c>
      <c r="AO1670" t="str">
        <f t="shared" si="1588"/>
        <v>h</v>
      </c>
      <c r="AP1670" t="str">
        <f t="shared" si="1596"/>
        <v>o</v>
      </c>
      <c r="AQ1670" t="str">
        <f t="shared" si="1597"/>
        <v/>
      </c>
      <c r="AR1670" t="str">
        <f t="shared" si="1598"/>
        <v>Home</v>
      </c>
      <c r="AS1670" t="str">
        <f t="shared" si="1599"/>
        <v>h</v>
      </c>
      <c r="AT1670" t="str">
        <f t="shared" si="1600"/>
        <v>Defensive</v>
      </c>
      <c r="BA1670" s="6">
        <f t="shared" si="1589"/>
        <v>384</v>
      </c>
      <c r="BB1670">
        <f t="shared" si="1590"/>
        <v>18981</v>
      </c>
      <c r="BC1670" t="str">
        <f t="shared" si="1591"/>
        <v>Nelson</v>
      </c>
      <c r="BD1670" t="str">
        <f t="shared" si="1592"/>
        <v>Velodrome</v>
      </c>
      <c r="BE1670" t="s">
        <v>6</v>
      </c>
      <c r="BF1670" t="s">
        <v>181</v>
      </c>
      <c r="BG1670" t="s">
        <v>51</v>
      </c>
      <c r="BI1670" cm="1">
        <f t="array" aca="1" ref="BI1670" ca="1">IFERROR(_xlfn._xlws.FILTER(shifts!A:A,(shifts!B:B=events!AD1670)*(shifts!AG:AG&gt;=events!BK1670)*(shifts!AH:AH&lt;=events!BL1670)),BI1669)</f>
        <v>75</v>
      </c>
      <c r="BJ1670" s="15">
        <f t="shared" si="1593"/>
        <v>0</v>
      </c>
      <c r="BK1670">
        <f t="shared" si="1601"/>
        <v>1057</v>
      </c>
      <c r="BL1670">
        <f t="shared" si="1602"/>
        <v>1057</v>
      </c>
      <c r="BM1670" s="15">
        <f>SUMIFS(BJ$2:BJ1670,K$2:K1670,"=Intermission")+SUMIFS(BJ$2:BJ1670,K$2:K1670,"=Timeout")</f>
        <v>142</v>
      </c>
      <c r="BN1670">
        <f t="shared" si="1603"/>
        <v>2302</v>
      </c>
      <c r="BO1670" s="19">
        <f t="shared" si="1604"/>
        <v>2325</v>
      </c>
      <c r="BP1670">
        <f t="shared" si="1605"/>
        <v>2320</v>
      </c>
      <c r="BQ1670" s="17">
        <f t="shared" si="1606"/>
        <v>2325</v>
      </c>
      <c r="BR1670" t="str">
        <f t="shared" si="1607"/>
        <v>opp_team_player_3</v>
      </c>
      <c r="BS1670">
        <f>COUNTIFS(S$3:S1670,"="&amp;S1670,AI$3:AI1670,"="&amp;AI1670)</f>
        <v>3</v>
      </c>
      <c r="BT1670" t="str">
        <f>IFERROR(VLOOKUP(BB1670&amp;BU1670&amp;X1670,game_rosters!U:W,3,FALSE),"")</f>
        <v>P100198</v>
      </c>
      <c r="BU1670" t="str">
        <f t="shared" si="1608"/>
        <v>Velodrome</v>
      </c>
    </row>
    <row r="1671" spans="1:73" x14ac:dyDescent="0.2">
      <c r="A1671">
        <f t="shared" si="1594"/>
        <v>1</v>
      </c>
      <c r="J1671" s="44" t="str">
        <f t="shared" si="1609"/>
        <v>o</v>
      </c>
      <c r="K1671" t="s">
        <v>6</v>
      </c>
      <c r="L1671" t="s">
        <v>205</v>
      </c>
      <c r="M1671" t="s">
        <v>51</v>
      </c>
      <c r="S1671">
        <v>882</v>
      </c>
      <c r="W1671" t="str">
        <f t="shared" si="1585"/>
        <v>h</v>
      </c>
      <c r="X1671">
        <v>15</v>
      </c>
      <c r="Y1671" t="b">
        <f>IF(X1671&lt;&gt;"",VLOOKUP(X1671,game_rosters!$C$43:$E$64,3,FALSE))</f>
        <v>0</v>
      </c>
      <c r="Z1671" cm="1">
        <f t="array" ref="Z1671">IFERROR(IF(_xlfn._xlws.FILTER(game_rosters!$J:$J,(game_rosters!$G:$G=events!$AN1671)*(game_rosters!$J:$J=events!$X1671))&gt;0,1,""),"")</f>
        <v>1</v>
      </c>
      <c r="AA1671">
        <f t="shared" si="1543"/>
        <v>1882</v>
      </c>
      <c r="AB1671" t="str">
        <f t="shared" si="1544"/>
        <v/>
      </c>
      <c r="AC1671">
        <f t="shared" si="1582"/>
        <v>1882</v>
      </c>
      <c r="AD1671" s="6">
        <v>3</v>
      </c>
      <c r="AE1671" t="s">
        <v>732</v>
      </c>
      <c r="AF1671" t="s">
        <v>929</v>
      </c>
      <c r="AG1671" t="s">
        <v>756</v>
      </c>
      <c r="AH1671" t="s">
        <v>756</v>
      </c>
      <c r="AI1671" t="s">
        <v>367</v>
      </c>
      <c r="AJ1671" t="str">
        <f t="shared" ref="AJ1671:AK1671" si="1611">IF($J1671&lt;&gt;"",$J1671,IF($AC1671=$AC1670,AJ1670,""))</f>
        <v>o</v>
      </c>
      <c r="AK1671" t="str">
        <f t="shared" si="1611"/>
        <v>o</v>
      </c>
      <c r="AL1671" t="str">
        <f t="shared" si="1587"/>
        <v>o</v>
      </c>
      <c r="AN1671" t="s">
        <v>861</v>
      </c>
      <c r="AO1671" t="str">
        <f t="shared" si="1588"/>
        <v>h</v>
      </c>
      <c r="AP1671" t="str">
        <f t="shared" si="1596"/>
        <v>o</v>
      </c>
      <c r="AQ1671" t="str">
        <f t="shared" si="1597"/>
        <v/>
      </c>
      <c r="AR1671" t="str">
        <f t="shared" si="1598"/>
        <v>Home</v>
      </c>
      <c r="AS1671" t="str">
        <f t="shared" si="1599"/>
        <v>h</v>
      </c>
      <c r="AT1671" t="str">
        <f t="shared" si="1600"/>
        <v>Offensive</v>
      </c>
      <c r="BA1671" s="6">
        <f t="shared" si="1589"/>
        <v>384</v>
      </c>
      <c r="BB1671">
        <f t="shared" si="1590"/>
        <v>18981</v>
      </c>
      <c r="BC1671" t="str">
        <f t="shared" si="1591"/>
        <v>Nelson</v>
      </c>
      <c r="BD1671" t="str">
        <f t="shared" si="1592"/>
        <v>Velodrome</v>
      </c>
      <c r="BE1671" t="s">
        <v>6</v>
      </c>
      <c r="BF1671" t="s">
        <v>205</v>
      </c>
      <c r="BG1671" t="s">
        <v>51</v>
      </c>
      <c r="BI1671" cm="1">
        <f t="array" aca="1" ref="BI1671" ca="1">IFERROR(_xlfn._xlws.FILTER(shifts!A:A,(shifts!B:B=events!AD1671)*(shifts!AG:AG&gt;=events!BK1671)*(shifts!AH:AH&lt;=events!BL1671)),BI1670)</f>
        <v>75</v>
      </c>
      <c r="BJ1671" s="15">
        <f t="shared" si="1593"/>
        <v>0</v>
      </c>
      <c r="BK1671">
        <f t="shared" si="1601"/>
        <v>1054</v>
      </c>
      <c r="BL1671">
        <f t="shared" si="1602"/>
        <v>1054</v>
      </c>
      <c r="BM1671" s="15">
        <f>SUMIFS(BJ$2:BJ1671,K$2:K1671,"=Intermission")+SUMIFS(BJ$2:BJ1671,K$2:K1671,"=Timeout")</f>
        <v>142</v>
      </c>
      <c r="BN1671">
        <f t="shared" si="1603"/>
        <v>2302</v>
      </c>
      <c r="BO1671" s="19">
        <f t="shared" si="1604"/>
        <v>2328</v>
      </c>
      <c r="BP1671">
        <f t="shared" si="1605"/>
        <v>2323</v>
      </c>
      <c r="BQ1671" s="17">
        <f t="shared" si="1606"/>
        <v>2328</v>
      </c>
      <c r="BR1671" t="str">
        <f t="shared" si="1607"/>
        <v>event_team_player_2</v>
      </c>
      <c r="BS1671">
        <f>COUNTIFS(S$3:S1671,"="&amp;S1671,AI$3:AI1671,"="&amp;AI1671)</f>
        <v>2</v>
      </c>
      <c r="BT1671" t="str">
        <f>IFERROR(VLOOKUP(BB1671&amp;BU1671&amp;X1671,game_rosters!U:W,3,FALSE),"")</f>
        <v>P100071</v>
      </c>
      <c r="BU1671" t="str">
        <f t="shared" si="1608"/>
        <v>Nelson</v>
      </c>
    </row>
    <row r="1672" spans="1:73" x14ac:dyDescent="0.2">
      <c r="A1672">
        <f t="shared" si="1594"/>
        <v>1</v>
      </c>
      <c r="J1672" s="44" t="str">
        <f t="shared" si="1609"/>
        <v>o</v>
      </c>
      <c r="K1672" t="s">
        <v>6</v>
      </c>
      <c r="L1672" t="s">
        <v>205</v>
      </c>
      <c r="M1672" t="s">
        <v>51</v>
      </c>
      <c r="S1672">
        <v>882</v>
      </c>
      <c r="W1672" t="str">
        <f t="shared" si="1585"/>
        <v>h</v>
      </c>
      <c r="X1672">
        <v>39</v>
      </c>
      <c r="Y1672" t="e">
        <f>IF(X1672&lt;&gt;"",VLOOKUP(X1672,game_rosters!$C$43:$E$64,3,FALSE))</f>
        <v>#N/A</v>
      </c>
      <c r="Z1672" t="str" cm="1">
        <f t="array" ref="Z1672">IFERROR(IF(_xlfn._xlws.FILTER(game_rosters!$J:$J,(game_rosters!$G:$G=events!$AN1672)*(game_rosters!$J:$J=events!$X1672))&gt;0,1,""),"")</f>
        <v/>
      </c>
      <c r="AA1672">
        <f t="shared" si="1543"/>
        <v>1882</v>
      </c>
      <c r="AB1672" t="str">
        <f t="shared" si="1544"/>
        <v/>
      </c>
      <c r="AC1672">
        <f t="shared" si="1582"/>
        <v>1882</v>
      </c>
      <c r="AD1672" s="6">
        <v>3</v>
      </c>
      <c r="AE1672" t="s">
        <v>732</v>
      </c>
      <c r="AF1672" t="s">
        <v>929</v>
      </c>
      <c r="AG1672" t="s">
        <v>756</v>
      </c>
      <c r="AH1672" t="s">
        <v>756</v>
      </c>
      <c r="AI1672" t="s">
        <v>368</v>
      </c>
      <c r="AJ1672" t="str">
        <f t="shared" ref="AJ1672:AK1672" si="1612">IF($J1672&lt;&gt;"",$J1672,IF($AC1672=$AC1671,AJ1671,""))</f>
        <v>o</v>
      </c>
      <c r="AK1672" t="str">
        <f t="shared" si="1612"/>
        <v>o</v>
      </c>
      <c r="AL1672" t="str">
        <f t="shared" si="1587"/>
        <v>o</v>
      </c>
      <c r="AN1672" t="s">
        <v>861</v>
      </c>
      <c r="AO1672" t="str">
        <f t="shared" si="1588"/>
        <v>h</v>
      </c>
      <c r="AP1672" t="str">
        <f t="shared" si="1596"/>
        <v>o</v>
      </c>
      <c r="AQ1672" t="str">
        <f t="shared" si="1597"/>
        <v/>
      </c>
      <c r="AR1672" t="str">
        <f t="shared" si="1598"/>
        <v>Home</v>
      </c>
      <c r="AS1672" t="str">
        <f t="shared" si="1599"/>
        <v>h</v>
      </c>
      <c r="AT1672" t="str">
        <f t="shared" si="1600"/>
        <v>Defensive</v>
      </c>
      <c r="BA1672" s="6">
        <f t="shared" si="1589"/>
        <v>384</v>
      </c>
      <c r="BB1672">
        <f t="shared" si="1590"/>
        <v>18981</v>
      </c>
      <c r="BC1672" t="str">
        <f t="shared" si="1591"/>
        <v>Nelson</v>
      </c>
      <c r="BD1672" t="str">
        <f t="shared" si="1592"/>
        <v>Velodrome</v>
      </c>
      <c r="BE1672" t="s">
        <v>6</v>
      </c>
      <c r="BF1672" t="s">
        <v>205</v>
      </c>
      <c r="BG1672" t="s">
        <v>51</v>
      </c>
      <c r="BI1672" cm="1">
        <f t="array" aca="1" ref="BI1672" ca="1">IFERROR(_xlfn._xlws.FILTER(shifts!A:A,(shifts!B:B=events!AD1672)*(shifts!AG:AG&gt;=events!BK1672)*(shifts!AH:AH&lt;=events!BL1672)),BI1671)</f>
        <v>75</v>
      </c>
      <c r="BJ1672" s="15">
        <f t="shared" si="1593"/>
        <v>0</v>
      </c>
      <c r="BK1672">
        <f t="shared" si="1601"/>
        <v>1054</v>
      </c>
      <c r="BL1672">
        <f t="shared" si="1602"/>
        <v>1054</v>
      </c>
      <c r="BM1672" s="15">
        <f>SUMIFS(BJ$2:BJ1672,K$2:K1672,"=Intermission")+SUMIFS(BJ$2:BJ1672,K$2:K1672,"=Timeout")</f>
        <v>142</v>
      </c>
      <c r="BN1672">
        <f t="shared" si="1603"/>
        <v>2302</v>
      </c>
      <c r="BO1672" s="19">
        <f t="shared" si="1604"/>
        <v>2328</v>
      </c>
      <c r="BP1672">
        <f t="shared" si="1605"/>
        <v>2323</v>
      </c>
      <c r="BQ1672" s="17">
        <f t="shared" si="1606"/>
        <v>2328</v>
      </c>
      <c r="BR1672" t="str">
        <f t="shared" si="1607"/>
        <v>opp_team_player_1</v>
      </c>
      <c r="BS1672">
        <f>COUNTIFS(S$3:S1672,"="&amp;S1672,AI$3:AI1672,"="&amp;AI1672)</f>
        <v>1</v>
      </c>
      <c r="BT1672" t="str">
        <f>IFERROR(VLOOKUP(BB1672&amp;BU1672&amp;X1672,game_rosters!U:W,3,FALSE),"")</f>
        <v>P100016</v>
      </c>
      <c r="BU1672" t="str">
        <f t="shared" si="1608"/>
        <v>Velodrome</v>
      </c>
    </row>
    <row r="1673" spans="1:73" x14ac:dyDescent="0.2">
      <c r="A1673">
        <f t="shared" si="1594"/>
        <v>1</v>
      </c>
      <c r="J1673" s="44" t="str">
        <f t="shared" si="1609"/>
        <v>o</v>
      </c>
      <c r="K1673" t="s">
        <v>6</v>
      </c>
      <c r="L1673" t="s">
        <v>205</v>
      </c>
      <c r="M1673" t="s">
        <v>51</v>
      </c>
      <c r="S1673">
        <v>882</v>
      </c>
      <c r="W1673" t="str">
        <f t="shared" si="1585"/>
        <v>h</v>
      </c>
      <c r="X1673">
        <v>9</v>
      </c>
      <c r="Y1673" t="e">
        <f>IF(X1673&lt;&gt;"",VLOOKUP(X1673,game_rosters!$C$43:$E$64,3,FALSE))</f>
        <v>#N/A</v>
      </c>
      <c r="Z1673" t="str" cm="1">
        <f t="array" ref="Z1673">IFERROR(IF(_xlfn._xlws.FILTER(game_rosters!$J:$J,(game_rosters!$G:$G=events!$AN1673)*(game_rosters!$J:$J=events!$X1673))&gt;0,1,""),"")</f>
        <v/>
      </c>
      <c r="AA1673">
        <f t="shared" si="1543"/>
        <v>1882</v>
      </c>
      <c r="AB1673" t="str">
        <f t="shared" si="1544"/>
        <v/>
      </c>
      <c r="AC1673">
        <f t="shared" si="1582"/>
        <v>1882</v>
      </c>
      <c r="AD1673" s="6">
        <v>3</v>
      </c>
      <c r="AE1673" t="s">
        <v>732</v>
      </c>
      <c r="AF1673" t="s">
        <v>929</v>
      </c>
      <c r="AG1673" t="s">
        <v>756</v>
      </c>
      <c r="AH1673" t="s">
        <v>756</v>
      </c>
      <c r="AI1673" t="s">
        <v>368</v>
      </c>
      <c r="AJ1673" t="str">
        <f t="shared" ref="AJ1673:AK1673" si="1613">IF($J1673&lt;&gt;"",$J1673,IF($AC1673=$AC1672,AJ1672,""))</f>
        <v>o</v>
      </c>
      <c r="AK1673" t="str">
        <f t="shared" si="1613"/>
        <v>o</v>
      </c>
      <c r="AL1673" t="str">
        <f t="shared" si="1587"/>
        <v>o</v>
      </c>
      <c r="AN1673" t="s">
        <v>861</v>
      </c>
      <c r="AO1673" t="str">
        <f t="shared" si="1588"/>
        <v>h</v>
      </c>
      <c r="AP1673" t="str">
        <f t="shared" si="1596"/>
        <v>o</v>
      </c>
      <c r="AQ1673" t="str">
        <f t="shared" si="1597"/>
        <v/>
      </c>
      <c r="AR1673" t="str">
        <f t="shared" si="1598"/>
        <v>Home</v>
      </c>
      <c r="AS1673" t="str">
        <f t="shared" si="1599"/>
        <v>h</v>
      </c>
      <c r="AT1673" t="str">
        <f t="shared" si="1600"/>
        <v>Defensive</v>
      </c>
      <c r="BA1673" s="6">
        <f t="shared" si="1589"/>
        <v>384</v>
      </c>
      <c r="BB1673">
        <f t="shared" si="1590"/>
        <v>18981</v>
      </c>
      <c r="BC1673" t="str">
        <f t="shared" si="1591"/>
        <v>Nelson</v>
      </c>
      <c r="BD1673" t="str">
        <f t="shared" si="1592"/>
        <v>Velodrome</v>
      </c>
      <c r="BE1673" t="s">
        <v>6</v>
      </c>
      <c r="BF1673" t="s">
        <v>205</v>
      </c>
      <c r="BG1673" t="s">
        <v>51</v>
      </c>
      <c r="BI1673" cm="1">
        <f t="array" aca="1" ref="BI1673" ca="1">IFERROR(_xlfn._xlws.FILTER(shifts!A:A,(shifts!B:B=events!AD1673)*(shifts!AG:AG&gt;=events!BK1673)*(shifts!AH:AH&lt;=events!BL1673)),BI1672)</f>
        <v>75</v>
      </c>
      <c r="BJ1673" s="15">
        <f t="shared" si="1593"/>
        <v>0</v>
      </c>
      <c r="BK1673">
        <f t="shared" si="1601"/>
        <v>1054</v>
      </c>
      <c r="BL1673">
        <f t="shared" si="1602"/>
        <v>1054</v>
      </c>
      <c r="BM1673" s="15">
        <f>SUMIFS(BJ$2:BJ1673,K$2:K1673,"=Intermission")+SUMIFS(BJ$2:BJ1673,K$2:K1673,"=Timeout")</f>
        <v>142</v>
      </c>
      <c r="BN1673">
        <f t="shared" si="1603"/>
        <v>2302</v>
      </c>
      <c r="BO1673" s="19">
        <f t="shared" si="1604"/>
        <v>2328</v>
      </c>
      <c r="BP1673">
        <f t="shared" si="1605"/>
        <v>2323</v>
      </c>
      <c r="BQ1673" s="17">
        <f t="shared" si="1606"/>
        <v>2328</v>
      </c>
      <c r="BR1673" t="str">
        <f t="shared" si="1607"/>
        <v>opp_team_player_2</v>
      </c>
      <c r="BS1673">
        <f>COUNTIFS(S$3:S1673,"="&amp;S1673,AI$3:AI1673,"="&amp;AI1673)</f>
        <v>2</v>
      </c>
      <c r="BT1673" t="str">
        <f>IFERROR(VLOOKUP(BB1673&amp;BU1673&amp;X1673,game_rosters!U:W,3,FALSE),"")</f>
        <v>P100105</v>
      </c>
      <c r="BU1673" t="str">
        <f t="shared" si="1608"/>
        <v>Velodrome</v>
      </c>
    </row>
    <row r="1674" spans="1:73" x14ac:dyDescent="0.2">
      <c r="A1674">
        <f t="shared" si="1594"/>
        <v>1</v>
      </c>
      <c r="J1674" s="44" t="str">
        <f t="shared" si="1609"/>
        <v>d</v>
      </c>
      <c r="K1674" t="s">
        <v>15</v>
      </c>
      <c r="L1674" t="s">
        <v>179</v>
      </c>
      <c r="M1674" t="s">
        <v>97</v>
      </c>
      <c r="S1674">
        <v>883</v>
      </c>
      <c r="W1674" t="str">
        <f t="shared" si="1585"/>
        <v>a</v>
      </c>
      <c r="X1674">
        <v>39</v>
      </c>
      <c r="Y1674" t="e">
        <f>IF(X1674&lt;&gt;"",VLOOKUP(X1674,game_rosters!$C$43:$E$64,3,FALSE))</f>
        <v>#N/A</v>
      </c>
      <c r="Z1674" cm="1">
        <f t="array" ref="Z1674">IFERROR(IF(_xlfn._xlws.FILTER(game_rosters!$J:$J,(game_rosters!$G:$G=events!$AN1674)*(game_rosters!$J:$J=events!$X1674))&gt;0,1,""),"")</f>
        <v>1</v>
      </c>
      <c r="AA1674">
        <f t="shared" si="1543"/>
        <v>1883</v>
      </c>
      <c r="AB1674" t="str">
        <f t="shared" si="1544"/>
        <v/>
      </c>
      <c r="AC1674">
        <f t="shared" si="1582"/>
        <v>1883</v>
      </c>
      <c r="AD1674" s="6">
        <v>3</v>
      </c>
      <c r="AE1674" t="s">
        <v>732</v>
      </c>
      <c r="AF1674" t="s">
        <v>929</v>
      </c>
      <c r="AG1674" t="s">
        <v>756</v>
      </c>
      <c r="AH1674" t="s">
        <v>756</v>
      </c>
      <c r="AI1674" t="s">
        <v>367</v>
      </c>
      <c r="AJ1674" t="str">
        <f t="shared" ref="AJ1674:AK1674" si="1614">IF($J1674&lt;&gt;"",$J1674,IF($AC1674=$AC1673,AJ1673,""))</f>
        <v>d</v>
      </c>
      <c r="AK1674" t="str">
        <f t="shared" si="1614"/>
        <v>d</v>
      </c>
      <c r="AL1674" t="str">
        <f t="shared" si="1587"/>
        <v>o</v>
      </c>
      <c r="AN1674" t="s">
        <v>862</v>
      </c>
      <c r="AO1674" t="str">
        <f t="shared" si="1588"/>
        <v>a</v>
      </c>
      <c r="AP1674" t="str">
        <f t="shared" si="1596"/>
        <v>o</v>
      </c>
      <c r="AQ1674" t="str">
        <f t="shared" si="1597"/>
        <v/>
      </c>
      <c r="AR1674" t="str">
        <f t="shared" si="1598"/>
        <v>Away</v>
      </c>
      <c r="AS1674" t="str">
        <f t="shared" si="1599"/>
        <v>a</v>
      </c>
      <c r="AT1674" t="str">
        <f t="shared" si="1600"/>
        <v>Defensive</v>
      </c>
      <c r="BA1674" s="6">
        <f t="shared" si="1589"/>
        <v>384</v>
      </c>
      <c r="BB1674">
        <f t="shared" si="1590"/>
        <v>18981</v>
      </c>
      <c r="BC1674" t="str">
        <f t="shared" si="1591"/>
        <v>Nelson</v>
      </c>
      <c r="BD1674" t="str">
        <f t="shared" si="1592"/>
        <v>Velodrome</v>
      </c>
      <c r="BE1674" t="s">
        <v>15</v>
      </c>
      <c r="BF1674" t="s">
        <v>179</v>
      </c>
      <c r="BG1674" t="s">
        <v>97</v>
      </c>
      <c r="BI1674" cm="1">
        <f t="array" aca="1" ref="BI1674" ca="1">IFERROR(_xlfn._xlws.FILTER(shifts!A:A,(shifts!B:B=events!AD1674)*(shifts!AG:AG&gt;=events!BK1674)*(shifts!AH:AH&lt;=events!BL1674)),BI1673)</f>
        <v>75</v>
      </c>
      <c r="BJ1674" s="15">
        <f t="shared" si="1593"/>
        <v>0</v>
      </c>
      <c r="BK1674">
        <f t="shared" si="1601"/>
        <v>1054</v>
      </c>
      <c r="BL1674">
        <f t="shared" si="1602"/>
        <v>1054</v>
      </c>
      <c r="BM1674" s="15">
        <f>SUMIFS(BJ$2:BJ1674,K$2:K1674,"=Intermission")+SUMIFS(BJ$2:BJ1674,K$2:K1674,"=Timeout")</f>
        <v>142</v>
      </c>
      <c r="BN1674">
        <f t="shared" si="1603"/>
        <v>2302</v>
      </c>
      <c r="BO1674" s="19">
        <f t="shared" si="1604"/>
        <v>2328</v>
      </c>
      <c r="BP1674">
        <f t="shared" si="1605"/>
        <v>2323</v>
      </c>
      <c r="BQ1674" s="17">
        <f t="shared" si="1606"/>
        <v>2328</v>
      </c>
      <c r="BR1674" t="str">
        <f t="shared" si="1607"/>
        <v>event_team_player_2</v>
      </c>
      <c r="BS1674">
        <f>COUNTIFS(S$3:S1674,"="&amp;S1674,AI$3:AI1674,"="&amp;AI1674)</f>
        <v>2</v>
      </c>
      <c r="BT1674" t="str">
        <f>IFERROR(VLOOKUP(BB1674&amp;BU1674&amp;X1674,game_rosters!U:W,3,FALSE),"")</f>
        <v>P100016</v>
      </c>
      <c r="BU1674" t="str">
        <f t="shared" si="1608"/>
        <v>Velodrome</v>
      </c>
    </row>
    <row r="1675" spans="1:73" x14ac:dyDescent="0.2">
      <c r="A1675">
        <f t="shared" si="1594"/>
        <v>1</v>
      </c>
      <c r="J1675" s="44" t="str">
        <f t="shared" si="1609"/>
        <v>d</v>
      </c>
      <c r="K1675" t="s">
        <v>15</v>
      </c>
      <c r="L1675" t="s">
        <v>179</v>
      </c>
      <c r="M1675" t="s">
        <v>97</v>
      </c>
      <c r="S1675">
        <v>883</v>
      </c>
      <c r="W1675" t="str">
        <f t="shared" si="1585"/>
        <v>a</v>
      </c>
      <c r="X1675">
        <v>9</v>
      </c>
      <c r="Y1675" t="e">
        <f>IF(X1675&lt;&gt;"",VLOOKUP(X1675,game_rosters!$C$43:$E$64,3,FALSE))</f>
        <v>#N/A</v>
      </c>
      <c r="Z1675" cm="1">
        <f t="array" ref="Z1675">IFERROR(IF(_xlfn._xlws.FILTER(game_rosters!$J:$J,(game_rosters!$G:$G=events!$AN1675)*(game_rosters!$J:$J=events!$X1675))&gt;0,1,""),"")</f>
        <v>1</v>
      </c>
      <c r="AA1675">
        <f t="shared" si="1543"/>
        <v>1883</v>
      </c>
      <c r="AB1675" t="str">
        <f t="shared" si="1544"/>
        <v/>
      </c>
      <c r="AC1675">
        <f t="shared" si="1582"/>
        <v>1883</v>
      </c>
      <c r="AD1675" s="6">
        <v>3</v>
      </c>
      <c r="AE1675" t="s">
        <v>732</v>
      </c>
      <c r="AF1675" t="s">
        <v>929</v>
      </c>
      <c r="AG1675" t="s">
        <v>756</v>
      </c>
      <c r="AH1675" t="s">
        <v>756</v>
      </c>
      <c r="AI1675" t="s">
        <v>367</v>
      </c>
      <c r="AJ1675" t="str">
        <f t="shared" ref="AJ1675:AK1675" si="1615">IF($J1675&lt;&gt;"",$J1675,IF($AC1675=$AC1674,AJ1674,""))</f>
        <v>d</v>
      </c>
      <c r="AK1675" t="str">
        <f t="shared" si="1615"/>
        <v>d</v>
      </c>
      <c r="AL1675" t="str">
        <f t="shared" si="1587"/>
        <v>o</v>
      </c>
      <c r="AN1675" t="s">
        <v>862</v>
      </c>
      <c r="AO1675" t="str">
        <f t="shared" si="1588"/>
        <v>a</v>
      </c>
      <c r="AP1675" t="str">
        <f t="shared" si="1596"/>
        <v>o</v>
      </c>
      <c r="AQ1675" t="str">
        <f t="shared" si="1597"/>
        <v/>
      </c>
      <c r="AR1675" t="str">
        <f t="shared" si="1598"/>
        <v>Away</v>
      </c>
      <c r="AS1675" t="str">
        <f t="shared" si="1599"/>
        <v>a</v>
      </c>
      <c r="AT1675" t="str">
        <f t="shared" si="1600"/>
        <v>Defensive</v>
      </c>
      <c r="BA1675" s="6">
        <f t="shared" si="1589"/>
        <v>384</v>
      </c>
      <c r="BB1675">
        <f t="shared" si="1590"/>
        <v>18981</v>
      </c>
      <c r="BC1675" t="str">
        <f t="shared" si="1591"/>
        <v>Nelson</v>
      </c>
      <c r="BD1675" t="str">
        <f t="shared" si="1592"/>
        <v>Velodrome</v>
      </c>
      <c r="BE1675" t="s">
        <v>15</v>
      </c>
      <c r="BF1675" t="s">
        <v>179</v>
      </c>
      <c r="BG1675" t="s">
        <v>97</v>
      </c>
      <c r="BI1675" cm="1">
        <f t="array" aca="1" ref="BI1675" ca="1">IFERROR(_xlfn._xlws.FILTER(shifts!A:A,(shifts!B:B=events!AD1675)*(shifts!AG:AG&gt;=events!BK1675)*(shifts!AH:AH&lt;=events!BL1675)),BI1674)</f>
        <v>75</v>
      </c>
      <c r="BJ1675" s="15">
        <f t="shared" si="1593"/>
        <v>0</v>
      </c>
      <c r="BK1675">
        <f t="shared" si="1601"/>
        <v>1054</v>
      </c>
      <c r="BL1675">
        <f t="shared" si="1602"/>
        <v>1054</v>
      </c>
      <c r="BM1675" s="15">
        <f>SUMIFS(BJ$2:BJ1675,K$2:K1675,"=Intermission")+SUMIFS(BJ$2:BJ1675,K$2:K1675,"=Timeout")</f>
        <v>142</v>
      </c>
      <c r="BN1675">
        <f t="shared" si="1603"/>
        <v>2302</v>
      </c>
      <c r="BO1675" s="19">
        <f t="shared" si="1604"/>
        <v>2328</v>
      </c>
      <c r="BP1675">
        <f t="shared" si="1605"/>
        <v>2323</v>
      </c>
      <c r="BQ1675" s="17">
        <f t="shared" si="1606"/>
        <v>2328</v>
      </c>
      <c r="BR1675" t="str">
        <f t="shared" si="1607"/>
        <v>event_team_player_3</v>
      </c>
      <c r="BS1675">
        <f>COUNTIFS(S$3:S1675,"="&amp;S1675,AI$3:AI1675,"="&amp;AI1675)</f>
        <v>3</v>
      </c>
      <c r="BT1675" t="str">
        <f>IFERROR(VLOOKUP(BB1675&amp;BU1675&amp;X1675,game_rosters!U:W,3,FALSE),"")</f>
        <v>P100105</v>
      </c>
      <c r="BU1675" t="str">
        <f t="shared" si="1608"/>
        <v>Velodrome</v>
      </c>
    </row>
    <row r="1676" spans="1:73" x14ac:dyDescent="0.2">
      <c r="A1676">
        <f t="shared" si="1594"/>
        <v>1</v>
      </c>
      <c r="J1676" s="44" t="str">
        <f t="shared" si="1609"/>
        <v>d</v>
      </c>
      <c r="K1676" t="s">
        <v>15</v>
      </c>
      <c r="L1676" t="s">
        <v>179</v>
      </c>
      <c r="M1676" t="s">
        <v>97</v>
      </c>
      <c r="S1676">
        <v>883</v>
      </c>
      <c r="W1676" t="str">
        <f t="shared" si="1585"/>
        <v>a</v>
      </c>
      <c r="X1676">
        <v>15</v>
      </c>
      <c r="Y1676" t="b">
        <f>IF(X1676&lt;&gt;"",VLOOKUP(X1676,game_rosters!$C$43:$E$64,3,FALSE))</f>
        <v>0</v>
      </c>
      <c r="Z1676" t="str" cm="1">
        <f t="array" ref="Z1676">IFERROR(IF(_xlfn._xlws.FILTER(game_rosters!$J:$J,(game_rosters!$G:$G=events!$AN1676)*(game_rosters!$J:$J=events!$X1676))&gt;0,1,""),"")</f>
        <v/>
      </c>
      <c r="AA1676">
        <f t="shared" si="1543"/>
        <v>1883</v>
      </c>
      <c r="AB1676" t="str">
        <f t="shared" si="1544"/>
        <v/>
      </c>
      <c r="AC1676">
        <f t="shared" si="1582"/>
        <v>1883</v>
      </c>
      <c r="AD1676" s="6">
        <v>3</v>
      </c>
      <c r="AE1676" t="s">
        <v>732</v>
      </c>
      <c r="AF1676" t="s">
        <v>929</v>
      </c>
      <c r="AG1676" t="s">
        <v>756</v>
      </c>
      <c r="AH1676" t="s">
        <v>756</v>
      </c>
      <c r="AI1676" t="s">
        <v>368</v>
      </c>
      <c r="AJ1676" t="str">
        <f t="shared" ref="AJ1676:AK1676" si="1616">IF($J1676&lt;&gt;"",$J1676,IF($AC1676=$AC1675,AJ1675,""))</f>
        <v>d</v>
      </c>
      <c r="AK1676" t="str">
        <f t="shared" si="1616"/>
        <v>d</v>
      </c>
      <c r="AL1676" t="str">
        <f t="shared" si="1587"/>
        <v>o</v>
      </c>
      <c r="AN1676" t="s">
        <v>862</v>
      </c>
      <c r="AO1676" t="str">
        <f t="shared" si="1588"/>
        <v>a</v>
      </c>
      <c r="AP1676" t="str">
        <f t="shared" si="1596"/>
        <v>o</v>
      </c>
      <c r="AQ1676" t="str">
        <f t="shared" si="1597"/>
        <v/>
      </c>
      <c r="AR1676" t="str">
        <f t="shared" si="1598"/>
        <v>Away</v>
      </c>
      <c r="AS1676" t="str">
        <f t="shared" si="1599"/>
        <v>a</v>
      </c>
      <c r="AT1676" t="str">
        <f t="shared" si="1600"/>
        <v>Offensive</v>
      </c>
      <c r="BA1676" s="6">
        <f t="shared" si="1589"/>
        <v>384</v>
      </c>
      <c r="BB1676">
        <f t="shared" si="1590"/>
        <v>18981</v>
      </c>
      <c r="BC1676" t="str">
        <f t="shared" si="1591"/>
        <v>Nelson</v>
      </c>
      <c r="BD1676" t="str">
        <f t="shared" si="1592"/>
        <v>Velodrome</v>
      </c>
      <c r="BE1676" t="s">
        <v>15</v>
      </c>
      <c r="BF1676" t="s">
        <v>179</v>
      </c>
      <c r="BG1676" t="s">
        <v>97</v>
      </c>
      <c r="BI1676" cm="1">
        <f t="array" aca="1" ref="BI1676" ca="1">IFERROR(_xlfn._xlws.FILTER(shifts!A:A,(shifts!B:B=events!AD1676)*(shifts!AG:AG&gt;=events!BK1676)*(shifts!AH:AH&lt;=events!BL1676)),BI1675)</f>
        <v>75</v>
      </c>
      <c r="BJ1676" s="15">
        <f t="shared" si="1593"/>
        <v>0</v>
      </c>
      <c r="BK1676">
        <f t="shared" si="1601"/>
        <v>1054</v>
      </c>
      <c r="BL1676">
        <f t="shared" si="1602"/>
        <v>1054</v>
      </c>
      <c r="BM1676" s="15">
        <f>SUMIFS(BJ$2:BJ1676,K$2:K1676,"=Intermission")+SUMIFS(BJ$2:BJ1676,K$2:K1676,"=Timeout")</f>
        <v>142</v>
      </c>
      <c r="BN1676">
        <f t="shared" si="1603"/>
        <v>2302</v>
      </c>
      <c r="BO1676" s="19">
        <f t="shared" si="1604"/>
        <v>2328</v>
      </c>
      <c r="BP1676">
        <f t="shared" si="1605"/>
        <v>2323</v>
      </c>
      <c r="BQ1676" s="17">
        <f t="shared" si="1606"/>
        <v>2328</v>
      </c>
      <c r="BR1676" t="str">
        <f t="shared" si="1607"/>
        <v>opp_team_player_1</v>
      </c>
      <c r="BS1676">
        <f>COUNTIFS(S$3:S1676,"="&amp;S1676,AI$3:AI1676,"="&amp;AI1676)</f>
        <v>1</v>
      </c>
      <c r="BT1676" t="str">
        <f>IFERROR(VLOOKUP(BB1676&amp;BU1676&amp;X1676,game_rosters!U:W,3,FALSE),"")</f>
        <v>P100071</v>
      </c>
      <c r="BU1676" t="str">
        <f t="shared" si="1608"/>
        <v>Nelson</v>
      </c>
    </row>
    <row r="1677" spans="1:73" x14ac:dyDescent="0.2">
      <c r="A1677">
        <f t="shared" si="1594"/>
        <v>1</v>
      </c>
      <c r="J1677" s="44" t="str">
        <f t="shared" si="1609"/>
        <v>d</v>
      </c>
      <c r="K1677" t="s">
        <v>231</v>
      </c>
      <c r="L1677" t="s">
        <v>232</v>
      </c>
      <c r="M1677" t="s">
        <v>756</v>
      </c>
      <c r="S1677">
        <v>884</v>
      </c>
      <c r="W1677" t="str">
        <f t="shared" si="1585"/>
        <v>a</v>
      </c>
      <c r="X1677">
        <v>39</v>
      </c>
      <c r="Y1677" t="e">
        <f>IF(X1677&lt;&gt;"",VLOOKUP(X1677,game_rosters!$C$43:$E$64,3,FALSE))</f>
        <v>#N/A</v>
      </c>
      <c r="Z1677" cm="1">
        <f t="array" ref="Z1677">IFERROR(IF(_xlfn._xlws.FILTER(game_rosters!$J:$J,(game_rosters!$G:$G=events!$AN1677)*(game_rosters!$J:$J=events!$X1677))&gt;0,1,""),"")</f>
        <v>1</v>
      </c>
      <c r="AA1677">
        <f t="shared" si="1543"/>
        <v>1884</v>
      </c>
      <c r="AB1677" t="str">
        <f t="shared" si="1544"/>
        <v/>
      </c>
      <c r="AC1677">
        <f t="shared" si="1582"/>
        <v>1884</v>
      </c>
      <c r="AD1677" s="6">
        <v>3</v>
      </c>
      <c r="AE1677" t="s">
        <v>732</v>
      </c>
      <c r="AF1677" t="s">
        <v>929</v>
      </c>
      <c r="AG1677" t="s">
        <v>756</v>
      </c>
      <c r="AH1677" t="s">
        <v>756</v>
      </c>
      <c r="AI1677" t="s">
        <v>367</v>
      </c>
      <c r="AJ1677" t="str">
        <f t="shared" ref="AJ1677:AK1677" si="1617">IF($J1677&lt;&gt;"",$J1677,IF($AC1677=$AC1676,AJ1676,""))</f>
        <v>d</v>
      </c>
      <c r="AK1677" t="str">
        <f t="shared" si="1617"/>
        <v>d</v>
      </c>
      <c r="AL1677" t="str">
        <f t="shared" si="1587"/>
        <v>o</v>
      </c>
      <c r="AN1677" t="s">
        <v>862</v>
      </c>
      <c r="AO1677" t="str">
        <f t="shared" si="1588"/>
        <v>a</v>
      </c>
      <c r="AP1677" t="str">
        <f t="shared" si="1596"/>
        <v>o</v>
      </c>
      <c r="AQ1677" t="str">
        <f t="shared" si="1597"/>
        <v/>
      </c>
      <c r="AR1677" t="str">
        <f t="shared" si="1598"/>
        <v>Away</v>
      </c>
      <c r="AS1677" t="str">
        <f t="shared" si="1599"/>
        <v>a</v>
      </c>
      <c r="AT1677" t="str">
        <f t="shared" si="1600"/>
        <v>Offensive</v>
      </c>
      <c r="BA1677" s="6">
        <f t="shared" si="1589"/>
        <v>384</v>
      </c>
      <c r="BB1677">
        <f t="shared" si="1590"/>
        <v>18981</v>
      </c>
      <c r="BC1677" t="str">
        <f t="shared" si="1591"/>
        <v>Nelson</v>
      </c>
      <c r="BD1677" t="str">
        <f t="shared" si="1592"/>
        <v>Velodrome</v>
      </c>
      <c r="BE1677" t="s">
        <v>231</v>
      </c>
      <c r="BF1677" t="s">
        <v>232</v>
      </c>
      <c r="BG1677" t="s">
        <v>756</v>
      </c>
      <c r="BI1677" cm="1">
        <f t="array" aca="1" ref="BI1677" ca="1">IFERROR(_xlfn._xlws.FILTER(shifts!A:A,(shifts!B:B=events!AD1677)*(shifts!AG:AG&gt;=events!BK1677)*(shifts!AH:AH&lt;=events!BL1677)),BI1676)</f>
        <v>75</v>
      </c>
      <c r="BJ1677" s="15">
        <f t="shared" si="1593"/>
        <v>0</v>
      </c>
      <c r="BK1677">
        <f t="shared" si="1601"/>
        <v>1054</v>
      </c>
      <c r="BL1677">
        <f t="shared" si="1602"/>
        <v>1054</v>
      </c>
      <c r="BM1677" s="15">
        <f>SUMIFS(BJ$2:BJ1677,K$2:K1677,"=Intermission")+SUMIFS(BJ$2:BJ1677,K$2:K1677,"=Timeout")</f>
        <v>142</v>
      </c>
      <c r="BN1677">
        <f t="shared" si="1603"/>
        <v>2302</v>
      </c>
      <c r="BO1677" s="19">
        <f t="shared" si="1604"/>
        <v>2328</v>
      </c>
      <c r="BP1677">
        <f t="shared" si="1605"/>
        <v>2323</v>
      </c>
      <c r="BQ1677" s="17">
        <f t="shared" si="1606"/>
        <v>2328</v>
      </c>
      <c r="BR1677" t="str">
        <f t="shared" si="1607"/>
        <v>event_team_player_1</v>
      </c>
      <c r="BS1677">
        <f>COUNTIFS(S$3:S1677,"="&amp;S1677,AI$3:AI1677,"="&amp;AI1677)</f>
        <v>1</v>
      </c>
      <c r="BT1677" t="str">
        <f>IFERROR(VLOOKUP(BB1677&amp;BU1677&amp;X1677,game_rosters!U:W,3,FALSE),"")</f>
        <v>P100016</v>
      </c>
      <c r="BU1677" t="str">
        <f t="shared" si="1608"/>
        <v>Velodrome</v>
      </c>
    </row>
    <row r="1678" spans="1:73" x14ac:dyDescent="0.2">
      <c r="A1678">
        <f t="shared" si="1594"/>
        <v>1</v>
      </c>
      <c r="J1678" s="44" t="str">
        <f t="shared" si="1609"/>
        <v/>
      </c>
      <c r="K1678" t="s">
        <v>13</v>
      </c>
      <c r="L1678" t="s">
        <v>756</v>
      </c>
      <c r="M1678" t="s">
        <v>756</v>
      </c>
      <c r="S1678">
        <v>885</v>
      </c>
      <c r="W1678" t="str">
        <f t="shared" si="1585"/>
        <v>a</v>
      </c>
      <c r="X1678">
        <v>9</v>
      </c>
      <c r="Y1678" t="e">
        <f>IF(X1678&lt;&gt;"",VLOOKUP(X1678,game_rosters!$C$43:$E$64,3,FALSE))</f>
        <v>#N/A</v>
      </c>
      <c r="Z1678" cm="1">
        <f t="array" ref="Z1678">IFERROR(IF(_xlfn._xlws.FILTER(game_rosters!$J:$J,(game_rosters!$G:$G=events!$AN1678)*(game_rosters!$J:$J=events!$X1678))&gt;0,1,""),"")</f>
        <v>1</v>
      </c>
      <c r="AA1678">
        <f t="shared" si="1543"/>
        <v>1885</v>
      </c>
      <c r="AB1678" t="str">
        <f t="shared" si="1544"/>
        <v/>
      </c>
      <c r="AC1678">
        <f t="shared" si="1582"/>
        <v>1885</v>
      </c>
      <c r="AD1678" s="6">
        <v>3</v>
      </c>
      <c r="AE1678" t="s">
        <v>732</v>
      </c>
      <c r="AF1678" t="s">
        <v>914</v>
      </c>
      <c r="AG1678" t="s">
        <v>732</v>
      </c>
      <c r="AH1678" t="s">
        <v>915</v>
      </c>
      <c r="AI1678" t="s">
        <v>367</v>
      </c>
      <c r="AJ1678" t="str">
        <f t="shared" ref="AJ1678:AK1678" si="1618">IF($J1678&lt;&gt;"",$J1678,IF($AC1678=$AC1677,AJ1677,""))</f>
        <v/>
      </c>
      <c r="AK1678" t="str">
        <f t="shared" si="1618"/>
        <v/>
      </c>
      <c r="AL1678" t="str">
        <f t="shared" si="1587"/>
        <v/>
      </c>
      <c r="AN1678" t="s">
        <v>862</v>
      </c>
      <c r="AO1678" t="str">
        <f t="shared" si="1588"/>
        <v>a</v>
      </c>
      <c r="AP1678" t="str">
        <f t="shared" si="1596"/>
        <v/>
      </c>
      <c r="AQ1678" t="str">
        <f t="shared" si="1597"/>
        <v/>
      </c>
      <c r="AR1678" t="str">
        <f t="shared" si="1598"/>
        <v>Away</v>
      </c>
      <c r="AS1678" t="str">
        <f t="shared" si="1599"/>
        <v>a</v>
      </c>
      <c r="AT1678" t="str">
        <f t="shared" si="1600"/>
        <v>Offensive</v>
      </c>
      <c r="BA1678" s="6">
        <f t="shared" si="1589"/>
        <v>384</v>
      </c>
      <c r="BB1678">
        <f t="shared" si="1590"/>
        <v>18981</v>
      </c>
      <c r="BC1678" t="str">
        <f t="shared" si="1591"/>
        <v>Nelson</v>
      </c>
      <c r="BD1678" t="str">
        <f t="shared" si="1592"/>
        <v>Velodrome</v>
      </c>
      <c r="BE1678" t="s">
        <v>13</v>
      </c>
      <c r="BF1678" t="s">
        <v>756</v>
      </c>
      <c r="BG1678" t="s">
        <v>756</v>
      </c>
      <c r="BI1678" cm="1">
        <f t="array" aca="1" ref="BI1678" ca="1">IFERROR(_xlfn._xlws.FILTER(shifts!A:A,(shifts!B:B=events!AD1678)*(shifts!AG:AG&gt;=events!BK1678)*(shifts!AH:AH&lt;=events!BL1678)),BI1677)</f>
        <v>75</v>
      </c>
      <c r="BJ1678" s="15">
        <f t="shared" si="1593"/>
        <v>3</v>
      </c>
      <c r="BK1678">
        <f t="shared" si="1601"/>
        <v>1053</v>
      </c>
      <c r="BL1678">
        <f t="shared" si="1602"/>
        <v>1050</v>
      </c>
      <c r="BM1678" s="15">
        <f>SUMIFS(BJ$2:BJ1678,K$2:K1678,"=Intermission")+SUMIFS(BJ$2:BJ1678,K$2:K1678,"=Timeout")</f>
        <v>142</v>
      </c>
      <c r="BN1678">
        <f t="shared" si="1603"/>
        <v>2302</v>
      </c>
      <c r="BO1678" s="19">
        <f t="shared" si="1604"/>
        <v>2329</v>
      </c>
      <c r="BP1678">
        <f t="shared" si="1605"/>
        <v>2324</v>
      </c>
      <c r="BQ1678" s="17">
        <f t="shared" si="1606"/>
        <v>2332</v>
      </c>
      <c r="BR1678" t="str">
        <f t="shared" si="1607"/>
        <v>event_team_player_1</v>
      </c>
      <c r="BS1678">
        <f>COUNTIFS(S$3:S1678,"="&amp;S1678,AI$3:AI1678,"="&amp;AI1678)</f>
        <v>1</v>
      </c>
      <c r="BT1678" t="str">
        <f>IFERROR(VLOOKUP(BB1678&amp;BU1678&amp;X1678,game_rosters!U:W,3,FALSE),"")</f>
        <v>P100105</v>
      </c>
      <c r="BU1678" t="str">
        <f t="shared" si="1608"/>
        <v>Velodrome</v>
      </c>
    </row>
    <row r="1679" spans="1:73" x14ac:dyDescent="0.2">
      <c r="A1679">
        <f t="shared" si="1594"/>
        <v>1</v>
      </c>
      <c r="J1679" s="44" t="str">
        <f t="shared" si="1609"/>
        <v/>
      </c>
      <c r="K1679" t="s">
        <v>13</v>
      </c>
      <c r="L1679" t="s">
        <v>756</v>
      </c>
      <c r="M1679" t="s">
        <v>756</v>
      </c>
      <c r="S1679">
        <v>885</v>
      </c>
      <c r="W1679" t="str">
        <f t="shared" si="1585"/>
        <v>a</v>
      </c>
      <c r="X1679">
        <v>79</v>
      </c>
      <c r="Y1679" t="b">
        <f>IF(X1679&lt;&gt;"",VLOOKUP(X1679,game_rosters!$C$43:$E$64,3,FALSE))</f>
        <v>0</v>
      </c>
      <c r="Z1679" t="str" cm="1">
        <f t="array" ref="Z1679">IFERROR(IF(_xlfn._xlws.FILTER(game_rosters!$J:$J,(game_rosters!$G:$G=events!$AN1679)*(game_rosters!$J:$J=events!$X1679))&gt;0,1,""),"")</f>
        <v/>
      </c>
      <c r="AA1679">
        <f t="shared" si="1543"/>
        <v>1885</v>
      </c>
      <c r="AB1679" t="str">
        <f t="shared" si="1544"/>
        <v/>
      </c>
      <c r="AC1679">
        <f t="shared" si="1582"/>
        <v>1885</v>
      </c>
      <c r="AD1679" s="6">
        <v>3</v>
      </c>
      <c r="AE1679" t="s">
        <v>732</v>
      </c>
      <c r="AF1679" t="s">
        <v>914</v>
      </c>
      <c r="AG1679" t="s">
        <v>732</v>
      </c>
      <c r="AH1679" t="s">
        <v>915</v>
      </c>
      <c r="AI1679" t="s">
        <v>368</v>
      </c>
      <c r="AJ1679" t="str">
        <f t="shared" ref="AJ1679:AK1679" si="1619">IF($J1679&lt;&gt;"",$J1679,IF($AC1679=$AC1678,AJ1678,""))</f>
        <v/>
      </c>
      <c r="AK1679" t="str">
        <f t="shared" si="1619"/>
        <v/>
      </c>
      <c r="AL1679" t="str">
        <f t="shared" si="1587"/>
        <v/>
      </c>
      <c r="AN1679" t="s">
        <v>862</v>
      </c>
      <c r="AO1679" t="str">
        <f t="shared" si="1588"/>
        <v>a</v>
      </c>
      <c r="AP1679" t="str">
        <f t="shared" si="1596"/>
        <v/>
      </c>
      <c r="AQ1679" t="str">
        <f t="shared" si="1597"/>
        <v/>
      </c>
      <c r="AR1679" t="str">
        <f t="shared" si="1598"/>
        <v>Away</v>
      </c>
      <c r="AS1679" t="str">
        <f t="shared" si="1599"/>
        <v>a</v>
      </c>
      <c r="AT1679" t="str">
        <f t="shared" si="1600"/>
        <v>Defensive</v>
      </c>
      <c r="BA1679" s="6">
        <f t="shared" si="1589"/>
        <v>384</v>
      </c>
      <c r="BB1679">
        <f t="shared" si="1590"/>
        <v>18981</v>
      </c>
      <c r="BC1679" t="str">
        <f t="shared" si="1591"/>
        <v>Nelson</v>
      </c>
      <c r="BD1679" t="str">
        <f t="shared" si="1592"/>
        <v>Velodrome</v>
      </c>
      <c r="BE1679" t="s">
        <v>13</v>
      </c>
      <c r="BF1679" t="s">
        <v>756</v>
      </c>
      <c r="BG1679" t="s">
        <v>756</v>
      </c>
      <c r="BI1679" cm="1">
        <f t="array" aca="1" ref="BI1679" ca="1">IFERROR(_xlfn._xlws.FILTER(shifts!A:A,(shifts!B:B=events!AD1679)*(shifts!AG:AG&gt;=events!BK1679)*(shifts!AH:AH&lt;=events!BL1679)),BI1678)</f>
        <v>75</v>
      </c>
      <c r="BJ1679" s="15">
        <f t="shared" si="1593"/>
        <v>3</v>
      </c>
      <c r="BK1679">
        <f t="shared" si="1601"/>
        <v>1053</v>
      </c>
      <c r="BL1679">
        <f t="shared" si="1602"/>
        <v>1050</v>
      </c>
      <c r="BM1679" s="15">
        <f>SUMIFS(BJ$2:BJ1679,K$2:K1679,"=Intermission")+SUMIFS(BJ$2:BJ1679,K$2:K1679,"=Timeout")</f>
        <v>142</v>
      </c>
      <c r="BN1679">
        <f t="shared" si="1603"/>
        <v>2302</v>
      </c>
      <c r="BO1679" s="19">
        <f t="shared" si="1604"/>
        <v>2329</v>
      </c>
      <c r="BP1679">
        <f t="shared" si="1605"/>
        <v>2324</v>
      </c>
      <c r="BQ1679" s="17">
        <f t="shared" si="1606"/>
        <v>2332</v>
      </c>
      <c r="BR1679" t="str">
        <f t="shared" si="1607"/>
        <v>opp_team_player_1</v>
      </c>
      <c r="BS1679">
        <f>COUNTIFS(S$3:S1679,"="&amp;S1679,AI$3:AI1679,"="&amp;AI1679)</f>
        <v>1</v>
      </c>
      <c r="BT1679" t="str">
        <f>IFERROR(VLOOKUP(BB1679&amp;BU1679&amp;X1679,game_rosters!U:W,3,FALSE),"")</f>
        <v>P100066</v>
      </c>
      <c r="BU1679" t="str">
        <f t="shared" si="1608"/>
        <v>Nelson</v>
      </c>
    </row>
    <row r="1680" spans="1:73" x14ac:dyDescent="0.2">
      <c r="A1680">
        <f t="shared" si="1594"/>
        <v>1</v>
      </c>
      <c r="J1680" s="44" t="str">
        <f t="shared" si="1609"/>
        <v/>
      </c>
      <c r="K1680" t="s">
        <v>7</v>
      </c>
      <c r="L1680" t="s">
        <v>172</v>
      </c>
      <c r="M1680" t="s">
        <v>66</v>
      </c>
      <c r="S1680">
        <v>886</v>
      </c>
      <c r="W1680" t="str">
        <f t="shared" si="1585"/>
        <v>a</v>
      </c>
      <c r="X1680">
        <v>9</v>
      </c>
      <c r="Y1680" t="e">
        <f>IF(X1680&lt;&gt;"",VLOOKUP(X1680,game_rosters!$C$43:$E$64,3,FALSE))</f>
        <v>#N/A</v>
      </c>
      <c r="Z1680" cm="1">
        <f t="array" ref="Z1680">IFERROR(IF(_xlfn._xlws.FILTER(game_rosters!$J:$J,(game_rosters!$G:$G=events!$AN1680)*(game_rosters!$J:$J=events!$X1680))&gt;0,1,""),"")</f>
        <v>1</v>
      </c>
      <c r="AA1680">
        <f t="shared" si="1543"/>
        <v>1886</v>
      </c>
      <c r="AB1680" t="str">
        <f t="shared" si="1544"/>
        <v/>
      </c>
      <c r="AC1680">
        <f t="shared" si="1582"/>
        <v>1886</v>
      </c>
      <c r="AD1680" s="6">
        <v>3</v>
      </c>
      <c r="AE1680" t="s">
        <v>732</v>
      </c>
      <c r="AF1680" t="s">
        <v>915</v>
      </c>
      <c r="AG1680" t="s">
        <v>756</v>
      </c>
      <c r="AH1680" t="s">
        <v>756</v>
      </c>
      <c r="AI1680" t="s">
        <v>367</v>
      </c>
      <c r="AJ1680" t="str">
        <f t="shared" ref="AJ1680:AK1680" si="1620">IF($J1680&lt;&gt;"",$J1680,IF($AC1680=$AC1679,AJ1679,""))</f>
        <v/>
      </c>
      <c r="AK1680" t="str">
        <f t="shared" si="1620"/>
        <v/>
      </c>
      <c r="AL1680" t="str">
        <f t="shared" si="1587"/>
        <v/>
      </c>
      <c r="AN1680" t="s">
        <v>862</v>
      </c>
      <c r="AO1680" t="str">
        <f t="shared" si="1588"/>
        <v>a</v>
      </c>
      <c r="AP1680" t="str">
        <f t="shared" si="1596"/>
        <v/>
      </c>
      <c r="AQ1680" t="str">
        <f t="shared" si="1597"/>
        <v/>
      </c>
      <c r="AR1680" t="str">
        <f t="shared" si="1598"/>
        <v>Away</v>
      </c>
      <c r="AS1680" t="str">
        <f t="shared" si="1599"/>
        <v>a</v>
      </c>
      <c r="AT1680" t="str">
        <f t="shared" si="1600"/>
        <v>Offensive</v>
      </c>
      <c r="BA1680" s="6">
        <f t="shared" si="1589"/>
        <v>384</v>
      </c>
      <c r="BB1680">
        <f t="shared" si="1590"/>
        <v>18981</v>
      </c>
      <c r="BC1680" t="str">
        <f t="shared" si="1591"/>
        <v>Nelson</v>
      </c>
      <c r="BD1680" t="str">
        <f t="shared" si="1592"/>
        <v>Velodrome</v>
      </c>
      <c r="BE1680" t="s">
        <v>7</v>
      </c>
      <c r="BF1680" t="s">
        <v>172</v>
      </c>
      <c r="BG1680" t="s">
        <v>66</v>
      </c>
      <c r="BI1680" cm="1">
        <f t="array" aca="1" ref="BI1680" ca="1">IFERROR(_xlfn._xlws.FILTER(shifts!A:A,(shifts!B:B=events!AD1680)*(shifts!AG:AG&gt;=events!BK1680)*(shifts!AH:AH&lt;=events!BL1680)),BI1679)</f>
        <v>75</v>
      </c>
      <c r="BJ1680" s="15">
        <f t="shared" si="1593"/>
        <v>0</v>
      </c>
      <c r="BK1680">
        <f t="shared" si="1601"/>
        <v>1050</v>
      </c>
      <c r="BL1680">
        <f t="shared" si="1602"/>
        <v>1050</v>
      </c>
      <c r="BM1680" s="15">
        <f>SUMIFS(BJ$2:BJ1680,K$2:K1680,"=Intermission")+SUMIFS(BJ$2:BJ1680,K$2:K1680,"=Timeout")</f>
        <v>142</v>
      </c>
      <c r="BN1680">
        <f t="shared" si="1603"/>
        <v>2302</v>
      </c>
      <c r="BO1680" s="19">
        <f t="shared" si="1604"/>
        <v>2332</v>
      </c>
      <c r="BP1680">
        <f t="shared" si="1605"/>
        <v>2327</v>
      </c>
      <c r="BQ1680" s="17">
        <f t="shared" si="1606"/>
        <v>2332</v>
      </c>
      <c r="BR1680" t="str">
        <f t="shared" si="1607"/>
        <v>event_team_player_1</v>
      </c>
      <c r="BS1680">
        <f>COUNTIFS(S$3:S1680,"="&amp;S1680,AI$3:AI1680,"="&amp;AI1680)</f>
        <v>1</v>
      </c>
      <c r="BT1680" t="str">
        <f>IFERROR(VLOOKUP(BB1680&amp;BU1680&amp;X1680,game_rosters!U:W,3,FALSE),"")</f>
        <v>P100105</v>
      </c>
      <c r="BU1680" t="str">
        <f t="shared" si="1608"/>
        <v>Velodrome</v>
      </c>
    </row>
    <row r="1681" spans="1:73" x14ac:dyDescent="0.2">
      <c r="A1681">
        <f t="shared" si="1594"/>
        <v>1</v>
      </c>
      <c r="J1681" s="44" t="str">
        <f t="shared" si="1609"/>
        <v/>
      </c>
      <c r="K1681" t="s">
        <v>7</v>
      </c>
      <c r="L1681" t="s">
        <v>172</v>
      </c>
      <c r="M1681" t="s">
        <v>66</v>
      </c>
      <c r="S1681">
        <v>886</v>
      </c>
      <c r="W1681" t="str">
        <f t="shared" si="1585"/>
        <v>a</v>
      </c>
      <c r="X1681">
        <v>70</v>
      </c>
      <c r="Y1681" t="e">
        <f>IF(X1681&lt;&gt;"",VLOOKUP(X1681,game_rosters!$C$43:$E$64,3,FALSE))</f>
        <v>#N/A</v>
      </c>
      <c r="Z1681" cm="1">
        <f t="array" ref="Z1681">IFERROR(IF(_xlfn._xlws.FILTER(game_rosters!$J:$J,(game_rosters!$G:$G=events!$AN1681)*(game_rosters!$J:$J=events!$X1681))&gt;0,1,""),"")</f>
        <v>1</v>
      </c>
      <c r="AA1681">
        <f t="shared" si="1543"/>
        <v>1886</v>
      </c>
      <c r="AB1681" t="str">
        <f t="shared" si="1544"/>
        <v/>
      </c>
      <c r="AC1681">
        <f t="shared" si="1582"/>
        <v>1886</v>
      </c>
      <c r="AD1681" s="6">
        <v>3</v>
      </c>
      <c r="AE1681" t="s">
        <v>732</v>
      </c>
      <c r="AF1681" t="s">
        <v>915</v>
      </c>
      <c r="AG1681" t="s">
        <v>756</v>
      </c>
      <c r="AH1681" t="s">
        <v>756</v>
      </c>
      <c r="AI1681" t="s">
        <v>367</v>
      </c>
      <c r="AJ1681" t="str">
        <f t="shared" ref="AJ1681:AK1681" si="1621">IF($J1681&lt;&gt;"",$J1681,IF($AC1681=$AC1680,AJ1680,""))</f>
        <v/>
      </c>
      <c r="AK1681" t="str">
        <f t="shared" si="1621"/>
        <v/>
      </c>
      <c r="AL1681" t="str">
        <f t="shared" si="1587"/>
        <v/>
      </c>
      <c r="AN1681" t="s">
        <v>862</v>
      </c>
      <c r="AO1681" t="str">
        <f t="shared" si="1588"/>
        <v>a</v>
      </c>
      <c r="AP1681" t="str">
        <f t="shared" si="1596"/>
        <v/>
      </c>
      <c r="AQ1681" t="str">
        <f t="shared" si="1597"/>
        <v/>
      </c>
      <c r="AR1681" t="str">
        <f t="shared" si="1598"/>
        <v>Away</v>
      </c>
      <c r="AS1681" t="str">
        <f t="shared" si="1599"/>
        <v>a</v>
      </c>
      <c r="AT1681" t="str">
        <f t="shared" si="1600"/>
        <v>Offensive</v>
      </c>
      <c r="BA1681" s="6">
        <f t="shared" si="1589"/>
        <v>384</v>
      </c>
      <c r="BB1681">
        <f t="shared" si="1590"/>
        <v>18981</v>
      </c>
      <c r="BC1681" t="str">
        <f t="shared" si="1591"/>
        <v>Nelson</v>
      </c>
      <c r="BD1681" t="str">
        <f t="shared" si="1592"/>
        <v>Velodrome</v>
      </c>
      <c r="BE1681" t="s">
        <v>7</v>
      </c>
      <c r="BF1681" t="s">
        <v>172</v>
      </c>
      <c r="BG1681" t="s">
        <v>66</v>
      </c>
      <c r="BI1681" cm="1">
        <f t="array" aca="1" ref="BI1681" ca="1">IFERROR(_xlfn._xlws.FILTER(shifts!A:A,(shifts!B:B=events!AD1681)*(shifts!AG:AG&gt;=events!BK1681)*(shifts!AH:AH&lt;=events!BL1681)),BI1680)</f>
        <v>75</v>
      </c>
      <c r="BJ1681" s="15">
        <f t="shared" si="1593"/>
        <v>0</v>
      </c>
      <c r="BK1681">
        <f t="shared" si="1601"/>
        <v>1050</v>
      </c>
      <c r="BL1681">
        <f t="shared" si="1602"/>
        <v>1050</v>
      </c>
      <c r="BM1681" s="15">
        <f>SUMIFS(BJ$2:BJ1681,K$2:K1681,"=Intermission")+SUMIFS(BJ$2:BJ1681,K$2:K1681,"=Timeout")</f>
        <v>142</v>
      </c>
      <c r="BN1681">
        <f t="shared" si="1603"/>
        <v>2302</v>
      </c>
      <c r="BO1681" s="19">
        <f t="shared" si="1604"/>
        <v>2332</v>
      </c>
      <c r="BP1681">
        <f t="shared" si="1605"/>
        <v>2327</v>
      </c>
      <c r="BQ1681" s="17">
        <f t="shared" si="1606"/>
        <v>2332</v>
      </c>
      <c r="BR1681" t="str">
        <f t="shared" si="1607"/>
        <v>event_team_player_2</v>
      </c>
      <c r="BS1681">
        <f>COUNTIFS(S$3:S1681,"="&amp;S1681,AI$3:AI1681,"="&amp;AI1681)</f>
        <v>2</v>
      </c>
      <c r="BT1681" t="str">
        <f>IFERROR(VLOOKUP(BB1681&amp;BU1681&amp;X1681,game_rosters!U:W,3,FALSE),"")</f>
        <v>P100001</v>
      </c>
      <c r="BU1681" t="str">
        <f t="shared" si="1608"/>
        <v>Velodrome</v>
      </c>
    </row>
    <row r="1682" spans="1:73" x14ac:dyDescent="0.2">
      <c r="A1682">
        <f t="shared" si="1594"/>
        <v>1</v>
      </c>
      <c r="J1682" s="44" t="str">
        <f t="shared" si="1609"/>
        <v/>
      </c>
      <c r="K1682" t="s">
        <v>7</v>
      </c>
      <c r="L1682" t="s">
        <v>172</v>
      </c>
      <c r="M1682" t="s">
        <v>66</v>
      </c>
      <c r="S1682">
        <v>886</v>
      </c>
      <c r="W1682" t="str">
        <f t="shared" si="1585"/>
        <v>a</v>
      </c>
      <c r="X1682">
        <v>79</v>
      </c>
      <c r="Y1682" t="b">
        <f>IF(X1682&lt;&gt;"",VLOOKUP(X1682,game_rosters!$C$43:$E$64,3,FALSE))</f>
        <v>0</v>
      </c>
      <c r="Z1682" t="str" cm="1">
        <f t="array" ref="Z1682">IFERROR(IF(_xlfn._xlws.FILTER(game_rosters!$J:$J,(game_rosters!$G:$G=events!$AN1682)*(game_rosters!$J:$J=events!$X1682))&gt;0,1,""),"")</f>
        <v/>
      </c>
      <c r="AA1682">
        <f t="shared" si="1543"/>
        <v>1886</v>
      </c>
      <c r="AB1682" t="str">
        <f t="shared" si="1544"/>
        <v/>
      </c>
      <c r="AC1682">
        <f t="shared" si="1582"/>
        <v>1886</v>
      </c>
      <c r="AD1682" s="6">
        <v>3</v>
      </c>
      <c r="AE1682" t="s">
        <v>732</v>
      </c>
      <c r="AF1682" t="s">
        <v>915</v>
      </c>
      <c r="AG1682" t="s">
        <v>756</v>
      </c>
      <c r="AH1682" t="s">
        <v>756</v>
      </c>
      <c r="AI1682" t="s">
        <v>368</v>
      </c>
      <c r="AJ1682" t="str">
        <f t="shared" ref="AJ1682:AK1682" si="1622">IF($J1682&lt;&gt;"",$J1682,IF($AC1682=$AC1681,AJ1681,""))</f>
        <v/>
      </c>
      <c r="AK1682" t="str">
        <f t="shared" si="1622"/>
        <v/>
      </c>
      <c r="AL1682" t="str">
        <f t="shared" si="1587"/>
        <v/>
      </c>
      <c r="AN1682" t="s">
        <v>862</v>
      </c>
      <c r="AO1682" t="str">
        <f t="shared" si="1588"/>
        <v>a</v>
      </c>
      <c r="AP1682" t="str">
        <f t="shared" si="1596"/>
        <v/>
      </c>
      <c r="AQ1682" t="str">
        <f t="shared" si="1597"/>
        <v/>
      </c>
      <c r="AR1682" t="str">
        <f t="shared" si="1598"/>
        <v>Away</v>
      </c>
      <c r="AS1682" t="str">
        <f t="shared" si="1599"/>
        <v>a</v>
      </c>
      <c r="AT1682" t="str">
        <f t="shared" si="1600"/>
        <v>Defensive</v>
      </c>
      <c r="BA1682" s="6">
        <f t="shared" si="1589"/>
        <v>384</v>
      </c>
      <c r="BB1682">
        <f t="shared" si="1590"/>
        <v>18981</v>
      </c>
      <c r="BC1682" t="str">
        <f t="shared" si="1591"/>
        <v>Nelson</v>
      </c>
      <c r="BD1682" t="str">
        <f t="shared" si="1592"/>
        <v>Velodrome</v>
      </c>
      <c r="BE1682" t="s">
        <v>7</v>
      </c>
      <c r="BF1682" t="s">
        <v>172</v>
      </c>
      <c r="BG1682" t="s">
        <v>66</v>
      </c>
      <c r="BI1682" cm="1">
        <f t="array" aca="1" ref="BI1682" ca="1">IFERROR(_xlfn._xlws.FILTER(shifts!A:A,(shifts!B:B=events!AD1682)*(shifts!AG:AG&gt;=events!BK1682)*(shifts!AH:AH&lt;=events!BL1682)),BI1681)</f>
        <v>75</v>
      </c>
      <c r="BJ1682" s="15">
        <f t="shared" si="1593"/>
        <v>0</v>
      </c>
      <c r="BK1682">
        <f t="shared" si="1601"/>
        <v>1050</v>
      </c>
      <c r="BL1682">
        <f t="shared" si="1602"/>
        <v>1050</v>
      </c>
      <c r="BM1682" s="15">
        <f>SUMIFS(BJ$2:BJ1682,K$2:K1682,"=Intermission")+SUMIFS(BJ$2:BJ1682,K$2:K1682,"=Timeout")</f>
        <v>142</v>
      </c>
      <c r="BN1682">
        <f t="shared" si="1603"/>
        <v>2302</v>
      </c>
      <c r="BO1682" s="19">
        <f t="shared" si="1604"/>
        <v>2332</v>
      </c>
      <c r="BP1682">
        <f t="shared" si="1605"/>
        <v>2327</v>
      </c>
      <c r="BQ1682" s="17">
        <f t="shared" si="1606"/>
        <v>2332</v>
      </c>
      <c r="BR1682" t="str">
        <f t="shared" si="1607"/>
        <v>opp_team_player_1</v>
      </c>
      <c r="BS1682">
        <f>COUNTIFS(S$3:S1682,"="&amp;S1682,AI$3:AI1682,"="&amp;AI1682)</f>
        <v>1</v>
      </c>
      <c r="BT1682" t="str">
        <f>IFERROR(VLOOKUP(BB1682&amp;BU1682&amp;X1682,game_rosters!U:W,3,FALSE),"")</f>
        <v>P100066</v>
      </c>
      <c r="BU1682" t="str">
        <f t="shared" si="1608"/>
        <v>Nelson</v>
      </c>
    </row>
    <row r="1683" spans="1:73" x14ac:dyDescent="0.2">
      <c r="A1683">
        <f t="shared" si="1594"/>
        <v>1</v>
      </c>
      <c r="J1683" s="44" t="str">
        <f t="shared" si="1609"/>
        <v/>
      </c>
      <c r="K1683" t="s">
        <v>7</v>
      </c>
      <c r="L1683" t="s">
        <v>172</v>
      </c>
      <c r="M1683" t="s">
        <v>66</v>
      </c>
      <c r="S1683">
        <v>886</v>
      </c>
      <c r="W1683" t="str">
        <f t="shared" si="1585"/>
        <v>a</v>
      </c>
      <c r="X1683">
        <v>80</v>
      </c>
      <c r="Y1683" t="b">
        <f>IF(X1683&lt;&gt;"",VLOOKUP(X1683,game_rosters!$C$43:$E$64,3,FALSE))</f>
        <v>0</v>
      </c>
      <c r="Z1683" t="str" cm="1">
        <f t="array" ref="Z1683">IFERROR(IF(_xlfn._xlws.FILTER(game_rosters!$J:$J,(game_rosters!$G:$G=events!$AN1683)*(game_rosters!$J:$J=events!$X1683))&gt;0,1,""),"")</f>
        <v/>
      </c>
      <c r="AA1683">
        <f t="shared" si="1543"/>
        <v>1886</v>
      </c>
      <c r="AB1683" t="str">
        <f t="shared" si="1544"/>
        <v/>
      </c>
      <c r="AC1683">
        <f t="shared" si="1582"/>
        <v>1886</v>
      </c>
      <c r="AD1683" s="6">
        <v>3</v>
      </c>
      <c r="AE1683" t="s">
        <v>732</v>
      </c>
      <c r="AF1683" t="s">
        <v>915</v>
      </c>
      <c r="AG1683" t="s">
        <v>756</v>
      </c>
      <c r="AH1683" t="s">
        <v>756</v>
      </c>
      <c r="AI1683" t="s">
        <v>368</v>
      </c>
      <c r="AJ1683" t="str">
        <f t="shared" ref="AJ1683:AK1683" si="1623">IF($J1683&lt;&gt;"",$J1683,IF($AC1683=$AC1682,AJ1682,""))</f>
        <v/>
      </c>
      <c r="AK1683" t="str">
        <f t="shared" si="1623"/>
        <v/>
      </c>
      <c r="AL1683" t="str">
        <f t="shared" si="1587"/>
        <v/>
      </c>
      <c r="AN1683" t="s">
        <v>862</v>
      </c>
      <c r="AO1683" t="str">
        <f t="shared" si="1588"/>
        <v>a</v>
      </c>
      <c r="AP1683" t="str">
        <f t="shared" si="1596"/>
        <v/>
      </c>
      <c r="AQ1683" t="str">
        <f t="shared" si="1597"/>
        <v/>
      </c>
      <c r="AR1683" t="str">
        <f t="shared" si="1598"/>
        <v>Away</v>
      </c>
      <c r="AS1683" t="str">
        <f t="shared" si="1599"/>
        <v>a</v>
      </c>
      <c r="AT1683" t="str">
        <f t="shared" si="1600"/>
        <v>Defensive</v>
      </c>
      <c r="BA1683" s="6">
        <f t="shared" si="1589"/>
        <v>384</v>
      </c>
      <c r="BB1683">
        <f t="shared" si="1590"/>
        <v>18981</v>
      </c>
      <c r="BC1683" t="str">
        <f t="shared" si="1591"/>
        <v>Nelson</v>
      </c>
      <c r="BD1683" t="str">
        <f t="shared" si="1592"/>
        <v>Velodrome</v>
      </c>
      <c r="BE1683" t="s">
        <v>7</v>
      </c>
      <c r="BF1683" t="s">
        <v>172</v>
      </c>
      <c r="BG1683" t="s">
        <v>66</v>
      </c>
      <c r="BI1683" cm="1">
        <f t="array" aca="1" ref="BI1683" ca="1">IFERROR(_xlfn._xlws.FILTER(shifts!A:A,(shifts!B:B=events!AD1683)*(shifts!AG:AG&gt;=events!BK1683)*(shifts!AH:AH&lt;=events!BL1683)),BI1682)</f>
        <v>75</v>
      </c>
      <c r="BJ1683" s="15">
        <f t="shared" si="1593"/>
        <v>0</v>
      </c>
      <c r="BK1683">
        <f t="shared" si="1601"/>
        <v>1050</v>
      </c>
      <c r="BL1683">
        <f t="shared" si="1602"/>
        <v>1050</v>
      </c>
      <c r="BM1683" s="15">
        <f>SUMIFS(BJ$2:BJ1683,K$2:K1683,"=Intermission")+SUMIFS(BJ$2:BJ1683,K$2:K1683,"=Timeout")</f>
        <v>142</v>
      </c>
      <c r="BN1683">
        <f t="shared" si="1603"/>
        <v>2302</v>
      </c>
      <c r="BO1683" s="19">
        <f t="shared" si="1604"/>
        <v>2332</v>
      </c>
      <c r="BP1683">
        <f t="shared" si="1605"/>
        <v>2327</v>
      </c>
      <c r="BQ1683" s="17">
        <f t="shared" si="1606"/>
        <v>2332</v>
      </c>
      <c r="BR1683" t="str">
        <f t="shared" si="1607"/>
        <v>opp_team_player_2</v>
      </c>
      <c r="BS1683">
        <f>COUNTIFS(S$3:S1683,"="&amp;S1683,AI$3:AI1683,"="&amp;AI1683)</f>
        <v>2</v>
      </c>
      <c r="BT1683" t="str">
        <f>IFERROR(VLOOKUP(BB1683&amp;BU1683&amp;X1683,game_rosters!U:W,3,FALSE),"")</f>
        <v>P100197</v>
      </c>
      <c r="BU1683" t="str">
        <f t="shared" si="1608"/>
        <v>Nelson</v>
      </c>
    </row>
    <row r="1684" spans="1:73" x14ac:dyDescent="0.2">
      <c r="A1684">
        <f t="shared" si="1594"/>
        <v>1</v>
      </c>
      <c r="J1684" s="44" t="str">
        <f t="shared" si="1609"/>
        <v>d</v>
      </c>
      <c r="K1684" t="s">
        <v>238</v>
      </c>
      <c r="L1684" t="s">
        <v>184</v>
      </c>
      <c r="M1684" t="s">
        <v>374</v>
      </c>
      <c r="S1684">
        <v>887</v>
      </c>
      <c r="W1684" t="str">
        <f t="shared" si="1585"/>
        <v>a</v>
      </c>
      <c r="X1684">
        <v>70</v>
      </c>
      <c r="Y1684" t="e">
        <f>IF(X1684&lt;&gt;"",VLOOKUP(X1684,game_rosters!$C$43:$E$64,3,FALSE))</f>
        <v>#N/A</v>
      </c>
      <c r="Z1684" cm="1">
        <f t="array" ref="Z1684">IFERROR(IF(_xlfn._xlws.FILTER(game_rosters!$J:$J,(game_rosters!$G:$G=events!$AN1684)*(game_rosters!$J:$J=events!$X1684))&gt;0,1,""),"")</f>
        <v>1</v>
      </c>
      <c r="AA1684">
        <f t="shared" si="1543"/>
        <v>1887</v>
      </c>
      <c r="AB1684" t="str">
        <f t="shared" si="1544"/>
        <v/>
      </c>
      <c r="AC1684">
        <f t="shared" si="1582"/>
        <v>1887</v>
      </c>
      <c r="AD1684" s="6">
        <v>3</v>
      </c>
      <c r="AE1684" t="s">
        <v>732</v>
      </c>
      <c r="AF1684" t="s">
        <v>907</v>
      </c>
      <c r="AG1684" t="s">
        <v>756</v>
      </c>
      <c r="AH1684" t="s">
        <v>756</v>
      </c>
      <c r="AI1684" t="s">
        <v>367</v>
      </c>
      <c r="AJ1684" t="str">
        <f t="shared" ref="AJ1684:AK1684" si="1624">IF($J1684&lt;&gt;"",$J1684,IF($AC1684=$AC1683,AJ1683,""))</f>
        <v>d</v>
      </c>
      <c r="AK1684" t="str">
        <f t="shared" si="1624"/>
        <v>d</v>
      </c>
      <c r="AL1684" t="str">
        <f t="shared" si="1587"/>
        <v>o</v>
      </c>
      <c r="AN1684" t="s">
        <v>862</v>
      </c>
      <c r="AO1684" t="str">
        <f t="shared" si="1588"/>
        <v>a</v>
      </c>
      <c r="AP1684" t="str">
        <f t="shared" si="1596"/>
        <v>o</v>
      </c>
      <c r="AQ1684" t="str">
        <f t="shared" si="1597"/>
        <v/>
      </c>
      <c r="AR1684" t="str">
        <f t="shared" si="1598"/>
        <v>Away</v>
      </c>
      <c r="AS1684" t="str">
        <f t="shared" si="1599"/>
        <v>a</v>
      </c>
      <c r="AT1684" t="str">
        <f t="shared" si="1600"/>
        <v>Offensive</v>
      </c>
      <c r="BA1684" s="6">
        <f t="shared" si="1589"/>
        <v>385</v>
      </c>
      <c r="BB1684">
        <f t="shared" si="1590"/>
        <v>18981</v>
      </c>
      <c r="BC1684" t="str">
        <f t="shared" si="1591"/>
        <v>Nelson</v>
      </c>
      <c r="BD1684" t="str">
        <f t="shared" si="1592"/>
        <v>Velodrome</v>
      </c>
      <c r="BE1684" t="s">
        <v>238</v>
      </c>
      <c r="BF1684" t="s">
        <v>184</v>
      </c>
      <c r="BG1684" t="s">
        <v>374</v>
      </c>
      <c r="BI1684" cm="1">
        <f t="array" aca="1" ref="BI1684" ca="1">IFERROR(_xlfn._xlws.FILTER(shifts!A:A,(shifts!B:B=events!AD1684)*(shifts!AG:AG&gt;=events!BK1684)*(shifts!AH:AH&lt;=events!BL1684)),BI1683)</f>
        <v>75</v>
      </c>
      <c r="BJ1684" s="15">
        <f t="shared" si="1593"/>
        <v>0</v>
      </c>
      <c r="BK1684">
        <f t="shared" si="1601"/>
        <v>1044</v>
      </c>
      <c r="BL1684">
        <f t="shared" si="1602"/>
        <v>1044</v>
      </c>
      <c r="BM1684" s="15">
        <f>SUMIFS(BJ$2:BJ1684,K$2:K1684,"=Intermission")+SUMIFS(BJ$2:BJ1684,K$2:K1684,"=Timeout")</f>
        <v>142</v>
      </c>
      <c r="BN1684">
        <f t="shared" si="1603"/>
        <v>2302</v>
      </c>
      <c r="BO1684" s="19">
        <f t="shared" si="1604"/>
        <v>2338</v>
      </c>
      <c r="BP1684">
        <f t="shared" si="1605"/>
        <v>2333</v>
      </c>
      <c r="BQ1684" s="17">
        <f t="shared" si="1606"/>
        <v>2338</v>
      </c>
      <c r="BR1684" t="str">
        <f t="shared" si="1607"/>
        <v>event_team_player_1</v>
      </c>
      <c r="BS1684">
        <f>COUNTIFS(S$3:S1684,"="&amp;S1684,AI$3:AI1684,"="&amp;AI1684)</f>
        <v>1</v>
      </c>
      <c r="BT1684" t="str">
        <f>IFERROR(VLOOKUP(BB1684&amp;BU1684&amp;X1684,game_rosters!U:W,3,FALSE),"")</f>
        <v>P100001</v>
      </c>
      <c r="BU1684" t="str">
        <f t="shared" si="1608"/>
        <v>Velodrome</v>
      </c>
    </row>
    <row r="1685" spans="1:73" x14ac:dyDescent="0.2">
      <c r="A1685">
        <f t="shared" si="1594"/>
        <v>1</v>
      </c>
      <c r="J1685" s="44" t="str">
        <f t="shared" si="1609"/>
        <v>d</v>
      </c>
      <c r="K1685" t="s">
        <v>238</v>
      </c>
      <c r="L1685" t="s">
        <v>184</v>
      </c>
      <c r="M1685" t="s">
        <v>374</v>
      </c>
      <c r="S1685">
        <v>887</v>
      </c>
      <c r="W1685" t="str">
        <f t="shared" si="1585"/>
        <v>a</v>
      </c>
      <c r="X1685">
        <v>80</v>
      </c>
      <c r="Y1685" t="b">
        <f>IF(X1685&lt;&gt;"",VLOOKUP(X1685,game_rosters!$C$43:$E$64,3,FALSE))</f>
        <v>0</v>
      </c>
      <c r="Z1685" t="str" cm="1">
        <f t="array" ref="Z1685">IFERROR(IF(_xlfn._xlws.FILTER(game_rosters!$J:$J,(game_rosters!$G:$G=events!$AN1685)*(game_rosters!$J:$J=events!$X1685))&gt;0,1,""),"")</f>
        <v/>
      </c>
      <c r="AA1685">
        <f t="shared" si="1543"/>
        <v>1887</v>
      </c>
      <c r="AB1685" t="str">
        <f t="shared" si="1544"/>
        <v/>
      </c>
      <c r="AC1685">
        <f t="shared" si="1582"/>
        <v>1887</v>
      </c>
      <c r="AD1685" s="6">
        <v>3</v>
      </c>
      <c r="AE1685" t="s">
        <v>732</v>
      </c>
      <c r="AF1685" t="s">
        <v>907</v>
      </c>
      <c r="AG1685" t="s">
        <v>756</v>
      </c>
      <c r="AH1685" t="s">
        <v>756</v>
      </c>
      <c r="AI1685" t="s">
        <v>368</v>
      </c>
      <c r="AJ1685" t="str">
        <f t="shared" ref="AJ1685:AK1685" si="1625">IF($J1685&lt;&gt;"",$J1685,IF($AC1685=$AC1684,AJ1684,""))</f>
        <v>d</v>
      </c>
      <c r="AK1685" t="str">
        <f t="shared" si="1625"/>
        <v>d</v>
      </c>
      <c r="AL1685" t="str">
        <f t="shared" si="1587"/>
        <v>o</v>
      </c>
      <c r="AN1685" t="s">
        <v>862</v>
      </c>
      <c r="AO1685" t="str">
        <f t="shared" si="1588"/>
        <v>a</v>
      </c>
      <c r="AP1685" t="str">
        <f t="shared" si="1596"/>
        <v>o</v>
      </c>
      <c r="AQ1685" t="str">
        <f t="shared" si="1597"/>
        <v/>
      </c>
      <c r="AR1685" t="str">
        <f t="shared" si="1598"/>
        <v>Away</v>
      </c>
      <c r="AS1685" t="str">
        <f t="shared" si="1599"/>
        <v>a</v>
      </c>
      <c r="AT1685" t="str">
        <f t="shared" si="1600"/>
        <v>Defensive</v>
      </c>
      <c r="BA1685" s="6">
        <f t="shared" si="1589"/>
        <v>386</v>
      </c>
      <c r="BB1685">
        <f t="shared" si="1590"/>
        <v>18981</v>
      </c>
      <c r="BC1685" t="str">
        <f t="shared" si="1591"/>
        <v>Nelson</v>
      </c>
      <c r="BD1685" t="str">
        <f t="shared" si="1592"/>
        <v>Velodrome</v>
      </c>
      <c r="BE1685" t="s">
        <v>238</v>
      </c>
      <c r="BF1685" t="s">
        <v>184</v>
      </c>
      <c r="BG1685" t="s">
        <v>374</v>
      </c>
      <c r="BI1685" cm="1">
        <f t="array" aca="1" ref="BI1685" ca="1">IFERROR(_xlfn._xlws.FILTER(shifts!A:A,(shifts!B:B=events!AD1685)*(shifts!AG:AG&gt;=events!BK1685)*(shifts!AH:AH&lt;=events!BL1685)),BI1684)</f>
        <v>75</v>
      </c>
      <c r="BJ1685" s="15">
        <f t="shared" si="1593"/>
        <v>0</v>
      </c>
      <c r="BK1685">
        <f t="shared" si="1601"/>
        <v>1044</v>
      </c>
      <c r="BL1685">
        <f t="shared" si="1602"/>
        <v>1044</v>
      </c>
      <c r="BM1685" s="15">
        <f>SUMIFS(BJ$2:BJ1685,K$2:K1685,"=Intermission")+SUMIFS(BJ$2:BJ1685,K$2:K1685,"=Timeout")</f>
        <v>142</v>
      </c>
      <c r="BN1685">
        <f t="shared" si="1603"/>
        <v>2302</v>
      </c>
      <c r="BO1685" s="19">
        <f t="shared" si="1604"/>
        <v>2338</v>
      </c>
      <c r="BP1685">
        <f t="shared" si="1605"/>
        <v>2333</v>
      </c>
      <c r="BQ1685" s="17">
        <f t="shared" si="1606"/>
        <v>2338</v>
      </c>
      <c r="BR1685" t="str">
        <f t="shared" si="1607"/>
        <v>opp_team_player_1</v>
      </c>
      <c r="BS1685">
        <f>COUNTIFS(S$3:S1685,"="&amp;S1685,AI$3:AI1685,"="&amp;AI1685)</f>
        <v>1</v>
      </c>
      <c r="BT1685" t="str">
        <f>IFERROR(VLOOKUP(BB1685&amp;BU1685&amp;X1685,game_rosters!U:W,3,FALSE),"")</f>
        <v>P100197</v>
      </c>
      <c r="BU1685" t="str">
        <f t="shared" si="1608"/>
        <v>Nelson</v>
      </c>
    </row>
    <row r="1686" spans="1:73" x14ac:dyDescent="0.2">
      <c r="A1686">
        <f t="shared" si="1594"/>
        <v>1</v>
      </c>
      <c r="J1686" s="44" t="str">
        <f t="shared" si="1609"/>
        <v/>
      </c>
      <c r="K1686" t="s">
        <v>13</v>
      </c>
      <c r="L1686" t="s">
        <v>756</v>
      </c>
      <c r="M1686" t="s">
        <v>756</v>
      </c>
      <c r="S1686">
        <v>888</v>
      </c>
      <c r="W1686" t="str">
        <f t="shared" si="1585"/>
        <v>a</v>
      </c>
      <c r="X1686">
        <v>87</v>
      </c>
      <c r="Y1686" t="e">
        <f>IF(X1686&lt;&gt;"",VLOOKUP(X1686,game_rosters!$C$43:$E$64,3,FALSE))</f>
        <v>#N/A</v>
      </c>
      <c r="Z1686" cm="1">
        <f t="array" ref="Z1686">IFERROR(IF(_xlfn._xlws.FILTER(game_rosters!$J:$J,(game_rosters!$G:$G=events!$AN1686)*(game_rosters!$J:$J=events!$X1686))&gt;0,1,""),"")</f>
        <v>1</v>
      </c>
      <c r="AA1686">
        <f t="shared" si="1543"/>
        <v>1888</v>
      </c>
      <c r="AB1686" t="str">
        <f t="shared" si="1544"/>
        <v/>
      </c>
      <c r="AC1686">
        <f t="shared" si="1582"/>
        <v>1888</v>
      </c>
      <c r="AD1686" s="6">
        <v>3</v>
      </c>
      <c r="AE1686" t="s">
        <v>732</v>
      </c>
      <c r="AF1686" t="s">
        <v>907</v>
      </c>
      <c r="AG1686" t="s">
        <v>732</v>
      </c>
      <c r="AH1686" t="s">
        <v>919</v>
      </c>
      <c r="AI1686" t="s">
        <v>367</v>
      </c>
      <c r="AJ1686" t="str">
        <f t="shared" ref="AJ1686:AK1686" si="1626">IF($J1686&lt;&gt;"",$J1686,IF($AC1686=$AC1685,AJ1685,""))</f>
        <v/>
      </c>
      <c r="AK1686" t="str">
        <f t="shared" si="1626"/>
        <v/>
      </c>
      <c r="AL1686" t="str">
        <f t="shared" si="1587"/>
        <v/>
      </c>
      <c r="AN1686" t="s">
        <v>862</v>
      </c>
      <c r="AO1686" t="str">
        <f t="shared" si="1588"/>
        <v>a</v>
      </c>
      <c r="AP1686" t="str">
        <f t="shared" si="1596"/>
        <v/>
      </c>
      <c r="AQ1686" t="str">
        <f t="shared" si="1597"/>
        <v/>
      </c>
      <c r="AR1686" t="str">
        <f t="shared" si="1598"/>
        <v>Away</v>
      </c>
      <c r="AS1686" t="str">
        <f t="shared" si="1599"/>
        <v>a</v>
      </c>
      <c r="AT1686" t="str">
        <f t="shared" si="1600"/>
        <v>Offensive</v>
      </c>
      <c r="BA1686" s="6">
        <f t="shared" si="1589"/>
        <v>386</v>
      </c>
      <c r="BB1686">
        <f t="shared" si="1590"/>
        <v>18981</v>
      </c>
      <c r="BC1686" t="str">
        <f t="shared" si="1591"/>
        <v>Nelson</v>
      </c>
      <c r="BD1686" t="str">
        <f t="shared" si="1592"/>
        <v>Velodrome</v>
      </c>
      <c r="BE1686" t="s">
        <v>13</v>
      </c>
      <c r="BF1686" t="s">
        <v>756</v>
      </c>
      <c r="BG1686" t="s">
        <v>756</v>
      </c>
      <c r="BI1686" cm="1">
        <f t="array" aca="1" ref="BI1686" ca="1">IFERROR(_xlfn._xlws.FILTER(shifts!A:A,(shifts!B:B=events!AD1686)*(shifts!AG:AG&gt;=events!BK1686)*(shifts!AH:AH&lt;=events!BL1686)),BI1685)</f>
        <v>75</v>
      </c>
      <c r="BJ1686" s="15">
        <f t="shared" si="1593"/>
        <v>4</v>
      </c>
      <c r="BK1686">
        <f t="shared" si="1601"/>
        <v>1044</v>
      </c>
      <c r="BL1686">
        <f t="shared" si="1602"/>
        <v>1040</v>
      </c>
      <c r="BM1686" s="15">
        <f>SUMIFS(BJ$2:BJ1686,K$2:K1686,"=Intermission")+SUMIFS(BJ$2:BJ1686,K$2:K1686,"=Timeout")</f>
        <v>142</v>
      </c>
      <c r="BN1686">
        <f t="shared" si="1603"/>
        <v>2302</v>
      </c>
      <c r="BO1686" s="19">
        <f t="shared" si="1604"/>
        <v>2338</v>
      </c>
      <c r="BP1686">
        <f t="shared" si="1605"/>
        <v>2333</v>
      </c>
      <c r="BQ1686" s="17">
        <f t="shared" si="1606"/>
        <v>2342</v>
      </c>
      <c r="BR1686" t="str">
        <f t="shared" si="1607"/>
        <v>event_team_player_1</v>
      </c>
      <c r="BS1686">
        <f>COUNTIFS(S$3:S1686,"="&amp;S1686,AI$3:AI1686,"="&amp;AI1686)</f>
        <v>1</v>
      </c>
      <c r="BT1686" t="str">
        <f>IFERROR(VLOOKUP(BB1686&amp;BU1686&amp;X1686,game_rosters!U:W,3,FALSE),"")</f>
        <v>P100159</v>
      </c>
      <c r="BU1686" t="str">
        <f t="shared" si="1608"/>
        <v>Velodrome</v>
      </c>
    </row>
    <row r="1687" spans="1:73" x14ac:dyDescent="0.2">
      <c r="A1687">
        <f t="shared" si="1594"/>
        <v>1</v>
      </c>
      <c r="J1687" s="44" t="str">
        <f t="shared" si="1609"/>
        <v/>
      </c>
      <c r="K1687" t="s">
        <v>7</v>
      </c>
      <c r="L1687" t="s">
        <v>172</v>
      </c>
      <c r="M1687" t="s">
        <v>68</v>
      </c>
      <c r="S1687">
        <v>889</v>
      </c>
      <c r="W1687" t="str">
        <f t="shared" si="1585"/>
        <v>a</v>
      </c>
      <c r="X1687">
        <v>87</v>
      </c>
      <c r="Y1687" t="e">
        <f>IF(X1687&lt;&gt;"",VLOOKUP(X1687,game_rosters!$C$43:$E$64,3,FALSE))</f>
        <v>#N/A</v>
      </c>
      <c r="Z1687" cm="1">
        <f t="array" ref="Z1687">IFERROR(IF(_xlfn._xlws.FILTER(game_rosters!$J:$J,(game_rosters!$G:$G=events!$AN1687)*(game_rosters!$J:$J=events!$X1687))&gt;0,1,""),"")</f>
        <v>1</v>
      </c>
      <c r="AA1687">
        <f t="shared" si="1543"/>
        <v>1889</v>
      </c>
      <c r="AB1687" t="str">
        <f t="shared" si="1544"/>
        <v/>
      </c>
      <c r="AC1687">
        <f t="shared" si="1582"/>
        <v>1889</v>
      </c>
      <c r="AD1687" s="6">
        <v>3</v>
      </c>
      <c r="AE1687" t="s">
        <v>732</v>
      </c>
      <c r="AF1687" t="s">
        <v>919</v>
      </c>
      <c r="AG1687" t="s">
        <v>756</v>
      </c>
      <c r="AH1687" t="s">
        <v>756</v>
      </c>
      <c r="AI1687" t="s">
        <v>367</v>
      </c>
      <c r="AJ1687" t="str">
        <f t="shared" ref="AJ1687:AK1687" si="1627">IF($J1687&lt;&gt;"",$J1687,IF($AC1687=$AC1686,AJ1686,""))</f>
        <v/>
      </c>
      <c r="AK1687" t="str">
        <f t="shared" si="1627"/>
        <v/>
      </c>
      <c r="AL1687" t="str">
        <f t="shared" si="1587"/>
        <v/>
      </c>
      <c r="AN1687" t="s">
        <v>862</v>
      </c>
      <c r="AO1687" t="str">
        <f t="shared" si="1588"/>
        <v>a</v>
      </c>
      <c r="AP1687" t="str">
        <f t="shared" si="1596"/>
        <v/>
      </c>
      <c r="AQ1687" t="str">
        <f t="shared" si="1597"/>
        <v/>
      </c>
      <c r="AR1687" t="str">
        <f t="shared" si="1598"/>
        <v>Away</v>
      </c>
      <c r="AS1687" t="str">
        <f t="shared" si="1599"/>
        <v>a</v>
      </c>
      <c r="AT1687" t="str">
        <f t="shared" si="1600"/>
        <v>Offensive</v>
      </c>
      <c r="BA1687" s="6">
        <f t="shared" si="1589"/>
        <v>386</v>
      </c>
      <c r="BB1687">
        <f t="shared" si="1590"/>
        <v>18981</v>
      </c>
      <c r="BC1687" t="str">
        <f t="shared" si="1591"/>
        <v>Nelson</v>
      </c>
      <c r="BD1687" t="str">
        <f t="shared" si="1592"/>
        <v>Velodrome</v>
      </c>
      <c r="BE1687" t="s">
        <v>7</v>
      </c>
      <c r="BF1687" t="s">
        <v>172</v>
      </c>
      <c r="BG1687" t="s">
        <v>68</v>
      </c>
      <c r="BI1687" cm="1">
        <f t="array" aca="1" ref="BI1687" ca="1">IFERROR(_xlfn._xlws.FILTER(shifts!A:A,(shifts!B:B=events!AD1687)*(shifts!AG:AG&gt;=events!BK1687)*(shifts!AH:AH&lt;=events!BL1687)),BI1686)</f>
        <v>75</v>
      </c>
      <c r="BJ1687" s="15">
        <f t="shared" si="1593"/>
        <v>0</v>
      </c>
      <c r="BK1687">
        <f t="shared" si="1601"/>
        <v>1040</v>
      </c>
      <c r="BL1687">
        <f t="shared" si="1602"/>
        <v>1040</v>
      </c>
      <c r="BM1687" s="15">
        <f>SUMIFS(BJ$2:BJ1687,K$2:K1687,"=Intermission")+SUMIFS(BJ$2:BJ1687,K$2:K1687,"=Timeout")</f>
        <v>142</v>
      </c>
      <c r="BN1687">
        <f t="shared" si="1603"/>
        <v>2302</v>
      </c>
      <c r="BO1687" s="19">
        <f t="shared" si="1604"/>
        <v>2342</v>
      </c>
      <c r="BP1687">
        <f t="shared" si="1605"/>
        <v>2337</v>
      </c>
      <c r="BQ1687" s="17">
        <f t="shared" si="1606"/>
        <v>2342</v>
      </c>
      <c r="BR1687" t="str">
        <f t="shared" si="1607"/>
        <v>event_team_player_1</v>
      </c>
      <c r="BS1687">
        <f>COUNTIFS(S$3:S1687,"="&amp;S1687,AI$3:AI1687,"="&amp;AI1687)</f>
        <v>1</v>
      </c>
      <c r="BT1687" t="str">
        <f>IFERROR(VLOOKUP(BB1687&amp;BU1687&amp;X1687,game_rosters!U:W,3,FALSE),"")</f>
        <v>P100159</v>
      </c>
      <c r="BU1687" t="str">
        <f t="shared" si="1608"/>
        <v>Velodrome</v>
      </c>
    </row>
    <row r="1688" spans="1:73" x14ac:dyDescent="0.2">
      <c r="A1688">
        <f t="shared" si="1594"/>
        <v>1</v>
      </c>
      <c r="J1688" s="44" t="str">
        <f t="shared" si="1609"/>
        <v/>
      </c>
      <c r="K1688" t="s">
        <v>7</v>
      </c>
      <c r="L1688" t="s">
        <v>172</v>
      </c>
      <c r="M1688" t="s">
        <v>68</v>
      </c>
      <c r="S1688">
        <v>889</v>
      </c>
      <c r="W1688" t="str">
        <f t="shared" si="1585"/>
        <v>a</v>
      </c>
      <c r="X1688">
        <v>9</v>
      </c>
      <c r="Y1688" t="e">
        <f>IF(X1688&lt;&gt;"",VLOOKUP(X1688,game_rosters!$C$43:$E$64,3,FALSE))</f>
        <v>#N/A</v>
      </c>
      <c r="Z1688" cm="1">
        <f t="array" ref="Z1688">IFERROR(IF(_xlfn._xlws.FILTER(game_rosters!$J:$J,(game_rosters!$G:$G=events!$AN1688)*(game_rosters!$J:$J=events!$X1688))&gt;0,1,""),"")</f>
        <v>1</v>
      </c>
      <c r="AA1688">
        <f t="shared" si="1543"/>
        <v>1889</v>
      </c>
      <c r="AB1688" t="str">
        <f t="shared" si="1544"/>
        <v/>
      </c>
      <c r="AC1688">
        <f t="shared" si="1582"/>
        <v>1889</v>
      </c>
      <c r="AD1688" s="6">
        <v>3</v>
      </c>
      <c r="AE1688" t="s">
        <v>732</v>
      </c>
      <c r="AF1688" t="s">
        <v>919</v>
      </c>
      <c r="AG1688" t="s">
        <v>756</v>
      </c>
      <c r="AH1688" t="s">
        <v>756</v>
      </c>
      <c r="AI1688" t="s">
        <v>367</v>
      </c>
      <c r="AJ1688" t="str">
        <f t="shared" ref="AJ1688:AK1688" si="1628">IF($J1688&lt;&gt;"",$J1688,IF($AC1688=$AC1687,AJ1687,""))</f>
        <v/>
      </c>
      <c r="AK1688" t="str">
        <f t="shared" si="1628"/>
        <v/>
      </c>
      <c r="AL1688" t="str">
        <f t="shared" si="1587"/>
        <v/>
      </c>
      <c r="AN1688" t="s">
        <v>862</v>
      </c>
      <c r="AO1688" t="str">
        <f t="shared" si="1588"/>
        <v>a</v>
      </c>
      <c r="AP1688" t="str">
        <f t="shared" si="1596"/>
        <v/>
      </c>
      <c r="AQ1688" t="str">
        <f t="shared" si="1597"/>
        <v/>
      </c>
      <c r="AR1688" t="str">
        <f t="shared" si="1598"/>
        <v>Away</v>
      </c>
      <c r="AS1688" t="str">
        <f t="shared" si="1599"/>
        <v>a</v>
      </c>
      <c r="AT1688" t="str">
        <f t="shared" si="1600"/>
        <v>Offensive</v>
      </c>
      <c r="BA1688" s="6">
        <f t="shared" si="1589"/>
        <v>386</v>
      </c>
      <c r="BB1688">
        <f t="shared" si="1590"/>
        <v>18981</v>
      </c>
      <c r="BC1688" t="str">
        <f t="shared" si="1591"/>
        <v>Nelson</v>
      </c>
      <c r="BD1688" t="str">
        <f t="shared" si="1592"/>
        <v>Velodrome</v>
      </c>
      <c r="BE1688" t="s">
        <v>7</v>
      </c>
      <c r="BF1688" t="s">
        <v>172</v>
      </c>
      <c r="BG1688" t="s">
        <v>68</v>
      </c>
      <c r="BI1688" cm="1">
        <f t="array" aca="1" ref="BI1688" ca="1">IFERROR(_xlfn._xlws.FILTER(shifts!A:A,(shifts!B:B=events!AD1688)*(shifts!AG:AG&gt;=events!BK1688)*(shifts!AH:AH&lt;=events!BL1688)),BI1687)</f>
        <v>75</v>
      </c>
      <c r="BJ1688" s="15">
        <f t="shared" si="1593"/>
        <v>0</v>
      </c>
      <c r="BK1688">
        <f t="shared" si="1601"/>
        <v>1040</v>
      </c>
      <c r="BL1688">
        <f t="shared" si="1602"/>
        <v>1040</v>
      </c>
      <c r="BM1688" s="15">
        <f>SUMIFS(BJ$2:BJ1688,K$2:K1688,"=Intermission")+SUMIFS(BJ$2:BJ1688,K$2:K1688,"=Timeout")</f>
        <v>142</v>
      </c>
      <c r="BN1688">
        <f t="shared" si="1603"/>
        <v>2302</v>
      </c>
      <c r="BO1688" s="19">
        <f t="shared" si="1604"/>
        <v>2342</v>
      </c>
      <c r="BP1688">
        <f t="shared" si="1605"/>
        <v>2337</v>
      </c>
      <c r="BQ1688" s="17">
        <f t="shared" si="1606"/>
        <v>2342</v>
      </c>
      <c r="BR1688" t="str">
        <f t="shared" si="1607"/>
        <v>event_team_player_2</v>
      </c>
      <c r="BS1688">
        <f>COUNTIFS(S$3:S1688,"="&amp;S1688,AI$3:AI1688,"="&amp;AI1688)</f>
        <v>2</v>
      </c>
      <c r="BT1688" t="str">
        <f>IFERROR(VLOOKUP(BB1688&amp;BU1688&amp;X1688,game_rosters!U:W,3,FALSE),"")</f>
        <v>P100105</v>
      </c>
      <c r="BU1688" t="str">
        <f t="shared" si="1608"/>
        <v>Velodrome</v>
      </c>
    </row>
    <row r="1689" spans="1:73" x14ac:dyDescent="0.2">
      <c r="A1689">
        <f t="shared" si="1594"/>
        <v>1</v>
      </c>
      <c r="J1689" s="44" t="str">
        <f t="shared" si="1609"/>
        <v>o</v>
      </c>
      <c r="K1689" t="s">
        <v>238</v>
      </c>
      <c r="L1689" t="s">
        <v>174</v>
      </c>
      <c r="M1689" t="s">
        <v>85</v>
      </c>
      <c r="S1689">
        <v>890</v>
      </c>
      <c r="W1689" t="str">
        <f t="shared" si="1585"/>
        <v>a</v>
      </c>
      <c r="X1689">
        <v>9</v>
      </c>
      <c r="Y1689" t="e">
        <f>IF(X1689&lt;&gt;"",VLOOKUP(X1689,game_rosters!$C$43:$E$64,3,FALSE))</f>
        <v>#N/A</v>
      </c>
      <c r="Z1689" cm="1">
        <f t="array" ref="Z1689">IFERROR(IF(_xlfn._xlws.FILTER(game_rosters!$J:$J,(game_rosters!$G:$G=events!$AN1689)*(game_rosters!$J:$J=events!$X1689))&gt;0,1,""),"")</f>
        <v>1</v>
      </c>
      <c r="AA1689">
        <f t="shared" si="1543"/>
        <v>1890</v>
      </c>
      <c r="AB1689" t="str">
        <f t="shared" si="1544"/>
        <v/>
      </c>
      <c r="AC1689">
        <f t="shared" si="1582"/>
        <v>1890</v>
      </c>
      <c r="AD1689" s="6">
        <v>3</v>
      </c>
      <c r="AE1689" t="s">
        <v>732</v>
      </c>
      <c r="AF1689" t="s">
        <v>908</v>
      </c>
      <c r="AG1689" t="s">
        <v>732</v>
      </c>
      <c r="AH1689" t="s">
        <v>732</v>
      </c>
      <c r="AI1689" t="s">
        <v>367</v>
      </c>
      <c r="AJ1689" t="str">
        <f t="shared" ref="AJ1689:AK1689" si="1629">IF($J1689&lt;&gt;"",$J1689,IF($AC1689=$AC1688,AJ1688,""))</f>
        <v>o</v>
      </c>
      <c r="AK1689" t="str">
        <f t="shared" si="1629"/>
        <v>o</v>
      </c>
      <c r="AL1689" t="str">
        <f t="shared" si="1587"/>
        <v>d</v>
      </c>
      <c r="AN1689" t="s">
        <v>862</v>
      </c>
      <c r="AO1689" t="str">
        <f t="shared" si="1588"/>
        <v>a</v>
      </c>
      <c r="AP1689" t="str">
        <f t="shared" si="1596"/>
        <v>d</v>
      </c>
      <c r="AQ1689" t="str">
        <f t="shared" si="1597"/>
        <v/>
      </c>
      <c r="AR1689" t="str">
        <f t="shared" si="1598"/>
        <v>Away</v>
      </c>
      <c r="AS1689" t="str">
        <f t="shared" si="1599"/>
        <v>a</v>
      </c>
      <c r="AT1689" t="str">
        <f t="shared" si="1600"/>
        <v>Offensive</v>
      </c>
      <c r="BA1689" s="6">
        <f t="shared" si="1589"/>
        <v>387</v>
      </c>
      <c r="BB1689">
        <f t="shared" si="1590"/>
        <v>18981</v>
      </c>
      <c r="BC1689" t="str">
        <f t="shared" si="1591"/>
        <v>Nelson</v>
      </c>
      <c r="BD1689" t="str">
        <f t="shared" si="1592"/>
        <v>Velodrome</v>
      </c>
      <c r="BE1689" t="s">
        <v>238</v>
      </c>
      <c r="BF1689" t="s">
        <v>174</v>
      </c>
      <c r="BG1689" t="s">
        <v>85</v>
      </c>
      <c r="BI1689" cm="1">
        <f t="array" aca="1" ref="BI1689" ca="1">IFERROR(_xlfn._xlws.FILTER(shifts!A:A,(shifts!B:B=events!AD1689)*(shifts!AG:AG&gt;=events!BK1689)*(shifts!AH:AH&lt;=events!BL1689)),BI1688)</f>
        <v>75</v>
      </c>
      <c r="BJ1689" s="15">
        <f t="shared" si="1593"/>
        <v>2</v>
      </c>
      <c r="BK1689">
        <f t="shared" si="1601"/>
        <v>1039</v>
      </c>
      <c r="BL1689">
        <f t="shared" si="1602"/>
        <v>1037</v>
      </c>
      <c r="BM1689" s="15">
        <f>SUMIFS(BJ$2:BJ1689,K$2:K1689,"=Intermission")+SUMIFS(BJ$2:BJ1689,K$2:K1689,"=Timeout")</f>
        <v>142</v>
      </c>
      <c r="BN1689">
        <f t="shared" si="1603"/>
        <v>2302</v>
      </c>
      <c r="BO1689" s="19">
        <f t="shared" si="1604"/>
        <v>2343</v>
      </c>
      <c r="BP1689">
        <f t="shared" si="1605"/>
        <v>2338</v>
      </c>
      <c r="BQ1689" s="17">
        <f t="shared" si="1606"/>
        <v>2345</v>
      </c>
      <c r="BR1689" t="str">
        <f t="shared" si="1607"/>
        <v>event_team_player_1</v>
      </c>
      <c r="BS1689">
        <f>COUNTIFS(S$3:S1689,"="&amp;S1689,AI$3:AI1689,"="&amp;AI1689)</f>
        <v>1</v>
      </c>
      <c r="BT1689" t="str">
        <f>IFERROR(VLOOKUP(BB1689&amp;BU1689&amp;X1689,game_rosters!U:W,3,FALSE),"")</f>
        <v>P100105</v>
      </c>
      <c r="BU1689" t="str">
        <f t="shared" si="1608"/>
        <v>Velodrome</v>
      </c>
    </row>
    <row r="1690" spans="1:73" x14ac:dyDescent="0.2">
      <c r="A1690">
        <f t="shared" si="1594"/>
        <v>1</v>
      </c>
      <c r="J1690" s="44" t="str">
        <f t="shared" si="1609"/>
        <v>o</v>
      </c>
      <c r="K1690" t="s">
        <v>238</v>
      </c>
      <c r="L1690" t="s">
        <v>174</v>
      </c>
      <c r="M1690" t="s">
        <v>85</v>
      </c>
      <c r="S1690">
        <v>890</v>
      </c>
      <c r="W1690" t="str">
        <f t="shared" si="1585"/>
        <v>a</v>
      </c>
      <c r="X1690">
        <v>75</v>
      </c>
      <c r="Y1690" t="e">
        <f>IF(X1690&lt;&gt;"",VLOOKUP(X1690,game_rosters!$C$43:$E$64,3,FALSE))</f>
        <v>#N/A</v>
      </c>
      <c r="Z1690" cm="1">
        <f t="array" ref="Z1690">IFERROR(IF(_xlfn._xlws.FILTER(game_rosters!$J:$J,(game_rosters!$G:$G=events!$AN1690)*(game_rosters!$J:$J=events!$X1690))&gt;0,1,""),"")</f>
        <v>1</v>
      </c>
      <c r="AA1690">
        <f t="shared" si="1543"/>
        <v>1890</v>
      </c>
      <c r="AB1690" t="str">
        <f t="shared" si="1544"/>
        <v/>
      </c>
      <c r="AC1690">
        <f t="shared" si="1582"/>
        <v>1890</v>
      </c>
      <c r="AD1690" s="6">
        <v>3</v>
      </c>
      <c r="AE1690" t="s">
        <v>732</v>
      </c>
      <c r="AF1690" t="s">
        <v>908</v>
      </c>
      <c r="AG1690" t="s">
        <v>732</v>
      </c>
      <c r="AH1690" t="s">
        <v>732</v>
      </c>
      <c r="AI1690" t="s">
        <v>367</v>
      </c>
      <c r="AJ1690" t="str">
        <f t="shared" ref="AJ1690:AK1690" si="1630">IF($J1690&lt;&gt;"",$J1690,IF($AC1690=$AC1689,AJ1689,""))</f>
        <v>o</v>
      </c>
      <c r="AK1690" t="str">
        <f t="shared" si="1630"/>
        <v>o</v>
      </c>
      <c r="AL1690" t="str">
        <f t="shared" si="1587"/>
        <v>d</v>
      </c>
      <c r="AN1690" t="s">
        <v>862</v>
      </c>
      <c r="AO1690" t="str">
        <f t="shared" si="1588"/>
        <v>a</v>
      </c>
      <c r="AP1690" t="str">
        <f t="shared" si="1596"/>
        <v>d</v>
      </c>
      <c r="AQ1690" t="str">
        <f t="shared" si="1597"/>
        <v/>
      </c>
      <c r="AR1690" t="str">
        <f t="shared" si="1598"/>
        <v>Away</v>
      </c>
      <c r="AS1690" t="str">
        <f t="shared" si="1599"/>
        <v>a</v>
      </c>
      <c r="AT1690" t="str">
        <f t="shared" si="1600"/>
        <v>Offensive</v>
      </c>
      <c r="BA1690" s="6">
        <f t="shared" si="1589"/>
        <v>388</v>
      </c>
      <c r="BB1690">
        <f t="shared" si="1590"/>
        <v>18981</v>
      </c>
      <c r="BC1690" t="str">
        <f t="shared" si="1591"/>
        <v>Nelson</v>
      </c>
      <c r="BD1690" t="str">
        <f t="shared" si="1592"/>
        <v>Velodrome</v>
      </c>
      <c r="BE1690" t="s">
        <v>238</v>
      </c>
      <c r="BF1690" t="s">
        <v>174</v>
      </c>
      <c r="BG1690" t="s">
        <v>85</v>
      </c>
      <c r="BI1690" cm="1">
        <f t="array" aca="1" ref="BI1690" ca="1">IFERROR(_xlfn._xlws.FILTER(shifts!A:A,(shifts!B:B=events!AD1690)*(shifts!AG:AG&gt;=events!BK1690)*(shifts!AH:AH&lt;=events!BL1690)),BI1689)</f>
        <v>75</v>
      </c>
      <c r="BJ1690" s="15">
        <f t="shared" si="1593"/>
        <v>2</v>
      </c>
      <c r="BK1690">
        <f t="shared" si="1601"/>
        <v>1039</v>
      </c>
      <c r="BL1690">
        <f t="shared" si="1602"/>
        <v>1037</v>
      </c>
      <c r="BM1690" s="15">
        <f>SUMIFS(BJ$2:BJ1690,K$2:K1690,"=Intermission")+SUMIFS(BJ$2:BJ1690,K$2:K1690,"=Timeout")</f>
        <v>142</v>
      </c>
      <c r="BN1690">
        <f t="shared" si="1603"/>
        <v>2302</v>
      </c>
      <c r="BO1690" s="19">
        <f t="shared" si="1604"/>
        <v>2343</v>
      </c>
      <c r="BP1690">
        <f t="shared" si="1605"/>
        <v>2338</v>
      </c>
      <c r="BQ1690" s="17">
        <f t="shared" si="1606"/>
        <v>2345</v>
      </c>
      <c r="BR1690" t="str">
        <f t="shared" si="1607"/>
        <v>event_team_player_2</v>
      </c>
      <c r="BS1690">
        <f>COUNTIFS(S$3:S1690,"="&amp;S1690,AI$3:AI1690,"="&amp;AI1690)</f>
        <v>2</v>
      </c>
      <c r="BT1690" t="str">
        <f>IFERROR(VLOOKUP(BB1690&amp;BU1690&amp;X1690,game_rosters!U:W,3,FALSE),"")</f>
        <v>P100039</v>
      </c>
      <c r="BU1690" t="str">
        <f t="shared" si="1608"/>
        <v>Velodrome</v>
      </c>
    </row>
    <row r="1691" spans="1:73" x14ac:dyDescent="0.2">
      <c r="A1691">
        <f t="shared" si="1594"/>
        <v>1</v>
      </c>
      <c r="J1691" s="44" t="str">
        <f t="shared" si="1609"/>
        <v>o</v>
      </c>
      <c r="K1691" t="s">
        <v>238</v>
      </c>
      <c r="L1691" t="s">
        <v>174</v>
      </c>
      <c r="M1691" t="s">
        <v>85</v>
      </c>
      <c r="S1691">
        <v>890</v>
      </c>
      <c r="W1691" t="str">
        <f t="shared" si="1585"/>
        <v>a</v>
      </c>
      <c r="X1691">
        <v>8</v>
      </c>
      <c r="Y1691" t="b">
        <f>IF(X1691&lt;&gt;"",VLOOKUP(X1691,game_rosters!$C$43:$E$64,3,FALSE))</f>
        <v>0</v>
      </c>
      <c r="Z1691" t="str" cm="1">
        <f t="array" ref="Z1691">IFERROR(IF(_xlfn._xlws.FILTER(game_rosters!$J:$J,(game_rosters!$G:$G=events!$AN1691)*(game_rosters!$J:$J=events!$X1691))&gt;0,1,""),"")</f>
        <v/>
      </c>
      <c r="AA1691">
        <f t="shared" si="1543"/>
        <v>1890</v>
      </c>
      <c r="AB1691" t="str">
        <f t="shared" si="1544"/>
        <v/>
      </c>
      <c r="AC1691">
        <f t="shared" si="1582"/>
        <v>1890</v>
      </c>
      <c r="AD1691" s="6">
        <v>3</v>
      </c>
      <c r="AE1691" t="s">
        <v>732</v>
      </c>
      <c r="AF1691" t="s">
        <v>908</v>
      </c>
      <c r="AG1691" t="s">
        <v>732</v>
      </c>
      <c r="AH1691" t="s">
        <v>732</v>
      </c>
      <c r="AI1691" t="s">
        <v>368</v>
      </c>
      <c r="AJ1691" t="str">
        <f t="shared" ref="AJ1691:AK1691" si="1631">IF($J1691&lt;&gt;"",$J1691,IF($AC1691=$AC1690,AJ1690,""))</f>
        <v>o</v>
      </c>
      <c r="AK1691" t="str">
        <f t="shared" si="1631"/>
        <v>o</v>
      </c>
      <c r="AL1691" t="str">
        <f t="shared" si="1587"/>
        <v>d</v>
      </c>
      <c r="AN1691" t="s">
        <v>862</v>
      </c>
      <c r="AO1691" t="str">
        <f t="shared" si="1588"/>
        <v>a</v>
      </c>
      <c r="AP1691" t="str">
        <f t="shared" si="1596"/>
        <v>d</v>
      </c>
      <c r="AQ1691" t="str">
        <f t="shared" si="1597"/>
        <v/>
      </c>
      <c r="AR1691" t="str">
        <f t="shared" si="1598"/>
        <v>Away</v>
      </c>
      <c r="AS1691" t="str">
        <f t="shared" si="1599"/>
        <v>a</v>
      </c>
      <c r="AT1691" t="str">
        <f t="shared" si="1600"/>
        <v>Defensive</v>
      </c>
      <c r="BA1691" s="6">
        <f t="shared" si="1589"/>
        <v>389</v>
      </c>
      <c r="BB1691">
        <f t="shared" si="1590"/>
        <v>18981</v>
      </c>
      <c r="BC1691" t="str">
        <f t="shared" si="1591"/>
        <v>Nelson</v>
      </c>
      <c r="BD1691" t="str">
        <f t="shared" si="1592"/>
        <v>Velodrome</v>
      </c>
      <c r="BE1691" t="s">
        <v>238</v>
      </c>
      <c r="BF1691" t="s">
        <v>174</v>
      </c>
      <c r="BG1691" t="s">
        <v>85</v>
      </c>
      <c r="BI1691" cm="1">
        <f t="array" aca="1" ref="BI1691" ca="1">IFERROR(_xlfn._xlws.FILTER(shifts!A:A,(shifts!B:B=events!AD1691)*(shifts!AG:AG&gt;=events!BK1691)*(shifts!AH:AH&lt;=events!BL1691)),BI1690)</f>
        <v>75</v>
      </c>
      <c r="BJ1691" s="15">
        <f t="shared" si="1593"/>
        <v>2</v>
      </c>
      <c r="BK1691">
        <f t="shared" si="1601"/>
        <v>1039</v>
      </c>
      <c r="BL1691">
        <f t="shared" si="1602"/>
        <v>1037</v>
      </c>
      <c r="BM1691" s="15">
        <f>SUMIFS(BJ$2:BJ1691,K$2:K1691,"=Intermission")+SUMIFS(BJ$2:BJ1691,K$2:K1691,"=Timeout")</f>
        <v>142</v>
      </c>
      <c r="BN1691">
        <f t="shared" si="1603"/>
        <v>2302</v>
      </c>
      <c r="BO1691" s="19">
        <f t="shared" si="1604"/>
        <v>2343</v>
      </c>
      <c r="BP1691">
        <f t="shared" si="1605"/>
        <v>2338</v>
      </c>
      <c r="BQ1691" s="17">
        <f t="shared" si="1606"/>
        <v>2345</v>
      </c>
      <c r="BR1691" t="str">
        <f t="shared" si="1607"/>
        <v>opp_team_player_1</v>
      </c>
      <c r="BS1691">
        <f>COUNTIFS(S$3:S1691,"="&amp;S1691,AI$3:AI1691,"="&amp;AI1691)</f>
        <v>1</v>
      </c>
      <c r="BT1691" t="str">
        <f>IFERROR(VLOOKUP(BB1691&amp;BU1691&amp;X1691,game_rosters!U:W,3,FALSE),"")</f>
        <v>P100074</v>
      </c>
      <c r="BU1691" t="str">
        <f t="shared" si="1608"/>
        <v>Nelson</v>
      </c>
    </row>
    <row r="1692" spans="1:73" x14ac:dyDescent="0.2">
      <c r="A1692">
        <f t="shared" si="1594"/>
        <v>1</v>
      </c>
      <c r="J1692" s="44" t="str">
        <f t="shared" si="1609"/>
        <v>o</v>
      </c>
      <c r="K1692" t="s">
        <v>238</v>
      </c>
      <c r="L1692" t="s">
        <v>174</v>
      </c>
      <c r="M1692" t="s">
        <v>85</v>
      </c>
      <c r="S1692">
        <v>890</v>
      </c>
      <c r="W1692" t="str">
        <f t="shared" si="1585"/>
        <v>a</v>
      </c>
      <c r="X1692">
        <v>16</v>
      </c>
      <c r="Y1692" t="b">
        <f>IF(X1692&lt;&gt;"",VLOOKUP(X1692,game_rosters!$C$43:$E$64,3,FALSE))</f>
        <v>0</v>
      </c>
      <c r="Z1692" t="str" cm="1">
        <f t="array" ref="Z1692">IFERROR(IF(_xlfn._xlws.FILTER(game_rosters!$J:$J,(game_rosters!$G:$G=events!$AN1692)*(game_rosters!$J:$J=events!$X1692))&gt;0,1,""),"")</f>
        <v/>
      </c>
      <c r="AA1692">
        <f t="shared" si="1543"/>
        <v>1890</v>
      </c>
      <c r="AB1692" t="str">
        <f t="shared" si="1544"/>
        <v/>
      </c>
      <c r="AC1692">
        <f t="shared" si="1582"/>
        <v>1890</v>
      </c>
      <c r="AD1692" s="6">
        <v>3</v>
      </c>
      <c r="AE1692" t="s">
        <v>732</v>
      </c>
      <c r="AF1692" t="s">
        <v>908</v>
      </c>
      <c r="AG1692" t="s">
        <v>732</v>
      </c>
      <c r="AH1692" t="s">
        <v>732</v>
      </c>
      <c r="AI1692" t="s">
        <v>368</v>
      </c>
      <c r="AJ1692" t="str">
        <f t="shared" ref="AJ1692:AK1692" si="1632">IF($J1692&lt;&gt;"",$J1692,IF($AC1692=$AC1691,AJ1691,""))</f>
        <v>o</v>
      </c>
      <c r="AK1692" t="str">
        <f t="shared" si="1632"/>
        <v>o</v>
      </c>
      <c r="AL1692" t="str">
        <f t="shared" si="1587"/>
        <v>d</v>
      </c>
      <c r="AN1692" t="s">
        <v>862</v>
      </c>
      <c r="AO1692" t="str">
        <f t="shared" si="1588"/>
        <v>a</v>
      </c>
      <c r="AP1692" t="str">
        <f t="shared" si="1596"/>
        <v>d</v>
      </c>
      <c r="AQ1692" t="str">
        <f t="shared" si="1597"/>
        <v/>
      </c>
      <c r="AR1692" t="str">
        <f t="shared" si="1598"/>
        <v>Away</v>
      </c>
      <c r="AS1692" t="str">
        <f t="shared" si="1599"/>
        <v>a</v>
      </c>
      <c r="AT1692" t="str">
        <f t="shared" si="1600"/>
        <v>Defensive</v>
      </c>
      <c r="BA1692" s="6">
        <f t="shared" si="1589"/>
        <v>390</v>
      </c>
      <c r="BB1692">
        <f t="shared" si="1590"/>
        <v>18981</v>
      </c>
      <c r="BC1692" t="str">
        <f t="shared" si="1591"/>
        <v>Nelson</v>
      </c>
      <c r="BD1692" t="str">
        <f t="shared" si="1592"/>
        <v>Velodrome</v>
      </c>
      <c r="BE1692" t="s">
        <v>238</v>
      </c>
      <c r="BF1692" t="s">
        <v>174</v>
      </c>
      <c r="BG1692" t="s">
        <v>85</v>
      </c>
      <c r="BI1692" cm="1">
        <f t="array" aca="1" ref="BI1692" ca="1">IFERROR(_xlfn._xlws.FILTER(shifts!A:A,(shifts!B:B=events!AD1692)*(shifts!AG:AG&gt;=events!BK1692)*(shifts!AH:AH&lt;=events!BL1692)),BI1691)</f>
        <v>75</v>
      </c>
      <c r="BJ1692" s="15">
        <f t="shared" si="1593"/>
        <v>2</v>
      </c>
      <c r="BK1692">
        <f t="shared" si="1601"/>
        <v>1039</v>
      </c>
      <c r="BL1692">
        <f t="shared" si="1602"/>
        <v>1037</v>
      </c>
      <c r="BM1692" s="15">
        <f>SUMIFS(BJ$2:BJ1692,K$2:K1692,"=Intermission")+SUMIFS(BJ$2:BJ1692,K$2:K1692,"=Timeout")</f>
        <v>142</v>
      </c>
      <c r="BN1692">
        <f t="shared" si="1603"/>
        <v>2302</v>
      </c>
      <c r="BO1692" s="19">
        <f t="shared" si="1604"/>
        <v>2343</v>
      </c>
      <c r="BP1692">
        <f t="shared" si="1605"/>
        <v>2338</v>
      </c>
      <c r="BQ1692" s="17">
        <f t="shared" si="1606"/>
        <v>2345</v>
      </c>
      <c r="BR1692" t="str">
        <f t="shared" si="1607"/>
        <v>opp_team_player_2</v>
      </c>
      <c r="BS1692">
        <f>COUNTIFS(S$3:S1692,"="&amp;S1692,AI$3:AI1692,"="&amp;AI1692)</f>
        <v>2</v>
      </c>
      <c r="BT1692" t="str">
        <f>IFERROR(VLOOKUP(BB1692&amp;BU1692&amp;X1692,game_rosters!U:W,3,FALSE),"")</f>
        <v>P100164</v>
      </c>
      <c r="BU1692" t="str">
        <f t="shared" si="1608"/>
        <v>Nelson</v>
      </c>
    </row>
    <row r="1693" spans="1:73" x14ac:dyDescent="0.2">
      <c r="A1693">
        <f t="shared" si="1594"/>
        <v>1</v>
      </c>
      <c r="J1693" s="44" t="str">
        <f t="shared" si="1609"/>
        <v>o</v>
      </c>
      <c r="K1693" t="s">
        <v>6</v>
      </c>
      <c r="L1693" t="s">
        <v>191</v>
      </c>
      <c r="M1693" t="s">
        <v>51</v>
      </c>
      <c r="S1693">
        <v>891</v>
      </c>
      <c r="W1693" t="str">
        <f t="shared" si="1585"/>
        <v>a</v>
      </c>
      <c r="X1693">
        <v>9</v>
      </c>
      <c r="Y1693" t="e">
        <f>IF(X1693&lt;&gt;"",VLOOKUP(X1693,game_rosters!$C$43:$E$64,3,FALSE))</f>
        <v>#N/A</v>
      </c>
      <c r="Z1693" cm="1">
        <f t="array" ref="Z1693">IFERROR(IF(_xlfn._xlws.FILTER(game_rosters!$J:$J,(game_rosters!$G:$G=events!$AN1693)*(game_rosters!$J:$J=events!$X1693))&gt;0,1,""),"")</f>
        <v>1</v>
      </c>
      <c r="AA1693">
        <f t="shared" ref="AA1693:AA1756" si="1633">S1693+1000</f>
        <v>1891</v>
      </c>
      <c r="AB1693" t="str">
        <f t="shared" ref="AB1693:AB1756" si="1634">IF(T1693&lt;&gt;"",9000+T1693,"")</f>
        <v/>
      </c>
      <c r="AC1693">
        <f t="shared" si="1582"/>
        <v>1891</v>
      </c>
      <c r="AD1693" s="6">
        <v>3</v>
      </c>
      <c r="AE1693" t="s">
        <v>732</v>
      </c>
      <c r="AF1693" t="s">
        <v>732</v>
      </c>
      <c r="AG1693" t="s">
        <v>756</v>
      </c>
      <c r="AH1693" t="s">
        <v>756</v>
      </c>
      <c r="AI1693" t="s">
        <v>367</v>
      </c>
      <c r="AJ1693" t="str">
        <f t="shared" ref="AJ1693:AK1693" si="1635">IF($J1693&lt;&gt;"",$J1693,IF($AC1693=$AC1692,AJ1692,""))</f>
        <v>o</v>
      </c>
      <c r="AK1693" t="str">
        <f t="shared" si="1635"/>
        <v>o</v>
      </c>
      <c r="AL1693" t="str">
        <f t="shared" si="1587"/>
        <v>d</v>
      </c>
      <c r="AN1693" t="s">
        <v>862</v>
      </c>
      <c r="AO1693" t="str">
        <f t="shared" si="1588"/>
        <v>a</v>
      </c>
      <c r="AP1693" t="str">
        <f t="shared" si="1596"/>
        <v>d</v>
      </c>
      <c r="AQ1693" t="str">
        <f t="shared" si="1597"/>
        <v/>
      </c>
      <c r="AR1693" t="str">
        <f t="shared" si="1598"/>
        <v>Away</v>
      </c>
      <c r="AS1693" t="str">
        <f t="shared" si="1599"/>
        <v>a</v>
      </c>
      <c r="AT1693" t="str">
        <f t="shared" si="1600"/>
        <v>Offensive</v>
      </c>
      <c r="BA1693" s="6">
        <f t="shared" si="1589"/>
        <v>390</v>
      </c>
      <c r="BB1693">
        <f t="shared" si="1590"/>
        <v>18981</v>
      </c>
      <c r="BC1693" t="str">
        <f t="shared" si="1591"/>
        <v>Nelson</v>
      </c>
      <c r="BD1693" t="str">
        <f t="shared" si="1592"/>
        <v>Velodrome</v>
      </c>
      <c r="BE1693" t="s">
        <v>6</v>
      </c>
      <c r="BF1693" t="s">
        <v>191</v>
      </c>
      <c r="BG1693" t="s">
        <v>51</v>
      </c>
      <c r="BI1693" cm="1">
        <f t="array" aca="1" ref="BI1693" ca="1">IFERROR(_xlfn._xlws.FILTER(shifts!A:A,(shifts!B:B=events!AD1693)*(shifts!AG:AG&gt;=events!BK1693)*(shifts!AH:AH&lt;=events!BL1693)),BI1692)</f>
        <v>75</v>
      </c>
      <c r="BJ1693" s="15">
        <f t="shared" si="1593"/>
        <v>0</v>
      </c>
      <c r="BK1693">
        <f t="shared" si="1601"/>
        <v>1037</v>
      </c>
      <c r="BL1693">
        <f t="shared" si="1602"/>
        <v>1037</v>
      </c>
      <c r="BM1693" s="15">
        <f>SUMIFS(BJ$2:BJ1693,K$2:K1693,"=Intermission")+SUMIFS(BJ$2:BJ1693,K$2:K1693,"=Timeout")</f>
        <v>142</v>
      </c>
      <c r="BN1693">
        <f t="shared" si="1603"/>
        <v>2302</v>
      </c>
      <c r="BO1693" s="19">
        <f t="shared" si="1604"/>
        <v>2345</v>
      </c>
      <c r="BP1693">
        <f t="shared" si="1605"/>
        <v>2340</v>
      </c>
      <c r="BQ1693" s="17">
        <f t="shared" si="1606"/>
        <v>2345</v>
      </c>
      <c r="BR1693" t="str">
        <f t="shared" si="1607"/>
        <v>event_team_player_1</v>
      </c>
      <c r="BS1693">
        <f>COUNTIFS(S$3:S1693,"="&amp;S1693,AI$3:AI1693,"="&amp;AI1693)</f>
        <v>1</v>
      </c>
      <c r="BT1693" t="str">
        <f>IFERROR(VLOOKUP(BB1693&amp;BU1693&amp;X1693,game_rosters!U:W,3,FALSE),"")</f>
        <v>P100105</v>
      </c>
      <c r="BU1693" t="str">
        <f t="shared" si="1608"/>
        <v>Velodrome</v>
      </c>
    </row>
    <row r="1694" spans="1:73" x14ac:dyDescent="0.2">
      <c r="A1694">
        <f t="shared" si="1594"/>
        <v>1</v>
      </c>
      <c r="J1694" s="44" t="str">
        <f t="shared" si="1609"/>
        <v>o</v>
      </c>
      <c r="K1694" t="s">
        <v>6</v>
      </c>
      <c r="L1694" t="s">
        <v>191</v>
      </c>
      <c r="M1694" t="s">
        <v>51</v>
      </c>
      <c r="S1694">
        <v>891</v>
      </c>
      <c r="W1694" t="str">
        <f t="shared" si="1585"/>
        <v>a</v>
      </c>
      <c r="X1694">
        <v>8</v>
      </c>
      <c r="Y1694" t="b">
        <f>IF(X1694&lt;&gt;"",VLOOKUP(X1694,game_rosters!$C$43:$E$64,3,FALSE))</f>
        <v>0</v>
      </c>
      <c r="Z1694" t="str" cm="1">
        <f t="array" ref="Z1694">IFERROR(IF(_xlfn._xlws.FILTER(game_rosters!$J:$J,(game_rosters!$G:$G=events!$AN1694)*(game_rosters!$J:$J=events!$X1694))&gt;0,1,""),"")</f>
        <v/>
      </c>
      <c r="AA1694">
        <f t="shared" si="1633"/>
        <v>1891</v>
      </c>
      <c r="AB1694" t="str">
        <f t="shared" si="1634"/>
        <v/>
      </c>
      <c r="AC1694">
        <f t="shared" si="1582"/>
        <v>1891</v>
      </c>
      <c r="AD1694" s="6">
        <v>3</v>
      </c>
      <c r="AE1694" t="s">
        <v>732</v>
      </c>
      <c r="AF1694" t="s">
        <v>732</v>
      </c>
      <c r="AG1694" t="s">
        <v>756</v>
      </c>
      <c r="AH1694" t="s">
        <v>756</v>
      </c>
      <c r="AI1694" t="s">
        <v>368</v>
      </c>
      <c r="AJ1694" t="str">
        <f t="shared" ref="AJ1694:AK1694" si="1636">IF($J1694&lt;&gt;"",$J1694,IF($AC1694=$AC1693,AJ1693,""))</f>
        <v>o</v>
      </c>
      <c r="AK1694" t="str">
        <f t="shared" si="1636"/>
        <v>o</v>
      </c>
      <c r="AL1694" t="str">
        <f t="shared" si="1587"/>
        <v>d</v>
      </c>
      <c r="AN1694" t="s">
        <v>862</v>
      </c>
      <c r="AO1694" t="str">
        <f t="shared" si="1588"/>
        <v>a</v>
      </c>
      <c r="AP1694" t="str">
        <f t="shared" si="1596"/>
        <v>d</v>
      </c>
      <c r="AQ1694" t="str">
        <f t="shared" si="1597"/>
        <v/>
      </c>
      <c r="AR1694" t="str">
        <f t="shared" si="1598"/>
        <v>Away</v>
      </c>
      <c r="AS1694" t="str">
        <f t="shared" si="1599"/>
        <v>a</v>
      </c>
      <c r="AT1694" t="str">
        <f t="shared" si="1600"/>
        <v>Defensive</v>
      </c>
      <c r="BA1694" s="6">
        <f t="shared" si="1589"/>
        <v>390</v>
      </c>
      <c r="BB1694">
        <f t="shared" si="1590"/>
        <v>18981</v>
      </c>
      <c r="BC1694" t="str">
        <f t="shared" si="1591"/>
        <v>Nelson</v>
      </c>
      <c r="BD1694" t="str">
        <f t="shared" si="1592"/>
        <v>Velodrome</v>
      </c>
      <c r="BE1694" t="s">
        <v>6</v>
      </c>
      <c r="BF1694" t="s">
        <v>191</v>
      </c>
      <c r="BG1694" t="s">
        <v>51</v>
      </c>
      <c r="BI1694" cm="1">
        <f t="array" aca="1" ref="BI1694" ca="1">IFERROR(_xlfn._xlws.FILTER(shifts!A:A,(shifts!B:B=events!AD1694)*(shifts!AG:AG&gt;=events!BK1694)*(shifts!AH:AH&lt;=events!BL1694)),BI1693)</f>
        <v>75</v>
      </c>
      <c r="BJ1694" s="15">
        <f t="shared" si="1593"/>
        <v>0</v>
      </c>
      <c r="BK1694">
        <f t="shared" si="1601"/>
        <v>1037</v>
      </c>
      <c r="BL1694">
        <f t="shared" si="1602"/>
        <v>1037</v>
      </c>
      <c r="BM1694" s="15">
        <f>SUMIFS(BJ$2:BJ1694,K$2:K1694,"=Intermission")+SUMIFS(BJ$2:BJ1694,K$2:K1694,"=Timeout")</f>
        <v>142</v>
      </c>
      <c r="BN1694">
        <f t="shared" si="1603"/>
        <v>2302</v>
      </c>
      <c r="BO1694" s="19">
        <f t="shared" si="1604"/>
        <v>2345</v>
      </c>
      <c r="BP1694">
        <f t="shared" si="1605"/>
        <v>2340</v>
      </c>
      <c r="BQ1694" s="17">
        <f t="shared" si="1606"/>
        <v>2345</v>
      </c>
      <c r="BR1694" t="str">
        <f t="shared" si="1607"/>
        <v>opp_team_player_1</v>
      </c>
      <c r="BS1694">
        <f>COUNTIFS(S$3:S1694,"="&amp;S1694,AI$3:AI1694,"="&amp;AI1694)</f>
        <v>1</v>
      </c>
      <c r="BT1694" t="str">
        <f>IFERROR(VLOOKUP(BB1694&amp;BU1694&amp;X1694,game_rosters!U:W,3,FALSE),"")</f>
        <v>P100074</v>
      </c>
      <c r="BU1694" t="str">
        <f t="shared" si="1608"/>
        <v>Nelson</v>
      </c>
    </row>
    <row r="1695" spans="1:73" x14ac:dyDescent="0.2">
      <c r="A1695">
        <f t="shared" si="1594"/>
        <v>1</v>
      </c>
      <c r="J1695" s="44" t="str">
        <f t="shared" si="1609"/>
        <v/>
      </c>
      <c r="K1695" t="s">
        <v>9</v>
      </c>
      <c r="L1695" t="s">
        <v>173</v>
      </c>
      <c r="M1695" t="s">
        <v>76</v>
      </c>
      <c r="S1695">
        <v>892</v>
      </c>
      <c r="W1695" t="str">
        <f t="shared" si="1585"/>
        <v>a</v>
      </c>
      <c r="X1695">
        <v>9</v>
      </c>
      <c r="Y1695" t="e">
        <f>IF(X1695&lt;&gt;"",VLOOKUP(X1695,game_rosters!$C$43:$E$64,3,FALSE))</f>
        <v>#N/A</v>
      </c>
      <c r="Z1695" cm="1">
        <f t="array" ref="Z1695">IFERROR(IF(_xlfn._xlws.FILTER(game_rosters!$J:$J,(game_rosters!$G:$G=events!$AN1695)*(game_rosters!$J:$J=events!$X1695))&gt;0,1,""),"")</f>
        <v>1</v>
      </c>
      <c r="AA1695">
        <f t="shared" si="1633"/>
        <v>1892</v>
      </c>
      <c r="AB1695" t="str">
        <f t="shared" si="1634"/>
        <v/>
      </c>
      <c r="AC1695">
        <f t="shared" si="1582"/>
        <v>1892</v>
      </c>
      <c r="AD1695" s="6">
        <v>3</v>
      </c>
      <c r="AE1695" t="s">
        <v>732</v>
      </c>
      <c r="AF1695" t="s">
        <v>732</v>
      </c>
      <c r="AG1695" t="s">
        <v>756</v>
      </c>
      <c r="AH1695" t="s">
        <v>756</v>
      </c>
      <c r="AI1695" t="s">
        <v>367</v>
      </c>
      <c r="AJ1695" t="str">
        <f t="shared" ref="AJ1695:AK1695" si="1637">IF($J1695&lt;&gt;"",$J1695,IF($AC1695=$AC1694,AJ1694,""))</f>
        <v/>
      </c>
      <c r="AK1695" t="str">
        <f t="shared" si="1637"/>
        <v/>
      </c>
      <c r="AL1695" t="str">
        <f t="shared" si="1587"/>
        <v/>
      </c>
      <c r="AN1695" t="s">
        <v>862</v>
      </c>
      <c r="AO1695" t="str">
        <f t="shared" si="1588"/>
        <v>a</v>
      </c>
      <c r="AP1695" t="str">
        <f t="shared" si="1596"/>
        <v/>
      </c>
      <c r="AQ1695" t="str">
        <f t="shared" si="1597"/>
        <v/>
      </c>
      <c r="AR1695" t="str">
        <f t="shared" si="1598"/>
        <v>Away</v>
      </c>
      <c r="AS1695" t="str">
        <f t="shared" si="1599"/>
        <v>a</v>
      </c>
      <c r="AT1695" t="str">
        <f t="shared" si="1600"/>
        <v>Offensive</v>
      </c>
      <c r="BA1695" s="6">
        <f t="shared" si="1589"/>
        <v>390</v>
      </c>
      <c r="BB1695">
        <f t="shared" si="1590"/>
        <v>18981</v>
      </c>
      <c r="BC1695" t="str">
        <f t="shared" si="1591"/>
        <v>Nelson</v>
      </c>
      <c r="BD1695" t="str">
        <f t="shared" si="1592"/>
        <v>Velodrome</v>
      </c>
      <c r="BE1695" t="s">
        <v>9</v>
      </c>
      <c r="BF1695" t="s">
        <v>173</v>
      </c>
      <c r="BG1695" t="s">
        <v>76</v>
      </c>
      <c r="BI1695" cm="1">
        <f t="array" aca="1" ref="BI1695" ca="1">IFERROR(_xlfn._xlws.FILTER(shifts!A:A,(shifts!B:B=events!AD1695)*(shifts!AG:AG&gt;=events!BK1695)*(shifts!AH:AH&lt;=events!BL1695)),BI1694)</f>
        <v>75</v>
      </c>
      <c r="BJ1695" s="15">
        <f t="shared" si="1593"/>
        <v>0</v>
      </c>
      <c r="BK1695">
        <f t="shared" si="1601"/>
        <v>1037</v>
      </c>
      <c r="BL1695">
        <f t="shared" si="1602"/>
        <v>1037</v>
      </c>
      <c r="BM1695" s="15">
        <f>SUMIFS(BJ$2:BJ1695,K$2:K1695,"=Intermission")+SUMIFS(BJ$2:BJ1695,K$2:K1695,"=Timeout")</f>
        <v>142</v>
      </c>
      <c r="BN1695">
        <f t="shared" si="1603"/>
        <v>2302</v>
      </c>
      <c r="BO1695" s="19">
        <f t="shared" si="1604"/>
        <v>2345</v>
      </c>
      <c r="BP1695">
        <f t="shared" si="1605"/>
        <v>2340</v>
      </c>
      <c r="BQ1695" s="17">
        <f t="shared" si="1606"/>
        <v>2345</v>
      </c>
      <c r="BR1695" t="str">
        <f t="shared" si="1607"/>
        <v>event_team_player_1</v>
      </c>
      <c r="BS1695">
        <f>COUNTIFS(S$3:S1695,"="&amp;S1695,AI$3:AI1695,"="&amp;AI1695)</f>
        <v>1</v>
      </c>
      <c r="BT1695" t="str">
        <f>IFERROR(VLOOKUP(BB1695&amp;BU1695&amp;X1695,game_rosters!U:W,3,FALSE),"")</f>
        <v>P100105</v>
      </c>
      <c r="BU1695" t="str">
        <f t="shared" si="1608"/>
        <v>Velodrome</v>
      </c>
    </row>
    <row r="1696" spans="1:73" x14ac:dyDescent="0.2">
      <c r="A1696" t="str">
        <f t="shared" si="1594"/>
        <v/>
      </c>
      <c r="J1696" s="44" t="str">
        <f t="shared" si="1609"/>
        <v/>
      </c>
      <c r="K1696" t="s">
        <v>756</v>
      </c>
      <c r="L1696" t="s">
        <v>756</v>
      </c>
      <c r="M1696" t="s">
        <v>756</v>
      </c>
      <c r="S1696">
        <v>893</v>
      </c>
      <c r="W1696" t="str">
        <f t="shared" si="1585"/>
        <v>h</v>
      </c>
      <c r="X1696">
        <v>16</v>
      </c>
      <c r="Y1696" t="b">
        <f>IF(X1696&lt;&gt;"",VLOOKUP(X1696,game_rosters!$C$43:$E$64,3,FALSE))</f>
        <v>0</v>
      </c>
      <c r="Z1696" cm="1">
        <f t="array" ref="Z1696">IFERROR(IF(_xlfn._xlws.FILTER(game_rosters!$J:$J,(game_rosters!$G:$G=events!$AN1696)*(game_rosters!$J:$J=events!$X1696))&gt;0,1,""),"")</f>
        <v>1</v>
      </c>
      <c r="AA1696">
        <f t="shared" si="1633"/>
        <v>1893</v>
      </c>
      <c r="AB1696" t="str">
        <f t="shared" si="1634"/>
        <v/>
      </c>
      <c r="AC1696">
        <f t="shared" si="1582"/>
        <v>1893</v>
      </c>
      <c r="AD1696" s="6">
        <v>3</v>
      </c>
      <c r="AE1696" t="s">
        <v>732</v>
      </c>
      <c r="AF1696" t="s">
        <v>926</v>
      </c>
      <c r="AG1696" t="s">
        <v>756</v>
      </c>
      <c r="AH1696" t="s">
        <v>756</v>
      </c>
      <c r="AI1696" t="s">
        <v>367</v>
      </c>
      <c r="AJ1696" t="str">
        <f t="shared" ref="AJ1696:AK1696" si="1638">IF($J1696&lt;&gt;"",$J1696,IF($AC1696=$AC1695,AJ1695,""))</f>
        <v/>
      </c>
      <c r="AK1696" t="str">
        <f t="shared" si="1638"/>
        <v/>
      </c>
      <c r="AL1696" t="str">
        <f t="shared" si="1587"/>
        <v/>
      </c>
      <c r="AN1696" t="s">
        <v>861</v>
      </c>
      <c r="AO1696" t="str">
        <f t="shared" si="1588"/>
        <v>h</v>
      </c>
      <c r="AP1696" t="str">
        <f t="shared" si="1596"/>
        <v/>
      </c>
      <c r="AQ1696" t="str">
        <f t="shared" si="1597"/>
        <v/>
      </c>
      <c r="AR1696" t="str">
        <f t="shared" si="1598"/>
        <v>Home</v>
      </c>
      <c r="AS1696" t="str">
        <f t="shared" si="1599"/>
        <v>h</v>
      </c>
      <c r="AT1696" t="str">
        <f t="shared" si="1600"/>
        <v>Offensive</v>
      </c>
      <c r="BA1696" s="6">
        <f t="shared" si="1589"/>
        <v>390</v>
      </c>
      <c r="BB1696">
        <f t="shared" si="1590"/>
        <v>18981</v>
      </c>
      <c r="BC1696" t="str">
        <f t="shared" si="1591"/>
        <v>Nelson</v>
      </c>
      <c r="BD1696" t="str">
        <f t="shared" si="1592"/>
        <v>Velodrome</v>
      </c>
      <c r="BE1696" t="s">
        <v>756</v>
      </c>
      <c r="BF1696" t="s">
        <v>756</v>
      </c>
      <c r="BG1696" t="s">
        <v>756</v>
      </c>
      <c r="BI1696" cm="1">
        <f t="array" aca="1" ref="BI1696" ca="1">IFERROR(_xlfn._xlws.FILTER(shifts!A:A,(shifts!B:B=events!AD1696)*(shifts!AG:AG&gt;=events!BK1696)*(shifts!AH:AH&lt;=events!BL1696)),BI1695)</f>
        <v>75</v>
      </c>
      <c r="BJ1696" s="15">
        <f t="shared" si="1593"/>
        <v>0</v>
      </c>
      <c r="BK1696">
        <f t="shared" si="1601"/>
        <v>1033</v>
      </c>
      <c r="BL1696">
        <f t="shared" si="1602"/>
        <v>1033</v>
      </c>
      <c r="BM1696" s="15">
        <f>SUMIFS(BJ$2:BJ1696,K$2:K1696,"=Intermission")+SUMIFS(BJ$2:BJ1696,K$2:K1696,"=Timeout")</f>
        <v>142</v>
      </c>
      <c r="BN1696">
        <f t="shared" si="1603"/>
        <v>2302</v>
      </c>
      <c r="BO1696" s="19">
        <f t="shared" si="1604"/>
        <v>2349</v>
      </c>
      <c r="BP1696">
        <f t="shared" si="1605"/>
        <v>2344</v>
      </c>
      <c r="BQ1696" s="17">
        <f t="shared" si="1606"/>
        <v>2349</v>
      </c>
      <c r="BR1696" t="str">
        <f t="shared" si="1607"/>
        <v>event_team_player_1</v>
      </c>
      <c r="BS1696">
        <f>COUNTIFS(S$3:S1696,"="&amp;S1696,AI$3:AI1696,"="&amp;AI1696)</f>
        <v>1</v>
      </c>
      <c r="BT1696" t="str">
        <f>IFERROR(VLOOKUP(BB1696&amp;BU1696&amp;X1696,game_rosters!U:W,3,FALSE),"")</f>
        <v>P100164</v>
      </c>
      <c r="BU1696" t="str">
        <f t="shared" si="1608"/>
        <v>Nelson</v>
      </c>
    </row>
    <row r="1697" spans="1:73" x14ac:dyDescent="0.2">
      <c r="A1697" t="str">
        <f t="shared" si="1594"/>
        <v/>
      </c>
      <c r="J1697" s="44" t="str">
        <f t="shared" si="1609"/>
        <v/>
      </c>
      <c r="K1697" t="s">
        <v>756</v>
      </c>
      <c r="L1697" t="s">
        <v>756</v>
      </c>
      <c r="M1697" t="s">
        <v>756</v>
      </c>
      <c r="S1697">
        <v>893</v>
      </c>
      <c r="W1697" t="str">
        <f t="shared" si="1585"/>
        <v>h</v>
      </c>
      <c r="X1697">
        <v>79</v>
      </c>
      <c r="Y1697" t="b">
        <f>IF(X1697&lt;&gt;"",VLOOKUP(X1697,game_rosters!$C$43:$E$64,3,FALSE))</f>
        <v>0</v>
      </c>
      <c r="Z1697" cm="1">
        <f t="array" ref="Z1697">IFERROR(IF(_xlfn._xlws.FILTER(game_rosters!$J:$J,(game_rosters!$G:$G=events!$AN1697)*(game_rosters!$J:$J=events!$X1697))&gt;0,1,""),"")</f>
        <v>1</v>
      </c>
      <c r="AA1697">
        <f t="shared" si="1633"/>
        <v>1893</v>
      </c>
      <c r="AB1697" t="str">
        <f t="shared" si="1634"/>
        <v/>
      </c>
      <c r="AC1697">
        <f t="shared" si="1582"/>
        <v>1893</v>
      </c>
      <c r="AD1697" s="6">
        <v>3</v>
      </c>
      <c r="AE1697" t="s">
        <v>732</v>
      </c>
      <c r="AF1697" t="s">
        <v>926</v>
      </c>
      <c r="AG1697" t="s">
        <v>756</v>
      </c>
      <c r="AH1697" t="s">
        <v>756</v>
      </c>
      <c r="AI1697" t="s">
        <v>367</v>
      </c>
      <c r="AJ1697" t="str">
        <f t="shared" ref="AJ1697:AK1697" si="1639">IF($J1697&lt;&gt;"",$J1697,IF($AC1697=$AC1696,AJ1696,""))</f>
        <v/>
      </c>
      <c r="AK1697" t="str">
        <f t="shared" si="1639"/>
        <v/>
      </c>
      <c r="AL1697" t="str">
        <f t="shared" si="1587"/>
        <v/>
      </c>
      <c r="AN1697" t="s">
        <v>861</v>
      </c>
      <c r="AO1697" t="str">
        <f t="shared" si="1588"/>
        <v>h</v>
      </c>
      <c r="AP1697" t="str">
        <f t="shared" si="1596"/>
        <v/>
      </c>
      <c r="AQ1697" t="str">
        <f t="shared" si="1597"/>
        <v/>
      </c>
      <c r="AR1697" t="str">
        <f t="shared" si="1598"/>
        <v>Home</v>
      </c>
      <c r="AS1697" t="str">
        <f t="shared" si="1599"/>
        <v>h</v>
      </c>
      <c r="AT1697" t="str">
        <f t="shared" si="1600"/>
        <v>Offensive</v>
      </c>
      <c r="BA1697" s="6">
        <f t="shared" si="1589"/>
        <v>390</v>
      </c>
      <c r="BB1697">
        <f t="shared" si="1590"/>
        <v>18981</v>
      </c>
      <c r="BC1697" t="str">
        <f t="shared" si="1591"/>
        <v>Nelson</v>
      </c>
      <c r="BD1697" t="str">
        <f t="shared" si="1592"/>
        <v>Velodrome</v>
      </c>
      <c r="BE1697" t="s">
        <v>756</v>
      </c>
      <c r="BF1697" t="s">
        <v>756</v>
      </c>
      <c r="BG1697" t="s">
        <v>756</v>
      </c>
      <c r="BI1697" cm="1">
        <f t="array" aca="1" ref="BI1697" ca="1">IFERROR(_xlfn._xlws.FILTER(shifts!A:A,(shifts!B:B=events!AD1697)*(shifts!AG:AG&gt;=events!BK1697)*(shifts!AH:AH&lt;=events!BL1697)),BI1696)</f>
        <v>75</v>
      </c>
      <c r="BJ1697" s="15">
        <f t="shared" si="1593"/>
        <v>0</v>
      </c>
      <c r="BK1697">
        <f t="shared" si="1601"/>
        <v>1033</v>
      </c>
      <c r="BL1697">
        <f t="shared" si="1602"/>
        <v>1033</v>
      </c>
      <c r="BM1697" s="15">
        <f>SUMIFS(BJ$2:BJ1697,K$2:K1697,"=Intermission")+SUMIFS(BJ$2:BJ1697,K$2:K1697,"=Timeout")</f>
        <v>142</v>
      </c>
      <c r="BN1697">
        <f t="shared" si="1603"/>
        <v>2302</v>
      </c>
      <c r="BO1697" s="19">
        <f t="shared" si="1604"/>
        <v>2349</v>
      </c>
      <c r="BP1697">
        <f t="shared" si="1605"/>
        <v>2344</v>
      </c>
      <c r="BQ1697" s="17">
        <f t="shared" si="1606"/>
        <v>2349</v>
      </c>
      <c r="BR1697" t="str">
        <f t="shared" si="1607"/>
        <v>event_team_player_2</v>
      </c>
      <c r="BS1697">
        <f>COUNTIFS(S$3:S1697,"="&amp;S1697,AI$3:AI1697,"="&amp;AI1697)</f>
        <v>2</v>
      </c>
      <c r="BT1697" t="str">
        <f>IFERROR(VLOOKUP(BB1697&amp;BU1697&amp;X1697,game_rosters!U:W,3,FALSE),"")</f>
        <v>P100066</v>
      </c>
      <c r="BU1697" t="str">
        <f t="shared" si="1608"/>
        <v>Nelson</v>
      </c>
    </row>
    <row r="1698" spans="1:73" x14ac:dyDescent="0.2">
      <c r="A1698">
        <f t="shared" si="1594"/>
        <v>1</v>
      </c>
      <c r="J1698" s="44" t="str">
        <f t="shared" si="1609"/>
        <v/>
      </c>
      <c r="K1698" t="s">
        <v>9</v>
      </c>
      <c r="L1698" t="s">
        <v>173</v>
      </c>
      <c r="M1698" t="s">
        <v>74</v>
      </c>
      <c r="S1698">
        <v>894</v>
      </c>
      <c r="W1698" t="str">
        <f t="shared" si="1585"/>
        <v>h</v>
      </c>
      <c r="X1698">
        <v>16</v>
      </c>
      <c r="Y1698" t="b">
        <f>IF(X1698&lt;&gt;"",VLOOKUP(X1698,game_rosters!$C$43:$E$64,3,FALSE))</f>
        <v>0</v>
      </c>
      <c r="Z1698" cm="1">
        <f t="array" ref="Z1698">IFERROR(IF(_xlfn._xlws.FILTER(game_rosters!$J:$J,(game_rosters!$G:$G=events!$AN1698)*(game_rosters!$J:$J=events!$X1698))&gt;0,1,""),"")</f>
        <v>1</v>
      </c>
      <c r="AA1698">
        <f t="shared" si="1633"/>
        <v>1894</v>
      </c>
      <c r="AB1698" t="str">
        <f t="shared" si="1634"/>
        <v/>
      </c>
      <c r="AC1698">
        <f t="shared" si="1582"/>
        <v>1894</v>
      </c>
      <c r="AD1698" s="6">
        <v>3</v>
      </c>
      <c r="AE1698" t="s">
        <v>732</v>
      </c>
      <c r="AF1698" t="s">
        <v>926</v>
      </c>
      <c r="AG1698" t="s">
        <v>756</v>
      </c>
      <c r="AH1698" t="s">
        <v>756</v>
      </c>
      <c r="AI1698" t="s">
        <v>367</v>
      </c>
      <c r="AJ1698" t="str">
        <f t="shared" ref="AJ1698:AK1698" si="1640">IF($J1698&lt;&gt;"",$J1698,IF($AC1698=$AC1697,AJ1697,""))</f>
        <v/>
      </c>
      <c r="AK1698" t="str">
        <f t="shared" si="1640"/>
        <v/>
      </c>
      <c r="AL1698" t="str">
        <f t="shared" si="1587"/>
        <v/>
      </c>
      <c r="AN1698" t="s">
        <v>861</v>
      </c>
      <c r="AO1698" t="str">
        <f t="shared" si="1588"/>
        <v>h</v>
      </c>
      <c r="AP1698" t="str">
        <f t="shared" si="1596"/>
        <v/>
      </c>
      <c r="AQ1698" t="str">
        <f t="shared" si="1597"/>
        <v/>
      </c>
      <c r="AR1698" t="str">
        <f t="shared" si="1598"/>
        <v>Home</v>
      </c>
      <c r="AS1698" t="str">
        <f t="shared" si="1599"/>
        <v>h</v>
      </c>
      <c r="AT1698" t="str">
        <f t="shared" si="1600"/>
        <v>Offensive</v>
      </c>
      <c r="BA1698" s="6">
        <f t="shared" si="1589"/>
        <v>390</v>
      </c>
      <c r="BB1698">
        <f t="shared" si="1590"/>
        <v>18981</v>
      </c>
      <c r="BC1698" t="str">
        <f t="shared" si="1591"/>
        <v>Nelson</v>
      </c>
      <c r="BD1698" t="str">
        <f t="shared" si="1592"/>
        <v>Velodrome</v>
      </c>
      <c r="BE1698" t="s">
        <v>9</v>
      </c>
      <c r="BF1698" t="s">
        <v>173</v>
      </c>
      <c r="BG1698" t="s">
        <v>74</v>
      </c>
      <c r="BI1698" cm="1">
        <f t="array" aca="1" ref="BI1698" ca="1">IFERROR(_xlfn._xlws.FILTER(shifts!A:A,(shifts!B:B=events!AD1698)*(shifts!AG:AG&gt;=events!BK1698)*(shifts!AH:AH&lt;=events!BL1698)),BI1697)</f>
        <v>75</v>
      </c>
      <c r="BJ1698" s="15">
        <f t="shared" si="1593"/>
        <v>0</v>
      </c>
      <c r="BK1698">
        <f t="shared" si="1601"/>
        <v>1033</v>
      </c>
      <c r="BL1698">
        <f t="shared" si="1602"/>
        <v>1033</v>
      </c>
      <c r="BM1698" s="15">
        <f>SUMIFS(BJ$2:BJ1698,K$2:K1698,"=Intermission")+SUMIFS(BJ$2:BJ1698,K$2:K1698,"=Timeout")</f>
        <v>142</v>
      </c>
      <c r="BN1698">
        <f t="shared" si="1603"/>
        <v>2302</v>
      </c>
      <c r="BO1698" s="19">
        <f t="shared" si="1604"/>
        <v>2349</v>
      </c>
      <c r="BP1698">
        <f t="shared" si="1605"/>
        <v>2344</v>
      </c>
      <c r="BQ1698" s="17">
        <f t="shared" si="1606"/>
        <v>2349</v>
      </c>
      <c r="BR1698" t="str">
        <f t="shared" si="1607"/>
        <v>event_team_player_1</v>
      </c>
      <c r="BS1698">
        <f>COUNTIFS(S$3:S1698,"="&amp;S1698,AI$3:AI1698,"="&amp;AI1698)</f>
        <v>1</v>
      </c>
      <c r="BT1698" t="str">
        <f>IFERROR(VLOOKUP(BB1698&amp;BU1698&amp;X1698,game_rosters!U:W,3,FALSE),"")</f>
        <v>P100164</v>
      </c>
      <c r="BU1698" t="str">
        <f t="shared" si="1608"/>
        <v>Nelson</v>
      </c>
    </row>
    <row r="1699" spans="1:73" x14ac:dyDescent="0.2">
      <c r="A1699">
        <f t="shared" si="1594"/>
        <v>1</v>
      </c>
      <c r="J1699" s="44" t="str">
        <f t="shared" si="1609"/>
        <v/>
      </c>
      <c r="K1699" t="s">
        <v>238</v>
      </c>
      <c r="L1699" t="s">
        <v>193</v>
      </c>
      <c r="M1699" t="s">
        <v>91</v>
      </c>
      <c r="S1699">
        <v>895</v>
      </c>
      <c r="W1699" t="str">
        <f t="shared" si="1585"/>
        <v>a</v>
      </c>
      <c r="X1699">
        <v>87</v>
      </c>
      <c r="Y1699" t="e">
        <f>IF(X1699&lt;&gt;"",VLOOKUP(X1699,game_rosters!$C$43:$E$64,3,FALSE))</f>
        <v>#N/A</v>
      </c>
      <c r="Z1699" cm="1">
        <f t="array" ref="Z1699">IFERROR(IF(_xlfn._xlws.FILTER(game_rosters!$J:$J,(game_rosters!$G:$G=events!$AN1699)*(game_rosters!$J:$J=events!$X1699))&gt;0,1,""),"")</f>
        <v>1</v>
      </c>
      <c r="AA1699">
        <f t="shared" si="1633"/>
        <v>1895</v>
      </c>
      <c r="AB1699" t="str">
        <f t="shared" si="1634"/>
        <v/>
      </c>
      <c r="AC1699">
        <f t="shared" si="1582"/>
        <v>1895</v>
      </c>
      <c r="AD1699" s="6">
        <v>3</v>
      </c>
      <c r="AE1699" t="s">
        <v>732</v>
      </c>
      <c r="AF1699" t="s">
        <v>754</v>
      </c>
      <c r="AG1699" t="s">
        <v>756</v>
      </c>
      <c r="AH1699" t="s">
        <v>756</v>
      </c>
      <c r="AI1699" t="s">
        <v>367</v>
      </c>
      <c r="AJ1699" t="str">
        <f t="shared" ref="AJ1699:AK1699" si="1641">IF($J1699&lt;&gt;"",$J1699,IF($AC1699=$AC1698,AJ1698,""))</f>
        <v/>
      </c>
      <c r="AK1699" t="str">
        <f t="shared" si="1641"/>
        <v/>
      </c>
      <c r="AL1699" t="str">
        <f t="shared" si="1587"/>
        <v/>
      </c>
      <c r="AN1699" t="s">
        <v>862</v>
      </c>
      <c r="AO1699" t="str">
        <f t="shared" si="1588"/>
        <v>a</v>
      </c>
      <c r="AP1699" t="str">
        <f t="shared" si="1596"/>
        <v/>
      </c>
      <c r="AQ1699" t="str">
        <f t="shared" si="1597"/>
        <v/>
      </c>
      <c r="AR1699" t="str">
        <f t="shared" si="1598"/>
        <v>Away</v>
      </c>
      <c r="AS1699" t="str">
        <f t="shared" si="1599"/>
        <v>a</v>
      </c>
      <c r="AT1699" t="str">
        <f t="shared" si="1600"/>
        <v>Offensive</v>
      </c>
      <c r="BA1699" s="6">
        <f t="shared" si="1589"/>
        <v>390</v>
      </c>
      <c r="BB1699">
        <f t="shared" si="1590"/>
        <v>18981</v>
      </c>
      <c r="BC1699" t="str">
        <f t="shared" si="1591"/>
        <v>Nelson</v>
      </c>
      <c r="BD1699" t="str">
        <f t="shared" si="1592"/>
        <v>Velodrome</v>
      </c>
      <c r="BE1699" t="s">
        <v>238</v>
      </c>
      <c r="BF1699" t="s">
        <v>193</v>
      </c>
      <c r="BG1699" t="s">
        <v>91</v>
      </c>
      <c r="BI1699" cm="1">
        <f t="array" aca="1" ref="BI1699" ca="1">IFERROR(_xlfn._xlws.FILTER(shifts!A:A,(shifts!B:B=events!AD1699)*(shifts!AG:AG&gt;=events!BK1699)*(shifts!AH:AH&lt;=events!BL1699)),BI1698)</f>
        <v>75</v>
      </c>
      <c r="BJ1699" s="15">
        <f t="shared" si="1593"/>
        <v>0</v>
      </c>
      <c r="BK1699">
        <f t="shared" si="1601"/>
        <v>1031</v>
      </c>
      <c r="BL1699">
        <f t="shared" si="1602"/>
        <v>1031</v>
      </c>
      <c r="BM1699" s="15">
        <f>SUMIFS(BJ$2:BJ1699,K$2:K1699,"=Intermission")+SUMIFS(BJ$2:BJ1699,K$2:K1699,"=Timeout")</f>
        <v>142</v>
      </c>
      <c r="BN1699">
        <f t="shared" si="1603"/>
        <v>2302</v>
      </c>
      <c r="BO1699" s="19">
        <f t="shared" si="1604"/>
        <v>2351</v>
      </c>
      <c r="BP1699">
        <f t="shared" si="1605"/>
        <v>2346</v>
      </c>
      <c r="BQ1699" s="17">
        <f t="shared" si="1606"/>
        <v>2351</v>
      </c>
      <c r="BR1699" t="str">
        <f t="shared" si="1607"/>
        <v>event_team_player_1</v>
      </c>
      <c r="BS1699">
        <f>COUNTIFS(S$3:S1699,"="&amp;S1699,AI$3:AI1699,"="&amp;AI1699)</f>
        <v>1</v>
      </c>
      <c r="BT1699" t="str">
        <f>IFERROR(VLOOKUP(BB1699&amp;BU1699&amp;X1699,game_rosters!U:W,3,FALSE),"")</f>
        <v>P100159</v>
      </c>
      <c r="BU1699" t="str">
        <f t="shared" si="1608"/>
        <v>Velodrome</v>
      </c>
    </row>
    <row r="1700" spans="1:73" x14ac:dyDescent="0.2">
      <c r="A1700">
        <f t="shared" si="1594"/>
        <v>1</v>
      </c>
      <c r="J1700" s="44" t="str">
        <f t="shared" si="1609"/>
        <v/>
      </c>
      <c r="K1700" t="s">
        <v>9</v>
      </c>
      <c r="L1700" t="s">
        <v>173</v>
      </c>
      <c r="M1700" t="s">
        <v>354</v>
      </c>
      <c r="S1700">
        <v>896</v>
      </c>
      <c r="W1700" t="str">
        <f t="shared" si="1585"/>
        <v>a</v>
      </c>
      <c r="X1700">
        <v>87</v>
      </c>
      <c r="Y1700" t="e">
        <f>IF(X1700&lt;&gt;"",VLOOKUP(X1700,game_rosters!$C$43:$E$64,3,FALSE))</f>
        <v>#N/A</v>
      </c>
      <c r="Z1700" cm="1">
        <f t="array" ref="Z1700">IFERROR(IF(_xlfn._xlws.FILTER(game_rosters!$J:$J,(game_rosters!$G:$G=events!$AN1700)*(game_rosters!$J:$J=events!$X1700))&gt;0,1,""),"")</f>
        <v>1</v>
      </c>
      <c r="AA1700">
        <f t="shared" si="1633"/>
        <v>1896</v>
      </c>
      <c r="AB1700" t="str">
        <f t="shared" si="1634"/>
        <v/>
      </c>
      <c r="AC1700">
        <f t="shared" si="1582"/>
        <v>1896</v>
      </c>
      <c r="AD1700" s="6">
        <v>3</v>
      </c>
      <c r="AE1700" t="s">
        <v>732</v>
      </c>
      <c r="AF1700" t="s">
        <v>754</v>
      </c>
      <c r="AG1700" t="s">
        <v>756</v>
      </c>
      <c r="AH1700" t="s">
        <v>756</v>
      </c>
      <c r="AI1700" t="s">
        <v>367</v>
      </c>
      <c r="AJ1700" t="str">
        <f t="shared" ref="AJ1700:AK1700" si="1642">IF($J1700&lt;&gt;"",$J1700,IF($AC1700=$AC1699,AJ1699,""))</f>
        <v/>
      </c>
      <c r="AK1700" t="str">
        <f t="shared" si="1642"/>
        <v/>
      </c>
      <c r="AL1700" t="str">
        <f t="shared" si="1587"/>
        <v/>
      </c>
      <c r="AN1700" t="s">
        <v>862</v>
      </c>
      <c r="AO1700" t="str">
        <f t="shared" si="1588"/>
        <v>a</v>
      </c>
      <c r="AP1700" t="str">
        <f t="shared" si="1596"/>
        <v/>
      </c>
      <c r="AQ1700" t="str">
        <f t="shared" si="1597"/>
        <v/>
      </c>
      <c r="AR1700" t="str">
        <f t="shared" si="1598"/>
        <v>Away</v>
      </c>
      <c r="AS1700" t="str">
        <f t="shared" si="1599"/>
        <v>a</v>
      </c>
      <c r="AT1700" t="str">
        <f t="shared" si="1600"/>
        <v>Offensive</v>
      </c>
      <c r="BA1700" s="6">
        <f t="shared" si="1589"/>
        <v>390</v>
      </c>
      <c r="BB1700">
        <f t="shared" si="1590"/>
        <v>18981</v>
      </c>
      <c r="BC1700" t="str">
        <f t="shared" si="1591"/>
        <v>Nelson</v>
      </c>
      <c r="BD1700" t="str">
        <f t="shared" si="1592"/>
        <v>Velodrome</v>
      </c>
      <c r="BE1700" t="s">
        <v>9</v>
      </c>
      <c r="BF1700" t="s">
        <v>173</v>
      </c>
      <c r="BG1700" t="s">
        <v>354</v>
      </c>
      <c r="BI1700" cm="1">
        <f t="array" aca="1" ref="BI1700" ca="1">IFERROR(_xlfn._xlws.FILTER(shifts!A:A,(shifts!B:B=events!AD1700)*(shifts!AG:AG&gt;=events!BK1700)*(shifts!AH:AH&lt;=events!BL1700)),BI1699)</f>
        <v>75</v>
      </c>
      <c r="BJ1700" s="15">
        <f t="shared" si="1593"/>
        <v>0</v>
      </c>
      <c r="BK1700">
        <f t="shared" si="1601"/>
        <v>1031</v>
      </c>
      <c r="BL1700">
        <f t="shared" si="1602"/>
        <v>1031</v>
      </c>
      <c r="BM1700" s="15">
        <f>SUMIFS(BJ$2:BJ1700,K$2:K1700,"=Intermission")+SUMIFS(BJ$2:BJ1700,K$2:K1700,"=Timeout")</f>
        <v>142</v>
      </c>
      <c r="BN1700">
        <f t="shared" si="1603"/>
        <v>2302</v>
      </c>
      <c r="BO1700" s="19">
        <f t="shared" si="1604"/>
        <v>2351</v>
      </c>
      <c r="BP1700">
        <f t="shared" si="1605"/>
        <v>2346</v>
      </c>
      <c r="BQ1700" s="17">
        <f t="shared" si="1606"/>
        <v>2351</v>
      </c>
      <c r="BR1700" t="str">
        <f t="shared" si="1607"/>
        <v>event_team_player_1</v>
      </c>
      <c r="BS1700">
        <f>COUNTIFS(S$3:S1700,"="&amp;S1700,AI$3:AI1700,"="&amp;AI1700)</f>
        <v>1</v>
      </c>
      <c r="BT1700" t="str">
        <f>IFERROR(VLOOKUP(BB1700&amp;BU1700&amp;X1700,game_rosters!U:W,3,FALSE),"")</f>
        <v>P100159</v>
      </c>
      <c r="BU1700" t="str">
        <f t="shared" si="1608"/>
        <v>Velodrome</v>
      </c>
    </row>
    <row r="1701" spans="1:73" x14ac:dyDescent="0.2">
      <c r="A1701">
        <f t="shared" si="1594"/>
        <v>1</v>
      </c>
      <c r="J1701" s="44" t="str">
        <f t="shared" si="1609"/>
        <v>d</v>
      </c>
      <c r="K1701" t="s">
        <v>238</v>
      </c>
      <c r="L1701" t="s">
        <v>184</v>
      </c>
      <c r="M1701" t="s">
        <v>90</v>
      </c>
      <c r="S1701">
        <v>897</v>
      </c>
      <c r="W1701" t="str">
        <f t="shared" si="1585"/>
        <v>h</v>
      </c>
      <c r="X1701">
        <v>8</v>
      </c>
      <c r="Y1701" t="b">
        <f>IF(X1701&lt;&gt;"",VLOOKUP(X1701,game_rosters!$C$43:$E$64,3,FALSE))</f>
        <v>0</v>
      </c>
      <c r="Z1701" cm="1">
        <f t="array" ref="Z1701">IFERROR(IF(_xlfn._xlws.FILTER(game_rosters!$J:$J,(game_rosters!$G:$G=events!$AN1701)*(game_rosters!$J:$J=events!$X1701))&gt;0,1,""),"")</f>
        <v>1</v>
      </c>
      <c r="AA1701">
        <f t="shared" si="1633"/>
        <v>1897</v>
      </c>
      <c r="AB1701" t="str">
        <f t="shared" si="1634"/>
        <v/>
      </c>
      <c r="AC1701">
        <f t="shared" si="1582"/>
        <v>1897</v>
      </c>
      <c r="AD1701" s="6">
        <v>3</v>
      </c>
      <c r="AE1701" t="s">
        <v>732</v>
      </c>
      <c r="AF1701" t="s">
        <v>920</v>
      </c>
      <c r="AG1701" t="s">
        <v>756</v>
      </c>
      <c r="AH1701" t="s">
        <v>756</v>
      </c>
      <c r="AI1701" t="s">
        <v>367</v>
      </c>
      <c r="AJ1701" t="str">
        <f t="shared" ref="AJ1701:AK1701" si="1643">IF($J1701&lt;&gt;"",$J1701,IF($AC1701=$AC1700,AJ1700,""))</f>
        <v>d</v>
      </c>
      <c r="AK1701" t="str">
        <f t="shared" si="1643"/>
        <v>d</v>
      </c>
      <c r="AL1701" t="str">
        <f t="shared" si="1587"/>
        <v>d</v>
      </c>
      <c r="AN1701" t="s">
        <v>861</v>
      </c>
      <c r="AO1701" t="str">
        <f t="shared" si="1588"/>
        <v>h</v>
      </c>
      <c r="AP1701" t="str">
        <f t="shared" si="1596"/>
        <v>d</v>
      </c>
      <c r="AQ1701" t="str">
        <f t="shared" si="1597"/>
        <v/>
      </c>
      <c r="AR1701" t="str">
        <f t="shared" si="1598"/>
        <v>Home</v>
      </c>
      <c r="AS1701" t="str">
        <f t="shared" si="1599"/>
        <v>h</v>
      </c>
      <c r="AT1701" t="str">
        <f t="shared" si="1600"/>
        <v>Offensive</v>
      </c>
      <c r="BA1701" s="6">
        <f t="shared" si="1589"/>
        <v>391</v>
      </c>
      <c r="BB1701">
        <f t="shared" si="1590"/>
        <v>18981</v>
      </c>
      <c r="BC1701" t="str">
        <f t="shared" si="1591"/>
        <v>Nelson</v>
      </c>
      <c r="BD1701" t="str">
        <f t="shared" si="1592"/>
        <v>Velodrome</v>
      </c>
      <c r="BE1701" t="s">
        <v>238</v>
      </c>
      <c r="BF1701" t="s">
        <v>184</v>
      </c>
      <c r="BG1701" t="s">
        <v>90</v>
      </c>
      <c r="BI1701" cm="1">
        <f t="array" aca="1" ref="BI1701" ca="1">IFERROR(_xlfn._xlws.FILTER(shifts!A:A,(shifts!B:B=events!AD1701)*(shifts!AG:AG&gt;=events!BK1701)*(shifts!AH:AH&lt;=events!BL1701)),BI1700)</f>
        <v>75</v>
      </c>
      <c r="BJ1701" s="15">
        <f t="shared" si="1593"/>
        <v>0</v>
      </c>
      <c r="BK1701">
        <f t="shared" si="1601"/>
        <v>1029</v>
      </c>
      <c r="BL1701">
        <f t="shared" si="1602"/>
        <v>1029</v>
      </c>
      <c r="BM1701" s="15">
        <f>SUMIFS(BJ$2:BJ1701,K$2:K1701,"=Intermission")+SUMIFS(BJ$2:BJ1701,K$2:K1701,"=Timeout")</f>
        <v>142</v>
      </c>
      <c r="BN1701">
        <f t="shared" si="1603"/>
        <v>2302</v>
      </c>
      <c r="BO1701" s="19">
        <f t="shared" si="1604"/>
        <v>2353</v>
      </c>
      <c r="BP1701">
        <f t="shared" si="1605"/>
        <v>2348</v>
      </c>
      <c r="BQ1701" s="17">
        <f t="shared" si="1606"/>
        <v>2353</v>
      </c>
      <c r="BR1701" t="str">
        <f t="shared" si="1607"/>
        <v>event_team_player_1</v>
      </c>
      <c r="BS1701">
        <f>COUNTIFS(S$3:S1701,"="&amp;S1701,AI$3:AI1701,"="&amp;AI1701)</f>
        <v>1</v>
      </c>
      <c r="BT1701" t="str">
        <f>IFERROR(VLOOKUP(BB1701&amp;BU1701&amp;X1701,game_rosters!U:W,3,FALSE),"")</f>
        <v>P100074</v>
      </c>
      <c r="BU1701" t="str">
        <f t="shared" si="1608"/>
        <v>Nelson</v>
      </c>
    </row>
    <row r="1702" spans="1:73" x14ac:dyDescent="0.2">
      <c r="A1702">
        <f t="shared" si="1594"/>
        <v>1</v>
      </c>
      <c r="J1702" s="44" t="str">
        <f t="shared" si="1609"/>
        <v/>
      </c>
      <c r="K1702" t="s">
        <v>9</v>
      </c>
      <c r="L1702" t="s">
        <v>173</v>
      </c>
      <c r="M1702" t="s">
        <v>354</v>
      </c>
      <c r="S1702">
        <v>898</v>
      </c>
      <c r="W1702" t="str">
        <f t="shared" si="1585"/>
        <v>h</v>
      </c>
      <c r="X1702">
        <v>8</v>
      </c>
      <c r="Y1702" t="b">
        <f>IF(X1702&lt;&gt;"",VLOOKUP(X1702,game_rosters!$C$43:$E$64,3,FALSE))</f>
        <v>0</v>
      </c>
      <c r="Z1702" cm="1">
        <f t="array" ref="Z1702">IFERROR(IF(_xlfn._xlws.FILTER(game_rosters!$J:$J,(game_rosters!$G:$G=events!$AN1702)*(game_rosters!$J:$J=events!$X1702))&gt;0,1,""),"")</f>
        <v>1</v>
      </c>
      <c r="AA1702">
        <f t="shared" si="1633"/>
        <v>1898</v>
      </c>
      <c r="AB1702" t="str">
        <f t="shared" si="1634"/>
        <v/>
      </c>
      <c r="AC1702">
        <f t="shared" si="1582"/>
        <v>1898</v>
      </c>
      <c r="AD1702" s="6">
        <v>3</v>
      </c>
      <c r="AE1702" t="s">
        <v>732</v>
      </c>
      <c r="AF1702" t="s">
        <v>920</v>
      </c>
      <c r="AG1702" t="s">
        <v>756</v>
      </c>
      <c r="AH1702" t="s">
        <v>756</v>
      </c>
      <c r="AI1702" t="s">
        <v>367</v>
      </c>
      <c r="AJ1702" t="str">
        <f t="shared" ref="AJ1702:AK1702" si="1644">IF($J1702&lt;&gt;"",$J1702,IF($AC1702=$AC1701,AJ1701,""))</f>
        <v/>
      </c>
      <c r="AK1702" t="str">
        <f t="shared" si="1644"/>
        <v/>
      </c>
      <c r="AL1702" t="str">
        <f t="shared" si="1587"/>
        <v/>
      </c>
      <c r="AN1702" t="s">
        <v>861</v>
      </c>
      <c r="AO1702" t="str">
        <f t="shared" si="1588"/>
        <v>h</v>
      </c>
      <c r="AP1702" t="str">
        <f t="shared" si="1596"/>
        <v/>
      </c>
      <c r="AQ1702" t="str">
        <f t="shared" si="1597"/>
        <v/>
      </c>
      <c r="AR1702" t="str">
        <f t="shared" si="1598"/>
        <v>Home</v>
      </c>
      <c r="AS1702" t="str">
        <f t="shared" si="1599"/>
        <v>h</v>
      </c>
      <c r="AT1702" t="str">
        <f t="shared" si="1600"/>
        <v>Offensive</v>
      </c>
      <c r="BA1702" s="6">
        <f t="shared" si="1589"/>
        <v>391</v>
      </c>
      <c r="BB1702">
        <f t="shared" si="1590"/>
        <v>18981</v>
      </c>
      <c r="BC1702" t="str">
        <f t="shared" si="1591"/>
        <v>Nelson</v>
      </c>
      <c r="BD1702" t="str">
        <f t="shared" si="1592"/>
        <v>Velodrome</v>
      </c>
      <c r="BE1702" t="s">
        <v>9</v>
      </c>
      <c r="BF1702" t="s">
        <v>173</v>
      </c>
      <c r="BG1702" t="s">
        <v>354</v>
      </c>
      <c r="BI1702" cm="1">
        <f t="array" aca="1" ref="BI1702" ca="1">IFERROR(_xlfn._xlws.FILTER(shifts!A:A,(shifts!B:B=events!AD1702)*(shifts!AG:AG&gt;=events!BK1702)*(shifts!AH:AH&lt;=events!BL1702)),BI1701)</f>
        <v>75</v>
      </c>
      <c r="BJ1702" s="15">
        <f t="shared" si="1593"/>
        <v>0</v>
      </c>
      <c r="BK1702">
        <f t="shared" si="1601"/>
        <v>1029</v>
      </c>
      <c r="BL1702">
        <f t="shared" si="1602"/>
        <v>1029</v>
      </c>
      <c r="BM1702" s="15">
        <f>SUMIFS(BJ$2:BJ1702,K$2:K1702,"=Intermission")+SUMIFS(BJ$2:BJ1702,K$2:K1702,"=Timeout")</f>
        <v>142</v>
      </c>
      <c r="BN1702">
        <f t="shared" si="1603"/>
        <v>2302</v>
      </c>
      <c r="BO1702" s="19">
        <f t="shared" si="1604"/>
        <v>2353</v>
      </c>
      <c r="BP1702">
        <f t="shared" si="1605"/>
        <v>2348</v>
      </c>
      <c r="BQ1702" s="17">
        <f t="shared" si="1606"/>
        <v>2353</v>
      </c>
      <c r="BR1702" t="str">
        <f t="shared" si="1607"/>
        <v>event_team_player_1</v>
      </c>
      <c r="BS1702">
        <f>COUNTIFS(S$3:S1702,"="&amp;S1702,AI$3:AI1702,"="&amp;AI1702)</f>
        <v>1</v>
      </c>
      <c r="BT1702" t="str">
        <f>IFERROR(VLOOKUP(BB1702&amp;BU1702&amp;X1702,game_rosters!U:W,3,FALSE),"")</f>
        <v>P100074</v>
      </c>
      <c r="BU1702" t="str">
        <f t="shared" si="1608"/>
        <v>Nelson</v>
      </c>
    </row>
    <row r="1703" spans="1:73" x14ac:dyDescent="0.2">
      <c r="A1703">
        <f t="shared" si="1594"/>
        <v>1</v>
      </c>
      <c r="J1703" s="44" t="str">
        <f t="shared" si="1609"/>
        <v/>
      </c>
      <c r="K1703" t="s">
        <v>13</v>
      </c>
      <c r="L1703" t="s">
        <v>756</v>
      </c>
      <c r="M1703" t="s">
        <v>756</v>
      </c>
      <c r="S1703">
        <v>899</v>
      </c>
      <c r="W1703" t="str">
        <f t="shared" si="1585"/>
        <v>a</v>
      </c>
      <c r="X1703">
        <v>84</v>
      </c>
      <c r="Y1703" t="e">
        <f>IF(X1703&lt;&gt;"",VLOOKUP(X1703,game_rosters!$C$43:$E$64,3,FALSE))</f>
        <v>#N/A</v>
      </c>
      <c r="Z1703" cm="1">
        <f t="array" ref="Z1703">IFERROR(IF(_xlfn._xlws.FILTER(game_rosters!$J:$J,(game_rosters!$G:$G=events!$AN1703)*(game_rosters!$J:$J=events!$X1703))&gt;0,1,""),"")</f>
        <v>1</v>
      </c>
      <c r="AA1703">
        <f t="shared" si="1633"/>
        <v>1899</v>
      </c>
      <c r="AB1703" t="str">
        <f t="shared" si="1634"/>
        <v/>
      </c>
      <c r="AC1703">
        <f t="shared" si="1582"/>
        <v>1899</v>
      </c>
      <c r="AD1703" s="6">
        <v>3</v>
      </c>
      <c r="AE1703" t="s">
        <v>732</v>
      </c>
      <c r="AF1703" t="s">
        <v>912</v>
      </c>
      <c r="AG1703" t="s">
        <v>732</v>
      </c>
      <c r="AH1703" t="s">
        <v>925</v>
      </c>
      <c r="AI1703" t="s">
        <v>367</v>
      </c>
      <c r="AJ1703" t="str">
        <f t="shared" ref="AJ1703:AK1703" si="1645">IF($J1703&lt;&gt;"",$J1703,IF($AC1703=$AC1702,AJ1702,""))</f>
        <v/>
      </c>
      <c r="AK1703" t="str">
        <f t="shared" si="1645"/>
        <v/>
      </c>
      <c r="AL1703" t="str">
        <f t="shared" si="1587"/>
        <v/>
      </c>
      <c r="AN1703" t="s">
        <v>862</v>
      </c>
      <c r="AO1703" t="str">
        <f t="shared" si="1588"/>
        <v>a</v>
      </c>
      <c r="AP1703" t="str">
        <f t="shared" si="1596"/>
        <v/>
      </c>
      <c r="AQ1703" t="str">
        <f t="shared" si="1597"/>
        <v/>
      </c>
      <c r="AR1703" t="str">
        <f t="shared" si="1598"/>
        <v>Away</v>
      </c>
      <c r="AS1703" t="str">
        <f t="shared" si="1599"/>
        <v>a</v>
      </c>
      <c r="AT1703" t="str">
        <f t="shared" si="1600"/>
        <v>Offensive</v>
      </c>
      <c r="BA1703" s="6">
        <f t="shared" si="1589"/>
        <v>391</v>
      </c>
      <c r="BB1703">
        <f t="shared" si="1590"/>
        <v>18981</v>
      </c>
      <c r="BC1703" t="str">
        <f t="shared" si="1591"/>
        <v>Nelson</v>
      </c>
      <c r="BD1703" t="str">
        <f t="shared" si="1592"/>
        <v>Velodrome</v>
      </c>
      <c r="BE1703" t="s">
        <v>13</v>
      </c>
      <c r="BF1703" t="s">
        <v>756</v>
      </c>
      <c r="BG1703" t="s">
        <v>756</v>
      </c>
      <c r="BI1703" cm="1">
        <f t="array" aca="1" ref="BI1703" ca="1">IFERROR(_xlfn._xlws.FILTER(shifts!A:A,(shifts!B:B=events!AD1703)*(shifts!AG:AG&gt;=events!BK1703)*(shifts!AH:AH&lt;=events!BL1703)),BI1702)</f>
        <v>75</v>
      </c>
      <c r="BJ1703" s="15">
        <f t="shared" si="1593"/>
        <v>2</v>
      </c>
      <c r="BK1703">
        <f t="shared" si="1601"/>
        <v>1025</v>
      </c>
      <c r="BL1703">
        <f t="shared" si="1602"/>
        <v>1023</v>
      </c>
      <c r="BM1703" s="15">
        <f>SUMIFS(BJ$2:BJ1703,K$2:K1703,"=Intermission")+SUMIFS(BJ$2:BJ1703,K$2:K1703,"=Timeout")</f>
        <v>142</v>
      </c>
      <c r="BN1703">
        <f t="shared" si="1603"/>
        <v>2302</v>
      </c>
      <c r="BO1703" s="19">
        <f t="shared" si="1604"/>
        <v>2357</v>
      </c>
      <c r="BP1703">
        <f t="shared" si="1605"/>
        <v>2352</v>
      </c>
      <c r="BQ1703" s="17">
        <f t="shared" si="1606"/>
        <v>2359</v>
      </c>
      <c r="BR1703" t="str">
        <f t="shared" si="1607"/>
        <v>event_team_player_1</v>
      </c>
      <c r="BS1703">
        <f>COUNTIFS(S$3:S1703,"="&amp;S1703,AI$3:AI1703,"="&amp;AI1703)</f>
        <v>1</v>
      </c>
      <c r="BT1703" t="str">
        <f>IFERROR(VLOOKUP(BB1703&amp;BU1703&amp;X1703,game_rosters!U:W,3,FALSE),"")</f>
        <v>P100198</v>
      </c>
      <c r="BU1703" t="str">
        <f t="shared" si="1608"/>
        <v>Velodrome</v>
      </c>
    </row>
    <row r="1704" spans="1:73" x14ac:dyDescent="0.2">
      <c r="A1704">
        <f t="shared" si="1594"/>
        <v>1</v>
      </c>
      <c r="J1704" s="44" t="str">
        <f t="shared" si="1609"/>
        <v>o</v>
      </c>
      <c r="K1704" t="s">
        <v>238</v>
      </c>
      <c r="L1704" t="s">
        <v>174</v>
      </c>
      <c r="M1704" t="s">
        <v>85</v>
      </c>
      <c r="S1704">
        <v>900</v>
      </c>
      <c r="W1704" t="str">
        <f t="shared" si="1585"/>
        <v>a</v>
      </c>
      <c r="X1704">
        <v>84</v>
      </c>
      <c r="Y1704" t="e">
        <f>IF(X1704&lt;&gt;"",VLOOKUP(X1704,game_rosters!$C$43:$E$64,3,FALSE))</f>
        <v>#N/A</v>
      </c>
      <c r="Z1704" cm="1">
        <f t="array" ref="Z1704">IFERROR(IF(_xlfn._xlws.FILTER(game_rosters!$J:$J,(game_rosters!$G:$G=events!$AN1704)*(game_rosters!$J:$J=events!$X1704))&gt;0,1,""),"")</f>
        <v>1</v>
      </c>
      <c r="AA1704">
        <f t="shared" si="1633"/>
        <v>1900</v>
      </c>
      <c r="AB1704" t="str">
        <f t="shared" si="1634"/>
        <v/>
      </c>
      <c r="AC1704">
        <f t="shared" si="1582"/>
        <v>1900</v>
      </c>
      <c r="AD1704" s="6">
        <v>3</v>
      </c>
      <c r="AE1704" t="s">
        <v>732</v>
      </c>
      <c r="AF1704" t="s">
        <v>925</v>
      </c>
      <c r="AG1704" t="s">
        <v>732</v>
      </c>
      <c r="AH1704" t="s">
        <v>748</v>
      </c>
      <c r="AI1704" t="s">
        <v>367</v>
      </c>
      <c r="AJ1704" t="str">
        <f t="shared" ref="AJ1704:AK1704" si="1646">IF($J1704&lt;&gt;"",$J1704,IF($AC1704=$AC1703,AJ1703,""))</f>
        <v>o</v>
      </c>
      <c r="AK1704" t="str">
        <f t="shared" si="1646"/>
        <v>o</v>
      </c>
      <c r="AL1704" t="str">
        <f t="shared" si="1587"/>
        <v>d</v>
      </c>
      <c r="AN1704" t="s">
        <v>862</v>
      </c>
      <c r="AO1704" t="str">
        <f t="shared" si="1588"/>
        <v>a</v>
      </c>
      <c r="AP1704" t="str">
        <f t="shared" si="1596"/>
        <v>d</v>
      </c>
      <c r="AQ1704" t="str">
        <f t="shared" si="1597"/>
        <v/>
      </c>
      <c r="AR1704" t="str">
        <f t="shared" si="1598"/>
        <v>Away</v>
      </c>
      <c r="AS1704" t="str">
        <f t="shared" si="1599"/>
        <v>a</v>
      </c>
      <c r="AT1704" t="str">
        <f t="shared" si="1600"/>
        <v>Offensive</v>
      </c>
      <c r="BA1704" s="6">
        <f t="shared" si="1589"/>
        <v>392</v>
      </c>
      <c r="BB1704">
        <f t="shared" si="1590"/>
        <v>18981</v>
      </c>
      <c r="BC1704" t="str">
        <f t="shared" si="1591"/>
        <v>Nelson</v>
      </c>
      <c r="BD1704" t="str">
        <f t="shared" si="1592"/>
        <v>Velodrome</v>
      </c>
      <c r="BE1704" t="s">
        <v>238</v>
      </c>
      <c r="BF1704" t="s">
        <v>174</v>
      </c>
      <c r="BG1704" t="s">
        <v>85</v>
      </c>
      <c r="BI1704" cm="1">
        <f t="array" aca="1" ref="BI1704" ca="1">IFERROR(_xlfn._xlws.FILTER(shifts!A:A,(shifts!B:B=events!AD1704)*(shifts!AG:AG&gt;=events!BK1704)*(shifts!AH:AH&lt;=events!BL1704)),BI1703)</f>
        <v>75</v>
      </c>
      <c r="BJ1704" s="15">
        <f t="shared" si="1593"/>
        <v>2</v>
      </c>
      <c r="BK1704">
        <f t="shared" si="1601"/>
        <v>1023</v>
      </c>
      <c r="BL1704">
        <f t="shared" si="1602"/>
        <v>1021</v>
      </c>
      <c r="BM1704" s="15">
        <f>SUMIFS(BJ$2:BJ1704,K$2:K1704,"=Intermission")+SUMIFS(BJ$2:BJ1704,K$2:K1704,"=Timeout")</f>
        <v>142</v>
      </c>
      <c r="BN1704">
        <f t="shared" si="1603"/>
        <v>2302</v>
      </c>
      <c r="BO1704" s="19">
        <f t="shared" si="1604"/>
        <v>2359</v>
      </c>
      <c r="BP1704">
        <f t="shared" si="1605"/>
        <v>2354</v>
      </c>
      <c r="BQ1704" s="17">
        <f t="shared" si="1606"/>
        <v>2361</v>
      </c>
      <c r="BR1704" t="str">
        <f t="shared" si="1607"/>
        <v>event_team_player_1</v>
      </c>
      <c r="BS1704">
        <f>COUNTIFS(S$3:S1704,"="&amp;S1704,AI$3:AI1704,"="&amp;AI1704)</f>
        <v>1</v>
      </c>
      <c r="BT1704" t="str">
        <f>IFERROR(VLOOKUP(BB1704&amp;BU1704&amp;X1704,game_rosters!U:W,3,FALSE),"")</f>
        <v>P100198</v>
      </c>
      <c r="BU1704" t="str">
        <f t="shared" si="1608"/>
        <v>Velodrome</v>
      </c>
    </row>
    <row r="1705" spans="1:73" x14ac:dyDescent="0.2">
      <c r="A1705">
        <f t="shared" si="1594"/>
        <v>1</v>
      </c>
      <c r="J1705" s="44" t="str">
        <f t="shared" si="1609"/>
        <v>o</v>
      </c>
      <c r="K1705" t="s">
        <v>238</v>
      </c>
      <c r="L1705" t="s">
        <v>174</v>
      </c>
      <c r="M1705" t="s">
        <v>85</v>
      </c>
      <c r="S1705">
        <v>900</v>
      </c>
      <c r="W1705" t="str">
        <f t="shared" si="1585"/>
        <v>a</v>
      </c>
      <c r="X1705">
        <v>87</v>
      </c>
      <c r="Y1705" t="e">
        <f>IF(X1705&lt;&gt;"",VLOOKUP(X1705,game_rosters!$C$43:$E$64,3,FALSE))</f>
        <v>#N/A</v>
      </c>
      <c r="Z1705" cm="1">
        <f t="array" ref="Z1705">IFERROR(IF(_xlfn._xlws.FILTER(game_rosters!$J:$J,(game_rosters!$G:$G=events!$AN1705)*(game_rosters!$J:$J=events!$X1705))&gt;0,1,""),"")</f>
        <v>1</v>
      </c>
      <c r="AA1705">
        <f t="shared" si="1633"/>
        <v>1900</v>
      </c>
      <c r="AB1705" t="str">
        <f t="shared" si="1634"/>
        <v/>
      </c>
      <c r="AC1705">
        <f t="shared" si="1582"/>
        <v>1900</v>
      </c>
      <c r="AD1705" s="6">
        <v>3</v>
      </c>
      <c r="AE1705" t="s">
        <v>732</v>
      </c>
      <c r="AF1705" t="s">
        <v>925</v>
      </c>
      <c r="AG1705" t="s">
        <v>732</v>
      </c>
      <c r="AH1705" t="s">
        <v>748</v>
      </c>
      <c r="AI1705" t="s">
        <v>367</v>
      </c>
      <c r="AJ1705" t="str">
        <f t="shared" ref="AJ1705:AK1705" si="1647">IF($J1705&lt;&gt;"",$J1705,IF($AC1705=$AC1704,AJ1704,""))</f>
        <v>o</v>
      </c>
      <c r="AK1705" t="str">
        <f t="shared" si="1647"/>
        <v>o</v>
      </c>
      <c r="AL1705" t="str">
        <f t="shared" si="1587"/>
        <v>d</v>
      </c>
      <c r="AN1705" t="s">
        <v>862</v>
      </c>
      <c r="AO1705" t="str">
        <f t="shared" si="1588"/>
        <v>a</v>
      </c>
      <c r="AP1705" t="str">
        <f t="shared" si="1596"/>
        <v>d</v>
      </c>
      <c r="AQ1705" t="str">
        <f t="shared" si="1597"/>
        <v/>
      </c>
      <c r="AR1705" t="str">
        <f t="shared" si="1598"/>
        <v>Away</v>
      </c>
      <c r="AS1705" t="str">
        <f t="shared" si="1599"/>
        <v>a</v>
      </c>
      <c r="AT1705" t="str">
        <f t="shared" si="1600"/>
        <v>Offensive</v>
      </c>
      <c r="BA1705" s="6">
        <f t="shared" si="1589"/>
        <v>393</v>
      </c>
      <c r="BB1705">
        <f t="shared" si="1590"/>
        <v>18981</v>
      </c>
      <c r="BC1705" t="str">
        <f t="shared" si="1591"/>
        <v>Nelson</v>
      </c>
      <c r="BD1705" t="str">
        <f t="shared" si="1592"/>
        <v>Velodrome</v>
      </c>
      <c r="BE1705" t="s">
        <v>238</v>
      </c>
      <c r="BF1705" t="s">
        <v>174</v>
      </c>
      <c r="BG1705" t="s">
        <v>85</v>
      </c>
      <c r="BI1705" cm="1">
        <f t="array" aca="1" ref="BI1705" ca="1">IFERROR(_xlfn._xlws.FILTER(shifts!A:A,(shifts!B:B=events!AD1705)*(shifts!AG:AG&gt;=events!BK1705)*(shifts!AH:AH&lt;=events!BL1705)),BI1704)</f>
        <v>75</v>
      </c>
      <c r="BJ1705" s="15">
        <f t="shared" si="1593"/>
        <v>2</v>
      </c>
      <c r="BK1705">
        <f t="shared" si="1601"/>
        <v>1023</v>
      </c>
      <c r="BL1705">
        <f t="shared" si="1602"/>
        <v>1021</v>
      </c>
      <c r="BM1705" s="15">
        <f>SUMIFS(BJ$2:BJ1705,K$2:K1705,"=Intermission")+SUMIFS(BJ$2:BJ1705,K$2:K1705,"=Timeout")</f>
        <v>142</v>
      </c>
      <c r="BN1705">
        <f t="shared" si="1603"/>
        <v>2302</v>
      </c>
      <c r="BO1705" s="19">
        <f t="shared" si="1604"/>
        <v>2359</v>
      </c>
      <c r="BP1705">
        <f t="shared" si="1605"/>
        <v>2354</v>
      </c>
      <c r="BQ1705" s="17">
        <f t="shared" si="1606"/>
        <v>2361</v>
      </c>
      <c r="BR1705" t="str">
        <f t="shared" si="1607"/>
        <v>event_team_player_2</v>
      </c>
      <c r="BS1705">
        <f>COUNTIFS(S$3:S1705,"="&amp;S1705,AI$3:AI1705,"="&amp;AI1705)</f>
        <v>2</v>
      </c>
      <c r="BT1705" t="str">
        <f>IFERROR(VLOOKUP(BB1705&amp;BU1705&amp;X1705,game_rosters!U:W,3,FALSE),"")</f>
        <v>P100159</v>
      </c>
      <c r="BU1705" t="str">
        <f t="shared" si="1608"/>
        <v>Velodrome</v>
      </c>
    </row>
    <row r="1706" spans="1:73" x14ac:dyDescent="0.2">
      <c r="A1706">
        <f t="shared" si="1594"/>
        <v>1</v>
      </c>
      <c r="J1706" s="44" t="str">
        <f t="shared" si="1609"/>
        <v>o</v>
      </c>
      <c r="K1706" t="s">
        <v>238</v>
      </c>
      <c r="L1706" t="s">
        <v>174</v>
      </c>
      <c r="M1706" t="s">
        <v>85</v>
      </c>
      <c r="S1706">
        <v>900</v>
      </c>
      <c r="W1706" t="str">
        <f t="shared" si="1585"/>
        <v>a</v>
      </c>
      <c r="X1706">
        <v>79</v>
      </c>
      <c r="Y1706" t="b">
        <f>IF(X1706&lt;&gt;"",VLOOKUP(X1706,game_rosters!$C$43:$E$64,3,FALSE))</f>
        <v>0</v>
      </c>
      <c r="Z1706" t="str" cm="1">
        <f t="array" ref="Z1706">IFERROR(IF(_xlfn._xlws.FILTER(game_rosters!$J:$J,(game_rosters!$G:$G=events!$AN1706)*(game_rosters!$J:$J=events!$X1706))&gt;0,1,""),"")</f>
        <v/>
      </c>
      <c r="AA1706">
        <f t="shared" si="1633"/>
        <v>1900</v>
      </c>
      <c r="AB1706" t="str">
        <f t="shared" si="1634"/>
        <v/>
      </c>
      <c r="AC1706">
        <f t="shared" si="1582"/>
        <v>1900</v>
      </c>
      <c r="AD1706" s="6">
        <v>3</v>
      </c>
      <c r="AE1706" t="s">
        <v>732</v>
      </c>
      <c r="AF1706" t="s">
        <v>925</v>
      </c>
      <c r="AG1706" t="s">
        <v>732</v>
      </c>
      <c r="AH1706" t="s">
        <v>748</v>
      </c>
      <c r="AI1706" t="s">
        <v>368</v>
      </c>
      <c r="AJ1706" t="str">
        <f t="shared" ref="AJ1706:AK1706" si="1648">IF($J1706&lt;&gt;"",$J1706,IF($AC1706=$AC1705,AJ1705,""))</f>
        <v>o</v>
      </c>
      <c r="AK1706" t="str">
        <f t="shared" si="1648"/>
        <v>o</v>
      </c>
      <c r="AL1706" t="str">
        <f t="shared" si="1587"/>
        <v>d</v>
      </c>
      <c r="AN1706" t="s">
        <v>862</v>
      </c>
      <c r="AO1706" t="str">
        <f t="shared" si="1588"/>
        <v>a</v>
      </c>
      <c r="AP1706" t="str">
        <f t="shared" si="1596"/>
        <v>d</v>
      </c>
      <c r="AQ1706" t="str">
        <f t="shared" si="1597"/>
        <v/>
      </c>
      <c r="AR1706" t="str">
        <f t="shared" si="1598"/>
        <v>Away</v>
      </c>
      <c r="AS1706" t="str">
        <f t="shared" si="1599"/>
        <v>a</v>
      </c>
      <c r="AT1706" t="str">
        <f t="shared" si="1600"/>
        <v>Defensive</v>
      </c>
      <c r="BA1706" s="6">
        <f t="shared" si="1589"/>
        <v>394</v>
      </c>
      <c r="BB1706">
        <f t="shared" si="1590"/>
        <v>18981</v>
      </c>
      <c r="BC1706" t="str">
        <f t="shared" si="1591"/>
        <v>Nelson</v>
      </c>
      <c r="BD1706" t="str">
        <f t="shared" si="1592"/>
        <v>Velodrome</v>
      </c>
      <c r="BE1706" t="s">
        <v>238</v>
      </c>
      <c r="BF1706" t="s">
        <v>174</v>
      </c>
      <c r="BG1706" t="s">
        <v>85</v>
      </c>
      <c r="BI1706" cm="1">
        <f t="array" aca="1" ref="BI1706" ca="1">IFERROR(_xlfn._xlws.FILTER(shifts!A:A,(shifts!B:B=events!AD1706)*(shifts!AG:AG&gt;=events!BK1706)*(shifts!AH:AH&lt;=events!BL1706)),BI1705)</f>
        <v>75</v>
      </c>
      <c r="BJ1706" s="15">
        <f t="shared" si="1593"/>
        <v>2</v>
      </c>
      <c r="BK1706">
        <f t="shared" si="1601"/>
        <v>1023</v>
      </c>
      <c r="BL1706">
        <f t="shared" si="1602"/>
        <v>1021</v>
      </c>
      <c r="BM1706" s="15">
        <f>SUMIFS(BJ$2:BJ1706,K$2:K1706,"=Intermission")+SUMIFS(BJ$2:BJ1706,K$2:K1706,"=Timeout")</f>
        <v>142</v>
      </c>
      <c r="BN1706">
        <f t="shared" si="1603"/>
        <v>2302</v>
      </c>
      <c r="BO1706" s="19">
        <f t="shared" si="1604"/>
        <v>2359</v>
      </c>
      <c r="BP1706">
        <f t="shared" si="1605"/>
        <v>2354</v>
      </c>
      <c r="BQ1706" s="17">
        <f t="shared" si="1606"/>
        <v>2361</v>
      </c>
      <c r="BR1706" t="str">
        <f t="shared" si="1607"/>
        <v>opp_team_player_1</v>
      </c>
      <c r="BS1706">
        <f>COUNTIFS(S$3:S1706,"="&amp;S1706,AI$3:AI1706,"="&amp;AI1706)</f>
        <v>1</v>
      </c>
      <c r="BT1706" t="str">
        <f>IFERROR(VLOOKUP(BB1706&amp;BU1706&amp;X1706,game_rosters!U:W,3,FALSE),"")</f>
        <v>P100066</v>
      </c>
      <c r="BU1706" t="str">
        <f t="shared" si="1608"/>
        <v>Nelson</v>
      </c>
    </row>
    <row r="1707" spans="1:73" x14ac:dyDescent="0.2">
      <c r="A1707">
        <f t="shared" si="1594"/>
        <v>1</v>
      </c>
      <c r="J1707" s="44" t="str">
        <f t="shared" si="1609"/>
        <v>o</v>
      </c>
      <c r="K1707" t="s">
        <v>238</v>
      </c>
      <c r="L1707" t="s">
        <v>174</v>
      </c>
      <c r="M1707" t="s">
        <v>85</v>
      </c>
      <c r="S1707">
        <v>900</v>
      </c>
      <c r="W1707" t="str">
        <f t="shared" si="1585"/>
        <v>a</v>
      </c>
      <c r="X1707">
        <v>15</v>
      </c>
      <c r="Y1707" t="b">
        <f>IF(X1707&lt;&gt;"",VLOOKUP(X1707,game_rosters!$C$43:$E$64,3,FALSE))</f>
        <v>0</v>
      </c>
      <c r="Z1707" t="str" cm="1">
        <f t="array" ref="Z1707">IFERROR(IF(_xlfn._xlws.FILTER(game_rosters!$J:$J,(game_rosters!$G:$G=events!$AN1707)*(game_rosters!$J:$J=events!$X1707))&gt;0,1,""),"")</f>
        <v/>
      </c>
      <c r="AA1707">
        <f t="shared" si="1633"/>
        <v>1900</v>
      </c>
      <c r="AB1707" t="str">
        <f t="shared" si="1634"/>
        <v/>
      </c>
      <c r="AC1707">
        <f t="shared" si="1582"/>
        <v>1900</v>
      </c>
      <c r="AD1707" s="6">
        <v>3</v>
      </c>
      <c r="AE1707" t="s">
        <v>732</v>
      </c>
      <c r="AF1707" t="s">
        <v>925</v>
      </c>
      <c r="AG1707" t="s">
        <v>732</v>
      </c>
      <c r="AH1707" t="s">
        <v>748</v>
      </c>
      <c r="AI1707" t="s">
        <v>368</v>
      </c>
      <c r="AJ1707" t="str">
        <f t="shared" ref="AJ1707:AK1707" si="1649">IF($J1707&lt;&gt;"",$J1707,IF($AC1707=$AC1706,AJ1706,""))</f>
        <v>o</v>
      </c>
      <c r="AK1707" t="str">
        <f t="shared" si="1649"/>
        <v>o</v>
      </c>
      <c r="AL1707" t="str">
        <f t="shared" si="1587"/>
        <v>d</v>
      </c>
      <c r="AN1707" t="s">
        <v>862</v>
      </c>
      <c r="AO1707" t="str">
        <f t="shared" si="1588"/>
        <v>a</v>
      </c>
      <c r="AP1707" t="str">
        <f t="shared" si="1596"/>
        <v>d</v>
      </c>
      <c r="AQ1707" t="str">
        <f t="shared" si="1597"/>
        <v/>
      </c>
      <c r="AR1707" t="str">
        <f t="shared" si="1598"/>
        <v>Away</v>
      </c>
      <c r="AS1707" t="str">
        <f t="shared" si="1599"/>
        <v>a</v>
      </c>
      <c r="AT1707" t="str">
        <f t="shared" si="1600"/>
        <v>Defensive</v>
      </c>
      <c r="BA1707" s="6">
        <f t="shared" si="1589"/>
        <v>395</v>
      </c>
      <c r="BB1707">
        <f t="shared" si="1590"/>
        <v>18981</v>
      </c>
      <c r="BC1707" t="str">
        <f t="shared" si="1591"/>
        <v>Nelson</v>
      </c>
      <c r="BD1707" t="str">
        <f t="shared" si="1592"/>
        <v>Velodrome</v>
      </c>
      <c r="BE1707" t="s">
        <v>238</v>
      </c>
      <c r="BF1707" t="s">
        <v>174</v>
      </c>
      <c r="BG1707" t="s">
        <v>85</v>
      </c>
      <c r="BI1707" cm="1">
        <f t="array" aca="1" ref="BI1707" ca="1">IFERROR(_xlfn._xlws.FILTER(shifts!A:A,(shifts!B:B=events!AD1707)*(shifts!AG:AG&gt;=events!BK1707)*(shifts!AH:AH&lt;=events!BL1707)),BI1706)</f>
        <v>75</v>
      </c>
      <c r="BJ1707" s="15">
        <f t="shared" si="1593"/>
        <v>2</v>
      </c>
      <c r="BK1707">
        <f t="shared" si="1601"/>
        <v>1023</v>
      </c>
      <c r="BL1707">
        <f t="shared" si="1602"/>
        <v>1021</v>
      </c>
      <c r="BM1707" s="15">
        <f>SUMIFS(BJ$2:BJ1707,K$2:K1707,"=Intermission")+SUMIFS(BJ$2:BJ1707,K$2:K1707,"=Timeout")</f>
        <v>142</v>
      </c>
      <c r="BN1707">
        <f t="shared" si="1603"/>
        <v>2302</v>
      </c>
      <c r="BO1707" s="19">
        <f t="shared" si="1604"/>
        <v>2359</v>
      </c>
      <c r="BP1707">
        <f t="shared" si="1605"/>
        <v>2354</v>
      </c>
      <c r="BQ1707" s="17">
        <f t="shared" si="1606"/>
        <v>2361</v>
      </c>
      <c r="BR1707" t="str">
        <f t="shared" si="1607"/>
        <v>opp_team_player_2</v>
      </c>
      <c r="BS1707">
        <f>COUNTIFS(S$3:S1707,"="&amp;S1707,AI$3:AI1707,"="&amp;AI1707)</f>
        <v>2</v>
      </c>
      <c r="BT1707" t="str">
        <f>IFERROR(VLOOKUP(BB1707&amp;BU1707&amp;X1707,game_rosters!U:W,3,FALSE),"")</f>
        <v>P100071</v>
      </c>
      <c r="BU1707" t="str">
        <f t="shared" si="1608"/>
        <v>Nelson</v>
      </c>
    </row>
    <row r="1708" spans="1:73" x14ac:dyDescent="0.2">
      <c r="A1708">
        <f t="shared" si="1594"/>
        <v>1</v>
      </c>
      <c r="J1708" s="44" t="str">
        <f t="shared" si="1609"/>
        <v>o</v>
      </c>
      <c r="K1708" t="s">
        <v>238</v>
      </c>
      <c r="L1708" t="s">
        <v>174</v>
      </c>
      <c r="M1708" t="s">
        <v>85</v>
      </c>
      <c r="S1708">
        <v>900</v>
      </c>
      <c r="W1708" t="str">
        <f t="shared" si="1585"/>
        <v>a</v>
      </c>
      <c r="X1708">
        <v>8</v>
      </c>
      <c r="Y1708" t="b">
        <f>IF(X1708&lt;&gt;"",VLOOKUP(X1708,game_rosters!$C$43:$E$64,3,FALSE))</f>
        <v>0</v>
      </c>
      <c r="Z1708" t="str" cm="1">
        <f t="array" ref="Z1708">IFERROR(IF(_xlfn._xlws.FILTER(game_rosters!$J:$J,(game_rosters!$G:$G=events!$AN1708)*(game_rosters!$J:$J=events!$X1708))&gt;0,1,""),"")</f>
        <v/>
      </c>
      <c r="AA1708">
        <f t="shared" si="1633"/>
        <v>1900</v>
      </c>
      <c r="AB1708" t="str">
        <f t="shared" si="1634"/>
        <v/>
      </c>
      <c r="AC1708">
        <f t="shared" si="1582"/>
        <v>1900</v>
      </c>
      <c r="AD1708" s="6">
        <v>3</v>
      </c>
      <c r="AE1708" t="s">
        <v>732</v>
      </c>
      <c r="AF1708" t="s">
        <v>925</v>
      </c>
      <c r="AG1708" t="s">
        <v>732</v>
      </c>
      <c r="AH1708" t="s">
        <v>748</v>
      </c>
      <c r="AI1708" t="s">
        <v>368</v>
      </c>
      <c r="AJ1708" t="str">
        <f t="shared" ref="AJ1708:AK1708" si="1650">IF($J1708&lt;&gt;"",$J1708,IF($AC1708=$AC1707,AJ1707,""))</f>
        <v>o</v>
      </c>
      <c r="AK1708" t="str">
        <f t="shared" si="1650"/>
        <v>o</v>
      </c>
      <c r="AL1708" t="str">
        <f t="shared" si="1587"/>
        <v>d</v>
      </c>
      <c r="AN1708" t="s">
        <v>862</v>
      </c>
      <c r="AO1708" t="str">
        <f t="shared" si="1588"/>
        <v>a</v>
      </c>
      <c r="AP1708" t="str">
        <f t="shared" si="1596"/>
        <v>d</v>
      </c>
      <c r="AQ1708" t="str">
        <f t="shared" si="1597"/>
        <v/>
      </c>
      <c r="AR1708" t="str">
        <f t="shared" si="1598"/>
        <v>Away</v>
      </c>
      <c r="AS1708" t="str">
        <f t="shared" si="1599"/>
        <v>a</v>
      </c>
      <c r="AT1708" t="str">
        <f t="shared" si="1600"/>
        <v>Defensive</v>
      </c>
      <c r="BA1708" s="6">
        <f t="shared" si="1589"/>
        <v>396</v>
      </c>
      <c r="BB1708">
        <f t="shared" si="1590"/>
        <v>18981</v>
      </c>
      <c r="BC1708" t="str">
        <f t="shared" si="1591"/>
        <v>Nelson</v>
      </c>
      <c r="BD1708" t="str">
        <f t="shared" si="1592"/>
        <v>Velodrome</v>
      </c>
      <c r="BE1708" t="s">
        <v>238</v>
      </c>
      <c r="BF1708" t="s">
        <v>174</v>
      </c>
      <c r="BG1708" t="s">
        <v>85</v>
      </c>
      <c r="BI1708" cm="1">
        <f t="array" aca="1" ref="BI1708" ca="1">IFERROR(_xlfn._xlws.FILTER(shifts!A:A,(shifts!B:B=events!AD1708)*(shifts!AG:AG&gt;=events!BK1708)*(shifts!AH:AH&lt;=events!BL1708)),BI1707)</f>
        <v>75</v>
      </c>
      <c r="BJ1708" s="15">
        <f t="shared" si="1593"/>
        <v>2</v>
      </c>
      <c r="BK1708">
        <f t="shared" si="1601"/>
        <v>1023</v>
      </c>
      <c r="BL1708">
        <f t="shared" si="1602"/>
        <v>1021</v>
      </c>
      <c r="BM1708" s="15">
        <f>SUMIFS(BJ$2:BJ1708,K$2:K1708,"=Intermission")+SUMIFS(BJ$2:BJ1708,K$2:K1708,"=Timeout")</f>
        <v>142</v>
      </c>
      <c r="BN1708">
        <f t="shared" si="1603"/>
        <v>2302</v>
      </c>
      <c r="BO1708" s="19">
        <f t="shared" si="1604"/>
        <v>2359</v>
      </c>
      <c r="BP1708">
        <f t="shared" si="1605"/>
        <v>2354</v>
      </c>
      <c r="BQ1708" s="17">
        <f t="shared" si="1606"/>
        <v>2361</v>
      </c>
      <c r="BR1708" t="str">
        <f t="shared" si="1607"/>
        <v>opp_team_player_3</v>
      </c>
      <c r="BS1708">
        <f>COUNTIFS(S$3:S1708,"="&amp;S1708,AI$3:AI1708,"="&amp;AI1708)</f>
        <v>3</v>
      </c>
      <c r="BT1708" t="str">
        <f>IFERROR(VLOOKUP(BB1708&amp;BU1708&amp;X1708,game_rosters!U:W,3,FALSE),"")</f>
        <v>P100074</v>
      </c>
      <c r="BU1708" t="str">
        <f t="shared" si="1608"/>
        <v>Nelson</v>
      </c>
    </row>
    <row r="1709" spans="1:73" x14ac:dyDescent="0.2">
      <c r="A1709">
        <f t="shared" si="1594"/>
        <v>1</v>
      </c>
      <c r="J1709" s="44" t="str">
        <f t="shared" si="1609"/>
        <v>o</v>
      </c>
      <c r="K1709" t="s">
        <v>238</v>
      </c>
      <c r="L1709" t="s">
        <v>174</v>
      </c>
      <c r="M1709" t="s">
        <v>85</v>
      </c>
      <c r="S1709">
        <v>900</v>
      </c>
      <c r="W1709" t="str">
        <f t="shared" si="1585"/>
        <v>a</v>
      </c>
      <c r="X1709">
        <v>80</v>
      </c>
      <c r="Y1709" t="b">
        <f>IF(X1709&lt;&gt;"",VLOOKUP(X1709,game_rosters!$C$43:$E$64,3,FALSE))</f>
        <v>0</v>
      </c>
      <c r="Z1709" t="str" cm="1">
        <f t="array" ref="Z1709">IFERROR(IF(_xlfn._xlws.FILTER(game_rosters!$J:$J,(game_rosters!$G:$G=events!$AN1709)*(game_rosters!$J:$J=events!$X1709))&gt;0,1,""),"")</f>
        <v/>
      </c>
      <c r="AA1709">
        <f t="shared" si="1633"/>
        <v>1900</v>
      </c>
      <c r="AB1709" t="str">
        <f t="shared" si="1634"/>
        <v/>
      </c>
      <c r="AC1709">
        <f t="shared" si="1582"/>
        <v>1900</v>
      </c>
      <c r="AD1709" s="6">
        <v>3</v>
      </c>
      <c r="AE1709" t="s">
        <v>732</v>
      </c>
      <c r="AF1709" t="s">
        <v>925</v>
      </c>
      <c r="AG1709" t="s">
        <v>732</v>
      </c>
      <c r="AH1709" t="s">
        <v>748</v>
      </c>
      <c r="AI1709" t="s">
        <v>368</v>
      </c>
      <c r="AJ1709" t="str">
        <f t="shared" ref="AJ1709:AK1709" si="1651">IF($J1709&lt;&gt;"",$J1709,IF($AC1709=$AC1708,AJ1708,""))</f>
        <v>o</v>
      </c>
      <c r="AK1709" t="str">
        <f t="shared" si="1651"/>
        <v>o</v>
      </c>
      <c r="AL1709" t="str">
        <f t="shared" si="1587"/>
        <v>d</v>
      </c>
      <c r="AN1709" t="s">
        <v>862</v>
      </c>
      <c r="AO1709" t="str">
        <f t="shared" si="1588"/>
        <v>a</v>
      </c>
      <c r="AP1709" t="str">
        <f t="shared" si="1596"/>
        <v>d</v>
      </c>
      <c r="AQ1709" t="str">
        <f t="shared" si="1597"/>
        <v/>
      </c>
      <c r="AR1709" t="str">
        <f t="shared" si="1598"/>
        <v>Away</v>
      </c>
      <c r="AS1709" t="str">
        <f t="shared" si="1599"/>
        <v>a</v>
      </c>
      <c r="AT1709" t="str">
        <f t="shared" si="1600"/>
        <v>Defensive</v>
      </c>
      <c r="BA1709" s="6">
        <f t="shared" si="1589"/>
        <v>397</v>
      </c>
      <c r="BB1709">
        <f t="shared" si="1590"/>
        <v>18981</v>
      </c>
      <c r="BC1709" t="str">
        <f t="shared" si="1591"/>
        <v>Nelson</v>
      </c>
      <c r="BD1709" t="str">
        <f t="shared" si="1592"/>
        <v>Velodrome</v>
      </c>
      <c r="BE1709" t="s">
        <v>238</v>
      </c>
      <c r="BF1709" t="s">
        <v>174</v>
      </c>
      <c r="BG1709" t="s">
        <v>85</v>
      </c>
      <c r="BI1709" cm="1">
        <f t="array" aca="1" ref="BI1709" ca="1">IFERROR(_xlfn._xlws.FILTER(shifts!A:A,(shifts!B:B=events!AD1709)*(shifts!AG:AG&gt;=events!BK1709)*(shifts!AH:AH&lt;=events!BL1709)),BI1708)</f>
        <v>75</v>
      </c>
      <c r="BJ1709" s="15">
        <f t="shared" si="1593"/>
        <v>2</v>
      </c>
      <c r="BK1709">
        <f t="shared" si="1601"/>
        <v>1023</v>
      </c>
      <c r="BL1709">
        <f t="shared" si="1602"/>
        <v>1021</v>
      </c>
      <c r="BM1709" s="15">
        <f>SUMIFS(BJ$2:BJ1709,K$2:K1709,"=Intermission")+SUMIFS(BJ$2:BJ1709,K$2:K1709,"=Timeout")</f>
        <v>142</v>
      </c>
      <c r="BN1709">
        <f t="shared" si="1603"/>
        <v>2302</v>
      </c>
      <c r="BO1709" s="19">
        <f t="shared" si="1604"/>
        <v>2359</v>
      </c>
      <c r="BP1709">
        <f t="shared" si="1605"/>
        <v>2354</v>
      </c>
      <c r="BQ1709" s="17">
        <f t="shared" si="1606"/>
        <v>2361</v>
      </c>
      <c r="BR1709" t="str">
        <f t="shared" si="1607"/>
        <v>opp_team_player_4</v>
      </c>
      <c r="BS1709">
        <f>COUNTIFS(S$3:S1709,"="&amp;S1709,AI$3:AI1709,"="&amp;AI1709)</f>
        <v>4</v>
      </c>
      <c r="BT1709" t="str">
        <f>IFERROR(VLOOKUP(BB1709&amp;BU1709&amp;X1709,game_rosters!U:W,3,FALSE),"")</f>
        <v>P100197</v>
      </c>
      <c r="BU1709" t="str">
        <f t="shared" si="1608"/>
        <v>Nelson</v>
      </c>
    </row>
    <row r="1710" spans="1:73" x14ac:dyDescent="0.2">
      <c r="A1710">
        <f t="shared" si="1594"/>
        <v>1</v>
      </c>
      <c r="J1710" s="44" t="str">
        <f t="shared" si="1609"/>
        <v/>
      </c>
      <c r="K1710" t="s">
        <v>7</v>
      </c>
      <c r="L1710" t="s">
        <v>182</v>
      </c>
      <c r="M1710" t="s">
        <v>68</v>
      </c>
      <c r="S1710">
        <v>901</v>
      </c>
      <c r="W1710" t="str">
        <f t="shared" si="1585"/>
        <v>a</v>
      </c>
      <c r="X1710">
        <v>84</v>
      </c>
      <c r="Y1710" t="e">
        <f>IF(X1710&lt;&gt;"",VLOOKUP(X1710,game_rosters!$C$43:$E$64,3,FALSE))</f>
        <v>#N/A</v>
      </c>
      <c r="Z1710" cm="1">
        <f t="array" ref="Z1710">IFERROR(IF(_xlfn._xlws.FILTER(game_rosters!$J:$J,(game_rosters!$G:$G=events!$AN1710)*(game_rosters!$J:$J=events!$X1710))&gt;0,1,""),"")</f>
        <v>1</v>
      </c>
      <c r="AA1710">
        <f t="shared" si="1633"/>
        <v>1901</v>
      </c>
      <c r="AB1710" t="str">
        <f t="shared" si="1634"/>
        <v/>
      </c>
      <c r="AC1710">
        <f t="shared" si="1582"/>
        <v>1901</v>
      </c>
      <c r="AD1710" s="6">
        <v>3</v>
      </c>
      <c r="AE1710" t="s">
        <v>732</v>
      </c>
      <c r="AF1710" t="s">
        <v>748</v>
      </c>
      <c r="AG1710" t="s">
        <v>756</v>
      </c>
      <c r="AH1710" t="s">
        <v>756</v>
      </c>
      <c r="AI1710" t="s">
        <v>367</v>
      </c>
      <c r="AJ1710" t="str">
        <f t="shared" ref="AJ1710:AK1710" si="1652">IF($J1710&lt;&gt;"",$J1710,IF($AC1710=$AC1709,AJ1709,""))</f>
        <v/>
      </c>
      <c r="AK1710" t="str">
        <f t="shared" si="1652"/>
        <v/>
      </c>
      <c r="AL1710" t="str">
        <f t="shared" si="1587"/>
        <v/>
      </c>
      <c r="AN1710" t="s">
        <v>862</v>
      </c>
      <c r="AO1710" t="str">
        <f t="shared" si="1588"/>
        <v>a</v>
      </c>
      <c r="AP1710" t="str">
        <f t="shared" si="1596"/>
        <v/>
      </c>
      <c r="AQ1710" t="str">
        <f t="shared" si="1597"/>
        <v/>
      </c>
      <c r="AR1710" t="str">
        <f t="shared" si="1598"/>
        <v>Away</v>
      </c>
      <c r="AS1710" t="str">
        <f t="shared" si="1599"/>
        <v>a</v>
      </c>
      <c r="AT1710" t="str">
        <f t="shared" si="1600"/>
        <v>Offensive</v>
      </c>
      <c r="BA1710" s="6">
        <f t="shared" si="1589"/>
        <v>397</v>
      </c>
      <c r="BB1710">
        <f t="shared" si="1590"/>
        <v>18981</v>
      </c>
      <c r="BC1710" t="str">
        <f t="shared" si="1591"/>
        <v>Nelson</v>
      </c>
      <c r="BD1710" t="str">
        <f t="shared" si="1592"/>
        <v>Velodrome</v>
      </c>
      <c r="BE1710" t="s">
        <v>7</v>
      </c>
      <c r="BF1710" t="s">
        <v>182</v>
      </c>
      <c r="BG1710" t="s">
        <v>68</v>
      </c>
      <c r="BI1710" cm="1">
        <f t="array" aca="1" ref="BI1710" ca="1">IFERROR(_xlfn._xlws.FILTER(shifts!A:A,(shifts!B:B=events!AD1710)*(shifts!AG:AG&gt;=events!BK1710)*(shifts!AH:AH&lt;=events!BL1710)),BI1709)</f>
        <v>76</v>
      </c>
      <c r="BJ1710" s="15">
        <f t="shared" si="1593"/>
        <v>0</v>
      </c>
      <c r="BK1710">
        <f t="shared" si="1601"/>
        <v>1021</v>
      </c>
      <c r="BL1710">
        <f t="shared" si="1602"/>
        <v>1021</v>
      </c>
      <c r="BM1710" s="15">
        <f>SUMIFS(BJ$2:BJ1710,K$2:K1710,"=Intermission")+SUMIFS(BJ$2:BJ1710,K$2:K1710,"=Timeout")</f>
        <v>142</v>
      </c>
      <c r="BN1710">
        <f t="shared" si="1603"/>
        <v>2302</v>
      </c>
      <c r="BO1710" s="19">
        <f t="shared" si="1604"/>
        <v>2361</v>
      </c>
      <c r="BP1710">
        <f t="shared" si="1605"/>
        <v>2356</v>
      </c>
      <c r="BQ1710" s="17">
        <f t="shared" si="1606"/>
        <v>2361</v>
      </c>
      <c r="BR1710" t="str">
        <f t="shared" si="1607"/>
        <v>event_team_player_1</v>
      </c>
      <c r="BS1710">
        <f>COUNTIFS(S$3:S1710,"="&amp;S1710,AI$3:AI1710,"="&amp;AI1710)</f>
        <v>1</v>
      </c>
      <c r="BT1710" t="str">
        <f>IFERROR(VLOOKUP(BB1710&amp;BU1710&amp;X1710,game_rosters!U:W,3,FALSE),"")</f>
        <v>P100198</v>
      </c>
      <c r="BU1710" t="str">
        <f t="shared" si="1608"/>
        <v>Velodrome</v>
      </c>
    </row>
    <row r="1711" spans="1:73" x14ac:dyDescent="0.2">
      <c r="A1711">
        <f t="shared" si="1594"/>
        <v>1</v>
      </c>
      <c r="J1711" s="44" t="str">
        <f t="shared" si="1609"/>
        <v/>
      </c>
      <c r="K1711" t="s">
        <v>7</v>
      </c>
      <c r="L1711" t="s">
        <v>182</v>
      </c>
      <c r="M1711" t="s">
        <v>68</v>
      </c>
      <c r="S1711">
        <v>901</v>
      </c>
      <c r="W1711" t="str">
        <f t="shared" si="1585"/>
        <v>a</v>
      </c>
      <c r="X1711">
        <v>87</v>
      </c>
      <c r="Y1711" t="e">
        <f>IF(X1711&lt;&gt;"",VLOOKUP(X1711,game_rosters!$C$43:$E$64,3,FALSE))</f>
        <v>#N/A</v>
      </c>
      <c r="Z1711" cm="1">
        <f t="array" ref="Z1711">IFERROR(IF(_xlfn._xlws.FILTER(game_rosters!$J:$J,(game_rosters!$G:$G=events!$AN1711)*(game_rosters!$J:$J=events!$X1711))&gt;0,1,""),"")</f>
        <v>1</v>
      </c>
      <c r="AA1711">
        <f t="shared" si="1633"/>
        <v>1901</v>
      </c>
      <c r="AB1711" t="str">
        <f t="shared" si="1634"/>
        <v/>
      </c>
      <c r="AC1711">
        <f t="shared" si="1582"/>
        <v>1901</v>
      </c>
      <c r="AD1711" s="6">
        <v>3</v>
      </c>
      <c r="AE1711" t="s">
        <v>732</v>
      </c>
      <c r="AF1711" t="s">
        <v>748</v>
      </c>
      <c r="AG1711" t="s">
        <v>756</v>
      </c>
      <c r="AH1711" t="s">
        <v>756</v>
      </c>
      <c r="AI1711" t="s">
        <v>367</v>
      </c>
      <c r="AJ1711" t="str">
        <f t="shared" ref="AJ1711:AK1711" si="1653">IF($J1711&lt;&gt;"",$J1711,IF($AC1711=$AC1710,AJ1710,""))</f>
        <v/>
      </c>
      <c r="AK1711" t="str">
        <f t="shared" si="1653"/>
        <v/>
      </c>
      <c r="AL1711" t="str">
        <f t="shared" si="1587"/>
        <v/>
      </c>
      <c r="AN1711" t="s">
        <v>862</v>
      </c>
      <c r="AO1711" t="str">
        <f t="shared" si="1588"/>
        <v>a</v>
      </c>
      <c r="AP1711" t="str">
        <f t="shared" si="1596"/>
        <v/>
      </c>
      <c r="AQ1711" t="str">
        <f t="shared" si="1597"/>
        <v/>
      </c>
      <c r="AR1711" t="str">
        <f t="shared" si="1598"/>
        <v>Away</v>
      </c>
      <c r="AS1711" t="str">
        <f t="shared" si="1599"/>
        <v>a</v>
      </c>
      <c r="AT1711" t="str">
        <f t="shared" si="1600"/>
        <v>Offensive</v>
      </c>
      <c r="BA1711" s="6">
        <f t="shared" si="1589"/>
        <v>397</v>
      </c>
      <c r="BB1711">
        <f t="shared" si="1590"/>
        <v>18981</v>
      </c>
      <c r="BC1711" t="str">
        <f t="shared" si="1591"/>
        <v>Nelson</v>
      </c>
      <c r="BD1711" t="str">
        <f t="shared" si="1592"/>
        <v>Velodrome</v>
      </c>
      <c r="BE1711" t="s">
        <v>7</v>
      </c>
      <c r="BF1711" t="s">
        <v>182</v>
      </c>
      <c r="BG1711" t="s">
        <v>68</v>
      </c>
      <c r="BI1711" cm="1">
        <f t="array" aca="1" ref="BI1711" ca="1">IFERROR(_xlfn._xlws.FILTER(shifts!A:A,(shifts!B:B=events!AD1711)*(shifts!AG:AG&gt;=events!BK1711)*(shifts!AH:AH&lt;=events!BL1711)),BI1710)</f>
        <v>76</v>
      </c>
      <c r="BJ1711" s="15">
        <f t="shared" si="1593"/>
        <v>0</v>
      </c>
      <c r="BK1711">
        <f t="shared" si="1601"/>
        <v>1021</v>
      </c>
      <c r="BL1711">
        <f t="shared" si="1602"/>
        <v>1021</v>
      </c>
      <c r="BM1711" s="15">
        <f>SUMIFS(BJ$2:BJ1711,K$2:K1711,"=Intermission")+SUMIFS(BJ$2:BJ1711,K$2:K1711,"=Timeout")</f>
        <v>142</v>
      </c>
      <c r="BN1711">
        <f t="shared" si="1603"/>
        <v>2302</v>
      </c>
      <c r="BO1711" s="19">
        <f t="shared" si="1604"/>
        <v>2361</v>
      </c>
      <c r="BP1711">
        <f t="shared" si="1605"/>
        <v>2356</v>
      </c>
      <c r="BQ1711" s="17">
        <f t="shared" si="1606"/>
        <v>2361</v>
      </c>
      <c r="BR1711" t="str">
        <f t="shared" si="1607"/>
        <v>event_team_player_2</v>
      </c>
      <c r="BS1711">
        <f>COUNTIFS(S$3:S1711,"="&amp;S1711,AI$3:AI1711,"="&amp;AI1711)</f>
        <v>2</v>
      </c>
      <c r="BT1711" t="str">
        <f>IFERROR(VLOOKUP(BB1711&amp;BU1711&amp;X1711,game_rosters!U:W,3,FALSE),"")</f>
        <v>P100159</v>
      </c>
      <c r="BU1711" t="str">
        <f t="shared" si="1608"/>
        <v>Velodrome</v>
      </c>
    </row>
    <row r="1712" spans="1:73" x14ac:dyDescent="0.2">
      <c r="A1712">
        <f t="shared" si="1594"/>
        <v>1</v>
      </c>
      <c r="J1712" s="44" t="str">
        <f t="shared" si="1609"/>
        <v/>
      </c>
      <c r="K1712" t="s">
        <v>7</v>
      </c>
      <c r="L1712" t="s">
        <v>182</v>
      </c>
      <c r="M1712" t="s">
        <v>68</v>
      </c>
      <c r="S1712">
        <v>901</v>
      </c>
      <c r="W1712" t="str">
        <f t="shared" si="1585"/>
        <v>a</v>
      </c>
      <c r="X1712">
        <v>8</v>
      </c>
      <c r="Y1712" t="b">
        <f>IF(X1712&lt;&gt;"",VLOOKUP(X1712,game_rosters!$C$43:$E$64,3,FALSE))</f>
        <v>0</v>
      </c>
      <c r="Z1712" t="str" cm="1">
        <f t="array" ref="Z1712">IFERROR(IF(_xlfn._xlws.FILTER(game_rosters!$J:$J,(game_rosters!$G:$G=events!$AN1712)*(game_rosters!$J:$J=events!$X1712))&gt;0,1,""),"")</f>
        <v/>
      </c>
      <c r="AA1712">
        <f t="shared" si="1633"/>
        <v>1901</v>
      </c>
      <c r="AB1712" t="str">
        <f t="shared" si="1634"/>
        <v/>
      </c>
      <c r="AC1712">
        <f t="shared" si="1582"/>
        <v>1901</v>
      </c>
      <c r="AD1712" s="6">
        <v>3</v>
      </c>
      <c r="AE1712" t="s">
        <v>732</v>
      </c>
      <c r="AF1712" t="s">
        <v>748</v>
      </c>
      <c r="AG1712" t="s">
        <v>756</v>
      </c>
      <c r="AH1712" t="s">
        <v>756</v>
      </c>
      <c r="AI1712" t="s">
        <v>368</v>
      </c>
      <c r="AJ1712" t="str">
        <f t="shared" ref="AJ1712:AK1712" si="1654">IF($J1712&lt;&gt;"",$J1712,IF($AC1712=$AC1711,AJ1711,""))</f>
        <v/>
      </c>
      <c r="AK1712" t="str">
        <f t="shared" si="1654"/>
        <v/>
      </c>
      <c r="AL1712" t="str">
        <f t="shared" si="1587"/>
        <v/>
      </c>
      <c r="AN1712" t="s">
        <v>862</v>
      </c>
      <c r="AO1712" t="str">
        <f t="shared" si="1588"/>
        <v>a</v>
      </c>
      <c r="AP1712" t="str">
        <f t="shared" si="1596"/>
        <v/>
      </c>
      <c r="AQ1712" t="str">
        <f t="shared" si="1597"/>
        <v/>
      </c>
      <c r="AR1712" t="str">
        <f t="shared" si="1598"/>
        <v>Away</v>
      </c>
      <c r="AS1712" t="str">
        <f t="shared" si="1599"/>
        <v>a</v>
      </c>
      <c r="AT1712" t="str">
        <f t="shared" si="1600"/>
        <v>Defensive</v>
      </c>
      <c r="BA1712" s="6">
        <f t="shared" si="1589"/>
        <v>397</v>
      </c>
      <c r="BB1712">
        <f t="shared" si="1590"/>
        <v>18981</v>
      </c>
      <c r="BC1712" t="str">
        <f t="shared" si="1591"/>
        <v>Nelson</v>
      </c>
      <c r="BD1712" t="str">
        <f t="shared" si="1592"/>
        <v>Velodrome</v>
      </c>
      <c r="BE1712" t="s">
        <v>7</v>
      </c>
      <c r="BF1712" t="s">
        <v>182</v>
      </c>
      <c r="BG1712" t="s">
        <v>68</v>
      </c>
      <c r="BI1712" cm="1">
        <f t="array" aca="1" ref="BI1712" ca="1">IFERROR(_xlfn._xlws.FILTER(shifts!A:A,(shifts!B:B=events!AD1712)*(shifts!AG:AG&gt;=events!BK1712)*(shifts!AH:AH&lt;=events!BL1712)),BI1711)</f>
        <v>76</v>
      </c>
      <c r="BJ1712" s="15">
        <f t="shared" si="1593"/>
        <v>0</v>
      </c>
      <c r="BK1712">
        <f t="shared" si="1601"/>
        <v>1021</v>
      </c>
      <c r="BL1712">
        <f t="shared" si="1602"/>
        <v>1021</v>
      </c>
      <c r="BM1712" s="15">
        <f>SUMIFS(BJ$2:BJ1712,K$2:K1712,"=Intermission")+SUMIFS(BJ$2:BJ1712,K$2:K1712,"=Timeout")</f>
        <v>142</v>
      </c>
      <c r="BN1712">
        <f t="shared" si="1603"/>
        <v>2302</v>
      </c>
      <c r="BO1712" s="19">
        <f t="shared" si="1604"/>
        <v>2361</v>
      </c>
      <c r="BP1712">
        <f t="shared" si="1605"/>
        <v>2356</v>
      </c>
      <c r="BQ1712" s="17">
        <f t="shared" si="1606"/>
        <v>2361</v>
      </c>
      <c r="BR1712" t="str">
        <f t="shared" si="1607"/>
        <v>opp_team_player_1</v>
      </c>
      <c r="BS1712">
        <f>COUNTIFS(S$3:S1712,"="&amp;S1712,AI$3:AI1712,"="&amp;AI1712)</f>
        <v>1</v>
      </c>
      <c r="BT1712" t="str">
        <f>IFERROR(VLOOKUP(BB1712&amp;BU1712&amp;X1712,game_rosters!U:W,3,FALSE),"")</f>
        <v>P100074</v>
      </c>
      <c r="BU1712" t="str">
        <f t="shared" si="1608"/>
        <v>Nelson</v>
      </c>
    </row>
    <row r="1713" spans="1:73" x14ac:dyDescent="0.2">
      <c r="A1713">
        <f t="shared" si="1594"/>
        <v>1</v>
      </c>
      <c r="J1713" s="44" t="str">
        <f t="shared" si="1609"/>
        <v/>
      </c>
      <c r="K1713" t="s">
        <v>9</v>
      </c>
      <c r="L1713" t="s">
        <v>173</v>
      </c>
      <c r="M1713" t="s">
        <v>74</v>
      </c>
      <c r="S1713">
        <v>902</v>
      </c>
      <c r="W1713" t="str">
        <f t="shared" si="1585"/>
        <v>a</v>
      </c>
      <c r="X1713">
        <v>84</v>
      </c>
      <c r="Y1713" t="e">
        <f>IF(X1713&lt;&gt;"",VLOOKUP(X1713,game_rosters!$C$43:$E$64,3,FALSE))</f>
        <v>#N/A</v>
      </c>
      <c r="Z1713" cm="1">
        <f t="array" ref="Z1713">IFERROR(IF(_xlfn._xlws.FILTER(game_rosters!$J:$J,(game_rosters!$G:$G=events!$AN1713)*(game_rosters!$J:$J=events!$X1713))&gt;0,1,""),"")</f>
        <v>1</v>
      </c>
      <c r="AA1713">
        <f t="shared" si="1633"/>
        <v>1902</v>
      </c>
      <c r="AB1713" t="str">
        <f t="shared" si="1634"/>
        <v/>
      </c>
      <c r="AC1713">
        <f t="shared" si="1582"/>
        <v>1902</v>
      </c>
      <c r="AD1713" s="6">
        <v>3</v>
      </c>
      <c r="AE1713" t="s">
        <v>732</v>
      </c>
      <c r="AF1713" t="s">
        <v>748</v>
      </c>
      <c r="AG1713" t="s">
        <v>756</v>
      </c>
      <c r="AH1713" t="s">
        <v>756</v>
      </c>
      <c r="AI1713" t="s">
        <v>367</v>
      </c>
      <c r="AJ1713" t="str">
        <f t="shared" ref="AJ1713:AK1713" si="1655">IF($J1713&lt;&gt;"",$J1713,IF($AC1713=$AC1712,AJ1712,""))</f>
        <v/>
      </c>
      <c r="AK1713" t="str">
        <f t="shared" si="1655"/>
        <v/>
      </c>
      <c r="AL1713" t="str">
        <f t="shared" si="1587"/>
        <v/>
      </c>
      <c r="AN1713" t="s">
        <v>862</v>
      </c>
      <c r="AO1713" t="str">
        <f t="shared" si="1588"/>
        <v>a</v>
      </c>
      <c r="AP1713" t="str">
        <f t="shared" si="1596"/>
        <v/>
      </c>
      <c r="AQ1713" t="str">
        <f t="shared" si="1597"/>
        <v/>
      </c>
      <c r="AR1713" t="str">
        <f t="shared" si="1598"/>
        <v>Away</v>
      </c>
      <c r="AS1713" t="str">
        <f t="shared" si="1599"/>
        <v>a</v>
      </c>
      <c r="AT1713" t="str">
        <f t="shared" si="1600"/>
        <v>Offensive</v>
      </c>
      <c r="BA1713" s="6">
        <f t="shared" si="1589"/>
        <v>397</v>
      </c>
      <c r="BB1713">
        <f t="shared" si="1590"/>
        <v>18981</v>
      </c>
      <c r="BC1713" t="str">
        <f t="shared" si="1591"/>
        <v>Nelson</v>
      </c>
      <c r="BD1713" t="str">
        <f t="shared" si="1592"/>
        <v>Velodrome</v>
      </c>
      <c r="BE1713" t="s">
        <v>9</v>
      </c>
      <c r="BF1713" t="s">
        <v>173</v>
      </c>
      <c r="BG1713" t="s">
        <v>74</v>
      </c>
      <c r="BI1713" cm="1">
        <f t="array" aca="1" ref="BI1713" ca="1">IFERROR(_xlfn._xlws.FILTER(shifts!A:A,(shifts!B:B=events!AD1713)*(shifts!AG:AG&gt;=events!BK1713)*(shifts!AH:AH&lt;=events!BL1713)),BI1712)</f>
        <v>76</v>
      </c>
      <c r="BJ1713" s="15">
        <f t="shared" si="1593"/>
        <v>0</v>
      </c>
      <c r="BK1713">
        <f t="shared" si="1601"/>
        <v>1021</v>
      </c>
      <c r="BL1713">
        <f t="shared" si="1602"/>
        <v>1021</v>
      </c>
      <c r="BM1713" s="15">
        <f>SUMIFS(BJ$2:BJ1713,K$2:K1713,"=Intermission")+SUMIFS(BJ$2:BJ1713,K$2:K1713,"=Timeout")</f>
        <v>142</v>
      </c>
      <c r="BN1713">
        <f t="shared" si="1603"/>
        <v>2302</v>
      </c>
      <c r="BO1713" s="19">
        <f t="shared" si="1604"/>
        <v>2361</v>
      </c>
      <c r="BP1713">
        <f t="shared" si="1605"/>
        <v>2356</v>
      </c>
      <c r="BQ1713" s="17">
        <f t="shared" si="1606"/>
        <v>2361</v>
      </c>
      <c r="BR1713" t="str">
        <f t="shared" si="1607"/>
        <v>event_team_player_1</v>
      </c>
      <c r="BS1713">
        <f>COUNTIFS(S$3:S1713,"="&amp;S1713,AI$3:AI1713,"="&amp;AI1713)</f>
        <v>1</v>
      </c>
      <c r="BT1713" t="str">
        <f>IFERROR(VLOOKUP(BB1713&amp;BU1713&amp;X1713,game_rosters!U:W,3,FALSE),"")</f>
        <v>P100198</v>
      </c>
      <c r="BU1713" t="str">
        <f t="shared" si="1608"/>
        <v>Velodrome</v>
      </c>
    </row>
    <row r="1714" spans="1:73" x14ac:dyDescent="0.2">
      <c r="A1714">
        <f t="shared" si="1594"/>
        <v>1</v>
      </c>
      <c r="J1714" s="44" t="str">
        <f t="shared" si="1609"/>
        <v>d</v>
      </c>
      <c r="K1714" t="s">
        <v>238</v>
      </c>
      <c r="L1714" t="s">
        <v>184</v>
      </c>
      <c r="M1714" t="s">
        <v>88</v>
      </c>
      <c r="S1714">
        <v>903</v>
      </c>
      <c r="W1714" t="str">
        <f t="shared" si="1585"/>
        <v>h</v>
      </c>
      <c r="X1714">
        <v>16</v>
      </c>
      <c r="Y1714" t="b">
        <f>IF(X1714&lt;&gt;"",VLOOKUP(X1714,game_rosters!$C$43:$E$64,3,FALSE))</f>
        <v>0</v>
      </c>
      <c r="Z1714" cm="1">
        <f t="array" ref="Z1714">IFERROR(IF(_xlfn._xlws.FILTER(game_rosters!$J:$J,(game_rosters!$G:$G=events!$AN1714)*(game_rosters!$J:$J=events!$X1714))&gt;0,1,""),"")</f>
        <v>1</v>
      </c>
      <c r="AA1714">
        <f t="shared" si="1633"/>
        <v>1903</v>
      </c>
      <c r="AB1714" t="str">
        <f t="shared" si="1634"/>
        <v/>
      </c>
      <c r="AC1714">
        <f t="shared" si="1582"/>
        <v>1903</v>
      </c>
      <c r="AD1714" s="6">
        <v>3</v>
      </c>
      <c r="AE1714" t="s">
        <v>909</v>
      </c>
      <c r="AF1714" t="s">
        <v>927</v>
      </c>
      <c r="AG1714" t="s">
        <v>909</v>
      </c>
      <c r="AH1714" t="s">
        <v>899</v>
      </c>
      <c r="AI1714" t="s">
        <v>367</v>
      </c>
      <c r="AJ1714" t="str">
        <f t="shared" ref="AJ1714:AK1714" si="1656">IF($J1714&lt;&gt;"",$J1714,IF($AC1714=$AC1713,AJ1713,""))</f>
        <v>d</v>
      </c>
      <c r="AK1714" t="str">
        <f t="shared" si="1656"/>
        <v>d</v>
      </c>
      <c r="AL1714" t="str">
        <f t="shared" si="1587"/>
        <v>d</v>
      </c>
      <c r="AN1714" t="s">
        <v>861</v>
      </c>
      <c r="AO1714" t="str">
        <f t="shared" si="1588"/>
        <v>h</v>
      </c>
      <c r="AP1714" t="str">
        <f t="shared" si="1596"/>
        <v>d</v>
      </c>
      <c r="AQ1714" t="str">
        <f t="shared" si="1597"/>
        <v/>
      </c>
      <c r="AR1714" t="str">
        <f t="shared" si="1598"/>
        <v>Home</v>
      </c>
      <c r="AS1714" t="str">
        <f t="shared" si="1599"/>
        <v>h</v>
      </c>
      <c r="AT1714" t="str">
        <f t="shared" si="1600"/>
        <v>Offensive</v>
      </c>
      <c r="BA1714" s="6">
        <f t="shared" si="1589"/>
        <v>398</v>
      </c>
      <c r="BB1714">
        <f t="shared" si="1590"/>
        <v>18981</v>
      </c>
      <c r="BC1714" t="str">
        <f t="shared" si="1591"/>
        <v>Nelson</v>
      </c>
      <c r="BD1714" t="str">
        <f t="shared" si="1592"/>
        <v>Velodrome</v>
      </c>
      <c r="BE1714" t="s">
        <v>238</v>
      </c>
      <c r="BF1714" t="s">
        <v>184</v>
      </c>
      <c r="BG1714" t="s">
        <v>88</v>
      </c>
      <c r="BI1714" cm="1">
        <f t="array" aca="1" ref="BI1714" ca="1">IFERROR(_xlfn._xlws.FILTER(shifts!A:A,(shifts!B:B=events!AD1714)*(shifts!AG:AG&gt;=events!BK1714)*(shifts!AH:AH&lt;=events!BL1714)),BI1713)</f>
        <v>76</v>
      </c>
      <c r="BJ1714" s="15">
        <f t="shared" si="1593"/>
        <v>9</v>
      </c>
      <c r="BK1714">
        <f t="shared" si="1601"/>
        <v>1017</v>
      </c>
      <c r="BL1714">
        <f t="shared" si="1602"/>
        <v>1008</v>
      </c>
      <c r="BM1714" s="15">
        <f>SUMIFS(BJ$2:BJ1714,K$2:K1714,"=Intermission")+SUMIFS(BJ$2:BJ1714,K$2:K1714,"=Timeout")</f>
        <v>142</v>
      </c>
      <c r="BN1714">
        <f t="shared" si="1603"/>
        <v>2302</v>
      </c>
      <c r="BO1714" s="19">
        <f t="shared" si="1604"/>
        <v>2365</v>
      </c>
      <c r="BP1714">
        <f t="shared" si="1605"/>
        <v>2360</v>
      </c>
      <c r="BQ1714" s="17">
        <f t="shared" si="1606"/>
        <v>2374</v>
      </c>
      <c r="BR1714" t="str">
        <f t="shared" si="1607"/>
        <v>event_team_player_1</v>
      </c>
      <c r="BS1714">
        <f>COUNTIFS(S$3:S1714,"="&amp;S1714,AI$3:AI1714,"="&amp;AI1714)</f>
        <v>1</v>
      </c>
      <c r="BT1714" t="str">
        <f>IFERROR(VLOOKUP(BB1714&amp;BU1714&amp;X1714,game_rosters!U:W,3,FALSE),"")</f>
        <v>P100164</v>
      </c>
      <c r="BU1714" t="str">
        <f t="shared" si="1608"/>
        <v>Nelson</v>
      </c>
    </row>
    <row r="1715" spans="1:73" x14ac:dyDescent="0.2">
      <c r="A1715">
        <f t="shared" si="1594"/>
        <v>1</v>
      </c>
      <c r="J1715" s="44" t="str">
        <f t="shared" si="1609"/>
        <v>d</v>
      </c>
      <c r="K1715" t="s">
        <v>238</v>
      </c>
      <c r="L1715" t="s">
        <v>184</v>
      </c>
      <c r="M1715" t="s">
        <v>88</v>
      </c>
      <c r="S1715">
        <v>903</v>
      </c>
      <c r="W1715" t="str">
        <f t="shared" si="1585"/>
        <v>h</v>
      </c>
      <c r="X1715">
        <v>87</v>
      </c>
      <c r="Y1715" t="e">
        <f>IF(X1715&lt;&gt;"",VLOOKUP(X1715,game_rosters!$C$43:$E$64,3,FALSE))</f>
        <v>#N/A</v>
      </c>
      <c r="Z1715" t="str" cm="1">
        <f t="array" ref="Z1715">IFERROR(IF(_xlfn._xlws.FILTER(game_rosters!$J:$J,(game_rosters!$G:$G=events!$AN1715)*(game_rosters!$J:$J=events!$X1715))&gt;0,1,""),"")</f>
        <v/>
      </c>
      <c r="AA1715">
        <f t="shared" si="1633"/>
        <v>1903</v>
      </c>
      <c r="AB1715" t="str">
        <f t="shared" si="1634"/>
        <v/>
      </c>
      <c r="AC1715">
        <f t="shared" si="1582"/>
        <v>1903</v>
      </c>
      <c r="AD1715" s="6">
        <v>3</v>
      </c>
      <c r="AE1715" t="s">
        <v>909</v>
      </c>
      <c r="AF1715" t="s">
        <v>927</v>
      </c>
      <c r="AG1715" t="s">
        <v>909</v>
      </c>
      <c r="AH1715" t="s">
        <v>899</v>
      </c>
      <c r="AI1715" t="s">
        <v>368</v>
      </c>
      <c r="AJ1715" t="str">
        <f t="shared" ref="AJ1715:AK1715" si="1657">IF($J1715&lt;&gt;"",$J1715,IF($AC1715=$AC1714,AJ1714,""))</f>
        <v>d</v>
      </c>
      <c r="AK1715" t="str">
        <f t="shared" si="1657"/>
        <v>d</v>
      </c>
      <c r="AL1715" t="str">
        <f t="shared" si="1587"/>
        <v>d</v>
      </c>
      <c r="AN1715" t="s">
        <v>861</v>
      </c>
      <c r="AO1715" t="str">
        <f t="shared" si="1588"/>
        <v>h</v>
      </c>
      <c r="AP1715" t="str">
        <f t="shared" si="1596"/>
        <v>d</v>
      </c>
      <c r="AQ1715" t="str">
        <f t="shared" si="1597"/>
        <v/>
      </c>
      <c r="AR1715" t="str">
        <f t="shared" si="1598"/>
        <v>Home</v>
      </c>
      <c r="AS1715" t="str">
        <f t="shared" si="1599"/>
        <v>h</v>
      </c>
      <c r="AT1715" t="str">
        <f t="shared" si="1600"/>
        <v>Defensive</v>
      </c>
      <c r="BA1715" s="6">
        <f t="shared" si="1589"/>
        <v>399</v>
      </c>
      <c r="BB1715">
        <f t="shared" si="1590"/>
        <v>18981</v>
      </c>
      <c r="BC1715" t="str">
        <f t="shared" si="1591"/>
        <v>Nelson</v>
      </c>
      <c r="BD1715" t="str">
        <f t="shared" si="1592"/>
        <v>Velodrome</v>
      </c>
      <c r="BE1715" t="s">
        <v>238</v>
      </c>
      <c r="BF1715" t="s">
        <v>184</v>
      </c>
      <c r="BG1715" t="s">
        <v>88</v>
      </c>
      <c r="BI1715" cm="1">
        <f t="array" aca="1" ref="BI1715" ca="1">IFERROR(_xlfn._xlws.FILTER(shifts!A:A,(shifts!B:B=events!AD1715)*(shifts!AG:AG&gt;=events!BK1715)*(shifts!AH:AH&lt;=events!BL1715)),BI1714)</f>
        <v>76</v>
      </c>
      <c r="BJ1715" s="15">
        <f t="shared" si="1593"/>
        <v>9</v>
      </c>
      <c r="BK1715">
        <f t="shared" si="1601"/>
        <v>1017</v>
      </c>
      <c r="BL1715">
        <f t="shared" si="1602"/>
        <v>1008</v>
      </c>
      <c r="BM1715" s="15">
        <f>SUMIFS(BJ$2:BJ1715,K$2:K1715,"=Intermission")+SUMIFS(BJ$2:BJ1715,K$2:K1715,"=Timeout")</f>
        <v>142</v>
      </c>
      <c r="BN1715">
        <f t="shared" si="1603"/>
        <v>2302</v>
      </c>
      <c r="BO1715" s="19">
        <f t="shared" si="1604"/>
        <v>2365</v>
      </c>
      <c r="BP1715">
        <f t="shared" si="1605"/>
        <v>2360</v>
      </c>
      <c r="BQ1715" s="17">
        <f t="shared" si="1606"/>
        <v>2374</v>
      </c>
      <c r="BR1715" t="str">
        <f t="shared" si="1607"/>
        <v>opp_team_player_1</v>
      </c>
      <c r="BS1715">
        <f>COUNTIFS(S$3:S1715,"="&amp;S1715,AI$3:AI1715,"="&amp;AI1715)</f>
        <v>1</v>
      </c>
      <c r="BT1715" t="str">
        <f>IFERROR(VLOOKUP(BB1715&amp;BU1715&amp;X1715,game_rosters!U:W,3,FALSE),"")</f>
        <v>P100159</v>
      </c>
      <c r="BU1715" t="str">
        <f t="shared" si="1608"/>
        <v>Velodrome</v>
      </c>
    </row>
    <row r="1716" spans="1:73" x14ac:dyDescent="0.2">
      <c r="A1716">
        <f t="shared" si="1594"/>
        <v>1</v>
      </c>
      <c r="J1716" s="44" t="str">
        <f t="shared" si="1609"/>
        <v/>
      </c>
      <c r="K1716" t="s">
        <v>13</v>
      </c>
      <c r="L1716" t="s">
        <v>756</v>
      </c>
      <c r="M1716" t="s">
        <v>756</v>
      </c>
      <c r="S1716">
        <v>904</v>
      </c>
      <c r="W1716" t="str">
        <f t="shared" si="1585"/>
        <v>h</v>
      </c>
      <c r="X1716">
        <v>16</v>
      </c>
      <c r="Y1716" t="b">
        <f>IF(X1716&lt;&gt;"",VLOOKUP(X1716,game_rosters!$C$43:$E$64,3,FALSE))</f>
        <v>0</v>
      </c>
      <c r="Z1716" cm="1">
        <f t="array" ref="Z1716">IFERROR(IF(_xlfn._xlws.FILTER(game_rosters!$J:$J,(game_rosters!$G:$G=events!$AN1716)*(game_rosters!$J:$J=events!$X1716))&gt;0,1,""),"")</f>
        <v>1</v>
      </c>
      <c r="AA1716">
        <f t="shared" si="1633"/>
        <v>1904</v>
      </c>
      <c r="AB1716" t="str">
        <f t="shared" si="1634"/>
        <v/>
      </c>
      <c r="AC1716">
        <f t="shared" si="1582"/>
        <v>1904</v>
      </c>
      <c r="AD1716" s="6">
        <v>3</v>
      </c>
      <c r="AE1716" t="s">
        <v>909</v>
      </c>
      <c r="AF1716" t="s">
        <v>899</v>
      </c>
      <c r="AG1716" t="s">
        <v>909</v>
      </c>
      <c r="AH1716" t="s">
        <v>923</v>
      </c>
      <c r="AI1716" t="s">
        <v>367</v>
      </c>
      <c r="AJ1716" t="str">
        <f t="shared" ref="AJ1716:AK1716" si="1658">IF($J1716&lt;&gt;"",$J1716,IF($AC1716=$AC1715,AJ1715,""))</f>
        <v/>
      </c>
      <c r="AK1716" t="str">
        <f t="shared" si="1658"/>
        <v/>
      </c>
      <c r="AL1716" t="str">
        <f t="shared" si="1587"/>
        <v/>
      </c>
      <c r="AN1716" t="s">
        <v>861</v>
      </c>
      <c r="AO1716" t="str">
        <f t="shared" si="1588"/>
        <v>h</v>
      </c>
      <c r="AP1716" t="str">
        <f t="shared" si="1596"/>
        <v/>
      </c>
      <c r="AQ1716" t="str">
        <f t="shared" si="1597"/>
        <v/>
      </c>
      <c r="AR1716" t="str">
        <f t="shared" si="1598"/>
        <v>Home</v>
      </c>
      <c r="AS1716" t="str">
        <f t="shared" si="1599"/>
        <v>h</v>
      </c>
      <c r="AT1716" t="str">
        <f t="shared" si="1600"/>
        <v>Offensive</v>
      </c>
      <c r="BA1716" s="6">
        <f t="shared" si="1589"/>
        <v>399</v>
      </c>
      <c r="BB1716">
        <f t="shared" si="1590"/>
        <v>18981</v>
      </c>
      <c r="BC1716" t="str">
        <f t="shared" si="1591"/>
        <v>Nelson</v>
      </c>
      <c r="BD1716" t="str">
        <f t="shared" si="1592"/>
        <v>Velodrome</v>
      </c>
      <c r="BE1716" t="s">
        <v>13</v>
      </c>
      <c r="BF1716" t="s">
        <v>756</v>
      </c>
      <c r="BG1716" t="s">
        <v>756</v>
      </c>
      <c r="BI1716" cm="1">
        <f t="array" aca="1" ref="BI1716" ca="1">IFERROR(_xlfn._xlws.FILTER(shifts!A:A,(shifts!B:B=events!AD1716)*(shifts!AG:AG&gt;=events!BK1716)*(shifts!AH:AH&lt;=events!BL1716)),BI1715)</f>
        <v>76</v>
      </c>
      <c r="BJ1716" s="15">
        <f t="shared" si="1593"/>
        <v>4</v>
      </c>
      <c r="BK1716">
        <f t="shared" si="1601"/>
        <v>1008</v>
      </c>
      <c r="BL1716">
        <f t="shared" si="1602"/>
        <v>1004</v>
      </c>
      <c r="BM1716" s="15">
        <f>SUMIFS(BJ$2:BJ1716,K$2:K1716,"=Intermission")+SUMIFS(BJ$2:BJ1716,K$2:K1716,"=Timeout")</f>
        <v>142</v>
      </c>
      <c r="BN1716">
        <f t="shared" si="1603"/>
        <v>2302</v>
      </c>
      <c r="BO1716" s="19">
        <f t="shared" si="1604"/>
        <v>2374</v>
      </c>
      <c r="BP1716">
        <f t="shared" si="1605"/>
        <v>2369</v>
      </c>
      <c r="BQ1716" s="17">
        <f t="shared" si="1606"/>
        <v>2378</v>
      </c>
      <c r="BR1716" t="str">
        <f t="shared" si="1607"/>
        <v>event_team_player_1</v>
      </c>
      <c r="BS1716">
        <f>COUNTIFS(S$3:S1716,"="&amp;S1716,AI$3:AI1716,"="&amp;AI1716)</f>
        <v>1</v>
      </c>
      <c r="BT1716" t="str">
        <f>IFERROR(VLOOKUP(BB1716&amp;BU1716&amp;X1716,game_rosters!U:W,3,FALSE),"")</f>
        <v>P100164</v>
      </c>
      <c r="BU1716" t="str">
        <f t="shared" si="1608"/>
        <v>Nelson</v>
      </c>
    </row>
    <row r="1717" spans="1:73" x14ac:dyDescent="0.2">
      <c r="A1717">
        <f t="shared" si="1594"/>
        <v>1</v>
      </c>
      <c r="J1717" s="44" t="str">
        <f t="shared" si="1609"/>
        <v/>
      </c>
      <c r="K1717" t="s">
        <v>13</v>
      </c>
      <c r="L1717" t="s">
        <v>756</v>
      </c>
      <c r="M1717" t="s">
        <v>756</v>
      </c>
      <c r="S1717">
        <v>904</v>
      </c>
      <c r="W1717" t="str">
        <f t="shared" si="1585"/>
        <v>h</v>
      </c>
      <c r="X1717">
        <v>87</v>
      </c>
      <c r="Y1717" t="e">
        <f>IF(X1717&lt;&gt;"",VLOOKUP(X1717,game_rosters!$C$43:$E$64,3,FALSE))</f>
        <v>#N/A</v>
      </c>
      <c r="Z1717" t="str" cm="1">
        <f t="array" ref="Z1717">IFERROR(IF(_xlfn._xlws.FILTER(game_rosters!$J:$J,(game_rosters!$G:$G=events!$AN1717)*(game_rosters!$J:$J=events!$X1717))&gt;0,1,""),"")</f>
        <v/>
      </c>
      <c r="AA1717">
        <f t="shared" si="1633"/>
        <v>1904</v>
      </c>
      <c r="AB1717" t="str">
        <f t="shared" si="1634"/>
        <v/>
      </c>
      <c r="AC1717">
        <f t="shared" si="1582"/>
        <v>1904</v>
      </c>
      <c r="AD1717" s="6">
        <v>3</v>
      </c>
      <c r="AE1717" t="s">
        <v>909</v>
      </c>
      <c r="AF1717" t="s">
        <v>899</v>
      </c>
      <c r="AG1717" t="s">
        <v>909</v>
      </c>
      <c r="AH1717" t="s">
        <v>923</v>
      </c>
      <c r="AI1717" t="s">
        <v>368</v>
      </c>
      <c r="AJ1717" t="str">
        <f t="shared" ref="AJ1717:AK1717" si="1659">IF($J1717&lt;&gt;"",$J1717,IF($AC1717=$AC1716,AJ1716,""))</f>
        <v/>
      </c>
      <c r="AK1717" t="str">
        <f t="shared" si="1659"/>
        <v/>
      </c>
      <c r="AL1717" t="str">
        <f t="shared" si="1587"/>
        <v/>
      </c>
      <c r="AN1717" t="s">
        <v>861</v>
      </c>
      <c r="AO1717" t="str">
        <f t="shared" si="1588"/>
        <v>h</v>
      </c>
      <c r="AP1717" t="str">
        <f t="shared" si="1596"/>
        <v/>
      </c>
      <c r="AQ1717" t="str">
        <f t="shared" si="1597"/>
        <v/>
      </c>
      <c r="AR1717" t="str">
        <f t="shared" si="1598"/>
        <v>Home</v>
      </c>
      <c r="AS1717" t="str">
        <f t="shared" si="1599"/>
        <v>h</v>
      </c>
      <c r="AT1717" t="str">
        <f t="shared" si="1600"/>
        <v>Defensive</v>
      </c>
      <c r="BA1717" s="6">
        <f t="shared" si="1589"/>
        <v>399</v>
      </c>
      <c r="BB1717">
        <f t="shared" si="1590"/>
        <v>18981</v>
      </c>
      <c r="BC1717" t="str">
        <f t="shared" si="1591"/>
        <v>Nelson</v>
      </c>
      <c r="BD1717" t="str">
        <f t="shared" si="1592"/>
        <v>Velodrome</v>
      </c>
      <c r="BE1717" t="s">
        <v>13</v>
      </c>
      <c r="BF1717" t="s">
        <v>756</v>
      </c>
      <c r="BG1717" t="s">
        <v>756</v>
      </c>
      <c r="BI1717" cm="1">
        <f t="array" aca="1" ref="BI1717" ca="1">IFERROR(_xlfn._xlws.FILTER(shifts!A:A,(shifts!B:B=events!AD1717)*(shifts!AG:AG&gt;=events!BK1717)*(shifts!AH:AH&lt;=events!BL1717)),BI1716)</f>
        <v>76</v>
      </c>
      <c r="BJ1717" s="15">
        <f t="shared" si="1593"/>
        <v>4</v>
      </c>
      <c r="BK1717">
        <f t="shared" si="1601"/>
        <v>1008</v>
      </c>
      <c r="BL1717">
        <f t="shared" si="1602"/>
        <v>1004</v>
      </c>
      <c r="BM1717" s="15">
        <f>SUMIFS(BJ$2:BJ1717,K$2:K1717,"=Intermission")+SUMIFS(BJ$2:BJ1717,K$2:K1717,"=Timeout")</f>
        <v>142</v>
      </c>
      <c r="BN1717">
        <f t="shared" si="1603"/>
        <v>2302</v>
      </c>
      <c r="BO1717" s="19">
        <f t="shared" si="1604"/>
        <v>2374</v>
      </c>
      <c r="BP1717">
        <f t="shared" si="1605"/>
        <v>2369</v>
      </c>
      <c r="BQ1717" s="17">
        <f t="shared" si="1606"/>
        <v>2378</v>
      </c>
      <c r="BR1717" t="str">
        <f t="shared" si="1607"/>
        <v>opp_team_player_1</v>
      </c>
      <c r="BS1717">
        <f>COUNTIFS(S$3:S1717,"="&amp;S1717,AI$3:AI1717,"="&amp;AI1717)</f>
        <v>1</v>
      </c>
      <c r="BT1717" t="str">
        <f>IFERROR(VLOOKUP(BB1717&amp;BU1717&amp;X1717,game_rosters!U:W,3,FALSE),"")</f>
        <v>P100159</v>
      </c>
      <c r="BU1717" t="str">
        <f t="shared" si="1608"/>
        <v>Velodrome</v>
      </c>
    </row>
    <row r="1718" spans="1:73" x14ac:dyDescent="0.2">
      <c r="A1718">
        <f t="shared" si="1594"/>
        <v>1</v>
      </c>
      <c r="J1718" s="44" t="str">
        <f t="shared" si="1609"/>
        <v/>
      </c>
      <c r="K1718" t="s">
        <v>230</v>
      </c>
      <c r="L1718" t="s">
        <v>389</v>
      </c>
      <c r="M1718" t="s">
        <v>432</v>
      </c>
      <c r="S1718">
        <v>905</v>
      </c>
      <c r="W1718" t="str">
        <f t="shared" si="1585"/>
        <v>a</v>
      </c>
      <c r="X1718">
        <v>70</v>
      </c>
      <c r="Y1718" t="e">
        <f>IF(X1718&lt;&gt;"",VLOOKUP(X1718,game_rosters!$C$43:$E$64,3,FALSE))</f>
        <v>#N/A</v>
      </c>
      <c r="Z1718" cm="1">
        <f t="array" ref="Z1718">IFERROR(IF(_xlfn._xlws.FILTER(game_rosters!$J:$J,(game_rosters!$G:$G=events!$AN1718)*(game_rosters!$J:$J=events!$X1718))&gt;0,1,""),"")</f>
        <v>1</v>
      </c>
      <c r="AA1718">
        <f t="shared" si="1633"/>
        <v>1905</v>
      </c>
      <c r="AB1718" t="str">
        <f t="shared" si="1634"/>
        <v/>
      </c>
      <c r="AC1718">
        <f t="shared" si="1582"/>
        <v>1905</v>
      </c>
      <c r="AD1718" s="6">
        <v>3</v>
      </c>
      <c r="AE1718" t="s">
        <v>909</v>
      </c>
      <c r="AF1718" t="s">
        <v>923</v>
      </c>
      <c r="AG1718" t="s">
        <v>756</v>
      </c>
      <c r="AH1718" t="s">
        <v>756</v>
      </c>
      <c r="AI1718" t="s">
        <v>367</v>
      </c>
      <c r="AJ1718" t="str">
        <f t="shared" ref="AJ1718:AK1718" si="1660">IF($J1718&lt;&gt;"",$J1718,IF($AC1718=$AC1717,AJ1717,""))</f>
        <v/>
      </c>
      <c r="AK1718" t="str">
        <f t="shared" si="1660"/>
        <v/>
      </c>
      <c r="AL1718" t="str">
        <f t="shared" si="1587"/>
        <v/>
      </c>
      <c r="AN1718" t="s">
        <v>862</v>
      </c>
      <c r="AO1718" t="str">
        <f t="shared" si="1588"/>
        <v>a</v>
      </c>
      <c r="AP1718" t="str">
        <f t="shared" si="1596"/>
        <v/>
      </c>
      <c r="AQ1718" t="str">
        <f t="shared" si="1597"/>
        <v/>
      </c>
      <c r="AR1718" t="str">
        <f t="shared" si="1598"/>
        <v>Away</v>
      </c>
      <c r="AS1718" t="str">
        <f t="shared" si="1599"/>
        <v>a</v>
      </c>
      <c r="AT1718" t="str">
        <f t="shared" si="1600"/>
        <v>Defensive</v>
      </c>
      <c r="BA1718" s="6">
        <f t="shared" si="1589"/>
        <v>399</v>
      </c>
      <c r="BB1718">
        <f t="shared" si="1590"/>
        <v>18981</v>
      </c>
      <c r="BC1718" t="str">
        <f t="shared" si="1591"/>
        <v>Nelson</v>
      </c>
      <c r="BD1718" t="str">
        <f t="shared" si="1592"/>
        <v>Velodrome</v>
      </c>
      <c r="BE1718" t="s">
        <v>230</v>
      </c>
      <c r="BF1718" t="s">
        <v>389</v>
      </c>
      <c r="BG1718" t="s">
        <v>432</v>
      </c>
      <c r="BI1718" cm="1">
        <f t="array" aca="1" ref="BI1718" ca="1">IFERROR(_xlfn._xlws.FILTER(shifts!A:A,(shifts!B:B=events!AD1718)*(shifts!AG:AG&gt;=events!BK1718)*(shifts!AH:AH&lt;=events!BL1718)),BI1717)</f>
        <v>76</v>
      </c>
      <c r="BJ1718" s="15">
        <f t="shared" si="1593"/>
        <v>0</v>
      </c>
      <c r="BK1718">
        <f t="shared" si="1601"/>
        <v>1004</v>
      </c>
      <c r="BL1718">
        <f t="shared" si="1602"/>
        <v>1004</v>
      </c>
      <c r="BM1718" s="15">
        <f>SUMIFS(BJ$2:BJ1718,K$2:K1718,"=Intermission")+SUMIFS(BJ$2:BJ1718,K$2:K1718,"=Timeout")</f>
        <v>142</v>
      </c>
      <c r="BN1718">
        <f t="shared" si="1603"/>
        <v>2302</v>
      </c>
      <c r="BO1718" s="19">
        <f t="shared" si="1604"/>
        <v>2378</v>
      </c>
      <c r="BP1718">
        <f t="shared" si="1605"/>
        <v>2373</v>
      </c>
      <c r="BQ1718" s="17">
        <f t="shared" si="1606"/>
        <v>2378</v>
      </c>
      <c r="BR1718" t="str">
        <f t="shared" si="1607"/>
        <v>event_team_player_1</v>
      </c>
      <c r="BS1718">
        <f>COUNTIFS(S$3:S1718,"="&amp;S1718,AI$3:AI1718,"="&amp;AI1718)</f>
        <v>1</v>
      </c>
      <c r="BT1718" t="str">
        <f>IFERROR(VLOOKUP(BB1718&amp;BU1718&amp;X1718,game_rosters!U:W,3,FALSE),"")</f>
        <v>P100001</v>
      </c>
      <c r="BU1718" t="str">
        <f t="shared" si="1608"/>
        <v>Velodrome</v>
      </c>
    </row>
    <row r="1719" spans="1:73" x14ac:dyDescent="0.2">
      <c r="A1719">
        <f t="shared" si="1594"/>
        <v>1</v>
      </c>
      <c r="J1719" s="44" t="str">
        <f t="shared" si="1609"/>
        <v/>
      </c>
      <c r="K1719" t="s">
        <v>230</v>
      </c>
      <c r="L1719" t="s">
        <v>389</v>
      </c>
      <c r="M1719" t="s">
        <v>432</v>
      </c>
      <c r="S1719">
        <v>905</v>
      </c>
      <c r="W1719" t="str">
        <f t="shared" si="1585"/>
        <v>a</v>
      </c>
      <c r="X1719">
        <v>16</v>
      </c>
      <c r="Y1719" t="b">
        <f>IF(X1719&lt;&gt;"",VLOOKUP(X1719,game_rosters!$C$43:$E$64,3,FALSE))</f>
        <v>0</v>
      </c>
      <c r="Z1719" t="str" cm="1">
        <f t="array" ref="Z1719">IFERROR(IF(_xlfn._xlws.FILTER(game_rosters!$J:$J,(game_rosters!$G:$G=events!$AN1719)*(game_rosters!$J:$J=events!$X1719))&gt;0,1,""),"")</f>
        <v/>
      </c>
      <c r="AA1719">
        <f t="shared" si="1633"/>
        <v>1905</v>
      </c>
      <c r="AB1719" t="str">
        <f t="shared" si="1634"/>
        <v/>
      </c>
      <c r="AC1719">
        <f t="shared" si="1582"/>
        <v>1905</v>
      </c>
      <c r="AD1719" s="6">
        <v>3</v>
      </c>
      <c r="AE1719" t="s">
        <v>909</v>
      </c>
      <c r="AF1719" t="s">
        <v>923</v>
      </c>
      <c r="AG1719" t="s">
        <v>756</v>
      </c>
      <c r="AH1719" t="s">
        <v>756</v>
      </c>
      <c r="AI1719" t="s">
        <v>368</v>
      </c>
      <c r="AJ1719" t="str">
        <f t="shared" ref="AJ1719:AK1719" si="1661">IF($J1719&lt;&gt;"",$J1719,IF($AC1719=$AC1718,AJ1718,""))</f>
        <v/>
      </c>
      <c r="AK1719" t="str">
        <f t="shared" si="1661"/>
        <v/>
      </c>
      <c r="AL1719" t="str">
        <f t="shared" si="1587"/>
        <v/>
      </c>
      <c r="AN1719" t="s">
        <v>862</v>
      </c>
      <c r="AO1719" t="str">
        <f t="shared" si="1588"/>
        <v>a</v>
      </c>
      <c r="AP1719" t="str">
        <f t="shared" si="1596"/>
        <v/>
      </c>
      <c r="AQ1719" t="str">
        <f t="shared" si="1597"/>
        <v/>
      </c>
      <c r="AR1719" t="str">
        <f t="shared" si="1598"/>
        <v>Away</v>
      </c>
      <c r="AS1719" t="str">
        <f t="shared" si="1599"/>
        <v>a</v>
      </c>
      <c r="AT1719" t="str">
        <f t="shared" si="1600"/>
        <v>Offensive</v>
      </c>
      <c r="BA1719" s="6">
        <f t="shared" si="1589"/>
        <v>399</v>
      </c>
      <c r="BB1719">
        <f t="shared" si="1590"/>
        <v>18981</v>
      </c>
      <c r="BC1719" t="str">
        <f t="shared" si="1591"/>
        <v>Nelson</v>
      </c>
      <c r="BD1719" t="str">
        <f t="shared" si="1592"/>
        <v>Velodrome</v>
      </c>
      <c r="BE1719" t="s">
        <v>230</v>
      </c>
      <c r="BF1719" t="s">
        <v>389</v>
      </c>
      <c r="BG1719" t="s">
        <v>432</v>
      </c>
      <c r="BI1719" cm="1">
        <f t="array" aca="1" ref="BI1719" ca="1">IFERROR(_xlfn._xlws.FILTER(shifts!A:A,(shifts!B:B=events!AD1719)*(shifts!AG:AG&gt;=events!BK1719)*(shifts!AH:AH&lt;=events!BL1719)),BI1718)</f>
        <v>76</v>
      </c>
      <c r="BJ1719" s="15">
        <f t="shared" si="1593"/>
        <v>0</v>
      </c>
      <c r="BK1719">
        <f t="shared" si="1601"/>
        <v>1004</v>
      </c>
      <c r="BL1719">
        <f t="shared" si="1602"/>
        <v>1004</v>
      </c>
      <c r="BM1719" s="15">
        <f>SUMIFS(BJ$2:BJ1719,K$2:K1719,"=Intermission")+SUMIFS(BJ$2:BJ1719,K$2:K1719,"=Timeout")</f>
        <v>142</v>
      </c>
      <c r="BN1719">
        <f t="shared" si="1603"/>
        <v>2302</v>
      </c>
      <c r="BO1719" s="19">
        <f t="shared" si="1604"/>
        <v>2378</v>
      </c>
      <c r="BP1719">
        <f t="shared" si="1605"/>
        <v>2373</v>
      </c>
      <c r="BQ1719" s="17">
        <f t="shared" si="1606"/>
        <v>2378</v>
      </c>
      <c r="BR1719" t="str">
        <f t="shared" si="1607"/>
        <v>opp_team_player_1</v>
      </c>
      <c r="BS1719">
        <f>COUNTIFS(S$3:S1719,"="&amp;S1719,AI$3:AI1719,"="&amp;AI1719)</f>
        <v>1</v>
      </c>
      <c r="BT1719" t="str">
        <f>IFERROR(VLOOKUP(BB1719&amp;BU1719&amp;X1719,game_rosters!U:W,3,FALSE),"")</f>
        <v>P100164</v>
      </c>
      <c r="BU1719" t="str">
        <f t="shared" si="1608"/>
        <v>Nelson</v>
      </c>
    </row>
    <row r="1720" spans="1:73" x14ac:dyDescent="0.2">
      <c r="A1720">
        <f t="shared" si="1594"/>
        <v>1</v>
      </c>
      <c r="J1720" s="44" t="str">
        <f t="shared" si="1609"/>
        <v>o</v>
      </c>
      <c r="K1720" t="s">
        <v>238</v>
      </c>
      <c r="L1720" t="s">
        <v>174</v>
      </c>
      <c r="M1720" t="s">
        <v>87</v>
      </c>
      <c r="S1720">
        <v>906</v>
      </c>
      <c r="W1720" t="str">
        <f t="shared" si="1585"/>
        <v>h</v>
      </c>
      <c r="X1720">
        <v>8</v>
      </c>
      <c r="Y1720" t="b">
        <f>IF(X1720&lt;&gt;"",VLOOKUP(X1720,game_rosters!$C$43:$E$64,3,FALSE))</f>
        <v>0</v>
      </c>
      <c r="Z1720" cm="1">
        <f t="array" ref="Z1720">IFERROR(IF(_xlfn._xlws.FILTER(game_rosters!$J:$J,(game_rosters!$G:$G=events!$AN1720)*(game_rosters!$J:$J=events!$X1720))&gt;0,1,""),"")</f>
        <v>1</v>
      </c>
      <c r="AA1720">
        <f t="shared" si="1633"/>
        <v>1906</v>
      </c>
      <c r="AB1720" t="str">
        <f t="shared" si="1634"/>
        <v/>
      </c>
      <c r="AC1720">
        <f t="shared" si="1582"/>
        <v>1906</v>
      </c>
      <c r="AD1720" s="6">
        <v>3</v>
      </c>
      <c r="AE1720" t="s">
        <v>909</v>
      </c>
      <c r="AF1720" t="s">
        <v>903</v>
      </c>
      <c r="AG1720" t="s">
        <v>756</v>
      </c>
      <c r="AH1720" t="s">
        <v>756</v>
      </c>
      <c r="AI1720" t="s">
        <v>367</v>
      </c>
      <c r="AJ1720" t="str">
        <f t="shared" ref="AJ1720:AK1720" si="1662">IF($J1720&lt;&gt;"",$J1720,IF($AC1720=$AC1719,AJ1719,""))</f>
        <v>o</v>
      </c>
      <c r="AK1720" t="str">
        <f t="shared" si="1662"/>
        <v>o</v>
      </c>
      <c r="AL1720" t="str">
        <f t="shared" si="1587"/>
        <v>o</v>
      </c>
      <c r="AN1720" t="s">
        <v>861</v>
      </c>
      <c r="AO1720" t="str">
        <f t="shared" si="1588"/>
        <v>h</v>
      </c>
      <c r="AP1720" t="str">
        <f t="shared" si="1596"/>
        <v>o</v>
      </c>
      <c r="AQ1720" t="str">
        <f t="shared" si="1597"/>
        <v/>
      </c>
      <c r="AR1720" t="str">
        <f t="shared" si="1598"/>
        <v>Home</v>
      </c>
      <c r="AS1720" t="str">
        <f t="shared" si="1599"/>
        <v>h</v>
      </c>
      <c r="AT1720" t="str">
        <f t="shared" si="1600"/>
        <v>Offensive</v>
      </c>
      <c r="BA1720" s="6">
        <f t="shared" si="1589"/>
        <v>400</v>
      </c>
      <c r="BB1720">
        <f t="shared" si="1590"/>
        <v>18981</v>
      </c>
      <c r="BC1720" t="str">
        <f t="shared" si="1591"/>
        <v>Nelson</v>
      </c>
      <c r="BD1720" t="str">
        <f t="shared" si="1592"/>
        <v>Velodrome</v>
      </c>
      <c r="BE1720" t="s">
        <v>238</v>
      </c>
      <c r="BF1720" t="s">
        <v>174</v>
      </c>
      <c r="BG1720" t="s">
        <v>87</v>
      </c>
      <c r="BI1720" cm="1">
        <f t="array" aca="1" ref="BI1720" ca="1">IFERROR(_xlfn._xlws.FILTER(shifts!A:A,(shifts!B:B=events!AD1720)*(shifts!AG:AG&gt;=events!BK1720)*(shifts!AH:AH&lt;=events!BL1720)),BI1719)</f>
        <v>76</v>
      </c>
      <c r="BJ1720" s="15">
        <f t="shared" si="1593"/>
        <v>0</v>
      </c>
      <c r="BK1720">
        <f t="shared" si="1601"/>
        <v>1000</v>
      </c>
      <c r="BL1720">
        <f t="shared" si="1602"/>
        <v>1000</v>
      </c>
      <c r="BM1720" s="15">
        <f>SUMIFS(BJ$2:BJ1720,K$2:K1720,"=Intermission")+SUMIFS(BJ$2:BJ1720,K$2:K1720,"=Timeout")</f>
        <v>142</v>
      </c>
      <c r="BN1720">
        <f t="shared" si="1603"/>
        <v>2302</v>
      </c>
      <c r="BO1720" s="19">
        <f t="shared" si="1604"/>
        <v>2382</v>
      </c>
      <c r="BP1720">
        <f t="shared" si="1605"/>
        <v>2377</v>
      </c>
      <c r="BQ1720" s="17">
        <f t="shared" si="1606"/>
        <v>2382</v>
      </c>
      <c r="BR1720" t="str">
        <f t="shared" si="1607"/>
        <v>event_team_player_1</v>
      </c>
      <c r="BS1720">
        <f>COUNTIFS(S$3:S1720,"="&amp;S1720,AI$3:AI1720,"="&amp;AI1720)</f>
        <v>1</v>
      </c>
      <c r="BT1720" t="str">
        <f>IFERROR(VLOOKUP(BB1720&amp;BU1720&amp;X1720,game_rosters!U:W,3,FALSE),"")</f>
        <v>P100074</v>
      </c>
      <c r="BU1720" t="str">
        <f t="shared" si="1608"/>
        <v>Nelson</v>
      </c>
    </row>
    <row r="1721" spans="1:73" x14ac:dyDescent="0.2">
      <c r="A1721">
        <f t="shared" si="1594"/>
        <v>1</v>
      </c>
      <c r="J1721" s="44" t="str">
        <f t="shared" si="1609"/>
        <v/>
      </c>
      <c r="K1721" t="s">
        <v>9</v>
      </c>
      <c r="L1721" t="s">
        <v>173</v>
      </c>
      <c r="M1721" t="s">
        <v>354</v>
      </c>
      <c r="S1721">
        <v>907</v>
      </c>
      <c r="W1721" t="str">
        <f t="shared" si="1585"/>
        <v>h</v>
      </c>
      <c r="X1721">
        <v>8</v>
      </c>
      <c r="Y1721" t="b">
        <f>IF(X1721&lt;&gt;"",VLOOKUP(X1721,game_rosters!$C$43:$E$64,3,FALSE))</f>
        <v>0</v>
      </c>
      <c r="Z1721" cm="1">
        <f t="array" ref="Z1721">IFERROR(IF(_xlfn._xlws.FILTER(game_rosters!$J:$J,(game_rosters!$G:$G=events!$AN1721)*(game_rosters!$J:$J=events!$X1721))&gt;0,1,""),"")</f>
        <v>1</v>
      </c>
      <c r="AA1721">
        <f t="shared" si="1633"/>
        <v>1907</v>
      </c>
      <c r="AB1721" t="str">
        <f t="shared" si="1634"/>
        <v/>
      </c>
      <c r="AC1721">
        <f t="shared" si="1582"/>
        <v>1907</v>
      </c>
      <c r="AD1721" s="6">
        <v>3</v>
      </c>
      <c r="AE1721" t="s">
        <v>909</v>
      </c>
      <c r="AF1721" t="s">
        <v>903</v>
      </c>
      <c r="AG1721" t="s">
        <v>756</v>
      </c>
      <c r="AH1721" t="s">
        <v>756</v>
      </c>
      <c r="AI1721" t="s">
        <v>367</v>
      </c>
      <c r="AJ1721" t="str">
        <f t="shared" ref="AJ1721:AK1721" si="1663">IF($J1721&lt;&gt;"",$J1721,IF($AC1721=$AC1720,AJ1720,""))</f>
        <v/>
      </c>
      <c r="AK1721" t="str">
        <f t="shared" si="1663"/>
        <v/>
      </c>
      <c r="AL1721" t="str">
        <f t="shared" si="1587"/>
        <v/>
      </c>
      <c r="AN1721" t="s">
        <v>861</v>
      </c>
      <c r="AO1721" t="str">
        <f t="shared" si="1588"/>
        <v>h</v>
      </c>
      <c r="AP1721" t="str">
        <f t="shared" si="1596"/>
        <v/>
      </c>
      <c r="AQ1721" t="str">
        <f t="shared" si="1597"/>
        <v/>
      </c>
      <c r="AR1721" t="str">
        <f t="shared" si="1598"/>
        <v>Home</v>
      </c>
      <c r="AS1721" t="str">
        <f t="shared" si="1599"/>
        <v>h</v>
      </c>
      <c r="AT1721" t="str">
        <f t="shared" si="1600"/>
        <v>Offensive</v>
      </c>
      <c r="BA1721" s="6">
        <f t="shared" si="1589"/>
        <v>400</v>
      </c>
      <c r="BB1721">
        <f t="shared" si="1590"/>
        <v>18981</v>
      </c>
      <c r="BC1721" t="str">
        <f t="shared" si="1591"/>
        <v>Nelson</v>
      </c>
      <c r="BD1721" t="str">
        <f t="shared" si="1592"/>
        <v>Velodrome</v>
      </c>
      <c r="BE1721" t="s">
        <v>9</v>
      </c>
      <c r="BF1721" t="s">
        <v>173</v>
      </c>
      <c r="BG1721" t="s">
        <v>354</v>
      </c>
      <c r="BI1721" cm="1">
        <f t="array" aca="1" ref="BI1721" ca="1">IFERROR(_xlfn._xlws.FILTER(shifts!A:A,(shifts!B:B=events!AD1721)*(shifts!AG:AG&gt;=events!BK1721)*(shifts!AH:AH&lt;=events!BL1721)),BI1720)</f>
        <v>76</v>
      </c>
      <c r="BJ1721" s="15">
        <f t="shared" si="1593"/>
        <v>0</v>
      </c>
      <c r="BK1721">
        <f t="shared" si="1601"/>
        <v>1000</v>
      </c>
      <c r="BL1721">
        <f t="shared" si="1602"/>
        <v>1000</v>
      </c>
      <c r="BM1721" s="15">
        <f>SUMIFS(BJ$2:BJ1721,K$2:K1721,"=Intermission")+SUMIFS(BJ$2:BJ1721,K$2:K1721,"=Timeout")</f>
        <v>142</v>
      </c>
      <c r="BN1721">
        <f t="shared" si="1603"/>
        <v>2302</v>
      </c>
      <c r="BO1721" s="19">
        <f t="shared" si="1604"/>
        <v>2382</v>
      </c>
      <c r="BP1721">
        <f t="shared" si="1605"/>
        <v>2377</v>
      </c>
      <c r="BQ1721" s="17">
        <f t="shared" si="1606"/>
        <v>2382</v>
      </c>
      <c r="BR1721" t="str">
        <f t="shared" si="1607"/>
        <v>event_team_player_1</v>
      </c>
      <c r="BS1721">
        <f>COUNTIFS(S$3:S1721,"="&amp;S1721,AI$3:AI1721,"="&amp;AI1721)</f>
        <v>1</v>
      </c>
      <c r="BT1721" t="str">
        <f>IFERROR(VLOOKUP(BB1721&amp;BU1721&amp;X1721,game_rosters!U:W,3,FALSE),"")</f>
        <v>P100074</v>
      </c>
      <c r="BU1721" t="str">
        <f t="shared" si="1608"/>
        <v>Nelson</v>
      </c>
    </row>
    <row r="1722" spans="1:73" x14ac:dyDescent="0.2">
      <c r="A1722">
        <f t="shared" si="1594"/>
        <v>1</v>
      </c>
      <c r="J1722" s="44" t="str">
        <f t="shared" si="1609"/>
        <v>d</v>
      </c>
      <c r="K1722" t="s">
        <v>238</v>
      </c>
      <c r="L1722" t="s">
        <v>184</v>
      </c>
      <c r="M1722" t="s">
        <v>88</v>
      </c>
      <c r="S1722">
        <v>908</v>
      </c>
      <c r="W1722" t="str">
        <f t="shared" si="1585"/>
        <v>a</v>
      </c>
      <c r="X1722">
        <v>84</v>
      </c>
      <c r="Y1722" t="e">
        <f>IF(X1722&lt;&gt;"",VLOOKUP(X1722,game_rosters!$C$43:$E$64,3,FALSE))</f>
        <v>#N/A</v>
      </c>
      <c r="Z1722" cm="1">
        <f t="array" ref="Z1722">IFERROR(IF(_xlfn._xlws.FILTER(game_rosters!$J:$J,(game_rosters!$G:$G=events!$AN1722)*(game_rosters!$J:$J=events!$X1722))&gt;0,1,""),"")</f>
        <v>1</v>
      </c>
      <c r="AA1722">
        <f t="shared" si="1633"/>
        <v>1908</v>
      </c>
      <c r="AB1722" t="str">
        <f t="shared" si="1634"/>
        <v/>
      </c>
      <c r="AC1722">
        <f t="shared" si="1582"/>
        <v>1908</v>
      </c>
      <c r="AD1722" s="6">
        <v>3</v>
      </c>
      <c r="AE1722" t="s">
        <v>909</v>
      </c>
      <c r="AF1722" t="s">
        <v>903</v>
      </c>
      <c r="AG1722" t="s">
        <v>909</v>
      </c>
      <c r="AH1722" t="s">
        <v>865</v>
      </c>
      <c r="AI1722" t="s">
        <v>367</v>
      </c>
      <c r="AJ1722" t="str">
        <f t="shared" ref="AJ1722:AK1722" si="1664">IF($J1722&lt;&gt;"",$J1722,IF($AC1722=$AC1721,AJ1721,""))</f>
        <v>d</v>
      </c>
      <c r="AK1722" t="str">
        <f t="shared" si="1664"/>
        <v>d</v>
      </c>
      <c r="AL1722" t="str">
        <f t="shared" si="1587"/>
        <v>o</v>
      </c>
      <c r="AN1722" t="s">
        <v>862</v>
      </c>
      <c r="AO1722" t="str">
        <f t="shared" si="1588"/>
        <v>a</v>
      </c>
      <c r="AP1722" t="str">
        <f t="shared" si="1596"/>
        <v>o</v>
      </c>
      <c r="AQ1722" t="str">
        <f t="shared" si="1597"/>
        <v/>
      </c>
      <c r="AR1722" t="str">
        <f t="shared" si="1598"/>
        <v>Away</v>
      </c>
      <c r="AS1722" t="str">
        <f t="shared" si="1599"/>
        <v>a</v>
      </c>
      <c r="AT1722" t="str">
        <f t="shared" si="1600"/>
        <v>Offensive</v>
      </c>
      <c r="BA1722" s="6">
        <f t="shared" si="1589"/>
        <v>401</v>
      </c>
      <c r="BB1722">
        <f t="shared" si="1590"/>
        <v>18981</v>
      </c>
      <c r="BC1722" t="str">
        <f t="shared" si="1591"/>
        <v>Nelson</v>
      </c>
      <c r="BD1722" t="str">
        <f t="shared" si="1592"/>
        <v>Velodrome</v>
      </c>
      <c r="BE1722" t="s">
        <v>238</v>
      </c>
      <c r="BF1722" t="s">
        <v>184</v>
      </c>
      <c r="BG1722" t="s">
        <v>88</v>
      </c>
      <c r="BI1722" cm="1">
        <f t="array" aca="1" ref="BI1722" ca="1">IFERROR(_xlfn._xlws.FILTER(shifts!A:A,(shifts!B:B=events!AD1722)*(shifts!AG:AG&gt;=events!BK1722)*(shifts!AH:AH&lt;=events!BL1722)),BI1721)</f>
        <v>76</v>
      </c>
      <c r="BJ1722" s="15">
        <f t="shared" si="1593"/>
        <v>2</v>
      </c>
      <c r="BK1722">
        <f t="shared" si="1601"/>
        <v>1000</v>
      </c>
      <c r="BL1722">
        <f t="shared" si="1602"/>
        <v>998</v>
      </c>
      <c r="BM1722" s="15">
        <f>SUMIFS(BJ$2:BJ1722,K$2:K1722,"=Intermission")+SUMIFS(BJ$2:BJ1722,K$2:K1722,"=Timeout")</f>
        <v>142</v>
      </c>
      <c r="BN1722">
        <f t="shared" si="1603"/>
        <v>2302</v>
      </c>
      <c r="BO1722" s="19">
        <f t="shared" si="1604"/>
        <v>2382</v>
      </c>
      <c r="BP1722">
        <f t="shared" si="1605"/>
        <v>2377</v>
      </c>
      <c r="BQ1722" s="17">
        <f t="shared" si="1606"/>
        <v>2384</v>
      </c>
      <c r="BR1722" t="str">
        <f t="shared" si="1607"/>
        <v>event_team_player_1</v>
      </c>
      <c r="BS1722">
        <f>COUNTIFS(S$3:S1722,"="&amp;S1722,AI$3:AI1722,"="&amp;AI1722)</f>
        <v>1</v>
      </c>
      <c r="BT1722" t="str">
        <f>IFERROR(VLOOKUP(BB1722&amp;BU1722&amp;X1722,game_rosters!U:W,3,FALSE),"")</f>
        <v>P100198</v>
      </c>
      <c r="BU1722" t="str">
        <f t="shared" si="1608"/>
        <v>Velodrome</v>
      </c>
    </row>
    <row r="1723" spans="1:73" x14ac:dyDescent="0.2">
      <c r="A1723">
        <f t="shared" si="1594"/>
        <v>1</v>
      </c>
      <c r="J1723" s="44" t="str">
        <f t="shared" si="1609"/>
        <v/>
      </c>
      <c r="K1723" t="s">
        <v>13</v>
      </c>
      <c r="L1723" t="s">
        <v>756</v>
      </c>
      <c r="M1723" t="s">
        <v>756</v>
      </c>
      <c r="S1723">
        <v>909</v>
      </c>
      <c r="W1723" t="str">
        <f t="shared" si="1585"/>
        <v>a</v>
      </c>
      <c r="X1723">
        <v>84</v>
      </c>
      <c r="Y1723" t="e">
        <f>IF(X1723&lt;&gt;"",VLOOKUP(X1723,game_rosters!$C$43:$E$64,3,FALSE))</f>
        <v>#N/A</v>
      </c>
      <c r="Z1723" cm="1">
        <f t="array" ref="Z1723">IFERROR(IF(_xlfn._xlws.FILTER(game_rosters!$J:$J,(game_rosters!$G:$G=events!$AN1723)*(game_rosters!$J:$J=events!$X1723))&gt;0,1,""),"")</f>
        <v>1</v>
      </c>
      <c r="AA1723">
        <f t="shared" si="1633"/>
        <v>1909</v>
      </c>
      <c r="AB1723" t="str">
        <f t="shared" si="1634"/>
        <v/>
      </c>
      <c r="AC1723">
        <f t="shared" si="1582"/>
        <v>1909</v>
      </c>
      <c r="AD1723" s="6">
        <v>3</v>
      </c>
      <c r="AE1723" t="s">
        <v>909</v>
      </c>
      <c r="AF1723" t="s">
        <v>865</v>
      </c>
      <c r="AG1723" t="s">
        <v>909</v>
      </c>
      <c r="AH1723" t="s">
        <v>750</v>
      </c>
      <c r="AI1723" t="s">
        <v>367</v>
      </c>
      <c r="AJ1723" t="str">
        <f t="shared" ref="AJ1723:AK1723" si="1665">IF($J1723&lt;&gt;"",$J1723,IF($AC1723=$AC1722,AJ1722,""))</f>
        <v/>
      </c>
      <c r="AK1723" t="str">
        <f t="shared" si="1665"/>
        <v/>
      </c>
      <c r="AL1723" t="str">
        <f t="shared" si="1587"/>
        <v/>
      </c>
      <c r="AN1723" t="s">
        <v>862</v>
      </c>
      <c r="AO1723" t="str">
        <f t="shared" si="1588"/>
        <v>a</v>
      </c>
      <c r="AP1723" t="str">
        <f t="shared" si="1596"/>
        <v/>
      </c>
      <c r="AQ1723" t="str">
        <f t="shared" si="1597"/>
        <v/>
      </c>
      <c r="AR1723" t="str">
        <f t="shared" si="1598"/>
        <v>Away</v>
      </c>
      <c r="AS1723" t="str">
        <f t="shared" si="1599"/>
        <v>a</v>
      </c>
      <c r="AT1723" t="str">
        <f t="shared" si="1600"/>
        <v>Offensive</v>
      </c>
      <c r="BA1723" s="6">
        <f t="shared" si="1589"/>
        <v>401</v>
      </c>
      <c r="BB1723">
        <f t="shared" si="1590"/>
        <v>18981</v>
      </c>
      <c r="BC1723" t="str">
        <f t="shared" si="1591"/>
        <v>Nelson</v>
      </c>
      <c r="BD1723" t="str">
        <f t="shared" si="1592"/>
        <v>Velodrome</v>
      </c>
      <c r="BE1723" t="s">
        <v>13</v>
      </c>
      <c r="BF1723" t="s">
        <v>756</v>
      </c>
      <c r="BG1723" t="s">
        <v>756</v>
      </c>
      <c r="BI1723" cm="1">
        <f t="array" aca="1" ref="BI1723" ca="1">IFERROR(_xlfn._xlws.FILTER(shifts!A:A,(shifts!B:B=events!AD1723)*(shifts!AG:AG&gt;=events!BK1723)*(shifts!AH:AH&lt;=events!BL1723)),BI1722)</f>
        <v>77</v>
      </c>
      <c r="BJ1723" s="15">
        <f t="shared" si="1593"/>
        <v>3</v>
      </c>
      <c r="BK1723">
        <f t="shared" si="1601"/>
        <v>998</v>
      </c>
      <c r="BL1723">
        <f t="shared" si="1602"/>
        <v>995</v>
      </c>
      <c r="BM1723" s="15">
        <f>SUMIFS(BJ$2:BJ1723,K$2:K1723,"=Intermission")+SUMIFS(BJ$2:BJ1723,K$2:K1723,"=Timeout")</f>
        <v>142</v>
      </c>
      <c r="BN1723">
        <f t="shared" si="1603"/>
        <v>2302</v>
      </c>
      <c r="BO1723" s="19">
        <f t="shared" si="1604"/>
        <v>2384</v>
      </c>
      <c r="BP1723">
        <f t="shared" si="1605"/>
        <v>2379</v>
      </c>
      <c r="BQ1723" s="17">
        <f t="shared" si="1606"/>
        <v>2387</v>
      </c>
      <c r="BR1723" t="str">
        <f t="shared" si="1607"/>
        <v>event_team_player_1</v>
      </c>
      <c r="BS1723">
        <f>COUNTIFS(S$3:S1723,"="&amp;S1723,AI$3:AI1723,"="&amp;AI1723)</f>
        <v>1</v>
      </c>
      <c r="BT1723" t="str">
        <f>IFERROR(VLOOKUP(BB1723&amp;BU1723&amp;X1723,game_rosters!U:W,3,FALSE),"")</f>
        <v>P100198</v>
      </c>
      <c r="BU1723" t="str">
        <f t="shared" si="1608"/>
        <v>Velodrome</v>
      </c>
    </row>
    <row r="1724" spans="1:73" x14ac:dyDescent="0.2">
      <c r="A1724">
        <f t="shared" si="1594"/>
        <v>1</v>
      </c>
      <c r="J1724" s="44" t="str">
        <f t="shared" si="1609"/>
        <v/>
      </c>
      <c r="K1724" t="s">
        <v>13</v>
      </c>
      <c r="L1724" t="s">
        <v>756</v>
      </c>
      <c r="M1724" t="s">
        <v>756</v>
      </c>
      <c r="S1724">
        <v>909</v>
      </c>
      <c r="W1724" t="str">
        <f t="shared" si="1585"/>
        <v>a</v>
      </c>
      <c r="X1724">
        <v>16</v>
      </c>
      <c r="Y1724" t="b">
        <f>IF(X1724&lt;&gt;"",VLOOKUP(X1724,game_rosters!$C$43:$E$64,3,FALSE))</f>
        <v>0</v>
      </c>
      <c r="Z1724" t="str" cm="1">
        <f t="array" ref="Z1724">IFERROR(IF(_xlfn._xlws.FILTER(game_rosters!$J:$J,(game_rosters!$G:$G=events!$AN1724)*(game_rosters!$J:$J=events!$X1724))&gt;0,1,""),"")</f>
        <v/>
      </c>
      <c r="AA1724">
        <f t="shared" si="1633"/>
        <v>1909</v>
      </c>
      <c r="AB1724" t="str">
        <f t="shared" si="1634"/>
        <v/>
      </c>
      <c r="AC1724">
        <f t="shared" si="1582"/>
        <v>1909</v>
      </c>
      <c r="AD1724" s="6">
        <v>3</v>
      </c>
      <c r="AE1724" t="s">
        <v>909</v>
      </c>
      <c r="AF1724" t="s">
        <v>865</v>
      </c>
      <c r="AG1724" t="s">
        <v>909</v>
      </c>
      <c r="AH1724" t="s">
        <v>750</v>
      </c>
      <c r="AI1724" t="s">
        <v>368</v>
      </c>
      <c r="AJ1724" t="str">
        <f t="shared" ref="AJ1724:AK1724" si="1666">IF($J1724&lt;&gt;"",$J1724,IF($AC1724=$AC1723,AJ1723,""))</f>
        <v/>
      </c>
      <c r="AK1724" t="str">
        <f t="shared" si="1666"/>
        <v/>
      </c>
      <c r="AL1724" t="str">
        <f t="shared" si="1587"/>
        <v/>
      </c>
      <c r="AN1724" t="s">
        <v>862</v>
      </c>
      <c r="AO1724" t="str">
        <f t="shared" si="1588"/>
        <v>a</v>
      </c>
      <c r="AP1724" t="str">
        <f t="shared" si="1596"/>
        <v/>
      </c>
      <c r="AQ1724" t="str">
        <f t="shared" si="1597"/>
        <v/>
      </c>
      <c r="AR1724" t="str">
        <f t="shared" si="1598"/>
        <v>Away</v>
      </c>
      <c r="AS1724" t="str">
        <f t="shared" si="1599"/>
        <v>a</v>
      </c>
      <c r="AT1724" t="str">
        <f t="shared" si="1600"/>
        <v>Defensive</v>
      </c>
      <c r="BA1724" s="6">
        <f t="shared" si="1589"/>
        <v>401</v>
      </c>
      <c r="BB1724">
        <f t="shared" si="1590"/>
        <v>18981</v>
      </c>
      <c r="BC1724" t="str">
        <f t="shared" si="1591"/>
        <v>Nelson</v>
      </c>
      <c r="BD1724" t="str">
        <f t="shared" si="1592"/>
        <v>Velodrome</v>
      </c>
      <c r="BE1724" t="s">
        <v>13</v>
      </c>
      <c r="BF1724" t="s">
        <v>756</v>
      </c>
      <c r="BG1724" t="s">
        <v>756</v>
      </c>
      <c r="BI1724" cm="1">
        <f t="array" aca="1" ref="BI1724" ca="1">IFERROR(_xlfn._xlws.FILTER(shifts!A:A,(shifts!B:B=events!AD1724)*(shifts!AG:AG&gt;=events!BK1724)*(shifts!AH:AH&lt;=events!BL1724)),BI1723)</f>
        <v>77</v>
      </c>
      <c r="BJ1724" s="15">
        <f t="shared" si="1593"/>
        <v>3</v>
      </c>
      <c r="BK1724">
        <f t="shared" si="1601"/>
        <v>998</v>
      </c>
      <c r="BL1724">
        <f t="shared" si="1602"/>
        <v>995</v>
      </c>
      <c r="BM1724" s="15">
        <f>SUMIFS(BJ$2:BJ1724,K$2:K1724,"=Intermission")+SUMIFS(BJ$2:BJ1724,K$2:K1724,"=Timeout")</f>
        <v>142</v>
      </c>
      <c r="BN1724">
        <f t="shared" si="1603"/>
        <v>2302</v>
      </c>
      <c r="BO1724" s="19">
        <f t="shared" si="1604"/>
        <v>2384</v>
      </c>
      <c r="BP1724">
        <f t="shared" si="1605"/>
        <v>2379</v>
      </c>
      <c r="BQ1724" s="17">
        <f t="shared" si="1606"/>
        <v>2387</v>
      </c>
      <c r="BR1724" t="str">
        <f t="shared" si="1607"/>
        <v>opp_team_player_1</v>
      </c>
      <c r="BS1724">
        <f>COUNTIFS(S$3:S1724,"="&amp;S1724,AI$3:AI1724,"="&amp;AI1724)</f>
        <v>1</v>
      </c>
      <c r="BT1724" t="str">
        <f>IFERROR(VLOOKUP(BB1724&amp;BU1724&amp;X1724,game_rosters!U:W,3,FALSE),"")</f>
        <v>P100164</v>
      </c>
      <c r="BU1724" t="str">
        <f t="shared" si="1608"/>
        <v>Nelson</v>
      </c>
    </row>
    <row r="1725" spans="1:73" x14ac:dyDescent="0.2">
      <c r="A1725">
        <f t="shared" si="1594"/>
        <v>1</v>
      </c>
      <c r="J1725" s="44" t="str">
        <f t="shared" si="1609"/>
        <v/>
      </c>
      <c r="K1725" t="s">
        <v>13</v>
      </c>
      <c r="L1725" t="s">
        <v>756</v>
      </c>
      <c r="M1725" t="s">
        <v>756</v>
      </c>
      <c r="S1725">
        <v>909</v>
      </c>
      <c r="W1725" t="str">
        <f t="shared" si="1585"/>
        <v>a</v>
      </c>
      <c r="X1725">
        <v>3</v>
      </c>
      <c r="Y1725" t="b">
        <f>IF(X1725&lt;&gt;"",VLOOKUP(X1725,game_rosters!$C$43:$E$64,3,FALSE))</f>
        <v>0</v>
      </c>
      <c r="Z1725" t="str" cm="1">
        <f t="array" ref="Z1725">IFERROR(IF(_xlfn._xlws.FILTER(game_rosters!$J:$J,(game_rosters!$G:$G=events!$AN1725)*(game_rosters!$J:$J=events!$X1725))&gt;0,1,""),"")</f>
        <v/>
      </c>
      <c r="AA1725">
        <f t="shared" si="1633"/>
        <v>1909</v>
      </c>
      <c r="AB1725" t="str">
        <f t="shared" si="1634"/>
        <v/>
      </c>
      <c r="AC1725">
        <f t="shared" si="1582"/>
        <v>1909</v>
      </c>
      <c r="AD1725" s="6">
        <v>3</v>
      </c>
      <c r="AE1725" t="s">
        <v>909</v>
      </c>
      <c r="AF1725" t="s">
        <v>865</v>
      </c>
      <c r="AG1725" t="s">
        <v>909</v>
      </c>
      <c r="AH1725" t="s">
        <v>750</v>
      </c>
      <c r="AI1725" t="s">
        <v>368</v>
      </c>
      <c r="AJ1725" t="str">
        <f t="shared" ref="AJ1725:AK1725" si="1667">IF($J1725&lt;&gt;"",$J1725,IF($AC1725=$AC1724,AJ1724,""))</f>
        <v/>
      </c>
      <c r="AK1725" t="str">
        <f t="shared" si="1667"/>
        <v/>
      </c>
      <c r="AL1725" t="str">
        <f t="shared" si="1587"/>
        <v/>
      </c>
      <c r="AN1725" t="s">
        <v>862</v>
      </c>
      <c r="AO1725" t="str">
        <f t="shared" si="1588"/>
        <v>a</v>
      </c>
      <c r="AP1725" t="str">
        <f t="shared" si="1596"/>
        <v/>
      </c>
      <c r="AQ1725" t="str">
        <f t="shared" si="1597"/>
        <v/>
      </c>
      <c r="AR1725" t="str">
        <f t="shared" si="1598"/>
        <v>Away</v>
      </c>
      <c r="AS1725" t="str">
        <f t="shared" si="1599"/>
        <v>a</v>
      </c>
      <c r="AT1725" t="str">
        <f t="shared" si="1600"/>
        <v>Defensive</v>
      </c>
      <c r="BA1725" s="6">
        <f t="shared" si="1589"/>
        <v>401</v>
      </c>
      <c r="BB1725">
        <f t="shared" si="1590"/>
        <v>18981</v>
      </c>
      <c r="BC1725" t="str">
        <f t="shared" si="1591"/>
        <v>Nelson</v>
      </c>
      <c r="BD1725" t="str">
        <f t="shared" si="1592"/>
        <v>Velodrome</v>
      </c>
      <c r="BE1725" t="s">
        <v>13</v>
      </c>
      <c r="BF1725" t="s">
        <v>756</v>
      </c>
      <c r="BG1725" t="s">
        <v>756</v>
      </c>
      <c r="BI1725" cm="1">
        <f t="array" aca="1" ref="BI1725" ca="1">IFERROR(_xlfn._xlws.FILTER(shifts!A:A,(shifts!B:B=events!AD1725)*(shifts!AG:AG&gt;=events!BK1725)*(shifts!AH:AH&lt;=events!BL1725)),BI1724)</f>
        <v>77</v>
      </c>
      <c r="BJ1725" s="15">
        <f t="shared" si="1593"/>
        <v>3</v>
      </c>
      <c r="BK1725">
        <f t="shared" si="1601"/>
        <v>998</v>
      </c>
      <c r="BL1725">
        <f t="shared" si="1602"/>
        <v>995</v>
      </c>
      <c r="BM1725" s="15">
        <f>SUMIFS(BJ$2:BJ1725,K$2:K1725,"=Intermission")+SUMIFS(BJ$2:BJ1725,K$2:K1725,"=Timeout")</f>
        <v>142</v>
      </c>
      <c r="BN1725">
        <f t="shared" si="1603"/>
        <v>2302</v>
      </c>
      <c r="BO1725" s="19">
        <f t="shared" si="1604"/>
        <v>2384</v>
      </c>
      <c r="BP1725">
        <f t="shared" si="1605"/>
        <v>2379</v>
      </c>
      <c r="BQ1725" s="17">
        <f t="shared" si="1606"/>
        <v>2387</v>
      </c>
      <c r="BR1725" t="str">
        <f t="shared" si="1607"/>
        <v>opp_team_player_2</v>
      </c>
      <c r="BS1725">
        <f>COUNTIFS(S$3:S1725,"="&amp;S1725,AI$3:AI1725,"="&amp;AI1725)</f>
        <v>2</v>
      </c>
      <c r="BT1725" t="str">
        <f>IFERROR(VLOOKUP(BB1725&amp;BU1725&amp;X1725,game_rosters!U:W,3,FALSE),"")</f>
        <v>P100111</v>
      </c>
      <c r="BU1725" t="str">
        <f t="shared" si="1608"/>
        <v>Nelson</v>
      </c>
    </row>
    <row r="1726" spans="1:73" x14ac:dyDescent="0.2">
      <c r="A1726">
        <f t="shared" si="1594"/>
        <v>1</v>
      </c>
      <c r="J1726" s="44" t="str">
        <f t="shared" si="1609"/>
        <v>o</v>
      </c>
      <c r="K1726" t="s">
        <v>238</v>
      </c>
      <c r="L1726" t="s">
        <v>174</v>
      </c>
      <c r="M1726" t="s">
        <v>85</v>
      </c>
      <c r="S1726">
        <v>910</v>
      </c>
      <c r="W1726" t="str">
        <f t="shared" si="1585"/>
        <v>a</v>
      </c>
      <c r="X1726">
        <v>84</v>
      </c>
      <c r="Y1726" t="e">
        <f>IF(X1726&lt;&gt;"",VLOOKUP(X1726,game_rosters!$C$43:$E$64,3,FALSE))</f>
        <v>#N/A</v>
      </c>
      <c r="Z1726" cm="1">
        <f t="array" ref="Z1726">IFERROR(IF(_xlfn._xlws.FILTER(game_rosters!$J:$J,(game_rosters!$G:$G=events!$AN1726)*(game_rosters!$J:$J=events!$X1726))&gt;0,1,""),"")</f>
        <v>1</v>
      </c>
      <c r="AA1726">
        <f t="shared" si="1633"/>
        <v>1910</v>
      </c>
      <c r="AB1726" t="str">
        <f t="shared" si="1634"/>
        <v/>
      </c>
      <c r="AC1726">
        <f t="shared" si="1582"/>
        <v>1910</v>
      </c>
      <c r="AD1726" s="6">
        <v>3</v>
      </c>
      <c r="AE1726" t="s">
        <v>909</v>
      </c>
      <c r="AF1726" t="s">
        <v>750</v>
      </c>
      <c r="AG1726" t="s">
        <v>909</v>
      </c>
      <c r="AH1726" t="s">
        <v>914</v>
      </c>
      <c r="AI1726" t="s">
        <v>367</v>
      </c>
      <c r="AJ1726" t="str">
        <f t="shared" ref="AJ1726:AK1726" si="1668">IF($J1726&lt;&gt;"",$J1726,IF($AC1726=$AC1725,AJ1725,""))</f>
        <v>o</v>
      </c>
      <c r="AK1726" t="str">
        <f t="shared" si="1668"/>
        <v>o</v>
      </c>
      <c r="AL1726" t="str">
        <f t="shared" si="1587"/>
        <v>d</v>
      </c>
      <c r="AN1726" t="s">
        <v>862</v>
      </c>
      <c r="AO1726" t="str">
        <f t="shared" si="1588"/>
        <v>a</v>
      </c>
      <c r="AP1726" t="str">
        <f t="shared" si="1596"/>
        <v>d</v>
      </c>
      <c r="AQ1726" t="str">
        <f t="shared" si="1597"/>
        <v/>
      </c>
      <c r="AR1726" t="str">
        <f t="shared" si="1598"/>
        <v>Away</v>
      </c>
      <c r="AS1726" t="str">
        <f t="shared" si="1599"/>
        <v>a</v>
      </c>
      <c r="AT1726" t="str">
        <f t="shared" si="1600"/>
        <v>Offensive</v>
      </c>
      <c r="BA1726" s="6">
        <f t="shared" si="1589"/>
        <v>402</v>
      </c>
      <c r="BB1726">
        <f t="shared" si="1590"/>
        <v>18981</v>
      </c>
      <c r="BC1726" t="str">
        <f t="shared" si="1591"/>
        <v>Nelson</v>
      </c>
      <c r="BD1726" t="str">
        <f t="shared" si="1592"/>
        <v>Velodrome</v>
      </c>
      <c r="BE1726" t="s">
        <v>238</v>
      </c>
      <c r="BF1726" t="s">
        <v>174</v>
      </c>
      <c r="BG1726" t="s">
        <v>85</v>
      </c>
      <c r="BI1726" cm="1">
        <f t="array" aca="1" ref="BI1726" ca="1">IFERROR(_xlfn._xlws.FILTER(shifts!A:A,(shifts!B:B=events!AD1726)*(shifts!AG:AG&gt;=events!BK1726)*(shifts!AH:AH&lt;=events!BL1726)),BI1725)</f>
        <v>77</v>
      </c>
      <c r="BJ1726" s="15">
        <f t="shared" si="1593"/>
        <v>2</v>
      </c>
      <c r="BK1726">
        <f t="shared" si="1601"/>
        <v>995</v>
      </c>
      <c r="BL1726">
        <f t="shared" si="1602"/>
        <v>993</v>
      </c>
      <c r="BM1726" s="15">
        <f>SUMIFS(BJ$2:BJ1726,K$2:K1726,"=Intermission")+SUMIFS(BJ$2:BJ1726,K$2:K1726,"=Timeout")</f>
        <v>142</v>
      </c>
      <c r="BN1726">
        <f t="shared" si="1603"/>
        <v>2302</v>
      </c>
      <c r="BO1726" s="19">
        <f t="shared" si="1604"/>
        <v>2387</v>
      </c>
      <c r="BP1726">
        <f t="shared" si="1605"/>
        <v>2382</v>
      </c>
      <c r="BQ1726" s="17">
        <f t="shared" si="1606"/>
        <v>2389</v>
      </c>
      <c r="BR1726" t="str">
        <f t="shared" si="1607"/>
        <v>event_team_player_1</v>
      </c>
      <c r="BS1726">
        <f>COUNTIFS(S$3:S1726,"="&amp;S1726,AI$3:AI1726,"="&amp;AI1726)</f>
        <v>1</v>
      </c>
      <c r="BT1726" t="str">
        <f>IFERROR(VLOOKUP(BB1726&amp;BU1726&amp;X1726,game_rosters!U:W,3,FALSE),"")</f>
        <v>P100198</v>
      </c>
      <c r="BU1726" t="str">
        <f t="shared" si="1608"/>
        <v>Velodrome</v>
      </c>
    </row>
    <row r="1727" spans="1:73" x14ac:dyDescent="0.2">
      <c r="A1727">
        <f t="shared" si="1594"/>
        <v>1</v>
      </c>
      <c r="J1727" s="44" t="str">
        <f t="shared" si="1609"/>
        <v>o</v>
      </c>
      <c r="K1727" t="s">
        <v>238</v>
      </c>
      <c r="L1727" t="s">
        <v>174</v>
      </c>
      <c r="M1727" t="s">
        <v>85</v>
      </c>
      <c r="S1727">
        <v>910</v>
      </c>
      <c r="W1727" t="str">
        <f t="shared" si="1585"/>
        <v>a</v>
      </c>
      <c r="X1727">
        <v>3</v>
      </c>
      <c r="Y1727" t="b">
        <f>IF(X1727&lt;&gt;"",VLOOKUP(X1727,game_rosters!$C$43:$E$64,3,FALSE))</f>
        <v>0</v>
      </c>
      <c r="Z1727" t="str" cm="1">
        <f t="array" ref="Z1727">IFERROR(IF(_xlfn._xlws.FILTER(game_rosters!$J:$J,(game_rosters!$G:$G=events!$AN1727)*(game_rosters!$J:$J=events!$X1727))&gt;0,1,""),"")</f>
        <v/>
      </c>
      <c r="AA1727">
        <f t="shared" si="1633"/>
        <v>1910</v>
      </c>
      <c r="AB1727" t="str">
        <f t="shared" si="1634"/>
        <v/>
      </c>
      <c r="AC1727">
        <f t="shared" si="1582"/>
        <v>1910</v>
      </c>
      <c r="AD1727" s="6">
        <v>3</v>
      </c>
      <c r="AE1727" t="s">
        <v>909</v>
      </c>
      <c r="AF1727" t="s">
        <v>750</v>
      </c>
      <c r="AG1727" t="s">
        <v>909</v>
      </c>
      <c r="AH1727" t="s">
        <v>914</v>
      </c>
      <c r="AI1727" t="s">
        <v>368</v>
      </c>
      <c r="AJ1727" t="str">
        <f t="shared" ref="AJ1727:AK1727" si="1669">IF($J1727&lt;&gt;"",$J1727,IF($AC1727=$AC1726,AJ1726,""))</f>
        <v>o</v>
      </c>
      <c r="AK1727" t="str">
        <f t="shared" si="1669"/>
        <v>o</v>
      </c>
      <c r="AL1727" t="str">
        <f t="shared" si="1587"/>
        <v>d</v>
      </c>
      <c r="AN1727" t="s">
        <v>862</v>
      </c>
      <c r="AO1727" t="str">
        <f t="shared" si="1588"/>
        <v>a</v>
      </c>
      <c r="AP1727" t="str">
        <f t="shared" si="1596"/>
        <v>d</v>
      </c>
      <c r="AQ1727" t="str">
        <f t="shared" si="1597"/>
        <v/>
      </c>
      <c r="AR1727" t="str">
        <f t="shared" si="1598"/>
        <v>Away</v>
      </c>
      <c r="AS1727" t="str">
        <f t="shared" si="1599"/>
        <v>a</v>
      </c>
      <c r="AT1727" t="str">
        <f t="shared" si="1600"/>
        <v>Defensive</v>
      </c>
      <c r="BA1727" s="6">
        <f t="shared" si="1589"/>
        <v>403</v>
      </c>
      <c r="BB1727">
        <f t="shared" si="1590"/>
        <v>18981</v>
      </c>
      <c r="BC1727" t="str">
        <f t="shared" si="1591"/>
        <v>Nelson</v>
      </c>
      <c r="BD1727" t="str">
        <f t="shared" si="1592"/>
        <v>Velodrome</v>
      </c>
      <c r="BE1727" t="s">
        <v>238</v>
      </c>
      <c r="BF1727" t="s">
        <v>174</v>
      </c>
      <c r="BG1727" t="s">
        <v>85</v>
      </c>
      <c r="BI1727" cm="1">
        <f t="array" aca="1" ref="BI1727" ca="1">IFERROR(_xlfn._xlws.FILTER(shifts!A:A,(shifts!B:B=events!AD1727)*(shifts!AG:AG&gt;=events!BK1727)*(shifts!AH:AH&lt;=events!BL1727)),BI1726)</f>
        <v>77</v>
      </c>
      <c r="BJ1727" s="15">
        <f t="shared" si="1593"/>
        <v>2</v>
      </c>
      <c r="BK1727">
        <f t="shared" si="1601"/>
        <v>995</v>
      </c>
      <c r="BL1727">
        <f t="shared" si="1602"/>
        <v>993</v>
      </c>
      <c r="BM1727" s="15">
        <f>SUMIFS(BJ$2:BJ1727,K$2:K1727,"=Intermission")+SUMIFS(BJ$2:BJ1727,K$2:K1727,"=Timeout")</f>
        <v>142</v>
      </c>
      <c r="BN1727">
        <f t="shared" si="1603"/>
        <v>2302</v>
      </c>
      <c r="BO1727" s="19">
        <f t="shared" si="1604"/>
        <v>2387</v>
      </c>
      <c r="BP1727">
        <f t="shared" si="1605"/>
        <v>2382</v>
      </c>
      <c r="BQ1727" s="17">
        <f t="shared" si="1606"/>
        <v>2389</v>
      </c>
      <c r="BR1727" t="str">
        <f t="shared" si="1607"/>
        <v>opp_team_player_1</v>
      </c>
      <c r="BS1727">
        <f>COUNTIFS(S$3:S1727,"="&amp;S1727,AI$3:AI1727,"="&amp;AI1727)</f>
        <v>1</v>
      </c>
      <c r="BT1727" t="str">
        <f>IFERROR(VLOOKUP(BB1727&amp;BU1727&amp;X1727,game_rosters!U:W,3,FALSE),"")</f>
        <v>P100111</v>
      </c>
      <c r="BU1727" t="str">
        <f t="shared" si="1608"/>
        <v>Nelson</v>
      </c>
    </row>
    <row r="1728" spans="1:73" x14ac:dyDescent="0.2">
      <c r="A1728">
        <f t="shared" si="1594"/>
        <v>1</v>
      </c>
      <c r="J1728" s="44" t="str">
        <f t="shared" si="1609"/>
        <v>o</v>
      </c>
      <c r="K1728" t="s">
        <v>238</v>
      </c>
      <c r="L1728" t="s">
        <v>174</v>
      </c>
      <c r="M1728" t="s">
        <v>85</v>
      </c>
      <c r="S1728">
        <v>910</v>
      </c>
      <c r="W1728" t="str">
        <f t="shared" si="1585"/>
        <v>a</v>
      </c>
      <c r="X1728">
        <v>8</v>
      </c>
      <c r="Y1728" t="b">
        <f>IF(X1728&lt;&gt;"",VLOOKUP(X1728,game_rosters!$C$43:$E$64,3,FALSE))</f>
        <v>0</v>
      </c>
      <c r="Z1728" t="str" cm="1">
        <f t="array" ref="Z1728">IFERROR(IF(_xlfn._xlws.FILTER(game_rosters!$J:$J,(game_rosters!$G:$G=events!$AN1728)*(game_rosters!$J:$J=events!$X1728))&gt;0,1,""),"")</f>
        <v/>
      </c>
      <c r="AA1728">
        <f t="shared" si="1633"/>
        <v>1910</v>
      </c>
      <c r="AB1728" t="str">
        <f t="shared" si="1634"/>
        <v/>
      </c>
      <c r="AC1728">
        <f t="shared" si="1582"/>
        <v>1910</v>
      </c>
      <c r="AD1728" s="6">
        <v>3</v>
      </c>
      <c r="AE1728" t="s">
        <v>909</v>
      </c>
      <c r="AF1728" t="s">
        <v>750</v>
      </c>
      <c r="AG1728" t="s">
        <v>909</v>
      </c>
      <c r="AH1728" t="s">
        <v>914</v>
      </c>
      <c r="AI1728" t="s">
        <v>368</v>
      </c>
      <c r="AJ1728" t="str">
        <f t="shared" ref="AJ1728:AK1728" si="1670">IF($J1728&lt;&gt;"",$J1728,IF($AC1728=$AC1727,AJ1727,""))</f>
        <v>o</v>
      </c>
      <c r="AK1728" t="str">
        <f t="shared" si="1670"/>
        <v>o</v>
      </c>
      <c r="AL1728" t="str">
        <f t="shared" si="1587"/>
        <v>d</v>
      </c>
      <c r="AN1728" t="s">
        <v>862</v>
      </c>
      <c r="AO1728" t="str">
        <f t="shared" si="1588"/>
        <v>a</v>
      </c>
      <c r="AP1728" t="str">
        <f t="shared" si="1596"/>
        <v>d</v>
      </c>
      <c r="AQ1728" t="str">
        <f t="shared" si="1597"/>
        <v/>
      </c>
      <c r="AR1728" t="str">
        <f t="shared" si="1598"/>
        <v>Away</v>
      </c>
      <c r="AS1728" t="str">
        <f t="shared" si="1599"/>
        <v>a</v>
      </c>
      <c r="AT1728" t="str">
        <f t="shared" si="1600"/>
        <v>Defensive</v>
      </c>
      <c r="BA1728" s="6">
        <f t="shared" si="1589"/>
        <v>404</v>
      </c>
      <c r="BB1728">
        <f t="shared" si="1590"/>
        <v>18981</v>
      </c>
      <c r="BC1728" t="str">
        <f t="shared" si="1591"/>
        <v>Nelson</v>
      </c>
      <c r="BD1728" t="str">
        <f t="shared" si="1592"/>
        <v>Velodrome</v>
      </c>
      <c r="BE1728" t="s">
        <v>238</v>
      </c>
      <c r="BF1728" t="s">
        <v>174</v>
      </c>
      <c r="BG1728" t="s">
        <v>85</v>
      </c>
      <c r="BI1728" cm="1">
        <f t="array" aca="1" ref="BI1728" ca="1">IFERROR(_xlfn._xlws.FILTER(shifts!A:A,(shifts!B:B=events!AD1728)*(shifts!AG:AG&gt;=events!BK1728)*(shifts!AH:AH&lt;=events!BL1728)),BI1727)</f>
        <v>77</v>
      </c>
      <c r="BJ1728" s="15">
        <f t="shared" si="1593"/>
        <v>2</v>
      </c>
      <c r="BK1728">
        <f t="shared" si="1601"/>
        <v>995</v>
      </c>
      <c r="BL1728">
        <f t="shared" si="1602"/>
        <v>993</v>
      </c>
      <c r="BM1728" s="15">
        <f>SUMIFS(BJ$2:BJ1728,K$2:K1728,"=Intermission")+SUMIFS(BJ$2:BJ1728,K$2:K1728,"=Timeout")</f>
        <v>142</v>
      </c>
      <c r="BN1728">
        <f t="shared" si="1603"/>
        <v>2302</v>
      </c>
      <c r="BO1728" s="19">
        <f t="shared" si="1604"/>
        <v>2387</v>
      </c>
      <c r="BP1728">
        <f t="shared" si="1605"/>
        <v>2382</v>
      </c>
      <c r="BQ1728" s="17">
        <f t="shared" si="1606"/>
        <v>2389</v>
      </c>
      <c r="BR1728" t="str">
        <f t="shared" si="1607"/>
        <v>opp_team_player_2</v>
      </c>
      <c r="BS1728">
        <f>COUNTIFS(S$3:S1728,"="&amp;S1728,AI$3:AI1728,"="&amp;AI1728)</f>
        <v>2</v>
      </c>
      <c r="BT1728" t="str">
        <f>IFERROR(VLOOKUP(BB1728&amp;BU1728&amp;X1728,game_rosters!U:W,3,FALSE),"")</f>
        <v>P100074</v>
      </c>
      <c r="BU1728" t="str">
        <f t="shared" si="1608"/>
        <v>Nelson</v>
      </c>
    </row>
    <row r="1729" spans="1:73" x14ac:dyDescent="0.2">
      <c r="A1729">
        <f t="shared" si="1594"/>
        <v>1</v>
      </c>
      <c r="J1729" s="44" t="str">
        <f t="shared" si="1609"/>
        <v>o</v>
      </c>
      <c r="K1729" t="s">
        <v>238</v>
      </c>
      <c r="L1729" t="s">
        <v>174</v>
      </c>
      <c r="M1729" t="s">
        <v>85</v>
      </c>
      <c r="S1729">
        <v>910</v>
      </c>
      <c r="W1729" t="str">
        <f t="shared" si="1585"/>
        <v>a</v>
      </c>
      <c r="X1729">
        <v>80</v>
      </c>
      <c r="Y1729" t="b">
        <f>IF(X1729&lt;&gt;"",VLOOKUP(X1729,game_rosters!$C$43:$E$64,3,FALSE))</f>
        <v>0</v>
      </c>
      <c r="Z1729" t="str" cm="1">
        <f t="array" ref="Z1729">IFERROR(IF(_xlfn._xlws.FILTER(game_rosters!$J:$J,(game_rosters!$G:$G=events!$AN1729)*(game_rosters!$J:$J=events!$X1729))&gt;0,1,""),"")</f>
        <v/>
      </c>
      <c r="AA1729">
        <f t="shared" si="1633"/>
        <v>1910</v>
      </c>
      <c r="AB1729" t="str">
        <f t="shared" si="1634"/>
        <v/>
      </c>
      <c r="AC1729">
        <f t="shared" si="1582"/>
        <v>1910</v>
      </c>
      <c r="AD1729" s="6">
        <v>3</v>
      </c>
      <c r="AE1729" t="s">
        <v>909</v>
      </c>
      <c r="AF1729" t="s">
        <v>750</v>
      </c>
      <c r="AG1729" t="s">
        <v>909</v>
      </c>
      <c r="AH1729" t="s">
        <v>914</v>
      </c>
      <c r="AI1729" t="s">
        <v>368</v>
      </c>
      <c r="AJ1729" t="str">
        <f t="shared" ref="AJ1729:AK1729" si="1671">IF($J1729&lt;&gt;"",$J1729,IF($AC1729=$AC1728,AJ1728,""))</f>
        <v>o</v>
      </c>
      <c r="AK1729" t="str">
        <f t="shared" si="1671"/>
        <v>o</v>
      </c>
      <c r="AL1729" t="str">
        <f t="shared" si="1587"/>
        <v>d</v>
      </c>
      <c r="AN1729" t="s">
        <v>862</v>
      </c>
      <c r="AO1729" t="str">
        <f t="shared" si="1588"/>
        <v>a</v>
      </c>
      <c r="AP1729" t="str">
        <f t="shared" si="1596"/>
        <v>d</v>
      </c>
      <c r="AQ1729" t="str">
        <f t="shared" si="1597"/>
        <v/>
      </c>
      <c r="AR1729" t="str">
        <f t="shared" si="1598"/>
        <v>Away</v>
      </c>
      <c r="AS1729" t="str">
        <f t="shared" si="1599"/>
        <v>a</v>
      </c>
      <c r="AT1729" t="str">
        <f t="shared" si="1600"/>
        <v>Defensive</v>
      </c>
      <c r="BA1729" s="6">
        <f t="shared" si="1589"/>
        <v>405</v>
      </c>
      <c r="BB1729">
        <f t="shared" si="1590"/>
        <v>18981</v>
      </c>
      <c r="BC1729" t="str">
        <f t="shared" si="1591"/>
        <v>Nelson</v>
      </c>
      <c r="BD1729" t="str">
        <f t="shared" si="1592"/>
        <v>Velodrome</v>
      </c>
      <c r="BE1729" t="s">
        <v>238</v>
      </c>
      <c r="BF1729" t="s">
        <v>174</v>
      </c>
      <c r="BG1729" t="s">
        <v>85</v>
      </c>
      <c r="BI1729" cm="1">
        <f t="array" aca="1" ref="BI1729" ca="1">IFERROR(_xlfn._xlws.FILTER(shifts!A:A,(shifts!B:B=events!AD1729)*(shifts!AG:AG&gt;=events!BK1729)*(shifts!AH:AH&lt;=events!BL1729)),BI1728)</f>
        <v>77</v>
      </c>
      <c r="BJ1729" s="15">
        <f t="shared" si="1593"/>
        <v>2</v>
      </c>
      <c r="BK1729">
        <f t="shared" si="1601"/>
        <v>995</v>
      </c>
      <c r="BL1729">
        <f t="shared" si="1602"/>
        <v>993</v>
      </c>
      <c r="BM1729" s="15">
        <f>SUMIFS(BJ$2:BJ1729,K$2:K1729,"=Intermission")+SUMIFS(BJ$2:BJ1729,K$2:K1729,"=Timeout")</f>
        <v>142</v>
      </c>
      <c r="BN1729">
        <f t="shared" si="1603"/>
        <v>2302</v>
      </c>
      <c r="BO1729" s="19">
        <f t="shared" si="1604"/>
        <v>2387</v>
      </c>
      <c r="BP1729">
        <f t="shared" si="1605"/>
        <v>2382</v>
      </c>
      <c r="BQ1729" s="17">
        <f t="shared" si="1606"/>
        <v>2389</v>
      </c>
      <c r="BR1729" t="str">
        <f t="shared" si="1607"/>
        <v>opp_team_player_3</v>
      </c>
      <c r="BS1729">
        <f>COUNTIFS(S$3:S1729,"="&amp;S1729,AI$3:AI1729,"="&amp;AI1729)</f>
        <v>3</v>
      </c>
      <c r="BT1729" t="str">
        <f>IFERROR(VLOOKUP(BB1729&amp;BU1729&amp;X1729,game_rosters!U:W,3,FALSE),"")</f>
        <v>P100197</v>
      </c>
      <c r="BU1729" t="str">
        <f t="shared" si="1608"/>
        <v>Nelson</v>
      </c>
    </row>
    <row r="1730" spans="1:73" x14ac:dyDescent="0.2">
      <c r="A1730">
        <f t="shared" si="1594"/>
        <v>1</v>
      </c>
      <c r="J1730" s="44" t="str">
        <f t="shared" si="1609"/>
        <v/>
      </c>
      <c r="K1730" t="s">
        <v>13</v>
      </c>
      <c r="L1730" t="s">
        <v>756</v>
      </c>
      <c r="M1730" t="s">
        <v>756</v>
      </c>
      <c r="S1730">
        <v>911</v>
      </c>
      <c r="W1730" t="str">
        <f t="shared" si="1585"/>
        <v>a</v>
      </c>
      <c r="X1730">
        <v>84</v>
      </c>
      <c r="Y1730" t="e">
        <f>IF(X1730&lt;&gt;"",VLOOKUP(X1730,game_rosters!$C$43:$E$64,3,FALSE))</f>
        <v>#N/A</v>
      </c>
      <c r="Z1730" cm="1">
        <f t="array" ref="Z1730">IFERROR(IF(_xlfn._xlws.FILTER(game_rosters!$J:$J,(game_rosters!$G:$G=events!$AN1730)*(game_rosters!$J:$J=events!$X1730))&gt;0,1,""),"")</f>
        <v>1</v>
      </c>
      <c r="AA1730">
        <f t="shared" si="1633"/>
        <v>1911</v>
      </c>
      <c r="AB1730" t="str">
        <f t="shared" si="1634"/>
        <v/>
      </c>
      <c r="AC1730">
        <f t="shared" ref="AC1730:AC1793" si="1672">IF(AB1730&lt;&gt;"",AB1730,S1730+1000)</f>
        <v>1911</v>
      </c>
      <c r="AD1730" s="6">
        <v>3</v>
      </c>
      <c r="AE1730" t="s">
        <v>909</v>
      </c>
      <c r="AF1730" t="s">
        <v>914</v>
      </c>
      <c r="AG1730" t="s">
        <v>909</v>
      </c>
      <c r="AH1730" t="s">
        <v>738</v>
      </c>
      <c r="AI1730" t="s">
        <v>367</v>
      </c>
      <c r="AJ1730" t="str">
        <f t="shared" ref="AJ1730:AK1730" si="1673">IF($J1730&lt;&gt;"",$J1730,IF($AC1730=$AC1729,AJ1729,""))</f>
        <v/>
      </c>
      <c r="AK1730" t="str">
        <f t="shared" si="1673"/>
        <v/>
      </c>
      <c r="AL1730" t="str">
        <f t="shared" si="1587"/>
        <v/>
      </c>
      <c r="AN1730" t="s">
        <v>862</v>
      </c>
      <c r="AO1730" t="str">
        <f t="shared" si="1588"/>
        <v>a</v>
      </c>
      <c r="AP1730" t="str">
        <f t="shared" si="1596"/>
        <v/>
      </c>
      <c r="AQ1730" t="str">
        <f t="shared" si="1597"/>
        <v/>
      </c>
      <c r="AR1730" t="str">
        <f t="shared" si="1598"/>
        <v>Away</v>
      </c>
      <c r="AS1730" t="str">
        <f t="shared" si="1599"/>
        <v>a</v>
      </c>
      <c r="AT1730" t="str">
        <f t="shared" si="1600"/>
        <v>Offensive</v>
      </c>
      <c r="BA1730" s="6">
        <f t="shared" si="1589"/>
        <v>405</v>
      </c>
      <c r="BB1730">
        <f t="shared" si="1590"/>
        <v>18981</v>
      </c>
      <c r="BC1730" t="str">
        <f t="shared" si="1591"/>
        <v>Nelson</v>
      </c>
      <c r="BD1730" t="str">
        <f t="shared" si="1592"/>
        <v>Velodrome</v>
      </c>
      <c r="BE1730" t="s">
        <v>13</v>
      </c>
      <c r="BF1730" t="s">
        <v>756</v>
      </c>
      <c r="BG1730" t="s">
        <v>756</v>
      </c>
      <c r="BI1730" cm="1">
        <f t="array" aca="1" ref="BI1730" ca="1">IFERROR(_xlfn._xlws.FILTER(shifts!A:A,(shifts!B:B=events!AD1730)*(shifts!AG:AG&gt;=events!BK1730)*(shifts!AH:AH&lt;=events!BL1730)),BI1729)</f>
        <v>78</v>
      </c>
      <c r="BJ1730" s="15">
        <f t="shared" si="1593"/>
        <v>2</v>
      </c>
      <c r="BK1730">
        <f t="shared" si="1601"/>
        <v>993</v>
      </c>
      <c r="BL1730">
        <f t="shared" si="1602"/>
        <v>991</v>
      </c>
      <c r="BM1730" s="15">
        <f>SUMIFS(BJ$2:BJ1730,K$2:K1730,"=Intermission")+SUMIFS(BJ$2:BJ1730,K$2:K1730,"=Timeout")</f>
        <v>142</v>
      </c>
      <c r="BN1730">
        <f t="shared" si="1603"/>
        <v>2302</v>
      </c>
      <c r="BO1730" s="19">
        <f t="shared" si="1604"/>
        <v>2389</v>
      </c>
      <c r="BP1730">
        <f t="shared" si="1605"/>
        <v>2384</v>
      </c>
      <c r="BQ1730" s="17">
        <f t="shared" si="1606"/>
        <v>2391</v>
      </c>
      <c r="BR1730" t="str">
        <f t="shared" si="1607"/>
        <v>event_team_player_1</v>
      </c>
      <c r="BS1730">
        <f>COUNTIFS(S$3:S1730,"="&amp;S1730,AI$3:AI1730,"="&amp;AI1730)</f>
        <v>1</v>
      </c>
      <c r="BT1730" t="str">
        <f>IFERROR(VLOOKUP(BB1730&amp;BU1730&amp;X1730,game_rosters!U:W,3,FALSE),"")</f>
        <v>P100198</v>
      </c>
      <c r="BU1730" t="str">
        <f t="shared" si="1608"/>
        <v>Velodrome</v>
      </c>
    </row>
    <row r="1731" spans="1:73" x14ac:dyDescent="0.2">
      <c r="A1731">
        <f t="shared" si="1594"/>
        <v>1</v>
      </c>
      <c r="J1731" s="44" t="str">
        <f t="shared" si="1609"/>
        <v/>
      </c>
      <c r="K1731" t="s">
        <v>13</v>
      </c>
      <c r="L1731" t="s">
        <v>756</v>
      </c>
      <c r="M1731" t="s">
        <v>756</v>
      </c>
      <c r="S1731">
        <v>911</v>
      </c>
      <c r="W1731" t="str">
        <f t="shared" si="1585"/>
        <v>a</v>
      </c>
      <c r="X1731">
        <v>8</v>
      </c>
      <c r="Y1731" t="b">
        <f>IF(X1731&lt;&gt;"",VLOOKUP(X1731,game_rosters!$C$43:$E$64,3,FALSE))</f>
        <v>0</v>
      </c>
      <c r="Z1731" t="str" cm="1">
        <f t="array" ref="Z1731">IFERROR(IF(_xlfn._xlws.FILTER(game_rosters!$J:$J,(game_rosters!$G:$G=events!$AN1731)*(game_rosters!$J:$J=events!$X1731))&gt;0,1,""),"")</f>
        <v/>
      </c>
      <c r="AA1731">
        <f t="shared" si="1633"/>
        <v>1911</v>
      </c>
      <c r="AB1731" t="str">
        <f t="shared" si="1634"/>
        <v/>
      </c>
      <c r="AC1731">
        <f t="shared" si="1672"/>
        <v>1911</v>
      </c>
      <c r="AD1731" s="6">
        <v>3</v>
      </c>
      <c r="AE1731" t="s">
        <v>909</v>
      </c>
      <c r="AF1731" t="s">
        <v>914</v>
      </c>
      <c r="AG1731" t="s">
        <v>909</v>
      </c>
      <c r="AH1731" t="s">
        <v>738</v>
      </c>
      <c r="AI1731" t="s">
        <v>368</v>
      </c>
      <c r="AJ1731" t="str">
        <f t="shared" ref="AJ1731:AK1731" si="1674">IF($J1731&lt;&gt;"",$J1731,IF($AC1731=$AC1730,AJ1730,""))</f>
        <v/>
      </c>
      <c r="AK1731" t="str">
        <f t="shared" si="1674"/>
        <v/>
      </c>
      <c r="AL1731" t="str">
        <f t="shared" si="1587"/>
        <v/>
      </c>
      <c r="AN1731" t="s">
        <v>862</v>
      </c>
      <c r="AO1731" t="str">
        <f t="shared" si="1588"/>
        <v>a</v>
      </c>
      <c r="AP1731" t="str">
        <f t="shared" si="1596"/>
        <v/>
      </c>
      <c r="AQ1731" t="str">
        <f t="shared" si="1597"/>
        <v/>
      </c>
      <c r="AR1731" t="str">
        <f t="shared" si="1598"/>
        <v>Away</v>
      </c>
      <c r="AS1731" t="str">
        <f t="shared" si="1599"/>
        <v>a</v>
      </c>
      <c r="AT1731" t="str">
        <f t="shared" si="1600"/>
        <v>Defensive</v>
      </c>
      <c r="BA1731" s="6">
        <f t="shared" si="1589"/>
        <v>405</v>
      </c>
      <c r="BB1731">
        <f t="shared" si="1590"/>
        <v>18981</v>
      </c>
      <c r="BC1731" t="str">
        <f t="shared" si="1591"/>
        <v>Nelson</v>
      </c>
      <c r="BD1731" t="str">
        <f t="shared" si="1592"/>
        <v>Velodrome</v>
      </c>
      <c r="BE1731" t="s">
        <v>13</v>
      </c>
      <c r="BF1731" t="s">
        <v>756</v>
      </c>
      <c r="BG1731" t="s">
        <v>756</v>
      </c>
      <c r="BI1731" cm="1">
        <f t="array" aca="1" ref="BI1731" ca="1">IFERROR(_xlfn._xlws.FILTER(shifts!A:A,(shifts!B:B=events!AD1731)*(shifts!AG:AG&gt;=events!BK1731)*(shifts!AH:AH&lt;=events!BL1731)),BI1730)</f>
        <v>78</v>
      </c>
      <c r="BJ1731" s="15">
        <f t="shared" si="1593"/>
        <v>2</v>
      </c>
      <c r="BK1731">
        <f t="shared" si="1601"/>
        <v>993</v>
      </c>
      <c r="BL1731">
        <f t="shared" si="1602"/>
        <v>991</v>
      </c>
      <c r="BM1731" s="15">
        <f>SUMIFS(BJ$2:BJ1731,K$2:K1731,"=Intermission")+SUMIFS(BJ$2:BJ1731,K$2:K1731,"=Timeout")</f>
        <v>142</v>
      </c>
      <c r="BN1731">
        <f t="shared" si="1603"/>
        <v>2302</v>
      </c>
      <c r="BO1731" s="19">
        <f t="shared" si="1604"/>
        <v>2389</v>
      </c>
      <c r="BP1731">
        <f t="shared" si="1605"/>
        <v>2384</v>
      </c>
      <c r="BQ1731" s="17">
        <f t="shared" si="1606"/>
        <v>2391</v>
      </c>
      <c r="BR1731" t="str">
        <f t="shared" si="1607"/>
        <v>opp_team_player_1</v>
      </c>
      <c r="BS1731">
        <f>COUNTIFS(S$3:S1731,"="&amp;S1731,AI$3:AI1731,"="&amp;AI1731)</f>
        <v>1</v>
      </c>
      <c r="BT1731" t="str">
        <f>IFERROR(VLOOKUP(BB1731&amp;BU1731&amp;X1731,game_rosters!U:W,3,FALSE),"")</f>
        <v>P100074</v>
      </c>
      <c r="BU1731" t="str">
        <f t="shared" si="1608"/>
        <v>Nelson</v>
      </c>
    </row>
    <row r="1732" spans="1:73" x14ac:dyDescent="0.2">
      <c r="A1732">
        <f t="shared" si="1594"/>
        <v>1</v>
      </c>
      <c r="J1732" s="44" t="str">
        <f t="shared" si="1609"/>
        <v/>
      </c>
      <c r="K1732" t="s">
        <v>13</v>
      </c>
      <c r="L1732" t="s">
        <v>756</v>
      </c>
      <c r="M1732" t="s">
        <v>756</v>
      </c>
      <c r="S1732">
        <v>911</v>
      </c>
      <c r="W1732" t="str">
        <f t="shared" ref="W1732:W1795" si="1675">IF(AN1732="Away","a",IF(AN1732="Home","h",""))</f>
        <v>a</v>
      </c>
      <c r="X1732">
        <v>80</v>
      </c>
      <c r="Y1732" t="b">
        <f>IF(X1732&lt;&gt;"",VLOOKUP(X1732,game_rosters!$C$43:$E$64,3,FALSE))</f>
        <v>0</v>
      </c>
      <c r="Z1732" t="str" cm="1">
        <f t="array" ref="Z1732">IFERROR(IF(_xlfn._xlws.FILTER(game_rosters!$J:$J,(game_rosters!$G:$G=events!$AN1732)*(game_rosters!$J:$J=events!$X1732))&gt;0,1,""),"")</f>
        <v/>
      </c>
      <c r="AA1732">
        <f t="shared" si="1633"/>
        <v>1911</v>
      </c>
      <c r="AB1732" t="str">
        <f t="shared" si="1634"/>
        <v/>
      </c>
      <c r="AC1732">
        <f t="shared" si="1672"/>
        <v>1911</v>
      </c>
      <c r="AD1732" s="6">
        <v>3</v>
      </c>
      <c r="AE1732" t="s">
        <v>909</v>
      </c>
      <c r="AF1732" t="s">
        <v>914</v>
      </c>
      <c r="AG1732" t="s">
        <v>909</v>
      </c>
      <c r="AH1732" t="s">
        <v>738</v>
      </c>
      <c r="AI1732" t="s">
        <v>368</v>
      </c>
      <c r="AJ1732" t="str">
        <f t="shared" ref="AJ1732:AK1732" si="1676">IF($J1732&lt;&gt;"",$J1732,IF($AC1732=$AC1731,AJ1731,""))</f>
        <v/>
      </c>
      <c r="AK1732" t="str">
        <f t="shared" si="1676"/>
        <v/>
      </c>
      <c r="AL1732" t="str">
        <f t="shared" ref="AL1732:AL1795" si="1677">IF($W1732="","",IF($AJ1732="","",IF($W1732="h",$AJ1732,IF($AJ1732="n","n",IF(AND($W1732="a",$AJ1732="d"),"o",IF(AND($W1732="a",$AJ1732="o"),"d"))))))</f>
        <v/>
      </c>
      <c r="AN1732" t="s">
        <v>862</v>
      </c>
      <c r="AO1732" t="str">
        <f t="shared" ref="AO1732:AO1795" si="1678">IF($W1732&lt;&gt;"",$W1732,IF($AC1732=$AC1731,AO1731,""))</f>
        <v>a</v>
      </c>
      <c r="AP1732" t="str">
        <f t="shared" si="1596"/>
        <v/>
      </c>
      <c r="AQ1732" t="str">
        <f t="shared" si="1597"/>
        <v/>
      </c>
      <c r="AR1732" t="str">
        <f t="shared" si="1598"/>
        <v>Away</v>
      </c>
      <c r="AS1732" t="str">
        <f t="shared" si="1599"/>
        <v>a</v>
      </c>
      <c r="AT1732" t="str">
        <f t="shared" si="1600"/>
        <v>Defensive</v>
      </c>
      <c r="BA1732" s="6">
        <f t="shared" ref="BA1732:BA1795" si="1679">IF(OR(L1732="Zone_Entry",L1732="Zone_Exit"),BA1731+1,BA1731)</f>
        <v>405</v>
      </c>
      <c r="BB1732">
        <f t="shared" ref="BB1732:BB1795" si="1680">BB1731</f>
        <v>18981</v>
      </c>
      <c r="BC1732" t="str">
        <f t="shared" ref="BC1732:BC1795" si="1681">BC1731</f>
        <v>Nelson</v>
      </c>
      <c r="BD1732" t="str">
        <f t="shared" ref="BD1732:BD1795" si="1682">BD1731</f>
        <v>Velodrome</v>
      </c>
      <c r="BE1732" t="s">
        <v>13</v>
      </c>
      <c r="BF1732" t="s">
        <v>756</v>
      </c>
      <c r="BG1732" t="s">
        <v>756</v>
      </c>
      <c r="BI1732" cm="1">
        <f t="array" aca="1" ref="BI1732" ca="1">IFERROR(_xlfn._xlws.FILTER(shifts!A:A,(shifts!B:B=events!AD1732)*(shifts!AG:AG&gt;=events!BK1732)*(shifts!AH:AH&lt;=events!BL1732)),BI1731)</f>
        <v>78</v>
      </c>
      <c r="BJ1732" s="15">
        <f t="shared" ref="BJ1732:BJ1795" si="1683">IF(AND(AG1732="",AH1732=""),0,((AE1732*60)+AF1732)-((AG1732*60)+AH1732))</f>
        <v>2</v>
      </c>
      <c r="BK1732">
        <f t="shared" si="1601"/>
        <v>993</v>
      </c>
      <c r="BL1732">
        <f t="shared" si="1602"/>
        <v>991</v>
      </c>
      <c r="BM1732" s="15">
        <f>SUMIFS(BJ$2:BJ1732,K$2:K1732,"=Intermission")+SUMIFS(BJ$2:BJ1732,K$2:K1732,"=Timeout")</f>
        <v>142</v>
      </c>
      <c r="BN1732">
        <f t="shared" si="1603"/>
        <v>2302</v>
      </c>
      <c r="BO1732" s="19">
        <f t="shared" si="1604"/>
        <v>2389</v>
      </c>
      <c r="BP1732">
        <f t="shared" si="1605"/>
        <v>2384</v>
      </c>
      <c r="BQ1732" s="17">
        <f t="shared" si="1606"/>
        <v>2391</v>
      </c>
      <c r="BR1732" t="str">
        <f t="shared" si="1607"/>
        <v>opp_team_player_2</v>
      </c>
      <c r="BS1732">
        <f>COUNTIFS(S$3:S1732,"="&amp;S1732,AI$3:AI1732,"="&amp;AI1732)</f>
        <v>2</v>
      </c>
      <c r="BT1732" t="str">
        <f>IFERROR(VLOOKUP(BB1732&amp;BU1732&amp;X1732,game_rosters!U:W,3,FALSE),"")</f>
        <v>P100197</v>
      </c>
      <c r="BU1732" t="str">
        <f t="shared" si="1608"/>
        <v>Nelson</v>
      </c>
    </row>
    <row r="1733" spans="1:73" x14ac:dyDescent="0.2">
      <c r="A1733">
        <f t="shared" ref="A1733:A1796" si="1684">IF(K1733&lt;&gt;"",1,IF(D1733="x","x",""))</f>
        <v>1</v>
      </c>
      <c r="J1733" s="44" t="str">
        <f t="shared" si="1609"/>
        <v/>
      </c>
      <c r="K1733" t="s">
        <v>7</v>
      </c>
      <c r="L1733" t="s">
        <v>172</v>
      </c>
      <c r="M1733" t="s">
        <v>68</v>
      </c>
      <c r="S1733">
        <v>912</v>
      </c>
      <c r="W1733" t="str">
        <f t="shared" si="1675"/>
        <v>a</v>
      </c>
      <c r="X1733">
        <v>84</v>
      </c>
      <c r="Y1733" t="e">
        <f>IF(X1733&lt;&gt;"",VLOOKUP(X1733,game_rosters!$C$43:$E$64,3,FALSE))</f>
        <v>#N/A</v>
      </c>
      <c r="Z1733" cm="1">
        <f t="array" ref="Z1733">IFERROR(IF(_xlfn._xlws.FILTER(game_rosters!$J:$J,(game_rosters!$G:$G=events!$AN1733)*(game_rosters!$J:$J=events!$X1733))&gt;0,1,""),"")</f>
        <v>1</v>
      </c>
      <c r="AA1733">
        <f t="shared" si="1633"/>
        <v>1912</v>
      </c>
      <c r="AB1733" t="str">
        <f t="shared" si="1634"/>
        <v/>
      </c>
      <c r="AC1733">
        <f t="shared" si="1672"/>
        <v>1912</v>
      </c>
      <c r="AD1733" s="6">
        <v>3</v>
      </c>
      <c r="AE1733" t="s">
        <v>909</v>
      </c>
      <c r="AF1733" t="s">
        <v>738</v>
      </c>
      <c r="AG1733" t="s">
        <v>756</v>
      </c>
      <c r="AH1733" t="s">
        <v>756</v>
      </c>
      <c r="AI1733" t="s">
        <v>367</v>
      </c>
      <c r="AJ1733" t="str">
        <f t="shared" ref="AJ1733:AK1733" si="1685">IF($J1733&lt;&gt;"",$J1733,IF($AC1733=$AC1732,AJ1732,""))</f>
        <v/>
      </c>
      <c r="AK1733" t="str">
        <f t="shared" si="1685"/>
        <v/>
      </c>
      <c r="AL1733" t="str">
        <f t="shared" si="1677"/>
        <v/>
      </c>
      <c r="AN1733" t="s">
        <v>862</v>
      </c>
      <c r="AO1733" t="str">
        <f t="shared" si="1678"/>
        <v>a</v>
      </c>
      <c r="AP1733" t="str">
        <f t="shared" ref="AP1733:AP1796" si="1686">IF(AL1733&lt;&gt;"",AL1733,IF($AC1733=$AC1732,AP1732,""))</f>
        <v/>
      </c>
      <c r="AQ1733" t="str">
        <f t="shared" ref="AQ1733:AQ1796" si="1687">IF(AM1733&lt;&gt;"",AM1733,IF($AC1733=$AC1732,AQ1732,""))</f>
        <v/>
      </c>
      <c r="AR1733" t="str">
        <f t="shared" ref="AR1733:AR1796" si="1688">IF(AN1733&lt;&gt;"",AN1733,IF($AC1733=$AC1732,AR1732,""))</f>
        <v>Away</v>
      </c>
      <c r="AS1733" t="str">
        <f t="shared" ref="AS1733:AS1796" si="1689">IF(AO1733&lt;&gt;"",AO1733,IF($AC1733=$AC1732,AS1732,""))</f>
        <v>a</v>
      </c>
      <c r="AT1733" t="str">
        <f t="shared" ref="AT1733:AT1796" si="1690">IF(AND(AI1733="e",OR(BE1733="Save",BF1733="Turnover_Takeaway",BF1733="Play_Defensive")),"Defensive",IF(AND(AI1733="o",OR(BE1733="Save",BF1733="Turnover_Takeaway",BF1733="Play_Defensive")),"Offensive",IF(OR(BE1733="Deadice",BE1733="Stoppage",BE1733="Intermission"),"",IF(AI1733="e","Offensive",IF(AI1733="o","Defensive","")))))</f>
        <v>Offensive</v>
      </c>
      <c r="BA1733" s="6">
        <f t="shared" si="1679"/>
        <v>405</v>
      </c>
      <c r="BB1733">
        <f t="shared" si="1680"/>
        <v>18981</v>
      </c>
      <c r="BC1733" t="str">
        <f t="shared" si="1681"/>
        <v>Nelson</v>
      </c>
      <c r="BD1733" t="str">
        <f t="shared" si="1682"/>
        <v>Velodrome</v>
      </c>
      <c r="BE1733" t="s">
        <v>7</v>
      </c>
      <c r="BF1733" t="s">
        <v>172</v>
      </c>
      <c r="BG1733" t="s">
        <v>68</v>
      </c>
      <c r="BI1733" cm="1">
        <f t="array" aca="1" ref="BI1733" ca="1">IFERROR(_xlfn._xlws.FILTER(shifts!A:A,(shifts!B:B=events!AD1733)*(shifts!AG:AG&gt;=events!BK1733)*(shifts!AH:AH&lt;=events!BL1733)),BI1732)</f>
        <v>78</v>
      </c>
      <c r="BJ1733" s="15">
        <f t="shared" si="1683"/>
        <v>0</v>
      </c>
      <c r="BK1733">
        <f t="shared" ref="BK1733:BK1796" si="1691">(AE1733*60)+AF1733</f>
        <v>991</v>
      </c>
      <c r="BL1733">
        <f t="shared" ref="BL1733:BL1796" si="1692">IF(AND(AG1733="",AH1733=""),BK1733,((AG1733*60)+AH1733))</f>
        <v>991</v>
      </c>
      <c r="BM1733" s="15">
        <f>SUMIFS(BJ$2:BJ1733,K$2:K1733,"=Intermission")+SUMIFS(BJ$2:BJ1733,K$2:K1733,"=Timeout")</f>
        <v>142</v>
      </c>
      <c r="BN1733">
        <f t="shared" ref="BN1733:BN1796" si="1693">IF(AD1733=1,0,IF(AD1733=2,1080+BM1733,IF(AD1733=3,(1080*2)+BM1733,0)))</f>
        <v>2302</v>
      </c>
      <c r="BO1733" s="19">
        <f t="shared" ref="BO1733:BO1796" si="1694">IF(K1733="Intermission",BO1732,((1080)-((AE1733*60)+AF1733))+BN1733)</f>
        <v>2391</v>
      </c>
      <c r="BP1733">
        <f t="shared" ref="BP1733:BP1796" si="1695">IF(BO1733&lt;5,0,BO1733-5)</f>
        <v>2386</v>
      </c>
      <c r="BQ1733" s="17">
        <f t="shared" ref="BQ1733:BQ1796" si="1696">BP1733+BJ1733+5</f>
        <v>2391</v>
      </c>
      <c r="BR1733" t="str">
        <f t="shared" ref="BR1733:BR1796" si="1697">IF(AI1733="e","event_team_player_"&amp;BS1733,IF(AI1733="o","opp_team_player_"&amp;BS1733,""))</f>
        <v>event_team_player_1</v>
      </c>
      <c r="BS1733">
        <f>COUNTIFS(S$3:S1733,"="&amp;S1733,AI$3:AI1733,"="&amp;AI1733)</f>
        <v>1</v>
      </c>
      <c r="BT1733" t="str">
        <f>IFERROR(VLOOKUP(BB1733&amp;BU1733&amp;X1733,game_rosters!U:W,3,FALSE),"")</f>
        <v>P100198</v>
      </c>
      <c r="BU1733" t="str">
        <f t="shared" ref="BU1733:BU1796" si="1698">IF(AR1733="","",IF(AND(AR1733="Away",AI1733="e"),BD1733,IF(AND(AR1733="Home",AI1733="e"),BC1733,IF(AND(AR1733="Away",AI1733="o"),BC1733,IF(AND(AR1733="Home",AI1733="o"),BD1733)))))</f>
        <v>Velodrome</v>
      </c>
    </row>
    <row r="1734" spans="1:73" x14ac:dyDescent="0.2">
      <c r="A1734">
        <f t="shared" si="1684"/>
        <v>1</v>
      </c>
      <c r="J1734" s="44" t="str">
        <f t="shared" ref="J1734:J1797" si="1699">IF(OR(K1734="Goal",K1734="Shot",L1734="Zone_Entry",M1734="Stoppage-Goal",M1733="Stoppage-Goal"),"o",IF(OR(K1734="Save",K1734="Rebound",L1734="Zone_Exit",M1734="Stoppage-GoalieStoppage",M1733="Stoppage-GoalieStoppage"),"d",IF(OR(L1734="Faceoff_AfterGoal",L1734="Faceoff_PeriodStart",698="Faceoff_GameStart",M1733="Stoppage-Goal"),"n","")))</f>
        <v/>
      </c>
      <c r="K1734" t="s">
        <v>7</v>
      </c>
      <c r="L1734" t="s">
        <v>172</v>
      </c>
      <c r="M1734" t="s">
        <v>68</v>
      </c>
      <c r="S1734">
        <v>912</v>
      </c>
      <c r="W1734" t="str">
        <f t="shared" si="1675"/>
        <v>a</v>
      </c>
      <c r="X1734">
        <v>22</v>
      </c>
      <c r="Y1734" t="e">
        <f>IF(X1734&lt;&gt;"",VLOOKUP(X1734,game_rosters!$C$43:$E$64,3,FALSE))</f>
        <v>#N/A</v>
      </c>
      <c r="Z1734" cm="1">
        <f t="array" ref="Z1734">IFERROR(IF(_xlfn._xlws.FILTER(game_rosters!$J:$J,(game_rosters!$G:$G=events!$AN1734)*(game_rosters!$J:$J=events!$X1734))&gt;0,1,""),"")</f>
        <v>1</v>
      </c>
      <c r="AA1734">
        <f t="shared" si="1633"/>
        <v>1912</v>
      </c>
      <c r="AB1734" t="str">
        <f t="shared" si="1634"/>
        <v/>
      </c>
      <c r="AC1734">
        <f t="shared" si="1672"/>
        <v>1912</v>
      </c>
      <c r="AD1734" s="6">
        <v>3</v>
      </c>
      <c r="AE1734" t="s">
        <v>909</v>
      </c>
      <c r="AF1734" t="s">
        <v>738</v>
      </c>
      <c r="AG1734" t="s">
        <v>756</v>
      </c>
      <c r="AH1734" t="s">
        <v>756</v>
      </c>
      <c r="AI1734" t="s">
        <v>367</v>
      </c>
      <c r="AJ1734" t="str">
        <f t="shared" ref="AJ1734:AK1734" si="1700">IF($J1734&lt;&gt;"",$J1734,IF($AC1734=$AC1733,AJ1733,""))</f>
        <v/>
      </c>
      <c r="AK1734" t="str">
        <f t="shared" si="1700"/>
        <v/>
      </c>
      <c r="AL1734" t="str">
        <f t="shared" si="1677"/>
        <v/>
      </c>
      <c r="AN1734" t="s">
        <v>862</v>
      </c>
      <c r="AO1734" t="str">
        <f t="shared" si="1678"/>
        <v>a</v>
      </c>
      <c r="AP1734" t="str">
        <f t="shared" si="1686"/>
        <v/>
      </c>
      <c r="AQ1734" t="str">
        <f t="shared" si="1687"/>
        <v/>
      </c>
      <c r="AR1734" t="str">
        <f t="shared" si="1688"/>
        <v>Away</v>
      </c>
      <c r="AS1734" t="str">
        <f t="shared" si="1689"/>
        <v>a</v>
      </c>
      <c r="AT1734" t="str">
        <f t="shared" si="1690"/>
        <v>Offensive</v>
      </c>
      <c r="BA1734" s="6">
        <f t="shared" si="1679"/>
        <v>405</v>
      </c>
      <c r="BB1734">
        <f t="shared" si="1680"/>
        <v>18981</v>
      </c>
      <c r="BC1734" t="str">
        <f t="shared" si="1681"/>
        <v>Nelson</v>
      </c>
      <c r="BD1734" t="str">
        <f t="shared" si="1682"/>
        <v>Velodrome</v>
      </c>
      <c r="BE1734" t="s">
        <v>7</v>
      </c>
      <c r="BF1734" t="s">
        <v>172</v>
      </c>
      <c r="BG1734" t="s">
        <v>68</v>
      </c>
      <c r="BI1734" cm="1">
        <f t="array" aca="1" ref="BI1734" ca="1">IFERROR(_xlfn._xlws.FILTER(shifts!A:A,(shifts!B:B=events!AD1734)*(shifts!AG:AG&gt;=events!BK1734)*(shifts!AH:AH&lt;=events!BL1734)),BI1733)</f>
        <v>78</v>
      </c>
      <c r="BJ1734" s="15">
        <f t="shared" si="1683"/>
        <v>0</v>
      </c>
      <c r="BK1734">
        <f t="shared" si="1691"/>
        <v>991</v>
      </c>
      <c r="BL1734">
        <f t="shared" si="1692"/>
        <v>991</v>
      </c>
      <c r="BM1734" s="15">
        <f>SUMIFS(BJ$2:BJ1734,K$2:K1734,"=Intermission")+SUMIFS(BJ$2:BJ1734,K$2:K1734,"=Timeout")</f>
        <v>142</v>
      </c>
      <c r="BN1734">
        <f t="shared" si="1693"/>
        <v>2302</v>
      </c>
      <c r="BO1734" s="19">
        <f t="shared" si="1694"/>
        <v>2391</v>
      </c>
      <c r="BP1734">
        <f t="shared" si="1695"/>
        <v>2386</v>
      </c>
      <c r="BQ1734" s="17">
        <f t="shared" si="1696"/>
        <v>2391</v>
      </c>
      <c r="BR1734" t="str">
        <f t="shared" si="1697"/>
        <v>event_team_player_2</v>
      </c>
      <c r="BS1734">
        <f>COUNTIFS(S$3:S1734,"="&amp;S1734,AI$3:AI1734,"="&amp;AI1734)</f>
        <v>2</v>
      </c>
      <c r="BT1734" t="str">
        <f>IFERROR(VLOOKUP(BB1734&amp;BU1734&amp;X1734,game_rosters!U:W,3,FALSE),"")</f>
        <v>P100108</v>
      </c>
      <c r="BU1734" t="str">
        <f t="shared" si="1698"/>
        <v>Velodrome</v>
      </c>
    </row>
    <row r="1735" spans="1:73" x14ac:dyDescent="0.2">
      <c r="A1735">
        <f t="shared" si="1684"/>
        <v>1</v>
      </c>
      <c r="J1735" s="44" t="str">
        <f t="shared" si="1699"/>
        <v/>
      </c>
      <c r="K1735" t="s">
        <v>7</v>
      </c>
      <c r="L1735" t="s">
        <v>172</v>
      </c>
      <c r="M1735" t="s">
        <v>68</v>
      </c>
      <c r="S1735">
        <v>912</v>
      </c>
      <c r="W1735" t="str">
        <f t="shared" si="1675"/>
        <v>a</v>
      </c>
      <c r="X1735">
        <v>80</v>
      </c>
      <c r="Y1735" t="b">
        <f>IF(X1735&lt;&gt;"",VLOOKUP(X1735,game_rosters!$C$43:$E$64,3,FALSE))</f>
        <v>0</v>
      </c>
      <c r="Z1735" t="str" cm="1">
        <f t="array" ref="Z1735">IFERROR(IF(_xlfn._xlws.FILTER(game_rosters!$J:$J,(game_rosters!$G:$G=events!$AN1735)*(game_rosters!$J:$J=events!$X1735))&gt;0,1,""),"")</f>
        <v/>
      </c>
      <c r="AA1735">
        <f t="shared" si="1633"/>
        <v>1912</v>
      </c>
      <c r="AB1735" t="str">
        <f t="shared" si="1634"/>
        <v/>
      </c>
      <c r="AC1735">
        <f t="shared" si="1672"/>
        <v>1912</v>
      </c>
      <c r="AD1735" s="6">
        <v>3</v>
      </c>
      <c r="AE1735" t="s">
        <v>909</v>
      </c>
      <c r="AF1735" t="s">
        <v>738</v>
      </c>
      <c r="AG1735" t="s">
        <v>756</v>
      </c>
      <c r="AH1735" t="s">
        <v>756</v>
      </c>
      <c r="AI1735" t="s">
        <v>368</v>
      </c>
      <c r="AJ1735" t="str">
        <f t="shared" ref="AJ1735:AK1735" si="1701">IF($J1735&lt;&gt;"",$J1735,IF($AC1735=$AC1734,AJ1734,""))</f>
        <v/>
      </c>
      <c r="AK1735" t="str">
        <f t="shared" si="1701"/>
        <v/>
      </c>
      <c r="AL1735" t="str">
        <f t="shared" si="1677"/>
        <v/>
      </c>
      <c r="AN1735" t="s">
        <v>862</v>
      </c>
      <c r="AO1735" t="str">
        <f t="shared" si="1678"/>
        <v>a</v>
      </c>
      <c r="AP1735" t="str">
        <f t="shared" si="1686"/>
        <v/>
      </c>
      <c r="AQ1735" t="str">
        <f t="shared" si="1687"/>
        <v/>
      </c>
      <c r="AR1735" t="str">
        <f t="shared" si="1688"/>
        <v>Away</v>
      </c>
      <c r="AS1735" t="str">
        <f t="shared" si="1689"/>
        <v>a</v>
      </c>
      <c r="AT1735" t="str">
        <f t="shared" si="1690"/>
        <v>Defensive</v>
      </c>
      <c r="BA1735" s="6">
        <f t="shared" si="1679"/>
        <v>405</v>
      </c>
      <c r="BB1735">
        <f t="shared" si="1680"/>
        <v>18981</v>
      </c>
      <c r="BC1735" t="str">
        <f t="shared" si="1681"/>
        <v>Nelson</v>
      </c>
      <c r="BD1735" t="str">
        <f t="shared" si="1682"/>
        <v>Velodrome</v>
      </c>
      <c r="BE1735" t="s">
        <v>7</v>
      </c>
      <c r="BF1735" t="s">
        <v>172</v>
      </c>
      <c r="BG1735" t="s">
        <v>68</v>
      </c>
      <c r="BI1735" cm="1">
        <f t="array" aca="1" ref="BI1735" ca="1">IFERROR(_xlfn._xlws.FILTER(shifts!A:A,(shifts!B:B=events!AD1735)*(shifts!AG:AG&gt;=events!BK1735)*(shifts!AH:AH&lt;=events!BL1735)),BI1734)</f>
        <v>78</v>
      </c>
      <c r="BJ1735" s="15">
        <f t="shared" si="1683"/>
        <v>0</v>
      </c>
      <c r="BK1735">
        <f t="shared" si="1691"/>
        <v>991</v>
      </c>
      <c r="BL1735">
        <f t="shared" si="1692"/>
        <v>991</v>
      </c>
      <c r="BM1735" s="15">
        <f>SUMIFS(BJ$2:BJ1735,K$2:K1735,"=Intermission")+SUMIFS(BJ$2:BJ1735,K$2:K1735,"=Timeout")</f>
        <v>142</v>
      </c>
      <c r="BN1735">
        <f t="shared" si="1693"/>
        <v>2302</v>
      </c>
      <c r="BO1735" s="19">
        <f t="shared" si="1694"/>
        <v>2391</v>
      </c>
      <c r="BP1735">
        <f t="shared" si="1695"/>
        <v>2386</v>
      </c>
      <c r="BQ1735" s="17">
        <f t="shared" si="1696"/>
        <v>2391</v>
      </c>
      <c r="BR1735" t="str">
        <f t="shared" si="1697"/>
        <v>opp_team_player_1</v>
      </c>
      <c r="BS1735">
        <f>COUNTIFS(S$3:S1735,"="&amp;S1735,AI$3:AI1735,"="&amp;AI1735)</f>
        <v>1</v>
      </c>
      <c r="BT1735" t="str">
        <f>IFERROR(VLOOKUP(BB1735&amp;BU1735&amp;X1735,game_rosters!U:W,3,FALSE),"")</f>
        <v>P100197</v>
      </c>
      <c r="BU1735" t="str">
        <f t="shared" si="1698"/>
        <v>Nelson</v>
      </c>
    </row>
    <row r="1736" spans="1:73" x14ac:dyDescent="0.2">
      <c r="A1736">
        <f t="shared" si="1684"/>
        <v>1</v>
      </c>
      <c r="J1736" s="44" t="str">
        <f t="shared" si="1699"/>
        <v/>
      </c>
      <c r="K1736" t="s">
        <v>7</v>
      </c>
      <c r="L1736" t="s">
        <v>172</v>
      </c>
      <c r="M1736" t="s">
        <v>68</v>
      </c>
      <c r="S1736">
        <v>912</v>
      </c>
      <c r="W1736" t="str">
        <f t="shared" si="1675"/>
        <v>a</v>
      </c>
      <c r="X1736">
        <v>79</v>
      </c>
      <c r="Y1736" t="b">
        <f>IF(X1736&lt;&gt;"",VLOOKUP(X1736,game_rosters!$C$43:$E$64,3,FALSE))</f>
        <v>0</v>
      </c>
      <c r="Z1736" t="str" cm="1">
        <f t="array" ref="Z1736">IFERROR(IF(_xlfn._xlws.FILTER(game_rosters!$J:$J,(game_rosters!$G:$G=events!$AN1736)*(game_rosters!$J:$J=events!$X1736))&gt;0,1,""),"")</f>
        <v/>
      </c>
      <c r="AA1736">
        <f t="shared" si="1633"/>
        <v>1912</v>
      </c>
      <c r="AB1736" t="str">
        <f t="shared" si="1634"/>
        <v/>
      </c>
      <c r="AC1736">
        <f t="shared" si="1672"/>
        <v>1912</v>
      </c>
      <c r="AD1736" s="6">
        <v>3</v>
      </c>
      <c r="AE1736" t="s">
        <v>909</v>
      </c>
      <c r="AF1736" t="s">
        <v>738</v>
      </c>
      <c r="AG1736" t="s">
        <v>756</v>
      </c>
      <c r="AH1736" t="s">
        <v>756</v>
      </c>
      <c r="AI1736" t="s">
        <v>368</v>
      </c>
      <c r="AJ1736" t="str">
        <f t="shared" ref="AJ1736:AK1736" si="1702">IF($J1736&lt;&gt;"",$J1736,IF($AC1736=$AC1735,AJ1735,""))</f>
        <v/>
      </c>
      <c r="AK1736" t="str">
        <f t="shared" si="1702"/>
        <v/>
      </c>
      <c r="AL1736" t="str">
        <f t="shared" si="1677"/>
        <v/>
      </c>
      <c r="AN1736" t="s">
        <v>862</v>
      </c>
      <c r="AO1736" t="str">
        <f t="shared" si="1678"/>
        <v>a</v>
      </c>
      <c r="AP1736" t="str">
        <f t="shared" si="1686"/>
        <v/>
      </c>
      <c r="AQ1736" t="str">
        <f t="shared" si="1687"/>
        <v/>
      </c>
      <c r="AR1736" t="str">
        <f t="shared" si="1688"/>
        <v>Away</v>
      </c>
      <c r="AS1736" t="str">
        <f t="shared" si="1689"/>
        <v>a</v>
      </c>
      <c r="AT1736" t="str">
        <f t="shared" si="1690"/>
        <v>Defensive</v>
      </c>
      <c r="BA1736" s="6">
        <f t="shared" si="1679"/>
        <v>405</v>
      </c>
      <c r="BB1736">
        <f t="shared" si="1680"/>
        <v>18981</v>
      </c>
      <c r="BC1736" t="str">
        <f t="shared" si="1681"/>
        <v>Nelson</v>
      </c>
      <c r="BD1736" t="str">
        <f t="shared" si="1682"/>
        <v>Velodrome</v>
      </c>
      <c r="BE1736" t="s">
        <v>7</v>
      </c>
      <c r="BF1736" t="s">
        <v>172</v>
      </c>
      <c r="BG1736" t="s">
        <v>68</v>
      </c>
      <c r="BI1736" cm="1">
        <f t="array" aca="1" ref="BI1736" ca="1">IFERROR(_xlfn._xlws.FILTER(shifts!A:A,(shifts!B:B=events!AD1736)*(shifts!AG:AG&gt;=events!BK1736)*(shifts!AH:AH&lt;=events!BL1736)),BI1735)</f>
        <v>78</v>
      </c>
      <c r="BJ1736" s="15">
        <f t="shared" si="1683"/>
        <v>0</v>
      </c>
      <c r="BK1736">
        <f t="shared" si="1691"/>
        <v>991</v>
      </c>
      <c r="BL1736">
        <f t="shared" si="1692"/>
        <v>991</v>
      </c>
      <c r="BM1736" s="15">
        <f>SUMIFS(BJ$2:BJ1736,K$2:K1736,"=Intermission")+SUMIFS(BJ$2:BJ1736,K$2:K1736,"=Timeout")</f>
        <v>142</v>
      </c>
      <c r="BN1736">
        <f t="shared" si="1693"/>
        <v>2302</v>
      </c>
      <c r="BO1736" s="19">
        <f t="shared" si="1694"/>
        <v>2391</v>
      </c>
      <c r="BP1736">
        <f t="shared" si="1695"/>
        <v>2386</v>
      </c>
      <c r="BQ1736" s="17">
        <f t="shared" si="1696"/>
        <v>2391</v>
      </c>
      <c r="BR1736" t="str">
        <f t="shared" si="1697"/>
        <v>opp_team_player_2</v>
      </c>
      <c r="BS1736">
        <f>COUNTIFS(S$3:S1736,"="&amp;S1736,AI$3:AI1736,"="&amp;AI1736)</f>
        <v>2</v>
      </c>
      <c r="BT1736" t="str">
        <f>IFERROR(VLOOKUP(BB1736&amp;BU1736&amp;X1736,game_rosters!U:W,3,FALSE),"")</f>
        <v>P100066</v>
      </c>
      <c r="BU1736" t="str">
        <f t="shared" si="1698"/>
        <v>Nelson</v>
      </c>
    </row>
    <row r="1737" spans="1:73" x14ac:dyDescent="0.2">
      <c r="A1737">
        <f t="shared" si="1684"/>
        <v>1</v>
      </c>
      <c r="J1737" s="44" t="str">
        <f t="shared" si="1699"/>
        <v/>
      </c>
      <c r="K1737" t="s">
        <v>13</v>
      </c>
      <c r="L1737" t="s">
        <v>756</v>
      </c>
      <c r="M1737" t="s">
        <v>756</v>
      </c>
      <c r="S1737">
        <v>913</v>
      </c>
      <c r="W1737" t="str">
        <f t="shared" si="1675"/>
        <v>a</v>
      </c>
      <c r="X1737">
        <v>22</v>
      </c>
      <c r="Y1737" t="e">
        <f>IF(X1737&lt;&gt;"",VLOOKUP(X1737,game_rosters!$C$43:$E$64,3,FALSE))</f>
        <v>#N/A</v>
      </c>
      <c r="Z1737" cm="1">
        <f t="array" ref="Z1737">IFERROR(IF(_xlfn._xlws.FILTER(game_rosters!$J:$J,(game_rosters!$G:$G=events!$AN1737)*(game_rosters!$J:$J=events!$X1737))&gt;0,1,""),"")</f>
        <v>1</v>
      </c>
      <c r="AA1737">
        <f t="shared" si="1633"/>
        <v>1913</v>
      </c>
      <c r="AB1737" t="str">
        <f t="shared" si="1634"/>
        <v/>
      </c>
      <c r="AC1737">
        <f t="shared" si="1672"/>
        <v>1913</v>
      </c>
      <c r="AD1737" s="6">
        <v>3</v>
      </c>
      <c r="AE1737" t="s">
        <v>909</v>
      </c>
      <c r="AF1737" t="s">
        <v>930</v>
      </c>
      <c r="AG1737" t="s">
        <v>909</v>
      </c>
      <c r="AH1737" t="s">
        <v>739</v>
      </c>
      <c r="AI1737" t="s">
        <v>367</v>
      </c>
      <c r="AJ1737" t="str">
        <f t="shared" ref="AJ1737:AK1737" si="1703">IF($J1737&lt;&gt;"",$J1737,IF($AC1737=$AC1736,AJ1736,""))</f>
        <v/>
      </c>
      <c r="AK1737" t="str">
        <f t="shared" si="1703"/>
        <v/>
      </c>
      <c r="AL1737" t="str">
        <f t="shared" si="1677"/>
        <v/>
      </c>
      <c r="AN1737" t="s">
        <v>862</v>
      </c>
      <c r="AO1737" t="str">
        <f t="shared" si="1678"/>
        <v>a</v>
      </c>
      <c r="AP1737" t="str">
        <f t="shared" si="1686"/>
        <v/>
      </c>
      <c r="AQ1737" t="str">
        <f t="shared" si="1687"/>
        <v/>
      </c>
      <c r="AR1737" t="str">
        <f t="shared" si="1688"/>
        <v>Away</v>
      </c>
      <c r="AS1737" t="str">
        <f t="shared" si="1689"/>
        <v>a</v>
      </c>
      <c r="AT1737" t="str">
        <f t="shared" si="1690"/>
        <v>Offensive</v>
      </c>
      <c r="BA1737" s="6">
        <f t="shared" si="1679"/>
        <v>405</v>
      </c>
      <c r="BB1737">
        <f t="shared" si="1680"/>
        <v>18981</v>
      </c>
      <c r="BC1737" t="str">
        <f t="shared" si="1681"/>
        <v>Nelson</v>
      </c>
      <c r="BD1737" t="str">
        <f t="shared" si="1682"/>
        <v>Velodrome</v>
      </c>
      <c r="BE1737" t="s">
        <v>13</v>
      </c>
      <c r="BF1737" t="s">
        <v>756</v>
      </c>
      <c r="BG1737" t="s">
        <v>756</v>
      </c>
      <c r="BI1737" cm="1">
        <f t="array" aca="1" ref="BI1737" ca="1">IFERROR(_xlfn._xlws.FILTER(shifts!A:A,(shifts!B:B=events!AD1737)*(shifts!AG:AG&gt;=events!BK1737)*(shifts!AH:AH&lt;=events!BL1737)),BI1736)</f>
        <v>78</v>
      </c>
      <c r="BJ1737" s="15">
        <f t="shared" si="1683"/>
        <v>2</v>
      </c>
      <c r="BK1737">
        <f t="shared" si="1691"/>
        <v>988</v>
      </c>
      <c r="BL1737">
        <f t="shared" si="1692"/>
        <v>986</v>
      </c>
      <c r="BM1737" s="15">
        <f>SUMIFS(BJ$2:BJ1737,K$2:K1737,"=Intermission")+SUMIFS(BJ$2:BJ1737,K$2:K1737,"=Timeout")</f>
        <v>142</v>
      </c>
      <c r="BN1737">
        <f t="shared" si="1693"/>
        <v>2302</v>
      </c>
      <c r="BO1737" s="19">
        <f t="shared" si="1694"/>
        <v>2394</v>
      </c>
      <c r="BP1737">
        <f t="shared" si="1695"/>
        <v>2389</v>
      </c>
      <c r="BQ1737" s="17">
        <f t="shared" si="1696"/>
        <v>2396</v>
      </c>
      <c r="BR1737" t="str">
        <f t="shared" si="1697"/>
        <v>event_team_player_1</v>
      </c>
      <c r="BS1737">
        <f>COUNTIFS(S$3:S1737,"="&amp;S1737,AI$3:AI1737,"="&amp;AI1737)</f>
        <v>1</v>
      </c>
      <c r="BT1737" t="str">
        <f>IFERROR(VLOOKUP(BB1737&amp;BU1737&amp;X1737,game_rosters!U:W,3,FALSE),"")</f>
        <v>P100108</v>
      </c>
      <c r="BU1737" t="str">
        <f t="shared" si="1698"/>
        <v>Velodrome</v>
      </c>
    </row>
    <row r="1738" spans="1:73" x14ac:dyDescent="0.2">
      <c r="A1738">
        <f t="shared" si="1684"/>
        <v>1</v>
      </c>
      <c r="J1738" s="44" t="str">
        <f t="shared" si="1699"/>
        <v/>
      </c>
      <c r="K1738" t="s">
        <v>7</v>
      </c>
      <c r="L1738" t="s">
        <v>172</v>
      </c>
      <c r="M1738" t="s">
        <v>68</v>
      </c>
      <c r="S1738">
        <v>914</v>
      </c>
      <c r="W1738" t="str">
        <f t="shared" si="1675"/>
        <v>a</v>
      </c>
      <c r="X1738">
        <v>22</v>
      </c>
      <c r="Y1738" t="e">
        <f>IF(X1738&lt;&gt;"",VLOOKUP(X1738,game_rosters!$C$43:$E$64,3,FALSE))</f>
        <v>#N/A</v>
      </c>
      <c r="Z1738" cm="1">
        <f t="array" ref="Z1738">IFERROR(IF(_xlfn._xlws.FILTER(game_rosters!$J:$J,(game_rosters!$G:$G=events!$AN1738)*(game_rosters!$J:$J=events!$X1738))&gt;0,1,""),"")</f>
        <v>1</v>
      </c>
      <c r="AA1738">
        <f t="shared" si="1633"/>
        <v>1914</v>
      </c>
      <c r="AB1738" t="str">
        <f t="shared" si="1634"/>
        <v/>
      </c>
      <c r="AC1738">
        <f t="shared" si="1672"/>
        <v>1914</v>
      </c>
      <c r="AD1738" s="6">
        <v>3</v>
      </c>
      <c r="AE1738" t="s">
        <v>909</v>
      </c>
      <c r="AF1738" t="s">
        <v>739</v>
      </c>
      <c r="AG1738" t="s">
        <v>756</v>
      </c>
      <c r="AH1738" t="s">
        <v>756</v>
      </c>
      <c r="AI1738" t="s">
        <v>367</v>
      </c>
      <c r="AJ1738" t="str">
        <f t="shared" ref="AJ1738:AK1738" si="1704">IF($J1738&lt;&gt;"",$J1738,IF($AC1738=$AC1737,AJ1737,""))</f>
        <v/>
      </c>
      <c r="AK1738" t="str">
        <f t="shared" si="1704"/>
        <v/>
      </c>
      <c r="AL1738" t="str">
        <f t="shared" si="1677"/>
        <v/>
      </c>
      <c r="AN1738" t="s">
        <v>862</v>
      </c>
      <c r="AO1738" t="str">
        <f t="shared" si="1678"/>
        <v>a</v>
      </c>
      <c r="AP1738" t="str">
        <f t="shared" si="1686"/>
        <v/>
      </c>
      <c r="AQ1738" t="str">
        <f t="shared" si="1687"/>
        <v/>
      </c>
      <c r="AR1738" t="str">
        <f t="shared" si="1688"/>
        <v>Away</v>
      </c>
      <c r="AS1738" t="str">
        <f t="shared" si="1689"/>
        <v>a</v>
      </c>
      <c r="AT1738" t="str">
        <f t="shared" si="1690"/>
        <v>Offensive</v>
      </c>
      <c r="BA1738" s="6">
        <f t="shared" si="1679"/>
        <v>405</v>
      </c>
      <c r="BB1738">
        <f t="shared" si="1680"/>
        <v>18981</v>
      </c>
      <c r="BC1738" t="str">
        <f t="shared" si="1681"/>
        <v>Nelson</v>
      </c>
      <c r="BD1738" t="str">
        <f t="shared" si="1682"/>
        <v>Velodrome</v>
      </c>
      <c r="BE1738" t="s">
        <v>7</v>
      </c>
      <c r="BF1738" t="s">
        <v>172</v>
      </c>
      <c r="BG1738" t="s">
        <v>68</v>
      </c>
      <c r="BI1738" cm="1">
        <f t="array" aca="1" ref="BI1738" ca="1">IFERROR(_xlfn._xlws.FILTER(shifts!A:A,(shifts!B:B=events!AD1738)*(shifts!AG:AG&gt;=events!BK1738)*(shifts!AH:AH&lt;=events!BL1738)),BI1737)</f>
        <v>78</v>
      </c>
      <c r="BJ1738" s="15">
        <f t="shared" si="1683"/>
        <v>0</v>
      </c>
      <c r="BK1738">
        <f t="shared" si="1691"/>
        <v>986</v>
      </c>
      <c r="BL1738">
        <f t="shared" si="1692"/>
        <v>986</v>
      </c>
      <c r="BM1738" s="15">
        <f>SUMIFS(BJ$2:BJ1738,K$2:K1738,"=Intermission")+SUMIFS(BJ$2:BJ1738,K$2:K1738,"=Timeout")</f>
        <v>142</v>
      </c>
      <c r="BN1738">
        <f t="shared" si="1693"/>
        <v>2302</v>
      </c>
      <c r="BO1738" s="19">
        <f t="shared" si="1694"/>
        <v>2396</v>
      </c>
      <c r="BP1738">
        <f t="shared" si="1695"/>
        <v>2391</v>
      </c>
      <c r="BQ1738" s="17">
        <f t="shared" si="1696"/>
        <v>2396</v>
      </c>
      <c r="BR1738" t="str">
        <f t="shared" si="1697"/>
        <v>event_team_player_1</v>
      </c>
      <c r="BS1738">
        <f>COUNTIFS(S$3:S1738,"="&amp;S1738,AI$3:AI1738,"="&amp;AI1738)</f>
        <v>1</v>
      </c>
      <c r="BT1738" t="str">
        <f>IFERROR(VLOOKUP(BB1738&amp;BU1738&amp;X1738,game_rosters!U:W,3,FALSE),"")</f>
        <v>P100108</v>
      </c>
      <c r="BU1738" t="str">
        <f t="shared" si="1698"/>
        <v>Velodrome</v>
      </c>
    </row>
    <row r="1739" spans="1:73" x14ac:dyDescent="0.2">
      <c r="A1739">
        <f t="shared" si="1684"/>
        <v>1</v>
      </c>
      <c r="J1739" s="44" t="str">
        <f t="shared" si="1699"/>
        <v/>
      </c>
      <c r="K1739" t="s">
        <v>7</v>
      </c>
      <c r="L1739" t="s">
        <v>172</v>
      </c>
      <c r="M1739" t="s">
        <v>68</v>
      </c>
      <c r="S1739">
        <v>914</v>
      </c>
      <c r="W1739" t="str">
        <f t="shared" si="1675"/>
        <v>a</v>
      </c>
      <c r="X1739">
        <v>87</v>
      </c>
      <c r="Y1739" t="e">
        <f>IF(X1739&lt;&gt;"",VLOOKUP(X1739,game_rosters!$C$43:$E$64,3,FALSE))</f>
        <v>#N/A</v>
      </c>
      <c r="Z1739" cm="1">
        <f t="array" ref="Z1739">IFERROR(IF(_xlfn._xlws.FILTER(game_rosters!$J:$J,(game_rosters!$G:$G=events!$AN1739)*(game_rosters!$J:$J=events!$X1739))&gt;0,1,""),"")</f>
        <v>1</v>
      </c>
      <c r="AA1739">
        <f t="shared" si="1633"/>
        <v>1914</v>
      </c>
      <c r="AB1739" t="str">
        <f t="shared" si="1634"/>
        <v/>
      </c>
      <c r="AC1739">
        <f t="shared" si="1672"/>
        <v>1914</v>
      </c>
      <c r="AD1739" s="6">
        <v>3</v>
      </c>
      <c r="AE1739" t="s">
        <v>909</v>
      </c>
      <c r="AF1739" t="s">
        <v>739</v>
      </c>
      <c r="AG1739" t="s">
        <v>756</v>
      </c>
      <c r="AH1739" t="s">
        <v>756</v>
      </c>
      <c r="AI1739" t="s">
        <v>367</v>
      </c>
      <c r="AJ1739" t="str">
        <f t="shared" ref="AJ1739:AK1739" si="1705">IF($J1739&lt;&gt;"",$J1739,IF($AC1739=$AC1738,AJ1738,""))</f>
        <v/>
      </c>
      <c r="AK1739" t="str">
        <f t="shared" si="1705"/>
        <v/>
      </c>
      <c r="AL1739" t="str">
        <f t="shared" si="1677"/>
        <v/>
      </c>
      <c r="AN1739" t="s">
        <v>862</v>
      </c>
      <c r="AO1739" t="str">
        <f t="shared" si="1678"/>
        <v>a</v>
      </c>
      <c r="AP1739" t="str">
        <f t="shared" si="1686"/>
        <v/>
      </c>
      <c r="AQ1739" t="str">
        <f t="shared" si="1687"/>
        <v/>
      </c>
      <c r="AR1739" t="str">
        <f t="shared" si="1688"/>
        <v>Away</v>
      </c>
      <c r="AS1739" t="str">
        <f t="shared" si="1689"/>
        <v>a</v>
      </c>
      <c r="AT1739" t="str">
        <f t="shared" si="1690"/>
        <v>Offensive</v>
      </c>
      <c r="BA1739" s="6">
        <f t="shared" si="1679"/>
        <v>405</v>
      </c>
      <c r="BB1739">
        <f t="shared" si="1680"/>
        <v>18981</v>
      </c>
      <c r="BC1739" t="str">
        <f t="shared" si="1681"/>
        <v>Nelson</v>
      </c>
      <c r="BD1739" t="str">
        <f t="shared" si="1682"/>
        <v>Velodrome</v>
      </c>
      <c r="BE1739" t="s">
        <v>7</v>
      </c>
      <c r="BF1739" t="s">
        <v>172</v>
      </c>
      <c r="BG1739" t="s">
        <v>68</v>
      </c>
      <c r="BI1739" cm="1">
        <f t="array" aca="1" ref="BI1739" ca="1">IFERROR(_xlfn._xlws.FILTER(shifts!A:A,(shifts!B:B=events!AD1739)*(shifts!AG:AG&gt;=events!BK1739)*(shifts!AH:AH&lt;=events!BL1739)),BI1738)</f>
        <v>78</v>
      </c>
      <c r="BJ1739" s="15">
        <f t="shared" si="1683"/>
        <v>0</v>
      </c>
      <c r="BK1739">
        <f t="shared" si="1691"/>
        <v>986</v>
      </c>
      <c r="BL1739">
        <f t="shared" si="1692"/>
        <v>986</v>
      </c>
      <c r="BM1739" s="15">
        <f>SUMIFS(BJ$2:BJ1739,K$2:K1739,"=Intermission")+SUMIFS(BJ$2:BJ1739,K$2:K1739,"=Timeout")</f>
        <v>142</v>
      </c>
      <c r="BN1739">
        <f t="shared" si="1693"/>
        <v>2302</v>
      </c>
      <c r="BO1739" s="19">
        <f t="shared" si="1694"/>
        <v>2396</v>
      </c>
      <c r="BP1739">
        <f t="shared" si="1695"/>
        <v>2391</v>
      </c>
      <c r="BQ1739" s="17">
        <f t="shared" si="1696"/>
        <v>2396</v>
      </c>
      <c r="BR1739" t="str">
        <f t="shared" si="1697"/>
        <v>event_team_player_2</v>
      </c>
      <c r="BS1739">
        <f>COUNTIFS(S$3:S1739,"="&amp;S1739,AI$3:AI1739,"="&amp;AI1739)</f>
        <v>2</v>
      </c>
      <c r="BT1739" t="str">
        <f>IFERROR(VLOOKUP(BB1739&amp;BU1739&amp;X1739,game_rosters!U:W,3,FALSE),"")</f>
        <v>P100159</v>
      </c>
      <c r="BU1739" t="str">
        <f t="shared" si="1698"/>
        <v>Velodrome</v>
      </c>
    </row>
    <row r="1740" spans="1:73" x14ac:dyDescent="0.2">
      <c r="A1740">
        <f t="shared" si="1684"/>
        <v>1</v>
      </c>
      <c r="J1740" s="44" t="str">
        <f t="shared" si="1699"/>
        <v/>
      </c>
      <c r="K1740" t="s">
        <v>13</v>
      </c>
      <c r="L1740" t="s">
        <v>756</v>
      </c>
      <c r="M1740" t="s">
        <v>756</v>
      </c>
      <c r="S1740">
        <v>915</v>
      </c>
      <c r="W1740" t="str">
        <f t="shared" si="1675"/>
        <v>a</v>
      </c>
      <c r="X1740">
        <v>87</v>
      </c>
      <c r="Y1740" t="e">
        <f>IF(X1740&lt;&gt;"",VLOOKUP(X1740,game_rosters!$C$43:$E$64,3,FALSE))</f>
        <v>#N/A</v>
      </c>
      <c r="Z1740" cm="1">
        <f t="array" ref="Z1740">IFERROR(IF(_xlfn._xlws.FILTER(game_rosters!$J:$J,(game_rosters!$G:$G=events!$AN1740)*(game_rosters!$J:$J=events!$X1740))&gt;0,1,""),"")</f>
        <v>1</v>
      </c>
      <c r="AA1740">
        <f t="shared" si="1633"/>
        <v>1915</v>
      </c>
      <c r="AB1740" t="str">
        <f t="shared" si="1634"/>
        <v/>
      </c>
      <c r="AC1740">
        <f t="shared" si="1672"/>
        <v>1915</v>
      </c>
      <c r="AD1740" s="6">
        <v>3</v>
      </c>
      <c r="AE1740" t="s">
        <v>909</v>
      </c>
      <c r="AF1740" t="s">
        <v>739</v>
      </c>
      <c r="AG1740" t="s">
        <v>909</v>
      </c>
      <c r="AH1740" t="s">
        <v>917</v>
      </c>
      <c r="AI1740" t="s">
        <v>367</v>
      </c>
      <c r="AJ1740" t="str">
        <f t="shared" ref="AJ1740:AK1740" si="1706">IF($J1740&lt;&gt;"",$J1740,IF($AC1740=$AC1739,AJ1739,""))</f>
        <v/>
      </c>
      <c r="AK1740" t="str">
        <f t="shared" si="1706"/>
        <v/>
      </c>
      <c r="AL1740" t="str">
        <f t="shared" si="1677"/>
        <v/>
      </c>
      <c r="AN1740" t="s">
        <v>862</v>
      </c>
      <c r="AO1740" t="str">
        <f t="shared" si="1678"/>
        <v>a</v>
      </c>
      <c r="AP1740" t="str">
        <f t="shared" si="1686"/>
        <v/>
      </c>
      <c r="AQ1740" t="str">
        <f t="shared" si="1687"/>
        <v/>
      </c>
      <c r="AR1740" t="str">
        <f t="shared" si="1688"/>
        <v>Away</v>
      </c>
      <c r="AS1740" t="str">
        <f t="shared" si="1689"/>
        <v>a</v>
      </c>
      <c r="AT1740" t="str">
        <f t="shared" si="1690"/>
        <v>Offensive</v>
      </c>
      <c r="BA1740" s="6">
        <f t="shared" si="1679"/>
        <v>405</v>
      </c>
      <c r="BB1740">
        <f t="shared" si="1680"/>
        <v>18981</v>
      </c>
      <c r="BC1740" t="str">
        <f t="shared" si="1681"/>
        <v>Nelson</v>
      </c>
      <c r="BD1740" t="str">
        <f t="shared" si="1682"/>
        <v>Velodrome</v>
      </c>
      <c r="BE1740" t="s">
        <v>13</v>
      </c>
      <c r="BF1740" t="s">
        <v>756</v>
      </c>
      <c r="BG1740" t="s">
        <v>756</v>
      </c>
      <c r="BI1740" cm="1">
        <f t="array" aca="1" ref="BI1740" ca="1">IFERROR(_xlfn._xlws.FILTER(shifts!A:A,(shifts!B:B=events!AD1740)*(shifts!AG:AG&gt;=events!BK1740)*(shifts!AH:AH&lt;=events!BL1740)),BI1739)</f>
        <v>78</v>
      </c>
      <c r="BJ1740" s="15">
        <f t="shared" si="1683"/>
        <v>3</v>
      </c>
      <c r="BK1740">
        <f t="shared" si="1691"/>
        <v>986</v>
      </c>
      <c r="BL1740">
        <f t="shared" si="1692"/>
        <v>983</v>
      </c>
      <c r="BM1740" s="15">
        <f>SUMIFS(BJ$2:BJ1740,K$2:K1740,"=Intermission")+SUMIFS(BJ$2:BJ1740,K$2:K1740,"=Timeout")</f>
        <v>142</v>
      </c>
      <c r="BN1740">
        <f t="shared" si="1693"/>
        <v>2302</v>
      </c>
      <c r="BO1740" s="19">
        <f t="shared" si="1694"/>
        <v>2396</v>
      </c>
      <c r="BP1740">
        <f t="shared" si="1695"/>
        <v>2391</v>
      </c>
      <c r="BQ1740" s="17">
        <f t="shared" si="1696"/>
        <v>2399</v>
      </c>
      <c r="BR1740" t="str">
        <f t="shared" si="1697"/>
        <v>event_team_player_1</v>
      </c>
      <c r="BS1740">
        <f>COUNTIFS(S$3:S1740,"="&amp;S1740,AI$3:AI1740,"="&amp;AI1740)</f>
        <v>1</v>
      </c>
      <c r="BT1740" t="str">
        <f>IFERROR(VLOOKUP(BB1740&amp;BU1740&amp;X1740,game_rosters!U:W,3,FALSE),"")</f>
        <v>P100159</v>
      </c>
      <c r="BU1740" t="str">
        <f t="shared" si="1698"/>
        <v>Velodrome</v>
      </c>
    </row>
    <row r="1741" spans="1:73" x14ac:dyDescent="0.2">
      <c r="A1741">
        <f t="shared" si="1684"/>
        <v>1</v>
      </c>
      <c r="J1741" s="44" t="str">
        <f t="shared" si="1699"/>
        <v/>
      </c>
      <c r="K1741" t="s">
        <v>13</v>
      </c>
      <c r="L1741" t="s">
        <v>756</v>
      </c>
      <c r="M1741" t="s">
        <v>756</v>
      </c>
      <c r="S1741">
        <v>915</v>
      </c>
      <c r="W1741" t="str">
        <f t="shared" si="1675"/>
        <v>a</v>
      </c>
      <c r="X1741">
        <v>80</v>
      </c>
      <c r="Y1741" t="b">
        <f>IF(X1741&lt;&gt;"",VLOOKUP(X1741,game_rosters!$C$43:$E$64,3,FALSE))</f>
        <v>0</v>
      </c>
      <c r="Z1741" t="str" cm="1">
        <f t="array" ref="Z1741">IFERROR(IF(_xlfn._xlws.FILTER(game_rosters!$J:$J,(game_rosters!$G:$G=events!$AN1741)*(game_rosters!$J:$J=events!$X1741))&gt;0,1,""),"")</f>
        <v/>
      </c>
      <c r="AA1741">
        <f t="shared" si="1633"/>
        <v>1915</v>
      </c>
      <c r="AB1741" t="str">
        <f t="shared" si="1634"/>
        <v/>
      </c>
      <c r="AC1741">
        <f t="shared" si="1672"/>
        <v>1915</v>
      </c>
      <c r="AD1741" s="6">
        <v>3</v>
      </c>
      <c r="AE1741" t="s">
        <v>909</v>
      </c>
      <c r="AF1741" t="s">
        <v>739</v>
      </c>
      <c r="AG1741" t="s">
        <v>909</v>
      </c>
      <c r="AH1741" t="s">
        <v>917</v>
      </c>
      <c r="AI1741" t="s">
        <v>368</v>
      </c>
      <c r="AJ1741" t="str">
        <f t="shared" ref="AJ1741:AK1741" si="1707">IF($J1741&lt;&gt;"",$J1741,IF($AC1741=$AC1740,AJ1740,""))</f>
        <v/>
      </c>
      <c r="AK1741" t="str">
        <f t="shared" si="1707"/>
        <v/>
      </c>
      <c r="AL1741" t="str">
        <f t="shared" si="1677"/>
        <v/>
      </c>
      <c r="AN1741" t="s">
        <v>862</v>
      </c>
      <c r="AO1741" t="str">
        <f t="shared" si="1678"/>
        <v>a</v>
      </c>
      <c r="AP1741" t="str">
        <f t="shared" si="1686"/>
        <v/>
      </c>
      <c r="AQ1741" t="str">
        <f t="shared" si="1687"/>
        <v/>
      </c>
      <c r="AR1741" t="str">
        <f t="shared" si="1688"/>
        <v>Away</v>
      </c>
      <c r="AS1741" t="str">
        <f t="shared" si="1689"/>
        <v>a</v>
      </c>
      <c r="AT1741" t="str">
        <f t="shared" si="1690"/>
        <v>Defensive</v>
      </c>
      <c r="BA1741" s="6">
        <f t="shared" si="1679"/>
        <v>405</v>
      </c>
      <c r="BB1741">
        <f t="shared" si="1680"/>
        <v>18981</v>
      </c>
      <c r="BC1741" t="str">
        <f t="shared" si="1681"/>
        <v>Nelson</v>
      </c>
      <c r="BD1741" t="str">
        <f t="shared" si="1682"/>
        <v>Velodrome</v>
      </c>
      <c r="BE1741" t="s">
        <v>13</v>
      </c>
      <c r="BF1741" t="s">
        <v>756</v>
      </c>
      <c r="BG1741" t="s">
        <v>756</v>
      </c>
      <c r="BI1741" cm="1">
        <f t="array" aca="1" ref="BI1741" ca="1">IFERROR(_xlfn._xlws.FILTER(shifts!A:A,(shifts!B:B=events!AD1741)*(shifts!AG:AG&gt;=events!BK1741)*(shifts!AH:AH&lt;=events!BL1741)),BI1740)</f>
        <v>78</v>
      </c>
      <c r="BJ1741" s="15">
        <f t="shared" si="1683"/>
        <v>3</v>
      </c>
      <c r="BK1741">
        <f t="shared" si="1691"/>
        <v>986</v>
      </c>
      <c r="BL1741">
        <f t="shared" si="1692"/>
        <v>983</v>
      </c>
      <c r="BM1741" s="15">
        <f>SUMIFS(BJ$2:BJ1741,K$2:K1741,"=Intermission")+SUMIFS(BJ$2:BJ1741,K$2:K1741,"=Timeout")</f>
        <v>142</v>
      </c>
      <c r="BN1741">
        <f t="shared" si="1693"/>
        <v>2302</v>
      </c>
      <c r="BO1741" s="19">
        <f t="shared" si="1694"/>
        <v>2396</v>
      </c>
      <c r="BP1741">
        <f t="shared" si="1695"/>
        <v>2391</v>
      </c>
      <c r="BQ1741" s="17">
        <f t="shared" si="1696"/>
        <v>2399</v>
      </c>
      <c r="BR1741" t="str">
        <f t="shared" si="1697"/>
        <v>opp_team_player_1</v>
      </c>
      <c r="BS1741">
        <f>COUNTIFS(S$3:S1741,"="&amp;S1741,AI$3:AI1741,"="&amp;AI1741)</f>
        <v>1</v>
      </c>
      <c r="BT1741" t="str">
        <f>IFERROR(VLOOKUP(BB1741&amp;BU1741&amp;X1741,game_rosters!U:W,3,FALSE),"")</f>
        <v>P100197</v>
      </c>
      <c r="BU1741" t="str">
        <f t="shared" si="1698"/>
        <v>Nelson</v>
      </c>
    </row>
    <row r="1742" spans="1:73" x14ac:dyDescent="0.2">
      <c r="A1742">
        <f t="shared" si="1684"/>
        <v>1</v>
      </c>
      <c r="J1742" s="44" t="str">
        <f t="shared" si="1699"/>
        <v/>
      </c>
      <c r="K1742" t="s">
        <v>13</v>
      </c>
      <c r="L1742" t="s">
        <v>756</v>
      </c>
      <c r="M1742" t="s">
        <v>756</v>
      </c>
      <c r="S1742">
        <v>915</v>
      </c>
      <c r="W1742" t="str">
        <f t="shared" si="1675"/>
        <v>a</v>
      </c>
      <c r="X1742">
        <v>79</v>
      </c>
      <c r="Y1742" t="b">
        <f>IF(X1742&lt;&gt;"",VLOOKUP(X1742,game_rosters!$C$43:$E$64,3,FALSE))</f>
        <v>0</v>
      </c>
      <c r="Z1742" t="str" cm="1">
        <f t="array" ref="Z1742">IFERROR(IF(_xlfn._xlws.FILTER(game_rosters!$J:$J,(game_rosters!$G:$G=events!$AN1742)*(game_rosters!$J:$J=events!$X1742))&gt;0,1,""),"")</f>
        <v/>
      </c>
      <c r="AA1742">
        <f t="shared" si="1633"/>
        <v>1915</v>
      </c>
      <c r="AB1742" t="str">
        <f t="shared" si="1634"/>
        <v/>
      </c>
      <c r="AC1742">
        <f t="shared" si="1672"/>
        <v>1915</v>
      </c>
      <c r="AD1742" s="6">
        <v>3</v>
      </c>
      <c r="AE1742" t="s">
        <v>909</v>
      </c>
      <c r="AF1742" t="s">
        <v>739</v>
      </c>
      <c r="AG1742" t="s">
        <v>909</v>
      </c>
      <c r="AH1742" t="s">
        <v>917</v>
      </c>
      <c r="AI1742" t="s">
        <v>368</v>
      </c>
      <c r="AJ1742" t="str">
        <f t="shared" ref="AJ1742:AK1742" si="1708">IF($J1742&lt;&gt;"",$J1742,IF($AC1742=$AC1741,AJ1741,""))</f>
        <v/>
      </c>
      <c r="AK1742" t="str">
        <f t="shared" si="1708"/>
        <v/>
      </c>
      <c r="AL1742" t="str">
        <f t="shared" si="1677"/>
        <v/>
      </c>
      <c r="AN1742" t="s">
        <v>862</v>
      </c>
      <c r="AO1742" t="str">
        <f t="shared" si="1678"/>
        <v>a</v>
      </c>
      <c r="AP1742" t="str">
        <f t="shared" si="1686"/>
        <v/>
      </c>
      <c r="AQ1742" t="str">
        <f t="shared" si="1687"/>
        <v/>
      </c>
      <c r="AR1742" t="str">
        <f t="shared" si="1688"/>
        <v>Away</v>
      </c>
      <c r="AS1742" t="str">
        <f t="shared" si="1689"/>
        <v>a</v>
      </c>
      <c r="AT1742" t="str">
        <f t="shared" si="1690"/>
        <v>Defensive</v>
      </c>
      <c r="BA1742" s="6">
        <f t="shared" si="1679"/>
        <v>405</v>
      </c>
      <c r="BB1742">
        <f t="shared" si="1680"/>
        <v>18981</v>
      </c>
      <c r="BC1742" t="str">
        <f t="shared" si="1681"/>
        <v>Nelson</v>
      </c>
      <c r="BD1742" t="str">
        <f t="shared" si="1682"/>
        <v>Velodrome</v>
      </c>
      <c r="BE1742" t="s">
        <v>13</v>
      </c>
      <c r="BF1742" t="s">
        <v>756</v>
      </c>
      <c r="BG1742" t="s">
        <v>756</v>
      </c>
      <c r="BI1742" cm="1">
        <f t="array" aca="1" ref="BI1742" ca="1">IFERROR(_xlfn._xlws.FILTER(shifts!A:A,(shifts!B:B=events!AD1742)*(shifts!AG:AG&gt;=events!BK1742)*(shifts!AH:AH&lt;=events!BL1742)),BI1741)</f>
        <v>78</v>
      </c>
      <c r="BJ1742" s="15">
        <f t="shared" si="1683"/>
        <v>3</v>
      </c>
      <c r="BK1742">
        <f t="shared" si="1691"/>
        <v>986</v>
      </c>
      <c r="BL1742">
        <f t="shared" si="1692"/>
        <v>983</v>
      </c>
      <c r="BM1742" s="15">
        <f>SUMIFS(BJ$2:BJ1742,K$2:K1742,"=Intermission")+SUMIFS(BJ$2:BJ1742,K$2:K1742,"=Timeout")</f>
        <v>142</v>
      </c>
      <c r="BN1742">
        <f t="shared" si="1693"/>
        <v>2302</v>
      </c>
      <c r="BO1742" s="19">
        <f t="shared" si="1694"/>
        <v>2396</v>
      </c>
      <c r="BP1742">
        <f t="shared" si="1695"/>
        <v>2391</v>
      </c>
      <c r="BQ1742" s="17">
        <f t="shared" si="1696"/>
        <v>2399</v>
      </c>
      <c r="BR1742" t="str">
        <f t="shared" si="1697"/>
        <v>opp_team_player_2</v>
      </c>
      <c r="BS1742">
        <f>COUNTIFS(S$3:S1742,"="&amp;S1742,AI$3:AI1742,"="&amp;AI1742)</f>
        <v>2</v>
      </c>
      <c r="BT1742" t="str">
        <f>IFERROR(VLOOKUP(BB1742&amp;BU1742&amp;X1742,game_rosters!U:W,3,FALSE),"")</f>
        <v>P100066</v>
      </c>
      <c r="BU1742" t="str">
        <f t="shared" si="1698"/>
        <v>Nelson</v>
      </c>
    </row>
    <row r="1743" spans="1:73" x14ac:dyDescent="0.2">
      <c r="A1743">
        <f t="shared" si="1684"/>
        <v>1</v>
      </c>
      <c r="J1743" s="44" t="str">
        <f t="shared" si="1699"/>
        <v/>
      </c>
      <c r="K1743" t="s">
        <v>9</v>
      </c>
      <c r="L1743" t="s">
        <v>183</v>
      </c>
      <c r="M1743" t="s">
        <v>80</v>
      </c>
      <c r="S1743">
        <v>916</v>
      </c>
      <c r="W1743" t="str">
        <f t="shared" si="1675"/>
        <v>h</v>
      </c>
      <c r="X1743">
        <v>80</v>
      </c>
      <c r="Y1743" t="b">
        <f>IF(X1743&lt;&gt;"",VLOOKUP(X1743,game_rosters!$C$43:$E$64,3,FALSE))</f>
        <v>0</v>
      </c>
      <c r="Z1743" cm="1">
        <f t="array" ref="Z1743">IFERROR(IF(_xlfn._xlws.FILTER(game_rosters!$J:$J,(game_rosters!$G:$G=events!$AN1743)*(game_rosters!$J:$J=events!$X1743))&gt;0,1,""),"")</f>
        <v>1</v>
      </c>
      <c r="AA1743">
        <f t="shared" si="1633"/>
        <v>1916</v>
      </c>
      <c r="AB1743" t="str">
        <f t="shared" si="1634"/>
        <v/>
      </c>
      <c r="AC1743">
        <f t="shared" si="1672"/>
        <v>1916</v>
      </c>
      <c r="AD1743" s="6">
        <v>3</v>
      </c>
      <c r="AE1743" t="s">
        <v>909</v>
      </c>
      <c r="AF1743" t="s">
        <v>917</v>
      </c>
      <c r="AG1743" t="s">
        <v>756</v>
      </c>
      <c r="AH1743" t="s">
        <v>756</v>
      </c>
      <c r="AI1743" t="s">
        <v>367</v>
      </c>
      <c r="AJ1743" t="str">
        <f t="shared" ref="AJ1743:AK1743" si="1709">IF($J1743&lt;&gt;"",$J1743,IF($AC1743=$AC1742,AJ1742,""))</f>
        <v/>
      </c>
      <c r="AK1743" t="str">
        <f t="shared" si="1709"/>
        <v/>
      </c>
      <c r="AL1743" t="str">
        <f t="shared" si="1677"/>
        <v/>
      </c>
      <c r="AN1743" t="s">
        <v>861</v>
      </c>
      <c r="AO1743" t="str">
        <f t="shared" si="1678"/>
        <v>h</v>
      </c>
      <c r="AP1743" t="str">
        <f t="shared" si="1686"/>
        <v/>
      </c>
      <c r="AQ1743" t="str">
        <f t="shared" si="1687"/>
        <v/>
      </c>
      <c r="AR1743" t="str">
        <f t="shared" si="1688"/>
        <v>Home</v>
      </c>
      <c r="AS1743" t="str">
        <f t="shared" si="1689"/>
        <v>h</v>
      </c>
      <c r="AT1743" t="str">
        <f t="shared" si="1690"/>
        <v>Defensive</v>
      </c>
      <c r="BA1743" s="6">
        <f t="shared" si="1679"/>
        <v>405</v>
      </c>
      <c r="BB1743">
        <f t="shared" si="1680"/>
        <v>18981</v>
      </c>
      <c r="BC1743" t="str">
        <f t="shared" si="1681"/>
        <v>Nelson</v>
      </c>
      <c r="BD1743" t="str">
        <f t="shared" si="1682"/>
        <v>Velodrome</v>
      </c>
      <c r="BE1743" t="s">
        <v>9</v>
      </c>
      <c r="BF1743" t="s">
        <v>183</v>
      </c>
      <c r="BG1743" t="s">
        <v>80</v>
      </c>
      <c r="BI1743" cm="1">
        <f t="array" aca="1" ref="BI1743" ca="1">IFERROR(_xlfn._xlws.FILTER(shifts!A:A,(shifts!B:B=events!AD1743)*(shifts!AG:AG&gt;=events!BK1743)*(shifts!AH:AH&lt;=events!BL1743)),BI1742)</f>
        <v>78</v>
      </c>
      <c r="BJ1743" s="15">
        <f t="shared" si="1683"/>
        <v>0</v>
      </c>
      <c r="BK1743">
        <f t="shared" si="1691"/>
        <v>983</v>
      </c>
      <c r="BL1743">
        <f t="shared" si="1692"/>
        <v>983</v>
      </c>
      <c r="BM1743" s="15">
        <f>SUMIFS(BJ$2:BJ1743,K$2:K1743,"=Intermission")+SUMIFS(BJ$2:BJ1743,K$2:K1743,"=Timeout")</f>
        <v>142</v>
      </c>
      <c r="BN1743">
        <f t="shared" si="1693"/>
        <v>2302</v>
      </c>
      <c r="BO1743" s="19">
        <f t="shared" si="1694"/>
        <v>2399</v>
      </c>
      <c r="BP1743">
        <f t="shared" si="1695"/>
        <v>2394</v>
      </c>
      <c r="BQ1743" s="17">
        <f t="shared" si="1696"/>
        <v>2399</v>
      </c>
      <c r="BR1743" t="str">
        <f t="shared" si="1697"/>
        <v>event_team_player_1</v>
      </c>
      <c r="BS1743">
        <f>COUNTIFS(S$3:S1743,"="&amp;S1743,AI$3:AI1743,"="&amp;AI1743)</f>
        <v>1</v>
      </c>
      <c r="BT1743" t="str">
        <f>IFERROR(VLOOKUP(BB1743&amp;BU1743&amp;X1743,game_rosters!U:W,3,FALSE),"")</f>
        <v>P100197</v>
      </c>
      <c r="BU1743" t="str">
        <f t="shared" si="1698"/>
        <v>Nelson</v>
      </c>
    </row>
    <row r="1744" spans="1:73" x14ac:dyDescent="0.2">
      <c r="A1744">
        <f t="shared" si="1684"/>
        <v>1</v>
      </c>
      <c r="J1744" s="44" t="str">
        <f t="shared" si="1699"/>
        <v/>
      </c>
      <c r="K1744" t="s">
        <v>9</v>
      </c>
      <c r="L1744" t="s">
        <v>183</v>
      </c>
      <c r="M1744" t="s">
        <v>80</v>
      </c>
      <c r="S1744">
        <v>916</v>
      </c>
      <c r="W1744" t="str">
        <f t="shared" si="1675"/>
        <v>h</v>
      </c>
      <c r="X1744">
        <v>87</v>
      </c>
      <c r="Y1744" t="e">
        <f>IF(X1744&lt;&gt;"",VLOOKUP(X1744,game_rosters!$C$43:$E$64,3,FALSE))</f>
        <v>#N/A</v>
      </c>
      <c r="Z1744" t="str" cm="1">
        <f t="array" ref="Z1744">IFERROR(IF(_xlfn._xlws.FILTER(game_rosters!$J:$J,(game_rosters!$G:$G=events!$AN1744)*(game_rosters!$J:$J=events!$X1744))&gt;0,1,""),"")</f>
        <v/>
      </c>
      <c r="AA1744">
        <f t="shared" si="1633"/>
        <v>1916</v>
      </c>
      <c r="AB1744" t="str">
        <f t="shared" si="1634"/>
        <v/>
      </c>
      <c r="AC1744">
        <f t="shared" si="1672"/>
        <v>1916</v>
      </c>
      <c r="AD1744" s="6">
        <v>3</v>
      </c>
      <c r="AE1744" t="s">
        <v>909</v>
      </c>
      <c r="AF1744" t="s">
        <v>917</v>
      </c>
      <c r="AG1744" t="s">
        <v>756</v>
      </c>
      <c r="AH1744" t="s">
        <v>756</v>
      </c>
      <c r="AI1744" t="s">
        <v>368</v>
      </c>
      <c r="AJ1744" t="str">
        <f t="shared" ref="AJ1744:AK1744" si="1710">IF($J1744&lt;&gt;"",$J1744,IF($AC1744=$AC1743,AJ1743,""))</f>
        <v/>
      </c>
      <c r="AK1744" t="str">
        <f t="shared" si="1710"/>
        <v/>
      </c>
      <c r="AL1744" t="str">
        <f t="shared" si="1677"/>
        <v/>
      </c>
      <c r="AN1744" t="s">
        <v>861</v>
      </c>
      <c r="AO1744" t="str">
        <f t="shared" si="1678"/>
        <v>h</v>
      </c>
      <c r="AP1744" t="str">
        <f t="shared" si="1686"/>
        <v/>
      </c>
      <c r="AQ1744" t="str">
        <f t="shared" si="1687"/>
        <v/>
      </c>
      <c r="AR1744" t="str">
        <f t="shared" si="1688"/>
        <v>Home</v>
      </c>
      <c r="AS1744" t="str">
        <f t="shared" si="1689"/>
        <v>h</v>
      </c>
      <c r="AT1744" t="str">
        <f t="shared" si="1690"/>
        <v>Offensive</v>
      </c>
      <c r="BA1744" s="6">
        <f t="shared" si="1679"/>
        <v>405</v>
      </c>
      <c r="BB1744">
        <f t="shared" si="1680"/>
        <v>18981</v>
      </c>
      <c r="BC1744" t="str">
        <f t="shared" si="1681"/>
        <v>Nelson</v>
      </c>
      <c r="BD1744" t="str">
        <f t="shared" si="1682"/>
        <v>Velodrome</v>
      </c>
      <c r="BE1744" t="s">
        <v>9</v>
      </c>
      <c r="BF1744" t="s">
        <v>183</v>
      </c>
      <c r="BG1744" t="s">
        <v>80</v>
      </c>
      <c r="BI1744" cm="1">
        <f t="array" aca="1" ref="BI1744" ca="1">IFERROR(_xlfn._xlws.FILTER(shifts!A:A,(shifts!B:B=events!AD1744)*(shifts!AG:AG&gt;=events!BK1744)*(shifts!AH:AH&lt;=events!BL1744)),BI1743)</f>
        <v>78</v>
      </c>
      <c r="BJ1744" s="15">
        <f t="shared" si="1683"/>
        <v>0</v>
      </c>
      <c r="BK1744">
        <f t="shared" si="1691"/>
        <v>983</v>
      </c>
      <c r="BL1744">
        <f t="shared" si="1692"/>
        <v>983</v>
      </c>
      <c r="BM1744" s="15">
        <f>SUMIFS(BJ$2:BJ1744,K$2:K1744,"=Intermission")+SUMIFS(BJ$2:BJ1744,K$2:K1744,"=Timeout")</f>
        <v>142</v>
      </c>
      <c r="BN1744">
        <f t="shared" si="1693"/>
        <v>2302</v>
      </c>
      <c r="BO1744" s="19">
        <f t="shared" si="1694"/>
        <v>2399</v>
      </c>
      <c r="BP1744">
        <f t="shared" si="1695"/>
        <v>2394</v>
      </c>
      <c r="BQ1744" s="17">
        <f t="shared" si="1696"/>
        <v>2399</v>
      </c>
      <c r="BR1744" t="str">
        <f t="shared" si="1697"/>
        <v>opp_team_player_1</v>
      </c>
      <c r="BS1744">
        <f>COUNTIFS(S$3:S1744,"="&amp;S1744,AI$3:AI1744,"="&amp;AI1744)</f>
        <v>1</v>
      </c>
      <c r="BT1744" t="str">
        <f>IFERROR(VLOOKUP(BB1744&amp;BU1744&amp;X1744,game_rosters!U:W,3,FALSE),"")</f>
        <v>P100159</v>
      </c>
      <c r="BU1744" t="str">
        <f t="shared" si="1698"/>
        <v>Velodrome</v>
      </c>
    </row>
    <row r="1745" spans="1:73" x14ac:dyDescent="0.2">
      <c r="A1745">
        <f t="shared" si="1684"/>
        <v>1</v>
      </c>
      <c r="J1745" s="44" t="str">
        <f t="shared" si="1699"/>
        <v/>
      </c>
      <c r="K1745" t="s">
        <v>13</v>
      </c>
      <c r="L1745" t="s">
        <v>756</v>
      </c>
      <c r="M1745" t="s">
        <v>756</v>
      </c>
      <c r="S1745">
        <v>917</v>
      </c>
      <c r="W1745" t="str">
        <f t="shared" si="1675"/>
        <v>h</v>
      </c>
      <c r="X1745">
        <v>80</v>
      </c>
      <c r="Y1745" t="b">
        <f>IF(X1745&lt;&gt;"",VLOOKUP(X1745,game_rosters!$C$43:$E$64,3,FALSE))</f>
        <v>0</v>
      </c>
      <c r="Z1745" cm="1">
        <f t="array" ref="Z1745">IFERROR(IF(_xlfn._xlws.FILTER(game_rosters!$J:$J,(game_rosters!$G:$G=events!$AN1745)*(game_rosters!$J:$J=events!$X1745))&gt;0,1,""),"")</f>
        <v>1</v>
      </c>
      <c r="AA1745">
        <f t="shared" si="1633"/>
        <v>1917</v>
      </c>
      <c r="AB1745" t="str">
        <f t="shared" si="1634"/>
        <v/>
      </c>
      <c r="AC1745">
        <f t="shared" si="1672"/>
        <v>1917</v>
      </c>
      <c r="AD1745" s="6">
        <v>3</v>
      </c>
      <c r="AE1745" t="s">
        <v>909</v>
      </c>
      <c r="AF1745" t="s">
        <v>917</v>
      </c>
      <c r="AG1745" t="s">
        <v>909</v>
      </c>
      <c r="AH1745" t="s">
        <v>919</v>
      </c>
      <c r="AI1745" t="s">
        <v>367</v>
      </c>
      <c r="AJ1745" t="str">
        <f t="shared" ref="AJ1745:AK1745" si="1711">IF($J1745&lt;&gt;"",$J1745,IF($AC1745=$AC1744,AJ1744,""))</f>
        <v/>
      </c>
      <c r="AK1745" t="str">
        <f t="shared" si="1711"/>
        <v/>
      </c>
      <c r="AL1745" t="str">
        <f t="shared" si="1677"/>
        <v/>
      </c>
      <c r="AN1745" t="s">
        <v>861</v>
      </c>
      <c r="AO1745" t="str">
        <f t="shared" si="1678"/>
        <v>h</v>
      </c>
      <c r="AP1745" t="str">
        <f t="shared" si="1686"/>
        <v/>
      </c>
      <c r="AQ1745" t="str">
        <f t="shared" si="1687"/>
        <v/>
      </c>
      <c r="AR1745" t="str">
        <f t="shared" si="1688"/>
        <v>Home</v>
      </c>
      <c r="AS1745" t="str">
        <f t="shared" si="1689"/>
        <v>h</v>
      </c>
      <c r="AT1745" t="str">
        <f t="shared" si="1690"/>
        <v>Offensive</v>
      </c>
      <c r="BA1745" s="6">
        <f t="shared" si="1679"/>
        <v>405</v>
      </c>
      <c r="BB1745">
        <f t="shared" si="1680"/>
        <v>18981</v>
      </c>
      <c r="BC1745" t="str">
        <f t="shared" si="1681"/>
        <v>Nelson</v>
      </c>
      <c r="BD1745" t="str">
        <f t="shared" si="1682"/>
        <v>Velodrome</v>
      </c>
      <c r="BE1745" t="s">
        <v>13</v>
      </c>
      <c r="BF1745" t="s">
        <v>756</v>
      </c>
      <c r="BG1745" t="s">
        <v>756</v>
      </c>
      <c r="BI1745" cm="1">
        <f t="array" aca="1" ref="BI1745" ca="1">IFERROR(_xlfn._xlws.FILTER(shifts!A:A,(shifts!B:B=events!AD1745)*(shifts!AG:AG&gt;=events!BK1745)*(shifts!AH:AH&lt;=events!BL1745)),BI1744)</f>
        <v>78</v>
      </c>
      <c r="BJ1745" s="15">
        <f t="shared" si="1683"/>
        <v>3</v>
      </c>
      <c r="BK1745">
        <f t="shared" si="1691"/>
        <v>983</v>
      </c>
      <c r="BL1745">
        <f t="shared" si="1692"/>
        <v>980</v>
      </c>
      <c r="BM1745" s="15">
        <f>SUMIFS(BJ$2:BJ1745,K$2:K1745,"=Intermission")+SUMIFS(BJ$2:BJ1745,K$2:K1745,"=Timeout")</f>
        <v>142</v>
      </c>
      <c r="BN1745">
        <f t="shared" si="1693"/>
        <v>2302</v>
      </c>
      <c r="BO1745" s="19">
        <f t="shared" si="1694"/>
        <v>2399</v>
      </c>
      <c r="BP1745">
        <f t="shared" si="1695"/>
        <v>2394</v>
      </c>
      <c r="BQ1745" s="17">
        <f t="shared" si="1696"/>
        <v>2402</v>
      </c>
      <c r="BR1745" t="str">
        <f t="shared" si="1697"/>
        <v>event_team_player_1</v>
      </c>
      <c r="BS1745">
        <f>COUNTIFS(S$3:S1745,"="&amp;S1745,AI$3:AI1745,"="&amp;AI1745)</f>
        <v>1</v>
      </c>
      <c r="BT1745" t="str">
        <f>IFERROR(VLOOKUP(BB1745&amp;BU1745&amp;X1745,game_rosters!U:W,3,FALSE),"")</f>
        <v>P100197</v>
      </c>
      <c r="BU1745" t="str">
        <f t="shared" si="1698"/>
        <v>Nelson</v>
      </c>
    </row>
    <row r="1746" spans="1:73" x14ac:dyDescent="0.2">
      <c r="A1746">
        <f t="shared" si="1684"/>
        <v>1</v>
      </c>
      <c r="J1746" s="44" t="str">
        <f t="shared" si="1699"/>
        <v/>
      </c>
      <c r="K1746" t="s">
        <v>13</v>
      </c>
      <c r="L1746" t="s">
        <v>756</v>
      </c>
      <c r="M1746" t="s">
        <v>756</v>
      </c>
      <c r="S1746">
        <v>917</v>
      </c>
      <c r="W1746" t="str">
        <f t="shared" si="1675"/>
        <v>h</v>
      </c>
      <c r="X1746">
        <v>87</v>
      </c>
      <c r="Y1746" t="e">
        <f>IF(X1746&lt;&gt;"",VLOOKUP(X1746,game_rosters!$C$43:$E$64,3,FALSE))</f>
        <v>#N/A</v>
      </c>
      <c r="Z1746" t="str" cm="1">
        <f t="array" ref="Z1746">IFERROR(IF(_xlfn._xlws.FILTER(game_rosters!$J:$J,(game_rosters!$G:$G=events!$AN1746)*(game_rosters!$J:$J=events!$X1746))&gt;0,1,""),"")</f>
        <v/>
      </c>
      <c r="AA1746">
        <f t="shared" si="1633"/>
        <v>1917</v>
      </c>
      <c r="AB1746" t="str">
        <f t="shared" si="1634"/>
        <v/>
      </c>
      <c r="AC1746">
        <f t="shared" si="1672"/>
        <v>1917</v>
      </c>
      <c r="AD1746" s="6">
        <v>3</v>
      </c>
      <c r="AE1746" t="s">
        <v>909</v>
      </c>
      <c r="AF1746" t="s">
        <v>917</v>
      </c>
      <c r="AG1746" t="s">
        <v>909</v>
      </c>
      <c r="AH1746" t="s">
        <v>919</v>
      </c>
      <c r="AI1746" t="s">
        <v>368</v>
      </c>
      <c r="AJ1746" t="str">
        <f t="shared" ref="AJ1746:AK1746" si="1712">IF($J1746&lt;&gt;"",$J1746,IF($AC1746=$AC1745,AJ1745,""))</f>
        <v/>
      </c>
      <c r="AK1746" t="str">
        <f t="shared" si="1712"/>
        <v/>
      </c>
      <c r="AL1746" t="str">
        <f t="shared" si="1677"/>
        <v/>
      </c>
      <c r="AN1746" t="s">
        <v>861</v>
      </c>
      <c r="AO1746" t="str">
        <f t="shared" si="1678"/>
        <v>h</v>
      </c>
      <c r="AP1746" t="str">
        <f t="shared" si="1686"/>
        <v/>
      </c>
      <c r="AQ1746" t="str">
        <f t="shared" si="1687"/>
        <v/>
      </c>
      <c r="AR1746" t="str">
        <f t="shared" si="1688"/>
        <v>Home</v>
      </c>
      <c r="AS1746" t="str">
        <f t="shared" si="1689"/>
        <v>h</v>
      </c>
      <c r="AT1746" t="str">
        <f t="shared" si="1690"/>
        <v>Defensive</v>
      </c>
      <c r="BA1746" s="6">
        <f t="shared" si="1679"/>
        <v>405</v>
      </c>
      <c r="BB1746">
        <f t="shared" si="1680"/>
        <v>18981</v>
      </c>
      <c r="BC1746" t="str">
        <f t="shared" si="1681"/>
        <v>Nelson</v>
      </c>
      <c r="BD1746" t="str">
        <f t="shared" si="1682"/>
        <v>Velodrome</v>
      </c>
      <c r="BE1746" t="s">
        <v>13</v>
      </c>
      <c r="BF1746" t="s">
        <v>756</v>
      </c>
      <c r="BG1746" t="s">
        <v>756</v>
      </c>
      <c r="BI1746" cm="1">
        <f t="array" aca="1" ref="BI1746" ca="1">IFERROR(_xlfn._xlws.FILTER(shifts!A:A,(shifts!B:B=events!AD1746)*(shifts!AG:AG&gt;=events!BK1746)*(shifts!AH:AH&lt;=events!BL1746)),BI1745)</f>
        <v>78</v>
      </c>
      <c r="BJ1746" s="15">
        <f t="shared" si="1683"/>
        <v>3</v>
      </c>
      <c r="BK1746">
        <f t="shared" si="1691"/>
        <v>983</v>
      </c>
      <c r="BL1746">
        <f t="shared" si="1692"/>
        <v>980</v>
      </c>
      <c r="BM1746" s="15">
        <f>SUMIFS(BJ$2:BJ1746,K$2:K1746,"=Intermission")+SUMIFS(BJ$2:BJ1746,K$2:K1746,"=Timeout")</f>
        <v>142</v>
      </c>
      <c r="BN1746">
        <f t="shared" si="1693"/>
        <v>2302</v>
      </c>
      <c r="BO1746" s="19">
        <f t="shared" si="1694"/>
        <v>2399</v>
      </c>
      <c r="BP1746">
        <f t="shared" si="1695"/>
        <v>2394</v>
      </c>
      <c r="BQ1746" s="17">
        <f t="shared" si="1696"/>
        <v>2402</v>
      </c>
      <c r="BR1746" t="str">
        <f t="shared" si="1697"/>
        <v>opp_team_player_1</v>
      </c>
      <c r="BS1746">
        <f>COUNTIFS(S$3:S1746,"="&amp;S1746,AI$3:AI1746,"="&amp;AI1746)</f>
        <v>1</v>
      </c>
      <c r="BT1746" t="str">
        <f>IFERROR(VLOOKUP(BB1746&amp;BU1746&amp;X1746,game_rosters!U:W,3,FALSE),"")</f>
        <v>P100159</v>
      </c>
      <c r="BU1746" t="str">
        <f t="shared" si="1698"/>
        <v>Velodrome</v>
      </c>
    </row>
    <row r="1747" spans="1:73" x14ac:dyDescent="0.2">
      <c r="A1747">
        <f t="shared" si="1684"/>
        <v>1</v>
      </c>
      <c r="J1747" s="44" t="str">
        <f t="shared" si="1699"/>
        <v/>
      </c>
      <c r="K1747" t="s">
        <v>13</v>
      </c>
      <c r="L1747" t="s">
        <v>756</v>
      </c>
      <c r="M1747" t="s">
        <v>756</v>
      </c>
      <c r="S1747">
        <v>917</v>
      </c>
      <c r="W1747" t="str">
        <f t="shared" si="1675"/>
        <v>h</v>
      </c>
      <c r="X1747">
        <v>75</v>
      </c>
      <c r="Y1747" t="e">
        <f>IF(X1747&lt;&gt;"",VLOOKUP(X1747,game_rosters!$C$43:$E$64,3,FALSE))</f>
        <v>#N/A</v>
      </c>
      <c r="Z1747" t="str" cm="1">
        <f t="array" ref="Z1747">IFERROR(IF(_xlfn._xlws.FILTER(game_rosters!$J:$J,(game_rosters!$G:$G=events!$AN1747)*(game_rosters!$J:$J=events!$X1747))&gt;0,1,""),"")</f>
        <v/>
      </c>
      <c r="AA1747">
        <f t="shared" si="1633"/>
        <v>1917</v>
      </c>
      <c r="AB1747" t="str">
        <f t="shared" si="1634"/>
        <v/>
      </c>
      <c r="AC1747">
        <f t="shared" si="1672"/>
        <v>1917</v>
      </c>
      <c r="AD1747" s="6">
        <v>3</v>
      </c>
      <c r="AE1747" t="s">
        <v>909</v>
      </c>
      <c r="AF1747" t="s">
        <v>917</v>
      </c>
      <c r="AG1747" t="s">
        <v>909</v>
      </c>
      <c r="AH1747" t="s">
        <v>919</v>
      </c>
      <c r="AI1747" t="s">
        <v>368</v>
      </c>
      <c r="AJ1747" t="str">
        <f t="shared" ref="AJ1747:AK1747" si="1713">IF($J1747&lt;&gt;"",$J1747,IF($AC1747=$AC1746,AJ1746,""))</f>
        <v/>
      </c>
      <c r="AK1747" t="str">
        <f t="shared" si="1713"/>
        <v/>
      </c>
      <c r="AL1747" t="str">
        <f t="shared" si="1677"/>
        <v/>
      </c>
      <c r="AN1747" t="s">
        <v>861</v>
      </c>
      <c r="AO1747" t="str">
        <f t="shared" si="1678"/>
        <v>h</v>
      </c>
      <c r="AP1747" t="str">
        <f t="shared" si="1686"/>
        <v/>
      </c>
      <c r="AQ1747" t="str">
        <f t="shared" si="1687"/>
        <v/>
      </c>
      <c r="AR1747" t="str">
        <f t="shared" si="1688"/>
        <v>Home</v>
      </c>
      <c r="AS1747" t="str">
        <f t="shared" si="1689"/>
        <v>h</v>
      </c>
      <c r="AT1747" t="str">
        <f t="shared" si="1690"/>
        <v>Defensive</v>
      </c>
      <c r="BA1747" s="6">
        <f t="shared" si="1679"/>
        <v>405</v>
      </c>
      <c r="BB1747">
        <f t="shared" si="1680"/>
        <v>18981</v>
      </c>
      <c r="BC1747" t="str">
        <f t="shared" si="1681"/>
        <v>Nelson</v>
      </c>
      <c r="BD1747" t="str">
        <f t="shared" si="1682"/>
        <v>Velodrome</v>
      </c>
      <c r="BE1747" t="s">
        <v>13</v>
      </c>
      <c r="BF1747" t="s">
        <v>756</v>
      </c>
      <c r="BG1747" t="s">
        <v>756</v>
      </c>
      <c r="BI1747" cm="1">
        <f t="array" aca="1" ref="BI1747" ca="1">IFERROR(_xlfn._xlws.FILTER(shifts!A:A,(shifts!B:B=events!AD1747)*(shifts!AG:AG&gt;=events!BK1747)*(shifts!AH:AH&lt;=events!BL1747)),BI1746)</f>
        <v>78</v>
      </c>
      <c r="BJ1747" s="15">
        <f t="shared" si="1683"/>
        <v>3</v>
      </c>
      <c r="BK1747">
        <f t="shared" si="1691"/>
        <v>983</v>
      </c>
      <c r="BL1747">
        <f t="shared" si="1692"/>
        <v>980</v>
      </c>
      <c r="BM1747" s="15">
        <f>SUMIFS(BJ$2:BJ1747,K$2:K1747,"=Intermission")+SUMIFS(BJ$2:BJ1747,K$2:K1747,"=Timeout")</f>
        <v>142</v>
      </c>
      <c r="BN1747">
        <f t="shared" si="1693"/>
        <v>2302</v>
      </c>
      <c r="BO1747" s="19">
        <f t="shared" si="1694"/>
        <v>2399</v>
      </c>
      <c r="BP1747">
        <f t="shared" si="1695"/>
        <v>2394</v>
      </c>
      <c r="BQ1747" s="17">
        <f t="shared" si="1696"/>
        <v>2402</v>
      </c>
      <c r="BR1747" t="str">
        <f t="shared" si="1697"/>
        <v>opp_team_player_2</v>
      </c>
      <c r="BS1747">
        <f>COUNTIFS(S$3:S1747,"="&amp;S1747,AI$3:AI1747,"="&amp;AI1747)</f>
        <v>2</v>
      </c>
      <c r="BT1747" t="str">
        <f>IFERROR(VLOOKUP(BB1747&amp;BU1747&amp;X1747,game_rosters!U:W,3,FALSE),"")</f>
        <v>P100039</v>
      </c>
      <c r="BU1747" t="str">
        <f t="shared" si="1698"/>
        <v>Velodrome</v>
      </c>
    </row>
    <row r="1748" spans="1:73" x14ac:dyDescent="0.2">
      <c r="A1748">
        <f t="shared" si="1684"/>
        <v>1</v>
      </c>
      <c r="J1748" s="44" t="str">
        <f t="shared" si="1699"/>
        <v/>
      </c>
      <c r="K1748" t="s">
        <v>13</v>
      </c>
      <c r="L1748" t="s">
        <v>756</v>
      </c>
      <c r="M1748" t="s">
        <v>756</v>
      </c>
      <c r="S1748">
        <v>918</v>
      </c>
      <c r="W1748" t="str">
        <f t="shared" si="1675"/>
        <v>h</v>
      </c>
      <c r="X1748">
        <v>79</v>
      </c>
      <c r="Y1748" t="b">
        <f>IF(X1748&lt;&gt;"",VLOOKUP(X1748,game_rosters!$C$43:$E$64,3,FALSE))</f>
        <v>0</v>
      </c>
      <c r="Z1748" cm="1">
        <f t="array" ref="Z1748">IFERROR(IF(_xlfn._xlws.FILTER(game_rosters!$J:$J,(game_rosters!$G:$G=events!$AN1748)*(game_rosters!$J:$J=events!$X1748))&gt;0,1,""),"")</f>
        <v>1</v>
      </c>
      <c r="AA1748">
        <f t="shared" si="1633"/>
        <v>1918</v>
      </c>
      <c r="AB1748" t="str">
        <f t="shared" si="1634"/>
        <v/>
      </c>
      <c r="AC1748">
        <f t="shared" si="1672"/>
        <v>1918</v>
      </c>
      <c r="AD1748" s="6">
        <v>3</v>
      </c>
      <c r="AE1748" t="s">
        <v>909</v>
      </c>
      <c r="AF1748" t="s">
        <v>744</v>
      </c>
      <c r="AG1748" t="s">
        <v>909</v>
      </c>
      <c r="AH1748" t="s">
        <v>926</v>
      </c>
      <c r="AI1748" t="s">
        <v>367</v>
      </c>
      <c r="AJ1748" t="str">
        <f t="shared" ref="AJ1748:AK1748" si="1714">IF($J1748&lt;&gt;"",$J1748,IF($AC1748=$AC1747,AJ1747,""))</f>
        <v/>
      </c>
      <c r="AK1748" t="str">
        <f t="shared" si="1714"/>
        <v/>
      </c>
      <c r="AL1748" t="str">
        <f t="shared" si="1677"/>
        <v/>
      </c>
      <c r="AN1748" t="s">
        <v>861</v>
      </c>
      <c r="AO1748" t="str">
        <f t="shared" si="1678"/>
        <v>h</v>
      </c>
      <c r="AP1748" t="str">
        <f t="shared" si="1686"/>
        <v/>
      </c>
      <c r="AQ1748" t="str">
        <f t="shared" si="1687"/>
        <v/>
      </c>
      <c r="AR1748" t="str">
        <f t="shared" si="1688"/>
        <v>Home</v>
      </c>
      <c r="AS1748" t="str">
        <f t="shared" si="1689"/>
        <v>h</v>
      </c>
      <c r="AT1748" t="str">
        <f t="shared" si="1690"/>
        <v>Offensive</v>
      </c>
      <c r="BA1748" s="6">
        <f t="shared" si="1679"/>
        <v>405</v>
      </c>
      <c r="BB1748">
        <f t="shared" si="1680"/>
        <v>18981</v>
      </c>
      <c r="BC1748" t="str">
        <f t="shared" si="1681"/>
        <v>Nelson</v>
      </c>
      <c r="BD1748" t="str">
        <f t="shared" si="1682"/>
        <v>Velodrome</v>
      </c>
      <c r="BE1748" t="s">
        <v>13</v>
      </c>
      <c r="BF1748" t="s">
        <v>756</v>
      </c>
      <c r="BG1748" t="s">
        <v>756</v>
      </c>
      <c r="BI1748" cm="1">
        <f t="array" aca="1" ref="BI1748" ca="1">IFERROR(_xlfn._xlws.FILTER(shifts!A:A,(shifts!B:B=events!AD1748)*(shifts!AG:AG&gt;=events!BK1748)*(shifts!AH:AH&lt;=events!BL1748)),BI1747)</f>
        <v>79</v>
      </c>
      <c r="BJ1748" s="15">
        <f t="shared" si="1683"/>
        <v>2</v>
      </c>
      <c r="BK1748">
        <f t="shared" si="1691"/>
        <v>975</v>
      </c>
      <c r="BL1748">
        <f t="shared" si="1692"/>
        <v>973</v>
      </c>
      <c r="BM1748" s="15">
        <f>SUMIFS(BJ$2:BJ1748,K$2:K1748,"=Intermission")+SUMIFS(BJ$2:BJ1748,K$2:K1748,"=Timeout")</f>
        <v>142</v>
      </c>
      <c r="BN1748">
        <f t="shared" si="1693"/>
        <v>2302</v>
      </c>
      <c r="BO1748" s="19">
        <f t="shared" si="1694"/>
        <v>2407</v>
      </c>
      <c r="BP1748">
        <f t="shared" si="1695"/>
        <v>2402</v>
      </c>
      <c r="BQ1748" s="17">
        <f t="shared" si="1696"/>
        <v>2409</v>
      </c>
      <c r="BR1748" t="str">
        <f t="shared" si="1697"/>
        <v>event_team_player_1</v>
      </c>
      <c r="BS1748">
        <f>COUNTIFS(S$3:S1748,"="&amp;S1748,AI$3:AI1748,"="&amp;AI1748)</f>
        <v>1</v>
      </c>
      <c r="BT1748" t="str">
        <f>IFERROR(VLOOKUP(BB1748&amp;BU1748&amp;X1748,game_rosters!U:W,3,FALSE),"")</f>
        <v>P100066</v>
      </c>
      <c r="BU1748" t="str">
        <f t="shared" si="1698"/>
        <v>Nelson</v>
      </c>
    </row>
    <row r="1749" spans="1:73" x14ac:dyDescent="0.2">
      <c r="A1749">
        <f t="shared" si="1684"/>
        <v>1</v>
      </c>
      <c r="J1749" s="44" t="str">
        <f t="shared" si="1699"/>
        <v/>
      </c>
      <c r="K1749" t="s">
        <v>13</v>
      </c>
      <c r="L1749" t="s">
        <v>756</v>
      </c>
      <c r="M1749" t="s">
        <v>756</v>
      </c>
      <c r="S1749">
        <v>918</v>
      </c>
      <c r="W1749" t="str">
        <f t="shared" si="1675"/>
        <v>h</v>
      </c>
      <c r="X1749">
        <v>70</v>
      </c>
      <c r="Y1749" t="e">
        <f>IF(X1749&lt;&gt;"",VLOOKUP(X1749,game_rosters!$C$43:$E$64,3,FALSE))</f>
        <v>#N/A</v>
      </c>
      <c r="Z1749" t="str" cm="1">
        <f t="array" ref="Z1749">IFERROR(IF(_xlfn._xlws.FILTER(game_rosters!$J:$J,(game_rosters!$G:$G=events!$AN1749)*(game_rosters!$J:$J=events!$X1749))&gt;0,1,""),"")</f>
        <v/>
      </c>
      <c r="AA1749">
        <f t="shared" si="1633"/>
        <v>1918</v>
      </c>
      <c r="AB1749" t="str">
        <f t="shared" si="1634"/>
        <v/>
      </c>
      <c r="AC1749">
        <f t="shared" si="1672"/>
        <v>1918</v>
      </c>
      <c r="AD1749" s="6">
        <v>3</v>
      </c>
      <c r="AE1749" t="s">
        <v>909</v>
      </c>
      <c r="AF1749" t="s">
        <v>744</v>
      </c>
      <c r="AG1749" t="s">
        <v>909</v>
      </c>
      <c r="AH1749" t="s">
        <v>926</v>
      </c>
      <c r="AI1749" t="s">
        <v>368</v>
      </c>
      <c r="AJ1749" t="str">
        <f t="shared" ref="AJ1749:AK1749" si="1715">IF($J1749&lt;&gt;"",$J1749,IF($AC1749=$AC1748,AJ1748,""))</f>
        <v/>
      </c>
      <c r="AK1749" t="str">
        <f t="shared" si="1715"/>
        <v/>
      </c>
      <c r="AL1749" t="str">
        <f t="shared" si="1677"/>
        <v/>
      </c>
      <c r="AN1749" t="s">
        <v>861</v>
      </c>
      <c r="AO1749" t="str">
        <f t="shared" si="1678"/>
        <v>h</v>
      </c>
      <c r="AP1749" t="str">
        <f t="shared" si="1686"/>
        <v/>
      </c>
      <c r="AQ1749" t="str">
        <f t="shared" si="1687"/>
        <v/>
      </c>
      <c r="AR1749" t="str">
        <f t="shared" si="1688"/>
        <v>Home</v>
      </c>
      <c r="AS1749" t="str">
        <f t="shared" si="1689"/>
        <v>h</v>
      </c>
      <c r="AT1749" t="str">
        <f t="shared" si="1690"/>
        <v>Defensive</v>
      </c>
      <c r="BA1749" s="6">
        <f t="shared" si="1679"/>
        <v>405</v>
      </c>
      <c r="BB1749">
        <f t="shared" si="1680"/>
        <v>18981</v>
      </c>
      <c r="BC1749" t="str">
        <f t="shared" si="1681"/>
        <v>Nelson</v>
      </c>
      <c r="BD1749" t="str">
        <f t="shared" si="1682"/>
        <v>Velodrome</v>
      </c>
      <c r="BE1749" t="s">
        <v>13</v>
      </c>
      <c r="BF1749" t="s">
        <v>756</v>
      </c>
      <c r="BG1749" t="s">
        <v>756</v>
      </c>
      <c r="BI1749" cm="1">
        <f t="array" aca="1" ref="BI1749" ca="1">IFERROR(_xlfn._xlws.FILTER(shifts!A:A,(shifts!B:B=events!AD1749)*(shifts!AG:AG&gt;=events!BK1749)*(shifts!AH:AH&lt;=events!BL1749)),BI1748)</f>
        <v>79</v>
      </c>
      <c r="BJ1749" s="15">
        <f t="shared" si="1683"/>
        <v>2</v>
      </c>
      <c r="BK1749">
        <f t="shared" si="1691"/>
        <v>975</v>
      </c>
      <c r="BL1749">
        <f t="shared" si="1692"/>
        <v>973</v>
      </c>
      <c r="BM1749" s="15">
        <f>SUMIFS(BJ$2:BJ1749,K$2:K1749,"=Intermission")+SUMIFS(BJ$2:BJ1749,K$2:K1749,"=Timeout")</f>
        <v>142</v>
      </c>
      <c r="BN1749">
        <f t="shared" si="1693"/>
        <v>2302</v>
      </c>
      <c r="BO1749" s="19">
        <f t="shared" si="1694"/>
        <v>2407</v>
      </c>
      <c r="BP1749">
        <f t="shared" si="1695"/>
        <v>2402</v>
      </c>
      <c r="BQ1749" s="17">
        <f t="shared" si="1696"/>
        <v>2409</v>
      </c>
      <c r="BR1749" t="str">
        <f t="shared" si="1697"/>
        <v>opp_team_player_1</v>
      </c>
      <c r="BS1749">
        <f>COUNTIFS(S$3:S1749,"="&amp;S1749,AI$3:AI1749,"="&amp;AI1749)</f>
        <v>1</v>
      </c>
      <c r="BT1749" t="str">
        <f>IFERROR(VLOOKUP(BB1749&amp;BU1749&amp;X1749,game_rosters!U:W,3,FALSE),"")</f>
        <v>P100001</v>
      </c>
      <c r="BU1749" t="str">
        <f t="shared" si="1698"/>
        <v>Velodrome</v>
      </c>
    </row>
    <row r="1750" spans="1:73" x14ac:dyDescent="0.2">
      <c r="A1750">
        <f t="shared" si="1684"/>
        <v>1</v>
      </c>
      <c r="J1750" s="44" t="str">
        <f t="shared" si="1699"/>
        <v/>
      </c>
      <c r="K1750" t="s">
        <v>9</v>
      </c>
      <c r="L1750" t="s">
        <v>183</v>
      </c>
      <c r="M1750" t="s">
        <v>80</v>
      </c>
      <c r="S1750">
        <v>919</v>
      </c>
      <c r="W1750" t="str">
        <f t="shared" si="1675"/>
        <v>a</v>
      </c>
      <c r="X1750">
        <v>70</v>
      </c>
      <c r="Y1750" t="e">
        <f>IF(X1750&lt;&gt;"",VLOOKUP(X1750,game_rosters!$C$43:$E$64,3,FALSE))</f>
        <v>#N/A</v>
      </c>
      <c r="Z1750" cm="1">
        <f t="array" ref="Z1750">IFERROR(IF(_xlfn._xlws.FILTER(game_rosters!$J:$J,(game_rosters!$G:$G=events!$AN1750)*(game_rosters!$J:$J=events!$X1750))&gt;0,1,""),"")</f>
        <v>1</v>
      </c>
      <c r="AA1750">
        <f t="shared" si="1633"/>
        <v>1919</v>
      </c>
      <c r="AB1750" t="str">
        <f t="shared" si="1634"/>
        <v/>
      </c>
      <c r="AC1750">
        <f t="shared" si="1672"/>
        <v>1919</v>
      </c>
      <c r="AD1750" s="6">
        <v>3</v>
      </c>
      <c r="AE1750" t="s">
        <v>909</v>
      </c>
      <c r="AF1750" t="s">
        <v>926</v>
      </c>
      <c r="AG1750" t="s">
        <v>756</v>
      </c>
      <c r="AH1750" t="s">
        <v>756</v>
      </c>
      <c r="AI1750" t="s">
        <v>367</v>
      </c>
      <c r="AJ1750" t="str">
        <f t="shared" ref="AJ1750:AK1750" si="1716">IF($J1750&lt;&gt;"",$J1750,IF($AC1750=$AC1749,AJ1749,""))</f>
        <v/>
      </c>
      <c r="AK1750" t="str">
        <f t="shared" si="1716"/>
        <v/>
      </c>
      <c r="AL1750" t="str">
        <f t="shared" si="1677"/>
        <v/>
      </c>
      <c r="AN1750" t="s">
        <v>862</v>
      </c>
      <c r="AO1750" t="str">
        <f t="shared" si="1678"/>
        <v>a</v>
      </c>
      <c r="AP1750" t="str">
        <f t="shared" si="1686"/>
        <v/>
      </c>
      <c r="AQ1750" t="str">
        <f t="shared" si="1687"/>
        <v/>
      </c>
      <c r="AR1750" t="str">
        <f t="shared" si="1688"/>
        <v>Away</v>
      </c>
      <c r="AS1750" t="str">
        <f t="shared" si="1689"/>
        <v>a</v>
      </c>
      <c r="AT1750" t="str">
        <f t="shared" si="1690"/>
        <v>Defensive</v>
      </c>
      <c r="BA1750" s="6">
        <f t="shared" si="1679"/>
        <v>405</v>
      </c>
      <c r="BB1750">
        <f t="shared" si="1680"/>
        <v>18981</v>
      </c>
      <c r="BC1750" t="str">
        <f t="shared" si="1681"/>
        <v>Nelson</v>
      </c>
      <c r="BD1750" t="str">
        <f t="shared" si="1682"/>
        <v>Velodrome</v>
      </c>
      <c r="BE1750" t="s">
        <v>9</v>
      </c>
      <c r="BF1750" t="s">
        <v>183</v>
      </c>
      <c r="BG1750" t="s">
        <v>80</v>
      </c>
      <c r="BI1750" cm="1">
        <f t="array" aca="1" ref="BI1750" ca="1">IFERROR(_xlfn._xlws.FILTER(shifts!A:A,(shifts!B:B=events!AD1750)*(shifts!AG:AG&gt;=events!BK1750)*(shifts!AH:AH&lt;=events!BL1750)),BI1749)</f>
        <v>79</v>
      </c>
      <c r="BJ1750" s="15">
        <f t="shared" si="1683"/>
        <v>0</v>
      </c>
      <c r="BK1750">
        <f t="shared" si="1691"/>
        <v>973</v>
      </c>
      <c r="BL1750">
        <f t="shared" si="1692"/>
        <v>973</v>
      </c>
      <c r="BM1750" s="15">
        <f>SUMIFS(BJ$2:BJ1750,K$2:K1750,"=Intermission")+SUMIFS(BJ$2:BJ1750,K$2:K1750,"=Timeout")</f>
        <v>142</v>
      </c>
      <c r="BN1750">
        <f t="shared" si="1693"/>
        <v>2302</v>
      </c>
      <c r="BO1750" s="19">
        <f t="shared" si="1694"/>
        <v>2409</v>
      </c>
      <c r="BP1750">
        <f t="shared" si="1695"/>
        <v>2404</v>
      </c>
      <c r="BQ1750" s="17">
        <f t="shared" si="1696"/>
        <v>2409</v>
      </c>
      <c r="BR1750" t="str">
        <f t="shared" si="1697"/>
        <v>event_team_player_1</v>
      </c>
      <c r="BS1750">
        <f>COUNTIFS(S$3:S1750,"="&amp;S1750,AI$3:AI1750,"="&amp;AI1750)</f>
        <v>1</v>
      </c>
      <c r="BT1750" t="str">
        <f>IFERROR(VLOOKUP(BB1750&amp;BU1750&amp;X1750,game_rosters!U:W,3,FALSE),"")</f>
        <v>P100001</v>
      </c>
      <c r="BU1750" t="str">
        <f t="shared" si="1698"/>
        <v>Velodrome</v>
      </c>
    </row>
    <row r="1751" spans="1:73" x14ac:dyDescent="0.2">
      <c r="A1751">
        <f t="shared" si="1684"/>
        <v>1</v>
      </c>
      <c r="J1751" s="44" t="str">
        <f t="shared" si="1699"/>
        <v/>
      </c>
      <c r="K1751" t="s">
        <v>9</v>
      </c>
      <c r="L1751" t="s">
        <v>183</v>
      </c>
      <c r="M1751" t="s">
        <v>80</v>
      </c>
      <c r="S1751">
        <v>919</v>
      </c>
      <c r="W1751" t="str">
        <f t="shared" si="1675"/>
        <v>a</v>
      </c>
      <c r="X1751">
        <v>79</v>
      </c>
      <c r="Y1751" t="b">
        <f>IF(X1751&lt;&gt;"",VLOOKUP(X1751,game_rosters!$C$43:$E$64,3,FALSE))</f>
        <v>0</v>
      </c>
      <c r="Z1751" t="str" cm="1">
        <f t="array" ref="Z1751">IFERROR(IF(_xlfn._xlws.FILTER(game_rosters!$J:$J,(game_rosters!$G:$G=events!$AN1751)*(game_rosters!$J:$J=events!$X1751))&gt;0,1,""),"")</f>
        <v/>
      </c>
      <c r="AA1751">
        <f t="shared" si="1633"/>
        <v>1919</v>
      </c>
      <c r="AB1751" t="str">
        <f t="shared" si="1634"/>
        <v/>
      </c>
      <c r="AC1751">
        <f t="shared" si="1672"/>
        <v>1919</v>
      </c>
      <c r="AD1751" s="6">
        <v>3</v>
      </c>
      <c r="AE1751" t="s">
        <v>909</v>
      </c>
      <c r="AF1751" t="s">
        <v>926</v>
      </c>
      <c r="AG1751" t="s">
        <v>756</v>
      </c>
      <c r="AH1751" t="s">
        <v>756</v>
      </c>
      <c r="AI1751" t="s">
        <v>368</v>
      </c>
      <c r="AJ1751" t="str">
        <f t="shared" ref="AJ1751:AK1751" si="1717">IF($J1751&lt;&gt;"",$J1751,IF($AC1751=$AC1750,AJ1750,""))</f>
        <v/>
      </c>
      <c r="AK1751" t="str">
        <f t="shared" si="1717"/>
        <v/>
      </c>
      <c r="AL1751" t="str">
        <f t="shared" si="1677"/>
        <v/>
      </c>
      <c r="AN1751" t="s">
        <v>862</v>
      </c>
      <c r="AO1751" t="str">
        <f t="shared" si="1678"/>
        <v>a</v>
      </c>
      <c r="AP1751" t="str">
        <f t="shared" si="1686"/>
        <v/>
      </c>
      <c r="AQ1751" t="str">
        <f t="shared" si="1687"/>
        <v/>
      </c>
      <c r="AR1751" t="str">
        <f t="shared" si="1688"/>
        <v>Away</v>
      </c>
      <c r="AS1751" t="str">
        <f t="shared" si="1689"/>
        <v>a</v>
      </c>
      <c r="AT1751" t="str">
        <f t="shared" si="1690"/>
        <v>Offensive</v>
      </c>
      <c r="BA1751" s="6">
        <f t="shared" si="1679"/>
        <v>405</v>
      </c>
      <c r="BB1751">
        <f t="shared" si="1680"/>
        <v>18981</v>
      </c>
      <c r="BC1751" t="str">
        <f t="shared" si="1681"/>
        <v>Nelson</v>
      </c>
      <c r="BD1751" t="str">
        <f t="shared" si="1682"/>
        <v>Velodrome</v>
      </c>
      <c r="BE1751" t="s">
        <v>9</v>
      </c>
      <c r="BF1751" t="s">
        <v>183</v>
      </c>
      <c r="BG1751" t="s">
        <v>80</v>
      </c>
      <c r="BI1751" cm="1">
        <f t="array" aca="1" ref="BI1751" ca="1">IFERROR(_xlfn._xlws.FILTER(shifts!A:A,(shifts!B:B=events!AD1751)*(shifts!AG:AG&gt;=events!BK1751)*(shifts!AH:AH&lt;=events!BL1751)),BI1750)</f>
        <v>79</v>
      </c>
      <c r="BJ1751" s="15">
        <f t="shared" si="1683"/>
        <v>0</v>
      </c>
      <c r="BK1751">
        <f t="shared" si="1691"/>
        <v>973</v>
      </c>
      <c r="BL1751">
        <f t="shared" si="1692"/>
        <v>973</v>
      </c>
      <c r="BM1751" s="15">
        <f>SUMIFS(BJ$2:BJ1751,K$2:K1751,"=Intermission")+SUMIFS(BJ$2:BJ1751,K$2:K1751,"=Timeout")</f>
        <v>142</v>
      </c>
      <c r="BN1751">
        <f t="shared" si="1693"/>
        <v>2302</v>
      </c>
      <c r="BO1751" s="19">
        <f t="shared" si="1694"/>
        <v>2409</v>
      </c>
      <c r="BP1751">
        <f t="shared" si="1695"/>
        <v>2404</v>
      </c>
      <c r="BQ1751" s="17">
        <f t="shared" si="1696"/>
        <v>2409</v>
      </c>
      <c r="BR1751" t="str">
        <f t="shared" si="1697"/>
        <v>opp_team_player_1</v>
      </c>
      <c r="BS1751">
        <f>COUNTIFS(S$3:S1751,"="&amp;S1751,AI$3:AI1751,"="&amp;AI1751)</f>
        <v>1</v>
      </c>
      <c r="BT1751" t="str">
        <f>IFERROR(VLOOKUP(BB1751&amp;BU1751&amp;X1751,game_rosters!U:W,3,FALSE),"")</f>
        <v>P100066</v>
      </c>
      <c r="BU1751" t="str">
        <f t="shared" si="1698"/>
        <v>Nelson</v>
      </c>
    </row>
    <row r="1752" spans="1:73" x14ac:dyDescent="0.2">
      <c r="A1752">
        <f t="shared" si="1684"/>
        <v>1</v>
      </c>
      <c r="J1752" s="44" t="str">
        <f t="shared" si="1699"/>
        <v/>
      </c>
      <c r="K1752" t="s">
        <v>7</v>
      </c>
      <c r="L1752" t="s">
        <v>172</v>
      </c>
      <c r="M1752" t="s">
        <v>68</v>
      </c>
      <c r="S1752">
        <v>920</v>
      </c>
      <c r="W1752" t="str">
        <f t="shared" si="1675"/>
        <v>a</v>
      </c>
      <c r="X1752">
        <v>70</v>
      </c>
      <c r="Y1752" t="e">
        <f>IF(X1752&lt;&gt;"",VLOOKUP(X1752,game_rosters!$C$43:$E$64,3,FALSE))</f>
        <v>#N/A</v>
      </c>
      <c r="Z1752" cm="1">
        <f t="array" ref="Z1752">IFERROR(IF(_xlfn._xlws.FILTER(game_rosters!$J:$J,(game_rosters!$G:$G=events!$AN1752)*(game_rosters!$J:$J=events!$X1752))&gt;0,1,""),"")</f>
        <v>1</v>
      </c>
      <c r="AA1752">
        <f t="shared" si="1633"/>
        <v>1920</v>
      </c>
      <c r="AB1752" t="str">
        <f t="shared" si="1634"/>
        <v/>
      </c>
      <c r="AC1752">
        <f t="shared" si="1672"/>
        <v>1920</v>
      </c>
      <c r="AD1752" s="6">
        <v>3</v>
      </c>
      <c r="AE1752" t="s">
        <v>909</v>
      </c>
      <c r="AF1752" t="s">
        <v>920</v>
      </c>
      <c r="AG1752" t="s">
        <v>756</v>
      </c>
      <c r="AH1752" t="s">
        <v>756</v>
      </c>
      <c r="AI1752" t="s">
        <v>367</v>
      </c>
      <c r="AJ1752" t="str">
        <f t="shared" ref="AJ1752:AK1752" si="1718">IF($J1752&lt;&gt;"",$J1752,IF($AC1752=$AC1751,AJ1751,""))</f>
        <v/>
      </c>
      <c r="AK1752" t="str">
        <f t="shared" si="1718"/>
        <v/>
      </c>
      <c r="AL1752" t="str">
        <f t="shared" si="1677"/>
        <v/>
      </c>
      <c r="AN1752" t="s">
        <v>862</v>
      </c>
      <c r="AO1752" t="str">
        <f t="shared" si="1678"/>
        <v>a</v>
      </c>
      <c r="AP1752" t="str">
        <f t="shared" si="1686"/>
        <v/>
      </c>
      <c r="AQ1752" t="str">
        <f t="shared" si="1687"/>
        <v/>
      </c>
      <c r="AR1752" t="str">
        <f t="shared" si="1688"/>
        <v>Away</v>
      </c>
      <c r="AS1752" t="str">
        <f t="shared" si="1689"/>
        <v>a</v>
      </c>
      <c r="AT1752" t="str">
        <f t="shared" si="1690"/>
        <v>Offensive</v>
      </c>
      <c r="BA1752" s="6">
        <f t="shared" si="1679"/>
        <v>405</v>
      </c>
      <c r="BB1752">
        <f t="shared" si="1680"/>
        <v>18981</v>
      </c>
      <c r="BC1752" t="str">
        <f t="shared" si="1681"/>
        <v>Nelson</v>
      </c>
      <c r="BD1752" t="str">
        <f t="shared" si="1682"/>
        <v>Velodrome</v>
      </c>
      <c r="BE1752" t="s">
        <v>7</v>
      </c>
      <c r="BF1752" t="s">
        <v>172</v>
      </c>
      <c r="BG1752" t="s">
        <v>68</v>
      </c>
      <c r="BI1752" cm="1">
        <f t="array" aca="1" ref="BI1752" ca="1">IFERROR(_xlfn._xlws.FILTER(shifts!A:A,(shifts!B:B=events!AD1752)*(shifts!AG:AG&gt;=events!BK1752)*(shifts!AH:AH&lt;=events!BL1752)),BI1751)</f>
        <v>79</v>
      </c>
      <c r="BJ1752" s="15">
        <f t="shared" si="1683"/>
        <v>0</v>
      </c>
      <c r="BK1752">
        <f t="shared" si="1691"/>
        <v>969</v>
      </c>
      <c r="BL1752">
        <f t="shared" si="1692"/>
        <v>969</v>
      </c>
      <c r="BM1752" s="15">
        <f>SUMIFS(BJ$2:BJ1752,K$2:K1752,"=Intermission")+SUMIFS(BJ$2:BJ1752,K$2:K1752,"=Timeout")</f>
        <v>142</v>
      </c>
      <c r="BN1752">
        <f t="shared" si="1693"/>
        <v>2302</v>
      </c>
      <c r="BO1752" s="19">
        <f t="shared" si="1694"/>
        <v>2413</v>
      </c>
      <c r="BP1752">
        <f t="shared" si="1695"/>
        <v>2408</v>
      </c>
      <c r="BQ1752" s="17">
        <f t="shared" si="1696"/>
        <v>2413</v>
      </c>
      <c r="BR1752" t="str">
        <f t="shared" si="1697"/>
        <v>event_team_player_1</v>
      </c>
      <c r="BS1752">
        <f>COUNTIFS(S$3:S1752,"="&amp;S1752,AI$3:AI1752,"="&amp;AI1752)</f>
        <v>1</v>
      </c>
      <c r="BT1752" t="str">
        <f>IFERROR(VLOOKUP(BB1752&amp;BU1752&amp;X1752,game_rosters!U:W,3,FALSE),"")</f>
        <v>P100001</v>
      </c>
      <c r="BU1752" t="str">
        <f t="shared" si="1698"/>
        <v>Velodrome</v>
      </c>
    </row>
    <row r="1753" spans="1:73" x14ac:dyDescent="0.2">
      <c r="A1753">
        <f t="shared" si="1684"/>
        <v>1</v>
      </c>
      <c r="J1753" s="44" t="str">
        <f t="shared" si="1699"/>
        <v/>
      </c>
      <c r="K1753" t="s">
        <v>7</v>
      </c>
      <c r="L1753" t="s">
        <v>172</v>
      </c>
      <c r="M1753" t="s">
        <v>68</v>
      </c>
      <c r="S1753">
        <v>920</v>
      </c>
      <c r="W1753" t="str">
        <f t="shared" si="1675"/>
        <v>a</v>
      </c>
      <c r="X1753">
        <v>52</v>
      </c>
      <c r="Y1753" t="e">
        <f>IF(X1753&lt;&gt;"",VLOOKUP(X1753,game_rosters!$C$43:$E$64,3,FALSE))</f>
        <v>#N/A</v>
      </c>
      <c r="Z1753" cm="1">
        <f t="array" ref="Z1753">IFERROR(IF(_xlfn._xlws.FILTER(game_rosters!$J:$J,(game_rosters!$G:$G=events!$AN1753)*(game_rosters!$J:$J=events!$X1753))&gt;0,1,""),"")</f>
        <v>1</v>
      </c>
      <c r="AA1753">
        <f t="shared" si="1633"/>
        <v>1920</v>
      </c>
      <c r="AB1753" t="str">
        <f t="shared" si="1634"/>
        <v/>
      </c>
      <c r="AC1753">
        <f t="shared" si="1672"/>
        <v>1920</v>
      </c>
      <c r="AD1753" s="6">
        <v>3</v>
      </c>
      <c r="AE1753" t="s">
        <v>909</v>
      </c>
      <c r="AF1753" t="s">
        <v>920</v>
      </c>
      <c r="AG1753" t="s">
        <v>756</v>
      </c>
      <c r="AH1753" t="s">
        <v>756</v>
      </c>
      <c r="AI1753" t="s">
        <v>367</v>
      </c>
      <c r="AJ1753" t="str">
        <f t="shared" ref="AJ1753:AK1753" si="1719">IF($J1753&lt;&gt;"",$J1753,IF($AC1753=$AC1752,AJ1752,""))</f>
        <v/>
      </c>
      <c r="AK1753" t="str">
        <f t="shared" si="1719"/>
        <v/>
      </c>
      <c r="AL1753" t="str">
        <f t="shared" si="1677"/>
        <v/>
      </c>
      <c r="AN1753" t="s">
        <v>862</v>
      </c>
      <c r="AO1753" t="str">
        <f t="shared" si="1678"/>
        <v>a</v>
      </c>
      <c r="AP1753" t="str">
        <f t="shared" si="1686"/>
        <v/>
      </c>
      <c r="AQ1753" t="str">
        <f t="shared" si="1687"/>
        <v/>
      </c>
      <c r="AR1753" t="str">
        <f t="shared" si="1688"/>
        <v>Away</v>
      </c>
      <c r="AS1753" t="str">
        <f t="shared" si="1689"/>
        <v>a</v>
      </c>
      <c r="AT1753" t="str">
        <f t="shared" si="1690"/>
        <v>Offensive</v>
      </c>
      <c r="BA1753" s="6">
        <f t="shared" si="1679"/>
        <v>405</v>
      </c>
      <c r="BB1753">
        <f t="shared" si="1680"/>
        <v>18981</v>
      </c>
      <c r="BC1753" t="str">
        <f t="shared" si="1681"/>
        <v>Nelson</v>
      </c>
      <c r="BD1753" t="str">
        <f t="shared" si="1682"/>
        <v>Velodrome</v>
      </c>
      <c r="BE1753" t="s">
        <v>7</v>
      </c>
      <c r="BF1753" t="s">
        <v>172</v>
      </c>
      <c r="BG1753" t="s">
        <v>68</v>
      </c>
      <c r="BI1753" cm="1">
        <f t="array" aca="1" ref="BI1753" ca="1">IFERROR(_xlfn._xlws.FILTER(shifts!A:A,(shifts!B:B=events!AD1753)*(shifts!AG:AG&gt;=events!BK1753)*(shifts!AH:AH&lt;=events!BL1753)),BI1752)</f>
        <v>79</v>
      </c>
      <c r="BJ1753" s="15">
        <f t="shared" si="1683"/>
        <v>0</v>
      </c>
      <c r="BK1753">
        <f t="shared" si="1691"/>
        <v>969</v>
      </c>
      <c r="BL1753">
        <f t="shared" si="1692"/>
        <v>969</v>
      </c>
      <c r="BM1753" s="15">
        <f>SUMIFS(BJ$2:BJ1753,K$2:K1753,"=Intermission")+SUMIFS(BJ$2:BJ1753,K$2:K1753,"=Timeout")</f>
        <v>142</v>
      </c>
      <c r="BN1753">
        <f t="shared" si="1693"/>
        <v>2302</v>
      </c>
      <c r="BO1753" s="19">
        <f t="shared" si="1694"/>
        <v>2413</v>
      </c>
      <c r="BP1753">
        <f t="shared" si="1695"/>
        <v>2408</v>
      </c>
      <c r="BQ1753" s="17">
        <f t="shared" si="1696"/>
        <v>2413</v>
      </c>
      <c r="BR1753" t="str">
        <f t="shared" si="1697"/>
        <v>event_team_player_2</v>
      </c>
      <c r="BS1753">
        <f>COUNTIFS(S$3:S1753,"="&amp;S1753,AI$3:AI1753,"="&amp;AI1753)</f>
        <v>2</v>
      </c>
      <c r="BT1753" t="str">
        <f>IFERROR(VLOOKUP(BB1753&amp;BU1753&amp;X1753,game_rosters!U:W,3,FALSE),"")</f>
        <v>P100070</v>
      </c>
      <c r="BU1753" t="str">
        <f t="shared" si="1698"/>
        <v>Velodrome</v>
      </c>
    </row>
    <row r="1754" spans="1:73" x14ac:dyDescent="0.2">
      <c r="A1754">
        <f t="shared" si="1684"/>
        <v>1</v>
      </c>
      <c r="J1754" s="44" t="str">
        <f t="shared" si="1699"/>
        <v/>
      </c>
      <c r="K1754" t="s">
        <v>9</v>
      </c>
      <c r="L1754" t="s">
        <v>173</v>
      </c>
      <c r="M1754" t="s">
        <v>391</v>
      </c>
      <c r="S1754">
        <v>921</v>
      </c>
      <c r="W1754" t="str">
        <f t="shared" si="1675"/>
        <v>a</v>
      </c>
      <c r="X1754">
        <v>52</v>
      </c>
      <c r="Y1754" t="e">
        <f>IF(X1754&lt;&gt;"",VLOOKUP(X1754,game_rosters!$C$43:$E$64,3,FALSE))</f>
        <v>#N/A</v>
      </c>
      <c r="Z1754" cm="1">
        <f t="array" ref="Z1754">IFERROR(IF(_xlfn._xlws.FILTER(game_rosters!$J:$J,(game_rosters!$G:$G=events!$AN1754)*(game_rosters!$J:$J=events!$X1754))&gt;0,1,""),"")</f>
        <v>1</v>
      </c>
      <c r="AA1754">
        <f t="shared" si="1633"/>
        <v>1921</v>
      </c>
      <c r="AB1754" t="str">
        <f t="shared" si="1634"/>
        <v/>
      </c>
      <c r="AC1754">
        <f t="shared" si="1672"/>
        <v>1921</v>
      </c>
      <c r="AD1754" s="6">
        <v>3</v>
      </c>
      <c r="AE1754" t="s">
        <v>909</v>
      </c>
      <c r="AF1754" t="s">
        <v>939</v>
      </c>
      <c r="AG1754" t="s">
        <v>756</v>
      </c>
      <c r="AH1754" t="s">
        <v>756</v>
      </c>
      <c r="AI1754" t="s">
        <v>367</v>
      </c>
      <c r="AJ1754" t="str">
        <f t="shared" ref="AJ1754:AK1754" si="1720">IF($J1754&lt;&gt;"",$J1754,IF($AC1754=$AC1753,AJ1753,""))</f>
        <v/>
      </c>
      <c r="AK1754" t="str">
        <f t="shared" si="1720"/>
        <v/>
      </c>
      <c r="AL1754" t="str">
        <f t="shared" si="1677"/>
        <v/>
      </c>
      <c r="AN1754" t="s">
        <v>862</v>
      </c>
      <c r="AO1754" t="str">
        <f t="shared" si="1678"/>
        <v>a</v>
      </c>
      <c r="AP1754" t="str">
        <f t="shared" si="1686"/>
        <v/>
      </c>
      <c r="AQ1754" t="str">
        <f t="shared" si="1687"/>
        <v/>
      </c>
      <c r="AR1754" t="str">
        <f t="shared" si="1688"/>
        <v>Away</v>
      </c>
      <c r="AS1754" t="str">
        <f t="shared" si="1689"/>
        <v>a</v>
      </c>
      <c r="AT1754" t="str">
        <f t="shared" si="1690"/>
        <v>Offensive</v>
      </c>
      <c r="BA1754" s="6">
        <f t="shared" si="1679"/>
        <v>405</v>
      </c>
      <c r="BB1754">
        <f t="shared" si="1680"/>
        <v>18981</v>
      </c>
      <c r="BC1754" t="str">
        <f t="shared" si="1681"/>
        <v>Nelson</v>
      </c>
      <c r="BD1754" t="str">
        <f t="shared" si="1682"/>
        <v>Velodrome</v>
      </c>
      <c r="BE1754" t="s">
        <v>9</v>
      </c>
      <c r="BF1754" t="s">
        <v>173</v>
      </c>
      <c r="BG1754" t="s">
        <v>391</v>
      </c>
      <c r="BI1754" cm="1">
        <f t="array" aca="1" ref="BI1754" ca="1">IFERROR(_xlfn._xlws.FILTER(shifts!A:A,(shifts!B:B=events!AD1754)*(shifts!AG:AG&gt;=events!BK1754)*(shifts!AH:AH&lt;=events!BL1754)),BI1753)</f>
        <v>79</v>
      </c>
      <c r="BJ1754" s="15">
        <f t="shared" si="1683"/>
        <v>0</v>
      </c>
      <c r="BK1754">
        <f t="shared" si="1691"/>
        <v>968</v>
      </c>
      <c r="BL1754">
        <f t="shared" si="1692"/>
        <v>968</v>
      </c>
      <c r="BM1754" s="15">
        <f>SUMIFS(BJ$2:BJ1754,K$2:K1754,"=Intermission")+SUMIFS(BJ$2:BJ1754,K$2:K1754,"=Timeout")</f>
        <v>142</v>
      </c>
      <c r="BN1754">
        <f t="shared" si="1693"/>
        <v>2302</v>
      </c>
      <c r="BO1754" s="19">
        <f t="shared" si="1694"/>
        <v>2414</v>
      </c>
      <c r="BP1754">
        <f t="shared" si="1695"/>
        <v>2409</v>
      </c>
      <c r="BQ1754" s="17">
        <f t="shared" si="1696"/>
        <v>2414</v>
      </c>
      <c r="BR1754" t="str">
        <f t="shared" si="1697"/>
        <v>event_team_player_1</v>
      </c>
      <c r="BS1754">
        <f>COUNTIFS(S$3:S1754,"="&amp;S1754,AI$3:AI1754,"="&amp;AI1754)</f>
        <v>1</v>
      </c>
      <c r="BT1754" t="str">
        <f>IFERROR(VLOOKUP(BB1754&amp;BU1754&amp;X1754,game_rosters!U:W,3,FALSE),"")</f>
        <v>P100070</v>
      </c>
      <c r="BU1754" t="str">
        <f t="shared" si="1698"/>
        <v>Velodrome</v>
      </c>
    </row>
    <row r="1755" spans="1:73" x14ac:dyDescent="0.2">
      <c r="A1755">
        <f t="shared" si="1684"/>
        <v>1</v>
      </c>
      <c r="J1755" s="44" t="str">
        <f t="shared" si="1699"/>
        <v/>
      </c>
      <c r="K1755" t="s">
        <v>9</v>
      </c>
      <c r="L1755" t="s">
        <v>173</v>
      </c>
      <c r="M1755" t="s">
        <v>391</v>
      </c>
      <c r="S1755">
        <v>921</v>
      </c>
      <c r="W1755" t="str">
        <f t="shared" si="1675"/>
        <v>a</v>
      </c>
      <c r="X1755">
        <v>79</v>
      </c>
      <c r="Y1755" t="b">
        <f>IF(X1755&lt;&gt;"",VLOOKUP(X1755,game_rosters!$C$43:$E$64,3,FALSE))</f>
        <v>0</v>
      </c>
      <c r="Z1755" t="str" cm="1">
        <f t="array" ref="Z1755">IFERROR(IF(_xlfn._xlws.FILTER(game_rosters!$J:$J,(game_rosters!$G:$G=events!$AN1755)*(game_rosters!$J:$J=events!$X1755))&gt;0,1,""),"")</f>
        <v/>
      </c>
      <c r="AA1755">
        <f t="shared" si="1633"/>
        <v>1921</v>
      </c>
      <c r="AB1755" t="str">
        <f t="shared" si="1634"/>
        <v/>
      </c>
      <c r="AC1755">
        <f t="shared" si="1672"/>
        <v>1921</v>
      </c>
      <c r="AD1755" s="6">
        <v>3</v>
      </c>
      <c r="AE1755" t="s">
        <v>909</v>
      </c>
      <c r="AF1755" t="s">
        <v>939</v>
      </c>
      <c r="AG1755" t="s">
        <v>756</v>
      </c>
      <c r="AH1755" t="s">
        <v>756</v>
      </c>
      <c r="AI1755" t="s">
        <v>368</v>
      </c>
      <c r="AJ1755" t="str">
        <f t="shared" ref="AJ1755:AK1755" si="1721">IF($J1755&lt;&gt;"",$J1755,IF($AC1755=$AC1754,AJ1754,""))</f>
        <v/>
      </c>
      <c r="AK1755" t="str">
        <f t="shared" si="1721"/>
        <v/>
      </c>
      <c r="AL1755" t="str">
        <f t="shared" si="1677"/>
        <v/>
      </c>
      <c r="AN1755" t="s">
        <v>862</v>
      </c>
      <c r="AO1755" t="str">
        <f t="shared" si="1678"/>
        <v>a</v>
      </c>
      <c r="AP1755" t="str">
        <f t="shared" si="1686"/>
        <v/>
      </c>
      <c r="AQ1755" t="str">
        <f t="shared" si="1687"/>
        <v/>
      </c>
      <c r="AR1755" t="str">
        <f t="shared" si="1688"/>
        <v>Away</v>
      </c>
      <c r="AS1755" t="str">
        <f t="shared" si="1689"/>
        <v>a</v>
      </c>
      <c r="AT1755" t="str">
        <f t="shared" si="1690"/>
        <v>Defensive</v>
      </c>
      <c r="BA1755" s="6">
        <f t="shared" si="1679"/>
        <v>405</v>
      </c>
      <c r="BB1755">
        <f t="shared" si="1680"/>
        <v>18981</v>
      </c>
      <c r="BC1755" t="str">
        <f t="shared" si="1681"/>
        <v>Nelson</v>
      </c>
      <c r="BD1755" t="str">
        <f t="shared" si="1682"/>
        <v>Velodrome</v>
      </c>
      <c r="BE1755" t="s">
        <v>9</v>
      </c>
      <c r="BF1755" t="s">
        <v>173</v>
      </c>
      <c r="BG1755" t="s">
        <v>391</v>
      </c>
      <c r="BI1755" cm="1">
        <f t="array" aca="1" ref="BI1755" ca="1">IFERROR(_xlfn._xlws.FILTER(shifts!A:A,(shifts!B:B=events!AD1755)*(shifts!AG:AG&gt;=events!BK1755)*(shifts!AH:AH&lt;=events!BL1755)),BI1754)</f>
        <v>79</v>
      </c>
      <c r="BJ1755" s="15">
        <f t="shared" si="1683"/>
        <v>0</v>
      </c>
      <c r="BK1755">
        <f t="shared" si="1691"/>
        <v>968</v>
      </c>
      <c r="BL1755">
        <f t="shared" si="1692"/>
        <v>968</v>
      </c>
      <c r="BM1755" s="15">
        <f>SUMIFS(BJ$2:BJ1755,K$2:K1755,"=Intermission")+SUMIFS(BJ$2:BJ1755,K$2:K1755,"=Timeout")</f>
        <v>142</v>
      </c>
      <c r="BN1755">
        <f t="shared" si="1693"/>
        <v>2302</v>
      </c>
      <c r="BO1755" s="19">
        <f t="shared" si="1694"/>
        <v>2414</v>
      </c>
      <c r="BP1755">
        <f t="shared" si="1695"/>
        <v>2409</v>
      </c>
      <c r="BQ1755" s="17">
        <f t="shared" si="1696"/>
        <v>2414</v>
      </c>
      <c r="BR1755" t="str">
        <f t="shared" si="1697"/>
        <v>opp_team_player_1</v>
      </c>
      <c r="BS1755">
        <f>COUNTIFS(S$3:S1755,"="&amp;S1755,AI$3:AI1755,"="&amp;AI1755)</f>
        <v>1</v>
      </c>
      <c r="BT1755" t="str">
        <f>IFERROR(VLOOKUP(BB1755&amp;BU1755&amp;X1755,game_rosters!U:W,3,FALSE),"")</f>
        <v>P100066</v>
      </c>
      <c r="BU1755" t="str">
        <f t="shared" si="1698"/>
        <v>Nelson</v>
      </c>
    </row>
    <row r="1756" spans="1:73" x14ac:dyDescent="0.2">
      <c r="A1756">
        <f t="shared" si="1684"/>
        <v>1</v>
      </c>
      <c r="J1756" s="44" t="str">
        <f t="shared" si="1699"/>
        <v/>
      </c>
      <c r="K1756" t="s">
        <v>7</v>
      </c>
      <c r="L1756" t="s">
        <v>172</v>
      </c>
      <c r="M1756" t="s">
        <v>65</v>
      </c>
      <c r="S1756">
        <v>922</v>
      </c>
      <c r="W1756" t="str">
        <f t="shared" si="1675"/>
        <v>h</v>
      </c>
      <c r="X1756">
        <v>8</v>
      </c>
      <c r="Y1756" t="b">
        <f>IF(X1756&lt;&gt;"",VLOOKUP(X1756,game_rosters!$C$43:$E$64,3,FALSE))</f>
        <v>0</v>
      </c>
      <c r="Z1756" cm="1">
        <f t="array" ref="Z1756">IFERROR(IF(_xlfn._xlws.FILTER(game_rosters!$J:$J,(game_rosters!$G:$G=events!$AN1756)*(game_rosters!$J:$J=events!$X1756))&gt;0,1,""),"")</f>
        <v>1</v>
      </c>
      <c r="AA1756">
        <f t="shared" si="1633"/>
        <v>1922</v>
      </c>
      <c r="AB1756" t="str">
        <f t="shared" si="1634"/>
        <v/>
      </c>
      <c r="AC1756">
        <f t="shared" si="1672"/>
        <v>1922</v>
      </c>
      <c r="AD1756" s="6">
        <v>3</v>
      </c>
      <c r="AE1756" t="s">
        <v>909</v>
      </c>
      <c r="AF1756" t="s">
        <v>939</v>
      </c>
      <c r="AG1756" t="s">
        <v>756</v>
      </c>
      <c r="AH1756" t="s">
        <v>756</v>
      </c>
      <c r="AI1756" t="s">
        <v>367</v>
      </c>
      <c r="AJ1756" t="str">
        <f t="shared" ref="AJ1756:AK1756" si="1722">IF($J1756&lt;&gt;"",$J1756,IF($AC1756=$AC1755,AJ1755,""))</f>
        <v/>
      </c>
      <c r="AK1756" t="str">
        <f t="shared" si="1722"/>
        <v/>
      </c>
      <c r="AL1756" t="str">
        <f t="shared" si="1677"/>
        <v/>
      </c>
      <c r="AN1756" t="s">
        <v>861</v>
      </c>
      <c r="AO1756" t="str">
        <f t="shared" si="1678"/>
        <v>h</v>
      </c>
      <c r="AP1756" t="str">
        <f t="shared" si="1686"/>
        <v/>
      </c>
      <c r="AQ1756" t="str">
        <f t="shared" si="1687"/>
        <v/>
      </c>
      <c r="AR1756" t="str">
        <f t="shared" si="1688"/>
        <v>Home</v>
      </c>
      <c r="AS1756" t="str">
        <f t="shared" si="1689"/>
        <v>h</v>
      </c>
      <c r="AT1756" t="str">
        <f t="shared" si="1690"/>
        <v>Offensive</v>
      </c>
      <c r="BA1756" s="6">
        <f t="shared" si="1679"/>
        <v>405</v>
      </c>
      <c r="BB1756">
        <f t="shared" si="1680"/>
        <v>18981</v>
      </c>
      <c r="BC1756" t="str">
        <f t="shared" si="1681"/>
        <v>Nelson</v>
      </c>
      <c r="BD1756" t="str">
        <f t="shared" si="1682"/>
        <v>Velodrome</v>
      </c>
      <c r="BE1756" t="s">
        <v>7</v>
      </c>
      <c r="BF1756" t="s">
        <v>172</v>
      </c>
      <c r="BG1756" t="s">
        <v>65</v>
      </c>
      <c r="BI1756" cm="1">
        <f t="array" aca="1" ref="BI1756" ca="1">IFERROR(_xlfn._xlws.FILTER(shifts!A:A,(shifts!B:B=events!AD1756)*(shifts!AG:AG&gt;=events!BK1756)*(shifts!AH:AH&lt;=events!BL1756)),BI1755)</f>
        <v>79</v>
      </c>
      <c r="BJ1756" s="15">
        <f t="shared" si="1683"/>
        <v>0</v>
      </c>
      <c r="BK1756">
        <f t="shared" si="1691"/>
        <v>968</v>
      </c>
      <c r="BL1756">
        <f t="shared" si="1692"/>
        <v>968</v>
      </c>
      <c r="BM1756" s="15">
        <f>SUMIFS(BJ$2:BJ1756,K$2:K1756,"=Intermission")+SUMIFS(BJ$2:BJ1756,K$2:K1756,"=Timeout")</f>
        <v>142</v>
      </c>
      <c r="BN1756">
        <f t="shared" si="1693"/>
        <v>2302</v>
      </c>
      <c r="BO1756" s="19">
        <f t="shared" si="1694"/>
        <v>2414</v>
      </c>
      <c r="BP1756">
        <f t="shared" si="1695"/>
        <v>2409</v>
      </c>
      <c r="BQ1756" s="17">
        <f t="shared" si="1696"/>
        <v>2414</v>
      </c>
      <c r="BR1756" t="str">
        <f t="shared" si="1697"/>
        <v>event_team_player_1</v>
      </c>
      <c r="BS1756">
        <f>COUNTIFS(S$3:S1756,"="&amp;S1756,AI$3:AI1756,"="&amp;AI1756)</f>
        <v>1</v>
      </c>
      <c r="BT1756" t="str">
        <f>IFERROR(VLOOKUP(BB1756&amp;BU1756&amp;X1756,game_rosters!U:W,3,FALSE),"")</f>
        <v>P100074</v>
      </c>
      <c r="BU1756" t="str">
        <f t="shared" si="1698"/>
        <v>Nelson</v>
      </c>
    </row>
    <row r="1757" spans="1:73" x14ac:dyDescent="0.2">
      <c r="A1757">
        <f t="shared" si="1684"/>
        <v>1</v>
      </c>
      <c r="J1757" s="44" t="str">
        <f t="shared" si="1699"/>
        <v/>
      </c>
      <c r="K1757" t="s">
        <v>7</v>
      </c>
      <c r="L1757" t="s">
        <v>172</v>
      </c>
      <c r="M1757" t="s">
        <v>65</v>
      </c>
      <c r="S1757">
        <v>922</v>
      </c>
      <c r="W1757" t="str">
        <f t="shared" si="1675"/>
        <v>h</v>
      </c>
      <c r="X1757">
        <v>44</v>
      </c>
      <c r="Y1757" t="b">
        <f>IF(X1757&lt;&gt;"",VLOOKUP(X1757,game_rosters!$C$43:$E$64,3,FALSE))</f>
        <v>0</v>
      </c>
      <c r="Z1757" cm="1">
        <f t="array" ref="Z1757">IFERROR(IF(_xlfn._xlws.FILTER(game_rosters!$J:$J,(game_rosters!$G:$G=events!$AN1757)*(game_rosters!$J:$J=events!$X1757))&gt;0,1,""),"")</f>
        <v>1</v>
      </c>
      <c r="AA1757">
        <f t="shared" ref="AA1757:AA1820" si="1723">S1757+1000</f>
        <v>1922</v>
      </c>
      <c r="AB1757" t="str">
        <f t="shared" ref="AB1757:AB1820" si="1724">IF(T1757&lt;&gt;"",9000+T1757,"")</f>
        <v/>
      </c>
      <c r="AC1757">
        <f t="shared" si="1672"/>
        <v>1922</v>
      </c>
      <c r="AD1757" s="6">
        <v>3</v>
      </c>
      <c r="AE1757" t="s">
        <v>909</v>
      </c>
      <c r="AF1757" t="s">
        <v>939</v>
      </c>
      <c r="AG1757" t="s">
        <v>756</v>
      </c>
      <c r="AH1757" t="s">
        <v>756</v>
      </c>
      <c r="AI1757" t="s">
        <v>367</v>
      </c>
      <c r="AJ1757" t="str">
        <f t="shared" ref="AJ1757:AK1757" si="1725">IF($J1757&lt;&gt;"",$J1757,IF($AC1757=$AC1756,AJ1756,""))</f>
        <v/>
      </c>
      <c r="AK1757" t="str">
        <f t="shared" si="1725"/>
        <v/>
      </c>
      <c r="AL1757" t="str">
        <f t="shared" si="1677"/>
        <v/>
      </c>
      <c r="AN1757" t="s">
        <v>861</v>
      </c>
      <c r="AO1757" t="str">
        <f t="shared" si="1678"/>
        <v>h</v>
      </c>
      <c r="AP1757" t="str">
        <f t="shared" si="1686"/>
        <v/>
      </c>
      <c r="AQ1757" t="str">
        <f t="shared" si="1687"/>
        <v/>
      </c>
      <c r="AR1757" t="str">
        <f t="shared" si="1688"/>
        <v>Home</v>
      </c>
      <c r="AS1757" t="str">
        <f t="shared" si="1689"/>
        <v>h</v>
      </c>
      <c r="AT1757" t="str">
        <f t="shared" si="1690"/>
        <v>Offensive</v>
      </c>
      <c r="BA1757" s="6">
        <f t="shared" si="1679"/>
        <v>405</v>
      </c>
      <c r="BB1757">
        <f t="shared" si="1680"/>
        <v>18981</v>
      </c>
      <c r="BC1757" t="str">
        <f t="shared" si="1681"/>
        <v>Nelson</v>
      </c>
      <c r="BD1757" t="str">
        <f t="shared" si="1682"/>
        <v>Velodrome</v>
      </c>
      <c r="BE1757" t="s">
        <v>7</v>
      </c>
      <c r="BF1757" t="s">
        <v>172</v>
      </c>
      <c r="BG1757" t="s">
        <v>65</v>
      </c>
      <c r="BI1757" cm="1">
        <f t="array" aca="1" ref="BI1757" ca="1">IFERROR(_xlfn._xlws.FILTER(shifts!A:A,(shifts!B:B=events!AD1757)*(shifts!AG:AG&gt;=events!BK1757)*(shifts!AH:AH&lt;=events!BL1757)),BI1756)</f>
        <v>79</v>
      </c>
      <c r="BJ1757" s="15">
        <f t="shared" si="1683"/>
        <v>0</v>
      </c>
      <c r="BK1757">
        <f t="shared" si="1691"/>
        <v>968</v>
      </c>
      <c r="BL1757">
        <f t="shared" si="1692"/>
        <v>968</v>
      </c>
      <c r="BM1757" s="15">
        <f>SUMIFS(BJ$2:BJ1757,K$2:K1757,"=Intermission")+SUMIFS(BJ$2:BJ1757,K$2:K1757,"=Timeout")</f>
        <v>142</v>
      </c>
      <c r="BN1757">
        <f t="shared" si="1693"/>
        <v>2302</v>
      </c>
      <c r="BO1757" s="19">
        <f t="shared" si="1694"/>
        <v>2414</v>
      </c>
      <c r="BP1757">
        <f t="shared" si="1695"/>
        <v>2409</v>
      </c>
      <c r="BQ1757" s="17">
        <f t="shared" si="1696"/>
        <v>2414</v>
      </c>
      <c r="BR1757" t="str">
        <f t="shared" si="1697"/>
        <v>event_team_player_2</v>
      </c>
      <c r="BS1757">
        <f>COUNTIFS(S$3:S1757,"="&amp;S1757,AI$3:AI1757,"="&amp;AI1757)</f>
        <v>2</v>
      </c>
      <c r="BT1757" t="str">
        <f>IFERROR(VLOOKUP(BB1757&amp;BU1757&amp;X1757,game_rosters!U:W,3,FALSE),"")</f>
        <v>P100079</v>
      </c>
      <c r="BU1757" t="str">
        <f t="shared" si="1698"/>
        <v>Nelson</v>
      </c>
    </row>
    <row r="1758" spans="1:73" x14ac:dyDescent="0.2">
      <c r="A1758">
        <f t="shared" si="1684"/>
        <v>1</v>
      </c>
      <c r="J1758" s="44" t="str">
        <f t="shared" si="1699"/>
        <v>d</v>
      </c>
      <c r="K1758" t="s">
        <v>238</v>
      </c>
      <c r="L1758" t="s">
        <v>184</v>
      </c>
      <c r="M1758" t="s">
        <v>89</v>
      </c>
      <c r="S1758">
        <v>923</v>
      </c>
      <c r="W1758" t="str">
        <f t="shared" si="1675"/>
        <v>h</v>
      </c>
      <c r="X1758">
        <v>8</v>
      </c>
      <c r="Y1758" t="b">
        <f>IF(X1758&lt;&gt;"",VLOOKUP(X1758,game_rosters!$C$43:$E$64,3,FALSE))</f>
        <v>0</v>
      </c>
      <c r="Z1758" cm="1">
        <f t="array" ref="Z1758">IFERROR(IF(_xlfn._xlws.FILTER(game_rosters!$J:$J,(game_rosters!$G:$G=events!$AN1758)*(game_rosters!$J:$J=events!$X1758))&gt;0,1,""),"")</f>
        <v>1</v>
      </c>
      <c r="AA1758">
        <f t="shared" si="1723"/>
        <v>1923</v>
      </c>
      <c r="AB1758" t="str">
        <f t="shared" si="1724"/>
        <v/>
      </c>
      <c r="AC1758">
        <f t="shared" si="1672"/>
        <v>1923</v>
      </c>
      <c r="AD1758" s="6">
        <v>3</v>
      </c>
      <c r="AE1758" t="s">
        <v>909</v>
      </c>
      <c r="AF1758" t="s">
        <v>939</v>
      </c>
      <c r="AG1758" t="s">
        <v>756</v>
      </c>
      <c r="AH1758" t="s">
        <v>756</v>
      </c>
      <c r="AI1758" t="s">
        <v>367</v>
      </c>
      <c r="AJ1758" t="str">
        <f t="shared" ref="AJ1758:AK1758" si="1726">IF($J1758&lt;&gt;"",$J1758,IF($AC1758=$AC1757,AJ1757,""))</f>
        <v>d</v>
      </c>
      <c r="AK1758" t="str">
        <f t="shared" si="1726"/>
        <v>d</v>
      </c>
      <c r="AL1758" t="str">
        <f t="shared" si="1677"/>
        <v>d</v>
      </c>
      <c r="AN1758" t="s">
        <v>861</v>
      </c>
      <c r="AO1758" t="str">
        <f t="shared" si="1678"/>
        <v>h</v>
      </c>
      <c r="AP1758" t="str">
        <f t="shared" si="1686"/>
        <v>d</v>
      </c>
      <c r="AQ1758" t="str">
        <f t="shared" si="1687"/>
        <v/>
      </c>
      <c r="AR1758" t="str">
        <f t="shared" si="1688"/>
        <v>Home</v>
      </c>
      <c r="AS1758" t="str">
        <f t="shared" si="1689"/>
        <v>h</v>
      </c>
      <c r="AT1758" t="str">
        <f t="shared" si="1690"/>
        <v>Offensive</v>
      </c>
      <c r="BA1758" s="6">
        <f t="shared" si="1679"/>
        <v>406</v>
      </c>
      <c r="BB1758">
        <f t="shared" si="1680"/>
        <v>18981</v>
      </c>
      <c r="BC1758" t="str">
        <f t="shared" si="1681"/>
        <v>Nelson</v>
      </c>
      <c r="BD1758" t="str">
        <f t="shared" si="1682"/>
        <v>Velodrome</v>
      </c>
      <c r="BE1758" t="s">
        <v>238</v>
      </c>
      <c r="BF1758" t="s">
        <v>184</v>
      </c>
      <c r="BG1758" t="s">
        <v>89</v>
      </c>
      <c r="BI1758" cm="1">
        <f t="array" aca="1" ref="BI1758" ca="1">IFERROR(_xlfn._xlws.FILTER(shifts!A:A,(shifts!B:B=events!AD1758)*(shifts!AG:AG&gt;=events!BK1758)*(shifts!AH:AH&lt;=events!BL1758)),BI1757)</f>
        <v>79</v>
      </c>
      <c r="BJ1758" s="15">
        <f t="shared" si="1683"/>
        <v>0</v>
      </c>
      <c r="BK1758">
        <f t="shared" si="1691"/>
        <v>968</v>
      </c>
      <c r="BL1758">
        <f t="shared" si="1692"/>
        <v>968</v>
      </c>
      <c r="BM1758" s="15">
        <f>SUMIFS(BJ$2:BJ1758,K$2:K1758,"=Intermission")+SUMIFS(BJ$2:BJ1758,K$2:K1758,"=Timeout")</f>
        <v>142</v>
      </c>
      <c r="BN1758">
        <f t="shared" si="1693"/>
        <v>2302</v>
      </c>
      <c r="BO1758" s="19">
        <f t="shared" si="1694"/>
        <v>2414</v>
      </c>
      <c r="BP1758">
        <f t="shared" si="1695"/>
        <v>2409</v>
      </c>
      <c r="BQ1758" s="17">
        <f t="shared" si="1696"/>
        <v>2414</v>
      </c>
      <c r="BR1758" t="str">
        <f t="shared" si="1697"/>
        <v>event_team_player_1</v>
      </c>
      <c r="BS1758">
        <f>COUNTIFS(S$3:S1758,"="&amp;S1758,AI$3:AI1758,"="&amp;AI1758)</f>
        <v>1</v>
      </c>
      <c r="BT1758" t="str">
        <f>IFERROR(VLOOKUP(BB1758&amp;BU1758&amp;X1758,game_rosters!U:W,3,FALSE),"")</f>
        <v>P100074</v>
      </c>
      <c r="BU1758" t="str">
        <f t="shared" si="1698"/>
        <v>Nelson</v>
      </c>
    </row>
    <row r="1759" spans="1:73" x14ac:dyDescent="0.2">
      <c r="A1759">
        <f t="shared" si="1684"/>
        <v>1</v>
      </c>
      <c r="J1759" s="44" t="str">
        <f t="shared" si="1699"/>
        <v>d</v>
      </c>
      <c r="K1759" t="s">
        <v>238</v>
      </c>
      <c r="L1759" t="s">
        <v>184</v>
      </c>
      <c r="M1759" t="s">
        <v>89</v>
      </c>
      <c r="S1759">
        <v>923</v>
      </c>
      <c r="W1759" t="str">
        <f t="shared" si="1675"/>
        <v>h</v>
      </c>
      <c r="X1759">
        <v>44</v>
      </c>
      <c r="Y1759" t="b">
        <f>IF(X1759&lt;&gt;"",VLOOKUP(X1759,game_rosters!$C$43:$E$64,3,FALSE))</f>
        <v>0</v>
      </c>
      <c r="Z1759" cm="1">
        <f t="array" ref="Z1759">IFERROR(IF(_xlfn._xlws.FILTER(game_rosters!$J:$J,(game_rosters!$G:$G=events!$AN1759)*(game_rosters!$J:$J=events!$X1759))&gt;0,1,""),"")</f>
        <v>1</v>
      </c>
      <c r="AA1759">
        <f t="shared" si="1723"/>
        <v>1923</v>
      </c>
      <c r="AB1759" t="str">
        <f t="shared" si="1724"/>
        <v/>
      </c>
      <c r="AC1759">
        <f t="shared" si="1672"/>
        <v>1923</v>
      </c>
      <c r="AD1759" s="6">
        <v>3</v>
      </c>
      <c r="AE1759" t="s">
        <v>909</v>
      </c>
      <c r="AF1759" t="s">
        <v>939</v>
      </c>
      <c r="AG1759" t="s">
        <v>756</v>
      </c>
      <c r="AH1759" t="s">
        <v>756</v>
      </c>
      <c r="AI1759" t="s">
        <v>367</v>
      </c>
      <c r="AJ1759" t="str">
        <f t="shared" ref="AJ1759:AK1759" si="1727">IF($J1759&lt;&gt;"",$J1759,IF($AC1759=$AC1758,AJ1758,""))</f>
        <v>d</v>
      </c>
      <c r="AK1759" t="str">
        <f t="shared" si="1727"/>
        <v>d</v>
      </c>
      <c r="AL1759" t="str">
        <f t="shared" si="1677"/>
        <v>d</v>
      </c>
      <c r="AN1759" t="s">
        <v>861</v>
      </c>
      <c r="AO1759" t="str">
        <f t="shared" si="1678"/>
        <v>h</v>
      </c>
      <c r="AP1759" t="str">
        <f t="shared" si="1686"/>
        <v>d</v>
      </c>
      <c r="AQ1759" t="str">
        <f t="shared" si="1687"/>
        <v/>
      </c>
      <c r="AR1759" t="str">
        <f t="shared" si="1688"/>
        <v>Home</v>
      </c>
      <c r="AS1759" t="str">
        <f t="shared" si="1689"/>
        <v>h</v>
      </c>
      <c r="AT1759" t="str">
        <f t="shared" si="1690"/>
        <v>Offensive</v>
      </c>
      <c r="BA1759" s="6">
        <f t="shared" si="1679"/>
        <v>407</v>
      </c>
      <c r="BB1759">
        <f t="shared" si="1680"/>
        <v>18981</v>
      </c>
      <c r="BC1759" t="str">
        <f t="shared" si="1681"/>
        <v>Nelson</v>
      </c>
      <c r="BD1759" t="str">
        <f t="shared" si="1682"/>
        <v>Velodrome</v>
      </c>
      <c r="BE1759" t="s">
        <v>238</v>
      </c>
      <c r="BF1759" t="s">
        <v>184</v>
      </c>
      <c r="BG1759" t="s">
        <v>89</v>
      </c>
      <c r="BI1759" cm="1">
        <f t="array" aca="1" ref="BI1759" ca="1">IFERROR(_xlfn._xlws.FILTER(shifts!A:A,(shifts!B:B=events!AD1759)*(shifts!AG:AG&gt;=events!BK1759)*(shifts!AH:AH&lt;=events!BL1759)),BI1758)</f>
        <v>79</v>
      </c>
      <c r="BJ1759" s="15">
        <f t="shared" si="1683"/>
        <v>0</v>
      </c>
      <c r="BK1759">
        <f t="shared" si="1691"/>
        <v>968</v>
      </c>
      <c r="BL1759">
        <f t="shared" si="1692"/>
        <v>968</v>
      </c>
      <c r="BM1759" s="15">
        <f>SUMIFS(BJ$2:BJ1759,K$2:K1759,"=Intermission")+SUMIFS(BJ$2:BJ1759,K$2:K1759,"=Timeout")</f>
        <v>142</v>
      </c>
      <c r="BN1759">
        <f t="shared" si="1693"/>
        <v>2302</v>
      </c>
      <c r="BO1759" s="19">
        <f t="shared" si="1694"/>
        <v>2414</v>
      </c>
      <c r="BP1759">
        <f t="shared" si="1695"/>
        <v>2409</v>
      </c>
      <c r="BQ1759" s="17">
        <f t="shared" si="1696"/>
        <v>2414</v>
      </c>
      <c r="BR1759" t="str">
        <f t="shared" si="1697"/>
        <v>event_team_player_2</v>
      </c>
      <c r="BS1759">
        <f>COUNTIFS(S$3:S1759,"="&amp;S1759,AI$3:AI1759,"="&amp;AI1759)</f>
        <v>2</v>
      </c>
      <c r="BT1759" t="str">
        <f>IFERROR(VLOOKUP(BB1759&amp;BU1759&amp;X1759,game_rosters!U:W,3,FALSE),"")</f>
        <v>P100079</v>
      </c>
      <c r="BU1759" t="str">
        <f t="shared" si="1698"/>
        <v>Nelson</v>
      </c>
    </row>
    <row r="1760" spans="1:73" x14ac:dyDescent="0.2">
      <c r="A1760">
        <f t="shared" si="1684"/>
        <v>1</v>
      </c>
      <c r="J1760" s="44" t="str">
        <f t="shared" si="1699"/>
        <v/>
      </c>
      <c r="K1760" t="s">
        <v>13</v>
      </c>
      <c r="L1760" t="s">
        <v>756</v>
      </c>
      <c r="M1760" t="s">
        <v>756</v>
      </c>
      <c r="S1760">
        <v>924</v>
      </c>
      <c r="W1760" t="str">
        <f t="shared" si="1675"/>
        <v>h</v>
      </c>
      <c r="X1760">
        <v>44</v>
      </c>
      <c r="Y1760" t="b">
        <f>IF(X1760&lt;&gt;"",VLOOKUP(X1760,game_rosters!$C$43:$E$64,3,FALSE))</f>
        <v>0</v>
      </c>
      <c r="Z1760" cm="1">
        <f t="array" ref="Z1760">IFERROR(IF(_xlfn._xlws.FILTER(game_rosters!$J:$J,(game_rosters!$G:$G=events!$AN1760)*(game_rosters!$J:$J=events!$X1760))&gt;0,1,""),"")</f>
        <v>1</v>
      </c>
      <c r="AA1760">
        <f t="shared" si="1723"/>
        <v>1924</v>
      </c>
      <c r="AB1760" t="str">
        <f t="shared" si="1724"/>
        <v/>
      </c>
      <c r="AC1760">
        <f t="shared" si="1672"/>
        <v>1924</v>
      </c>
      <c r="AD1760" s="6">
        <v>3</v>
      </c>
      <c r="AE1760" t="s">
        <v>909</v>
      </c>
      <c r="AF1760" t="s">
        <v>911</v>
      </c>
      <c r="AG1760" t="s">
        <v>909</v>
      </c>
      <c r="AH1760" t="s">
        <v>748</v>
      </c>
      <c r="AI1760" t="s">
        <v>367</v>
      </c>
      <c r="AJ1760" t="str">
        <f t="shared" ref="AJ1760:AK1760" si="1728">IF($J1760&lt;&gt;"",$J1760,IF($AC1760=$AC1759,AJ1759,""))</f>
        <v/>
      </c>
      <c r="AK1760" t="str">
        <f t="shared" si="1728"/>
        <v/>
      </c>
      <c r="AL1760" t="str">
        <f t="shared" si="1677"/>
        <v/>
      </c>
      <c r="AN1760" t="s">
        <v>861</v>
      </c>
      <c r="AO1760" t="str">
        <f t="shared" si="1678"/>
        <v>h</v>
      </c>
      <c r="AP1760" t="str">
        <f t="shared" si="1686"/>
        <v/>
      </c>
      <c r="AQ1760" t="str">
        <f t="shared" si="1687"/>
        <v/>
      </c>
      <c r="AR1760" t="str">
        <f t="shared" si="1688"/>
        <v>Home</v>
      </c>
      <c r="AS1760" t="str">
        <f t="shared" si="1689"/>
        <v>h</v>
      </c>
      <c r="AT1760" t="str">
        <f t="shared" si="1690"/>
        <v>Offensive</v>
      </c>
      <c r="BA1760" s="6">
        <f t="shared" si="1679"/>
        <v>407</v>
      </c>
      <c r="BB1760">
        <f t="shared" si="1680"/>
        <v>18981</v>
      </c>
      <c r="BC1760" t="str">
        <f t="shared" si="1681"/>
        <v>Nelson</v>
      </c>
      <c r="BD1760" t="str">
        <f t="shared" si="1682"/>
        <v>Velodrome</v>
      </c>
      <c r="BE1760" t="s">
        <v>13</v>
      </c>
      <c r="BF1760" t="s">
        <v>756</v>
      </c>
      <c r="BG1760" t="s">
        <v>756</v>
      </c>
      <c r="BI1760" cm="1">
        <f t="array" aca="1" ref="BI1760" ca="1">IFERROR(_xlfn._xlws.FILTER(shifts!A:A,(shifts!B:B=events!AD1760)*(shifts!AG:AG&gt;=events!BK1760)*(shifts!AH:AH&lt;=events!BL1760)),BI1759)</f>
        <v>79</v>
      </c>
      <c r="BJ1760" s="15">
        <f t="shared" si="1683"/>
        <v>5</v>
      </c>
      <c r="BK1760">
        <f t="shared" si="1691"/>
        <v>966</v>
      </c>
      <c r="BL1760">
        <f t="shared" si="1692"/>
        <v>961</v>
      </c>
      <c r="BM1760" s="15">
        <f>SUMIFS(BJ$2:BJ1760,K$2:K1760,"=Intermission")+SUMIFS(BJ$2:BJ1760,K$2:K1760,"=Timeout")</f>
        <v>142</v>
      </c>
      <c r="BN1760">
        <f t="shared" si="1693"/>
        <v>2302</v>
      </c>
      <c r="BO1760" s="19">
        <f t="shared" si="1694"/>
        <v>2416</v>
      </c>
      <c r="BP1760">
        <f t="shared" si="1695"/>
        <v>2411</v>
      </c>
      <c r="BQ1760" s="17">
        <f t="shared" si="1696"/>
        <v>2421</v>
      </c>
      <c r="BR1760" t="str">
        <f t="shared" si="1697"/>
        <v>event_team_player_1</v>
      </c>
      <c r="BS1760">
        <f>COUNTIFS(S$3:S1760,"="&amp;S1760,AI$3:AI1760,"="&amp;AI1760)</f>
        <v>1</v>
      </c>
      <c r="BT1760" t="str">
        <f>IFERROR(VLOOKUP(BB1760&amp;BU1760&amp;X1760,game_rosters!U:W,3,FALSE),"")</f>
        <v>P100079</v>
      </c>
      <c r="BU1760" t="str">
        <f t="shared" si="1698"/>
        <v>Nelson</v>
      </c>
    </row>
    <row r="1761" spans="1:73" x14ac:dyDescent="0.2">
      <c r="A1761">
        <f t="shared" si="1684"/>
        <v>1</v>
      </c>
      <c r="J1761" s="44" t="str">
        <f t="shared" si="1699"/>
        <v>o</v>
      </c>
      <c r="K1761" t="s">
        <v>238</v>
      </c>
      <c r="L1761" t="s">
        <v>174</v>
      </c>
      <c r="M1761" t="s">
        <v>85</v>
      </c>
      <c r="S1761">
        <v>925</v>
      </c>
      <c r="W1761" t="str">
        <f t="shared" si="1675"/>
        <v>h</v>
      </c>
      <c r="X1761">
        <v>44</v>
      </c>
      <c r="Y1761" t="b">
        <f>IF(X1761&lt;&gt;"",VLOOKUP(X1761,game_rosters!$C$43:$E$64,3,FALSE))</f>
        <v>0</v>
      </c>
      <c r="Z1761" cm="1">
        <f t="array" ref="Z1761">IFERROR(IF(_xlfn._xlws.FILTER(game_rosters!$J:$J,(game_rosters!$G:$G=events!$AN1761)*(game_rosters!$J:$J=events!$X1761))&gt;0,1,""),"")</f>
        <v>1</v>
      </c>
      <c r="AA1761">
        <f t="shared" si="1723"/>
        <v>1925</v>
      </c>
      <c r="AB1761" t="str">
        <f t="shared" si="1724"/>
        <v/>
      </c>
      <c r="AC1761">
        <f t="shared" si="1672"/>
        <v>1925</v>
      </c>
      <c r="AD1761" s="6">
        <v>3</v>
      </c>
      <c r="AE1761" t="s">
        <v>909</v>
      </c>
      <c r="AF1761" t="s">
        <v>748</v>
      </c>
      <c r="AG1761" t="s">
        <v>909</v>
      </c>
      <c r="AH1761" t="s">
        <v>413</v>
      </c>
      <c r="AI1761" t="s">
        <v>367</v>
      </c>
      <c r="AJ1761" t="str">
        <f t="shared" ref="AJ1761:AK1761" si="1729">IF($J1761&lt;&gt;"",$J1761,IF($AC1761=$AC1760,AJ1760,""))</f>
        <v>o</v>
      </c>
      <c r="AK1761" t="str">
        <f t="shared" si="1729"/>
        <v>o</v>
      </c>
      <c r="AL1761" t="str">
        <f t="shared" si="1677"/>
        <v>o</v>
      </c>
      <c r="AN1761" t="s">
        <v>861</v>
      </c>
      <c r="AO1761" t="str">
        <f t="shared" si="1678"/>
        <v>h</v>
      </c>
      <c r="AP1761" t="str">
        <f t="shared" si="1686"/>
        <v>o</v>
      </c>
      <c r="AQ1761" t="str">
        <f t="shared" si="1687"/>
        <v/>
      </c>
      <c r="AR1761" t="str">
        <f t="shared" si="1688"/>
        <v>Home</v>
      </c>
      <c r="AS1761" t="str">
        <f t="shared" si="1689"/>
        <v>h</v>
      </c>
      <c r="AT1761" t="str">
        <f t="shared" si="1690"/>
        <v>Offensive</v>
      </c>
      <c r="BA1761" s="6">
        <f t="shared" si="1679"/>
        <v>408</v>
      </c>
      <c r="BB1761">
        <f t="shared" si="1680"/>
        <v>18981</v>
      </c>
      <c r="BC1761" t="str">
        <f t="shared" si="1681"/>
        <v>Nelson</v>
      </c>
      <c r="BD1761" t="str">
        <f t="shared" si="1682"/>
        <v>Velodrome</v>
      </c>
      <c r="BE1761" t="s">
        <v>238</v>
      </c>
      <c r="BF1761" t="s">
        <v>174</v>
      </c>
      <c r="BG1761" t="s">
        <v>85</v>
      </c>
      <c r="BI1761" cm="1">
        <f t="array" aca="1" ref="BI1761" ca="1">IFERROR(_xlfn._xlws.FILTER(shifts!A:A,(shifts!B:B=events!AD1761)*(shifts!AG:AG&gt;=events!BK1761)*(shifts!AH:AH&lt;=events!BL1761)),BI1760)</f>
        <v>80</v>
      </c>
      <c r="BJ1761" s="15">
        <f t="shared" si="1683"/>
        <v>1</v>
      </c>
      <c r="BK1761">
        <f t="shared" si="1691"/>
        <v>961</v>
      </c>
      <c r="BL1761">
        <f t="shared" si="1692"/>
        <v>960</v>
      </c>
      <c r="BM1761" s="15">
        <f>SUMIFS(BJ$2:BJ1761,K$2:K1761,"=Intermission")+SUMIFS(BJ$2:BJ1761,K$2:K1761,"=Timeout")</f>
        <v>142</v>
      </c>
      <c r="BN1761">
        <f t="shared" si="1693"/>
        <v>2302</v>
      </c>
      <c r="BO1761" s="19">
        <f t="shared" si="1694"/>
        <v>2421</v>
      </c>
      <c r="BP1761">
        <f t="shared" si="1695"/>
        <v>2416</v>
      </c>
      <c r="BQ1761" s="17">
        <f t="shared" si="1696"/>
        <v>2422</v>
      </c>
      <c r="BR1761" t="str">
        <f t="shared" si="1697"/>
        <v>event_team_player_1</v>
      </c>
      <c r="BS1761">
        <f>COUNTIFS(S$3:S1761,"="&amp;S1761,AI$3:AI1761,"="&amp;AI1761)</f>
        <v>1</v>
      </c>
      <c r="BT1761" t="str">
        <f>IFERROR(VLOOKUP(BB1761&amp;BU1761&amp;X1761,game_rosters!U:W,3,FALSE),"")</f>
        <v>P100079</v>
      </c>
      <c r="BU1761" t="str">
        <f t="shared" si="1698"/>
        <v>Nelson</v>
      </c>
    </row>
    <row r="1762" spans="1:73" x14ac:dyDescent="0.2">
      <c r="A1762">
        <f t="shared" si="1684"/>
        <v>1</v>
      </c>
      <c r="J1762" s="44" t="str">
        <f t="shared" si="1699"/>
        <v>o</v>
      </c>
      <c r="K1762" t="s">
        <v>238</v>
      </c>
      <c r="L1762" t="s">
        <v>174</v>
      </c>
      <c r="M1762" t="s">
        <v>85</v>
      </c>
      <c r="S1762">
        <v>925</v>
      </c>
      <c r="W1762" t="str">
        <f t="shared" si="1675"/>
        <v>h</v>
      </c>
      <c r="X1762">
        <v>3</v>
      </c>
      <c r="Y1762" t="b">
        <f>IF(X1762&lt;&gt;"",VLOOKUP(X1762,game_rosters!$C$43:$E$64,3,FALSE))</f>
        <v>0</v>
      </c>
      <c r="Z1762" cm="1">
        <f t="array" ref="Z1762">IFERROR(IF(_xlfn._xlws.FILTER(game_rosters!$J:$J,(game_rosters!$G:$G=events!$AN1762)*(game_rosters!$J:$J=events!$X1762))&gt;0,1,""),"")</f>
        <v>1</v>
      </c>
      <c r="AA1762">
        <f t="shared" si="1723"/>
        <v>1925</v>
      </c>
      <c r="AB1762" t="str">
        <f t="shared" si="1724"/>
        <v/>
      </c>
      <c r="AC1762">
        <f t="shared" si="1672"/>
        <v>1925</v>
      </c>
      <c r="AD1762" s="6">
        <v>3</v>
      </c>
      <c r="AE1762" t="s">
        <v>909</v>
      </c>
      <c r="AF1762" t="s">
        <v>748</v>
      </c>
      <c r="AG1762" t="s">
        <v>909</v>
      </c>
      <c r="AH1762" t="s">
        <v>413</v>
      </c>
      <c r="AI1762" t="s">
        <v>367</v>
      </c>
      <c r="AJ1762" t="str">
        <f t="shared" ref="AJ1762:AK1762" si="1730">IF($J1762&lt;&gt;"",$J1762,IF($AC1762=$AC1761,AJ1761,""))</f>
        <v>o</v>
      </c>
      <c r="AK1762" t="str">
        <f t="shared" si="1730"/>
        <v>o</v>
      </c>
      <c r="AL1762" t="str">
        <f t="shared" si="1677"/>
        <v>o</v>
      </c>
      <c r="AN1762" t="s">
        <v>861</v>
      </c>
      <c r="AO1762" t="str">
        <f t="shared" si="1678"/>
        <v>h</v>
      </c>
      <c r="AP1762" t="str">
        <f t="shared" si="1686"/>
        <v>o</v>
      </c>
      <c r="AQ1762" t="str">
        <f t="shared" si="1687"/>
        <v/>
      </c>
      <c r="AR1762" t="str">
        <f t="shared" si="1688"/>
        <v>Home</v>
      </c>
      <c r="AS1762" t="str">
        <f t="shared" si="1689"/>
        <v>h</v>
      </c>
      <c r="AT1762" t="str">
        <f t="shared" si="1690"/>
        <v>Offensive</v>
      </c>
      <c r="BA1762" s="6">
        <f t="shared" si="1679"/>
        <v>409</v>
      </c>
      <c r="BB1762">
        <f t="shared" si="1680"/>
        <v>18981</v>
      </c>
      <c r="BC1762" t="str">
        <f t="shared" si="1681"/>
        <v>Nelson</v>
      </c>
      <c r="BD1762" t="str">
        <f t="shared" si="1682"/>
        <v>Velodrome</v>
      </c>
      <c r="BE1762" t="s">
        <v>238</v>
      </c>
      <c r="BF1762" t="s">
        <v>174</v>
      </c>
      <c r="BG1762" t="s">
        <v>85</v>
      </c>
      <c r="BI1762" cm="1">
        <f t="array" aca="1" ref="BI1762" ca="1">IFERROR(_xlfn._xlws.FILTER(shifts!A:A,(shifts!B:B=events!AD1762)*(shifts!AG:AG&gt;=events!BK1762)*(shifts!AH:AH&lt;=events!BL1762)),BI1761)</f>
        <v>80</v>
      </c>
      <c r="BJ1762" s="15">
        <f t="shared" si="1683"/>
        <v>1</v>
      </c>
      <c r="BK1762">
        <f t="shared" si="1691"/>
        <v>961</v>
      </c>
      <c r="BL1762">
        <f t="shared" si="1692"/>
        <v>960</v>
      </c>
      <c r="BM1762" s="15">
        <f>SUMIFS(BJ$2:BJ1762,K$2:K1762,"=Intermission")+SUMIFS(BJ$2:BJ1762,K$2:K1762,"=Timeout")</f>
        <v>142</v>
      </c>
      <c r="BN1762">
        <f t="shared" si="1693"/>
        <v>2302</v>
      </c>
      <c r="BO1762" s="19">
        <f t="shared" si="1694"/>
        <v>2421</v>
      </c>
      <c r="BP1762">
        <f t="shared" si="1695"/>
        <v>2416</v>
      </c>
      <c r="BQ1762" s="17">
        <f t="shared" si="1696"/>
        <v>2422</v>
      </c>
      <c r="BR1762" t="str">
        <f t="shared" si="1697"/>
        <v>event_team_player_2</v>
      </c>
      <c r="BS1762">
        <f>COUNTIFS(S$3:S1762,"="&amp;S1762,AI$3:AI1762,"="&amp;AI1762)</f>
        <v>2</v>
      </c>
      <c r="BT1762" t="str">
        <f>IFERROR(VLOOKUP(BB1762&amp;BU1762&amp;X1762,game_rosters!U:W,3,FALSE),"")</f>
        <v>P100111</v>
      </c>
      <c r="BU1762" t="str">
        <f t="shared" si="1698"/>
        <v>Nelson</v>
      </c>
    </row>
    <row r="1763" spans="1:73" x14ac:dyDescent="0.2">
      <c r="A1763">
        <f t="shared" si="1684"/>
        <v>1</v>
      </c>
      <c r="J1763" s="44" t="str">
        <f t="shared" si="1699"/>
        <v>o</v>
      </c>
      <c r="K1763" t="s">
        <v>238</v>
      </c>
      <c r="L1763" t="s">
        <v>174</v>
      </c>
      <c r="M1763" t="s">
        <v>85</v>
      </c>
      <c r="S1763">
        <v>925</v>
      </c>
      <c r="W1763" t="str">
        <f t="shared" si="1675"/>
        <v>h</v>
      </c>
      <c r="X1763">
        <v>22</v>
      </c>
      <c r="Y1763" t="e">
        <f>IF(X1763&lt;&gt;"",VLOOKUP(X1763,game_rosters!$C$43:$E$64,3,FALSE))</f>
        <v>#N/A</v>
      </c>
      <c r="Z1763" t="str" cm="1">
        <f t="array" ref="Z1763">IFERROR(IF(_xlfn._xlws.FILTER(game_rosters!$J:$J,(game_rosters!$G:$G=events!$AN1763)*(game_rosters!$J:$J=events!$X1763))&gt;0,1,""),"")</f>
        <v/>
      </c>
      <c r="AA1763">
        <f t="shared" si="1723"/>
        <v>1925</v>
      </c>
      <c r="AB1763" t="str">
        <f t="shared" si="1724"/>
        <v/>
      </c>
      <c r="AC1763">
        <f t="shared" si="1672"/>
        <v>1925</v>
      </c>
      <c r="AD1763" s="6">
        <v>3</v>
      </c>
      <c r="AE1763" t="s">
        <v>909</v>
      </c>
      <c r="AF1763" t="s">
        <v>748</v>
      </c>
      <c r="AG1763" t="s">
        <v>909</v>
      </c>
      <c r="AH1763" t="s">
        <v>413</v>
      </c>
      <c r="AI1763" t="s">
        <v>368</v>
      </c>
      <c r="AJ1763" t="str">
        <f t="shared" ref="AJ1763:AK1763" si="1731">IF($J1763&lt;&gt;"",$J1763,IF($AC1763=$AC1762,AJ1762,""))</f>
        <v>o</v>
      </c>
      <c r="AK1763" t="str">
        <f t="shared" si="1731"/>
        <v>o</v>
      </c>
      <c r="AL1763" t="str">
        <f t="shared" si="1677"/>
        <v>o</v>
      </c>
      <c r="AN1763" t="s">
        <v>861</v>
      </c>
      <c r="AO1763" t="str">
        <f t="shared" si="1678"/>
        <v>h</v>
      </c>
      <c r="AP1763" t="str">
        <f t="shared" si="1686"/>
        <v>o</v>
      </c>
      <c r="AQ1763" t="str">
        <f t="shared" si="1687"/>
        <v/>
      </c>
      <c r="AR1763" t="str">
        <f t="shared" si="1688"/>
        <v>Home</v>
      </c>
      <c r="AS1763" t="str">
        <f t="shared" si="1689"/>
        <v>h</v>
      </c>
      <c r="AT1763" t="str">
        <f t="shared" si="1690"/>
        <v>Defensive</v>
      </c>
      <c r="BA1763" s="6">
        <f t="shared" si="1679"/>
        <v>410</v>
      </c>
      <c r="BB1763">
        <f t="shared" si="1680"/>
        <v>18981</v>
      </c>
      <c r="BC1763" t="str">
        <f t="shared" si="1681"/>
        <v>Nelson</v>
      </c>
      <c r="BD1763" t="str">
        <f t="shared" si="1682"/>
        <v>Velodrome</v>
      </c>
      <c r="BE1763" t="s">
        <v>238</v>
      </c>
      <c r="BF1763" t="s">
        <v>174</v>
      </c>
      <c r="BG1763" t="s">
        <v>85</v>
      </c>
      <c r="BI1763" cm="1">
        <f t="array" aca="1" ref="BI1763" ca="1">IFERROR(_xlfn._xlws.FILTER(shifts!A:A,(shifts!B:B=events!AD1763)*(shifts!AG:AG&gt;=events!BK1763)*(shifts!AH:AH&lt;=events!BL1763)),BI1762)</f>
        <v>80</v>
      </c>
      <c r="BJ1763" s="15">
        <f t="shared" si="1683"/>
        <v>1</v>
      </c>
      <c r="BK1763">
        <f t="shared" si="1691"/>
        <v>961</v>
      </c>
      <c r="BL1763">
        <f t="shared" si="1692"/>
        <v>960</v>
      </c>
      <c r="BM1763" s="15">
        <f>SUMIFS(BJ$2:BJ1763,K$2:K1763,"=Intermission")+SUMIFS(BJ$2:BJ1763,K$2:K1763,"=Timeout")</f>
        <v>142</v>
      </c>
      <c r="BN1763">
        <f t="shared" si="1693"/>
        <v>2302</v>
      </c>
      <c r="BO1763" s="19">
        <f t="shared" si="1694"/>
        <v>2421</v>
      </c>
      <c r="BP1763">
        <f t="shared" si="1695"/>
        <v>2416</v>
      </c>
      <c r="BQ1763" s="17">
        <f t="shared" si="1696"/>
        <v>2422</v>
      </c>
      <c r="BR1763" t="str">
        <f t="shared" si="1697"/>
        <v>opp_team_player_1</v>
      </c>
      <c r="BS1763">
        <f>COUNTIFS(S$3:S1763,"="&amp;S1763,AI$3:AI1763,"="&amp;AI1763)</f>
        <v>1</v>
      </c>
      <c r="BT1763" t="str">
        <f>IFERROR(VLOOKUP(BB1763&amp;BU1763&amp;X1763,game_rosters!U:W,3,FALSE),"")</f>
        <v>P100108</v>
      </c>
      <c r="BU1763" t="str">
        <f t="shared" si="1698"/>
        <v>Velodrome</v>
      </c>
    </row>
    <row r="1764" spans="1:73" x14ac:dyDescent="0.2">
      <c r="A1764">
        <f t="shared" si="1684"/>
        <v>1</v>
      </c>
      <c r="J1764" s="44" t="str">
        <f t="shared" si="1699"/>
        <v>o</v>
      </c>
      <c r="K1764" t="s">
        <v>238</v>
      </c>
      <c r="L1764" t="s">
        <v>174</v>
      </c>
      <c r="M1764" t="s">
        <v>85</v>
      </c>
      <c r="S1764">
        <v>925</v>
      </c>
      <c r="W1764" t="str">
        <f t="shared" si="1675"/>
        <v>h</v>
      </c>
      <c r="X1764">
        <v>52</v>
      </c>
      <c r="Y1764" t="e">
        <f>IF(X1764&lt;&gt;"",VLOOKUP(X1764,game_rosters!$C$43:$E$64,3,FALSE))</f>
        <v>#N/A</v>
      </c>
      <c r="Z1764" t="str" cm="1">
        <f t="array" ref="Z1764">IFERROR(IF(_xlfn._xlws.FILTER(game_rosters!$J:$J,(game_rosters!$G:$G=events!$AN1764)*(game_rosters!$J:$J=events!$X1764))&gt;0,1,""),"")</f>
        <v/>
      </c>
      <c r="AA1764">
        <f t="shared" si="1723"/>
        <v>1925</v>
      </c>
      <c r="AB1764" t="str">
        <f t="shared" si="1724"/>
        <v/>
      </c>
      <c r="AC1764">
        <f t="shared" si="1672"/>
        <v>1925</v>
      </c>
      <c r="AD1764" s="6">
        <v>3</v>
      </c>
      <c r="AE1764" t="s">
        <v>909</v>
      </c>
      <c r="AF1764" t="s">
        <v>748</v>
      </c>
      <c r="AG1764" t="s">
        <v>909</v>
      </c>
      <c r="AH1764" t="s">
        <v>413</v>
      </c>
      <c r="AI1764" t="s">
        <v>368</v>
      </c>
      <c r="AJ1764" t="str">
        <f t="shared" ref="AJ1764:AK1764" si="1732">IF($J1764&lt;&gt;"",$J1764,IF($AC1764=$AC1763,AJ1763,""))</f>
        <v>o</v>
      </c>
      <c r="AK1764" t="str">
        <f t="shared" si="1732"/>
        <v>o</v>
      </c>
      <c r="AL1764" t="str">
        <f t="shared" si="1677"/>
        <v>o</v>
      </c>
      <c r="AN1764" t="s">
        <v>861</v>
      </c>
      <c r="AO1764" t="str">
        <f t="shared" si="1678"/>
        <v>h</v>
      </c>
      <c r="AP1764" t="str">
        <f t="shared" si="1686"/>
        <v>o</v>
      </c>
      <c r="AQ1764" t="str">
        <f t="shared" si="1687"/>
        <v/>
      </c>
      <c r="AR1764" t="str">
        <f t="shared" si="1688"/>
        <v>Home</v>
      </c>
      <c r="AS1764" t="str">
        <f t="shared" si="1689"/>
        <v>h</v>
      </c>
      <c r="AT1764" t="str">
        <f t="shared" si="1690"/>
        <v>Defensive</v>
      </c>
      <c r="BA1764" s="6">
        <f t="shared" si="1679"/>
        <v>411</v>
      </c>
      <c r="BB1764">
        <f t="shared" si="1680"/>
        <v>18981</v>
      </c>
      <c r="BC1764" t="str">
        <f t="shared" si="1681"/>
        <v>Nelson</v>
      </c>
      <c r="BD1764" t="str">
        <f t="shared" si="1682"/>
        <v>Velodrome</v>
      </c>
      <c r="BE1764" t="s">
        <v>238</v>
      </c>
      <c r="BF1764" t="s">
        <v>174</v>
      </c>
      <c r="BG1764" t="s">
        <v>85</v>
      </c>
      <c r="BI1764" cm="1">
        <f t="array" aca="1" ref="BI1764" ca="1">IFERROR(_xlfn._xlws.FILTER(shifts!A:A,(shifts!B:B=events!AD1764)*(shifts!AG:AG&gt;=events!BK1764)*(shifts!AH:AH&lt;=events!BL1764)),BI1763)</f>
        <v>80</v>
      </c>
      <c r="BJ1764" s="15">
        <f t="shared" si="1683"/>
        <v>1</v>
      </c>
      <c r="BK1764">
        <f t="shared" si="1691"/>
        <v>961</v>
      </c>
      <c r="BL1764">
        <f t="shared" si="1692"/>
        <v>960</v>
      </c>
      <c r="BM1764" s="15">
        <f>SUMIFS(BJ$2:BJ1764,K$2:K1764,"=Intermission")+SUMIFS(BJ$2:BJ1764,K$2:K1764,"=Timeout")</f>
        <v>142</v>
      </c>
      <c r="BN1764">
        <f t="shared" si="1693"/>
        <v>2302</v>
      </c>
      <c r="BO1764" s="19">
        <f t="shared" si="1694"/>
        <v>2421</v>
      </c>
      <c r="BP1764">
        <f t="shared" si="1695"/>
        <v>2416</v>
      </c>
      <c r="BQ1764" s="17">
        <f t="shared" si="1696"/>
        <v>2422</v>
      </c>
      <c r="BR1764" t="str">
        <f t="shared" si="1697"/>
        <v>opp_team_player_2</v>
      </c>
      <c r="BS1764">
        <f>COUNTIFS(S$3:S1764,"="&amp;S1764,AI$3:AI1764,"="&amp;AI1764)</f>
        <v>2</v>
      </c>
      <c r="BT1764" t="str">
        <f>IFERROR(VLOOKUP(BB1764&amp;BU1764&amp;X1764,game_rosters!U:W,3,FALSE),"")</f>
        <v>P100070</v>
      </c>
      <c r="BU1764" t="str">
        <f t="shared" si="1698"/>
        <v>Velodrome</v>
      </c>
    </row>
    <row r="1765" spans="1:73" x14ac:dyDescent="0.2">
      <c r="A1765">
        <f t="shared" si="1684"/>
        <v>1</v>
      </c>
      <c r="J1765" s="44" t="str">
        <f t="shared" si="1699"/>
        <v>o</v>
      </c>
      <c r="K1765" t="s">
        <v>6</v>
      </c>
      <c r="L1765" t="s">
        <v>181</v>
      </c>
      <c r="M1765" t="s">
        <v>51</v>
      </c>
      <c r="S1765">
        <v>926</v>
      </c>
      <c r="W1765" t="str">
        <f t="shared" si="1675"/>
        <v>h</v>
      </c>
      <c r="X1765">
        <v>44</v>
      </c>
      <c r="Y1765" t="b">
        <f>IF(X1765&lt;&gt;"",VLOOKUP(X1765,game_rosters!$C$43:$E$64,3,FALSE))</f>
        <v>0</v>
      </c>
      <c r="Z1765" cm="1">
        <f t="array" ref="Z1765">IFERROR(IF(_xlfn._xlws.FILTER(game_rosters!$J:$J,(game_rosters!$G:$G=events!$AN1765)*(game_rosters!$J:$J=events!$X1765))&gt;0,1,""),"")</f>
        <v>1</v>
      </c>
      <c r="AA1765">
        <f t="shared" si="1723"/>
        <v>1926</v>
      </c>
      <c r="AB1765" t="str">
        <f t="shared" si="1724"/>
        <v/>
      </c>
      <c r="AC1765">
        <f t="shared" si="1672"/>
        <v>1926</v>
      </c>
      <c r="AD1765" s="6">
        <v>3</v>
      </c>
      <c r="AE1765" t="s">
        <v>909</v>
      </c>
      <c r="AF1765" t="s">
        <v>413</v>
      </c>
      <c r="AG1765" t="s">
        <v>756</v>
      </c>
      <c r="AH1765" t="s">
        <v>756</v>
      </c>
      <c r="AI1765" t="s">
        <v>367</v>
      </c>
      <c r="AJ1765" t="str">
        <f t="shared" ref="AJ1765:AK1765" si="1733">IF($J1765&lt;&gt;"",$J1765,IF($AC1765=$AC1764,AJ1764,""))</f>
        <v>o</v>
      </c>
      <c r="AK1765" t="str">
        <f t="shared" si="1733"/>
        <v>o</v>
      </c>
      <c r="AL1765" t="str">
        <f t="shared" si="1677"/>
        <v>o</v>
      </c>
      <c r="AN1765" t="s">
        <v>861</v>
      </c>
      <c r="AO1765" t="str">
        <f t="shared" si="1678"/>
        <v>h</v>
      </c>
      <c r="AP1765" t="str">
        <f t="shared" si="1686"/>
        <v>o</v>
      </c>
      <c r="AQ1765" t="str">
        <f t="shared" si="1687"/>
        <v/>
      </c>
      <c r="AR1765" t="str">
        <f t="shared" si="1688"/>
        <v>Home</v>
      </c>
      <c r="AS1765" t="str">
        <f t="shared" si="1689"/>
        <v>h</v>
      </c>
      <c r="AT1765" t="str">
        <f t="shared" si="1690"/>
        <v>Offensive</v>
      </c>
      <c r="BA1765" s="6">
        <f t="shared" si="1679"/>
        <v>411</v>
      </c>
      <c r="BB1765">
        <f t="shared" si="1680"/>
        <v>18981</v>
      </c>
      <c r="BC1765" t="str">
        <f t="shared" si="1681"/>
        <v>Nelson</v>
      </c>
      <c r="BD1765" t="str">
        <f t="shared" si="1682"/>
        <v>Velodrome</v>
      </c>
      <c r="BE1765" t="s">
        <v>6</v>
      </c>
      <c r="BF1765" t="s">
        <v>181</v>
      </c>
      <c r="BG1765" t="s">
        <v>51</v>
      </c>
      <c r="BI1765" cm="1">
        <f t="array" aca="1" ref="BI1765" ca="1">IFERROR(_xlfn._xlws.FILTER(shifts!A:A,(shifts!B:B=events!AD1765)*(shifts!AG:AG&gt;=events!BK1765)*(shifts!AH:AH&lt;=events!BL1765)),BI1764)</f>
        <v>80</v>
      </c>
      <c r="BJ1765" s="15">
        <f t="shared" si="1683"/>
        <v>0</v>
      </c>
      <c r="BK1765">
        <f t="shared" si="1691"/>
        <v>960</v>
      </c>
      <c r="BL1765">
        <f t="shared" si="1692"/>
        <v>960</v>
      </c>
      <c r="BM1765" s="15">
        <f>SUMIFS(BJ$2:BJ1765,K$2:K1765,"=Intermission")+SUMIFS(BJ$2:BJ1765,K$2:K1765,"=Timeout")</f>
        <v>142</v>
      </c>
      <c r="BN1765">
        <f t="shared" si="1693"/>
        <v>2302</v>
      </c>
      <c r="BO1765" s="19">
        <f t="shared" si="1694"/>
        <v>2422</v>
      </c>
      <c r="BP1765">
        <f t="shared" si="1695"/>
        <v>2417</v>
      </c>
      <c r="BQ1765" s="17">
        <f t="shared" si="1696"/>
        <v>2422</v>
      </c>
      <c r="BR1765" t="str">
        <f t="shared" si="1697"/>
        <v>event_team_player_1</v>
      </c>
      <c r="BS1765">
        <f>COUNTIFS(S$3:S1765,"="&amp;S1765,AI$3:AI1765,"="&amp;AI1765)</f>
        <v>1</v>
      </c>
      <c r="BT1765" t="str">
        <f>IFERROR(VLOOKUP(BB1765&amp;BU1765&amp;X1765,game_rosters!U:W,3,FALSE),"")</f>
        <v>P100079</v>
      </c>
      <c r="BU1765" t="str">
        <f t="shared" si="1698"/>
        <v>Nelson</v>
      </c>
    </row>
    <row r="1766" spans="1:73" x14ac:dyDescent="0.2">
      <c r="A1766">
        <f t="shared" si="1684"/>
        <v>1</v>
      </c>
      <c r="J1766" s="44" t="str">
        <f t="shared" si="1699"/>
        <v>o</v>
      </c>
      <c r="K1766" t="s">
        <v>6</v>
      </c>
      <c r="L1766" t="s">
        <v>181</v>
      </c>
      <c r="M1766" t="s">
        <v>51</v>
      </c>
      <c r="S1766">
        <v>926</v>
      </c>
      <c r="W1766" t="str">
        <f t="shared" si="1675"/>
        <v>h</v>
      </c>
      <c r="X1766">
        <v>22</v>
      </c>
      <c r="Y1766" t="e">
        <f>IF(X1766&lt;&gt;"",VLOOKUP(X1766,game_rosters!$C$43:$E$64,3,FALSE))</f>
        <v>#N/A</v>
      </c>
      <c r="Z1766" t="str" cm="1">
        <f t="array" ref="Z1766">IFERROR(IF(_xlfn._xlws.FILTER(game_rosters!$J:$J,(game_rosters!$G:$G=events!$AN1766)*(game_rosters!$J:$J=events!$X1766))&gt;0,1,""),"")</f>
        <v/>
      </c>
      <c r="AA1766">
        <f t="shared" si="1723"/>
        <v>1926</v>
      </c>
      <c r="AB1766" t="str">
        <f t="shared" si="1724"/>
        <v/>
      </c>
      <c r="AC1766">
        <f t="shared" si="1672"/>
        <v>1926</v>
      </c>
      <c r="AD1766" s="6">
        <v>3</v>
      </c>
      <c r="AE1766" t="s">
        <v>909</v>
      </c>
      <c r="AF1766" t="s">
        <v>413</v>
      </c>
      <c r="AG1766" t="s">
        <v>756</v>
      </c>
      <c r="AH1766" t="s">
        <v>756</v>
      </c>
      <c r="AI1766" t="s">
        <v>368</v>
      </c>
      <c r="AJ1766" t="str">
        <f t="shared" ref="AJ1766:AK1766" si="1734">IF($J1766&lt;&gt;"",$J1766,IF($AC1766=$AC1765,AJ1765,""))</f>
        <v>o</v>
      </c>
      <c r="AK1766" t="str">
        <f t="shared" si="1734"/>
        <v>o</v>
      </c>
      <c r="AL1766" t="str">
        <f t="shared" si="1677"/>
        <v>o</v>
      </c>
      <c r="AN1766" t="s">
        <v>861</v>
      </c>
      <c r="AO1766" t="str">
        <f t="shared" si="1678"/>
        <v>h</v>
      </c>
      <c r="AP1766" t="str">
        <f t="shared" si="1686"/>
        <v>o</v>
      </c>
      <c r="AQ1766" t="str">
        <f t="shared" si="1687"/>
        <v/>
      </c>
      <c r="AR1766" t="str">
        <f t="shared" si="1688"/>
        <v>Home</v>
      </c>
      <c r="AS1766" t="str">
        <f t="shared" si="1689"/>
        <v>h</v>
      </c>
      <c r="AT1766" t="str">
        <f t="shared" si="1690"/>
        <v>Defensive</v>
      </c>
      <c r="BA1766" s="6">
        <f t="shared" si="1679"/>
        <v>411</v>
      </c>
      <c r="BB1766">
        <f t="shared" si="1680"/>
        <v>18981</v>
      </c>
      <c r="BC1766" t="str">
        <f t="shared" si="1681"/>
        <v>Nelson</v>
      </c>
      <c r="BD1766" t="str">
        <f t="shared" si="1682"/>
        <v>Velodrome</v>
      </c>
      <c r="BE1766" t="s">
        <v>6</v>
      </c>
      <c r="BF1766" t="s">
        <v>181</v>
      </c>
      <c r="BG1766" t="s">
        <v>51</v>
      </c>
      <c r="BI1766" cm="1">
        <f t="array" aca="1" ref="BI1766" ca="1">IFERROR(_xlfn._xlws.FILTER(shifts!A:A,(shifts!B:B=events!AD1766)*(shifts!AG:AG&gt;=events!BK1766)*(shifts!AH:AH&lt;=events!BL1766)),BI1765)</f>
        <v>80</v>
      </c>
      <c r="BJ1766" s="15">
        <f t="shared" si="1683"/>
        <v>0</v>
      </c>
      <c r="BK1766">
        <f t="shared" si="1691"/>
        <v>960</v>
      </c>
      <c r="BL1766">
        <f t="shared" si="1692"/>
        <v>960</v>
      </c>
      <c r="BM1766" s="15">
        <f>SUMIFS(BJ$2:BJ1766,K$2:K1766,"=Intermission")+SUMIFS(BJ$2:BJ1766,K$2:K1766,"=Timeout")</f>
        <v>142</v>
      </c>
      <c r="BN1766">
        <f t="shared" si="1693"/>
        <v>2302</v>
      </c>
      <c r="BO1766" s="19">
        <f t="shared" si="1694"/>
        <v>2422</v>
      </c>
      <c r="BP1766">
        <f t="shared" si="1695"/>
        <v>2417</v>
      </c>
      <c r="BQ1766" s="17">
        <f t="shared" si="1696"/>
        <v>2422</v>
      </c>
      <c r="BR1766" t="str">
        <f t="shared" si="1697"/>
        <v>opp_team_player_1</v>
      </c>
      <c r="BS1766">
        <f>COUNTIFS(S$3:S1766,"="&amp;S1766,AI$3:AI1766,"="&amp;AI1766)</f>
        <v>1</v>
      </c>
      <c r="BT1766" t="str">
        <f>IFERROR(VLOOKUP(BB1766&amp;BU1766&amp;X1766,game_rosters!U:W,3,FALSE),"")</f>
        <v>P100108</v>
      </c>
      <c r="BU1766" t="str">
        <f t="shared" si="1698"/>
        <v>Velodrome</v>
      </c>
    </row>
    <row r="1767" spans="1:73" x14ac:dyDescent="0.2">
      <c r="A1767">
        <f t="shared" si="1684"/>
        <v>1</v>
      </c>
      <c r="J1767" s="44" t="str">
        <f t="shared" si="1699"/>
        <v/>
      </c>
      <c r="K1767" t="s">
        <v>230</v>
      </c>
      <c r="L1767" t="s">
        <v>389</v>
      </c>
      <c r="M1767" t="s">
        <v>448</v>
      </c>
      <c r="S1767">
        <v>927</v>
      </c>
      <c r="W1767" t="str">
        <f t="shared" si="1675"/>
        <v>a</v>
      </c>
      <c r="X1767">
        <v>22</v>
      </c>
      <c r="Y1767" t="e">
        <f>IF(X1767&lt;&gt;"",VLOOKUP(X1767,game_rosters!$C$43:$E$64,3,FALSE))</f>
        <v>#N/A</v>
      </c>
      <c r="Z1767" cm="1">
        <f t="array" ref="Z1767">IFERROR(IF(_xlfn._xlws.FILTER(game_rosters!$J:$J,(game_rosters!$G:$G=events!$AN1767)*(game_rosters!$J:$J=events!$X1767))&gt;0,1,""),"")</f>
        <v>1</v>
      </c>
      <c r="AA1767">
        <f t="shared" si="1723"/>
        <v>1927</v>
      </c>
      <c r="AB1767" t="str">
        <f t="shared" si="1724"/>
        <v/>
      </c>
      <c r="AC1767">
        <f t="shared" si="1672"/>
        <v>1927</v>
      </c>
      <c r="AD1767" s="6">
        <v>3</v>
      </c>
      <c r="AE1767" t="s">
        <v>744</v>
      </c>
      <c r="AF1767" t="s">
        <v>921</v>
      </c>
      <c r="AG1767" t="s">
        <v>756</v>
      </c>
      <c r="AH1767" t="s">
        <v>756</v>
      </c>
      <c r="AI1767" t="s">
        <v>367</v>
      </c>
      <c r="AJ1767" t="str">
        <f t="shared" ref="AJ1767:AK1767" si="1735">IF($J1767&lt;&gt;"",$J1767,IF($AC1767=$AC1766,AJ1766,""))</f>
        <v/>
      </c>
      <c r="AK1767" t="str">
        <f t="shared" si="1735"/>
        <v/>
      </c>
      <c r="AL1767" t="str">
        <f t="shared" si="1677"/>
        <v/>
      </c>
      <c r="AN1767" t="s">
        <v>862</v>
      </c>
      <c r="AO1767" t="str">
        <f t="shared" si="1678"/>
        <v>a</v>
      </c>
      <c r="AP1767" t="str">
        <f t="shared" si="1686"/>
        <v/>
      </c>
      <c r="AQ1767" t="str">
        <f t="shared" si="1687"/>
        <v/>
      </c>
      <c r="AR1767" t="str">
        <f t="shared" si="1688"/>
        <v>Away</v>
      </c>
      <c r="AS1767" t="str">
        <f t="shared" si="1689"/>
        <v>a</v>
      </c>
      <c r="AT1767" t="str">
        <f t="shared" si="1690"/>
        <v>Defensive</v>
      </c>
      <c r="BA1767" s="6">
        <f t="shared" si="1679"/>
        <v>411</v>
      </c>
      <c r="BB1767">
        <f t="shared" si="1680"/>
        <v>18981</v>
      </c>
      <c r="BC1767" t="str">
        <f t="shared" si="1681"/>
        <v>Nelson</v>
      </c>
      <c r="BD1767" t="str">
        <f t="shared" si="1682"/>
        <v>Velodrome</v>
      </c>
      <c r="BE1767" t="s">
        <v>230</v>
      </c>
      <c r="BF1767" t="s">
        <v>389</v>
      </c>
      <c r="BG1767" t="s">
        <v>448</v>
      </c>
      <c r="BI1767" cm="1">
        <f t="array" aca="1" ref="BI1767" ca="1">IFERROR(_xlfn._xlws.FILTER(shifts!A:A,(shifts!B:B=events!AD1767)*(shifts!AG:AG&gt;=events!BK1767)*(shifts!AH:AH&lt;=events!BL1767)),BI1766)</f>
        <v>80</v>
      </c>
      <c r="BJ1767" s="15">
        <f t="shared" si="1683"/>
        <v>0</v>
      </c>
      <c r="BK1767">
        <f t="shared" si="1691"/>
        <v>953</v>
      </c>
      <c r="BL1767">
        <f t="shared" si="1692"/>
        <v>953</v>
      </c>
      <c r="BM1767" s="15">
        <f>SUMIFS(BJ$2:BJ1767,K$2:K1767,"=Intermission")+SUMIFS(BJ$2:BJ1767,K$2:K1767,"=Timeout")</f>
        <v>142</v>
      </c>
      <c r="BN1767">
        <f t="shared" si="1693"/>
        <v>2302</v>
      </c>
      <c r="BO1767" s="19">
        <f t="shared" si="1694"/>
        <v>2429</v>
      </c>
      <c r="BP1767">
        <f t="shared" si="1695"/>
        <v>2424</v>
      </c>
      <c r="BQ1767" s="17">
        <f t="shared" si="1696"/>
        <v>2429</v>
      </c>
      <c r="BR1767" t="str">
        <f t="shared" si="1697"/>
        <v>event_team_player_1</v>
      </c>
      <c r="BS1767">
        <f>COUNTIFS(S$3:S1767,"="&amp;S1767,AI$3:AI1767,"="&amp;AI1767)</f>
        <v>1</v>
      </c>
      <c r="BT1767" t="str">
        <f>IFERROR(VLOOKUP(BB1767&amp;BU1767&amp;X1767,game_rosters!U:W,3,FALSE),"")</f>
        <v>P100108</v>
      </c>
      <c r="BU1767" t="str">
        <f t="shared" si="1698"/>
        <v>Velodrome</v>
      </c>
    </row>
    <row r="1768" spans="1:73" x14ac:dyDescent="0.2">
      <c r="A1768">
        <f t="shared" si="1684"/>
        <v>1</v>
      </c>
      <c r="J1768" s="44" t="str">
        <f t="shared" si="1699"/>
        <v>d</v>
      </c>
      <c r="K1768" t="s">
        <v>238</v>
      </c>
      <c r="L1768" t="s">
        <v>184</v>
      </c>
      <c r="M1768" t="s">
        <v>88</v>
      </c>
      <c r="S1768">
        <v>928</v>
      </c>
      <c r="W1768" t="str">
        <f t="shared" si="1675"/>
        <v>a</v>
      </c>
      <c r="X1768">
        <v>70</v>
      </c>
      <c r="Y1768" t="e">
        <f>IF(X1768&lt;&gt;"",VLOOKUP(X1768,game_rosters!$C$43:$E$64,3,FALSE))</f>
        <v>#N/A</v>
      </c>
      <c r="Z1768" cm="1">
        <f t="array" ref="Z1768">IFERROR(IF(_xlfn._xlws.FILTER(game_rosters!$J:$J,(game_rosters!$G:$G=events!$AN1768)*(game_rosters!$J:$J=events!$X1768))&gt;0,1,""),"")</f>
        <v>1</v>
      </c>
      <c r="AA1768">
        <f t="shared" si="1723"/>
        <v>1928</v>
      </c>
      <c r="AB1768" t="str">
        <f t="shared" si="1724"/>
        <v/>
      </c>
      <c r="AC1768">
        <f t="shared" si="1672"/>
        <v>1928</v>
      </c>
      <c r="AD1768" s="6">
        <v>3</v>
      </c>
      <c r="AE1768" t="s">
        <v>744</v>
      </c>
      <c r="AF1768" t="s">
        <v>899</v>
      </c>
      <c r="AG1768" t="s">
        <v>744</v>
      </c>
      <c r="AH1768" t="s">
        <v>900</v>
      </c>
      <c r="AI1768" t="s">
        <v>367</v>
      </c>
      <c r="AJ1768" t="str">
        <f t="shared" ref="AJ1768:AK1768" si="1736">IF($J1768&lt;&gt;"",$J1768,IF($AC1768=$AC1767,AJ1767,""))</f>
        <v>d</v>
      </c>
      <c r="AK1768" t="str">
        <f t="shared" si="1736"/>
        <v>d</v>
      </c>
      <c r="AL1768" t="str">
        <f t="shared" si="1677"/>
        <v>o</v>
      </c>
      <c r="AN1768" t="s">
        <v>862</v>
      </c>
      <c r="AO1768" t="str">
        <f t="shared" si="1678"/>
        <v>a</v>
      </c>
      <c r="AP1768" t="str">
        <f t="shared" si="1686"/>
        <v>o</v>
      </c>
      <c r="AQ1768" t="str">
        <f t="shared" si="1687"/>
        <v/>
      </c>
      <c r="AR1768" t="str">
        <f t="shared" si="1688"/>
        <v>Away</v>
      </c>
      <c r="AS1768" t="str">
        <f t="shared" si="1689"/>
        <v>a</v>
      </c>
      <c r="AT1768" t="str">
        <f t="shared" si="1690"/>
        <v>Offensive</v>
      </c>
      <c r="BA1768" s="6">
        <f t="shared" si="1679"/>
        <v>412</v>
      </c>
      <c r="BB1768">
        <f t="shared" si="1680"/>
        <v>18981</v>
      </c>
      <c r="BC1768" t="str">
        <f t="shared" si="1681"/>
        <v>Nelson</v>
      </c>
      <c r="BD1768" t="str">
        <f t="shared" si="1682"/>
        <v>Velodrome</v>
      </c>
      <c r="BE1768" t="s">
        <v>238</v>
      </c>
      <c r="BF1768" t="s">
        <v>184</v>
      </c>
      <c r="BG1768" t="s">
        <v>88</v>
      </c>
      <c r="BI1768" cm="1">
        <f t="array" aca="1" ref="BI1768" ca="1">IFERROR(_xlfn._xlws.FILTER(shifts!A:A,(shifts!B:B=events!AD1768)*(shifts!AG:AG&gt;=events!BK1768)*(shifts!AH:AH&lt;=events!BL1768)),BI1767)</f>
        <v>80</v>
      </c>
      <c r="BJ1768" s="15">
        <f t="shared" si="1683"/>
        <v>1</v>
      </c>
      <c r="BK1768">
        <f t="shared" si="1691"/>
        <v>948</v>
      </c>
      <c r="BL1768">
        <f t="shared" si="1692"/>
        <v>947</v>
      </c>
      <c r="BM1768" s="15">
        <f>SUMIFS(BJ$2:BJ1768,K$2:K1768,"=Intermission")+SUMIFS(BJ$2:BJ1768,K$2:K1768,"=Timeout")</f>
        <v>142</v>
      </c>
      <c r="BN1768">
        <f t="shared" si="1693"/>
        <v>2302</v>
      </c>
      <c r="BO1768" s="19">
        <f t="shared" si="1694"/>
        <v>2434</v>
      </c>
      <c r="BP1768">
        <f t="shared" si="1695"/>
        <v>2429</v>
      </c>
      <c r="BQ1768" s="17">
        <f t="shared" si="1696"/>
        <v>2435</v>
      </c>
      <c r="BR1768" t="str">
        <f t="shared" si="1697"/>
        <v>event_team_player_1</v>
      </c>
      <c r="BS1768">
        <f>COUNTIFS(S$3:S1768,"="&amp;S1768,AI$3:AI1768,"="&amp;AI1768)</f>
        <v>1</v>
      </c>
      <c r="BT1768" t="str">
        <f>IFERROR(VLOOKUP(BB1768&amp;BU1768&amp;X1768,game_rosters!U:W,3,FALSE),"")</f>
        <v>P100001</v>
      </c>
      <c r="BU1768" t="str">
        <f t="shared" si="1698"/>
        <v>Velodrome</v>
      </c>
    </row>
    <row r="1769" spans="1:73" x14ac:dyDescent="0.2">
      <c r="A1769">
        <f t="shared" si="1684"/>
        <v>1</v>
      </c>
      <c r="J1769" s="44" t="str">
        <f t="shared" si="1699"/>
        <v/>
      </c>
      <c r="K1769" t="s">
        <v>13</v>
      </c>
      <c r="L1769" t="s">
        <v>756</v>
      </c>
      <c r="M1769" t="s">
        <v>756</v>
      </c>
      <c r="S1769">
        <v>929</v>
      </c>
      <c r="W1769" t="str">
        <f t="shared" si="1675"/>
        <v>a</v>
      </c>
      <c r="X1769">
        <v>70</v>
      </c>
      <c r="Y1769" t="e">
        <f>IF(X1769&lt;&gt;"",VLOOKUP(X1769,game_rosters!$C$43:$E$64,3,FALSE))</f>
        <v>#N/A</v>
      </c>
      <c r="Z1769" cm="1">
        <f t="array" ref="Z1769">IFERROR(IF(_xlfn._xlws.FILTER(game_rosters!$J:$J,(game_rosters!$G:$G=events!$AN1769)*(game_rosters!$J:$J=events!$X1769))&gt;0,1,""),"")</f>
        <v>1</v>
      </c>
      <c r="AA1769">
        <f t="shared" si="1723"/>
        <v>1929</v>
      </c>
      <c r="AB1769" t="str">
        <f t="shared" si="1724"/>
        <v/>
      </c>
      <c r="AC1769">
        <f t="shared" si="1672"/>
        <v>1929</v>
      </c>
      <c r="AD1769" s="6">
        <v>3</v>
      </c>
      <c r="AE1769" t="s">
        <v>744</v>
      </c>
      <c r="AF1769" t="s">
        <v>900</v>
      </c>
      <c r="AG1769" t="s">
        <v>744</v>
      </c>
      <c r="AH1769" t="s">
        <v>935</v>
      </c>
      <c r="AI1769" t="s">
        <v>367</v>
      </c>
      <c r="AJ1769" t="str">
        <f t="shared" ref="AJ1769:AK1769" si="1737">IF($J1769&lt;&gt;"",$J1769,IF($AC1769=$AC1768,AJ1768,""))</f>
        <v/>
      </c>
      <c r="AK1769" t="str">
        <f t="shared" si="1737"/>
        <v/>
      </c>
      <c r="AL1769" t="str">
        <f t="shared" si="1677"/>
        <v/>
      </c>
      <c r="AN1769" t="s">
        <v>862</v>
      </c>
      <c r="AO1769" t="str">
        <f t="shared" si="1678"/>
        <v>a</v>
      </c>
      <c r="AP1769" t="str">
        <f t="shared" si="1686"/>
        <v/>
      </c>
      <c r="AQ1769" t="str">
        <f t="shared" si="1687"/>
        <v/>
      </c>
      <c r="AR1769" t="str">
        <f t="shared" si="1688"/>
        <v>Away</v>
      </c>
      <c r="AS1769" t="str">
        <f t="shared" si="1689"/>
        <v>a</v>
      </c>
      <c r="AT1769" t="str">
        <f t="shared" si="1690"/>
        <v>Offensive</v>
      </c>
      <c r="BA1769" s="6">
        <f t="shared" si="1679"/>
        <v>412</v>
      </c>
      <c r="BB1769">
        <f t="shared" si="1680"/>
        <v>18981</v>
      </c>
      <c r="BC1769" t="str">
        <f t="shared" si="1681"/>
        <v>Nelson</v>
      </c>
      <c r="BD1769" t="str">
        <f t="shared" si="1682"/>
        <v>Velodrome</v>
      </c>
      <c r="BE1769" t="s">
        <v>13</v>
      </c>
      <c r="BF1769" t="s">
        <v>756</v>
      </c>
      <c r="BG1769" t="s">
        <v>756</v>
      </c>
      <c r="BI1769" cm="1">
        <f t="array" aca="1" ref="BI1769" ca="1">IFERROR(_xlfn._xlws.FILTER(shifts!A:A,(shifts!B:B=events!AD1769)*(shifts!AG:AG&gt;=events!BK1769)*(shifts!AH:AH&lt;=events!BL1769)),BI1768)</f>
        <v>80</v>
      </c>
      <c r="BJ1769" s="15">
        <f t="shared" si="1683"/>
        <v>2</v>
      </c>
      <c r="BK1769">
        <f t="shared" si="1691"/>
        <v>947</v>
      </c>
      <c r="BL1769">
        <f t="shared" si="1692"/>
        <v>945</v>
      </c>
      <c r="BM1769" s="15">
        <f>SUMIFS(BJ$2:BJ1769,K$2:K1769,"=Intermission")+SUMIFS(BJ$2:BJ1769,K$2:K1769,"=Timeout")</f>
        <v>142</v>
      </c>
      <c r="BN1769">
        <f t="shared" si="1693"/>
        <v>2302</v>
      </c>
      <c r="BO1769" s="19">
        <f t="shared" si="1694"/>
        <v>2435</v>
      </c>
      <c r="BP1769">
        <f t="shared" si="1695"/>
        <v>2430</v>
      </c>
      <c r="BQ1769" s="17">
        <f t="shared" si="1696"/>
        <v>2437</v>
      </c>
      <c r="BR1769" t="str">
        <f t="shared" si="1697"/>
        <v>event_team_player_1</v>
      </c>
      <c r="BS1769">
        <f>COUNTIFS(S$3:S1769,"="&amp;S1769,AI$3:AI1769,"="&amp;AI1769)</f>
        <v>1</v>
      </c>
      <c r="BT1769" t="str">
        <f>IFERROR(VLOOKUP(BB1769&amp;BU1769&amp;X1769,game_rosters!U:W,3,FALSE),"")</f>
        <v>P100001</v>
      </c>
      <c r="BU1769" t="str">
        <f t="shared" si="1698"/>
        <v>Velodrome</v>
      </c>
    </row>
    <row r="1770" spans="1:73" x14ac:dyDescent="0.2">
      <c r="A1770">
        <f t="shared" si="1684"/>
        <v>1</v>
      </c>
      <c r="J1770" s="44" t="str">
        <f t="shared" si="1699"/>
        <v>o</v>
      </c>
      <c r="K1770" t="s">
        <v>238</v>
      </c>
      <c r="L1770" t="s">
        <v>174</v>
      </c>
      <c r="M1770" t="s">
        <v>85</v>
      </c>
      <c r="S1770">
        <v>930</v>
      </c>
      <c r="W1770" t="str">
        <f t="shared" si="1675"/>
        <v>a</v>
      </c>
      <c r="X1770">
        <v>70</v>
      </c>
      <c r="Y1770" t="e">
        <f>IF(X1770&lt;&gt;"",VLOOKUP(X1770,game_rosters!$C$43:$E$64,3,FALSE))</f>
        <v>#N/A</v>
      </c>
      <c r="Z1770" cm="1">
        <f t="array" ref="Z1770">IFERROR(IF(_xlfn._xlws.FILTER(game_rosters!$J:$J,(game_rosters!$G:$G=events!$AN1770)*(game_rosters!$J:$J=events!$X1770))&gt;0,1,""),"")</f>
        <v>1</v>
      </c>
      <c r="AA1770">
        <f t="shared" si="1723"/>
        <v>1930</v>
      </c>
      <c r="AB1770" t="str">
        <f t="shared" si="1724"/>
        <v/>
      </c>
      <c r="AC1770">
        <f t="shared" si="1672"/>
        <v>1930</v>
      </c>
      <c r="AD1770" s="6">
        <v>3</v>
      </c>
      <c r="AE1770" t="s">
        <v>744</v>
      </c>
      <c r="AF1770" t="s">
        <v>935</v>
      </c>
      <c r="AG1770" t="s">
        <v>744</v>
      </c>
      <c r="AH1770" t="s">
        <v>901</v>
      </c>
      <c r="AI1770" t="s">
        <v>367</v>
      </c>
      <c r="AJ1770" t="str">
        <f t="shared" ref="AJ1770:AK1770" si="1738">IF($J1770&lt;&gt;"",$J1770,IF($AC1770=$AC1769,AJ1769,""))</f>
        <v>o</v>
      </c>
      <c r="AK1770" t="str">
        <f t="shared" si="1738"/>
        <v>o</v>
      </c>
      <c r="AL1770" t="str">
        <f t="shared" si="1677"/>
        <v>d</v>
      </c>
      <c r="AN1770" t="s">
        <v>862</v>
      </c>
      <c r="AO1770" t="str">
        <f t="shared" si="1678"/>
        <v>a</v>
      </c>
      <c r="AP1770" t="str">
        <f t="shared" si="1686"/>
        <v>d</v>
      </c>
      <c r="AQ1770" t="str">
        <f t="shared" si="1687"/>
        <v/>
      </c>
      <c r="AR1770" t="str">
        <f t="shared" si="1688"/>
        <v>Away</v>
      </c>
      <c r="AS1770" t="str">
        <f t="shared" si="1689"/>
        <v>a</v>
      </c>
      <c r="AT1770" t="str">
        <f t="shared" si="1690"/>
        <v>Offensive</v>
      </c>
      <c r="BA1770" s="6">
        <f t="shared" si="1679"/>
        <v>413</v>
      </c>
      <c r="BB1770">
        <f t="shared" si="1680"/>
        <v>18981</v>
      </c>
      <c r="BC1770" t="str">
        <f t="shared" si="1681"/>
        <v>Nelson</v>
      </c>
      <c r="BD1770" t="str">
        <f t="shared" si="1682"/>
        <v>Velodrome</v>
      </c>
      <c r="BE1770" t="s">
        <v>238</v>
      </c>
      <c r="BF1770" t="s">
        <v>174</v>
      </c>
      <c r="BG1770" t="s">
        <v>85</v>
      </c>
      <c r="BI1770" cm="1">
        <f t="array" aca="1" ref="BI1770" ca="1">IFERROR(_xlfn._xlws.FILTER(shifts!A:A,(shifts!B:B=events!AD1770)*(shifts!AG:AG&gt;=events!BK1770)*(shifts!AH:AH&lt;=events!BL1770)),BI1769)</f>
        <v>80</v>
      </c>
      <c r="BJ1770" s="15">
        <f t="shared" si="1683"/>
        <v>2</v>
      </c>
      <c r="BK1770">
        <f t="shared" si="1691"/>
        <v>945</v>
      </c>
      <c r="BL1770">
        <f t="shared" si="1692"/>
        <v>943</v>
      </c>
      <c r="BM1770" s="15">
        <f>SUMIFS(BJ$2:BJ1770,K$2:K1770,"=Intermission")+SUMIFS(BJ$2:BJ1770,K$2:K1770,"=Timeout")</f>
        <v>142</v>
      </c>
      <c r="BN1770">
        <f t="shared" si="1693"/>
        <v>2302</v>
      </c>
      <c r="BO1770" s="19">
        <f t="shared" si="1694"/>
        <v>2437</v>
      </c>
      <c r="BP1770">
        <f t="shared" si="1695"/>
        <v>2432</v>
      </c>
      <c r="BQ1770" s="17">
        <f t="shared" si="1696"/>
        <v>2439</v>
      </c>
      <c r="BR1770" t="str">
        <f t="shared" si="1697"/>
        <v>event_team_player_1</v>
      </c>
      <c r="BS1770">
        <f>COUNTIFS(S$3:S1770,"="&amp;S1770,AI$3:AI1770,"="&amp;AI1770)</f>
        <v>1</v>
      </c>
      <c r="BT1770" t="str">
        <f>IFERROR(VLOOKUP(BB1770&amp;BU1770&amp;X1770,game_rosters!U:W,3,FALSE),"")</f>
        <v>P100001</v>
      </c>
      <c r="BU1770" t="str">
        <f t="shared" si="1698"/>
        <v>Velodrome</v>
      </c>
    </row>
    <row r="1771" spans="1:73" x14ac:dyDescent="0.2">
      <c r="A1771">
        <f t="shared" si="1684"/>
        <v>1</v>
      </c>
      <c r="J1771" s="44" t="str">
        <f t="shared" si="1699"/>
        <v>o</v>
      </c>
      <c r="K1771" t="s">
        <v>238</v>
      </c>
      <c r="L1771" t="s">
        <v>174</v>
      </c>
      <c r="M1771" t="s">
        <v>85</v>
      </c>
      <c r="S1771">
        <v>930</v>
      </c>
      <c r="W1771" t="str">
        <f t="shared" si="1675"/>
        <v>a</v>
      </c>
      <c r="X1771">
        <v>87</v>
      </c>
      <c r="Y1771" t="e">
        <f>IF(X1771&lt;&gt;"",VLOOKUP(X1771,game_rosters!$C$43:$E$64,3,FALSE))</f>
        <v>#N/A</v>
      </c>
      <c r="Z1771" cm="1">
        <f t="array" ref="Z1771">IFERROR(IF(_xlfn._xlws.FILTER(game_rosters!$J:$J,(game_rosters!$G:$G=events!$AN1771)*(game_rosters!$J:$J=events!$X1771))&gt;0,1,""),"")</f>
        <v>1</v>
      </c>
      <c r="AA1771">
        <f t="shared" si="1723"/>
        <v>1930</v>
      </c>
      <c r="AB1771" t="str">
        <f t="shared" si="1724"/>
        <v/>
      </c>
      <c r="AC1771">
        <f t="shared" si="1672"/>
        <v>1930</v>
      </c>
      <c r="AD1771" s="6">
        <v>3</v>
      </c>
      <c r="AE1771" t="s">
        <v>744</v>
      </c>
      <c r="AF1771" t="s">
        <v>935</v>
      </c>
      <c r="AG1771" t="s">
        <v>744</v>
      </c>
      <c r="AH1771" t="s">
        <v>901</v>
      </c>
      <c r="AI1771" t="s">
        <v>367</v>
      </c>
      <c r="AJ1771" t="str">
        <f t="shared" ref="AJ1771:AK1771" si="1739">IF($J1771&lt;&gt;"",$J1771,IF($AC1771=$AC1770,AJ1770,""))</f>
        <v>o</v>
      </c>
      <c r="AK1771" t="str">
        <f t="shared" si="1739"/>
        <v>o</v>
      </c>
      <c r="AL1771" t="str">
        <f t="shared" si="1677"/>
        <v>d</v>
      </c>
      <c r="AN1771" t="s">
        <v>862</v>
      </c>
      <c r="AO1771" t="str">
        <f t="shared" si="1678"/>
        <v>a</v>
      </c>
      <c r="AP1771" t="str">
        <f t="shared" si="1686"/>
        <v>d</v>
      </c>
      <c r="AQ1771" t="str">
        <f t="shared" si="1687"/>
        <v/>
      </c>
      <c r="AR1771" t="str">
        <f t="shared" si="1688"/>
        <v>Away</v>
      </c>
      <c r="AS1771" t="str">
        <f t="shared" si="1689"/>
        <v>a</v>
      </c>
      <c r="AT1771" t="str">
        <f t="shared" si="1690"/>
        <v>Offensive</v>
      </c>
      <c r="BA1771" s="6">
        <f t="shared" si="1679"/>
        <v>414</v>
      </c>
      <c r="BB1771">
        <f t="shared" si="1680"/>
        <v>18981</v>
      </c>
      <c r="BC1771" t="str">
        <f t="shared" si="1681"/>
        <v>Nelson</v>
      </c>
      <c r="BD1771" t="str">
        <f t="shared" si="1682"/>
        <v>Velodrome</v>
      </c>
      <c r="BE1771" t="s">
        <v>238</v>
      </c>
      <c r="BF1771" t="s">
        <v>174</v>
      </c>
      <c r="BG1771" t="s">
        <v>85</v>
      </c>
      <c r="BI1771" cm="1">
        <f t="array" aca="1" ref="BI1771" ca="1">IFERROR(_xlfn._xlws.FILTER(shifts!A:A,(shifts!B:B=events!AD1771)*(shifts!AG:AG&gt;=events!BK1771)*(shifts!AH:AH&lt;=events!BL1771)),BI1770)</f>
        <v>80</v>
      </c>
      <c r="BJ1771" s="15">
        <f t="shared" si="1683"/>
        <v>2</v>
      </c>
      <c r="BK1771">
        <f t="shared" si="1691"/>
        <v>945</v>
      </c>
      <c r="BL1771">
        <f t="shared" si="1692"/>
        <v>943</v>
      </c>
      <c r="BM1771" s="15">
        <f>SUMIFS(BJ$2:BJ1771,K$2:K1771,"=Intermission")+SUMIFS(BJ$2:BJ1771,K$2:K1771,"=Timeout")</f>
        <v>142</v>
      </c>
      <c r="BN1771">
        <f t="shared" si="1693"/>
        <v>2302</v>
      </c>
      <c r="BO1771" s="19">
        <f t="shared" si="1694"/>
        <v>2437</v>
      </c>
      <c r="BP1771">
        <f t="shared" si="1695"/>
        <v>2432</v>
      </c>
      <c r="BQ1771" s="17">
        <f t="shared" si="1696"/>
        <v>2439</v>
      </c>
      <c r="BR1771" t="str">
        <f t="shared" si="1697"/>
        <v>event_team_player_2</v>
      </c>
      <c r="BS1771">
        <f>COUNTIFS(S$3:S1771,"="&amp;S1771,AI$3:AI1771,"="&amp;AI1771)</f>
        <v>2</v>
      </c>
      <c r="BT1771" t="str">
        <f>IFERROR(VLOOKUP(BB1771&amp;BU1771&amp;X1771,game_rosters!U:W,3,FALSE),"")</f>
        <v>P100159</v>
      </c>
      <c r="BU1771" t="str">
        <f t="shared" si="1698"/>
        <v>Velodrome</v>
      </c>
    </row>
    <row r="1772" spans="1:73" x14ac:dyDescent="0.2">
      <c r="A1772">
        <f t="shared" si="1684"/>
        <v>1</v>
      </c>
      <c r="J1772" s="44" t="str">
        <f t="shared" si="1699"/>
        <v>o</v>
      </c>
      <c r="K1772" t="s">
        <v>238</v>
      </c>
      <c r="L1772" t="s">
        <v>174</v>
      </c>
      <c r="M1772" t="s">
        <v>85</v>
      </c>
      <c r="S1772">
        <v>930</v>
      </c>
      <c r="W1772" t="str">
        <f t="shared" si="1675"/>
        <v>a</v>
      </c>
      <c r="X1772">
        <v>80</v>
      </c>
      <c r="Y1772" t="b">
        <f>IF(X1772&lt;&gt;"",VLOOKUP(X1772,game_rosters!$C$43:$E$64,3,FALSE))</f>
        <v>0</v>
      </c>
      <c r="Z1772" t="str" cm="1">
        <f t="array" ref="Z1772">IFERROR(IF(_xlfn._xlws.FILTER(game_rosters!$J:$J,(game_rosters!$G:$G=events!$AN1772)*(game_rosters!$J:$J=events!$X1772))&gt;0,1,""),"")</f>
        <v/>
      </c>
      <c r="AA1772">
        <f t="shared" si="1723"/>
        <v>1930</v>
      </c>
      <c r="AB1772" t="str">
        <f t="shared" si="1724"/>
        <v/>
      </c>
      <c r="AC1772">
        <f t="shared" si="1672"/>
        <v>1930</v>
      </c>
      <c r="AD1772" s="6">
        <v>3</v>
      </c>
      <c r="AE1772" t="s">
        <v>744</v>
      </c>
      <c r="AF1772" t="s">
        <v>935</v>
      </c>
      <c r="AG1772" t="s">
        <v>744</v>
      </c>
      <c r="AH1772" t="s">
        <v>901</v>
      </c>
      <c r="AI1772" t="s">
        <v>368</v>
      </c>
      <c r="AJ1772" t="str">
        <f t="shared" ref="AJ1772:AK1772" si="1740">IF($J1772&lt;&gt;"",$J1772,IF($AC1772=$AC1771,AJ1771,""))</f>
        <v>o</v>
      </c>
      <c r="AK1772" t="str">
        <f t="shared" si="1740"/>
        <v>o</v>
      </c>
      <c r="AL1772" t="str">
        <f t="shared" si="1677"/>
        <v>d</v>
      </c>
      <c r="AN1772" t="s">
        <v>862</v>
      </c>
      <c r="AO1772" t="str">
        <f t="shared" si="1678"/>
        <v>a</v>
      </c>
      <c r="AP1772" t="str">
        <f t="shared" si="1686"/>
        <v>d</v>
      </c>
      <c r="AQ1772" t="str">
        <f t="shared" si="1687"/>
        <v/>
      </c>
      <c r="AR1772" t="str">
        <f t="shared" si="1688"/>
        <v>Away</v>
      </c>
      <c r="AS1772" t="str">
        <f t="shared" si="1689"/>
        <v>a</v>
      </c>
      <c r="AT1772" t="str">
        <f t="shared" si="1690"/>
        <v>Defensive</v>
      </c>
      <c r="BA1772" s="6">
        <f t="shared" si="1679"/>
        <v>415</v>
      </c>
      <c r="BB1772">
        <f t="shared" si="1680"/>
        <v>18981</v>
      </c>
      <c r="BC1772" t="str">
        <f t="shared" si="1681"/>
        <v>Nelson</v>
      </c>
      <c r="BD1772" t="str">
        <f t="shared" si="1682"/>
        <v>Velodrome</v>
      </c>
      <c r="BE1772" t="s">
        <v>238</v>
      </c>
      <c r="BF1772" t="s">
        <v>174</v>
      </c>
      <c r="BG1772" t="s">
        <v>85</v>
      </c>
      <c r="BI1772" cm="1">
        <f t="array" aca="1" ref="BI1772" ca="1">IFERROR(_xlfn._xlws.FILTER(shifts!A:A,(shifts!B:B=events!AD1772)*(shifts!AG:AG&gt;=events!BK1772)*(shifts!AH:AH&lt;=events!BL1772)),BI1771)</f>
        <v>80</v>
      </c>
      <c r="BJ1772" s="15">
        <f t="shared" si="1683"/>
        <v>2</v>
      </c>
      <c r="BK1772">
        <f t="shared" si="1691"/>
        <v>945</v>
      </c>
      <c r="BL1772">
        <f t="shared" si="1692"/>
        <v>943</v>
      </c>
      <c r="BM1772" s="15">
        <f>SUMIFS(BJ$2:BJ1772,K$2:K1772,"=Intermission")+SUMIFS(BJ$2:BJ1772,K$2:K1772,"=Timeout")</f>
        <v>142</v>
      </c>
      <c r="BN1772">
        <f t="shared" si="1693"/>
        <v>2302</v>
      </c>
      <c r="BO1772" s="19">
        <f t="shared" si="1694"/>
        <v>2437</v>
      </c>
      <c r="BP1772">
        <f t="shared" si="1695"/>
        <v>2432</v>
      </c>
      <c r="BQ1772" s="17">
        <f t="shared" si="1696"/>
        <v>2439</v>
      </c>
      <c r="BR1772" t="str">
        <f t="shared" si="1697"/>
        <v>opp_team_player_1</v>
      </c>
      <c r="BS1772">
        <f>COUNTIFS(S$3:S1772,"="&amp;S1772,AI$3:AI1772,"="&amp;AI1772)</f>
        <v>1</v>
      </c>
      <c r="BT1772" t="str">
        <f>IFERROR(VLOOKUP(BB1772&amp;BU1772&amp;X1772,game_rosters!U:W,3,FALSE),"")</f>
        <v>P100197</v>
      </c>
      <c r="BU1772" t="str">
        <f t="shared" si="1698"/>
        <v>Nelson</v>
      </c>
    </row>
    <row r="1773" spans="1:73" x14ac:dyDescent="0.2">
      <c r="A1773">
        <f t="shared" si="1684"/>
        <v>1</v>
      </c>
      <c r="J1773" s="44" t="str">
        <f t="shared" si="1699"/>
        <v/>
      </c>
      <c r="K1773" t="s">
        <v>7</v>
      </c>
      <c r="L1773" t="s">
        <v>172</v>
      </c>
      <c r="M1773" t="s">
        <v>68</v>
      </c>
      <c r="S1773">
        <v>931</v>
      </c>
      <c r="W1773" t="str">
        <f t="shared" si="1675"/>
        <v>a</v>
      </c>
      <c r="X1773">
        <v>70</v>
      </c>
      <c r="Y1773" t="e">
        <f>IF(X1773&lt;&gt;"",VLOOKUP(X1773,game_rosters!$C$43:$E$64,3,FALSE))</f>
        <v>#N/A</v>
      </c>
      <c r="Z1773" cm="1">
        <f t="array" ref="Z1773">IFERROR(IF(_xlfn._xlws.FILTER(game_rosters!$J:$J,(game_rosters!$G:$G=events!$AN1773)*(game_rosters!$J:$J=events!$X1773))&gt;0,1,""),"")</f>
        <v>1</v>
      </c>
      <c r="AA1773">
        <f t="shared" si="1723"/>
        <v>1931</v>
      </c>
      <c r="AB1773" t="str">
        <f t="shared" si="1724"/>
        <v/>
      </c>
      <c r="AC1773">
        <f t="shared" si="1672"/>
        <v>1931</v>
      </c>
      <c r="AD1773" s="6">
        <v>3</v>
      </c>
      <c r="AE1773" t="s">
        <v>744</v>
      </c>
      <c r="AF1773" t="s">
        <v>901</v>
      </c>
      <c r="AG1773" t="s">
        <v>756</v>
      </c>
      <c r="AH1773" t="s">
        <v>756</v>
      </c>
      <c r="AI1773" t="s">
        <v>367</v>
      </c>
      <c r="AJ1773" t="str">
        <f t="shared" ref="AJ1773:AK1773" si="1741">IF($J1773&lt;&gt;"",$J1773,IF($AC1773=$AC1772,AJ1772,""))</f>
        <v/>
      </c>
      <c r="AK1773" t="str">
        <f t="shared" si="1741"/>
        <v/>
      </c>
      <c r="AL1773" t="str">
        <f t="shared" si="1677"/>
        <v/>
      </c>
      <c r="AN1773" t="s">
        <v>862</v>
      </c>
      <c r="AO1773" t="str">
        <f t="shared" si="1678"/>
        <v>a</v>
      </c>
      <c r="AP1773" t="str">
        <f t="shared" si="1686"/>
        <v/>
      </c>
      <c r="AQ1773" t="str">
        <f t="shared" si="1687"/>
        <v/>
      </c>
      <c r="AR1773" t="str">
        <f t="shared" si="1688"/>
        <v>Away</v>
      </c>
      <c r="AS1773" t="str">
        <f t="shared" si="1689"/>
        <v>a</v>
      </c>
      <c r="AT1773" t="str">
        <f t="shared" si="1690"/>
        <v>Offensive</v>
      </c>
      <c r="BA1773" s="6">
        <f t="shared" si="1679"/>
        <v>415</v>
      </c>
      <c r="BB1773">
        <f t="shared" si="1680"/>
        <v>18981</v>
      </c>
      <c r="BC1773" t="str">
        <f t="shared" si="1681"/>
        <v>Nelson</v>
      </c>
      <c r="BD1773" t="str">
        <f t="shared" si="1682"/>
        <v>Velodrome</v>
      </c>
      <c r="BE1773" t="s">
        <v>7</v>
      </c>
      <c r="BF1773" t="s">
        <v>172</v>
      </c>
      <c r="BG1773" t="s">
        <v>68</v>
      </c>
      <c r="BI1773" cm="1">
        <f t="array" aca="1" ref="BI1773" ca="1">IFERROR(_xlfn._xlws.FILTER(shifts!A:A,(shifts!B:B=events!AD1773)*(shifts!AG:AG&gt;=events!BK1773)*(shifts!AH:AH&lt;=events!BL1773)),BI1772)</f>
        <v>80</v>
      </c>
      <c r="BJ1773" s="15">
        <f t="shared" si="1683"/>
        <v>0</v>
      </c>
      <c r="BK1773">
        <f t="shared" si="1691"/>
        <v>943</v>
      </c>
      <c r="BL1773">
        <f t="shared" si="1692"/>
        <v>943</v>
      </c>
      <c r="BM1773" s="15">
        <f>SUMIFS(BJ$2:BJ1773,K$2:K1773,"=Intermission")+SUMIFS(BJ$2:BJ1773,K$2:K1773,"=Timeout")</f>
        <v>142</v>
      </c>
      <c r="BN1773">
        <f t="shared" si="1693"/>
        <v>2302</v>
      </c>
      <c r="BO1773" s="19">
        <f t="shared" si="1694"/>
        <v>2439</v>
      </c>
      <c r="BP1773">
        <f t="shared" si="1695"/>
        <v>2434</v>
      </c>
      <c r="BQ1773" s="17">
        <f t="shared" si="1696"/>
        <v>2439</v>
      </c>
      <c r="BR1773" t="str">
        <f t="shared" si="1697"/>
        <v>event_team_player_1</v>
      </c>
      <c r="BS1773">
        <f>COUNTIFS(S$3:S1773,"="&amp;S1773,AI$3:AI1773,"="&amp;AI1773)</f>
        <v>1</v>
      </c>
      <c r="BT1773" t="str">
        <f>IFERROR(VLOOKUP(BB1773&amp;BU1773&amp;X1773,game_rosters!U:W,3,FALSE),"")</f>
        <v>P100001</v>
      </c>
      <c r="BU1773" t="str">
        <f t="shared" si="1698"/>
        <v>Velodrome</v>
      </c>
    </row>
    <row r="1774" spans="1:73" x14ac:dyDescent="0.2">
      <c r="A1774">
        <f t="shared" si="1684"/>
        <v>1</v>
      </c>
      <c r="J1774" s="44" t="str">
        <f t="shared" si="1699"/>
        <v/>
      </c>
      <c r="K1774" t="s">
        <v>7</v>
      </c>
      <c r="L1774" t="s">
        <v>172</v>
      </c>
      <c r="M1774" t="s">
        <v>68</v>
      </c>
      <c r="S1774">
        <v>931</v>
      </c>
      <c r="W1774" t="str">
        <f t="shared" si="1675"/>
        <v>a</v>
      </c>
      <c r="X1774">
        <v>87</v>
      </c>
      <c r="Y1774" t="e">
        <f>IF(X1774&lt;&gt;"",VLOOKUP(X1774,game_rosters!$C$43:$E$64,3,FALSE))</f>
        <v>#N/A</v>
      </c>
      <c r="Z1774" cm="1">
        <f t="array" ref="Z1774">IFERROR(IF(_xlfn._xlws.FILTER(game_rosters!$J:$J,(game_rosters!$G:$G=events!$AN1774)*(game_rosters!$J:$J=events!$X1774))&gt;0,1,""),"")</f>
        <v>1</v>
      </c>
      <c r="AA1774">
        <f t="shared" si="1723"/>
        <v>1931</v>
      </c>
      <c r="AB1774" t="str">
        <f t="shared" si="1724"/>
        <v/>
      </c>
      <c r="AC1774">
        <f t="shared" si="1672"/>
        <v>1931</v>
      </c>
      <c r="AD1774" s="6">
        <v>3</v>
      </c>
      <c r="AE1774" t="s">
        <v>744</v>
      </c>
      <c r="AF1774" t="s">
        <v>901</v>
      </c>
      <c r="AG1774" t="s">
        <v>756</v>
      </c>
      <c r="AH1774" t="s">
        <v>756</v>
      </c>
      <c r="AI1774" t="s">
        <v>367</v>
      </c>
      <c r="AJ1774" t="str">
        <f t="shared" ref="AJ1774:AK1774" si="1742">IF($J1774&lt;&gt;"",$J1774,IF($AC1774=$AC1773,AJ1773,""))</f>
        <v/>
      </c>
      <c r="AK1774" t="str">
        <f t="shared" si="1742"/>
        <v/>
      </c>
      <c r="AL1774" t="str">
        <f t="shared" si="1677"/>
        <v/>
      </c>
      <c r="AN1774" t="s">
        <v>862</v>
      </c>
      <c r="AO1774" t="str">
        <f t="shared" si="1678"/>
        <v>a</v>
      </c>
      <c r="AP1774" t="str">
        <f t="shared" si="1686"/>
        <v/>
      </c>
      <c r="AQ1774" t="str">
        <f t="shared" si="1687"/>
        <v/>
      </c>
      <c r="AR1774" t="str">
        <f t="shared" si="1688"/>
        <v>Away</v>
      </c>
      <c r="AS1774" t="str">
        <f t="shared" si="1689"/>
        <v>a</v>
      </c>
      <c r="AT1774" t="str">
        <f t="shared" si="1690"/>
        <v>Offensive</v>
      </c>
      <c r="BA1774" s="6">
        <f t="shared" si="1679"/>
        <v>415</v>
      </c>
      <c r="BB1774">
        <f t="shared" si="1680"/>
        <v>18981</v>
      </c>
      <c r="BC1774" t="str">
        <f t="shared" si="1681"/>
        <v>Nelson</v>
      </c>
      <c r="BD1774" t="str">
        <f t="shared" si="1682"/>
        <v>Velodrome</v>
      </c>
      <c r="BE1774" t="s">
        <v>7</v>
      </c>
      <c r="BF1774" t="s">
        <v>172</v>
      </c>
      <c r="BG1774" t="s">
        <v>68</v>
      </c>
      <c r="BI1774" cm="1">
        <f t="array" aca="1" ref="BI1774" ca="1">IFERROR(_xlfn._xlws.FILTER(shifts!A:A,(shifts!B:B=events!AD1774)*(shifts!AG:AG&gt;=events!BK1774)*(shifts!AH:AH&lt;=events!BL1774)),BI1773)</f>
        <v>80</v>
      </c>
      <c r="BJ1774" s="15">
        <f t="shared" si="1683"/>
        <v>0</v>
      </c>
      <c r="BK1774">
        <f t="shared" si="1691"/>
        <v>943</v>
      </c>
      <c r="BL1774">
        <f t="shared" si="1692"/>
        <v>943</v>
      </c>
      <c r="BM1774" s="15">
        <f>SUMIFS(BJ$2:BJ1774,K$2:K1774,"=Intermission")+SUMIFS(BJ$2:BJ1774,K$2:K1774,"=Timeout")</f>
        <v>142</v>
      </c>
      <c r="BN1774">
        <f t="shared" si="1693"/>
        <v>2302</v>
      </c>
      <c r="BO1774" s="19">
        <f t="shared" si="1694"/>
        <v>2439</v>
      </c>
      <c r="BP1774">
        <f t="shared" si="1695"/>
        <v>2434</v>
      </c>
      <c r="BQ1774" s="17">
        <f t="shared" si="1696"/>
        <v>2439</v>
      </c>
      <c r="BR1774" t="str">
        <f t="shared" si="1697"/>
        <v>event_team_player_2</v>
      </c>
      <c r="BS1774">
        <f>COUNTIFS(S$3:S1774,"="&amp;S1774,AI$3:AI1774,"="&amp;AI1774)</f>
        <v>2</v>
      </c>
      <c r="BT1774" t="str">
        <f>IFERROR(VLOOKUP(BB1774&amp;BU1774&amp;X1774,game_rosters!U:W,3,FALSE),"")</f>
        <v>P100159</v>
      </c>
      <c r="BU1774" t="str">
        <f t="shared" si="1698"/>
        <v>Velodrome</v>
      </c>
    </row>
    <row r="1775" spans="1:73" x14ac:dyDescent="0.2">
      <c r="A1775">
        <f t="shared" si="1684"/>
        <v>1</v>
      </c>
      <c r="J1775" s="44" t="str">
        <f t="shared" si="1699"/>
        <v/>
      </c>
      <c r="K1775" t="s">
        <v>7</v>
      </c>
      <c r="L1775" t="s">
        <v>172</v>
      </c>
      <c r="M1775" t="s">
        <v>68</v>
      </c>
      <c r="S1775">
        <v>931</v>
      </c>
      <c r="W1775" t="str">
        <f t="shared" si="1675"/>
        <v>a</v>
      </c>
      <c r="X1775">
        <v>80</v>
      </c>
      <c r="Y1775" t="b">
        <f>IF(X1775&lt;&gt;"",VLOOKUP(X1775,game_rosters!$C$43:$E$64,3,FALSE))</f>
        <v>0</v>
      </c>
      <c r="Z1775" t="str" cm="1">
        <f t="array" ref="Z1775">IFERROR(IF(_xlfn._xlws.FILTER(game_rosters!$J:$J,(game_rosters!$G:$G=events!$AN1775)*(game_rosters!$J:$J=events!$X1775))&gt;0,1,""),"")</f>
        <v/>
      </c>
      <c r="AA1775">
        <f t="shared" si="1723"/>
        <v>1931</v>
      </c>
      <c r="AB1775" t="str">
        <f t="shared" si="1724"/>
        <v/>
      </c>
      <c r="AC1775">
        <f t="shared" si="1672"/>
        <v>1931</v>
      </c>
      <c r="AD1775" s="6">
        <v>3</v>
      </c>
      <c r="AE1775" t="s">
        <v>744</v>
      </c>
      <c r="AF1775" t="s">
        <v>901</v>
      </c>
      <c r="AG1775" t="s">
        <v>756</v>
      </c>
      <c r="AH1775" t="s">
        <v>756</v>
      </c>
      <c r="AI1775" t="s">
        <v>368</v>
      </c>
      <c r="AJ1775" t="str">
        <f t="shared" ref="AJ1775:AK1775" si="1743">IF($J1775&lt;&gt;"",$J1775,IF($AC1775=$AC1774,AJ1774,""))</f>
        <v/>
      </c>
      <c r="AK1775" t="str">
        <f t="shared" si="1743"/>
        <v/>
      </c>
      <c r="AL1775" t="str">
        <f t="shared" si="1677"/>
        <v/>
      </c>
      <c r="AN1775" t="s">
        <v>862</v>
      </c>
      <c r="AO1775" t="str">
        <f t="shared" si="1678"/>
        <v>a</v>
      </c>
      <c r="AP1775" t="str">
        <f t="shared" si="1686"/>
        <v/>
      </c>
      <c r="AQ1775" t="str">
        <f t="shared" si="1687"/>
        <v/>
      </c>
      <c r="AR1775" t="str">
        <f t="shared" si="1688"/>
        <v>Away</v>
      </c>
      <c r="AS1775" t="str">
        <f t="shared" si="1689"/>
        <v>a</v>
      </c>
      <c r="AT1775" t="str">
        <f t="shared" si="1690"/>
        <v>Defensive</v>
      </c>
      <c r="BA1775" s="6">
        <f t="shared" si="1679"/>
        <v>415</v>
      </c>
      <c r="BB1775">
        <f t="shared" si="1680"/>
        <v>18981</v>
      </c>
      <c r="BC1775" t="str">
        <f t="shared" si="1681"/>
        <v>Nelson</v>
      </c>
      <c r="BD1775" t="str">
        <f t="shared" si="1682"/>
        <v>Velodrome</v>
      </c>
      <c r="BE1775" t="s">
        <v>7</v>
      </c>
      <c r="BF1775" t="s">
        <v>172</v>
      </c>
      <c r="BG1775" t="s">
        <v>68</v>
      </c>
      <c r="BI1775" cm="1">
        <f t="array" aca="1" ref="BI1775" ca="1">IFERROR(_xlfn._xlws.FILTER(shifts!A:A,(shifts!B:B=events!AD1775)*(shifts!AG:AG&gt;=events!BK1775)*(shifts!AH:AH&lt;=events!BL1775)),BI1774)</f>
        <v>80</v>
      </c>
      <c r="BJ1775" s="15">
        <f t="shared" si="1683"/>
        <v>0</v>
      </c>
      <c r="BK1775">
        <f t="shared" si="1691"/>
        <v>943</v>
      </c>
      <c r="BL1775">
        <f t="shared" si="1692"/>
        <v>943</v>
      </c>
      <c r="BM1775" s="15">
        <f>SUMIFS(BJ$2:BJ1775,K$2:K1775,"=Intermission")+SUMIFS(BJ$2:BJ1775,K$2:K1775,"=Timeout")</f>
        <v>142</v>
      </c>
      <c r="BN1775">
        <f t="shared" si="1693"/>
        <v>2302</v>
      </c>
      <c r="BO1775" s="19">
        <f t="shared" si="1694"/>
        <v>2439</v>
      </c>
      <c r="BP1775">
        <f t="shared" si="1695"/>
        <v>2434</v>
      </c>
      <c r="BQ1775" s="17">
        <f t="shared" si="1696"/>
        <v>2439</v>
      </c>
      <c r="BR1775" t="str">
        <f t="shared" si="1697"/>
        <v>opp_team_player_1</v>
      </c>
      <c r="BS1775">
        <f>COUNTIFS(S$3:S1775,"="&amp;S1775,AI$3:AI1775,"="&amp;AI1775)</f>
        <v>1</v>
      </c>
      <c r="BT1775" t="str">
        <f>IFERROR(VLOOKUP(BB1775&amp;BU1775&amp;X1775,game_rosters!U:W,3,FALSE),"")</f>
        <v>P100197</v>
      </c>
      <c r="BU1775" t="str">
        <f t="shared" si="1698"/>
        <v>Nelson</v>
      </c>
    </row>
    <row r="1776" spans="1:73" x14ac:dyDescent="0.2">
      <c r="A1776">
        <f t="shared" si="1684"/>
        <v>1</v>
      </c>
      <c r="J1776" s="44" t="str">
        <f t="shared" si="1699"/>
        <v/>
      </c>
      <c r="K1776" t="s">
        <v>13</v>
      </c>
      <c r="L1776" t="s">
        <v>756</v>
      </c>
      <c r="M1776" t="s">
        <v>756</v>
      </c>
      <c r="S1776">
        <v>932</v>
      </c>
      <c r="W1776" t="str">
        <f t="shared" si="1675"/>
        <v>a</v>
      </c>
      <c r="X1776">
        <v>87</v>
      </c>
      <c r="Y1776" t="e">
        <f>IF(X1776&lt;&gt;"",VLOOKUP(X1776,game_rosters!$C$43:$E$64,3,FALSE))</f>
        <v>#N/A</v>
      </c>
      <c r="Z1776" cm="1">
        <f t="array" ref="Z1776">IFERROR(IF(_xlfn._xlws.FILTER(game_rosters!$J:$J,(game_rosters!$G:$G=events!$AN1776)*(game_rosters!$J:$J=events!$X1776))&gt;0,1,""),"")</f>
        <v>1</v>
      </c>
      <c r="AA1776">
        <f t="shared" si="1723"/>
        <v>1932</v>
      </c>
      <c r="AB1776" t="str">
        <f t="shared" si="1724"/>
        <v/>
      </c>
      <c r="AC1776">
        <f t="shared" si="1672"/>
        <v>1932</v>
      </c>
      <c r="AD1776" s="6">
        <v>3</v>
      </c>
      <c r="AE1776" t="s">
        <v>744</v>
      </c>
      <c r="AF1776" t="s">
        <v>901</v>
      </c>
      <c r="AG1776" t="s">
        <v>744</v>
      </c>
      <c r="AH1776" t="s">
        <v>902</v>
      </c>
      <c r="AI1776" t="s">
        <v>367</v>
      </c>
      <c r="AJ1776" t="str">
        <f t="shared" ref="AJ1776:AK1776" si="1744">IF($J1776&lt;&gt;"",$J1776,IF($AC1776=$AC1775,AJ1775,""))</f>
        <v/>
      </c>
      <c r="AK1776" t="str">
        <f t="shared" si="1744"/>
        <v/>
      </c>
      <c r="AL1776" t="str">
        <f t="shared" si="1677"/>
        <v/>
      </c>
      <c r="AN1776" t="s">
        <v>862</v>
      </c>
      <c r="AO1776" t="str">
        <f t="shared" si="1678"/>
        <v>a</v>
      </c>
      <c r="AP1776" t="str">
        <f t="shared" si="1686"/>
        <v/>
      </c>
      <c r="AQ1776" t="str">
        <f t="shared" si="1687"/>
        <v/>
      </c>
      <c r="AR1776" t="str">
        <f t="shared" si="1688"/>
        <v>Away</v>
      </c>
      <c r="AS1776" t="str">
        <f t="shared" si="1689"/>
        <v>a</v>
      </c>
      <c r="AT1776" t="str">
        <f t="shared" si="1690"/>
        <v>Offensive</v>
      </c>
      <c r="BA1776" s="6">
        <f t="shared" si="1679"/>
        <v>415</v>
      </c>
      <c r="BB1776">
        <f t="shared" si="1680"/>
        <v>18981</v>
      </c>
      <c r="BC1776" t="str">
        <f t="shared" si="1681"/>
        <v>Nelson</v>
      </c>
      <c r="BD1776" t="str">
        <f t="shared" si="1682"/>
        <v>Velodrome</v>
      </c>
      <c r="BE1776" t="s">
        <v>13</v>
      </c>
      <c r="BF1776" t="s">
        <v>756</v>
      </c>
      <c r="BG1776" t="s">
        <v>756</v>
      </c>
      <c r="BI1776" cm="1">
        <f t="array" aca="1" ref="BI1776" ca="1">IFERROR(_xlfn._xlws.FILTER(shifts!A:A,(shifts!B:B=events!AD1776)*(shifts!AG:AG&gt;=events!BK1776)*(shifts!AH:AH&lt;=events!BL1776)),BI1775)</f>
        <v>80</v>
      </c>
      <c r="BJ1776" s="15">
        <f t="shared" si="1683"/>
        <v>1</v>
      </c>
      <c r="BK1776">
        <f t="shared" si="1691"/>
        <v>943</v>
      </c>
      <c r="BL1776">
        <f t="shared" si="1692"/>
        <v>942</v>
      </c>
      <c r="BM1776" s="15">
        <f>SUMIFS(BJ$2:BJ1776,K$2:K1776,"=Intermission")+SUMIFS(BJ$2:BJ1776,K$2:K1776,"=Timeout")</f>
        <v>142</v>
      </c>
      <c r="BN1776">
        <f t="shared" si="1693"/>
        <v>2302</v>
      </c>
      <c r="BO1776" s="19">
        <f t="shared" si="1694"/>
        <v>2439</v>
      </c>
      <c r="BP1776">
        <f t="shared" si="1695"/>
        <v>2434</v>
      </c>
      <c r="BQ1776" s="17">
        <f t="shared" si="1696"/>
        <v>2440</v>
      </c>
      <c r="BR1776" t="str">
        <f t="shared" si="1697"/>
        <v>event_team_player_1</v>
      </c>
      <c r="BS1776">
        <f>COUNTIFS(S$3:S1776,"="&amp;S1776,AI$3:AI1776,"="&amp;AI1776)</f>
        <v>1</v>
      </c>
      <c r="BT1776" t="str">
        <f>IFERROR(VLOOKUP(BB1776&amp;BU1776&amp;X1776,game_rosters!U:W,3,FALSE),"")</f>
        <v>P100159</v>
      </c>
      <c r="BU1776" t="str">
        <f t="shared" si="1698"/>
        <v>Velodrome</v>
      </c>
    </row>
    <row r="1777" spans="1:73" x14ac:dyDescent="0.2">
      <c r="A1777">
        <f t="shared" si="1684"/>
        <v>1</v>
      </c>
      <c r="J1777" s="44" t="str">
        <f t="shared" si="1699"/>
        <v/>
      </c>
      <c r="K1777" t="s">
        <v>13</v>
      </c>
      <c r="L1777" t="s">
        <v>756</v>
      </c>
      <c r="M1777" t="s">
        <v>756</v>
      </c>
      <c r="S1777">
        <v>932</v>
      </c>
      <c r="W1777" t="str">
        <f t="shared" si="1675"/>
        <v>a</v>
      </c>
      <c r="X1777">
        <v>8</v>
      </c>
      <c r="Y1777" t="b">
        <f>IF(X1777&lt;&gt;"",VLOOKUP(X1777,game_rosters!$C$43:$E$64,3,FALSE))</f>
        <v>0</v>
      </c>
      <c r="Z1777" t="str" cm="1">
        <f t="array" ref="Z1777">IFERROR(IF(_xlfn._xlws.FILTER(game_rosters!$J:$J,(game_rosters!$G:$G=events!$AN1777)*(game_rosters!$J:$J=events!$X1777))&gt;0,1,""),"")</f>
        <v/>
      </c>
      <c r="AA1777">
        <f t="shared" si="1723"/>
        <v>1932</v>
      </c>
      <c r="AB1777" t="str">
        <f t="shared" si="1724"/>
        <v/>
      </c>
      <c r="AC1777">
        <f t="shared" si="1672"/>
        <v>1932</v>
      </c>
      <c r="AD1777" s="6">
        <v>3</v>
      </c>
      <c r="AE1777" t="s">
        <v>744</v>
      </c>
      <c r="AF1777" t="s">
        <v>901</v>
      </c>
      <c r="AG1777" t="s">
        <v>744</v>
      </c>
      <c r="AH1777" t="s">
        <v>902</v>
      </c>
      <c r="AI1777" t="s">
        <v>368</v>
      </c>
      <c r="AJ1777" t="str">
        <f t="shared" ref="AJ1777:AK1777" si="1745">IF($J1777&lt;&gt;"",$J1777,IF($AC1777=$AC1776,AJ1776,""))</f>
        <v/>
      </c>
      <c r="AK1777" t="str">
        <f t="shared" si="1745"/>
        <v/>
      </c>
      <c r="AL1777" t="str">
        <f t="shared" si="1677"/>
        <v/>
      </c>
      <c r="AN1777" t="s">
        <v>862</v>
      </c>
      <c r="AO1777" t="str">
        <f t="shared" si="1678"/>
        <v>a</v>
      </c>
      <c r="AP1777" t="str">
        <f t="shared" si="1686"/>
        <v/>
      </c>
      <c r="AQ1777" t="str">
        <f t="shared" si="1687"/>
        <v/>
      </c>
      <c r="AR1777" t="str">
        <f t="shared" si="1688"/>
        <v>Away</v>
      </c>
      <c r="AS1777" t="str">
        <f t="shared" si="1689"/>
        <v>a</v>
      </c>
      <c r="AT1777" t="str">
        <f t="shared" si="1690"/>
        <v>Defensive</v>
      </c>
      <c r="BA1777" s="6">
        <f t="shared" si="1679"/>
        <v>415</v>
      </c>
      <c r="BB1777">
        <f t="shared" si="1680"/>
        <v>18981</v>
      </c>
      <c r="BC1777" t="str">
        <f t="shared" si="1681"/>
        <v>Nelson</v>
      </c>
      <c r="BD1777" t="str">
        <f t="shared" si="1682"/>
        <v>Velodrome</v>
      </c>
      <c r="BE1777" t="s">
        <v>13</v>
      </c>
      <c r="BF1777" t="s">
        <v>756</v>
      </c>
      <c r="BG1777" t="s">
        <v>756</v>
      </c>
      <c r="BI1777" cm="1">
        <f t="array" aca="1" ref="BI1777" ca="1">IFERROR(_xlfn._xlws.FILTER(shifts!A:A,(shifts!B:B=events!AD1777)*(shifts!AG:AG&gt;=events!BK1777)*(shifts!AH:AH&lt;=events!BL1777)),BI1776)</f>
        <v>80</v>
      </c>
      <c r="BJ1777" s="15">
        <f t="shared" si="1683"/>
        <v>1</v>
      </c>
      <c r="BK1777">
        <f t="shared" si="1691"/>
        <v>943</v>
      </c>
      <c r="BL1777">
        <f t="shared" si="1692"/>
        <v>942</v>
      </c>
      <c r="BM1777" s="15">
        <f>SUMIFS(BJ$2:BJ1777,K$2:K1777,"=Intermission")+SUMIFS(BJ$2:BJ1777,K$2:K1777,"=Timeout")</f>
        <v>142</v>
      </c>
      <c r="BN1777">
        <f t="shared" si="1693"/>
        <v>2302</v>
      </c>
      <c r="BO1777" s="19">
        <f t="shared" si="1694"/>
        <v>2439</v>
      </c>
      <c r="BP1777">
        <f t="shared" si="1695"/>
        <v>2434</v>
      </c>
      <c r="BQ1777" s="17">
        <f t="shared" si="1696"/>
        <v>2440</v>
      </c>
      <c r="BR1777" t="str">
        <f t="shared" si="1697"/>
        <v>opp_team_player_1</v>
      </c>
      <c r="BS1777">
        <f>COUNTIFS(S$3:S1777,"="&amp;S1777,AI$3:AI1777,"="&amp;AI1777)</f>
        <v>1</v>
      </c>
      <c r="BT1777" t="str">
        <f>IFERROR(VLOOKUP(BB1777&amp;BU1777&amp;X1777,game_rosters!U:W,3,FALSE),"")</f>
        <v>P100074</v>
      </c>
      <c r="BU1777" t="str">
        <f t="shared" si="1698"/>
        <v>Nelson</v>
      </c>
    </row>
    <row r="1778" spans="1:73" x14ac:dyDescent="0.2">
      <c r="A1778">
        <f t="shared" si="1684"/>
        <v>1</v>
      </c>
      <c r="J1778" s="44" t="str">
        <f t="shared" si="1699"/>
        <v/>
      </c>
      <c r="K1778" t="s">
        <v>230</v>
      </c>
      <c r="L1778" t="s">
        <v>388</v>
      </c>
      <c r="M1778" t="s">
        <v>447</v>
      </c>
      <c r="S1778">
        <v>933</v>
      </c>
      <c r="W1778" t="str">
        <f t="shared" si="1675"/>
        <v>a</v>
      </c>
      <c r="X1778">
        <v>87</v>
      </c>
      <c r="Y1778" t="e">
        <f>IF(X1778&lt;&gt;"",VLOOKUP(X1778,game_rosters!$C$43:$E$64,3,FALSE))</f>
        <v>#N/A</v>
      </c>
      <c r="Z1778" cm="1">
        <f t="array" ref="Z1778">IFERROR(IF(_xlfn._xlws.FILTER(game_rosters!$J:$J,(game_rosters!$G:$G=events!$AN1778)*(game_rosters!$J:$J=events!$X1778))&gt;0,1,""),"")</f>
        <v>1</v>
      </c>
      <c r="AA1778">
        <f t="shared" si="1723"/>
        <v>1933</v>
      </c>
      <c r="AB1778" t="str">
        <f t="shared" si="1724"/>
        <v/>
      </c>
      <c r="AC1778">
        <f t="shared" si="1672"/>
        <v>1933</v>
      </c>
      <c r="AD1778" s="6">
        <v>3</v>
      </c>
      <c r="AE1778" t="s">
        <v>744</v>
      </c>
      <c r="AF1778" t="s">
        <v>902</v>
      </c>
      <c r="AG1778" t="s">
        <v>756</v>
      </c>
      <c r="AH1778" t="s">
        <v>756</v>
      </c>
      <c r="AI1778" t="s">
        <v>367</v>
      </c>
      <c r="AJ1778" t="str">
        <f t="shared" ref="AJ1778:AK1778" si="1746">IF($J1778&lt;&gt;"",$J1778,IF($AC1778=$AC1777,AJ1777,""))</f>
        <v/>
      </c>
      <c r="AK1778" t="str">
        <f t="shared" si="1746"/>
        <v/>
      </c>
      <c r="AL1778" t="str">
        <f t="shared" si="1677"/>
        <v/>
      </c>
      <c r="AN1778" t="s">
        <v>862</v>
      </c>
      <c r="AO1778" t="str">
        <f t="shared" si="1678"/>
        <v>a</v>
      </c>
      <c r="AP1778" t="str">
        <f t="shared" si="1686"/>
        <v/>
      </c>
      <c r="AQ1778" t="str">
        <f t="shared" si="1687"/>
        <v/>
      </c>
      <c r="AR1778" t="str">
        <f t="shared" si="1688"/>
        <v>Away</v>
      </c>
      <c r="AS1778" t="str">
        <f t="shared" si="1689"/>
        <v>a</v>
      </c>
      <c r="AT1778" t="str">
        <f t="shared" si="1690"/>
        <v>Offensive</v>
      </c>
      <c r="BA1778" s="6">
        <f t="shared" si="1679"/>
        <v>415</v>
      </c>
      <c r="BB1778">
        <f t="shared" si="1680"/>
        <v>18981</v>
      </c>
      <c r="BC1778" t="str">
        <f t="shared" si="1681"/>
        <v>Nelson</v>
      </c>
      <c r="BD1778" t="str">
        <f t="shared" si="1682"/>
        <v>Velodrome</v>
      </c>
      <c r="BE1778" t="s">
        <v>230</v>
      </c>
      <c r="BF1778" t="s">
        <v>388</v>
      </c>
      <c r="BG1778" t="s">
        <v>447</v>
      </c>
      <c r="BI1778" cm="1">
        <f t="array" aca="1" ref="BI1778" ca="1">IFERROR(_xlfn._xlws.FILTER(shifts!A:A,(shifts!B:B=events!AD1778)*(shifts!AG:AG&gt;=events!BK1778)*(shifts!AH:AH&lt;=events!BL1778)),BI1777)</f>
        <v>80</v>
      </c>
      <c r="BJ1778" s="15">
        <f t="shared" si="1683"/>
        <v>0</v>
      </c>
      <c r="BK1778">
        <f t="shared" si="1691"/>
        <v>942</v>
      </c>
      <c r="BL1778">
        <f t="shared" si="1692"/>
        <v>942</v>
      </c>
      <c r="BM1778" s="15">
        <f>SUMIFS(BJ$2:BJ1778,K$2:K1778,"=Intermission")+SUMIFS(BJ$2:BJ1778,K$2:K1778,"=Timeout")</f>
        <v>142</v>
      </c>
      <c r="BN1778">
        <f t="shared" si="1693"/>
        <v>2302</v>
      </c>
      <c r="BO1778" s="19">
        <f t="shared" si="1694"/>
        <v>2440</v>
      </c>
      <c r="BP1778">
        <f t="shared" si="1695"/>
        <v>2435</v>
      </c>
      <c r="BQ1778" s="17">
        <f t="shared" si="1696"/>
        <v>2440</v>
      </c>
      <c r="BR1778" t="str">
        <f t="shared" si="1697"/>
        <v>event_team_player_1</v>
      </c>
      <c r="BS1778">
        <f>COUNTIFS(S$3:S1778,"="&amp;S1778,AI$3:AI1778,"="&amp;AI1778)</f>
        <v>1</v>
      </c>
      <c r="BT1778" t="str">
        <f>IFERROR(VLOOKUP(BB1778&amp;BU1778&amp;X1778,game_rosters!U:W,3,FALSE),"")</f>
        <v>P100159</v>
      </c>
      <c r="BU1778" t="str">
        <f t="shared" si="1698"/>
        <v>Velodrome</v>
      </c>
    </row>
    <row r="1779" spans="1:73" x14ac:dyDescent="0.2">
      <c r="A1779">
        <f t="shared" si="1684"/>
        <v>1</v>
      </c>
      <c r="J1779" s="44" t="str">
        <f t="shared" si="1699"/>
        <v/>
      </c>
      <c r="K1779" t="s">
        <v>230</v>
      </c>
      <c r="L1779" t="s">
        <v>388</v>
      </c>
      <c r="M1779" t="s">
        <v>447</v>
      </c>
      <c r="S1779">
        <v>933</v>
      </c>
      <c r="W1779" t="str">
        <f t="shared" si="1675"/>
        <v>a</v>
      </c>
      <c r="X1779">
        <v>8</v>
      </c>
      <c r="Y1779" t="b">
        <f>IF(X1779&lt;&gt;"",VLOOKUP(X1779,game_rosters!$C$43:$E$64,3,FALSE))</f>
        <v>0</v>
      </c>
      <c r="Z1779" t="str" cm="1">
        <f t="array" ref="Z1779">IFERROR(IF(_xlfn._xlws.FILTER(game_rosters!$J:$J,(game_rosters!$G:$G=events!$AN1779)*(game_rosters!$J:$J=events!$X1779))&gt;0,1,""),"")</f>
        <v/>
      </c>
      <c r="AA1779">
        <f t="shared" si="1723"/>
        <v>1933</v>
      </c>
      <c r="AB1779" t="str">
        <f t="shared" si="1724"/>
        <v/>
      </c>
      <c r="AC1779">
        <f t="shared" si="1672"/>
        <v>1933</v>
      </c>
      <c r="AD1779" s="6">
        <v>3</v>
      </c>
      <c r="AE1779" t="s">
        <v>744</v>
      </c>
      <c r="AF1779" t="s">
        <v>902</v>
      </c>
      <c r="AG1779" t="s">
        <v>756</v>
      </c>
      <c r="AH1779" t="s">
        <v>756</v>
      </c>
      <c r="AI1779" t="s">
        <v>368</v>
      </c>
      <c r="AJ1779" t="str">
        <f t="shared" ref="AJ1779:AK1779" si="1747">IF($J1779&lt;&gt;"",$J1779,IF($AC1779=$AC1778,AJ1778,""))</f>
        <v/>
      </c>
      <c r="AK1779" t="str">
        <f t="shared" si="1747"/>
        <v/>
      </c>
      <c r="AL1779" t="str">
        <f t="shared" si="1677"/>
        <v/>
      </c>
      <c r="AN1779" t="s">
        <v>862</v>
      </c>
      <c r="AO1779" t="str">
        <f t="shared" si="1678"/>
        <v>a</v>
      </c>
      <c r="AP1779" t="str">
        <f t="shared" si="1686"/>
        <v/>
      </c>
      <c r="AQ1779" t="str">
        <f t="shared" si="1687"/>
        <v/>
      </c>
      <c r="AR1779" t="str">
        <f t="shared" si="1688"/>
        <v>Away</v>
      </c>
      <c r="AS1779" t="str">
        <f t="shared" si="1689"/>
        <v>a</v>
      </c>
      <c r="AT1779" t="str">
        <f t="shared" si="1690"/>
        <v>Defensive</v>
      </c>
      <c r="BA1779" s="6">
        <f t="shared" si="1679"/>
        <v>415</v>
      </c>
      <c r="BB1779">
        <f t="shared" si="1680"/>
        <v>18981</v>
      </c>
      <c r="BC1779" t="str">
        <f t="shared" si="1681"/>
        <v>Nelson</v>
      </c>
      <c r="BD1779" t="str">
        <f t="shared" si="1682"/>
        <v>Velodrome</v>
      </c>
      <c r="BE1779" t="s">
        <v>230</v>
      </c>
      <c r="BF1779" t="s">
        <v>388</v>
      </c>
      <c r="BG1779" t="s">
        <v>447</v>
      </c>
      <c r="BI1779" cm="1">
        <f t="array" aca="1" ref="BI1779" ca="1">IFERROR(_xlfn._xlws.FILTER(shifts!A:A,(shifts!B:B=events!AD1779)*(shifts!AG:AG&gt;=events!BK1779)*(shifts!AH:AH&lt;=events!BL1779)),BI1778)</f>
        <v>80</v>
      </c>
      <c r="BJ1779" s="15">
        <f t="shared" si="1683"/>
        <v>0</v>
      </c>
      <c r="BK1779">
        <f t="shared" si="1691"/>
        <v>942</v>
      </c>
      <c r="BL1779">
        <f t="shared" si="1692"/>
        <v>942</v>
      </c>
      <c r="BM1779" s="15">
        <f>SUMIFS(BJ$2:BJ1779,K$2:K1779,"=Intermission")+SUMIFS(BJ$2:BJ1779,K$2:K1779,"=Timeout")</f>
        <v>142</v>
      </c>
      <c r="BN1779">
        <f t="shared" si="1693"/>
        <v>2302</v>
      </c>
      <c r="BO1779" s="19">
        <f t="shared" si="1694"/>
        <v>2440</v>
      </c>
      <c r="BP1779">
        <f t="shared" si="1695"/>
        <v>2435</v>
      </c>
      <c r="BQ1779" s="17">
        <f t="shared" si="1696"/>
        <v>2440</v>
      </c>
      <c r="BR1779" t="str">
        <f t="shared" si="1697"/>
        <v>opp_team_player_1</v>
      </c>
      <c r="BS1779">
        <f>COUNTIFS(S$3:S1779,"="&amp;S1779,AI$3:AI1779,"="&amp;AI1779)</f>
        <v>1</v>
      </c>
      <c r="BT1779" t="str">
        <f>IFERROR(VLOOKUP(BB1779&amp;BU1779&amp;X1779,game_rosters!U:W,3,FALSE),"")</f>
        <v>P100074</v>
      </c>
      <c r="BU1779" t="str">
        <f t="shared" si="1698"/>
        <v>Nelson</v>
      </c>
    </row>
    <row r="1780" spans="1:73" x14ac:dyDescent="0.2">
      <c r="A1780">
        <f t="shared" si="1684"/>
        <v>1</v>
      </c>
      <c r="J1780" s="44" t="str">
        <f t="shared" si="1699"/>
        <v>o</v>
      </c>
      <c r="K1780" t="s">
        <v>6</v>
      </c>
      <c r="L1780" t="s">
        <v>205</v>
      </c>
      <c r="M1780" t="s">
        <v>53</v>
      </c>
      <c r="S1780">
        <v>934</v>
      </c>
      <c r="W1780" t="str">
        <f t="shared" si="1675"/>
        <v>a</v>
      </c>
      <c r="X1780">
        <v>87</v>
      </c>
      <c r="Y1780" t="e">
        <f>IF(X1780&lt;&gt;"",VLOOKUP(X1780,game_rosters!$C$43:$E$64,3,FALSE))</f>
        <v>#N/A</v>
      </c>
      <c r="Z1780" cm="1">
        <f t="array" ref="Z1780">IFERROR(IF(_xlfn._xlws.FILTER(game_rosters!$J:$J,(game_rosters!$G:$G=events!$AN1780)*(game_rosters!$J:$J=events!$X1780))&gt;0,1,""),"")</f>
        <v>1</v>
      </c>
      <c r="AA1780">
        <f t="shared" si="1723"/>
        <v>1934</v>
      </c>
      <c r="AB1780" t="str">
        <f t="shared" si="1724"/>
        <v/>
      </c>
      <c r="AC1780">
        <f t="shared" si="1672"/>
        <v>1934</v>
      </c>
      <c r="AD1780" s="6">
        <v>3</v>
      </c>
      <c r="AE1780" t="s">
        <v>744</v>
      </c>
      <c r="AF1780" t="s">
        <v>902</v>
      </c>
      <c r="AG1780" t="s">
        <v>756</v>
      </c>
      <c r="AH1780" t="s">
        <v>756</v>
      </c>
      <c r="AI1780" t="s">
        <v>367</v>
      </c>
      <c r="AJ1780" t="str">
        <f t="shared" ref="AJ1780:AK1780" si="1748">IF($J1780&lt;&gt;"",$J1780,IF($AC1780=$AC1779,AJ1779,""))</f>
        <v>o</v>
      </c>
      <c r="AK1780" t="str">
        <f t="shared" si="1748"/>
        <v>o</v>
      </c>
      <c r="AL1780" t="str">
        <f t="shared" si="1677"/>
        <v>d</v>
      </c>
      <c r="AN1780" t="s">
        <v>862</v>
      </c>
      <c r="AO1780" t="str">
        <f t="shared" si="1678"/>
        <v>a</v>
      </c>
      <c r="AP1780" t="str">
        <f t="shared" si="1686"/>
        <v>d</v>
      </c>
      <c r="AQ1780" t="str">
        <f t="shared" si="1687"/>
        <v/>
      </c>
      <c r="AR1780" t="str">
        <f t="shared" si="1688"/>
        <v>Away</v>
      </c>
      <c r="AS1780" t="str">
        <f t="shared" si="1689"/>
        <v>a</v>
      </c>
      <c r="AT1780" t="str">
        <f t="shared" si="1690"/>
        <v>Offensive</v>
      </c>
      <c r="BA1780" s="6">
        <f t="shared" si="1679"/>
        <v>415</v>
      </c>
      <c r="BB1780">
        <f t="shared" si="1680"/>
        <v>18981</v>
      </c>
      <c r="BC1780" t="str">
        <f t="shared" si="1681"/>
        <v>Nelson</v>
      </c>
      <c r="BD1780" t="str">
        <f t="shared" si="1682"/>
        <v>Velodrome</v>
      </c>
      <c r="BE1780" t="s">
        <v>6</v>
      </c>
      <c r="BF1780" t="s">
        <v>205</v>
      </c>
      <c r="BG1780" t="s">
        <v>53</v>
      </c>
      <c r="BI1780" cm="1">
        <f t="array" aca="1" ref="BI1780" ca="1">IFERROR(_xlfn._xlws.FILTER(shifts!A:A,(shifts!B:B=events!AD1780)*(shifts!AG:AG&gt;=events!BK1780)*(shifts!AH:AH&lt;=events!BL1780)),BI1779)</f>
        <v>80</v>
      </c>
      <c r="BJ1780" s="15">
        <f t="shared" si="1683"/>
        <v>0</v>
      </c>
      <c r="BK1780">
        <f t="shared" si="1691"/>
        <v>942</v>
      </c>
      <c r="BL1780">
        <f t="shared" si="1692"/>
        <v>942</v>
      </c>
      <c r="BM1780" s="15">
        <f>SUMIFS(BJ$2:BJ1780,K$2:K1780,"=Intermission")+SUMIFS(BJ$2:BJ1780,K$2:K1780,"=Timeout")</f>
        <v>142</v>
      </c>
      <c r="BN1780">
        <f t="shared" si="1693"/>
        <v>2302</v>
      </c>
      <c r="BO1780" s="19">
        <f t="shared" si="1694"/>
        <v>2440</v>
      </c>
      <c r="BP1780">
        <f t="shared" si="1695"/>
        <v>2435</v>
      </c>
      <c r="BQ1780" s="17">
        <f t="shared" si="1696"/>
        <v>2440</v>
      </c>
      <c r="BR1780" t="str">
        <f t="shared" si="1697"/>
        <v>event_team_player_1</v>
      </c>
      <c r="BS1780">
        <f>COUNTIFS(S$3:S1780,"="&amp;S1780,AI$3:AI1780,"="&amp;AI1780)</f>
        <v>1</v>
      </c>
      <c r="BT1780" t="str">
        <f>IFERROR(VLOOKUP(BB1780&amp;BU1780&amp;X1780,game_rosters!U:W,3,FALSE),"")</f>
        <v>P100159</v>
      </c>
      <c r="BU1780" t="str">
        <f t="shared" si="1698"/>
        <v>Velodrome</v>
      </c>
    </row>
    <row r="1781" spans="1:73" x14ac:dyDescent="0.2">
      <c r="A1781">
        <f t="shared" si="1684"/>
        <v>1</v>
      </c>
      <c r="J1781" s="44" t="str">
        <f t="shared" si="1699"/>
        <v>o</v>
      </c>
      <c r="K1781" t="s">
        <v>6</v>
      </c>
      <c r="L1781" t="s">
        <v>205</v>
      </c>
      <c r="M1781" t="s">
        <v>53</v>
      </c>
      <c r="S1781">
        <v>934</v>
      </c>
      <c r="W1781" t="str">
        <f t="shared" si="1675"/>
        <v>a</v>
      </c>
      <c r="X1781">
        <v>31</v>
      </c>
      <c r="Y1781" t="b">
        <f>IF(X1781&lt;&gt;"",VLOOKUP(X1781,game_rosters!$C$43:$E$64,3,FALSE))</f>
        <v>0</v>
      </c>
      <c r="Z1781" t="str" cm="1">
        <f t="array" ref="Z1781">IFERROR(IF(_xlfn._xlws.FILTER(game_rosters!$J:$J,(game_rosters!$G:$G=events!$AN1781)*(game_rosters!$J:$J=events!$X1781))&gt;0,1,""),"")</f>
        <v/>
      </c>
      <c r="AA1781">
        <f t="shared" si="1723"/>
        <v>1934</v>
      </c>
      <c r="AB1781" t="str">
        <f t="shared" si="1724"/>
        <v/>
      </c>
      <c r="AC1781">
        <f t="shared" si="1672"/>
        <v>1934</v>
      </c>
      <c r="AD1781" s="6">
        <v>3</v>
      </c>
      <c r="AE1781" t="s">
        <v>744</v>
      </c>
      <c r="AF1781" t="s">
        <v>902</v>
      </c>
      <c r="AG1781" t="s">
        <v>756</v>
      </c>
      <c r="AH1781" t="s">
        <v>756</v>
      </c>
      <c r="AI1781" t="s">
        <v>368</v>
      </c>
      <c r="AJ1781" t="str">
        <f t="shared" ref="AJ1781:AK1781" si="1749">IF($J1781&lt;&gt;"",$J1781,IF($AC1781=$AC1780,AJ1780,""))</f>
        <v>o</v>
      </c>
      <c r="AK1781" t="str">
        <f t="shared" si="1749"/>
        <v>o</v>
      </c>
      <c r="AL1781" t="str">
        <f t="shared" si="1677"/>
        <v>d</v>
      </c>
      <c r="AN1781" t="s">
        <v>862</v>
      </c>
      <c r="AO1781" t="str">
        <f t="shared" si="1678"/>
        <v>a</v>
      </c>
      <c r="AP1781" t="str">
        <f t="shared" si="1686"/>
        <v>d</v>
      </c>
      <c r="AQ1781" t="str">
        <f t="shared" si="1687"/>
        <v/>
      </c>
      <c r="AR1781" t="str">
        <f t="shared" si="1688"/>
        <v>Away</v>
      </c>
      <c r="AS1781" t="str">
        <f t="shared" si="1689"/>
        <v>a</v>
      </c>
      <c r="AT1781" t="str">
        <f t="shared" si="1690"/>
        <v>Defensive</v>
      </c>
      <c r="BA1781" s="6">
        <f t="shared" si="1679"/>
        <v>415</v>
      </c>
      <c r="BB1781">
        <f t="shared" si="1680"/>
        <v>18981</v>
      </c>
      <c r="BC1781" t="str">
        <f t="shared" si="1681"/>
        <v>Nelson</v>
      </c>
      <c r="BD1781" t="str">
        <f t="shared" si="1682"/>
        <v>Velodrome</v>
      </c>
      <c r="BE1781" t="s">
        <v>6</v>
      </c>
      <c r="BF1781" t="s">
        <v>205</v>
      </c>
      <c r="BG1781" t="s">
        <v>53</v>
      </c>
      <c r="BI1781" cm="1">
        <f t="array" aca="1" ref="BI1781" ca="1">IFERROR(_xlfn._xlws.FILTER(shifts!A:A,(shifts!B:B=events!AD1781)*(shifts!AG:AG&gt;=events!BK1781)*(shifts!AH:AH&lt;=events!BL1781)),BI1780)</f>
        <v>80</v>
      </c>
      <c r="BJ1781" s="15">
        <f t="shared" si="1683"/>
        <v>0</v>
      </c>
      <c r="BK1781">
        <f t="shared" si="1691"/>
        <v>942</v>
      </c>
      <c r="BL1781">
        <f t="shared" si="1692"/>
        <v>942</v>
      </c>
      <c r="BM1781" s="15">
        <f>SUMIFS(BJ$2:BJ1781,K$2:K1781,"=Intermission")+SUMIFS(BJ$2:BJ1781,K$2:K1781,"=Timeout")</f>
        <v>142</v>
      </c>
      <c r="BN1781">
        <f t="shared" si="1693"/>
        <v>2302</v>
      </c>
      <c r="BO1781" s="19">
        <f t="shared" si="1694"/>
        <v>2440</v>
      </c>
      <c r="BP1781">
        <f t="shared" si="1695"/>
        <v>2435</v>
      </c>
      <c r="BQ1781" s="17">
        <f t="shared" si="1696"/>
        <v>2440</v>
      </c>
      <c r="BR1781" t="str">
        <f t="shared" si="1697"/>
        <v>opp_team_player_1</v>
      </c>
      <c r="BS1781">
        <f>COUNTIFS(S$3:S1781,"="&amp;S1781,AI$3:AI1781,"="&amp;AI1781)</f>
        <v>1</v>
      </c>
      <c r="BT1781" t="str">
        <f>IFERROR(VLOOKUP(BB1781&amp;BU1781&amp;X1781,game_rosters!U:W,3,FALSE),"")</f>
        <v>P100138</v>
      </c>
      <c r="BU1781" t="str">
        <f t="shared" si="1698"/>
        <v>Nelson</v>
      </c>
    </row>
    <row r="1782" spans="1:73" x14ac:dyDescent="0.2">
      <c r="A1782">
        <f t="shared" si="1684"/>
        <v>1</v>
      </c>
      <c r="J1782" s="44" t="str">
        <f t="shared" si="1699"/>
        <v>d</v>
      </c>
      <c r="K1782" t="s">
        <v>15</v>
      </c>
      <c r="L1782" t="s">
        <v>179</v>
      </c>
      <c r="M1782" t="s">
        <v>102</v>
      </c>
      <c r="S1782">
        <v>935</v>
      </c>
      <c r="W1782" t="str">
        <f t="shared" si="1675"/>
        <v>h</v>
      </c>
      <c r="X1782">
        <v>31</v>
      </c>
      <c r="Y1782" t="b">
        <f>IF(X1782&lt;&gt;"",VLOOKUP(X1782,game_rosters!$C$43:$E$64,3,FALSE))</f>
        <v>0</v>
      </c>
      <c r="Z1782" cm="1">
        <f t="array" ref="Z1782">IFERROR(IF(_xlfn._xlws.FILTER(game_rosters!$J:$J,(game_rosters!$G:$G=events!$AN1782)*(game_rosters!$J:$J=events!$X1782))&gt;0,1,""),"")</f>
        <v>1</v>
      </c>
      <c r="AA1782">
        <f t="shared" si="1723"/>
        <v>1935</v>
      </c>
      <c r="AB1782" t="str">
        <f t="shared" si="1724"/>
        <v/>
      </c>
      <c r="AC1782">
        <f t="shared" si="1672"/>
        <v>1935</v>
      </c>
      <c r="AD1782" s="6">
        <v>3</v>
      </c>
      <c r="AE1782" t="s">
        <v>744</v>
      </c>
      <c r="AF1782" t="s">
        <v>902</v>
      </c>
      <c r="AG1782" t="s">
        <v>756</v>
      </c>
      <c r="AH1782" t="s">
        <v>756</v>
      </c>
      <c r="AI1782" t="s">
        <v>367</v>
      </c>
      <c r="AJ1782" t="str">
        <f t="shared" ref="AJ1782:AK1782" si="1750">IF($J1782&lt;&gt;"",$J1782,IF($AC1782=$AC1781,AJ1781,""))</f>
        <v>d</v>
      </c>
      <c r="AK1782" t="str">
        <f t="shared" si="1750"/>
        <v>d</v>
      </c>
      <c r="AL1782" t="str">
        <f t="shared" si="1677"/>
        <v>d</v>
      </c>
      <c r="AN1782" t="s">
        <v>861</v>
      </c>
      <c r="AO1782" t="str">
        <f t="shared" si="1678"/>
        <v>h</v>
      </c>
      <c r="AP1782" t="str">
        <f t="shared" si="1686"/>
        <v>d</v>
      </c>
      <c r="AQ1782" t="str">
        <f t="shared" si="1687"/>
        <v/>
      </c>
      <c r="AR1782" t="str">
        <f t="shared" si="1688"/>
        <v>Home</v>
      </c>
      <c r="AS1782" t="str">
        <f t="shared" si="1689"/>
        <v>h</v>
      </c>
      <c r="AT1782" t="str">
        <f t="shared" si="1690"/>
        <v>Defensive</v>
      </c>
      <c r="BA1782" s="6">
        <f t="shared" si="1679"/>
        <v>415</v>
      </c>
      <c r="BB1782">
        <f t="shared" si="1680"/>
        <v>18981</v>
      </c>
      <c r="BC1782" t="str">
        <f t="shared" si="1681"/>
        <v>Nelson</v>
      </c>
      <c r="BD1782" t="str">
        <f t="shared" si="1682"/>
        <v>Velodrome</v>
      </c>
      <c r="BE1782" t="s">
        <v>15</v>
      </c>
      <c r="BF1782" t="s">
        <v>179</v>
      </c>
      <c r="BG1782" t="s">
        <v>102</v>
      </c>
      <c r="BI1782" cm="1">
        <f t="array" aca="1" ref="BI1782" ca="1">IFERROR(_xlfn._xlws.FILTER(shifts!A:A,(shifts!B:B=events!AD1782)*(shifts!AG:AG&gt;=events!BK1782)*(shifts!AH:AH&lt;=events!BL1782)),BI1781)</f>
        <v>80</v>
      </c>
      <c r="BJ1782" s="15">
        <f t="shared" si="1683"/>
        <v>0</v>
      </c>
      <c r="BK1782">
        <f t="shared" si="1691"/>
        <v>942</v>
      </c>
      <c r="BL1782">
        <f t="shared" si="1692"/>
        <v>942</v>
      </c>
      <c r="BM1782" s="15">
        <f>SUMIFS(BJ$2:BJ1782,K$2:K1782,"=Intermission")+SUMIFS(BJ$2:BJ1782,K$2:K1782,"=Timeout")</f>
        <v>142</v>
      </c>
      <c r="BN1782">
        <f t="shared" si="1693"/>
        <v>2302</v>
      </c>
      <c r="BO1782" s="19">
        <f t="shared" si="1694"/>
        <v>2440</v>
      </c>
      <c r="BP1782">
        <f t="shared" si="1695"/>
        <v>2435</v>
      </c>
      <c r="BQ1782" s="17">
        <f t="shared" si="1696"/>
        <v>2440</v>
      </c>
      <c r="BR1782" t="str">
        <f t="shared" si="1697"/>
        <v>event_team_player_1</v>
      </c>
      <c r="BS1782">
        <f>COUNTIFS(S$3:S1782,"="&amp;S1782,AI$3:AI1782,"="&amp;AI1782)</f>
        <v>1</v>
      </c>
      <c r="BT1782" t="str">
        <f>IFERROR(VLOOKUP(BB1782&amp;BU1782&amp;X1782,game_rosters!U:W,3,FALSE),"")</f>
        <v>P100138</v>
      </c>
      <c r="BU1782" t="str">
        <f t="shared" si="1698"/>
        <v>Nelson</v>
      </c>
    </row>
    <row r="1783" spans="1:73" x14ac:dyDescent="0.2">
      <c r="A1783">
        <f t="shared" si="1684"/>
        <v>1</v>
      </c>
      <c r="J1783" s="44" t="str">
        <f t="shared" si="1699"/>
        <v>d</v>
      </c>
      <c r="K1783" t="s">
        <v>15</v>
      </c>
      <c r="L1783" t="s">
        <v>179</v>
      </c>
      <c r="M1783" t="s">
        <v>102</v>
      </c>
      <c r="S1783">
        <v>935</v>
      </c>
      <c r="W1783" t="str">
        <f t="shared" si="1675"/>
        <v>h</v>
      </c>
      <c r="X1783">
        <v>87</v>
      </c>
      <c r="Y1783" t="e">
        <f>IF(X1783&lt;&gt;"",VLOOKUP(X1783,game_rosters!$C$43:$E$64,3,FALSE))</f>
        <v>#N/A</v>
      </c>
      <c r="Z1783" t="str" cm="1">
        <f t="array" ref="Z1783">IFERROR(IF(_xlfn._xlws.FILTER(game_rosters!$J:$J,(game_rosters!$G:$G=events!$AN1783)*(game_rosters!$J:$J=events!$X1783))&gt;0,1,""),"")</f>
        <v/>
      </c>
      <c r="AA1783">
        <f t="shared" si="1723"/>
        <v>1935</v>
      </c>
      <c r="AB1783" t="str">
        <f t="shared" si="1724"/>
        <v/>
      </c>
      <c r="AC1783">
        <f t="shared" si="1672"/>
        <v>1935</v>
      </c>
      <c r="AD1783" s="6">
        <v>3</v>
      </c>
      <c r="AE1783" t="s">
        <v>744</v>
      </c>
      <c r="AF1783" t="s">
        <v>902</v>
      </c>
      <c r="AG1783" t="s">
        <v>756</v>
      </c>
      <c r="AH1783" t="s">
        <v>756</v>
      </c>
      <c r="AI1783" t="s">
        <v>368</v>
      </c>
      <c r="AJ1783" t="str">
        <f t="shared" ref="AJ1783:AK1783" si="1751">IF($J1783&lt;&gt;"",$J1783,IF($AC1783=$AC1782,AJ1782,""))</f>
        <v>d</v>
      </c>
      <c r="AK1783" t="str">
        <f t="shared" si="1751"/>
        <v>d</v>
      </c>
      <c r="AL1783" t="str">
        <f t="shared" si="1677"/>
        <v>d</v>
      </c>
      <c r="AN1783" t="s">
        <v>861</v>
      </c>
      <c r="AO1783" t="str">
        <f t="shared" si="1678"/>
        <v>h</v>
      </c>
      <c r="AP1783" t="str">
        <f t="shared" si="1686"/>
        <v>d</v>
      </c>
      <c r="AQ1783" t="str">
        <f t="shared" si="1687"/>
        <v/>
      </c>
      <c r="AR1783" t="str">
        <f t="shared" si="1688"/>
        <v>Home</v>
      </c>
      <c r="AS1783" t="str">
        <f t="shared" si="1689"/>
        <v>h</v>
      </c>
      <c r="AT1783" t="str">
        <f t="shared" si="1690"/>
        <v>Offensive</v>
      </c>
      <c r="BA1783" s="6">
        <f t="shared" si="1679"/>
        <v>415</v>
      </c>
      <c r="BB1783">
        <f t="shared" si="1680"/>
        <v>18981</v>
      </c>
      <c r="BC1783" t="str">
        <f t="shared" si="1681"/>
        <v>Nelson</v>
      </c>
      <c r="BD1783" t="str">
        <f t="shared" si="1682"/>
        <v>Velodrome</v>
      </c>
      <c r="BE1783" t="s">
        <v>15</v>
      </c>
      <c r="BF1783" t="s">
        <v>179</v>
      </c>
      <c r="BG1783" t="s">
        <v>102</v>
      </c>
      <c r="BI1783" cm="1">
        <f t="array" aca="1" ref="BI1783" ca="1">IFERROR(_xlfn._xlws.FILTER(shifts!A:A,(shifts!B:B=events!AD1783)*(shifts!AG:AG&gt;=events!BK1783)*(shifts!AH:AH&lt;=events!BL1783)),BI1782)</f>
        <v>80</v>
      </c>
      <c r="BJ1783" s="15">
        <f t="shared" si="1683"/>
        <v>0</v>
      </c>
      <c r="BK1783">
        <f t="shared" si="1691"/>
        <v>942</v>
      </c>
      <c r="BL1783">
        <f t="shared" si="1692"/>
        <v>942</v>
      </c>
      <c r="BM1783" s="15">
        <f>SUMIFS(BJ$2:BJ1783,K$2:K1783,"=Intermission")+SUMIFS(BJ$2:BJ1783,K$2:K1783,"=Timeout")</f>
        <v>142</v>
      </c>
      <c r="BN1783">
        <f t="shared" si="1693"/>
        <v>2302</v>
      </c>
      <c r="BO1783" s="19">
        <f t="shared" si="1694"/>
        <v>2440</v>
      </c>
      <c r="BP1783">
        <f t="shared" si="1695"/>
        <v>2435</v>
      </c>
      <c r="BQ1783" s="17">
        <f t="shared" si="1696"/>
        <v>2440</v>
      </c>
      <c r="BR1783" t="str">
        <f t="shared" si="1697"/>
        <v>opp_team_player_1</v>
      </c>
      <c r="BS1783">
        <f>COUNTIFS(S$3:S1783,"="&amp;S1783,AI$3:AI1783,"="&amp;AI1783)</f>
        <v>1</v>
      </c>
      <c r="BT1783" t="str">
        <f>IFERROR(VLOOKUP(BB1783&amp;BU1783&amp;X1783,game_rosters!U:W,3,FALSE),"")</f>
        <v>P100159</v>
      </c>
      <c r="BU1783" t="str">
        <f t="shared" si="1698"/>
        <v>Velodrome</v>
      </c>
    </row>
    <row r="1784" spans="1:73" x14ac:dyDescent="0.2">
      <c r="A1784">
        <f t="shared" si="1684"/>
        <v>1</v>
      </c>
      <c r="J1784" s="44" t="str">
        <f t="shared" si="1699"/>
        <v>d</v>
      </c>
      <c r="K1784" t="s">
        <v>231</v>
      </c>
      <c r="L1784" t="s">
        <v>235</v>
      </c>
      <c r="M1784" t="s">
        <v>756</v>
      </c>
      <c r="S1784">
        <v>936</v>
      </c>
      <c r="W1784" t="str">
        <f t="shared" si="1675"/>
        <v>h</v>
      </c>
      <c r="X1784">
        <v>31</v>
      </c>
      <c r="Y1784" t="b">
        <f>IF(X1784&lt;&gt;"",VLOOKUP(X1784,game_rosters!$C$43:$E$64,3,FALSE))</f>
        <v>0</v>
      </c>
      <c r="Z1784" cm="1">
        <f t="array" ref="Z1784">IFERROR(IF(_xlfn._xlws.FILTER(game_rosters!$J:$J,(game_rosters!$G:$G=events!$AN1784)*(game_rosters!$J:$J=events!$X1784))&gt;0,1,""),"")</f>
        <v>1</v>
      </c>
      <c r="AA1784">
        <f t="shared" si="1723"/>
        <v>1936</v>
      </c>
      <c r="AB1784" t="str">
        <f t="shared" si="1724"/>
        <v/>
      </c>
      <c r="AC1784">
        <f t="shared" si="1672"/>
        <v>1936</v>
      </c>
      <c r="AD1784" s="6">
        <v>3</v>
      </c>
      <c r="AE1784" t="s">
        <v>744</v>
      </c>
      <c r="AF1784" t="s">
        <v>902</v>
      </c>
      <c r="AG1784" t="s">
        <v>756</v>
      </c>
      <c r="AH1784" t="s">
        <v>756</v>
      </c>
      <c r="AI1784" t="s">
        <v>367</v>
      </c>
      <c r="AJ1784" t="str">
        <f t="shared" ref="AJ1784:AK1784" si="1752">IF($J1784&lt;&gt;"",$J1784,IF($AC1784=$AC1783,AJ1783,""))</f>
        <v>d</v>
      </c>
      <c r="AK1784" t="str">
        <f t="shared" si="1752"/>
        <v>d</v>
      </c>
      <c r="AL1784" t="str">
        <f t="shared" si="1677"/>
        <v>d</v>
      </c>
      <c r="AN1784" t="s">
        <v>861</v>
      </c>
      <c r="AO1784" t="str">
        <f t="shared" si="1678"/>
        <v>h</v>
      </c>
      <c r="AP1784" t="str">
        <f t="shared" si="1686"/>
        <v>d</v>
      </c>
      <c r="AQ1784" t="str">
        <f t="shared" si="1687"/>
        <v/>
      </c>
      <c r="AR1784" t="str">
        <f t="shared" si="1688"/>
        <v>Home</v>
      </c>
      <c r="AS1784" t="str">
        <f t="shared" si="1689"/>
        <v>h</v>
      </c>
      <c r="AT1784" t="str">
        <f t="shared" si="1690"/>
        <v>Offensive</v>
      </c>
      <c r="BA1784" s="6">
        <f t="shared" si="1679"/>
        <v>415</v>
      </c>
      <c r="BB1784">
        <f t="shared" si="1680"/>
        <v>18981</v>
      </c>
      <c r="BC1784" t="str">
        <f t="shared" si="1681"/>
        <v>Nelson</v>
      </c>
      <c r="BD1784" t="str">
        <f t="shared" si="1682"/>
        <v>Velodrome</v>
      </c>
      <c r="BE1784" t="s">
        <v>231</v>
      </c>
      <c r="BF1784" t="s">
        <v>235</v>
      </c>
      <c r="BG1784" t="s">
        <v>756</v>
      </c>
      <c r="BI1784" cm="1">
        <f t="array" aca="1" ref="BI1784" ca="1">IFERROR(_xlfn._xlws.FILTER(shifts!A:A,(shifts!B:B=events!AD1784)*(shifts!AG:AG&gt;=events!BK1784)*(shifts!AH:AH&lt;=events!BL1784)),BI1783)</f>
        <v>80</v>
      </c>
      <c r="BJ1784" s="15">
        <f t="shared" si="1683"/>
        <v>0</v>
      </c>
      <c r="BK1784">
        <f t="shared" si="1691"/>
        <v>942</v>
      </c>
      <c r="BL1784">
        <f t="shared" si="1692"/>
        <v>942</v>
      </c>
      <c r="BM1784" s="15">
        <f>SUMIFS(BJ$2:BJ1784,K$2:K1784,"=Intermission")+SUMIFS(BJ$2:BJ1784,K$2:K1784,"=Timeout")</f>
        <v>142</v>
      </c>
      <c r="BN1784">
        <f t="shared" si="1693"/>
        <v>2302</v>
      </c>
      <c r="BO1784" s="19">
        <f t="shared" si="1694"/>
        <v>2440</v>
      </c>
      <c r="BP1784">
        <f t="shared" si="1695"/>
        <v>2435</v>
      </c>
      <c r="BQ1784" s="17">
        <f t="shared" si="1696"/>
        <v>2440</v>
      </c>
      <c r="BR1784" t="str">
        <f t="shared" si="1697"/>
        <v>event_team_player_1</v>
      </c>
      <c r="BS1784">
        <f>COUNTIFS(S$3:S1784,"="&amp;S1784,AI$3:AI1784,"="&amp;AI1784)</f>
        <v>1</v>
      </c>
      <c r="BT1784" t="str">
        <f>IFERROR(VLOOKUP(BB1784&amp;BU1784&amp;X1784,game_rosters!U:W,3,FALSE),"")</f>
        <v>P100138</v>
      </c>
      <c r="BU1784" t="str">
        <f t="shared" si="1698"/>
        <v>Nelson</v>
      </c>
    </row>
    <row r="1785" spans="1:73" x14ac:dyDescent="0.2">
      <c r="A1785">
        <f t="shared" si="1684"/>
        <v>1</v>
      </c>
      <c r="J1785" s="44" t="str">
        <f t="shared" si="1699"/>
        <v>o</v>
      </c>
      <c r="K1785" t="s">
        <v>6</v>
      </c>
      <c r="L1785" t="s">
        <v>205</v>
      </c>
      <c r="M1785" t="s">
        <v>56</v>
      </c>
      <c r="S1785">
        <v>937</v>
      </c>
      <c r="W1785" t="str">
        <f t="shared" si="1675"/>
        <v>a</v>
      </c>
      <c r="X1785">
        <v>70</v>
      </c>
      <c r="Y1785" t="e">
        <f>IF(X1785&lt;&gt;"",VLOOKUP(X1785,game_rosters!$C$43:$E$64,3,FALSE))</f>
        <v>#N/A</v>
      </c>
      <c r="Z1785" cm="1">
        <f t="array" ref="Z1785">IFERROR(IF(_xlfn._xlws.FILTER(game_rosters!$J:$J,(game_rosters!$G:$G=events!$AN1785)*(game_rosters!$J:$J=events!$X1785))&gt;0,1,""),"")</f>
        <v>1</v>
      </c>
      <c r="AA1785">
        <f t="shared" si="1723"/>
        <v>1937</v>
      </c>
      <c r="AB1785" t="str">
        <f t="shared" si="1724"/>
        <v/>
      </c>
      <c r="AC1785">
        <f t="shared" si="1672"/>
        <v>1937</v>
      </c>
      <c r="AD1785" s="6">
        <v>3</v>
      </c>
      <c r="AE1785" t="s">
        <v>744</v>
      </c>
      <c r="AF1785" t="s">
        <v>903</v>
      </c>
      <c r="AG1785" t="s">
        <v>756</v>
      </c>
      <c r="AH1785" t="s">
        <v>756</v>
      </c>
      <c r="AI1785" t="s">
        <v>367</v>
      </c>
      <c r="AJ1785" t="str">
        <f t="shared" ref="AJ1785:AK1785" si="1753">IF($J1785&lt;&gt;"",$J1785,IF($AC1785=$AC1784,AJ1784,""))</f>
        <v>o</v>
      </c>
      <c r="AK1785" t="str">
        <f t="shared" si="1753"/>
        <v>o</v>
      </c>
      <c r="AL1785" t="str">
        <f t="shared" si="1677"/>
        <v>d</v>
      </c>
      <c r="AN1785" t="s">
        <v>862</v>
      </c>
      <c r="AO1785" t="str">
        <f t="shared" si="1678"/>
        <v>a</v>
      </c>
      <c r="AP1785" t="str">
        <f t="shared" si="1686"/>
        <v>d</v>
      </c>
      <c r="AQ1785" t="str">
        <f t="shared" si="1687"/>
        <v/>
      </c>
      <c r="AR1785" t="str">
        <f t="shared" si="1688"/>
        <v>Away</v>
      </c>
      <c r="AS1785" t="str">
        <f t="shared" si="1689"/>
        <v>a</v>
      </c>
      <c r="AT1785" t="str">
        <f t="shared" si="1690"/>
        <v>Offensive</v>
      </c>
      <c r="BA1785" s="6">
        <f t="shared" si="1679"/>
        <v>415</v>
      </c>
      <c r="BB1785">
        <f t="shared" si="1680"/>
        <v>18981</v>
      </c>
      <c r="BC1785" t="str">
        <f t="shared" si="1681"/>
        <v>Nelson</v>
      </c>
      <c r="BD1785" t="str">
        <f t="shared" si="1682"/>
        <v>Velodrome</v>
      </c>
      <c r="BE1785" t="s">
        <v>6</v>
      </c>
      <c r="BF1785" t="s">
        <v>205</v>
      </c>
      <c r="BG1785" t="s">
        <v>56</v>
      </c>
      <c r="BI1785" cm="1">
        <f t="array" aca="1" ref="BI1785" ca="1">IFERROR(_xlfn._xlws.FILTER(shifts!A:A,(shifts!B:B=events!AD1785)*(shifts!AG:AG&gt;=events!BK1785)*(shifts!AH:AH&lt;=events!BL1785)),BI1784)</f>
        <v>80</v>
      </c>
      <c r="BJ1785" s="15">
        <f t="shared" si="1683"/>
        <v>0</v>
      </c>
      <c r="BK1785">
        <f t="shared" si="1691"/>
        <v>940</v>
      </c>
      <c r="BL1785">
        <f t="shared" si="1692"/>
        <v>940</v>
      </c>
      <c r="BM1785" s="15">
        <f>SUMIFS(BJ$2:BJ1785,K$2:K1785,"=Intermission")+SUMIFS(BJ$2:BJ1785,K$2:K1785,"=Timeout")</f>
        <v>142</v>
      </c>
      <c r="BN1785">
        <f t="shared" si="1693"/>
        <v>2302</v>
      </c>
      <c r="BO1785" s="19">
        <f t="shared" si="1694"/>
        <v>2442</v>
      </c>
      <c r="BP1785">
        <f t="shared" si="1695"/>
        <v>2437</v>
      </c>
      <c r="BQ1785" s="17">
        <f t="shared" si="1696"/>
        <v>2442</v>
      </c>
      <c r="BR1785" t="str">
        <f t="shared" si="1697"/>
        <v>event_team_player_1</v>
      </c>
      <c r="BS1785">
        <f>COUNTIFS(S$3:S1785,"="&amp;S1785,AI$3:AI1785,"="&amp;AI1785)</f>
        <v>1</v>
      </c>
      <c r="BT1785" t="str">
        <f>IFERROR(VLOOKUP(BB1785&amp;BU1785&amp;X1785,game_rosters!U:W,3,FALSE),"")</f>
        <v>P100001</v>
      </c>
      <c r="BU1785" t="str">
        <f t="shared" si="1698"/>
        <v>Velodrome</v>
      </c>
    </row>
    <row r="1786" spans="1:73" x14ac:dyDescent="0.2">
      <c r="A1786">
        <f t="shared" si="1684"/>
        <v>1</v>
      </c>
      <c r="J1786" s="44" t="str">
        <f t="shared" si="1699"/>
        <v>o</v>
      </c>
      <c r="K1786" t="s">
        <v>6</v>
      </c>
      <c r="L1786" t="s">
        <v>205</v>
      </c>
      <c r="M1786" t="s">
        <v>56</v>
      </c>
      <c r="S1786">
        <v>937</v>
      </c>
      <c r="W1786" t="str">
        <f t="shared" si="1675"/>
        <v>a</v>
      </c>
      <c r="X1786">
        <v>31</v>
      </c>
      <c r="Y1786" t="b">
        <f>IF(X1786&lt;&gt;"",VLOOKUP(X1786,game_rosters!$C$43:$E$64,3,FALSE))</f>
        <v>0</v>
      </c>
      <c r="Z1786" t="str" cm="1">
        <f t="array" ref="Z1786">IFERROR(IF(_xlfn._xlws.FILTER(game_rosters!$J:$J,(game_rosters!$G:$G=events!$AN1786)*(game_rosters!$J:$J=events!$X1786))&gt;0,1,""),"")</f>
        <v/>
      </c>
      <c r="AA1786">
        <f t="shared" si="1723"/>
        <v>1937</v>
      </c>
      <c r="AB1786" t="str">
        <f t="shared" si="1724"/>
        <v/>
      </c>
      <c r="AC1786">
        <f t="shared" si="1672"/>
        <v>1937</v>
      </c>
      <c r="AD1786" s="6">
        <v>3</v>
      </c>
      <c r="AE1786" t="s">
        <v>744</v>
      </c>
      <c r="AF1786" t="s">
        <v>903</v>
      </c>
      <c r="AG1786" t="s">
        <v>756</v>
      </c>
      <c r="AH1786" t="s">
        <v>756</v>
      </c>
      <c r="AI1786" t="s">
        <v>368</v>
      </c>
      <c r="AJ1786" t="str">
        <f t="shared" ref="AJ1786:AK1786" si="1754">IF($J1786&lt;&gt;"",$J1786,IF($AC1786=$AC1785,AJ1785,""))</f>
        <v>o</v>
      </c>
      <c r="AK1786" t="str">
        <f t="shared" si="1754"/>
        <v>o</v>
      </c>
      <c r="AL1786" t="str">
        <f t="shared" si="1677"/>
        <v>d</v>
      </c>
      <c r="AN1786" t="s">
        <v>862</v>
      </c>
      <c r="AO1786" t="str">
        <f t="shared" si="1678"/>
        <v>a</v>
      </c>
      <c r="AP1786" t="str">
        <f t="shared" si="1686"/>
        <v>d</v>
      </c>
      <c r="AQ1786" t="str">
        <f t="shared" si="1687"/>
        <v/>
      </c>
      <c r="AR1786" t="str">
        <f t="shared" si="1688"/>
        <v>Away</v>
      </c>
      <c r="AS1786" t="str">
        <f t="shared" si="1689"/>
        <v>a</v>
      </c>
      <c r="AT1786" t="str">
        <f t="shared" si="1690"/>
        <v>Defensive</v>
      </c>
      <c r="BA1786" s="6">
        <f t="shared" si="1679"/>
        <v>415</v>
      </c>
      <c r="BB1786">
        <f t="shared" si="1680"/>
        <v>18981</v>
      </c>
      <c r="BC1786" t="str">
        <f t="shared" si="1681"/>
        <v>Nelson</v>
      </c>
      <c r="BD1786" t="str">
        <f t="shared" si="1682"/>
        <v>Velodrome</v>
      </c>
      <c r="BE1786" t="s">
        <v>6</v>
      </c>
      <c r="BF1786" t="s">
        <v>205</v>
      </c>
      <c r="BG1786" t="s">
        <v>56</v>
      </c>
      <c r="BI1786" cm="1">
        <f t="array" aca="1" ref="BI1786" ca="1">IFERROR(_xlfn._xlws.FILTER(shifts!A:A,(shifts!B:B=events!AD1786)*(shifts!AG:AG&gt;=events!BK1786)*(shifts!AH:AH&lt;=events!BL1786)),BI1785)</f>
        <v>80</v>
      </c>
      <c r="BJ1786" s="15">
        <f t="shared" si="1683"/>
        <v>0</v>
      </c>
      <c r="BK1786">
        <f t="shared" si="1691"/>
        <v>940</v>
      </c>
      <c r="BL1786">
        <f t="shared" si="1692"/>
        <v>940</v>
      </c>
      <c r="BM1786" s="15">
        <f>SUMIFS(BJ$2:BJ1786,K$2:K1786,"=Intermission")+SUMIFS(BJ$2:BJ1786,K$2:K1786,"=Timeout")</f>
        <v>142</v>
      </c>
      <c r="BN1786">
        <f t="shared" si="1693"/>
        <v>2302</v>
      </c>
      <c r="BO1786" s="19">
        <f t="shared" si="1694"/>
        <v>2442</v>
      </c>
      <c r="BP1786">
        <f t="shared" si="1695"/>
        <v>2437</v>
      </c>
      <c r="BQ1786" s="17">
        <f t="shared" si="1696"/>
        <v>2442</v>
      </c>
      <c r="BR1786" t="str">
        <f t="shared" si="1697"/>
        <v>opp_team_player_1</v>
      </c>
      <c r="BS1786">
        <f>COUNTIFS(S$3:S1786,"="&amp;S1786,AI$3:AI1786,"="&amp;AI1786)</f>
        <v>1</v>
      </c>
      <c r="BT1786" t="str">
        <f>IFERROR(VLOOKUP(BB1786&amp;BU1786&amp;X1786,game_rosters!U:W,3,FALSE),"")</f>
        <v>P100138</v>
      </c>
      <c r="BU1786" t="str">
        <f t="shared" si="1698"/>
        <v>Nelson</v>
      </c>
    </row>
    <row r="1787" spans="1:73" x14ac:dyDescent="0.2">
      <c r="A1787">
        <f t="shared" si="1684"/>
        <v>1</v>
      </c>
      <c r="J1787" s="44" t="str">
        <f t="shared" si="1699"/>
        <v>d</v>
      </c>
      <c r="K1787" t="s">
        <v>15</v>
      </c>
      <c r="L1787" t="s">
        <v>179</v>
      </c>
      <c r="M1787" t="s">
        <v>97</v>
      </c>
      <c r="S1787">
        <v>938</v>
      </c>
      <c r="W1787" t="str">
        <f t="shared" si="1675"/>
        <v>h</v>
      </c>
      <c r="X1787">
        <v>31</v>
      </c>
      <c r="Y1787" t="b">
        <f>IF(X1787&lt;&gt;"",VLOOKUP(X1787,game_rosters!$C$43:$E$64,3,FALSE))</f>
        <v>0</v>
      </c>
      <c r="Z1787" cm="1">
        <f t="array" ref="Z1787">IFERROR(IF(_xlfn._xlws.FILTER(game_rosters!$J:$J,(game_rosters!$G:$G=events!$AN1787)*(game_rosters!$J:$J=events!$X1787))&gt;0,1,""),"")</f>
        <v>1</v>
      </c>
      <c r="AA1787">
        <f t="shared" si="1723"/>
        <v>1938</v>
      </c>
      <c r="AB1787" t="str">
        <f t="shared" si="1724"/>
        <v/>
      </c>
      <c r="AC1787">
        <f t="shared" si="1672"/>
        <v>1938</v>
      </c>
      <c r="AD1787" s="6">
        <v>3</v>
      </c>
      <c r="AE1787" t="s">
        <v>744</v>
      </c>
      <c r="AF1787" t="s">
        <v>903</v>
      </c>
      <c r="AG1787" t="s">
        <v>756</v>
      </c>
      <c r="AH1787" t="s">
        <v>756</v>
      </c>
      <c r="AI1787" t="s">
        <v>367</v>
      </c>
      <c r="AJ1787" t="str">
        <f t="shared" ref="AJ1787:AK1787" si="1755">IF($J1787&lt;&gt;"",$J1787,IF($AC1787=$AC1786,AJ1786,""))</f>
        <v>d</v>
      </c>
      <c r="AK1787" t="str">
        <f t="shared" si="1755"/>
        <v>d</v>
      </c>
      <c r="AL1787" t="str">
        <f t="shared" si="1677"/>
        <v>d</v>
      </c>
      <c r="AN1787" t="s">
        <v>861</v>
      </c>
      <c r="AO1787" t="str">
        <f t="shared" si="1678"/>
        <v>h</v>
      </c>
      <c r="AP1787" t="str">
        <f t="shared" si="1686"/>
        <v>d</v>
      </c>
      <c r="AQ1787" t="str">
        <f t="shared" si="1687"/>
        <v/>
      </c>
      <c r="AR1787" t="str">
        <f t="shared" si="1688"/>
        <v>Home</v>
      </c>
      <c r="AS1787" t="str">
        <f t="shared" si="1689"/>
        <v>h</v>
      </c>
      <c r="AT1787" t="str">
        <f t="shared" si="1690"/>
        <v>Defensive</v>
      </c>
      <c r="BA1787" s="6">
        <f t="shared" si="1679"/>
        <v>415</v>
      </c>
      <c r="BB1787">
        <f t="shared" si="1680"/>
        <v>18981</v>
      </c>
      <c r="BC1787" t="str">
        <f t="shared" si="1681"/>
        <v>Nelson</v>
      </c>
      <c r="BD1787" t="str">
        <f t="shared" si="1682"/>
        <v>Velodrome</v>
      </c>
      <c r="BE1787" t="s">
        <v>15</v>
      </c>
      <c r="BF1787" t="s">
        <v>179</v>
      </c>
      <c r="BG1787" t="s">
        <v>97</v>
      </c>
      <c r="BI1787" cm="1">
        <f t="array" aca="1" ref="BI1787" ca="1">IFERROR(_xlfn._xlws.FILTER(shifts!A:A,(shifts!B:B=events!AD1787)*(shifts!AG:AG&gt;=events!BK1787)*(shifts!AH:AH&lt;=events!BL1787)),BI1786)</f>
        <v>80</v>
      </c>
      <c r="BJ1787" s="15">
        <f t="shared" si="1683"/>
        <v>0</v>
      </c>
      <c r="BK1787">
        <f t="shared" si="1691"/>
        <v>940</v>
      </c>
      <c r="BL1787">
        <f t="shared" si="1692"/>
        <v>940</v>
      </c>
      <c r="BM1787" s="15">
        <f>SUMIFS(BJ$2:BJ1787,K$2:K1787,"=Intermission")+SUMIFS(BJ$2:BJ1787,K$2:K1787,"=Timeout")</f>
        <v>142</v>
      </c>
      <c r="BN1787">
        <f t="shared" si="1693"/>
        <v>2302</v>
      </c>
      <c r="BO1787" s="19">
        <f t="shared" si="1694"/>
        <v>2442</v>
      </c>
      <c r="BP1787">
        <f t="shared" si="1695"/>
        <v>2437</v>
      </c>
      <c r="BQ1787" s="17">
        <f t="shared" si="1696"/>
        <v>2442</v>
      </c>
      <c r="BR1787" t="str">
        <f t="shared" si="1697"/>
        <v>event_team_player_1</v>
      </c>
      <c r="BS1787">
        <f>COUNTIFS(S$3:S1787,"="&amp;S1787,AI$3:AI1787,"="&amp;AI1787)</f>
        <v>1</v>
      </c>
      <c r="BT1787" t="str">
        <f>IFERROR(VLOOKUP(BB1787&amp;BU1787&amp;X1787,game_rosters!U:W,3,FALSE),"")</f>
        <v>P100138</v>
      </c>
      <c r="BU1787" t="str">
        <f t="shared" si="1698"/>
        <v>Nelson</v>
      </c>
    </row>
    <row r="1788" spans="1:73" x14ac:dyDescent="0.2">
      <c r="A1788">
        <f t="shared" si="1684"/>
        <v>1</v>
      </c>
      <c r="J1788" s="44" t="str">
        <f t="shared" si="1699"/>
        <v>d</v>
      </c>
      <c r="K1788" t="s">
        <v>15</v>
      </c>
      <c r="L1788" t="s">
        <v>179</v>
      </c>
      <c r="M1788" t="s">
        <v>97</v>
      </c>
      <c r="S1788">
        <v>938</v>
      </c>
      <c r="W1788" t="str">
        <f t="shared" si="1675"/>
        <v>h</v>
      </c>
      <c r="X1788">
        <v>70</v>
      </c>
      <c r="Y1788" t="e">
        <f>IF(X1788&lt;&gt;"",VLOOKUP(X1788,game_rosters!$C$43:$E$64,3,FALSE))</f>
        <v>#N/A</v>
      </c>
      <c r="Z1788" t="str" cm="1">
        <f t="array" ref="Z1788">IFERROR(IF(_xlfn._xlws.FILTER(game_rosters!$J:$J,(game_rosters!$G:$G=events!$AN1788)*(game_rosters!$J:$J=events!$X1788))&gt;0,1,""),"")</f>
        <v/>
      </c>
      <c r="AA1788">
        <f t="shared" si="1723"/>
        <v>1938</v>
      </c>
      <c r="AB1788" t="str">
        <f t="shared" si="1724"/>
        <v/>
      </c>
      <c r="AC1788">
        <f t="shared" si="1672"/>
        <v>1938</v>
      </c>
      <c r="AD1788" s="6">
        <v>3</v>
      </c>
      <c r="AE1788" t="s">
        <v>744</v>
      </c>
      <c r="AF1788" t="s">
        <v>903</v>
      </c>
      <c r="AG1788" t="s">
        <v>756</v>
      </c>
      <c r="AH1788" t="s">
        <v>756</v>
      </c>
      <c r="AI1788" t="s">
        <v>368</v>
      </c>
      <c r="AJ1788" t="str">
        <f t="shared" ref="AJ1788:AK1788" si="1756">IF($J1788&lt;&gt;"",$J1788,IF($AC1788=$AC1787,AJ1787,""))</f>
        <v>d</v>
      </c>
      <c r="AK1788" t="str">
        <f t="shared" si="1756"/>
        <v>d</v>
      </c>
      <c r="AL1788" t="str">
        <f t="shared" si="1677"/>
        <v>d</v>
      </c>
      <c r="AN1788" t="s">
        <v>861</v>
      </c>
      <c r="AO1788" t="str">
        <f t="shared" si="1678"/>
        <v>h</v>
      </c>
      <c r="AP1788" t="str">
        <f t="shared" si="1686"/>
        <v>d</v>
      </c>
      <c r="AQ1788" t="str">
        <f t="shared" si="1687"/>
        <v/>
      </c>
      <c r="AR1788" t="str">
        <f t="shared" si="1688"/>
        <v>Home</v>
      </c>
      <c r="AS1788" t="str">
        <f t="shared" si="1689"/>
        <v>h</v>
      </c>
      <c r="AT1788" t="str">
        <f t="shared" si="1690"/>
        <v>Offensive</v>
      </c>
      <c r="BA1788" s="6">
        <f t="shared" si="1679"/>
        <v>415</v>
      </c>
      <c r="BB1788">
        <f t="shared" si="1680"/>
        <v>18981</v>
      </c>
      <c r="BC1788" t="str">
        <f t="shared" si="1681"/>
        <v>Nelson</v>
      </c>
      <c r="BD1788" t="str">
        <f t="shared" si="1682"/>
        <v>Velodrome</v>
      </c>
      <c r="BE1788" t="s">
        <v>15</v>
      </c>
      <c r="BF1788" t="s">
        <v>179</v>
      </c>
      <c r="BG1788" t="s">
        <v>97</v>
      </c>
      <c r="BI1788" cm="1">
        <f t="array" aca="1" ref="BI1788" ca="1">IFERROR(_xlfn._xlws.FILTER(shifts!A:A,(shifts!B:B=events!AD1788)*(shifts!AG:AG&gt;=events!BK1788)*(shifts!AH:AH&lt;=events!BL1788)),BI1787)</f>
        <v>80</v>
      </c>
      <c r="BJ1788" s="15">
        <f t="shared" si="1683"/>
        <v>0</v>
      </c>
      <c r="BK1788">
        <f t="shared" si="1691"/>
        <v>940</v>
      </c>
      <c r="BL1788">
        <f t="shared" si="1692"/>
        <v>940</v>
      </c>
      <c r="BM1788" s="15">
        <f>SUMIFS(BJ$2:BJ1788,K$2:K1788,"=Intermission")+SUMIFS(BJ$2:BJ1788,K$2:K1788,"=Timeout")</f>
        <v>142</v>
      </c>
      <c r="BN1788">
        <f t="shared" si="1693"/>
        <v>2302</v>
      </c>
      <c r="BO1788" s="19">
        <f t="shared" si="1694"/>
        <v>2442</v>
      </c>
      <c r="BP1788">
        <f t="shared" si="1695"/>
        <v>2437</v>
      </c>
      <c r="BQ1788" s="17">
        <f t="shared" si="1696"/>
        <v>2442</v>
      </c>
      <c r="BR1788" t="str">
        <f t="shared" si="1697"/>
        <v>opp_team_player_1</v>
      </c>
      <c r="BS1788">
        <f>COUNTIFS(S$3:S1788,"="&amp;S1788,AI$3:AI1788,"="&amp;AI1788)</f>
        <v>1</v>
      </c>
      <c r="BT1788" t="str">
        <f>IFERROR(VLOOKUP(BB1788&amp;BU1788&amp;X1788,game_rosters!U:W,3,FALSE),"")</f>
        <v>P100001</v>
      </c>
      <c r="BU1788" t="str">
        <f t="shared" si="1698"/>
        <v>Velodrome</v>
      </c>
    </row>
    <row r="1789" spans="1:73" x14ac:dyDescent="0.2">
      <c r="A1789">
        <f t="shared" si="1684"/>
        <v>1</v>
      </c>
      <c r="J1789" s="44" t="str">
        <f t="shared" si="1699"/>
        <v>d</v>
      </c>
      <c r="K1789" t="s">
        <v>231</v>
      </c>
      <c r="L1789" t="s">
        <v>233</v>
      </c>
      <c r="M1789" t="s">
        <v>756</v>
      </c>
      <c r="S1789">
        <v>939</v>
      </c>
      <c r="W1789" t="str">
        <f t="shared" si="1675"/>
        <v>h</v>
      </c>
      <c r="X1789">
        <v>31</v>
      </c>
      <c r="Y1789" t="b">
        <f>IF(X1789&lt;&gt;"",VLOOKUP(X1789,game_rosters!$C$43:$E$64,3,FALSE))</f>
        <v>0</v>
      </c>
      <c r="Z1789" cm="1">
        <f t="array" ref="Z1789">IFERROR(IF(_xlfn._xlws.FILTER(game_rosters!$J:$J,(game_rosters!$G:$G=events!$AN1789)*(game_rosters!$J:$J=events!$X1789))&gt;0,1,""),"")</f>
        <v>1</v>
      </c>
      <c r="AA1789">
        <f t="shared" si="1723"/>
        <v>1939</v>
      </c>
      <c r="AB1789" t="str">
        <f t="shared" si="1724"/>
        <v/>
      </c>
      <c r="AC1789">
        <f t="shared" si="1672"/>
        <v>1939</v>
      </c>
      <c r="AD1789" s="6">
        <v>3</v>
      </c>
      <c r="AE1789" t="s">
        <v>744</v>
      </c>
      <c r="AF1789" t="s">
        <v>903</v>
      </c>
      <c r="AG1789" t="s">
        <v>756</v>
      </c>
      <c r="AH1789" t="s">
        <v>756</v>
      </c>
      <c r="AI1789" t="s">
        <v>367</v>
      </c>
      <c r="AJ1789" t="str">
        <f t="shared" ref="AJ1789:AK1789" si="1757">IF($J1789&lt;&gt;"",$J1789,IF($AC1789=$AC1788,AJ1788,""))</f>
        <v>d</v>
      </c>
      <c r="AK1789" t="str">
        <f t="shared" si="1757"/>
        <v>d</v>
      </c>
      <c r="AL1789" t="str">
        <f t="shared" si="1677"/>
        <v>d</v>
      </c>
      <c r="AN1789" t="s">
        <v>861</v>
      </c>
      <c r="AO1789" t="str">
        <f t="shared" si="1678"/>
        <v>h</v>
      </c>
      <c r="AP1789" t="str">
        <f t="shared" si="1686"/>
        <v>d</v>
      </c>
      <c r="AQ1789" t="str">
        <f t="shared" si="1687"/>
        <v/>
      </c>
      <c r="AR1789" t="str">
        <f t="shared" si="1688"/>
        <v>Home</v>
      </c>
      <c r="AS1789" t="str">
        <f t="shared" si="1689"/>
        <v>h</v>
      </c>
      <c r="AT1789" t="str">
        <f t="shared" si="1690"/>
        <v>Offensive</v>
      </c>
      <c r="BA1789" s="6">
        <f t="shared" si="1679"/>
        <v>415</v>
      </c>
      <c r="BB1789">
        <f t="shared" si="1680"/>
        <v>18981</v>
      </c>
      <c r="BC1789" t="str">
        <f t="shared" si="1681"/>
        <v>Nelson</v>
      </c>
      <c r="BD1789" t="str">
        <f t="shared" si="1682"/>
        <v>Velodrome</v>
      </c>
      <c r="BE1789" t="s">
        <v>231</v>
      </c>
      <c r="BF1789" t="s">
        <v>233</v>
      </c>
      <c r="BG1789" t="s">
        <v>756</v>
      </c>
      <c r="BI1789" cm="1">
        <f t="array" aca="1" ref="BI1789" ca="1">IFERROR(_xlfn._xlws.FILTER(shifts!A:A,(shifts!B:B=events!AD1789)*(shifts!AG:AG&gt;=events!BK1789)*(shifts!AH:AH&lt;=events!BL1789)),BI1788)</f>
        <v>80</v>
      </c>
      <c r="BJ1789" s="15">
        <f t="shared" si="1683"/>
        <v>0</v>
      </c>
      <c r="BK1789">
        <f t="shared" si="1691"/>
        <v>940</v>
      </c>
      <c r="BL1789">
        <f t="shared" si="1692"/>
        <v>940</v>
      </c>
      <c r="BM1789" s="15">
        <f>SUMIFS(BJ$2:BJ1789,K$2:K1789,"=Intermission")+SUMIFS(BJ$2:BJ1789,K$2:K1789,"=Timeout")</f>
        <v>142</v>
      </c>
      <c r="BN1789">
        <f t="shared" si="1693"/>
        <v>2302</v>
      </c>
      <c r="BO1789" s="19">
        <f t="shared" si="1694"/>
        <v>2442</v>
      </c>
      <c r="BP1789">
        <f t="shared" si="1695"/>
        <v>2437</v>
      </c>
      <c r="BQ1789" s="17">
        <f t="shared" si="1696"/>
        <v>2442</v>
      </c>
      <c r="BR1789" t="str">
        <f t="shared" si="1697"/>
        <v>event_team_player_1</v>
      </c>
      <c r="BS1789">
        <f>COUNTIFS(S$3:S1789,"="&amp;S1789,AI$3:AI1789,"="&amp;AI1789)</f>
        <v>1</v>
      </c>
      <c r="BT1789" t="str">
        <f>IFERROR(VLOOKUP(BB1789&amp;BU1789&amp;X1789,game_rosters!U:W,3,FALSE),"")</f>
        <v>P100138</v>
      </c>
      <c r="BU1789" t="str">
        <f t="shared" si="1698"/>
        <v>Nelson</v>
      </c>
    </row>
    <row r="1790" spans="1:73" x14ac:dyDescent="0.2">
      <c r="A1790">
        <f t="shared" si="1684"/>
        <v>1</v>
      </c>
      <c r="J1790" s="44" t="str">
        <f t="shared" si="1699"/>
        <v/>
      </c>
      <c r="K1790" t="s">
        <v>11</v>
      </c>
      <c r="L1790" t="s">
        <v>187</v>
      </c>
      <c r="M1790" t="s">
        <v>112</v>
      </c>
      <c r="S1790">
        <v>940</v>
      </c>
      <c r="W1790" t="str">
        <f t="shared" si="1675"/>
        <v>a</v>
      </c>
      <c r="X1790">
        <v>87</v>
      </c>
      <c r="Y1790" t="e">
        <f>IF(X1790&lt;&gt;"",VLOOKUP(X1790,game_rosters!$C$43:$E$64,3,FALSE))</f>
        <v>#N/A</v>
      </c>
      <c r="Z1790" cm="1">
        <f t="array" ref="Z1790">IFERROR(IF(_xlfn._xlws.FILTER(game_rosters!$J:$J,(game_rosters!$G:$G=events!$AN1790)*(game_rosters!$J:$J=events!$X1790))&gt;0,1,""),"")</f>
        <v>1</v>
      </c>
      <c r="AA1790">
        <f t="shared" si="1723"/>
        <v>1940</v>
      </c>
      <c r="AB1790" t="str">
        <f t="shared" si="1724"/>
        <v/>
      </c>
      <c r="AC1790">
        <f t="shared" si="1672"/>
        <v>1940</v>
      </c>
      <c r="AD1790" s="6">
        <v>3</v>
      </c>
      <c r="AE1790" t="s">
        <v>744</v>
      </c>
      <c r="AF1790" t="s">
        <v>865</v>
      </c>
      <c r="AG1790" t="s">
        <v>756</v>
      </c>
      <c r="AH1790" t="s">
        <v>756</v>
      </c>
      <c r="AI1790" t="s">
        <v>367</v>
      </c>
      <c r="AJ1790" t="str">
        <f t="shared" ref="AJ1790:AK1790" si="1758">IF($J1790&lt;&gt;"",$J1790,IF($AC1790=$AC1789,AJ1789,""))</f>
        <v/>
      </c>
      <c r="AK1790" t="str">
        <f t="shared" si="1758"/>
        <v/>
      </c>
      <c r="AL1790" t="str">
        <f t="shared" si="1677"/>
        <v/>
      </c>
      <c r="AN1790" t="s">
        <v>862</v>
      </c>
      <c r="AO1790" t="str">
        <f t="shared" si="1678"/>
        <v>a</v>
      </c>
      <c r="AP1790" t="str">
        <f t="shared" si="1686"/>
        <v/>
      </c>
      <c r="AQ1790" t="str">
        <f t="shared" si="1687"/>
        <v/>
      </c>
      <c r="AR1790" t="str">
        <f t="shared" si="1688"/>
        <v>Away</v>
      </c>
      <c r="AS1790" t="str">
        <f t="shared" si="1689"/>
        <v>a</v>
      </c>
      <c r="AT1790" t="str">
        <f t="shared" si="1690"/>
        <v/>
      </c>
      <c r="BA1790" s="6">
        <f t="shared" si="1679"/>
        <v>415</v>
      </c>
      <c r="BB1790">
        <f t="shared" si="1680"/>
        <v>18981</v>
      </c>
      <c r="BC1790" t="str">
        <f t="shared" si="1681"/>
        <v>Nelson</v>
      </c>
      <c r="BD1790" t="str">
        <f t="shared" si="1682"/>
        <v>Velodrome</v>
      </c>
      <c r="BE1790" t="s">
        <v>11</v>
      </c>
      <c r="BF1790" t="s">
        <v>187</v>
      </c>
      <c r="BG1790" t="s">
        <v>112</v>
      </c>
      <c r="BI1790" cm="1">
        <f t="array" aca="1" ref="BI1790" ca="1">IFERROR(_xlfn._xlws.FILTER(shifts!A:A,(shifts!B:B=events!AD1790)*(shifts!AG:AG&gt;=events!BK1790)*(shifts!AH:AH&lt;=events!BL1790)),BI1789)</f>
        <v>80</v>
      </c>
      <c r="BJ1790" s="15">
        <f t="shared" si="1683"/>
        <v>0</v>
      </c>
      <c r="BK1790">
        <f t="shared" si="1691"/>
        <v>938</v>
      </c>
      <c r="BL1790">
        <f t="shared" si="1692"/>
        <v>938</v>
      </c>
      <c r="BM1790" s="15">
        <f>SUMIFS(BJ$2:BJ1790,K$2:K1790,"=Intermission")+SUMIFS(BJ$2:BJ1790,K$2:K1790,"=Timeout")</f>
        <v>142</v>
      </c>
      <c r="BN1790">
        <f t="shared" si="1693"/>
        <v>2302</v>
      </c>
      <c r="BO1790" s="19">
        <f t="shared" si="1694"/>
        <v>2444</v>
      </c>
      <c r="BP1790">
        <f t="shared" si="1695"/>
        <v>2439</v>
      </c>
      <c r="BQ1790" s="17">
        <f t="shared" si="1696"/>
        <v>2444</v>
      </c>
      <c r="BR1790" t="str">
        <f t="shared" si="1697"/>
        <v>event_team_player_1</v>
      </c>
      <c r="BS1790">
        <f>COUNTIFS(S$3:S1790,"="&amp;S1790,AI$3:AI1790,"="&amp;AI1790)</f>
        <v>1</v>
      </c>
      <c r="BT1790" t="str">
        <f>IFERROR(VLOOKUP(BB1790&amp;BU1790&amp;X1790,game_rosters!U:W,3,FALSE),"")</f>
        <v>P100159</v>
      </c>
      <c r="BU1790" t="str">
        <f t="shared" si="1698"/>
        <v>Velodrome</v>
      </c>
    </row>
    <row r="1791" spans="1:73" x14ac:dyDescent="0.2">
      <c r="A1791">
        <f t="shared" si="1684"/>
        <v>1</v>
      </c>
      <c r="J1791" s="44" t="str">
        <f t="shared" si="1699"/>
        <v/>
      </c>
      <c r="K1791" t="s">
        <v>241</v>
      </c>
      <c r="L1791" t="s">
        <v>756</v>
      </c>
      <c r="M1791" t="s">
        <v>756</v>
      </c>
      <c r="S1791">
        <v>941</v>
      </c>
      <c r="W1791" t="str">
        <f t="shared" si="1675"/>
        <v>a</v>
      </c>
      <c r="X1791">
        <v>87</v>
      </c>
      <c r="Y1791" t="e">
        <f>IF(X1791&lt;&gt;"",VLOOKUP(X1791,game_rosters!$C$43:$E$64,3,FALSE))</f>
        <v>#N/A</v>
      </c>
      <c r="Z1791" cm="1">
        <f t="array" ref="Z1791">IFERROR(IF(_xlfn._xlws.FILTER(game_rosters!$J:$J,(game_rosters!$G:$G=events!$AN1791)*(game_rosters!$J:$J=events!$X1791))&gt;0,1,""),"")</f>
        <v>1</v>
      </c>
      <c r="AA1791">
        <f t="shared" si="1723"/>
        <v>1941</v>
      </c>
      <c r="AB1791" t="str">
        <f t="shared" si="1724"/>
        <v/>
      </c>
      <c r="AC1791">
        <f t="shared" si="1672"/>
        <v>1941</v>
      </c>
      <c r="AD1791" s="6">
        <v>3</v>
      </c>
      <c r="AE1791" t="s">
        <v>744</v>
      </c>
      <c r="AF1791" t="s">
        <v>865</v>
      </c>
      <c r="AG1791" t="s">
        <v>744</v>
      </c>
      <c r="AH1791" t="s">
        <v>913</v>
      </c>
      <c r="AI1791" t="s">
        <v>367</v>
      </c>
      <c r="AJ1791" t="str">
        <f t="shared" ref="AJ1791:AK1791" si="1759">IF($J1791&lt;&gt;"",$J1791,IF($AC1791=$AC1790,AJ1790,""))</f>
        <v/>
      </c>
      <c r="AK1791" t="str">
        <f t="shared" si="1759"/>
        <v/>
      </c>
      <c r="AL1791" t="str">
        <f t="shared" si="1677"/>
        <v/>
      </c>
      <c r="AN1791" t="s">
        <v>862</v>
      </c>
      <c r="AO1791" t="str">
        <f t="shared" si="1678"/>
        <v>a</v>
      </c>
      <c r="AP1791" t="str">
        <f t="shared" si="1686"/>
        <v/>
      </c>
      <c r="AQ1791" t="str">
        <f t="shared" si="1687"/>
        <v/>
      </c>
      <c r="AR1791" t="str">
        <f t="shared" si="1688"/>
        <v>Away</v>
      </c>
      <c r="AS1791" t="str">
        <f t="shared" si="1689"/>
        <v>a</v>
      </c>
      <c r="AT1791" t="str">
        <f t="shared" si="1690"/>
        <v/>
      </c>
      <c r="BA1791" s="6">
        <f t="shared" si="1679"/>
        <v>415</v>
      </c>
      <c r="BB1791">
        <f t="shared" si="1680"/>
        <v>18981</v>
      </c>
      <c r="BC1791" t="str">
        <f t="shared" si="1681"/>
        <v>Nelson</v>
      </c>
      <c r="BD1791" t="str">
        <f t="shared" si="1682"/>
        <v>Velodrome</v>
      </c>
      <c r="BE1791" t="s">
        <v>241</v>
      </c>
      <c r="BF1791" t="s">
        <v>756</v>
      </c>
      <c r="BG1791" t="s">
        <v>756</v>
      </c>
      <c r="BI1791" cm="1">
        <f t="array" aca="1" ref="BI1791" ca="1">IFERROR(_xlfn._xlws.FILTER(shifts!A:A,(shifts!B:B=events!AD1791)*(shifts!AG:AG&gt;=events!BK1791)*(shifts!AH:AH&lt;=events!BL1791)),BI1790)</f>
        <v>80</v>
      </c>
      <c r="BJ1791" s="15">
        <f t="shared" si="1683"/>
        <v>36</v>
      </c>
      <c r="BK1791">
        <f t="shared" si="1691"/>
        <v>938</v>
      </c>
      <c r="BL1791">
        <f t="shared" si="1692"/>
        <v>902</v>
      </c>
      <c r="BM1791" s="15">
        <f>SUMIFS(BJ$2:BJ1791,K$2:K1791,"=Intermission")+SUMIFS(BJ$2:BJ1791,K$2:K1791,"=Timeout")</f>
        <v>142</v>
      </c>
      <c r="BN1791">
        <f t="shared" si="1693"/>
        <v>2302</v>
      </c>
      <c r="BO1791" s="19">
        <f t="shared" si="1694"/>
        <v>2444</v>
      </c>
      <c r="BP1791">
        <f t="shared" si="1695"/>
        <v>2439</v>
      </c>
      <c r="BQ1791" s="17">
        <f t="shared" si="1696"/>
        <v>2480</v>
      </c>
      <c r="BR1791" t="str">
        <f t="shared" si="1697"/>
        <v>event_team_player_1</v>
      </c>
      <c r="BS1791">
        <f>COUNTIFS(S$3:S1791,"="&amp;S1791,AI$3:AI1791,"="&amp;AI1791)</f>
        <v>1</v>
      </c>
      <c r="BT1791" t="str">
        <f>IFERROR(VLOOKUP(BB1791&amp;BU1791&amp;X1791,game_rosters!U:W,3,FALSE),"")</f>
        <v>P100159</v>
      </c>
      <c r="BU1791" t="str">
        <f t="shared" si="1698"/>
        <v>Velodrome</v>
      </c>
    </row>
    <row r="1792" spans="1:73" x14ac:dyDescent="0.2">
      <c r="A1792">
        <f t="shared" si="1684"/>
        <v>1</v>
      </c>
      <c r="J1792" s="44" t="str">
        <f t="shared" si="1699"/>
        <v/>
      </c>
      <c r="K1792" t="s">
        <v>5</v>
      </c>
      <c r="L1792" t="s">
        <v>236</v>
      </c>
      <c r="M1792" t="s">
        <v>756</v>
      </c>
      <c r="S1792">
        <v>942</v>
      </c>
      <c r="W1792" t="str">
        <f t="shared" si="1675"/>
        <v>h</v>
      </c>
      <c r="X1792">
        <v>10</v>
      </c>
      <c r="Y1792" t="b">
        <f>IF(X1792&lt;&gt;"",VLOOKUP(X1792,game_rosters!$C$43:$E$64,3,FALSE))</f>
        <v>0</v>
      </c>
      <c r="Z1792" cm="1">
        <f t="array" ref="Z1792">IFERROR(IF(_xlfn._xlws.FILTER(game_rosters!$J:$J,(game_rosters!$G:$G=events!$AN1792)*(game_rosters!$J:$J=events!$X1792))&gt;0,1,""),"")</f>
        <v>1</v>
      </c>
      <c r="AA1792">
        <f t="shared" si="1723"/>
        <v>1942</v>
      </c>
      <c r="AB1792" t="str">
        <f t="shared" si="1724"/>
        <v/>
      </c>
      <c r="AC1792">
        <f t="shared" si="1672"/>
        <v>1942</v>
      </c>
      <c r="AD1792" s="6">
        <v>3</v>
      </c>
      <c r="AE1792" t="s">
        <v>744</v>
      </c>
      <c r="AF1792" t="s">
        <v>913</v>
      </c>
      <c r="AG1792" t="s">
        <v>756</v>
      </c>
      <c r="AH1792" t="s">
        <v>756</v>
      </c>
      <c r="AI1792" t="s">
        <v>367</v>
      </c>
      <c r="AJ1792" t="str">
        <f t="shared" ref="AJ1792:AK1792" si="1760">IF($J1792&lt;&gt;"",$J1792,IF($AC1792=$AC1791,AJ1791,""))</f>
        <v/>
      </c>
      <c r="AK1792" t="str">
        <f t="shared" si="1760"/>
        <v/>
      </c>
      <c r="AL1792" t="str">
        <f t="shared" si="1677"/>
        <v/>
      </c>
      <c r="AN1792" t="s">
        <v>861</v>
      </c>
      <c r="AO1792" t="str">
        <f t="shared" si="1678"/>
        <v>h</v>
      </c>
      <c r="AP1792" t="str">
        <f t="shared" si="1686"/>
        <v/>
      </c>
      <c r="AQ1792" t="str">
        <f t="shared" si="1687"/>
        <v/>
      </c>
      <c r="AR1792" t="str">
        <f t="shared" si="1688"/>
        <v>Home</v>
      </c>
      <c r="AS1792" t="str">
        <f t="shared" si="1689"/>
        <v>h</v>
      </c>
      <c r="AT1792" t="str">
        <f t="shared" si="1690"/>
        <v>Offensive</v>
      </c>
      <c r="BA1792" s="6">
        <f t="shared" si="1679"/>
        <v>415</v>
      </c>
      <c r="BB1792">
        <f t="shared" si="1680"/>
        <v>18981</v>
      </c>
      <c r="BC1792" t="str">
        <f t="shared" si="1681"/>
        <v>Nelson</v>
      </c>
      <c r="BD1792" t="str">
        <f t="shared" si="1682"/>
        <v>Velodrome</v>
      </c>
      <c r="BE1792" t="s">
        <v>5</v>
      </c>
      <c r="BF1792" t="s">
        <v>236</v>
      </c>
      <c r="BG1792" t="s">
        <v>756</v>
      </c>
      <c r="BI1792" cm="1">
        <f t="array" aca="1" ref="BI1792" ca="1">IFERROR(_xlfn._xlws.FILTER(shifts!A:A,(shifts!B:B=events!AD1792)*(shifts!AG:AG&gt;=events!BK1792)*(shifts!AH:AH&lt;=events!BL1792)),BI1791)</f>
        <v>81</v>
      </c>
      <c r="BJ1792" s="15">
        <f t="shared" si="1683"/>
        <v>0</v>
      </c>
      <c r="BK1792">
        <f t="shared" si="1691"/>
        <v>902</v>
      </c>
      <c r="BL1792">
        <f t="shared" si="1692"/>
        <v>902</v>
      </c>
      <c r="BM1792" s="15">
        <f>SUMIFS(BJ$2:BJ1792,K$2:K1792,"=Intermission")+SUMIFS(BJ$2:BJ1792,K$2:K1792,"=Timeout")</f>
        <v>142</v>
      </c>
      <c r="BN1792">
        <f t="shared" si="1693"/>
        <v>2302</v>
      </c>
      <c r="BO1792" s="19">
        <f t="shared" si="1694"/>
        <v>2480</v>
      </c>
      <c r="BP1792">
        <f t="shared" si="1695"/>
        <v>2475</v>
      </c>
      <c r="BQ1792" s="17">
        <f t="shared" si="1696"/>
        <v>2480</v>
      </c>
      <c r="BR1792" t="str">
        <f t="shared" si="1697"/>
        <v>event_team_player_1</v>
      </c>
      <c r="BS1792">
        <f>COUNTIFS(S$3:S1792,"="&amp;S1792,AI$3:AI1792,"="&amp;AI1792)</f>
        <v>1</v>
      </c>
      <c r="BT1792" t="str">
        <f>IFERROR(VLOOKUP(BB1792&amp;BU1792&amp;X1792,game_rosters!U:W,3,FALSE),"")</f>
        <v>P100078</v>
      </c>
      <c r="BU1792" t="str">
        <f t="shared" si="1698"/>
        <v>Nelson</v>
      </c>
    </row>
    <row r="1793" spans="1:73" x14ac:dyDescent="0.2">
      <c r="A1793">
        <f t="shared" si="1684"/>
        <v>1</v>
      </c>
      <c r="J1793" s="44" t="str">
        <f t="shared" si="1699"/>
        <v/>
      </c>
      <c r="K1793" t="s">
        <v>5</v>
      </c>
      <c r="L1793" t="s">
        <v>236</v>
      </c>
      <c r="M1793" t="s">
        <v>756</v>
      </c>
      <c r="S1793">
        <v>942</v>
      </c>
      <c r="W1793" t="str">
        <f t="shared" si="1675"/>
        <v>h</v>
      </c>
      <c r="X1793">
        <v>23</v>
      </c>
      <c r="Y1793" t="b">
        <f>IF(X1793&lt;&gt;"",VLOOKUP(X1793,game_rosters!$C$43:$E$64,3,FALSE))</f>
        <v>0</v>
      </c>
      <c r="Z1793" cm="1">
        <f t="array" ref="Z1793">IFERROR(IF(_xlfn._xlws.FILTER(game_rosters!$J:$J,(game_rosters!$G:$G=events!$AN1793)*(game_rosters!$J:$J=events!$X1793))&gt;0,1,""),"")</f>
        <v>1</v>
      </c>
      <c r="AA1793">
        <f t="shared" si="1723"/>
        <v>1942</v>
      </c>
      <c r="AB1793" t="str">
        <f t="shared" si="1724"/>
        <v/>
      </c>
      <c r="AC1793">
        <f t="shared" si="1672"/>
        <v>1942</v>
      </c>
      <c r="AD1793" s="6">
        <v>3</v>
      </c>
      <c r="AE1793" t="s">
        <v>744</v>
      </c>
      <c r="AF1793" t="s">
        <v>913</v>
      </c>
      <c r="AG1793" t="s">
        <v>756</v>
      </c>
      <c r="AH1793" t="s">
        <v>756</v>
      </c>
      <c r="AI1793" t="s">
        <v>367</v>
      </c>
      <c r="AJ1793" t="str">
        <f t="shared" ref="AJ1793:AK1793" si="1761">IF($J1793&lt;&gt;"",$J1793,IF($AC1793=$AC1792,AJ1792,""))</f>
        <v/>
      </c>
      <c r="AK1793" t="str">
        <f t="shared" si="1761"/>
        <v/>
      </c>
      <c r="AL1793" t="str">
        <f t="shared" si="1677"/>
        <v/>
      </c>
      <c r="AN1793" t="s">
        <v>861</v>
      </c>
      <c r="AO1793" t="str">
        <f t="shared" si="1678"/>
        <v>h</v>
      </c>
      <c r="AP1793" t="str">
        <f t="shared" si="1686"/>
        <v/>
      </c>
      <c r="AQ1793" t="str">
        <f t="shared" si="1687"/>
        <v/>
      </c>
      <c r="AR1793" t="str">
        <f t="shared" si="1688"/>
        <v>Home</v>
      </c>
      <c r="AS1793" t="str">
        <f t="shared" si="1689"/>
        <v>h</v>
      </c>
      <c r="AT1793" t="str">
        <f t="shared" si="1690"/>
        <v>Offensive</v>
      </c>
      <c r="BA1793" s="6">
        <f t="shared" si="1679"/>
        <v>415</v>
      </c>
      <c r="BB1793">
        <f t="shared" si="1680"/>
        <v>18981</v>
      </c>
      <c r="BC1793" t="str">
        <f t="shared" si="1681"/>
        <v>Nelson</v>
      </c>
      <c r="BD1793" t="str">
        <f t="shared" si="1682"/>
        <v>Velodrome</v>
      </c>
      <c r="BE1793" t="s">
        <v>5</v>
      </c>
      <c r="BF1793" t="s">
        <v>236</v>
      </c>
      <c r="BG1793" t="s">
        <v>756</v>
      </c>
      <c r="BI1793" cm="1">
        <f t="array" aca="1" ref="BI1793" ca="1">IFERROR(_xlfn._xlws.FILTER(shifts!A:A,(shifts!B:B=events!AD1793)*(shifts!AG:AG&gt;=events!BK1793)*(shifts!AH:AH&lt;=events!BL1793)),BI1792)</f>
        <v>81</v>
      </c>
      <c r="BJ1793" s="15">
        <f t="shared" si="1683"/>
        <v>0</v>
      </c>
      <c r="BK1793">
        <f t="shared" si="1691"/>
        <v>902</v>
      </c>
      <c r="BL1793">
        <f t="shared" si="1692"/>
        <v>902</v>
      </c>
      <c r="BM1793" s="15">
        <f>SUMIFS(BJ$2:BJ1793,K$2:K1793,"=Intermission")+SUMIFS(BJ$2:BJ1793,K$2:K1793,"=Timeout")</f>
        <v>142</v>
      </c>
      <c r="BN1793">
        <f t="shared" si="1693"/>
        <v>2302</v>
      </c>
      <c r="BO1793" s="19">
        <f t="shared" si="1694"/>
        <v>2480</v>
      </c>
      <c r="BP1793">
        <f t="shared" si="1695"/>
        <v>2475</v>
      </c>
      <c r="BQ1793" s="17">
        <f t="shared" si="1696"/>
        <v>2480</v>
      </c>
      <c r="BR1793" t="str">
        <f t="shared" si="1697"/>
        <v>event_team_player_2</v>
      </c>
      <c r="BS1793">
        <f>COUNTIFS(S$3:S1793,"="&amp;S1793,AI$3:AI1793,"="&amp;AI1793)</f>
        <v>2</v>
      </c>
      <c r="BT1793" t="str">
        <f>IFERROR(VLOOKUP(BB1793&amp;BU1793&amp;X1793,game_rosters!U:W,3,FALSE),"")</f>
        <v>P100061</v>
      </c>
      <c r="BU1793" t="str">
        <f t="shared" si="1698"/>
        <v>Nelson</v>
      </c>
    </row>
    <row r="1794" spans="1:73" x14ac:dyDescent="0.2">
      <c r="A1794">
        <f t="shared" si="1684"/>
        <v>1</v>
      </c>
      <c r="J1794" s="44" t="str">
        <f t="shared" si="1699"/>
        <v/>
      </c>
      <c r="K1794" t="s">
        <v>5</v>
      </c>
      <c r="L1794" t="s">
        <v>236</v>
      </c>
      <c r="M1794" t="s">
        <v>756</v>
      </c>
      <c r="S1794">
        <v>942</v>
      </c>
      <c r="W1794" t="str">
        <f t="shared" si="1675"/>
        <v>h</v>
      </c>
      <c r="X1794">
        <v>42</v>
      </c>
      <c r="Y1794" t="e">
        <f>IF(X1794&lt;&gt;"",VLOOKUP(X1794,game_rosters!$C$43:$E$64,3,FALSE))</f>
        <v>#N/A</v>
      </c>
      <c r="Z1794" t="str" cm="1">
        <f t="array" ref="Z1794">IFERROR(IF(_xlfn._xlws.FILTER(game_rosters!$J:$J,(game_rosters!$G:$G=events!$AN1794)*(game_rosters!$J:$J=events!$X1794))&gt;0,1,""),"")</f>
        <v/>
      </c>
      <c r="AA1794">
        <f t="shared" si="1723"/>
        <v>1942</v>
      </c>
      <c r="AB1794" t="str">
        <f t="shared" si="1724"/>
        <v/>
      </c>
      <c r="AC1794">
        <f t="shared" ref="AC1794:AC1857" si="1762">IF(AB1794&lt;&gt;"",AB1794,S1794+1000)</f>
        <v>1942</v>
      </c>
      <c r="AD1794" s="6">
        <v>3</v>
      </c>
      <c r="AE1794" t="s">
        <v>744</v>
      </c>
      <c r="AF1794" t="s">
        <v>913</v>
      </c>
      <c r="AG1794" t="s">
        <v>756</v>
      </c>
      <c r="AH1794" t="s">
        <v>756</v>
      </c>
      <c r="AI1794" t="s">
        <v>368</v>
      </c>
      <c r="AJ1794" t="str">
        <f t="shared" ref="AJ1794:AK1794" si="1763">IF($J1794&lt;&gt;"",$J1794,IF($AC1794=$AC1793,AJ1793,""))</f>
        <v/>
      </c>
      <c r="AK1794" t="str">
        <f t="shared" si="1763"/>
        <v/>
      </c>
      <c r="AL1794" t="str">
        <f t="shared" si="1677"/>
        <v/>
      </c>
      <c r="AN1794" t="s">
        <v>861</v>
      </c>
      <c r="AO1794" t="str">
        <f t="shared" si="1678"/>
        <v>h</v>
      </c>
      <c r="AP1794" t="str">
        <f t="shared" si="1686"/>
        <v/>
      </c>
      <c r="AQ1794" t="str">
        <f t="shared" si="1687"/>
        <v/>
      </c>
      <c r="AR1794" t="str">
        <f t="shared" si="1688"/>
        <v>Home</v>
      </c>
      <c r="AS1794" t="str">
        <f t="shared" si="1689"/>
        <v>h</v>
      </c>
      <c r="AT1794" t="str">
        <f t="shared" si="1690"/>
        <v>Defensive</v>
      </c>
      <c r="BA1794" s="6">
        <f t="shared" si="1679"/>
        <v>415</v>
      </c>
      <c r="BB1794">
        <f t="shared" si="1680"/>
        <v>18981</v>
      </c>
      <c r="BC1794" t="str">
        <f t="shared" si="1681"/>
        <v>Nelson</v>
      </c>
      <c r="BD1794" t="str">
        <f t="shared" si="1682"/>
        <v>Velodrome</v>
      </c>
      <c r="BE1794" t="s">
        <v>5</v>
      </c>
      <c r="BF1794" t="s">
        <v>236</v>
      </c>
      <c r="BG1794" t="s">
        <v>756</v>
      </c>
      <c r="BI1794" cm="1">
        <f t="array" aca="1" ref="BI1794" ca="1">IFERROR(_xlfn._xlws.FILTER(shifts!A:A,(shifts!B:B=events!AD1794)*(shifts!AG:AG&gt;=events!BK1794)*(shifts!AH:AH&lt;=events!BL1794)),BI1793)</f>
        <v>81</v>
      </c>
      <c r="BJ1794" s="15">
        <f t="shared" si="1683"/>
        <v>0</v>
      </c>
      <c r="BK1794">
        <f t="shared" si="1691"/>
        <v>902</v>
      </c>
      <c r="BL1794">
        <f t="shared" si="1692"/>
        <v>902</v>
      </c>
      <c r="BM1794" s="15">
        <f>SUMIFS(BJ$2:BJ1794,K$2:K1794,"=Intermission")+SUMIFS(BJ$2:BJ1794,K$2:K1794,"=Timeout")</f>
        <v>142</v>
      </c>
      <c r="BN1794">
        <f t="shared" si="1693"/>
        <v>2302</v>
      </c>
      <c r="BO1794" s="19">
        <f t="shared" si="1694"/>
        <v>2480</v>
      </c>
      <c r="BP1794">
        <f t="shared" si="1695"/>
        <v>2475</v>
      </c>
      <c r="BQ1794" s="17">
        <f t="shared" si="1696"/>
        <v>2480</v>
      </c>
      <c r="BR1794" t="str">
        <f t="shared" si="1697"/>
        <v>opp_team_player_1</v>
      </c>
      <c r="BS1794">
        <f>COUNTIFS(S$3:S1794,"="&amp;S1794,AI$3:AI1794,"="&amp;AI1794)</f>
        <v>1</v>
      </c>
      <c r="BT1794" t="str">
        <f>IFERROR(VLOOKUP(BB1794&amp;BU1794&amp;X1794,game_rosters!U:W,3,FALSE),"")</f>
        <v>P100201</v>
      </c>
      <c r="BU1794" t="str">
        <f t="shared" si="1698"/>
        <v>Velodrome</v>
      </c>
    </row>
    <row r="1795" spans="1:73" x14ac:dyDescent="0.2">
      <c r="A1795">
        <f t="shared" si="1684"/>
        <v>1</v>
      </c>
      <c r="J1795" s="44" t="str">
        <f t="shared" si="1699"/>
        <v/>
      </c>
      <c r="K1795" t="s">
        <v>13</v>
      </c>
      <c r="L1795" t="s">
        <v>756</v>
      </c>
      <c r="M1795" t="s">
        <v>756</v>
      </c>
      <c r="S1795">
        <v>943</v>
      </c>
      <c r="W1795" t="str">
        <f t="shared" si="1675"/>
        <v>h</v>
      </c>
      <c r="X1795">
        <v>23</v>
      </c>
      <c r="Y1795" t="b">
        <f>IF(X1795&lt;&gt;"",VLOOKUP(X1795,game_rosters!$C$43:$E$64,3,FALSE))</f>
        <v>0</v>
      </c>
      <c r="Z1795" cm="1">
        <f t="array" ref="Z1795">IFERROR(IF(_xlfn._xlws.FILTER(game_rosters!$J:$J,(game_rosters!$G:$G=events!$AN1795)*(game_rosters!$J:$J=events!$X1795))&gt;0,1,""),"")</f>
        <v>1</v>
      </c>
      <c r="AA1795">
        <f t="shared" si="1723"/>
        <v>1943</v>
      </c>
      <c r="AB1795" t="str">
        <f t="shared" si="1724"/>
        <v/>
      </c>
      <c r="AC1795">
        <f t="shared" si="1762"/>
        <v>1943</v>
      </c>
      <c r="AD1795" s="6">
        <v>3</v>
      </c>
      <c r="AE1795" t="s">
        <v>745</v>
      </c>
      <c r="AF1795" t="s">
        <v>896</v>
      </c>
      <c r="AG1795" t="s">
        <v>745</v>
      </c>
      <c r="AH1795" t="s">
        <v>927</v>
      </c>
      <c r="AI1795" t="s">
        <v>367</v>
      </c>
      <c r="AJ1795" t="str">
        <f t="shared" ref="AJ1795:AK1795" si="1764">IF($J1795&lt;&gt;"",$J1795,IF($AC1795=$AC1794,AJ1794,""))</f>
        <v/>
      </c>
      <c r="AK1795" t="str">
        <f t="shared" si="1764"/>
        <v/>
      </c>
      <c r="AL1795" t="str">
        <f t="shared" si="1677"/>
        <v/>
      </c>
      <c r="AN1795" t="s">
        <v>861</v>
      </c>
      <c r="AO1795" t="str">
        <f t="shared" si="1678"/>
        <v>h</v>
      </c>
      <c r="AP1795" t="str">
        <f t="shared" si="1686"/>
        <v/>
      </c>
      <c r="AQ1795" t="str">
        <f t="shared" si="1687"/>
        <v/>
      </c>
      <c r="AR1795" t="str">
        <f t="shared" si="1688"/>
        <v>Home</v>
      </c>
      <c r="AS1795" t="str">
        <f t="shared" si="1689"/>
        <v>h</v>
      </c>
      <c r="AT1795" t="str">
        <f t="shared" si="1690"/>
        <v>Offensive</v>
      </c>
      <c r="BA1795" s="6">
        <f t="shared" si="1679"/>
        <v>415</v>
      </c>
      <c r="BB1795">
        <f t="shared" si="1680"/>
        <v>18981</v>
      </c>
      <c r="BC1795" t="str">
        <f t="shared" si="1681"/>
        <v>Nelson</v>
      </c>
      <c r="BD1795" t="str">
        <f t="shared" si="1682"/>
        <v>Velodrome</v>
      </c>
      <c r="BE1795" t="s">
        <v>13</v>
      </c>
      <c r="BF1795" t="s">
        <v>756</v>
      </c>
      <c r="BG1795" t="s">
        <v>756</v>
      </c>
      <c r="BI1795" cm="1">
        <f t="array" aca="1" ref="BI1795" ca="1">IFERROR(_xlfn._xlws.FILTER(shifts!A:A,(shifts!B:B=events!AD1795)*(shifts!AG:AG&gt;=events!BK1795)*(shifts!AH:AH&lt;=events!BL1795)),BI1794)</f>
        <v>81</v>
      </c>
      <c r="BJ1795" s="15">
        <f t="shared" si="1683"/>
        <v>2</v>
      </c>
      <c r="BK1795">
        <f t="shared" si="1691"/>
        <v>899</v>
      </c>
      <c r="BL1795">
        <f t="shared" si="1692"/>
        <v>897</v>
      </c>
      <c r="BM1795" s="15">
        <f>SUMIFS(BJ$2:BJ1795,K$2:K1795,"=Intermission")+SUMIFS(BJ$2:BJ1795,K$2:K1795,"=Timeout")</f>
        <v>142</v>
      </c>
      <c r="BN1795">
        <f t="shared" si="1693"/>
        <v>2302</v>
      </c>
      <c r="BO1795" s="19">
        <f t="shared" si="1694"/>
        <v>2483</v>
      </c>
      <c r="BP1795">
        <f t="shared" si="1695"/>
        <v>2478</v>
      </c>
      <c r="BQ1795" s="17">
        <f t="shared" si="1696"/>
        <v>2485</v>
      </c>
      <c r="BR1795" t="str">
        <f t="shared" si="1697"/>
        <v>event_team_player_1</v>
      </c>
      <c r="BS1795">
        <f>COUNTIFS(S$3:S1795,"="&amp;S1795,AI$3:AI1795,"="&amp;AI1795)</f>
        <v>1</v>
      </c>
      <c r="BT1795" t="str">
        <f>IFERROR(VLOOKUP(BB1795&amp;BU1795&amp;X1795,game_rosters!U:W,3,FALSE),"")</f>
        <v>P100061</v>
      </c>
      <c r="BU1795" t="str">
        <f t="shared" si="1698"/>
        <v>Nelson</v>
      </c>
    </row>
    <row r="1796" spans="1:73" x14ac:dyDescent="0.2">
      <c r="A1796">
        <f t="shared" si="1684"/>
        <v>1</v>
      </c>
      <c r="J1796" s="44" t="str">
        <f t="shared" si="1699"/>
        <v/>
      </c>
      <c r="K1796" t="s">
        <v>7</v>
      </c>
      <c r="L1796" t="s">
        <v>172</v>
      </c>
      <c r="M1796" t="s">
        <v>69</v>
      </c>
      <c r="S1796">
        <v>944</v>
      </c>
      <c r="W1796" t="str">
        <f t="shared" ref="W1796:W1859" si="1765">IF(AN1796="Away","a",IF(AN1796="Home","h",""))</f>
        <v>h</v>
      </c>
      <c r="X1796">
        <v>23</v>
      </c>
      <c r="Y1796" t="b">
        <f>IF(X1796&lt;&gt;"",VLOOKUP(X1796,game_rosters!$C$43:$E$64,3,FALSE))</f>
        <v>0</v>
      </c>
      <c r="Z1796" cm="1">
        <f t="array" ref="Z1796">IFERROR(IF(_xlfn._xlws.FILTER(game_rosters!$J:$J,(game_rosters!$G:$G=events!$AN1796)*(game_rosters!$J:$J=events!$X1796))&gt;0,1,""),"")</f>
        <v>1</v>
      </c>
      <c r="AA1796">
        <f t="shared" si="1723"/>
        <v>1944</v>
      </c>
      <c r="AB1796" t="str">
        <f t="shared" si="1724"/>
        <v/>
      </c>
      <c r="AC1796">
        <f t="shared" si="1762"/>
        <v>1944</v>
      </c>
      <c r="AD1796" s="6">
        <v>3</v>
      </c>
      <c r="AE1796" t="s">
        <v>745</v>
      </c>
      <c r="AF1796" t="s">
        <v>927</v>
      </c>
      <c r="AG1796" t="s">
        <v>756</v>
      </c>
      <c r="AH1796" t="s">
        <v>756</v>
      </c>
      <c r="AI1796" t="s">
        <v>367</v>
      </c>
      <c r="AJ1796" t="str">
        <f t="shared" ref="AJ1796:AK1796" si="1766">IF($J1796&lt;&gt;"",$J1796,IF($AC1796=$AC1795,AJ1795,""))</f>
        <v/>
      </c>
      <c r="AK1796" t="str">
        <f t="shared" si="1766"/>
        <v/>
      </c>
      <c r="AL1796" t="str">
        <f t="shared" ref="AL1796:AL1859" si="1767">IF($W1796="","",IF($AJ1796="","",IF($W1796="h",$AJ1796,IF($AJ1796="n","n",IF(AND($W1796="a",$AJ1796="d"),"o",IF(AND($W1796="a",$AJ1796="o"),"d"))))))</f>
        <v/>
      </c>
      <c r="AN1796" t="s">
        <v>861</v>
      </c>
      <c r="AO1796" t="str">
        <f t="shared" ref="AO1796:AO1859" si="1768">IF($W1796&lt;&gt;"",$W1796,IF($AC1796=$AC1795,AO1795,""))</f>
        <v>h</v>
      </c>
      <c r="AP1796" t="str">
        <f t="shared" si="1686"/>
        <v/>
      </c>
      <c r="AQ1796" t="str">
        <f t="shared" si="1687"/>
        <v/>
      </c>
      <c r="AR1796" t="str">
        <f t="shared" si="1688"/>
        <v>Home</v>
      </c>
      <c r="AS1796" t="str">
        <f t="shared" si="1689"/>
        <v>h</v>
      </c>
      <c r="AT1796" t="str">
        <f t="shared" si="1690"/>
        <v>Offensive</v>
      </c>
      <c r="BA1796" s="6">
        <f t="shared" ref="BA1796:BA1859" si="1769">IF(OR(L1796="Zone_Entry",L1796="Zone_Exit"),BA1795+1,BA1795)</f>
        <v>415</v>
      </c>
      <c r="BB1796">
        <f t="shared" ref="BB1796:BB1859" si="1770">BB1795</f>
        <v>18981</v>
      </c>
      <c r="BC1796" t="str">
        <f t="shared" ref="BC1796:BC1859" si="1771">BC1795</f>
        <v>Nelson</v>
      </c>
      <c r="BD1796" t="str">
        <f t="shared" ref="BD1796:BD1859" si="1772">BD1795</f>
        <v>Velodrome</v>
      </c>
      <c r="BE1796" t="s">
        <v>7</v>
      </c>
      <c r="BF1796" t="s">
        <v>172</v>
      </c>
      <c r="BG1796" t="s">
        <v>69</v>
      </c>
      <c r="BI1796" cm="1">
        <f t="array" aca="1" ref="BI1796" ca="1">IFERROR(_xlfn._xlws.FILTER(shifts!A:A,(shifts!B:B=events!AD1796)*(shifts!AG:AG&gt;=events!BK1796)*(shifts!AH:AH&lt;=events!BL1796)),BI1795)</f>
        <v>81</v>
      </c>
      <c r="BJ1796" s="15">
        <f t="shared" ref="BJ1796:BJ1859" si="1773">IF(AND(AG1796="",AH1796=""),0,((AE1796*60)+AF1796)-((AG1796*60)+AH1796))</f>
        <v>0</v>
      </c>
      <c r="BK1796">
        <f t="shared" si="1691"/>
        <v>897</v>
      </c>
      <c r="BL1796">
        <f t="shared" si="1692"/>
        <v>897</v>
      </c>
      <c r="BM1796" s="15">
        <f>SUMIFS(BJ$2:BJ1796,K$2:K1796,"=Intermission")+SUMIFS(BJ$2:BJ1796,K$2:K1796,"=Timeout")</f>
        <v>142</v>
      </c>
      <c r="BN1796">
        <f t="shared" si="1693"/>
        <v>2302</v>
      </c>
      <c r="BO1796" s="19">
        <f t="shared" si="1694"/>
        <v>2485</v>
      </c>
      <c r="BP1796">
        <f t="shared" si="1695"/>
        <v>2480</v>
      </c>
      <c r="BQ1796" s="17">
        <f t="shared" si="1696"/>
        <v>2485</v>
      </c>
      <c r="BR1796" t="str">
        <f t="shared" si="1697"/>
        <v>event_team_player_1</v>
      </c>
      <c r="BS1796">
        <f>COUNTIFS(S$3:S1796,"="&amp;S1796,AI$3:AI1796,"="&amp;AI1796)</f>
        <v>1</v>
      </c>
      <c r="BT1796" t="str">
        <f>IFERROR(VLOOKUP(BB1796&amp;BU1796&amp;X1796,game_rosters!U:W,3,FALSE),"")</f>
        <v>P100061</v>
      </c>
      <c r="BU1796" t="str">
        <f t="shared" si="1698"/>
        <v>Nelson</v>
      </c>
    </row>
    <row r="1797" spans="1:73" x14ac:dyDescent="0.2">
      <c r="A1797">
        <f t="shared" ref="A1797:A1860" si="1774">IF(K1797&lt;&gt;"",1,IF(D1797="x","x",""))</f>
        <v>1</v>
      </c>
      <c r="J1797" s="44" t="str">
        <f t="shared" si="1699"/>
        <v/>
      </c>
      <c r="K1797" t="s">
        <v>7</v>
      </c>
      <c r="L1797" t="s">
        <v>172</v>
      </c>
      <c r="M1797" t="s">
        <v>69</v>
      </c>
      <c r="S1797">
        <v>944</v>
      </c>
      <c r="W1797" t="str">
        <f t="shared" si="1765"/>
        <v>h</v>
      </c>
      <c r="X1797">
        <v>7</v>
      </c>
      <c r="Y1797" t="b">
        <f>IF(X1797&lt;&gt;"",VLOOKUP(X1797,game_rosters!$C$43:$E$64,3,FALSE))</f>
        <v>0</v>
      </c>
      <c r="Z1797" cm="1">
        <f t="array" ref="Z1797">IFERROR(IF(_xlfn._xlws.FILTER(game_rosters!$J:$J,(game_rosters!$G:$G=events!$AN1797)*(game_rosters!$J:$J=events!$X1797))&gt;0,1,""),"")</f>
        <v>1</v>
      </c>
      <c r="AA1797">
        <f t="shared" si="1723"/>
        <v>1944</v>
      </c>
      <c r="AB1797" t="str">
        <f t="shared" si="1724"/>
        <v/>
      </c>
      <c r="AC1797">
        <f t="shared" si="1762"/>
        <v>1944</v>
      </c>
      <c r="AD1797" s="6">
        <v>3</v>
      </c>
      <c r="AE1797" t="s">
        <v>745</v>
      </c>
      <c r="AF1797" t="s">
        <v>927</v>
      </c>
      <c r="AG1797" t="s">
        <v>756</v>
      </c>
      <c r="AH1797" t="s">
        <v>756</v>
      </c>
      <c r="AI1797" t="s">
        <v>367</v>
      </c>
      <c r="AJ1797" t="str">
        <f t="shared" ref="AJ1797:AK1797" si="1775">IF($J1797&lt;&gt;"",$J1797,IF($AC1797=$AC1796,AJ1796,""))</f>
        <v/>
      </c>
      <c r="AK1797" t="str">
        <f t="shared" si="1775"/>
        <v/>
      </c>
      <c r="AL1797" t="str">
        <f t="shared" si="1767"/>
        <v/>
      </c>
      <c r="AN1797" t="s">
        <v>861</v>
      </c>
      <c r="AO1797" t="str">
        <f t="shared" si="1768"/>
        <v>h</v>
      </c>
      <c r="AP1797" t="str">
        <f t="shared" ref="AP1797:AP1860" si="1776">IF(AL1797&lt;&gt;"",AL1797,IF($AC1797=$AC1796,AP1796,""))</f>
        <v/>
      </c>
      <c r="AQ1797" t="str">
        <f t="shared" ref="AQ1797:AQ1860" si="1777">IF(AM1797&lt;&gt;"",AM1797,IF($AC1797=$AC1796,AQ1796,""))</f>
        <v/>
      </c>
      <c r="AR1797" t="str">
        <f t="shared" ref="AR1797:AR1860" si="1778">IF(AN1797&lt;&gt;"",AN1797,IF($AC1797=$AC1796,AR1796,""))</f>
        <v>Home</v>
      </c>
      <c r="AS1797" t="str">
        <f t="shared" ref="AS1797:AS1860" si="1779">IF(AO1797&lt;&gt;"",AO1797,IF($AC1797=$AC1796,AS1796,""))</f>
        <v>h</v>
      </c>
      <c r="AT1797" t="str">
        <f t="shared" ref="AT1797:AT1860" si="1780">IF(AND(AI1797="e",OR(BE1797="Save",BF1797="Turnover_Takeaway",BF1797="Play_Defensive")),"Defensive",IF(AND(AI1797="o",OR(BE1797="Save",BF1797="Turnover_Takeaway",BF1797="Play_Defensive")),"Offensive",IF(OR(BE1797="Deadice",BE1797="Stoppage",BE1797="Intermission"),"",IF(AI1797="e","Offensive",IF(AI1797="o","Defensive","")))))</f>
        <v>Offensive</v>
      </c>
      <c r="BA1797" s="6">
        <f t="shared" si="1769"/>
        <v>415</v>
      </c>
      <c r="BB1797">
        <f t="shared" si="1770"/>
        <v>18981</v>
      </c>
      <c r="BC1797" t="str">
        <f t="shared" si="1771"/>
        <v>Nelson</v>
      </c>
      <c r="BD1797" t="str">
        <f t="shared" si="1772"/>
        <v>Velodrome</v>
      </c>
      <c r="BE1797" t="s">
        <v>7</v>
      </c>
      <c r="BF1797" t="s">
        <v>172</v>
      </c>
      <c r="BG1797" t="s">
        <v>69</v>
      </c>
      <c r="BI1797" cm="1">
        <f t="array" aca="1" ref="BI1797" ca="1">IFERROR(_xlfn._xlws.FILTER(shifts!A:A,(shifts!B:B=events!AD1797)*(shifts!AG:AG&gt;=events!BK1797)*(shifts!AH:AH&lt;=events!BL1797)),BI1796)</f>
        <v>81</v>
      </c>
      <c r="BJ1797" s="15">
        <f t="shared" si="1773"/>
        <v>0</v>
      </c>
      <c r="BK1797">
        <f t="shared" ref="BK1797:BK1860" si="1781">(AE1797*60)+AF1797</f>
        <v>897</v>
      </c>
      <c r="BL1797">
        <f t="shared" ref="BL1797:BL1860" si="1782">IF(AND(AG1797="",AH1797=""),BK1797,((AG1797*60)+AH1797))</f>
        <v>897</v>
      </c>
      <c r="BM1797" s="15">
        <f>SUMIFS(BJ$2:BJ1797,K$2:K1797,"=Intermission")+SUMIFS(BJ$2:BJ1797,K$2:K1797,"=Timeout")</f>
        <v>142</v>
      </c>
      <c r="BN1797">
        <f t="shared" ref="BN1797:BN1860" si="1783">IF(AD1797=1,0,IF(AD1797=2,1080+BM1797,IF(AD1797=3,(1080*2)+BM1797,0)))</f>
        <v>2302</v>
      </c>
      <c r="BO1797" s="19">
        <f t="shared" ref="BO1797:BO1860" si="1784">IF(K1797="Intermission",BO1796,((1080)-((AE1797*60)+AF1797))+BN1797)</f>
        <v>2485</v>
      </c>
      <c r="BP1797">
        <f t="shared" ref="BP1797:BP1860" si="1785">IF(BO1797&lt;5,0,BO1797-5)</f>
        <v>2480</v>
      </c>
      <c r="BQ1797" s="17">
        <f t="shared" ref="BQ1797:BQ1860" si="1786">BP1797+BJ1797+5</f>
        <v>2485</v>
      </c>
      <c r="BR1797" t="str">
        <f t="shared" ref="BR1797:BR1860" si="1787">IF(AI1797="e","event_team_player_"&amp;BS1797,IF(AI1797="o","opp_team_player_"&amp;BS1797,""))</f>
        <v>event_team_player_2</v>
      </c>
      <c r="BS1797">
        <f>COUNTIFS(S$3:S1797,"="&amp;S1797,AI$3:AI1797,"="&amp;AI1797)</f>
        <v>2</v>
      </c>
      <c r="BT1797" t="str">
        <f>IFERROR(VLOOKUP(BB1797&amp;BU1797&amp;X1797,game_rosters!U:W,3,FALSE),"")</f>
        <v>P100072</v>
      </c>
      <c r="BU1797" t="str">
        <f t="shared" ref="BU1797:BU1860" si="1788">IF(AR1797="","",IF(AND(AR1797="Away",AI1797="e"),BD1797,IF(AND(AR1797="Home",AI1797="e"),BC1797,IF(AND(AR1797="Away",AI1797="o"),BC1797,IF(AND(AR1797="Home",AI1797="o"),BD1797)))))</f>
        <v>Nelson</v>
      </c>
    </row>
    <row r="1798" spans="1:73" x14ac:dyDescent="0.2">
      <c r="A1798">
        <f t="shared" si="1774"/>
        <v>1</v>
      </c>
      <c r="J1798" s="44" t="str">
        <f t="shared" ref="J1798:J1861" si="1789">IF(OR(K1798="Goal",K1798="Shot",L1798="Zone_Entry",M1798="Stoppage-Goal",M1797="Stoppage-Goal"),"o",IF(OR(K1798="Save",K1798="Rebound",L1798="Zone_Exit",M1798="Stoppage-GoalieStoppage",M1797="Stoppage-GoalieStoppage"),"d",IF(OR(L1798="Faceoff_AfterGoal",L1798="Faceoff_PeriodStart",698="Faceoff_GameStart",M1797="Stoppage-Goal"),"n","")))</f>
        <v/>
      </c>
      <c r="K1798" t="s">
        <v>7</v>
      </c>
      <c r="L1798" t="s">
        <v>172</v>
      </c>
      <c r="M1798" t="s">
        <v>68</v>
      </c>
      <c r="S1798">
        <v>945</v>
      </c>
      <c r="W1798" t="str">
        <f t="shared" si="1765"/>
        <v>h</v>
      </c>
      <c r="X1798">
        <v>7</v>
      </c>
      <c r="Y1798" t="b">
        <f>IF(X1798&lt;&gt;"",VLOOKUP(X1798,game_rosters!$C$43:$E$64,3,FALSE))</f>
        <v>0</v>
      </c>
      <c r="Z1798" cm="1">
        <f t="array" ref="Z1798">IFERROR(IF(_xlfn._xlws.FILTER(game_rosters!$J:$J,(game_rosters!$G:$G=events!$AN1798)*(game_rosters!$J:$J=events!$X1798))&gt;0,1,""),"")</f>
        <v>1</v>
      </c>
      <c r="AA1798">
        <f t="shared" si="1723"/>
        <v>1945</v>
      </c>
      <c r="AB1798" t="str">
        <f t="shared" si="1724"/>
        <v/>
      </c>
      <c r="AC1798">
        <f t="shared" si="1762"/>
        <v>1945</v>
      </c>
      <c r="AD1798" s="6">
        <v>3</v>
      </c>
      <c r="AE1798" t="s">
        <v>745</v>
      </c>
      <c r="AF1798" t="s">
        <v>733</v>
      </c>
      <c r="AG1798" t="s">
        <v>756</v>
      </c>
      <c r="AH1798" t="s">
        <v>756</v>
      </c>
      <c r="AI1798" t="s">
        <v>367</v>
      </c>
      <c r="AJ1798" t="str">
        <f t="shared" ref="AJ1798:AK1798" si="1790">IF($J1798&lt;&gt;"",$J1798,IF($AC1798=$AC1797,AJ1797,""))</f>
        <v/>
      </c>
      <c r="AK1798" t="str">
        <f t="shared" si="1790"/>
        <v/>
      </c>
      <c r="AL1798" t="str">
        <f t="shared" si="1767"/>
        <v/>
      </c>
      <c r="AN1798" t="s">
        <v>861</v>
      </c>
      <c r="AO1798" t="str">
        <f t="shared" si="1768"/>
        <v>h</v>
      </c>
      <c r="AP1798" t="str">
        <f t="shared" si="1776"/>
        <v/>
      </c>
      <c r="AQ1798" t="str">
        <f t="shared" si="1777"/>
        <v/>
      </c>
      <c r="AR1798" t="str">
        <f t="shared" si="1778"/>
        <v>Home</v>
      </c>
      <c r="AS1798" t="str">
        <f t="shared" si="1779"/>
        <v>h</v>
      </c>
      <c r="AT1798" t="str">
        <f t="shared" si="1780"/>
        <v>Offensive</v>
      </c>
      <c r="BA1798" s="6">
        <f t="shared" si="1769"/>
        <v>415</v>
      </c>
      <c r="BB1798">
        <f t="shared" si="1770"/>
        <v>18981</v>
      </c>
      <c r="BC1798" t="str">
        <f t="shared" si="1771"/>
        <v>Nelson</v>
      </c>
      <c r="BD1798" t="str">
        <f t="shared" si="1772"/>
        <v>Velodrome</v>
      </c>
      <c r="BE1798" t="s">
        <v>7</v>
      </c>
      <c r="BF1798" t="s">
        <v>172</v>
      </c>
      <c r="BG1798" t="s">
        <v>68</v>
      </c>
      <c r="BI1798" cm="1">
        <f t="array" aca="1" ref="BI1798" ca="1">IFERROR(_xlfn._xlws.FILTER(shifts!A:A,(shifts!B:B=events!AD1798)*(shifts!AG:AG&gt;=events!BK1798)*(shifts!AH:AH&lt;=events!BL1798)),BI1797)</f>
        <v>81</v>
      </c>
      <c r="BJ1798" s="15">
        <f t="shared" si="1773"/>
        <v>0</v>
      </c>
      <c r="BK1798">
        <f t="shared" si="1781"/>
        <v>896</v>
      </c>
      <c r="BL1798">
        <f t="shared" si="1782"/>
        <v>896</v>
      </c>
      <c r="BM1798" s="15">
        <f>SUMIFS(BJ$2:BJ1798,K$2:K1798,"=Intermission")+SUMIFS(BJ$2:BJ1798,K$2:K1798,"=Timeout")</f>
        <v>142</v>
      </c>
      <c r="BN1798">
        <f t="shared" si="1783"/>
        <v>2302</v>
      </c>
      <c r="BO1798" s="19">
        <f t="shared" si="1784"/>
        <v>2486</v>
      </c>
      <c r="BP1798">
        <f t="shared" si="1785"/>
        <v>2481</v>
      </c>
      <c r="BQ1798" s="17">
        <f t="shared" si="1786"/>
        <v>2486</v>
      </c>
      <c r="BR1798" t="str">
        <f t="shared" si="1787"/>
        <v>event_team_player_1</v>
      </c>
      <c r="BS1798">
        <f>COUNTIFS(S$3:S1798,"="&amp;S1798,AI$3:AI1798,"="&amp;AI1798)</f>
        <v>1</v>
      </c>
      <c r="BT1798" t="str">
        <f>IFERROR(VLOOKUP(BB1798&amp;BU1798&amp;X1798,game_rosters!U:W,3,FALSE),"")</f>
        <v>P100072</v>
      </c>
      <c r="BU1798" t="str">
        <f t="shared" si="1788"/>
        <v>Nelson</v>
      </c>
    </row>
    <row r="1799" spans="1:73" x14ac:dyDescent="0.2">
      <c r="A1799">
        <f t="shared" si="1774"/>
        <v>1</v>
      </c>
      <c r="J1799" s="44" t="str">
        <f t="shared" si="1789"/>
        <v/>
      </c>
      <c r="K1799" t="s">
        <v>7</v>
      </c>
      <c r="L1799" t="s">
        <v>172</v>
      </c>
      <c r="M1799" t="s">
        <v>68</v>
      </c>
      <c r="S1799">
        <v>945</v>
      </c>
      <c r="W1799" t="str">
        <f t="shared" si="1765"/>
        <v>h</v>
      </c>
      <c r="X1799">
        <v>10</v>
      </c>
      <c r="Y1799" t="b">
        <f>IF(X1799&lt;&gt;"",VLOOKUP(X1799,game_rosters!$C$43:$E$64,3,FALSE))</f>
        <v>0</v>
      </c>
      <c r="Z1799" cm="1">
        <f t="array" ref="Z1799">IFERROR(IF(_xlfn._xlws.FILTER(game_rosters!$J:$J,(game_rosters!$G:$G=events!$AN1799)*(game_rosters!$J:$J=events!$X1799))&gt;0,1,""),"")</f>
        <v>1</v>
      </c>
      <c r="AA1799">
        <f t="shared" si="1723"/>
        <v>1945</v>
      </c>
      <c r="AB1799" t="str">
        <f t="shared" si="1724"/>
        <v/>
      </c>
      <c r="AC1799">
        <f t="shared" si="1762"/>
        <v>1945</v>
      </c>
      <c r="AD1799" s="6">
        <v>3</v>
      </c>
      <c r="AE1799" t="s">
        <v>745</v>
      </c>
      <c r="AF1799" t="s">
        <v>733</v>
      </c>
      <c r="AG1799" t="s">
        <v>756</v>
      </c>
      <c r="AH1799" t="s">
        <v>756</v>
      </c>
      <c r="AI1799" t="s">
        <v>367</v>
      </c>
      <c r="AJ1799" t="str">
        <f t="shared" ref="AJ1799:AK1799" si="1791">IF($J1799&lt;&gt;"",$J1799,IF($AC1799=$AC1798,AJ1798,""))</f>
        <v/>
      </c>
      <c r="AK1799" t="str">
        <f t="shared" si="1791"/>
        <v/>
      </c>
      <c r="AL1799" t="str">
        <f t="shared" si="1767"/>
        <v/>
      </c>
      <c r="AN1799" t="s">
        <v>861</v>
      </c>
      <c r="AO1799" t="str">
        <f t="shared" si="1768"/>
        <v>h</v>
      </c>
      <c r="AP1799" t="str">
        <f t="shared" si="1776"/>
        <v/>
      </c>
      <c r="AQ1799" t="str">
        <f t="shared" si="1777"/>
        <v/>
      </c>
      <c r="AR1799" t="str">
        <f t="shared" si="1778"/>
        <v>Home</v>
      </c>
      <c r="AS1799" t="str">
        <f t="shared" si="1779"/>
        <v>h</v>
      </c>
      <c r="AT1799" t="str">
        <f t="shared" si="1780"/>
        <v>Offensive</v>
      </c>
      <c r="BA1799" s="6">
        <f t="shared" si="1769"/>
        <v>415</v>
      </c>
      <c r="BB1799">
        <f t="shared" si="1770"/>
        <v>18981</v>
      </c>
      <c r="BC1799" t="str">
        <f t="shared" si="1771"/>
        <v>Nelson</v>
      </c>
      <c r="BD1799" t="str">
        <f t="shared" si="1772"/>
        <v>Velodrome</v>
      </c>
      <c r="BE1799" t="s">
        <v>7</v>
      </c>
      <c r="BF1799" t="s">
        <v>172</v>
      </c>
      <c r="BG1799" t="s">
        <v>68</v>
      </c>
      <c r="BI1799" cm="1">
        <f t="array" aca="1" ref="BI1799" ca="1">IFERROR(_xlfn._xlws.FILTER(shifts!A:A,(shifts!B:B=events!AD1799)*(shifts!AG:AG&gt;=events!BK1799)*(shifts!AH:AH&lt;=events!BL1799)),BI1798)</f>
        <v>81</v>
      </c>
      <c r="BJ1799" s="15">
        <f t="shared" si="1773"/>
        <v>0</v>
      </c>
      <c r="BK1799">
        <f t="shared" si="1781"/>
        <v>896</v>
      </c>
      <c r="BL1799">
        <f t="shared" si="1782"/>
        <v>896</v>
      </c>
      <c r="BM1799" s="15">
        <f>SUMIFS(BJ$2:BJ1799,K$2:K1799,"=Intermission")+SUMIFS(BJ$2:BJ1799,K$2:K1799,"=Timeout")</f>
        <v>142</v>
      </c>
      <c r="BN1799">
        <f t="shared" si="1783"/>
        <v>2302</v>
      </c>
      <c r="BO1799" s="19">
        <f t="shared" si="1784"/>
        <v>2486</v>
      </c>
      <c r="BP1799">
        <f t="shared" si="1785"/>
        <v>2481</v>
      </c>
      <c r="BQ1799" s="17">
        <f t="shared" si="1786"/>
        <v>2486</v>
      </c>
      <c r="BR1799" t="str">
        <f t="shared" si="1787"/>
        <v>event_team_player_2</v>
      </c>
      <c r="BS1799">
        <f>COUNTIFS(S$3:S1799,"="&amp;S1799,AI$3:AI1799,"="&amp;AI1799)</f>
        <v>2</v>
      </c>
      <c r="BT1799" t="str">
        <f>IFERROR(VLOOKUP(BB1799&amp;BU1799&amp;X1799,game_rosters!U:W,3,FALSE),"")</f>
        <v>P100078</v>
      </c>
      <c r="BU1799" t="str">
        <f t="shared" si="1788"/>
        <v>Nelson</v>
      </c>
    </row>
    <row r="1800" spans="1:73" x14ac:dyDescent="0.2">
      <c r="A1800">
        <f t="shared" si="1774"/>
        <v>1</v>
      </c>
      <c r="J1800" s="44" t="str">
        <f t="shared" si="1789"/>
        <v>d</v>
      </c>
      <c r="K1800" t="s">
        <v>238</v>
      </c>
      <c r="L1800" t="s">
        <v>184</v>
      </c>
      <c r="M1800" t="s">
        <v>89</v>
      </c>
      <c r="S1800">
        <v>946</v>
      </c>
      <c r="W1800" t="str">
        <f t="shared" si="1765"/>
        <v>h</v>
      </c>
      <c r="X1800">
        <v>7</v>
      </c>
      <c r="Y1800" t="b">
        <f>IF(X1800&lt;&gt;"",VLOOKUP(X1800,game_rosters!$C$43:$E$64,3,FALSE))</f>
        <v>0</v>
      </c>
      <c r="Z1800" cm="1">
        <f t="array" ref="Z1800">IFERROR(IF(_xlfn._xlws.FILTER(game_rosters!$J:$J,(game_rosters!$G:$G=events!$AN1800)*(game_rosters!$J:$J=events!$X1800))&gt;0,1,""),"")</f>
        <v>1</v>
      </c>
      <c r="AA1800">
        <f t="shared" si="1723"/>
        <v>1946</v>
      </c>
      <c r="AB1800" t="str">
        <f t="shared" si="1724"/>
        <v/>
      </c>
      <c r="AC1800">
        <f t="shared" si="1762"/>
        <v>1946</v>
      </c>
      <c r="AD1800" s="6">
        <v>3</v>
      </c>
      <c r="AE1800" t="s">
        <v>745</v>
      </c>
      <c r="AF1800" t="s">
        <v>733</v>
      </c>
      <c r="AG1800" t="s">
        <v>756</v>
      </c>
      <c r="AH1800" t="s">
        <v>756</v>
      </c>
      <c r="AI1800" t="s">
        <v>367</v>
      </c>
      <c r="AJ1800" t="str">
        <f t="shared" ref="AJ1800:AK1800" si="1792">IF($J1800&lt;&gt;"",$J1800,IF($AC1800=$AC1799,AJ1799,""))</f>
        <v>d</v>
      </c>
      <c r="AK1800" t="str">
        <f t="shared" si="1792"/>
        <v>d</v>
      </c>
      <c r="AL1800" t="str">
        <f t="shared" si="1767"/>
        <v>d</v>
      </c>
      <c r="AN1800" t="s">
        <v>861</v>
      </c>
      <c r="AO1800" t="str">
        <f t="shared" si="1768"/>
        <v>h</v>
      </c>
      <c r="AP1800" t="str">
        <f t="shared" si="1776"/>
        <v>d</v>
      </c>
      <c r="AQ1800" t="str">
        <f t="shared" si="1777"/>
        <v/>
      </c>
      <c r="AR1800" t="str">
        <f t="shared" si="1778"/>
        <v>Home</v>
      </c>
      <c r="AS1800" t="str">
        <f t="shared" si="1779"/>
        <v>h</v>
      </c>
      <c r="AT1800" t="str">
        <f t="shared" si="1780"/>
        <v>Offensive</v>
      </c>
      <c r="BA1800" s="6">
        <f t="shared" si="1769"/>
        <v>416</v>
      </c>
      <c r="BB1800">
        <f t="shared" si="1770"/>
        <v>18981</v>
      </c>
      <c r="BC1800" t="str">
        <f t="shared" si="1771"/>
        <v>Nelson</v>
      </c>
      <c r="BD1800" t="str">
        <f t="shared" si="1772"/>
        <v>Velodrome</v>
      </c>
      <c r="BE1800" t="s">
        <v>238</v>
      </c>
      <c r="BF1800" t="s">
        <v>184</v>
      </c>
      <c r="BG1800" t="s">
        <v>89</v>
      </c>
      <c r="BI1800" cm="1">
        <f t="array" aca="1" ref="BI1800" ca="1">IFERROR(_xlfn._xlws.FILTER(shifts!A:A,(shifts!B:B=events!AD1800)*(shifts!AG:AG&gt;=events!BK1800)*(shifts!AH:AH&lt;=events!BL1800)),BI1799)</f>
        <v>81</v>
      </c>
      <c r="BJ1800" s="15">
        <f t="shared" si="1773"/>
        <v>0</v>
      </c>
      <c r="BK1800">
        <f t="shared" si="1781"/>
        <v>896</v>
      </c>
      <c r="BL1800">
        <f t="shared" si="1782"/>
        <v>896</v>
      </c>
      <c r="BM1800" s="15">
        <f>SUMIFS(BJ$2:BJ1800,K$2:K1800,"=Intermission")+SUMIFS(BJ$2:BJ1800,K$2:K1800,"=Timeout")</f>
        <v>142</v>
      </c>
      <c r="BN1800">
        <f t="shared" si="1783"/>
        <v>2302</v>
      </c>
      <c r="BO1800" s="19">
        <f t="shared" si="1784"/>
        <v>2486</v>
      </c>
      <c r="BP1800">
        <f t="shared" si="1785"/>
        <v>2481</v>
      </c>
      <c r="BQ1800" s="17">
        <f t="shared" si="1786"/>
        <v>2486</v>
      </c>
      <c r="BR1800" t="str">
        <f t="shared" si="1787"/>
        <v>event_team_player_1</v>
      </c>
      <c r="BS1800">
        <f>COUNTIFS(S$3:S1800,"="&amp;S1800,AI$3:AI1800,"="&amp;AI1800)</f>
        <v>1</v>
      </c>
      <c r="BT1800" t="str">
        <f>IFERROR(VLOOKUP(BB1800&amp;BU1800&amp;X1800,game_rosters!U:W,3,FALSE),"")</f>
        <v>P100072</v>
      </c>
      <c r="BU1800" t="str">
        <f t="shared" si="1788"/>
        <v>Nelson</v>
      </c>
    </row>
    <row r="1801" spans="1:73" x14ac:dyDescent="0.2">
      <c r="A1801">
        <f t="shared" si="1774"/>
        <v>1</v>
      </c>
      <c r="J1801" s="44" t="str">
        <f t="shared" si="1789"/>
        <v>d</v>
      </c>
      <c r="K1801" t="s">
        <v>238</v>
      </c>
      <c r="L1801" t="s">
        <v>184</v>
      </c>
      <c r="M1801" t="s">
        <v>89</v>
      </c>
      <c r="S1801">
        <v>946</v>
      </c>
      <c r="W1801" t="str">
        <f t="shared" si="1765"/>
        <v>h</v>
      </c>
      <c r="X1801">
        <v>10</v>
      </c>
      <c r="Y1801" t="b">
        <f>IF(X1801&lt;&gt;"",VLOOKUP(X1801,game_rosters!$C$43:$E$64,3,FALSE))</f>
        <v>0</v>
      </c>
      <c r="Z1801" cm="1">
        <f t="array" ref="Z1801">IFERROR(IF(_xlfn._xlws.FILTER(game_rosters!$J:$J,(game_rosters!$G:$G=events!$AN1801)*(game_rosters!$J:$J=events!$X1801))&gt;0,1,""),"")</f>
        <v>1</v>
      </c>
      <c r="AA1801">
        <f t="shared" si="1723"/>
        <v>1946</v>
      </c>
      <c r="AB1801" t="str">
        <f t="shared" si="1724"/>
        <v/>
      </c>
      <c r="AC1801">
        <f t="shared" si="1762"/>
        <v>1946</v>
      </c>
      <c r="AD1801" s="6">
        <v>3</v>
      </c>
      <c r="AE1801" t="s">
        <v>745</v>
      </c>
      <c r="AF1801" t="s">
        <v>733</v>
      </c>
      <c r="AG1801" t="s">
        <v>756</v>
      </c>
      <c r="AH1801" t="s">
        <v>756</v>
      </c>
      <c r="AI1801" t="s">
        <v>367</v>
      </c>
      <c r="AJ1801" t="str">
        <f t="shared" ref="AJ1801:AK1801" si="1793">IF($J1801&lt;&gt;"",$J1801,IF($AC1801=$AC1800,AJ1800,""))</f>
        <v>d</v>
      </c>
      <c r="AK1801" t="str">
        <f t="shared" si="1793"/>
        <v>d</v>
      </c>
      <c r="AL1801" t="str">
        <f t="shared" si="1767"/>
        <v>d</v>
      </c>
      <c r="AN1801" t="s">
        <v>861</v>
      </c>
      <c r="AO1801" t="str">
        <f t="shared" si="1768"/>
        <v>h</v>
      </c>
      <c r="AP1801" t="str">
        <f t="shared" si="1776"/>
        <v>d</v>
      </c>
      <c r="AQ1801" t="str">
        <f t="shared" si="1777"/>
        <v/>
      </c>
      <c r="AR1801" t="str">
        <f t="shared" si="1778"/>
        <v>Home</v>
      </c>
      <c r="AS1801" t="str">
        <f t="shared" si="1779"/>
        <v>h</v>
      </c>
      <c r="AT1801" t="str">
        <f t="shared" si="1780"/>
        <v>Offensive</v>
      </c>
      <c r="BA1801" s="6">
        <f t="shared" si="1769"/>
        <v>417</v>
      </c>
      <c r="BB1801">
        <f t="shared" si="1770"/>
        <v>18981</v>
      </c>
      <c r="BC1801" t="str">
        <f t="shared" si="1771"/>
        <v>Nelson</v>
      </c>
      <c r="BD1801" t="str">
        <f t="shared" si="1772"/>
        <v>Velodrome</v>
      </c>
      <c r="BE1801" t="s">
        <v>238</v>
      </c>
      <c r="BF1801" t="s">
        <v>184</v>
      </c>
      <c r="BG1801" t="s">
        <v>89</v>
      </c>
      <c r="BI1801" cm="1">
        <f t="array" aca="1" ref="BI1801" ca="1">IFERROR(_xlfn._xlws.FILTER(shifts!A:A,(shifts!B:B=events!AD1801)*(shifts!AG:AG&gt;=events!BK1801)*(shifts!AH:AH&lt;=events!BL1801)),BI1800)</f>
        <v>81</v>
      </c>
      <c r="BJ1801" s="15">
        <f t="shared" si="1773"/>
        <v>0</v>
      </c>
      <c r="BK1801">
        <f t="shared" si="1781"/>
        <v>896</v>
      </c>
      <c r="BL1801">
        <f t="shared" si="1782"/>
        <v>896</v>
      </c>
      <c r="BM1801" s="15">
        <f>SUMIFS(BJ$2:BJ1801,K$2:K1801,"=Intermission")+SUMIFS(BJ$2:BJ1801,K$2:K1801,"=Timeout")</f>
        <v>142</v>
      </c>
      <c r="BN1801">
        <f t="shared" si="1783"/>
        <v>2302</v>
      </c>
      <c r="BO1801" s="19">
        <f t="shared" si="1784"/>
        <v>2486</v>
      </c>
      <c r="BP1801">
        <f t="shared" si="1785"/>
        <v>2481</v>
      </c>
      <c r="BQ1801" s="17">
        <f t="shared" si="1786"/>
        <v>2486</v>
      </c>
      <c r="BR1801" t="str">
        <f t="shared" si="1787"/>
        <v>event_team_player_2</v>
      </c>
      <c r="BS1801">
        <f>COUNTIFS(S$3:S1801,"="&amp;S1801,AI$3:AI1801,"="&amp;AI1801)</f>
        <v>2</v>
      </c>
      <c r="BT1801" t="str">
        <f>IFERROR(VLOOKUP(BB1801&amp;BU1801&amp;X1801,game_rosters!U:W,3,FALSE),"")</f>
        <v>P100078</v>
      </c>
      <c r="BU1801" t="str">
        <f t="shared" si="1788"/>
        <v>Nelson</v>
      </c>
    </row>
    <row r="1802" spans="1:73" x14ac:dyDescent="0.2">
      <c r="A1802">
        <f t="shared" si="1774"/>
        <v>1</v>
      </c>
      <c r="J1802" s="44" t="str">
        <f t="shared" si="1789"/>
        <v/>
      </c>
      <c r="K1802" t="s">
        <v>13</v>
      </c>
      <c r="L1802" t="s">
        <v>756</v>
      </c>
      <c r="M1802" t="s">
        <v>756</v>
      </c>
      <c r="S1802">
        <v>947</v>
      </c>
      <c r="W1802" t="str">
        <f t="shared" si="1765"/>
        <v>h</v>
      </c>
      <c r="X1802">
        <v>10</v>
      </c>
      <c r="Y1802" t="b">
        <f>IF(X1802&lt;&gt;"",VLOOKUP(X1802,game_rosters!$C$43:$E$64,3,FALSE))</f>
        <v>0</v>
      </c>
      <c r="Z1802" cm="1">
        <f t="array" ref="Z1802">IFERROR(IF(_xlfn._xlws.FILTER(game_rosters!$J:$J,(game_rosters!$G:$G=events!$AN1802)*(game_rosters!$J:$J=events!$X1802))&gt;0,1,""),"")</f>
        <v>1</v>
      </c>
      <c r="AA1802">
        <f t="shared" si="1723"/>
        <v>1947</v>
      </c>
      <c r="AB1802" t="str">
        <f t="shared" si="1724"/>
        <v/>
      </c>
      <c r="AC1802">
        <f t="shared" si="1762"/>
        <v>1947</v>
      </c>
      <c r="AD1802" s="6">
        <v>3</v>
      </c>
      <c r="AE1802" t="s">
        <v>745</v>
      </c>
      <c r="AF1802" t="s">
        <v>733</v>
      </c>
      <c r="AG1802" t="s">
        <v>745</v>
      </c>
      <c r="AH1802" t="s">
        <v>921</v>
      </c>
      <c r="AI1802" t="s">
        <v>367</v>
      </c>
      <c r="AJ1802" t="str">
        <f t="shared" ref="AJ1802:AK1802" si="1794">IF($J1802&lt;&gt;"",$J1802,IF($AC1802=$AC1801,AJ1801,""))</f>
        <v/>
      </c>
      <c r="AK1802" t="str">
        <f t="shared" si="1794"/>
        <v/>
      </c>
      <c r="AL1802" t="str">
        <f t="shared" si="1767"/>
        <v/>
      </c>
      <c r="AN1802" t="s">
        <v>861</v>
      </c>
      <c r="AO1802" t="str">
        <f t="shared" si="1768"/>
        <v>h</v>
      </c>
      <c r="AP1802" t="str">
        <f t="shared" si="1776"/>
        <v/>
      </c>
      <c r="AQ1802" t="str">
        <f t="shared" si="1777"/>
        <v/>
      </c>
      <c r="AR1802" t="str">
        <f t="shared" si="1778"/>
        <v>Home</v>
      </c>
      <c r="AS1802" t="str">
        <f t="shared" si="1779"/>
        <v>h</v>
      </c>
      <c r="AT1802" t="str">
        <f t="shared" si="1780"/>
        <v>Offensive</v>
      </c>
      <c r="BA1802" s="6">
        <f t="shared" si="1769"/>
        <v>417</v>
      </c>
      <c r="BB1802">
        <f t="shared" si="1770"/>
        <v>18981</v>
      </c>
      <c r="BC1802" t="str">
        <f t="shared" si="1771"/>
        <v>Nelson</v>
      </c>
      <c r="BD1802" t="str">
        <f t="shared" si="1772"/>
        <v>Velodrome</v>
      </c>
      <c r="BE1802" t="s">
        <v>13</v>
      </c>
      <c r="BF1802" t="s">
        <v>756</v>
      </c>
      <c r="BG1802" t="s">
        <v>756</v>
      </c>
      <c r="BI1802" cm="1">
        <f t="array" aca="1" ref="BI1802" ca="1">IFERROR(_xlfn._xlws.FILTER(shifts!A:A,(shifts!B:B=events!AD1802)*(shifts!AG:AG&gt;=events!BK1802)*(shifts!AH:AH&lt;=events!BL1802)),BI1801)</f>
        <v>81</v>
      </c>
      <c r="BJ1802" s="15">
        <f t="shared" si="1773"/>
        <v>3</v>
      </c>
      <c r="BK1802">
        <f t="shared" si="1781"/>
        <v>896</v>
      </c>
      <c r="BL1802">
        <f t="shared" si="1782"/>
        <v>893</v>
      </c>
      <c r="BM1802" s="15">
        <f>SUMIFS(BJ$2:BJ1802,K$2:K1802,"=Intermission")+SUMIFS(BJ$2:BJ1802,K$2:K1802,"=Timeout")</f>
        <v>142</v>
      </c>
      <c r="BN1802">
        <f t="shared" si="1783"/>
        <v>2302</v>
      </c>
      <c r="BO1802" s="19">
        <f t="shared" si="1784"/>
        <v>2486</v>
      </c>
      <c r="BP1802">
        <f t="shared" si="1785"/>
        <v>2481</v>
      </c>
      <c r="BQ1802" s="17">
        <f t="shared" si="1786"/>
        <v>2489</v>
      </c>
      <c r="BR1802" t="str">
        <f t="shared" si="1787"/>
        <v>event_team_player_1</v>
      </c>
      <c r="BS1802">
        <f>COUNTIFS(S$3:S1802,"="&amp;S1802,AI$3:AI1802,"="&amp;AI1802)</f>
        <v>1</v>
      </c>
      <c r="BT1802" t="str">
        <f>IFERROR(VLOOKUP(BB1802&amp;BU1802&amp;X1802,game_rosters!U:W,3,FALSE),"")</f>
        <v>P100078</v>
      </c>
      <c r="BU1802" t="str">
        <f t="shared" si="1788"/>
        <v>Nelson</v>
      </c>
    </row>
    <row r="1803" spans="1:73" x14ac:dyDescent="0.2">
      <c r="A1803">
        <f t="shared" si="1774"/>
        <v>1</v>
      </c>
      <c r="J1803" s="44" t="str">
        <f t="shared" si="1789"/>
        <v>o</v>
      </c>
      <c r="K1803" t="s">
        <v>238</v>
      </c>
      <c r="L1803" t="s">
        <v>174</v>
      </c>
      <c r="M1803" t="s">
        <v>85</v>
      </c>
      <c r="S1803">
        <v>948</v>
      </c>
      <c r="W1803" t="str">
        <f t="shared" si="1765"/>
        <v>h</v>
      </c>
      <c r="X1803">
        <v>10</v>
      </c>
      <c r="Y1803" t="b">
        <f>IF(X1803&lt;&gt;"",VLOOKUP(X1803,game_rosters!$C$43:$E$64,3,FALSE))</f>
        <v>0</v>
      </c>
      <c r="Z1803" cm="1">
        <f t="array" ref="Z1803">IFERROR(IF(_xlfn._xlws.FILTER(game_rosters!$J:$J,(game_rosters!$G:$G=events!$AN1803)*(game_rosters!$J:$J=events!$X1803))&gt;0,1,""),"")</f>
        <v>1</v>
      </c>
      <c r="AA1803">
        <f t="shared" si="1723"/>
        <v>1948</v>
      </c>
      <c r="AB1803" t="str">
        <f t="shared" si="1724"/>
        <v/>
      </c>
      <c r="AC1803">
        <f t="shared" si="1762"/>
        <v>1948</v>
      </c>
      <c r="AD1803" s="6">
        <v>3</v>
      </c>
      <c r="AE1803" t="s">
        <v>745</v>
      </c>
      <c r="AF1803" t="s">
        <v>921</v>
      </c>
      <c r="AG1803" t="s">
        <v>745</v>
      </c>
      <c r="AH1803" t="s">
        <v>898</v>
      </c>
      <c r="AI1803" t="s">
        <v>367</v>
      </c>
      <c r="AJ1803" t="str">
        <f t="shared" ref="AJ1803:AK1803" si="1795">IF($J1803&lt;&gt;"",$J1803,IF($AC1803=$AC1802,AJ1802,""))</f>
        <v>o</v>
      </c>
      <c r="AK1803" t="str">
        <f t="shared" si="1795"/>
        <v>o</v>
      </c>
      <c r="AL1803" t="str">
        <f t="shared" si="1767"/>
        <v>o</v>
      </c>
      <c r="AN1803" t="s">
        <v>861</v>
      </c>
      <c r="AO1803" t="str">
        <f t="shared" si="1768"/>
        <v>h</v>
      </c>
      <c r="AP1803" t="str">
        <f t="shared" si="1776"/>
        <v>o</v>
      </c>
      <c r="AQ1803" t="str">
        <f t="shared" si="1777"/>
        <v/>
      </c>
      <c r="AR1803" t="str">
        <f t="shared" si="1778"/>
        <v>Home</v>
      </c>
      <c r="AS1803" t="str">
        <f t="shared" si="1779"/>
        <v>h</v>
      </c>
      <c r="AT1803" t="str">
        <f t="shared" si="1780"/>
        <v>Offensive</v>
      </c>
      <c r="BA1803" s="6">
        <f t="shared" si="1769"/>
        <v>418</v>
      </c>
      <c r="BB1803">
        <f t="shared" si="1770"/>
        <v>18981</v>
      </c>
      <c r="BC1803" t="str">
        <f t="shared" si="1771"/>
        <v>Nelson</v>
      </c>
      <c r="BD1803" t="str">
        <f t="shared" si="1772"/>
        <v>Velodrome</v>
      </c>
      <c r="BE1803" t="s">
        <v>238</v>
      </c>
      <c r="BF1803" t="s">
        <v>174</v>
      </c>
      <c r="BG1803" t="s">
        <v>85</v>
      </c>
      <c r="BI1803" cm="1">
        <f t="array" aca="1" ref="BI1803" ca="1">IFERROR(_xlfn._xlws.FILTER(shifts!A:A,(shifts!B:B=events!AD1803)*(shifts!AG:AG&gt;=events!BK1803)*(shifts!AH:AH&lt;=events!BL1803)),BI1802)</f>
        <v>81</v>
      </c>
      <c r="BJ1803" s="15">
        <f t="shared" si="1773"/>
        <v>2</v>
      </c>
      <c r="BK1803">
        <f t="shared" si="1781"/>
        <v>893</v>
      </c>
      <c r="BL1803">
        <f t="shared" si="1782"/>
        <v>891</v>
      </c>
      <c r="BM1803" s="15">
        <f>SUMIFS(BJ$2:BJ1803,K$2:K1803,"=Intermission")+SUMIFS(BJ$2:BJ1803,K$2:K1803,"=Timeout")</f>
        <v>142</v>
      </c>
      <c r="BN1803">
        <f t="shared" si="1783"/>
        <v>2302</v>
      </c>
      <c r="BO1803" s="19">
        <f t="shared" si="1784"/>
        <v>2489</v>
      </c>
      <c r="BP1803">
        <f t="shared" si="1785"/>
        <v>2484</v>
      </c>
      <c r="BQ1803" s="17">
        <f t="shared" si="1786"/>
        <v>2491</v>
      </c>
      <c r="BR1803" t="str">
        <f t="shared" si="1787"/>
        <v>event_team_player_1</v>
      </c>
      <c r="BS1803">
        <f>COUNTIFS(S$3:S1803,"="&amp;S1803,AI$3:AI1803,"="&amp;AI1803)</f>
        <v>1</v>
      </c>
      <c r="BT1803" t="str">
        <f>IFERROR(VLOOKUP(BB1803&amp;BU1803&amp;X1803,game_rosters!U:W,3,FALSE),"")</f>
        <v>P100078</v>
      </c>
      <c r="BU1803" t="str">
        <f t="shared" si="1788"/>
        <v>Nelson</v>
      </c>
    </row>
    <row r="1804" spans="1:73" x14ac:dyDescent="0.2">
      <c r="A1804">
        <f t="shared" si="1774"/>
        <v>1</v>
      </c>
      <c r="J1804" s="44" t="str">
        <f t="shared" si="1789"/>
        <v>o</v>
      </c>
      <c r="K1804" t="s">
        <v>238</v>
      </c>
      <c r="L1804" t="s">
        <v>174</v>
      </c>
      <c r="M1804" t="s">
        <v>85</v>
      </c>
      <c r="S1804">
        <v>948</v>
      </c>
      <c r="W1804" t="str">
        <f t="shared" si="1765"/>
        <v>h</v>
      </c>
      <c r="X1804">
        <v>44</v>
      </c>
      <c r="Y1804" t="b">
        <f>IF(X1804&lt;&gt;"",VLOOKUP(X1804,game_rosters!$C$43:$E$64,3,FALSE))</f>
        <v>0</v>
      </c>
      <c r="Z1804" cm="1">
        <f t="array" ref="Z1804">IFERROR(IF(_xlfn._xlws.FILTER(game_rosters!$J:$J,(game_rosters!$G:$G=events!$AN1804)*(game_rosters!$J:$J=events!$X1804))&gt;0,1,""),"")</f>
        <v>1</v>
      </c>
      <c r="AA1804">
        <f t="shared" si="1723"/>
        <v>1948</v>
      </c>
      <c r="AB1804" t="str">
        <f t="shared" si="1724"/>
        <v/>
      </c>
      <c r="AC1804">
        <f t="shared" si="1762"/>
        <v>1948</v>
      </c>
      <c r="AD1804" s="6">
        <v>3</v>
      </c>
      <c r="AE1804" t="s">
        <v>745</v>
      </c>
      <c r="AF1804" t="s">
        <v>921</v>
      </c>
      <c r="AG1804" t="s">
        <v>745</v>
      </c>
      <c r="AH1804" t="s">
        <v>898</v>
      </c>
      <c r="AI1804" t="s">
        <v>367</v>
      </c>
      <c r="AJ1804" t="str">
        <f t="shared" ref="AJ1804:AK1804" si="1796">IF($J1804&lt;&gt;"",$J1804,IF($AC1804=$AC1803,AJ1803,""))</f>
        <v>o</v>
      </c>
      <c r="AK1804" t="str">
        <f t="shared" si="1796"/>
        <v>o</v>
      </c>
      <c r="AL1804" t="str">
        <f t="shared" si="1767"/>
        <v>o</v>
      </c>
      <c r="AN1804" t="s">
        <v>861</v>
      </c>
      <c r="AO1804" t="str">
        <f t="shared" si="1768"/>
        <v>h</v>
      </c>
      <c r="AP1804" t="str">
        <f t="shared" si="1776"/>
        <v>o</v>
      </c>
      <c r="AQ1804" t="str">
        <f t="shared" si="1777"/>
        <v/>
      </c>
      <c r="AR1804" t="str">
        <f t="shared" si="1778"/>
        <v>Home</v>
      </c>
      <c r="AS1804" t="str">
        <f t="shared" si="1779"/>
        <v>h</v>
      </c>
      <c r="AT1804" t="str">
        <f t="shared" si="1780"/>
        <v>Offensive</v>
      </c>
      <c r="BA1804" s="6">
        <f t="shared" si="1769"/>
        <v>419</v>
      </c>
      <c r="BB1804">
        <f t="shared" si="1770"/>
        <v>18981</v>
      </c>
      <c r="BC1804" t="str">
        <f t="shared" si="1771"/>
        <v>Nelson</v>
      </c>
      <c r="BD1804" t="str">
        <f t="shared" si="1772"/>
        <v>Velodrome</v>
      </c>
      <c r="BE1804" t="s">
        <v>238</v>
      </c>
      <c r="BF1804" t="s">
        <v>174</v>
      </c>
      <c r="BG1804" t="s">
        <v>85</v>
      </c>
      <c r="BI1804" cm="1">
        <f t="array" aca="1" ref="BI1804" ca="1">IFERROR(_xlfn._xlws.FILTER(shifts!A:A,(shifts!B:B=events!AD1804)*(shifts!AG:AG&gt;=events!BK1804)*(shifts!AH:AH&lt;=events!BL1804)),BI1803)</f>
        <v>81</v>
      </c>
      <c r="BJ1804" s="15">
        <f t="shared" si="1773"/>
        <v>2</v>
      </c>
      <c r="BK1804">
        <f t="shared" si="1781"/>
        <v>893</v>
      </c>
      <c r="BL1804">
        <f t="shared" si="1782"/>
        <v>891</v>
      </c>
      <c r="BM1804" s="15">
        <f>SUMIFS(BJ$2:BJ1804,K$2:K1804,"=Intermission")+SUMIFS(BJ$2:BJ1804,K$2:K1804,"=Timeout")</f>
        <v>142</v>
      </c>
      <c r="BN1804">
        <f t="shared" si="1783"/>
        <v>2302</v>
      </c>
      <c r="BO1804" s="19">
        <f t="shared" si="1784"/>
        <v>2489</v>
      </c>
      <c r="BP1804">
        <f t="shared" si="1785"/>
        <v>2484</v>
      </c>
      <c r="BQ1804" s="17">
        <f t="shared" si="1786"/>
        <v>2491</v>
      </c>
      <c r="BR1804" t="str">
        <f t="shared" si="1787"/>
        <v>event_team_player_2</v>
      </c>
      <c r="BS1804">
        <f>COUNTIFS(S$3:S1804,"="&amp;S1804,AI$3:AI1804,"="&amp;AI1804)</f>
        <v>2</v>
      </c>
      <c r="BT1804" t="str">
        <f>IFERROR(VLOOKUP(BB1804&amp;BU1804&amp;X1804,game_rosters!U:W,3,FALSE),"")</f>
        <v>P100079</v>
      </c>
      <c r="BU1804" t="str">
        <f t="shared" si="1788"/>
        <v>Nelson</v>
      </c>
    </row>
    <row r="1805" spans="1:73" x14ac:dyDescent="0.2">
      <c r="A1805">
        <f t="shared" si="1774"/>
        <v>1</v>
      </c>
      <c r="J1805" s="44" t="str">
        <f t="shared" si="1789"/>
        <v>o</v>
      </c>
      <c r="K1805" t="s">
        <v>238</v>
      </c>
      <c r="L1805" t="s">
        <v>174</v>
      </c>
      <c r="M1805" t="s">
        <v>85</v>
      </c>
      <c r="S1805">
        <v>948</v>
      </c>
      <c r="W1805" t="str">
        <f t="shared" si="1765"/>
        <v>h</v>
      </c>
      <c r="X1805">
        <v>52</v>
      </c>
      <c r="Y1805" t="e">
        <f>IF(X1805&lt;&gt;"",VLOOKUP(X1805,game_rosters!$C$43:$E$64,3,FALSE))</f>
        <v>#N/A</v>
      </c>
      <c r="Z1805" t="str" cm="1">
        <f t="array" ref="Z1805">IFERROR(IF(_xlfn._xlws.FILTER(game_rosters!$J:$J,(game_rosters!$G:$G=events!$AN1805)*(game_rosters!$J:$J=events!$X1805))&gt;0,1,""),"")</f>
        <v/>
      </c>
      <c r="AA1805">
        <f t="shared" si="1723"/>
        <v>1948</v>
      </c>
      <c r="AB1805" t="str">
        <f t="shared" si="1724"/>
        <v/>
      </c>
      <c r="AC1805">
        <f t="shared" si="1762"/>
        <v>1948</v>
      </c>
      <c r="AD1805" s="6">
        <v>3</v>
      </c>
      <c r="AE1805" t="s">
        <v>745</v>
      </c>
      <c r="AF1805" t="s">
        <v>921</v>
      </c>
      <c r="AG1805" t="s">
        <v>745</v>
      </c>
      <c r="AH1805" t="s">
        <v>898</v>
      </c>
      <c r="AI1805" t="s">
        <v>368</v>
      </c>
      <c r="AJ1805" t="str">
        <f t="shared" ref="AJ1805:AK1805" si="1797">IF($J1805&lt;&gt;"",$J1805,IF($AC1805=$AC1804,AJ1804,""))</f>
        <v>o</v>
      </c>
      <c r="AK1805" t="str">
        <f t="shared" si="1797"/>
        <v>o</v>
      </c>
      <c r="AL1805" t="str">
        <f t="shared" si="1767"/>
        <v>o</v>
      </c>
      <c r="AN1805" t="s">
        <v>861</v>
      </c>
      <c r="AO1805" t="str">
        <f t="shared" si="1768"/>
        <v>h</v>
      </c>
      <c r="AP1805" t="str">
        <f t="shared" si="1776"/>
        <v>o</v>
      </c>
      <c r="AQ1805" t="str">
        <f t="shared" si="1777"/>
        <v/>
      </c>
      <c r="AR1805" t="str">
        <f t="shared" si="1778"/>
        <v>Home</v>
      </c>
      <c r="AS1805" t="str">
        <f t="shared" si="1779"/>
        <v>h</v>
      </c>
      <c r="AT1805" t="str">
        <f t="shared" si="1780"/>
        <v>Defensive</v>
      </c>
      <c r="BA1805" s="6">
        <f t="shared" si="1769"/>
        <v>420</v>
      </c>
      <c r="BB1805">
        <f t="shared" si="1770"/>
        <v>18981</v>
      </c>
      <c r="BC1805" t="str">
        <f t="shared" si="1771"/>
        <v>Nelson</v>
      </c>
      <c r="BD1805" t="str">
        <f t="shared" si="1772"/>
        <v>Velodrome</v>
      </c>
      <c r="BE1805" t="s">
        <v>238</v>
      </c>
      <c r="BF1805" t="s">
        <v>174</v>
      </c>
      <c r="BG1805" t="s">
        <v>85</v>
      </c>
      <c r="BI1805" cm="1">
        <f t="array" aca="1" ref="BI1805" ca="1">IFERROR(_xlfn._xlws.FILTER(shifts!A:A,(shifts!B:B=events!AD1805)*(shifts!AG:AG&gt;=events!BK1805)*(shifts!AH:AH&lt;=events!BL1805)),BI1804)</f>
        <v>81</v>
      </c>
      <c r="BJ1805" s="15">
        <f t="shared" si="1773"/>
        <v>2</v>
      </c>
      <c r="BK1805">
        <f t="shared" si="1781"/>
        <v>893</v>
      </c>
      <c r="BL1805">
        <f t="shared" si="1782"/>
        <v>891</v>
      </c>
      <c r="BM1805" s="15">
        <f>SUMIFS(BJ$2:BJ1805,K$2:K1805,"=Intermission")+SUMIFS(BJ$2:BJ1805,K$2:K1805,"=Timeout")</f>
        <v>142</v>
      </c>
      <c r="BN1805">
        <f t="shared" si="1783"/>
        <v>2302</v>
      </c>
      <c r="BO1805" s="19">
        <f t="shared" si="1784"/>
        <v>2489</v>
      </c>
      <c r="BP1805">
        <f t="shared" si="1785"/>
        <v>2484</v>
      </c>
      <c r="BQ1805" s="17">
        <f t="shared" si="1786"/>
        <v>2491</v>
      </c>
      <c r="BR1805" t="str">
        <f t="shared" si="1787"/>
        <v>opp_team_player_1</v>
      </c>
      <c r="BS1805">
        <f>COUNTIFS(S$3:S1805,"="&amp;S1805,AI$3:AI1805,"="&amp;AI1805)</f>
        <v>1</v>
      </c>
      <c r="BT1805" t="str">
        <f>IFERROR(VLOOKUP(BB1805&amp;BU1805&amp;X1805,game_rosters!U:W,3,FALSE),"")</f>
        <v>P100070</v>
      </c>
      <c r="BU1805" t="str">
        <f t="shared" si="1788"/>
        <v>Velodrome</v>
      </c>
    </row>
    <row r="1806" spans="1:73" x14ac:dyDescent="0.2">
      <c r="A1806">
        <f t="shared" si="1774"/>
        <v>1</v>
      </c>
      <c r="J1806" s="44" t="str">
        <f t="shared" si="1789"/>
        <v>o</v>
      </c>
      <c r="K1806" t="s">
        <v>238</v>
      </c>
      <c r="L1806" t="s">
        <v>174</v>
      </c>
      <c r="M1806" t="s">
        <v>85</v>
      </c>
      <c r="S1806">
        <v>948</v>
      </c>
      <c r="W1806" t="str">
        <f t="shared" si="1765"/>
        <v>h</v>
      </c>
      <c r="X1806">
        <v>22</v>
      </c>
      <c r="Y1806" t="e">
        <f>IF(X1806&lt;&gt;"",VLOOKUP(X1806,game_rosters!$C$43:$E$64,3,FALSE))</f>
        <v>#N/A</v>
      </c>
      <c r="Z1806" t="str" cm="1">
        <f t="array" ref="Z1806">IFERROR(IF(_xlfn._xlws.FILTER(game_rosters!$J:$J,(game_rosters!$G:$G=events!$AN1806)*(game_rosters!$J:$J=events!$X1806))&gt;0,1,""),"")</f>
        <v/>
      </c>
      <c r="AA1806">
        <f t="shared" si="1723"/>
        <v>1948</v>
      </c>
      <c r="AB1806" t="str">
        <f t="shared" si="1724"/>
        <v/>
      </c>
      <c r="AC1806">
        <f t="shared" si="1762"/>
        <v>1948</v>
      </c>
      <c r="AD1806" s="6">
        <v>3</v>
      </c>
      <c r="AE1806" t="s">
        <v>745</v>
      </c>
      <c r="AF1806" t="s">
        <v>921</v>
      </c>
      <c r="AG1806" t="s">
        <v>745</v>
      </c>
      <c r="AH1806" t="s">
        <v>898</v>
      </c>
      <c r="AI1806" t="s">
        <v>368</v>
      </c>
      <c r="AJ1806" t="str">
        <f t="shared" ref="AJ1806:AK1806" si="1798">IF($J1806&lt;&gt;"",$J1806,IF($AC1806=$AC1805,AJ1805,""))</f>
        <v>o</v>
      </c>
      <c r="AK1806" t="str">
        <f t="shared" si="1798"/>
        <v>o</v>
      </c>
      <c r="AL1806" t="str">
        <f t="shared" si="1767"/>
        <v>o</v>
      </c>
      <c r="AN1806" t="s">
        <v>861</v>
      </c>
      <c r="AO1806" t="str">
        <f t="shared" si="1768"/>
        <v>h</v>
      </c>
      <c r="AP1806" t="str">
        <f t="shared" si="1776"/>
        <v>o</v>
      </c>
      <c r="AQ1806" t="str">
        <f t="shared" si="1777"/>
        <v/>
      </c>
      <c r="AR1806" t="str">
        <f t="shared" si="1778"/>
        <v>Home</v>
      </c>
      <c r="AS1806" t="str">
        <f t="shared" si="1779"/>
        <v>h</v>
      </c>
      <c r="AT1806" t="str">
        <f t="shared" si="1780"/>
        <v>Defensive</v>
      </c>
      <c r="BA1806" s="6">
        <f t="shared" si="1769"/>
        <v>421</v>
      </c>
      <c r="BB1806">
        <f t="shared" si="1770"/>
        <v>18981</v>
      </c>
      <c r="BC1806" t="str">
        <f t="shared" si="1771"/>
        <v>Nelson</v>
      </c>
      <c r="BD1806" t="str">
        <f t="shared" si="1772"/>
        <v>Velodrome</v>
      </c>
      <c r="BE1806" t="s">
        <v>238</v>
      </c>
      <c r="BF1806" t="s">
        <v>174</v>
      </c>
      <c r="BG1806" t="s">
        <v>85</v>
      </c>
      <c r="BI1806" cm="1">
        <f t="array" aca="1" ref="BI1806" ca="1">IFERROR(_xlfn._xlws.FILTER(shifts!A:A,(shifts!B:B=events!AD1806)*(shifts!AG:AG&gt;=events!BK1806)*(shifts!AH:AH&lt;=events!BL1806)),BI1805)</f>
        <v>81</v>
      </c>
      <c r="BJ1806" s="15">
        <f t="shared" si="1773"/>
        <v>2</v>
      </c>
      <c r="BK1806">
        <f t="shared" si="1781"/>
        <v>893</v>
      </c>
      <c r="BL1806">
        <f t="shared" si="1782"/>
        <v>891</v>
      </c>
      <c r="BM1806" s="15">
        <f>SUMIFS(BJ$2:BJ1806,K$2:K1806,"=Intermission")+SUMIFS(BJ$2:BJ1806,K$2:K1806,"=Timeout")</f>
        <v>142</v>
      </c>
      <c r="BN1806">
        <f t="shared" si="1783"/>
        <v>2302</v>
      </c>
      <c r="BO1806" s="19">
        <f t="shared" si="1784"/>
        <v>2489</v>
      </c>
      <c r="BP1806">
        <f t="shared" si="1785"/>
        <v>2484</v>
      </c>
      <c r="BQ1806" s="17">
        <f t="shared" si="1786"/>
        <v>2491</v>
      </c>
      <c r="BR1806" t="str">
        <f t="shared" si="1787"/>
        <v>opp_team_player_2</v>
      </c>
      <c r="BS1806">
        <f>COUNTIFS(S$3:S1806,"="&amp;S1806,AI$3:AI1806,"="&amp;AI1806)</f>
        <v>2</v>
      </c>
      <c r="BT1806" t="str">
        <f>IFERROR(VLOOKUP(BB1806&amp;BU1806&amp;X1806,game_rosters!U:W,3,FALSE),"")</f>
        <v>P100108</v>
      </c>
      <c r="BU1806" t="str">
        <f t="shared" si="1788"/>
        <v>Velodrome</v>
      </c>
    </row>
    <row r="1807" spans="1:73" x14ac:dyDescent="0.2">
      <c r="A1807">
        <f t="shared" si="1774"/>
        <v>1</v>
      </c>
      <c r="J1807" s="44" t="str">
        <f t="shared" si="1789"/>
        <v/>
      </c>
      <c r="K1807" t="s">
        <v>13</v>
      </c>
      <c r="L1807" t="s">
        <v>756</v>
      </c>
      <c r="M1807" t="s">
        <v>756</v>
      </c>
      <c r="S1807">
        <v>949</v>
      </c>
      <c r="W1807" t="str">
        <f t="shared" si="1765"/>
        <v>h</v>
      </c>
      <c r="X1807">
        <v>10</v>
      </c>
      <c r="Y1807" t="b">
        <f>IF(X1807&lt;&gt;"",VLOOKUP(X1807,game_rosters!$C$43:$E$64,3,FALSE))</f>
        <v>0</v>
      </c>
      <c r="Z1807" cm="1">
        <f t="array" ref="Z1807">IFERROR(IF(_xlfn._xlws.FILTER(game_rosters!$J:$J,(game_rosters!$G:$G=events!$AN1807)*(game_rosters!$J:$J=events!$X1807))&gt;0,1,""),"")</f>
        <v>1</v>
      </c>
      <c r="AA1807">
        <f t="shared" si="1723"/>
        <v>1949</v>
      </c>
      <c r="AB1807" t="str">
        <f t="shared" si="1724"/>
        <v/>
      </c>
      <c r="AC1807">
        <f t="shared" si="1762"/>
        <v>1949</v>
      </c>
      <c r="AD1807" s="6">
        <v>3</v>
      </c>
      <c r="AE1807" t="s">
        <v>745</v>
      </c>
      <c r="AF1807" t="s">
        <v>898</v>
      </c>
      <c r="AG1807" t="s">
        <v>745</v>
      </c>
      <c r="AH1807" t="s">
        <v>935</v>
      </c>
      <c r="AI1807" t="s">
        <v>367</v>
      </c>
      <c r="AJ1807" t="str">
        <f t="shared" ref="AJ1807:AK1807" si="1799">IF($J1807&lt;&gt;"",$J1807,IF($AC1807=$AC1806,AJ1806,""))</f>
        <v/>
      </c>
      <c r="AK1807" t="str">
        <f t="shared" si="1799"/>
        <v/>
      </c>
      <c r="AL1807" t="str">
        <f t="shared" si="1767"/>
        <v/>
      </c>
      <c r="AN1807" t="s">
        <v>861</v>
      </c>
      <c r="AO1807" t="str">
        <f t="shared" si="1768"/>
        <v>h</v>
      </c>
      <c r="AP1807" t="str">
        <f t="shared" si="1776"/>
        <v/>
      </c>
      <c r="AQ1807" t="str">
        <f t="shared" si="1777"/>
        <v/>
      </c>
      <c r="AR1807" t="str">
        <f t="shared" si="1778"/>
        <v>Home</v>
      </c>
      <c r="AS1807" t="str">
        <f t="shared" si="1779"/>
        <v>h</v>
      </c>
      <c r="AT1807" t="str">
        <f t="shared" si="1780"/>
        <v>Offensive</v>
      </c>
      <c r="BA1807" s="6">
        <f t="shared" si="1769"/>
        <v>421</v>
      </c>
      <c r="BB1807">
        <f t="shared" si="1770"/>
        <v>18981</v>
      </c>
      <c r="BC1807" t="str">
        <f t="shared" si="1771"/>
        <v>Nelson</v>
      </c>
      <c r="BD1807" t="str">
        <f t="shared" si="1772"/>
        <v>Velodrome</v>
      </c>
      <c r="BE1807" t="s">
        <v>13</v>
      </c>
      <c r="BF1807" t="s">
        <v>756</v>
      </c>
      <c r="BG1807" t="s">
        <v>756</v>
      </c>
      <c r="BI1807" cm="1">
        <f t="array" aca="1" ref="BI1807" ca="1">IFERROR(_xlfn._xlws.FILTER(shifts!A:A,(shifts!B:B=events!AD1807)*(shifts!AG:AG&gt;=events!BK1807)*(shifts!AH:AH&lt;=events!BL1807)),BI1806)</f>
        <v>81</v>
      </c>
      <c r="BJ1807" s="15">
        <f t="shared" si="1773"/>
        <v>6</v>
      </c>
      <c r="BK1807">
        <f t="shared" si="1781"/>
        <v>891</v>
      </c>
      <c r="BL1807">
        <f t="shared" si="1782"/>
        <v>885</v>
      </c>
      <c r="BM1807" s="15">
        <f>SUMIFS(BJ$2:BJ1807,K$2:K1807,"=Intermission")+SUMIFS(BJ$2:BJ1807,K$2:K1807,"=Timeout")</f>
        <v>142</v>
      </c>
      <c r="BN1807">
        <f t="shared" si="1783"/>
        <v>2302</v>
      </c>
      <c r="BO1807" s="19">
        <f t="shared" si="1784"/>
        <v>2491</v>
      </c>
      <c r="BP1807">
        <f t="shared" si="1785"/>
        <v>2486</v>
      </c>
      <c r="BQ1807" s="17">
        <f t="shared" si="1786"/>
        <v>2497</v>
      </c>
      <c r="BR1807" t="str">
        <f t="shared" si="1787"/>
        <v>event_team_player_1</v>
      </c>
      <c r="BS1807">
        <f>COUNTIFS(S$3:S1807,"="&amp;S1807,AI$3:AI1807,"="&amp;AI1807)</f>
        <v>1</v>
      </c>
      <c r="BT1807" t="str">
        <f>IFERROR(VLOOKUP(BB1807&amp;BU1807&amp;X1807,game_rosters!U:W,3,FALSE),"")</f>
        <v>P100078</v>
      </c>
      <c r="BU1807" t="str">
        <f t="shared" si="1788"/>
        <v>Nelson</v>
      </c>
    </row>
    <row r="1808" spans="1:73" x14ac:dyDescent="0.2">
      <c r="A1808">
        <f t="shared" si="1774"/>
        <v>1</v>
      </c>
      <c r="J1808" s="44" t="str">
        <f t="shared" si="1789"/>
        <v/>
      </c>
      <c r="K1808" t="s">
        <v>13</v>
      </c>
      <c r="L1808" t="s">
        <v>756</v>
      </c>
      <c r="M1808" t="s">
        <v>756</v>
      </c>
      <c r="S1808">
        <v>949</v>
      </c>
      <c r="W1808" t="str">
        <f t="shared" si="1765"/>
        <v>h</v>
      </c>
      <c r="X1808">
        <v>22</v>
      </c>
      <c r="Y1808" t="e">
        <f>IF(X1808&lt;&gt;"",VLOOKUP(X1808,game_rosters!$C$43:$E$64,3,FALSE))</f>
        <v>#N/A</v>
      </c>
      <c r="Z1808" t="str" cm="1">
        <f t="array" ref="Z1808">IFERROR(IF(_xlfn._xlws.FILTER(game_rosters!$J:$J,(game_rosters!$G:$G=events!$AN1808)*(game_rosters!$J:$J=events!$X1808))&gt;0,1,""),"")</f>
        <v/>
      </c>
      <c r="AA1808">
        <f t="shared" si="1723"/>
        <v>1949</v>
      </c>
      <c r="AB1808" t="str">
        <f t="shared" si="1724"/>
        <v/>
      </c>
      <c r="AC1808">
        <f t="shared" si="1762"/>
        <v>1949</v>
      </c>
      <c r="AD1808" s="6">
        <v>3</v>
      </c>
      <c r="AE1808" t="s">
        <v>745</v>
      </c>
      <c r="AF1808" t="s">
        <v>898</v>
      </c>
      <c r="AG1808" t="s">
        <v>745</v>
      </c>
      <c r="AH1808" t="s">
        <v>935</v>
      </c>
      <c r="AI1808" t="s">
        <v>368</v>
      </c>
      <c r="AJ1808" t="str">
        <f t="shared" ref="AJ1808:AK1808" si="1800">IF($J1808&lt;&gt;"",$J1808,IF($AC1808=$AC1807,AJ1807,""))</f>
        <v/>
      </c>
      <c r="AK1808" t="str">
        <f t="shared" si="1800"/>
        <v/>
      </c>
      <c r="AL1808" t="str">
        <f t="shared" si="1767"/>
        <v/>
      </c>
      <c r="AN1808" t="s">
        <v>861</v>
      </c>
      <c r="AO1808" t="str">
        <f t="shared" si="1768"/>
        <v>h</v>
      </c>
      <c r="AP1808" t="str">
        <f t="shared" si="1776"/>
        <v/>
      </c>
      <c r="AQ1808" t="str">
        <f t="shared" si="1777"/>
        <v/>
      </c>
      <c r="AR1808" t="str">
        <f t="shared" si="1778"/>
        <v>Home</v>
      </c>
      <c r="AS1808" t="str">
        <f t="shared" si="1779"/>
        <v>h</v>
      </c>
      <c r="AT1808" t="str">
        <f t="shared" si="1780"/>
        <v>Defensive</v>
      </c>
      <c r="BA1808" s="6">
        <f t="shared" si="1769"/>
        <v>421</v>
      </c>
      <c r="BB1808">
        <f t="shared" si="1770"/>
        <v>18981</v>
      </c>
      <c r="BC1808" t="str">
        <f t="shared" si="1771"/>
        <v>Nelson</v>
      </c>
      <c r="BD1808" t="str">
        <f t="shared" si="1772"/>
        <v>Velodrome</v>
      </c>
      <c r="BE1808" t="s">
        <v>13</v>
      </c>
      <c r="BF1808" t="s">
        <v>756</v>
      </c>
      <c r="BG1808" t="s">
        <v>756</v>
      </c>
      <c r="BI1808" cm="1">
        <f t="array" aca="1" ref="BI1808" ca="1">IFERROR(_xlfn._xlws.FILTER(shifts!A:A,(shifts!B:B=events!AD1808)*(shifts!AG:AG&gt;=events!BK1808)*(shifts!AH:AH&lt;=events!BL1808)),BI1807)</f>
        <v>81</v>
      </c>
      <c r="BJ1808" s="15">
        <f t="shared" si="1773"/>
        <v>6</v>
      </c>
      <c r="BK1808">
        <f t="shared" si="1781"/>
        <v>891</v>
      </c>
      <c r="BL1808">
        <f t="shared" si="1782"/>
        <v>885</v>
      </c>
      <c r="BM1808" s="15">
        <f>SUMIFS(BJ$2:BJ1808,K$2:K1808,"=Intermission")+SUMIFS(BJ$2:BJ1808,K$2:K1808,"=Timeout")</f>
        <v>142</v>
      </c>
      <c r="BN1808">
        <f t="shared" si="1783"/>
        <v>2302</v>
      </c>
      <c r="BO1808" s="19">
        <f t="shared" si="1784"/>
        <v>2491</v>
      </c>
      <c r="BP1808">
        <f t="shared" si="1785"/>
        <v>2486</v>
      </c>
      <c r="BQ1808" s="17">
        <f t="shared" si="1786"/>
        <v>2497</v>
      </c>
      <c r="BR1808" t="str">
        <f t="shared" si="1787"/>
        <v>opp_team_player_1</v>
      </c>
      <c r="BS1808">
        <f>COUNTIFS(S$3:S1808,"="&amp;S1808,AI$3:AI1808,"="&amp;AI1808)</f>
        <v>1</v>
      </c>
      <c r="BT1808" t="str">
        <f>IFERROR(VLOOKUP(BB1808&amp;BU1808&amp;X1808,game_rosters!U:W,3,FALSE),"")</f>
        <v>P100108</v>
      </c>
      <c r="BU1808" t="str">
        <f t="shared" si="1788"/>
        <v>Velodrome</v>
      </c>
    </row>
    <row r="1809" spans="1:73" x14ac:dyDescent="0.2">
      <c r="A1809">
        <f t="shared" si="1774"/>
        <v>1</v>
      </c>
      <c r="J1809" s="44" t="str">
        <f t="shared" si="1789"/>
        <v/>
      </c>
      <c r="K1809" t="s">
        <v>7</v>
      </c>
      <c r="L1809" t="s">
        <v>172</v>
      </c>
      <c r="M1809" t="s">
        <v>68</v>
      </c>
      <c r="S1809">
        <v>950</v>
      </c>
      <c r="W1809" t="str">
        <f t="shared" si="1765"/>
        <v>h</v>
      </c>
      <c r="X1809">
        <v>10</v>
      </c>
      <c r="Y1809" t="b">
        <f>IF(X1809&lt;&gt;"",VLOOKUP(X1809,game_rosters!$C$43:$E$64,3,FALSE))</f>
        <v>0</v>
      </c>
      <c r="Z1809" cm="1">
        <f t="array" ref="Z1809">IFERROR(IF(_xlfn._xlws.FILTER(game_rosters!$J:$J,(game_rosters!$G:$G=events!$AN1809)*(game_rosters!$J:$J=events!$X1809))&gt;0,1,""),"")</f>
        <v>1</v>
      </c>
      <c r="AA1809">
        <f t="shared" si="1723"/>
        <v>1950</v>
      </c>
      <c r="AB1809" t="str">
        <f t="shared" si="1724"/>
        <v/>
      </c>
      <c r="AC1809">
        <f t="shared" si="1762"/>
        <v>1950</v>
      </c>
      <c r="AD1809" s="6">
        <v>3</v>
      </c>
      <c r="AE1809" t="s">
        <v>745</v>
      </c>
      <c r="AF1809" t="s">
        <v>935</v>
      </c>
      <c r="AG1809" t="s">
        <v>756</v>
      </c>
      <c r="AH1809" t="s">
        <v>756</v>
      </c>
      <c r="AI1809" t="s">
        <v>367</v>
      </c>
      <c r="AJ1809" t="str">
        <f t="shared" ref="AJ1809:AK1809" si="1801">IF($J1809&lt;&gt;"",$J1809,IF($AC1809=$AC1808,AJ1808,""))</f>
        <v/>
      </c>
      <c r="AK1809" t="str">
        <f t="shared" si="1801"/>
        <v/>
      </c>
      <c r="AL1809" t="str">
        <f t="shared" si="1767"/>
        <v/>
      </c>
      <c r="AN1809" t="s">
        <v>861</v>
      </c>
      <c r="AO1809" t="str">
        <f t="shared" si="1768"/>
        <v>h</v>
      </c>
      <c r="AP1809" t="str">
        <f t="shared" si="1776"/>
        <v/>
      </c>
      <c r="AQ1809" t="str">
        <f t="shared" si="1777"/>
        <v/>
      </c>
      <c r="AR1809" t="str">
        <f t="shared" si="1778"/>
        <v>Home</v>
      </c>
      <c r="AS1809" t="str">
        <f t="shared" si="1779"/>
        <v>h</v>
      </c>
      <c r="AT1809" t="str">
        <f t="shared" si="1780"/>
        <v>Offensive</v>
      </c>
      <c r="BA1809" s="6">
        <f t="shared" si="1769"/>
        <v>421</v>
      </c>
      <c r="BB1809">
        <f t="shared" si="1770"/>
        <v>18981</v>
      </c>
      <c r="BC1809" t="str">
        <f t="shared" si="1771"/>
        <v>Nelson</v>
      </c>
      <c r="BD1809" t="str">
        <f t="shared" si="1772"/>
        <v>Velodrome</v>
      </c>
      <c r="BE1809" t="s">
        <v>7</v>
      </c>
      <c r="BF1809" t="s">
        <v>172</v>
      </c>
      <c r="BG1809" t="s">
        <v>68</v>
      </c>
      <c r="BI1809" cm="1">
        <f t="array" aca="1" ref="BI1809" ca="1">IFERROR(_xlfn._xlws.FILTER(shifts!A:A,(shifts!B:B=events!AD1809)*(shifts!AG:AG&gt;=events!BK1809)*(shifts!AH:AH&lt;=events!BL1809)),BI1808)</f>
        <v>81</v>
      </c>
      <c r="BJ1809" s="15">
        <f t="shared" si="1773"/>
        <v>0</v>
      </c>
      <c r="BK1809">
        <f t="shared" si="1781"/>
        <v>885</v>
      </c>
      <c r="BL1809">
        <f t="shared" si="1782"/>
        <v>885</v>
      </c>
      <c r="BM1809" s="15">
        <f>SUMIFS(BJ$2:BJ1809,K$2:K1809,"=Intermission")+SUMIFS(BJ$2:BJ1809,K$2:K1809,"=Timeout")</f>
        <v>142</v>
      </c>
      <c r="BN1809">
        <f t="shared" si="1783"/>
        <v>2302</v>
      </c>
      <c r="BO1809" s="19">
        <f t="shared" si="1784"/>
        <v>2497</v>
      </c>
      <c r="BP1809">
        <f t="shared" si="1785"/>
        <v>2492</v>
      </c>
      <c r="BQ1809" s="17">
        <f t="shared" si="1786"/>
        <v>2497</v>
      </c>
      <c r="BR1809" t="str">
        <f t="shared" si="1787"/>
        <v>event_team_player_1</v>
      </c>
      <c r="BS1809">
        <f>COUNTIFS(S$3:S1809,"="&amp;S1809,AI$3:AI1809,"="&amp;AI1809)</f>
        <v>1</v>
      </c>
      <c r="BT1809" t="str">
        <f>IFERROR(VLOOKUP(BB1809&amp;BU1809&amp;X1809,game_rosters!U:W,3,FALSE),"")</f>
        <v>P100078</v>
      </c>
      <c r="BU1809" t="str">
        <f t="shared" si="1788"/>
        <v>Nelson</v>
      </c>
    </row>
    <row r="1810" spans="1:73" x14ac:dyDescent="0.2">
      <c r="A1810">
        <f t="shared" si="1774"/>
        <v>1</v>
      </c>
      <c r="J1810" s="44" t="str">
        <f t="shared" si="1789"/>
        <v/>
      </c>
      <c r="K1810" t="s">
        <v>7</v>
      </c>
      <c r="L1810" t="s">
        <v>172</v>
      </c>
      <c r="M1810" t="s">
        <v>68</v>
      </c>
      <c r="S1810">
        <v>950</v>
      </c>
      <c r="W1810" t="str">
        <f t="shared" si="1765"/>
        <v>h</v>
      </c>
      <c r="X1810">
        <v>23</v>
      </c>
      <c r="Y1810" t="b">
        <f>IF(X1810&lt;&gt;"",VLOOKUP(X1810,game_rosters!$C$43:$E$64,3,FALSE))</f>
        <v>0</v>
      </c>
      <c r="Z1810" cm="1">
        <f t="array" ref="Z1810">IFERROR(IF(_xlfn._xlws.FILTER(game_rosters!$J:$J,(game_rosters!$G:$G=events!$AN1810)*(game_rosters!$J:$J=events!$X1810))&gt;0,1,""),"")</f>
        <v>1</v>
      </c>
      <c r="AA1810">
        <f t="shared" si="1723"/>
        <v>1950</v>
      </c>
      <c r="AB1810" t="str">
        <f t="shared" si="1724"/>
        <v/>
      </c>
      <c r="AC1810">
        <f t="shared" si="1762"/>
        <v>1950</v>
      </c>
      <c r="AD1810" s="6">
        <v>3</v>
      </c>
      <c r="AE1810" t="s">
        <v>745</v>
      </c>
      <c r="AF1810" t="s">
        <v>935</v>
      </c>
      <c r="AG1810" t="s">
        <v>756</v>
      </c>
      <c r="AH1810" t="s">
        <v>756</v>
      </c>
      <c r="AI1810" t="s">
        <v>367</v>
      </c>
      <c r="AJ1810" t="str">
        <f t="shared" ref="AJ1810:AK1810" si="1802">IF($J1810&lt;&gt;"",$J1810,IF($AC1810=$AC1809,AJ1809,""))</f>
        <v/>
      </c>
      <c r="AK1810" t="str">
        <f t="shared" si="1802"/>
        <v/>
      </c>
      <c r="AL1810" t="str">
        <f t="shared" si="1767"/>
        <v/>
      </c>
      <c r="AN1810" t="s">
        <v>861</v>
      </c>
      <c r="AO1810" t="str">
        <f t="shared" si="1768"/>
        <v>h</v>
      </c>
      <c r="AP1810" t="str">
        <f t="shared" si="1776"/>
        <v/>
      </c>
      <c r="AQ1810" t="str">
        <f t="shared" si="1777"/>
        <v/>
      </c>
      <c r="AR1810" t="str">
        <f t="shared" si="1778"/>
        <v>Home</v>
      </c>
      <c r="AS1810" t="str">
        <f t="shared" si="1779"/>
        <v>h</v>
      </c>
      <c r="AT1810" t="str">
        <f t="shared" si="1780"/>
        <v>Offensive</v>
      </c>
      <c r="BA1810" s="6">
        <f t="shared" si="1769"/>
        <v>421</v>
      </c>
      <c r="BB1810">
        <f t="shared" si="1770"/>
        <v>18981</v>
      </c>
      <c r="BC1810" t="str">
        <f t="shared" si="1771"/>
        <v>Nelson</v>
      </c>
      <c r="BD1810" t="str">
        <f t="shared" si="1772"/>
        <v>Velodrome</v>
      </c>
      <c r="BE1810" t="s">
        <v>7</v>
      </c>
      <c r="BF1810" t="s">
        <v>172</v>
      </c>
      <c r="BG1810" t="s">
        <v>68</v>
      </c>
      <c r="BI1810" cm="1">
        <f t="array" aca="1" ref="BI1810" ca="1">IFERROR(_xlfn._xlws.FILTER(shifts!A:A,(shifts!B:B=events!AD1810)*(shifts!AG:AG&gt;=events!BK1810)*(shifts!AH:AH&lt;=events!BL1810)),BI1809)</f>
        <v>81</v>
      </c>
      <c r="BJ1810" s="15">
        <f t="shared" si="1773"/>
        <v>0</v>
      </c>
      <c r="BK1810">
        <f t="shared" si="1781"/>
        <v>885</v>
      </c>
      <c r="BL1810">
        <f t="shared" si="1782"/>
        <v>885</v>
      </c>
      <c r="BM1810" s="15">
        <f>SUMIFS(BJ$2:BJ1810,K$2:K1810,"=Intermission")+SUMIFS(BJ$2:BJ1810,K$2:K1810,"=Timeout")</f>
        <v>142</v>
      </c>
      <c r="BN1810">
        <f t="shared" si="1783"/>
        <v>2302</v>
      </c>
      <c r="BO1810" s="19">
        <f t="shared" si="1784"/>
        <v>2497</v>
      </c>
      <c r="BP1810">
        <f t="shared" si="1785"/>
        <v>2492</v>
      </c>
      <c r="BQ1810" s="17">
        <f t="shared" si="1786"/>
        <v>2497</v>
      </c>
      <c r="BR1810" t="str">
        <f t="shared" si="1787"/>
        <v>event_team_player_2</v>
      </c>
      <c r="BS1810">
        <f>COUNTIFS(S$3:S1810,"="&amp;S1810,AI$3:AI1810,"="&amp;AI1810)</f>
        <v>2</v>
      </c>
      <c r="BT1810" t="str">
        <f>IFERROR(VLOOKUP(BB1810&amp;BU1810&amp;X1810,game_rosters!U:W,3,FALSE),"")</f>
        <v>P100061</v>
      </c>
      <c r="BU1810" t="str">
        <f t="shared" si="1788"/>
        <v>Nelson</v>
      </c>
    </row>
    <row r="1811" spans="1:73" x14ac:dyDescent="0.2">
      <c r="A1811">
        <f t="shared" si="1774"/>
        <v>1</v>
      </c>
      <c r="J1811" s="44" t="str">
        <f t="shared" si="1789"/>
        <v/>
      </c>
      <c r="K1811" t="s">
        <v>13</v>
      </c>
      <c r="L1811" t="s">
        <v>756</v>
      </c>
      <c r="M1811" t="s">
        <v>756</v>
      </c>
      <c r="S1811">
        <v>951</v>
      </c>
      <c r="W1811" t="str">
        <f t="shared" si="1765"/>
        <v>h</v>
      </c>
      <c r="X1811">
        <v>23</v>
      </c>
      <c r="Y1811" t="b">
        <f>IF(X1811&lt;&gt;"",VLOOKUP(X1811,game_rosters!$C$43:$E$64,3,FALSE))</f>
        <v>0</v>
      </c>
      <c r="Z1811" cm="1">
        <f t="array" ref="Z1811">IFERROR(IF(_xlfn._xlws.FILTER(game_rosters!$J:$J,(game_rosters!$G:$G=events!$AN1811)*(game_rosters!$J:$J=events!$X1811))&gt;0,1,""),"")</f>
        <v>1</v>
      </c>
      <c r="AA1811">
        <f t="shared" si="1723"/>
        <v>1951</v>
      </c>
      <c r="AB1811" t="str">
        <f t="shared" si="1724"/>
        <v/>
      </c>
      <c r="AC1811">
        <f t="shared" si="1762"/>
        <v>1951</v>
      </c>
      <c r="AD1811" s="6">
        <v>3</v>
      </c>
      <c r="AE1811" t="s">
        <v>745</v>
      </c>
      <c r="AF1811" t="s">
        <v>935</v>
      </c>
      <c r="AG1811" t="s">
        <v>745</v>
      </c>
      <c r="AH1811" t="s">
        <v>902</v>
      </c>
      <c r="AI1811" t="s">
        <v>367</v>
      </c>
      <c r="AJ1811" t="str">
        <f t="shared" ref="AJ1811:AK1811" si="1803">IF($J1811&lt;&gt;"",$J1811,IF($AC1811=$AC1810,AJ1810,""))</f>
        <v/>
      </c>
      <c r="AK1811" t="str">
        <f t="shared" si="1803"/>
        <v/>
      </c>
      <c r="AL1811" t="str">
        <f t="shared" si="1767"/>
        <v/>
      </c>
      <c r="AN1811" t="s">
        <v>861</v>
      </c>
      <c r="AO1811" t="str">
        <f t="shared" si="1768"/>
        <v>h</v>
      </c>
      <c r="AP1811" t="str">
        <f t="shared" si="1776"/>
        <v/>
      </c>
      <c r="AQ1811" t="str">
        <f t="shared" si="1777"/>
        <v/>
      </c>
      <c r="AR1811" t="str">
        <f t="shared" si="1778"/>
        <v>Home</v>
      </c>
      <c r="AS1811" t="str">
        <f t="shared" si="1779"/>
        <v>h</v>
      </c>
      <c r="AT1811" t="str">
        <f t="shared" si="1780"/>
        <v>Offensive</v>
      </c>
      <c r="BA1811" s="6">
        <f t="shared" si="1769"/>
        <v>421</v>
      </c>
      <c r="BB1811">
        <f t="shared" si="1770"/>
        <v>18981</v>
      </c>
      <c r="BC1811" t="str">
        <f t="shared" si="1771"/>
        <v>Nelson</v>
      </c>
      <c r="BD1811" t="str">
        <f t="shared" si="1772"/>
        <v>Velodrome</v>
      </c>
      <c r="BE1811" t="s">
        <v>13</v>
      </c>
      <c r="BF1811" t="s">
        <v>756</v>
      </c>
      <c r="BG1811" t="s">
        <v>756</v>
      </c>
      <c r="BI1811" cm="1">
        <f t="array" aca="1" ref="BI1811" ca="1">IFERROR(_xlfn._xlws.FILTER(shifts!A:A,(shifts!B:B=events!AD1811)*(shifts!AG:AG&gt;=events!BK1811)*(shifts!AH:AH&lt;=events!BL1811)),BI1810)</f>
        <v>81</v>
      </c>
      <c r="BJ1811" s="15">
        <f t="shared" si="1773"/>
        <v>3</v>
      </c>
      <c r="BK1811">
        <f t="shared" si="1781"/>
        <v>885</v>
      </c>
      <c r="BL1811">
        <f t="shared" si="1782"/>
        <v>882</v>
      </c>
      <c r="BM1811" s="15">
        <f>SUMIFS(BJ$2:BJ1811,K$2:K1811,"=Intermission")+SUMIFS(BJ$2:BJ1811,K$2:K1811,"=Timeout")</f>
        <v>142</v>
      </c>
      <c r="BN1811">
        <f t="shared" si="1783"/>
        <v>2302</v>
      </c>
      <c r="BO1811" s="19">
        <f t="shared" si="1784"/>
        <v>2497</v>
      </c>
      <c r="BP1811">
        <f t="shared" si="1785"/>
        <v>2492</v>
      </c>
      <c r="BQ1811" s="17">
        <f t="shared" si="1786"/>
        <v>2500</v>
      </c>
      <c r="BR1811" t="str">
        <f t="shared" si="1787"/>
        <v>event_team_player_1</v>
      </c>
      <c r="BS1811">
        <f>COUNTIFS(S$3:S1811,"="&amp;S1811,AI$3:AI1811,"="&amp;AI1811)</f>
        <v>1</v>
      </c>
      <c r="BT1811" t="str">
        <f>IFERROR(VLOOKUP(BB1811&amp;BU1811&amp;X1811,game_rosters!U:W,3,FALSE),"")</f>
        <v>P100061</v>
      </c>
      <c r="BU1811" t="str">
        <f t="shared" si="1788"/>
        <v>Nelson</v>
      </c>
    </row>
    <row r="1812" spans="1:73" x14ac:dyDescent="0.2">
      <c r="A1812">
        <f t="shared" si="1774"/>
        <v>1</v>
      </c>
      <c r="J1812" s="44" t="str">
        <f t="shared" si="1789"/>
        <v>o</v>
      </c>
      <c r="K1812" t="s">
        <v>6</v>
      </c>
      <c r="L1812" t="s">
        <v>191</v>
      </c>
      <c r="M1812" t="s">
        <v>51</v>
      </c>
      <c r="S1812">
        <v>952</v>
      </c>
      <c r="W1812" t="str">
        <f t="shared" si="1765"/>
        <v>h</v>
      </c>
      <c r="X1812">
        <v>23</v>
      </c>
      <c r="Y1812" t="b">
        <f>IF(X1812&lt;&gt;"",VLOOKUP(X1812,game_rosters!$C$43:$E$64,3,FALSE))</f>
        <v>0</v>
      </c>
      <c r="Z1812" cm="1">
        <f t="array" ref="Z1812">IFERROR(IF(_xlfn._xlws.FILTER(game_rosters!$J:$J,(game_rosters!$G:$G=events!$AN1812)*(game_rosters!$J:$J=events!$X1812))&gt;0,1,""),"")</f>
        <v>1</v>
      </c>
      <c r="AA1812">
        <f t="shared" si="1723"/>
        <v>1952</v>
      </c>
      <c r="AB1812" t="str">
        <f t="shared" si="1724"/>
        <v/>
      </c>
      <c r="AC1812">
        <f t="shared" si="1762"/>
        <v>1952</v>
      </c>
      <c r="AD1812" s="6">
        <v>3</v>
      </c>
      <c r="AE1812" t="s">
        <v>745</v>
      </c>
      <c r="AF1812" t="s">
        <v>902</v>
      </c>
      <c r="AG1812" t="s">
        <v>756</v>
      </c>
      <c r="AH1812" t="s">
        <v>756</v>
      </c>
      <c r="AI1812" t="s">
        <v>367</v>
      </c>
      <c r="AJ1812" t="str">
        <f t="shared" ref="AJ1812:AK1812" si="1804">IF($J1812&lt;&gt;"",$J1812,IF($AC1812=$AC1811,AJ1811,""))</f>
        <v>o</v>
      </c>
      <c r="AK1812" t="str">
        <f t="shared" si="1804"/>
        <v>o</v>
      </c>
      <c r="AL1812" t="str">
        <f t="shared" si="1767"/>
        <v>o</v>
      </c>
      <c r="AN1812" t="s">
        <v>861</v>
      </c>
      <c r="AO1812" t="str">
        <f t="shared" si="1768"/>
        <v>h</v>
      </c>
      <c r="AP1812" t="str">
        <f t="shared" si="1776"/>
        <v>o</v>
      </c>
      <c r="AQ1812" t="str">
        <f t="shared" si="1777"/>
        <v/>
      </c>
      <c r="AR1812" t="str">
        <f t="shared" si="1778"/>
        <v>Home</v>
      </c>
      <c r="AS1812" t="str">
        <f t="shared" si="1779"/>
        <v>h</v>
      </c>
      <c r="AT1812" t="str">
        <f t="shared" si="1780"/>
        <v>Offensive</v>
      </c>
      <c r="BA1812" s="6">
        <f t="shared" si="1769"/>
        <v>421</v>
      </c>
      <c r="BB1812">
        <f t="shared" si="1770"/>
        <v>18981</v>
      </c>
      <c r="BC1812" t="str">
        <f t="shared" si="1771"/>
        <v>Nelson</v>
      </c>
      <c r="BD1812" t="str">
        <f t="shared" si="1772"/>
        <v>Velodrome</v>
      </c>
      <c r="BE1812" t="s">
        <v>6</v>
      </c>
      <c r="BF1812" t="s">
        <v>191</v>
      </c>
      <c r="BG1812" t="s">
        <v>51</v>
      </c>
      <c r="BI1812" cm="1">
        <f t="array" aca="1" ref="BI1812" ca="1">IFERROR(_xlfn._xlws.FILTER(shifts!A:A,(shifts!B:B=events!AD1812)*(shifts!AG:AG&gt;=events!BK1812)*(shifts!AH:AH&lt;=events!BL1812)),BI1811)</f>
        <v>81</v>
      </c>
      <c r="BJ1812" s="15">
        <f t="shared" si="1773"/>
        <v>0</v>
      </c>
      <c r="BK1812">
        <f t="shared" si="1781"/>
        <v>882</v>
      </c>
      <c r="BL1812">
        <f t="shared" si="1782"/>
        <v>882</v>
      </c>
      <c r="BM1812" s="15">
        <f>SUMIFS(BJ$2:BJ1812,K$2:K1812,"=Intermission")+SUMIFS(BJ$2:BJ1812,K$2:K1812,"=Timeout")</f>
        <v>142</v>
      </c>
      <c r="BN1812">
        <f t="shared" si="1783"/>
        <v>2302</v>
      </c>
      <c r="BO1812" s="19">
        <f t="shared" si="1784"/>
        <v>2500</v>
      </c>
      <c r="BP1812">
        <f t="shared" si="1785"/>
        <v>2495</v>
      </c>
      <c r="BQ1812" s="17">
        <f t="shared" si="1786"/>
        <v>2500</v>
      </c>
      <c r="BR1812" t="str">
        <f t="shared" si="1787"/>
        <v>event_team_player_1</v>
      </c>
      <c r="BS1812">
        <f>COUNTIFS(S$3:S1812,"="&amp;S1812,AI$3:AI1812,"="&amp;AI1812)</f>
        <v>1</v>
      </c>
      <c r="BT1812" t="str">
        <f>IFERROR(VLOOKUP(BB1812&amp;BU1812&amp;X1812,game_rosters!U:W,3,FALSE),"")</f>
        <v>P100061</v>
      </c>
      <c r="BU1812" t="str">
        <f t="shared" si="1788"/>
        <v>Nelson</v>
      </c>
    </row>
    <row r="1813" spans="1:73" x14ac:dyDescent="0.2">
      <c r="A1813">
        <f t="shared" si="1774"/>
        <v>1</v>
      </c>
      <c r="J1813" s="44" t="str">
        <f t="shared" si="1789"/>
        <v>o</v>
      </c>
      <c r="K1813" t="s">
        <v>6</v>
      </c>
      <c r="L1813" t="s">
        <v>191</v>
      </c>
      <c r="M1813" t="s">
        <v>51</v>
      </c>
      <c r="S1813">
        <v>952</v>
      </c>
      <c r="W1813" t="str">
        <f t="shared" si="1765"/>
        <v>h</v>
      </c>
      <c r="X1813">
        <v>22</v>
      </c>
      <c r="Y1813" t="e">
        <f>IF(X1813&lt;&gt;"",VLOOKUP(X1813,game_rosters!$C$43:$E$64,3,FALSE))</f>
        <v>#N/A</v>
      </c>
      <c r="Z1813" t="str" cm="1">
        <f t="array" ref="Z1813">IFERROR(IF(_xlfn._xlws.FILTER(game_rosters!$J:$J,(game_rosters!$G:$G=events!$AN1813)*(game_rosters!$J:$J=events!$X1813))&gt;0,1,""),"")</f>
        <v/>
      </c>
      <c r="AA1813">
        <f t="shared" si="1723"/>
        <v>1952</v>
      </c>
      <c r="AB1813" t="str">
        <f t="shared" si="1724"/>
        <v/>
      </c>
      <c r="AC1813">
        <f t="shared" si="1762"/>
        <v>1952</v>
      </c>
      <c r="AD1813" s="6">
        <v>3</v>
      </c>
      <c r="AE1813" t="s">
        <v>745</v>
      </c>
      <c r="AF1813" t="s">
        <v>902</v>
      </c>
      <c r="AG1813" t="s">
        <v>756</v>
      </c>
      <c r="AH1813" t="s">
        <v>756</v>
      </c>
      <c r="AI1813" t="s">
        <v>368</v>
      </c>
      <c r="AJ1813" t="str">
        <f t="shared" ref="AJ1813:AK1813" si="1805">IF($J1813&lt;&gt;"",$J1813,IF($AC1813=$AC1812,AJ1812,""))</f>
        <v>o</v>
      </c>
      <c r="AK1813" t="str">
        <f t="shared" si="1805"/>
        <v>o</v>
      </c>
      <c r="AL1813" t="str">
        <f t="shared" si="1767"/>
        <v>o</v>
      </c>
      <c r="AN1813" t="s">
        <v>861</v>
      </c>
      <c r="AO1813" t="str">
        <f t="shared" si="1768"/>
        <v>h</v>
      </c>
      <c r="AP1813" t="str">
        <f t="shared" si="1776"/>
        <v>o</v>
      </c>
      <c r="AQ1813" t="str">
        <f t="shared" si="1777"/>
        <v/>
      </c>
      <c r="AR1813" t="str">
        <f t="shared" si="1778"/>
        <v>Home</v>
      </c>
      <c r="AS1813" t="str">
        <f t="shared" si="1779"/>
        <v>h</v>
      </c>
      <c r="AT1813" t="str">
        <f t="shared" si="1780"/>
        <v>Defensive</v>
      </c>
      <c r="BA1813" s="6">
        <f t="shared" si="1769"/>
        <v>421</v>
      </c>
      <c r="BB1813">
        <f t="shared" si="1770"/>
        <v>18981</v>
      </c>
      <c r="BC1813" t="str">
        <f t="shared" si="1771"/>
        <v>Nelson</v>
      </c>
      <c r="BD1813" t="str">
        <f t="shared" si="1772"/>
        <v>Velodrome</v>
      </c>
      <c r="BE1813" t="s">
        <v>6</v>
      </c>
      <c r="BF1813" t="s">
        <v>191</v>
      </c>
      <c r="BG1813" t="s">
        <v>51</v>
      </c>
      <c r="BI1813" cm="1">
        <f t="array" aca="1" ref="BI1813" ca="1">IFERROR(_xlfn._xlws.FILTER(shifts!A:A,(shifts!B:B=events!AD1813)*(shifts!AG:AG&gt;=events!BK1813)*(shifts!AH:AH&lt;=events!BL1813)),BI1812)</f>
        <v>81</v>
      </c>
      <c r="BJ1813" s="15">
        <f t="shared" si="1773"/>
        <v>0</v>
      </c>
      <c r="BK1813">
        <f t="shared" si="1781"/>
        <v>882</v>
      </c>
      <c r="BL1813">
        <f t="shared" si="1782"/>
        <v>882</v>
      </c>
      <c r="BM1813" s="15">
        <f>SUMIFS(BJ$2:BJ1813,K$2:K1813,"=Intermission")+SUMIFS(BJ$2:BJ1813,K$2:K1813,"=Timeout")</f>
        <v>142</v>
      </c>
      <c r="BN1813">
        <f t="shared" si="1783"/>
        <v>2302</v>
      </c>
      <c r="BO1813" s="19">
        <f t="shared" si="1784"/>
        <v>2500</v>
      </c>
      <c r="BP1813">
        <f t="shared" si="1785"/>
        <v>2495</v>
      </c>
      <c r="BQ1813" s="17">
        <f t="shared" si="1786"/>
        <v>2500</v>
      </c>
      <c r="BR1813" t="str">
        <f t="shared" si="1787"/>
        <v>opp_team_player_1</v>
      </c>
      <c r="BS1813">
        <f>COUNTIFS(S$3:S1813,"="&amp;S1813,AI$3:AI1813,"="&amp;AI1813)</f>
        <v>1</v>
      </c>
      <c r="BT1813" t="str">
        <f>IFERROR(VLOOKUP(BB1813&amp;BU1813&amp;X1813,game_rosters!U:W,3,FALSE),"")</f>
        <v>P100108</v>
      </c>
      <c r="BU1813" t="str">
        <f t="shared" si="1788"/>
        <v>Velodrome</v>
      </c>
    </row>
    <row r="1814" spans="1:73" x14ac:dyDescent="0.2">
      <c r="A1814">
        <f t="shared" si="1774"/>
        <v>1</v>
      </c>
      <c r="J1814" s="44" t="str">
        <f t="shared" si="1789"/>
        <v/>
      </c>
      <c r="K1814" t="s">
        <v>9</v>
      </c>
      <c r="L1814" t="s">
        <v>173</v>
      </c>
      <c r="M1814" t="s">
        <v>76</v>
      </c>
      <c r="S1814">
        <v>953</v>
      </c>
      <c r="W1814" t="str">
        <f t="shared" si="1765"/>
        <v>h</v>
      </c>
      <c r="X1814">
        <v>23</v>
      </c>
      <c r="Y1814" t="b">
        <f>IF(X1814&lt;&gt;"",VLOOKUP(X1814,game_rosters!$C$43:$E$64,3,FALSE))</f>
        <v>0</v>
      </c>
      <c r="Z1814" cm="1">
        <f t="array" ref="Z1814">IFERROR(IF(_xlfn._xlws.FILTER(game_rosters!$J:$J,(game_rosters!$G:$G=events!$AN1814)*(game_rosters!$J:$J=events!$X1814))&gt;0,1,""),"")</f>
        <v>1</v>
      </c>
      <c r="AA1814">
        <f t="shared" si="1723"/>
        <v>1953</v>
      </c>
      <c r="AB1814" t="str">
        <f t="shared" si="1724"/>
        <v/>
      </c>
      <c r="AC1814">
        <f t="shared" si="1762"/>
        <v>1953</v>
      </c>
      <c r="AD1814" s="6">
        <v>3</v>
      </c>
      <c r="AE1814" t="s">
        <v>745</v>
      </c>
      <c r="AF1814" t="s">
        <v>903</v>
      </c>
      <c r="AG1814" t="s">
        <v>756</v>
      </c>
      <c r="AH1814" t="s">
        <v>756</v>
      </c>
      <c r="AI1814" t="s">
        <v>367</v>
      </c>
      <c r="AJ1814" t="str">
        <f t="shared" ref="AJ1814:AK1814" si="1806">IF($J1814&lt;&gt;"",$J1814,IF($AC1814=$AC1813,AJ1813,""))</f>
        <v/>
      </c>
      <c r="AK1814" t="str">
        <f t="shared" si="1806"/>
        <v/>
      </c>
      <c r="AL1814" t="str">
        <f t="shared" si="1767"/>
        <v/>
      </c>
      <c r="AN1814" t="s">
        <v>861</v>
      </c>
      <c r="AO1814" t="str">
        <f t="shared" si="1768"/>
        <v>h</v>
      </c>
      <c r="AP1814" t="str">
        <f t="shared" si="1776"/>
        <v/>
      </c>
      <c r="AQ1814" t="str">
        <f t="shared" si="1777"/>
        <v/>
      </c>
      <c r="AR1814" t="str">
        <f t="shared" si="1778"/>
        <v>Home</v>
      </c>
      <c r="AS1814" t="str">
        <f t="shared" si="1779"/>
        <v>h</v>
      </c>
      <c r="AT1814" t="str">
        <f t="shared" si="1780"/>
        <v>Offensive</v>
      </c>
      <c r="BA1814" s="6">
        <f t="shared" si="1769"/>
        <v>421</v>
      </c>
      <c r="BB1814">
        <f t="shared" si="1770"/>
        <v>18981</v>
      </c>
      <c r="BC1814" t="str">
        <f t="shared" si="1771"/>
        <v>Nelson</v>
      </c>
      <c r="BD1814" t="str">
        <f t="shared" si="1772"/>
        <v>Velodrome</v>
      </c>
      <c r="BE1814" t="s">
        <v>9</v>
      </c>
      <c r="BF1814" t="s">
        <v>173</v>
      </c>
      <c r="BG1814" t="s">
        <v>76</v>
      </c>
      <c r="BI1814" cm="1">
        <f t="array" aca="1" ref="BI1814" ca="1">IFERROR(_xlfn._xlws.FILTER(shifts!A:A,(shifts!B:B=events!AD1814)*(shifts!AG:AG&gt;=events!BK1814)*(shifts!AH:AH&lt;=events!BL1814)),BI1813)</f>
        <v>81</v>
      </c>
      <c r="BJ1814" s="15">
        <f t="shared" si="1773"/>
        <v>0</v>
      </c>
      <c r="BK1814">
        <f t="shared" si="1781"/>
        <v>880</v>
      </c>
      <c r="BL1814">
        <f t="shared" si="1782"/>
        <v>880</v>
      </c>
      <c r="BM1814" s="15">
        <f>SUMIFS(BJ$2:BJ1814,K$2:K1814,"=Intermission")+SUMIFS(BJ$2:BJ1814,K$2:K1814,"=Timeout")</f>
        <v>142</v>
      </c>
      <c r="BN1814">
        <f t="shared" si="1783"/>
        <v>2302</v>
      </c>
      <c r="BO1814" s="19">
        <f t="shared" si="1784"/>
        <v>2502</v>
      </c>
      <c r="BP1814">
        <f t="shared" si="1785"/>
        <v>2497</v>
      </c>
      <c r="BQ1814" s="17">
        <f t="shared" si="1786"/>
        <v>2502</v>
      </c>
      <c r="BR1814" t="str">
        <f t="shared" si="1787"/>
        <v>event_team_player_1</v>
      </c>
      <c r="BS1814">
        <f>COUNTIFS(S$3:S1814,"="&amp;S1814,AI$3:AI1814,"="&amp;AI1814)</f>
        <v>1</v>
      </c>
      <c r="BT1814" t="str">
        <f>IFERROR(VLOOKUP(BB1814&amp;BU1814&amp;X1814,game_rosters!U:W,3,FALSE),"")</f>
        <v>P100061</v>
      </c>
      <c r="BU1814" t="str">
        <f t="shared" si="1788"/>
        <v>Nelson</v>
      </c>
    </row>
    <row r="1815" spans="1:73" x14ac:dyDescent="0.2">
      <c r="A1815">
        <f t="shared" si="1774"/>
        <v>1</v>
      </c>
      <c r="J1815" s="44" t="str">
        <f t="shared" si="1789"/>
        <v/>
      </c>
      <c r="K1815" t="s">
        <v>13</v>
      </c>
      <c r="L1815" t="s">
        <v>756</v>
      </c>
      <c r="M1815" t="s">
        <v>756</v>
      </c>
      <c r="S1815">
        <v>954</v>
      </c>
      <c r="W1815" t="str">
        <f t="shared" si="1765"/>
        <v>a</v>
      </c>
      <c r="X1815">
        <v>42</v>
      </c>
      <c r="Y1815" t="e">
        <f>IF(X1815&lt;&gt;"",VLOOKUP(X1815,game_rosters!$C$43:$E$64,3,FALSE))</f>
        <v>#N/A</v>
      </c>
      <c r="Z1815" cm="1">
        <f t="array" ref="Z1815">IFERROR(IF(_xlfn._xlws.FILTER(game_rosters!$J:$J,(game_rosters!$G:$G=events!$AN1815)*(game_rosters!$J:$J=events!$X1815))&gt;0,1,""),"")</f>
        <v>1</v>
      </c>
      <c r="AA1815">
        <f t="shared" si="1723"/>
        <v>1954</v>
      </c>
      <c r="AB1815" t="str">
        <f t="shared" si="1724"/>
        <v/>
      </c>
      <c r="AC1815">
        <f t="shared" si="1762"/>
        <v>1954</v>
      </c>
      <c r="AD1815" s="6">
        <v>3</v>
      </c>
      <c r="AE1815" t="s">
        <v>745</v>
      </c>
      <c r="AF1815" t="s">
        <v>749</v>
      </c>
      <c r="AG1815" t="s">
        <v>745</v>
      </c>
      <c r="AH1815" t="s">
        <v>750</v>
      </c>
      <c r="AI1815" t="s">
        <v>367</v>
      </c>
      <c r="AJ1815" t="str">
        <f t="shared" ref="AJ1815:AK1815" si="1807">IF($J1815&lt;&gt;"",$J1815,IF($AC1815=$AC1814,AJ1814,""))</f>
        <v/>
      </c>
      <c r="AK1815" t="str">
        <f t="shared" si="1807"/>
        <v/>
      </c>
      <c r="AL1815" t="str">
        <f t="shared" si="1767"/>
        <v/>
      </c>
      <c r="AN1815" t="s">
        <v>862</v>
      </c>
      <c r="AO1815" t="str">
        <f t="shared" si="1768"/>
        <v>a</v>
      </c>
      <c r="AP1815" t="str">
        <f t="shared" si="1776"/>
        <v/>
      </c>
      <c r="AQ1815" t="str">
        <f t="shared" si="1777"/>
        <v/>
      </c>
      <c r="AR1815" t="str">
        <f t="shared" si="1778"/>
        <v>Away</v>
      </c>
      <c r="AS1815" t="str">
        <f t="shared" si="1779"/>
        <v>a</v>
      </c>
      <c r="AT1815" t="str">
        <f t="shared" si="1780"/>
        <v>Offensive</v>
      </c>
      <c r="BA1815" s="6">
        <f t="shared" si="1769"/>
        <v>421</v>
      </c>
      <c r="BB1815">
        <f t="shared" si="1770"/>
        <v>18981</v>
      </c>
      <c r="BC1815" t="str">
        <f t="shared" si="1771"/>
        <v>Nelson</v>
      </c>
      <c r="BD1815" t="str">
        <f t="shared" si="1772"/>
        <v>Velodrome</v>
      </c>
      <c r="BE1815" t="s">
        <v>13</v>
      </c>
      <c r="BF1815" t="s">
        <v>756</v>
      </c>
      <c r="BG1815" t="s">
        <v>756</v>
      </c>
      <c r="BI1815" cm="1">
        <f t="array" aca="1" ref="BI1815" ca="1">IFERROR(_xlfn._xlws.FILTER(shifts!A:A,(shifts!B:B=events!AD1815)*(shifts!AG:AG&gt;=events!BK1815)*(shifts!AH:AH&lt;=events!BL1815)),BI1814)</f>
        <v>81</v>
      </c>
      <c r="BJ1815" s="15">
        <f t="shared" si="1773"/>
        <v>4</v>
      </c>
      <c r="BK1815">
        <f t="shared" si="1781"/>
        <v>879</v>
      </c>
      <c r="BL1815">
        <f t="shared" si="1782"/>
        <v>875</v>
      </c>
      <c r="BM1815" s="15">
        <f>SUMIFS(BJ$2:BJ1815,K$2:K1815,"=Intermission")+SUMIFS(BJ$2:BJ1815,K$2:K1815,"=Timeout")</f>
        <v>142</v>
      </c>
      <c r="BN1815">
        <f t="shared" si="1783"/>
        <v>2302</v>
      </c>
      <c r="BO1815" s="19">
        <f t="shared" si="1784"/>
        <v>2503</v>
      </c>
      <c r="BP1815">
        <f t="shared" si="1785"/>
        <v>2498</v>
      </c>
      <c r="BQ1815" s="17">
        <f t="shared" si="1786"/>
        <v>2507</v>
      </c>
      <c r="BR1815" t="str">
        <f t="shared" si="1787"/>
        <v>event_team_player_1</v>
      </c>
      <c r="BS1815">
        <f>COUNTIFS(S$3:S1815,"="&amp;S1815,AI$3:AI1815,"="&amp;AI1815)</f>
        <v>1</v>
      </c>
      <c r="BT1815" t="str">
        <f>IFERROR(VLOOKUP(BB1815&amp;BU1815&amp;X1815,game_rosters!U:W,3,FALSE),"")</f>
        <v>P100201</v>
      </c>
      <c r="BU1815" t="str">
        <f t="shared" si="1788"/>
        <v>Velodrome</v>
      </c>
    </row>
    <row r="1816" spans="1:73" x14ac:dyDescent="0.2">
      <c r="A1816">
        <f t="shared" si="1774"/>
        <v>1</v>
      </c>
      <c r="J1816" s="44" t="str">
        <f t="shared" si="1789"/>
        <v/>
      </c>
      <c r="K1816" t="s">
        <v>7</v>
      </c>
      <c r="L1816" t="s">
        <v>172</v>
      </c>
      <c r="M1816" t="s">
        <v>68</v>
      </c>
      <c r="S1816">
        <v>955</v>
      </c>
      <c r="W1816" t="str">
        <f t="shared" si="1765"/>
        <v>a</v>
      </c>
      <c r="X1816">
        <v>42</v>
      </c>
      <c r="Y1816" t="e">
        <f>IF(X1816&lt;&gt;"",VLOOKUP(X1816,game_rosters!$C$43:$E$64,3,FALSE))</f>
        <v>#N/A</v>
      </c>
      <c r="Z1816" cm="1">
        <f t="array" ref="Z1816">IFERROR(IF(_xlfn._xlws.FILTER(game_rosters!$J:$J,(game_rosters!$G:$G=events!$AN1816)*(game_rosters!$J:$J=events!$X1816))&gt;0,1,""),"")</f>
        <v>1</v>
      </c>
      <c r="AA1816">
        <f t="shared" si="1723"/>
        <v>1955</v>
      </c>
      <c r="AB1816" t="str">
        <f t="shared" si="1724"/>
        <v/>
      </c>
      <c r="AC1816">
        <f t="shared" si="1762"/>
        <v>1955</v>
      </c>
      <c r="AD1816" s="6">
        <v>3</v>
      </c>
      <c r="AE1816" t="s">
        <v>745</v>
      </c>
      <c r="AF1816" t="s">
        <v>750</v>
      </c>
      <c r="AG1816" t="s">
        <v>756</v>
      </c>
      <c r="AH1816" t="s">
        <v>756</v>
      </c>
      <c r="AI1816" t="s">
        <v>367</v>
      </c>
      <c r="AJ1816" t="str">
        <f t="shared" ref="AJ1816:AK1816" si="1808">IF($J1816&lt;&gt;"",$J1816,IF($AC1816=$AC1815,AJ1815,""))</f>
        <v/>
      </c>
      <c r="AK1816" t="str">
        <f t="shared" si="1808"/>
        <v/>
      </c>
      <c r="AL1816" t="str">
        <f t="shared" si="1767"/>
        <v/>
      </c>
      <c r="AN1816" t="s">
        <v>862</v>
      </c>
      <c r="AO1816" t="str">
        <f t="shared" si="1768"/>
        <v>a</v>
      </c>
      <c r="AP1816" t="str">
        <f t="shared" si="1776"/>
        <v/>
      </c>
      <c r="AQ1816" t="str">
        <f t="shared" si="1777"/>
        <v/>
      </c>
      <c r="AR1816" t="str">
        <f t="shared" si="1778"/>
        <v>Away</v>
      </c>
      <c r="AS1816" t="str">
        <f t="shared" si="1779"/>
        <v>a</v>
      </c>
      <c r="AT1816" t="str">
        <f t="shared" si="1780"/>
        <v>Offensive</v>
      </c>
      <c r="BA1816" s="6">
        <f t="shared" si="1769"/>
        <v>421</v>
      </c>
      <c r="BB1816">
        <f t="shared" si="1770"/>
        <v>18981</v>
      </c>
      <c r="BC1816" t="str">
        <f t="shared" si="1771"/>
        <v>Nelson</v>
      </c>
      <c r="BD1816" t="str">
        <f t="shared" si="1772"/>
        <v>Velodrome</v>
      </c>
      <c r="BE1816" t="s">
        <v>7</v>
      </c>
      <c r="BF1816" t="s">
        <v>172</v>
      </c>
      <c r="BG1816" t="s">
        <v>68</v>
      </c>
      <c r="BI1816" cm="1">
        <f t="array" aca="1" ref="BI1816" ca="1">IFERROR(_xlfn._xlws.FILTER(shifts!A:A,(shifts!B:B=events!AD1816)*(shifts!AG:AG&gt;=events!BK1816)*(shifts!AH:AH&lt;=events!BL1816)),BI1815)</f>
        <v>81</v>
      </c>
      <c r="BJ1816" s="15">
        <f t="shared" si="1773"/>
        <v>0</v>
      </c>
      <c r="BK1816">
        <f t="shared" si="1781"/>
        <v>875</v>
      </c>
      <c r="BL1816">
        <f t="shared" si="1782"/>
        <v>875</v>
      </c>
      <c r="BM1816" s="15">
        <f>SUMIFS(BJ$2:BJ1816,K$2:K1816,"=Intermission")+SUMIFS(BJ$2:BJ1816,K$2:K1816,"=Timeout")</f>
        <v>142</v>
      </c>
      <c r="BN1816">
        <f t="shared" si="1783"/>
        <v>2302</v>
      </c>
      <c r="BO1816" s="19">
        <f t="shared" si="1784"/>
        <v>2507</v>
      </c>
      <c r="BP1816">
        <f t="shared" si="1785"/>
        <v>2502</v>
      </c>
      <c r="BQ1816" s="17">
        <f t="shared" si="1786"/>
        <v>2507</v>
      </c>
      <c r="BR1816" t="str">
        <f t="shared" si="1787"/>
        <v>event_team_player_1</v>
      </c>
      <c r="BS1816">
        <f>COUNTIFS(S$3:S1816,"="&amp;S1816,AI$3:AI1816,"="&amp;AI1816)</f>
        <v>1</v>
      </c>
      <c r="BT1816" t="str">
        <f>IFERROR(VLOOKUP(BB1816&amp;BU1816&amp;X1816,game_rosters!U:W,3,FALSE),"")</f>
        <v>P100201</v>
      </c>
      <c r="BU1816" t="str">
        <f t="shared" si="1788"/>
        <v>Velodrome</v>
      </c>
    </row>
    <row r="1817" spans="1:73" x14ac:dyDescent="0.2">
      <c r="A1817">
        <f t="shared" si="1774"/>
        <v>1</v>
      </c>
      <c r="J1817" s="44" t="str">
        <f t="shared" si="1789"/>
        <v/>
      </c>
      <c r="K1817" t="s">
        <v>7</v>
      </c>
      <c r="L1817" t="s">
        <v>172</v>
      </c>
      <c r="M1817" t="s">
        <v>68</v>
      </c>
      <c r="S1817">
        <v>955</v>
      </c>
      <c r="W1817" t="str">
        <f t="shared" si="1765"/>
        <v>a</v>
      </c>
      <c r="X1817">
        <v>91</v>
      </c>
      <c r="Y1817" t="e">
        <f>IF(X1817&lt;&gt;"",VLOOKUP(X1817,game_rosters!$C$43:$E$64,3,FALSE))</f>
        <v>#N/A</v>
      </c>
      <c r="Z1817" cm="1">
        <f t="array" ref="Z1817">IFERROR(IF(_xlfn._xlws.FILTER(game_rosters!$J:$J,(game_rosters!$G:$G=events!$AN1817)*(game_rosters!$J:$J=events!$X1817))&gt;0,1,""),"")</f>
        <v>1</v>
      </c>
      <c r="AA1817">
        <f t="shared" si="1723"/>
        <v>1955</v>
      </c>
      <c r="AB1817" t="str">
        <f t="shared" si="1724"/>
        <v/>
      </c>
      <c r="AC1817">
        <f t="shared" si="1762"/>
        <v>1955</v>
      </c>
      <c r="AD1817" s="6">
        <v>3</v>
      </c>
      <c r="AE1817" t="s">
        <v>745</v>
      </c>
      <c r="AF1817" t="s">
        <v>750</v>
      </c>
      <c r="AG1817" t="s">
        <v>756</v>
      </c>
      <c r="AH1817" t="s">
        <v>756</v>
      </c>
      <c r="AI1817" t="s">
        <v>367</v>
      </c>
      <c r="AJ1817" t="str">
        <f t="shared" ref="AJ1817:AK1817" si="1809">IF($J1817&lt;&gt;"",$J1817,IF($AC1817=$AC1816,AJ1816,""))</f>
        <v/>
      </c>
      <c r="AK1817" t="str">
        <f t="shared" si="1809"/>
        <v/>
      </c>
      <c r="AL1817" t="str">
        <f t="shared" si="1767"/>
        <v/>
      </c>
      <c r="AN1817" t="s">
        <v>862</v>
      </c>
      <c r="AO1817" t="str">
        <f t="shared" si="1768"/>
        <v>a</v>
      </c>
      <c r="AP1817" t="str">
        <f t="shared" si="1776"/>
        <v/>
      </c>
      <c r="AQ1817" t="str">
        <f t="shared" si="1777"/>
        <v/>
      </c>
      <c r="AR1817" t="str">
        <f t="shared" si="1778"/>
        <v>Away</v>
      </c>
      <c r="AS1817" t="str">
        <f t="shared" si="1779"/>
        <v>a</v>
      </c>
      <c r="AT1817" t="str">
        <f t="shared" si="1780"/>
        <v>Offensive</v>
      </c>
      <c r="BA1817" s="6">
        <f t="shared" si="1769"/>
        <v>421</v>
      </c>
      <c r="BB1817">
        <f t="shared" si="1770"/>
        <v>18981</v>
      </c>
      <c r="BC1817" t="str">
        <f t="shared" si="1771"/>
        <v>Nelson</v>
      </c>
      <c r="BD1817" t="str">
        <f t="shared" si="1772"/>
        <v>Velodrome</v>
      </c>
      <c r="BE1817" t="s">
        <v>7</v>
      </c>
      <c r="BF1817" t="s">
        <v>172</v>
      </c>
      <c r="BG1817" t="s">
        <v>68</v>
      </c>
      <c r="BI1817" cm="1">
        <f t="array" aca="1" ref="BI1817" ca="1">IFERROR(_xlfn._xlws.FILTER(shifts!A:A,(shifts!B:B=events!AD1817)*(shifts!AG:AG&gt;=events!BK1817)*(shifts!AH:AH&lt;=events!BL1817)),BI1816)</f>
        <v>81</v>
      </c>
      <c r="BJ1817" s="15">
        <f t="shared" si="1773"/>
        <v>0</v>
      </c>
      <c r="BK1817">
        <f t="shared" si="1781"/>
        <v>875</v>
      </c>
      <c r="BL1817">
        <f t="shared" si="1782"/>
        <v>875</v>
      </c>
      <c r="BM1817" s="15">
        <f>SUMIFS(BJ$2:BJ1817,K$2:K1817,"=Intermission")+SUMIFS(BJ$2:BJ1817,K$2:K1817,"=Timeout")</f>
        <v>142</v>
      </c>
      <c r="BN1817">
        <f t="shared" si="1783"/>
        <v>2302</v>
      </c>
      <c r="BO1817" s="19">
        <f t="shared" si="1784"/>
        <v>2507</v>
      </c>
      <c r="BP1817">
        <f t="shared" si="1785"/>
        <v>2502</v>
      </c>
      <c r="BQ1817" s="17">
        <f t="shared" si="1786"/>
        <v>2507</v>
      </c>
      <c r="BR1817" t="str">
        <f t="shared" si="1787"/>
        <v>event_team_player_2</v>
      </c>
      <c r="BS1817">
        <f>COUNTIFS(S$3:S1817,"="&amp;S1817,AI$3:AI1817,"="&amp;AI1817)</f>
        <v>2</v>
      </c>
      <c r="BT1817" t="str">
        <f>IFERROR(VLOOKUP(BB1817&amp;BU1817&amp;X1817,game_rosters!U:W,3,FALSE),"")</f>
        <v>P100002</v>
      </c>
      <c r="BU1817" t="str">
        <f t="shared" si="1788"/>
        <v>Velodrome</v>
      </c>
    </row>
    <row r="1818" spans="1:73" x14ac:dyDescent="0.2">
      <c r="A1818">
        <f t="shared" si="1774"/>
        <v>1</v>
      </c>
      <c r="J1818" s="44" t="str">
        <f t="shared" si="1789"/>
        <v>d</v>
      </c>
      <c r="K1818" t="s">
        <v>238</v>
      </c>
      <c r="L1818" t="s">
        <v>184</v>
      </c>
      <c r="M1818" t="s">
        <v>89</v>
      </c>
      <c r="S1818">
        <v>956</v>
      </c>
      <c r="W1818" t="str">
        <f t="shared" si="1765"/>
        <v>a</v>
      </c>
      <c r="X1818">
        <v>42</v>
      </c>
      <c r="Y1818" t="e">
        <f>IF(X1818&lt;&gt;"",VLOOKUP(X1818,game_rosters!$C$43:$E$64,3,FALSE))</f>
        <v>#N/A</v>
      </c>
      <c r="Z1818" cm="1">
        <f t="array" ref="Z1818">IFERROR(IF(_xlfn._xlws.FILTER(game_rosters!$J:$J,(game_rosters!$G:$G=events!$AN1818)*(game_rosters!$J:$J=events!$X1818))&gt;0,1,""),"")</f>
        <v>1</v>
      </c>
      <c r="AA1818">
        <f t="shared" si="1723"/>
        <v>1956</v>
      </c>
      <c r="AB1818" t="str">
        <f t="shared" si="1724"/>
        <v/>
      </c>
      <c r="AC1818">
        <f t="shared" si="1762"/>
        <v>1956</v>
      </c>
      <c r="AD1818" s="6">
        <v>3</v>
      </c>
      <c r="AE1818" t="s">
        <v>745</v>
      </c>
      <c r="AF1818" t="s">
        <v>750</v>
      </c>
      <c r="AG1818" t="s">
        <v>756</v>
      </c>
      <c r="AH1818" t="s">
        <v>756</v>
      </c>
      <c r="AI1818" t="s">
        <v>367</v>
      </c>
      <c r="AJ1818" t="str">
        <f t="shared" ref="AJ1818:AK1818" si="1810">IF($J1818&lt;&gt;"",$J1818,IF($AC1818=$AC1817,AJ1817,""))</f>
        <v>d</v>
      </c>
      <c r="AK1818" t="str">
        <f t="shared" si="1810"/>
        <v>d</v>
      </c>
      <c r="AL1818" t="str">
        <f t="shared" si="1767"/>
        <v>o</v>
      </c>
      <c r="AN1818" t="s">
        <v>862</v>
      </c>
      <c r="AO1818" t="str">
        <f t="shared" si="1768"/>
        <v>a</v>
      </c>
      <c r="AP1818" t="str">
        <f t="shared" si="1776"/>
        <v>o</v>
      </c>
      <c r="AQ1818" t="str">
        <f t="shared" si="1777"/>
        <v/>
      </c>
      <c r="AR1818" t="str">
        <f t="shared" si="1778"/>
        <v>Away</v>
      </c>
      <c r="AS1818" t="str">
        <f t="shared" si="1779"/>
        <v>a</v>
      </c>
      <c r="AT1818" t="str">
        <f t="shared" si="1780"/>
        <v>Offensive</v>
      </c>
      <c r="BA1818" s="6">
        <f t="shared" si="1769"/>
        <v>422</v>
      </c>
      <c r="BB1818">
        <f t="shared" si="1770"/>
        <v>18981</v>
      </c>
      <c r="BC1818" t="str">
        <f t="shared" si="1771"/>
        <v>Nelson</v>
      </c>
      <c r="BD1818" t="str">
        <f t="shared" si="1772"/>
        <v>Velodrome</v>
      </c>
      <c r="BE1818" t="s">
        <v>238</v>
      </c>
      <c r="BF1818" t="s">
        <v>184</v>
      </c>
      <c r="BG1818" t="s">
        <v>89</v>
      </c>
      <c r="BI1818" cm="1">
        <f t="array" aca="1" ref="BI1818" ca="1">IFERROR(_xlfn._xlws.FILTER(shifts!A:A,(shifts!B:B=events!AD1818)*(shifts!AG:AG&gt;=events!BK1818)*(shifts!AH:AH&lt;=events!BL1818)),BI1817)</f>
        <v>81</v>
      </c>
      <c r="BJ1818" s="15">
        <f t="shared" si="1773"/>
        <v>0</v>
      </c>
      <c r="BK1818">
        <f t="shared" si="1781"/>
        <v>875</v>
      </c>
      <c r="BL1818">
        <f t="shared" si="1782"/>
        <v>875</v>
      </c>
      <c r="BM1818" s="15">
        <f>SUMIFS(BJ$2:BJ1818,K$2:K1818,"=Intermission")+SUMIFS(BJ$2:BJ1818,K$2:K1818,"=Timeout")</f>
        <v>142</v>
      </c>
      <c r="BN1818">
        <f t="shared" si="1783"/>
        <v>2302</v>
      </c>
      <c r="BO1818" s="19">
        <f t="shared" si="1784"/>
        <v>2507</v>
      </c>
      <c r="BP1818">
        <f t="shared" si="1785"/>
        <v>2502</v>
      </c>
      <c r="BQ1818" s="17">
        <f t="shared" si="1786"/>
        <v>2507</v>
      </c>
      <c r="BR1818" t="str">
        <f t="shared" si="1787"/>
        <v>event_team_player_1</v>
      </c>
      <c r="BS1818">
        <f>COUNTIFS(S$3:S1818,"="&amp;S1818,AI$3:AI1818,"="&amp;AI1818)</f>
        <v>1</v>
      </c>
      <c r="BT1818" t="str">
        <f>IFERROR(VLOOKUP(BB1818&amp;BU1818&amp;X1818,game_rosters!U:W,3,FALSE),"")</f>
        <v>P100201</v>
      </c>
      <c r="BU1818" t="str">
        <f t="shared" si="1788"/>
        <v>Velodrome</v>
      </c>
    </row>
    <row r="1819" spans="1:73" x14ac:dyDescent="0.2">
      <c r="A1819">
        <f t="shared" si="1774"/>
        <v>1</v>
      </c>
      <c r="J1819" s="44" t="str">
        <f t="shared" si="1789"/>
        <v>d</v>
      </c>
      <c r="K1819" t="s">
        <v>238</v>
      </c>
      <c r="L1819" t="s">
        <v>184</v>
      </c>
      <c r="M1819" t="s">
        <v>89</v>
      </c>
      <c r="S1819">
        <v>956</v>
      </c>
      <c r="W1819" t="str">
        <f t="shared" si="1765"/>
        <v>a</v>
      </c>
      <c r="X1819">
        <v>91</v>
      </c>
      <c r="Y1819" t="e">
        <f>IF(X1819&lt;&gt;"",VLOOKUP(X1819,game_rosters!$C$43:$E$64,3,FALSE))</f>
        <v>#N/A</v>
      </c>
      <c r="Z1819" cm="1">
        <f t="array" ref="Z1819">IFERROR(IF(_xlfn._xlws.FILTER(game_rosters!$J:$J,(game_rosters!$G:$G=events!$AN1819)*(game_rosters!$J:$J=events!$X1819))&gt;0,1,""),"")</f>
        <v>1</v>
      </c>
      <c r="AA1819">
        <f t="shared" si="1723"/>
        <v>1956</v>
      </c>
      <c r="AB1819" t="str">
        <f t="shared" si="1724"/>
        <v/>
      </c>
      <c r="AC1819">
        <f t="shared" si="1762"/>
        <v>1956</v>
      </c>
      <c r="AD1819" s="6">
        <v>3</v>
      </c>
      <c r="AE1819" t="s">
        <v>745</v>
      </c>
      <c r="AF1819" t="s">
        <v>750</v>
      </c>
      <c r="AG1819" t="s">
        <v>756</v>
      </c>
      <c r="AH1819" t="s">
        <v>756</v>
      </c>
      <c r="AI1819" t="s">
        <v>367</v>
      </c>
      <c r="AJ1819" t="str">
        <f t="shared" ref="AJ1819:AK1819" si="1811">IF($J1819&lt;&gt;"",$J1819,IF($AC1819=$AC1818,AJ1818,""))</f>
        <v>d</v>
      </c>
      <c r="AK1819" t="str">
        <f t="shared" si="1811"/>
        <v>d</v>
      </c>
      <c r="AL1819" t="str">
        <f t="shared" si="1767"/>
        <v>o</v>
      </c>
      <c r="AN1819" t="s">
        <v>862</v>
      </c>
      <c r="AO1819" t="str">
        <f t="shared" si="1768"/>
        <v>a</v>
      </c>
      <c r="AP1819" t="str">
        <f t="shared" si="1776"/>
        <v>o</v>
      </c>
      <c r="AQ1819" t="str">
        <f t="shared" si="1777"/>
        <v/>
      </c>
      <c r="AR1819" t="str">
        <f t="shared" si="1778"/>
        <v>Away</v>
      </c>
      <c r="AS1819" t="str">
        <f t="shared" si="1779"/>
        <v>a</v>
      </c>
      <c r="AT1819" t="str">
        <f t="shared" si="1780"/>
        <v>Offensive</v>
      </c>
      <c r="BA1819" s="6">
        <f t="shared" si="1769"/>
        <v>423</v>
      </c>
      <c r="BB1819">
        <f t="shared" si="1770"/>
        <v>18981</v>
      </c>
      <c r="BC1819" t="str">
        <f t="shared" si="1771"/>
        <v>Nelson</v>
      </c>
      <c r="BD1819" t="str">
        <f t="shared" si="1772"/>
        <v>Velodrome</v>
      </c>
      <c r="BE1819" t="s">
        <v>238</v>
      </c>
      <c r="BF1819" t="s">
        <v>184</v>
      </c>
      <c r="BG1819" t="s">
        <v>89</v>
      </c>
      <c r="BI1819" cm="1">
        <f t="array" aca="1" ref="BI1819" ca="1">IFERROR(_xlfn._xlws.FILTER(shifts!A:A,(shifts!B:B=events!AD1819)*(shifts!AG:AG&gt;=events!BK1819)*(shifts!AH:AH&lt;=events!BL1819)),BI1818)</f>
        <v>81</v>
      </c>
      <c r="BJ1819" s="15">
        <f t="shared" si="1773"/>
        <v>0</v>
      </c>
      <c r="BK1819">
        <f t="shared" si="1781"/>
        <v>875</v>
      </c>
      <c r="BL1819">
        <f t="shared" si="1782"/>
        <v>875</v>
      </c>
      <c r="BM1819" s="15">
        <f>SUMIFS(BJ$2:BJ1819,K$2:K1819,"=Intermission")+SUMIFS(BJ$2:BJ1819,K$2:K1819,"=Timeout")</f>
        <v>142</v>
      </c>
      <c r="BN1819">
        <f t="shared" si="1783"/>
        <v>2302</v>
      </c>
      <c r="BO1819" s="19">
        <f t="shared" si="1784"/>
        <v>2507</v>
      </c>
      <c r="BP1819">
        <f t="shared" si="1785"/>
        <v>2502</v>
      </c>
      <c r="BQ1819" s="17">
        <f t="shared" si="1786"/>
        <v>2507</v>
      </c>
      <c r="BR1819" t="str">
        <f t="shared" si="1787"/>
        <v>event_team_player_2</v>
      </c>
      <c r="BS1819">
        <f>COUNTIFS(S$3:S1819,"="&amp;S1819,AI$3:AI1819,"="&amp;AI1819)</f>
        <v>2</v>
      </c>
      <c r="BT1819" t="str">
        <f>IFERROR(VLOOKUP(BB1819&amp;BU1819&amp;X1819,game_rosters!U:W,3,FALSE),"")</f>
        <v>P100002</v>
      </c>
      <c r="BU1819" t="str">
        <f t="shared" si="1788"/>
        <v>Velodrome</v>
      </c>
    </row>
    <row r="1820" spans="1:73" x14ac:dyDescent="0.2">
      <c r="A1820">
        <f t="shared" si="1774"/>
        <v>1</v>
      </c>
      <c r="J1820" s="44" t="str">
        <f t="shared" si="1789"/>
        <v/>
      </c>
      <c r="K1820" t="s">
        <v>13</v>
      </c>
      <c r="L1820" t="s">
        <v>756</v>
      </c>
      <c r="M1820" t="s">
        <v>756</v>
      </c>
      <c r="S1820">
        <v>957</v>
      </c>
      <c r="W1820" t="str">
        <f t="shared" si="1765"/>
        <v>a</v>
      </c>
      <c r="X1820">
        <v>91</v>
      </c>
      <c r="Y1820" t="e">
        <f>IF(X1820&lt;&gt;"",VLOOKUP(X1820,game_rosters!$C$43:$E$64,3,FALSE))</f>
        <v>#N/A</v>
      </c>
      <c r="Z1820" cm="1">
        <f t="array" ref="Z1820">IFERROR(IF(_xlfn._xlws.FILTER(game_rosters!$J:$J,(game_rosters!$G:$G=events!$AN1820)*(game_rosters!$J:$J=events!$X1820))&gt;0,1,""),"")</f>
        <v>1</v>
      </c>
      <c r="AA1820">
        <f t="shared" si="1723"/>
        <v>1957</v>
      </c>
      <c r="AB1820" t="str">
        <f t="shared" si="1724"/>
        <v/>
      </c>
      <c r="AC1820">
        <f t="shared" si="1762"/>
        <v>1957</v>
      </c>
      <c r="AD1820" s="6">
        <v>3</v>
      </c>
      <c r="AE1820" t="s">
        <v>745</v>
      </c>
      <c r="AF1820" t="s">
        <v>914</v>
      </c>
      <c r="AG1820" t="s">
        <v>745</v>
      </c>
      <c r="AH1820" t="s">
        <v>738</v>
      </c>
      <c r="AI1820" t="s">
        <v>367</v>
      </c>
      <c r="AJ1820" t="str">
        <f t="shared" ref="AJ1820:AK1820" si="1812">IF($J1820&lt;&gt;"",$J1820,IF($AC1820=$AC1819,AJ1819,""))</f>
        <v/>
      </c>
      <c r="AK1820" t="str">
        <f t="shared" si="1812"/>
        <v/>
      </c>
      <c r="AL1820" t="str">
        <f t="shared" si="1767"/>
        <v/>
      </c>
      <c r="AN1820" t="s">
        <v>862</v>
      </c>
      <c r="AO1820" t="str">
        <f t="shared" si="1768"/>
        <v>a</v>
      </c>
      <c r="AP1820" t="str">
        <f t="shared" si="1776"/>
        <v/>
      </c>
      <c r="AQ1820" t="str">
        <f t="shared" si="1777"/>
        <v/>
      </c>
      <c r="AR1820" t="str">
        <f t="shared" si="1778"/>
        <v>Away</v>
      </c>
      <c r="AS1820" t="str">
        <f t="shared" si="1779"/>
        <v>a</v>
      </c>
      <c r="AT1820" t="str">
        <f t="shared" si="1780"/>
        <v>Offensive</v>
      </c>
      <c r="BA1820" s="6">
        <f t="shared" si="1769"/>
        <v>423</v>
      </c>
      <c r="BB1820">
        <f t="shared" si="1770"/>
        <v>18981</v>
      </c>
      <c r="BC1820" t="str">
        <f t="shared" si="1771"/>
        <v>Nelson</v>
      </c>
      <c r="BD1820" t="str">
        <f t="shared" si="1772"/>
        <v>Velodrome</v>
      </c>
      <c r="BE1820" t="s">
        <v>13</v>
      </c>
      <c r="BF1820" t="s">
        <v>756</v>
      </c>
      <c r="BG1820" t="s">
        <v>756</v>
      </c>
      <c r="BI1820" cm="1">
        <f t="array" aca="1" ref="BI1820" ca="1">IFERROR(_xlfn._xlws.FILTER(shifts!A:A,(shifts!B:B=events!AD1820)*(shifts!AG:AG&gt;=events!BK1820)*(shifts!AH:AH&lt;=events!BL1820)),BI1819)</f>
        <v>81</v>
      </c>
      <c r="BJ1820" s="15">
        <f t="shared" si="1773"/>
        <v>2</v>
      </c>
      <c r="BK1820">
        <f t="shared" si="1781"/>
        <v>873</v>
      </c>
      <c r="BL1820">
        <f t="shared" si="1782"/>
        <v>871</v>
      </c>
      <c r="BM1820" s="15">
        <f>SUMIFS(BJ$2:BJ1820,K$2:K1820,"=Intermission")+SUMIFS(BJ$2:BJ1820,K$2:K1820,"=Timeout")</f>
        <v>142</v>
      </c>
      <c r="BN1820">
        <f t="shared" si="1783"/>
        <v>2302</v>
      </c>
      <c r="BO1820" s="19">
        <f t="shared" si="1784"/>
        <v>2509</v>
      </c>
      <c r="BP1820">
        <f t="shared" si="1785"/>
        <v>2504</v>
      </c>
      <c r="BQ1820" s="17">
        <f t="shared" si="1786"/>
        <v>2511</v>
      </c>
      <c r="BR1820" t="str">
        <f t="shared" si="1787"/>
        <v>event_team_player_1</v>
      </c>
      <c r="BS1820">
        <f>COUNTIFS(S$3:S1820,"="&amp;S1820,AI$3:AI1820,"="&amp;AI1820)</f>
        <v>1</v>
      </c>
      <c r="BT1820" t="str">
        <f>IFERROR(VLOOKUP(BB1820&amp;BU1820&amp;X1820,game_rosters!U:W,3,FALSE),"")</f>
        <v>P100002</v>
      </c>
      <c r="BU1820" t="str">
        <f t="shared" si="1788"/>
        <v>Velodrome</v>
      </c>
    </row>
    <row r="1821" spans="1:73" x14ac:dyDescent="0.2">
      <c r="A1821">
        <f t="shared" si="1774"/>
        <v>1</v>
      </c>
      <c r="J1821" s="44" t="str">
        <f t="shared" si="1789"/>
        <v/>
      </c>
      <c r="K1821" t="s">
        <v>7</v>
      </c>
      <c r="L1821" t="s">
        <v>182</v>
      </c>
      <c r="M1821" t="s">
        <v>68</v>
      </c>
      <c r="S1821">
        <v>958</v>
      </c>
      <c r="W1821" t="str">
        <f t="shared" si="1765"/>
        <v>a</v>
      </c>
      <c r="X1821">
        <v>91</v>
      </c>
      <c r="Y1821" t="e">
        <f>IF(X1821&lt;&gt;"",VLOOKUP(X1821,game_rosters!$C$43:$E$64,3,FALSE))</f>
        <v>#N/A</v>
      </c>
      <c r="Z1821" cm="1">
        <f t="array" ref="Z1821">IFERROR(IF(_xlfn._xlws.FILTER(game_rosters!$J:$J,(game_rosters!$G:$G=events!$AN1821)*(game_rosters!$J:$J=events!$X1821))&gt;0,1,""),"")</f>
        <v>1</v>
      </c>
      <c r="AA1821">
        <f t="shared" ref="AA1821:AA1884" si="1813">S1821+1000</f>
        <v>1958</v>
      </c>
      <c r="AB1821" t="str">
        <f t="shared" ref="AB1821:AB1884" si="1814">IF(T1821&lt;&gt;"",9000+T1821,"")</f>
        <v/>
      </c>
      <c r="AC1821">
        <f t="shared" si="1762"/>
        <v>1958</v>
      </c>
      <c r="AD1821" s="6">
        <v>3</v>
      </c>
      <c r="AE1821" t="s">
        <v>745</v>
      </c>
      <c r="AF1821" t="s">
        <v>738</v>
      </c>
      <c r="AG1821" t="s">
        <v>756</v>
      </c>
      <c r="AH1821" t="s">
        <v>756</v>
      </c>
      <c r="AI1821" t="s">
        <v>367</v>
      </c>
      <c r="AJ1821" t="str">
        <f t="shared" ref="AJ1821:AK1821" si="1815">IF($J1821&lt;&gt;"",$J1821,IF($AC1821=$AC1820,AJ1820,""))</f>
        <v/>
      </c>
      <c r="AK1821" t="str">
        <f t="shared" si="1815"/>
        <v/>
      </c>
      <c r="AL1821" t="str">
        <f t="shared" si="1767"/>
        <v/>
      </c>
      <c r="AN1821" t="s">
        <v>862</v>
      </c>
      <c r="AO1821" t="str">
        <f t="shared" si="1768"/>
        <v>a</v>
      </c>
      <c r="AP1821" t="str">
        <f t="shared" si="1776"/>
        <v/>
      </c>
      <c r="AQ1821" t="str">
        <f t="shared" si="1777"/>
        <v/>
      </c>
      <c r="AR1821" t="str">
        <f t="shared" si="1778"/>
        <v>Away</v>
      </c>
      <c r="AS1821" t="str">
        <f t="shared" si="1779"/>
        <v>a</v>
      </c>
      <c r="AT1821" t="str">
        <f t="shared" si="1780"/>
        <v>Offensive</v>
      </c>
      <c r="BA1821" s="6">
        <f t="shared" si="1769"/>
        <v>423</v>
      </c>
      <c r="BB1821">
        <f t="shared" si="1770"/>
        <v>18981</v>
      </c>
      <c r="BC1821" t="str">
        <f t="shared" si="1771"/>
        <v>Nelson</v>
      </c>
      <c r="BD1821" t="str">
        <f t="shared" si="1772"/>
        <v>Velodrome</v>
      </c>
      <c r="BE1821" t="s">
        <v>7</v>
      </c>
      <c r="BF1821" t="s">
        <v>182</v>
      </c>
      <c r="BG1821" t="s">
        <v>68</v>
      </c>
      <c r="BI1821" cm="1">
        <f t="array" aca="1" ref="BI1821" ca="1">IFERROR(_xlfn._xlws.FILTER(shifts!A:A,(shifts!B:B=events!AD1821)*(shifts!AG:AG&gt;=events!BK1821)*(shifts!AH:AH&lt;=events!BL1821)),BI1820)</f>
        <v>81</v>
      </c>
      <c r="BJ1821" s="15">
        <f t="shared" si="1773"/>
        <v>0</v>
      </c>
      <c r="BK1821">
        <f t="shared" si="1781"/>
        <v>871</v>
      </c>
      <c r="BL1821">
        <f t="shared" si="1782"/>
        <v>871</v>
      </c>
      <c r="BM1821" s="15">
        <f>SUMIFS(BJ$2:BJ1821,K$2:K1821,"=Intermission")+SUMIFS(BJ$2:BJ1821,K$2:K1821,"=Timeout")</f>
        <v>142</v>
      </c>
      <c r="BN1821">
        <f t="shared" si="1783"/>
        <v>2302</v>
      </c>
      <c r="BO1821" s="19">
        <f t="shared" si="1784"/>
        <v>2511</v>
      </c>
      <c r="BP1821">
        <f t="shared" si="1785"/>
        <v>2506</v>
      </c>
      <c r="BQ1821" s="17">
        <f t="shared" si="1786"/>
        <v>2511</v>
      </c>
      <c r="BR1821" t="str">
        <f t="shared" si="1787"/>
        <v>event_team_player_1</v>
      </c>
      <c r="BS1821">
        <f>COUNTIFS(S$3:S1821,"="&amp;S1821,AI$3:AI1821,"="&amp;AI1821)</f>
        <v>1</v>
      </c>
      <c r="BT1821" t="str">
        <f>IFERROR(VLOOKUP(BB1821&amp;BU1821&amp;X1821,game_rosters!U:W,3,FALSE),"")</f>
        <v>P100002</v>
      </c>
      <c r="BU1821" t="str">
        <f t="shared" si="1788"/>
        <v>Velodrome</v>
      </c>
    </row>
    <row r="1822" spans="1:73" x14ac:dyDescent="0.2">
      <c r="A1822">
        <f t="shared" si="1774"/>
        <v>1</v>
      </c>
      <c r="J1822" s="44" t="str">
        <f t="shared" si="1789"/>
        <v/>
      </c>
      <c r="K1822" t="s">
        <v>7</v>
      </c>
      <c r="L1822" t="s">
        <v>182</v>
      </c>
      <c r="M1822" t="s">
        <v>68</v>
      </c>
      <c r="S1822">
        <v>958</v>
      </c>
      <c r="W1822" t="str">
        <f t="shared" si="1765"/>
        <v>a</v>
      </c>
      <c r="X1822">
        <v>24</v>
      </c>
      <c r="Y1822" t="e">
        <f>IF(X1822&lt;&gt;"",VLOOKUP(X1822,game_rosters!$C$43:$E$64,3,FALSE))</f>
        <v>#N/A</v>
      </c>
      <c r="Z1822" cm="1">
        <f t="array" ref="Z1822">IFERROR(IF(_xlfn._xlws.FILTER(game_rosters!$J:$J,(game_rosters!$G:$G=events!$AN1822)*(game_rosters!$J:$J=events!$X1822))&gt;0,1,""),"")</f>
        <v>1</v>
      </c>
      <c r="AA1822">
        <f t="shared" si="1813"/>
        <v>1958</v>
      </c>
      <c r="AB1822" t="str">
        <f t="shared" si="1814"/>
        <v/>
      </c>
      <c r="AC1822">
        <f t="shared" si="1762"/>
        <v>1958</v>
      </c>
      <c r="AD1822" s="6">
        <v>3</v>
      </c>
      <c r="AE1822" t="s">
        <v>745</v>
      </c>
      <c r="AF1822" t="s">
        <v>738</v>
      </c>
      <c r="AG1822" t="s">
        <v>756</v>
      </c>
      <c r="AH1822" t="s">
        <v>756</v>
      </c>
      <c r="AI1822" t="s">
        <v>367</v>
      </c>
      <c r="AJ1822" t="str">
        <f t="shared" ref="AJ1822:AK1822" si="1816">IF($J1822&lt;&gt;"",$J1822,IF($AC1822=$AC1821,AJ1821,""))</f>
        <v/>
      </c>
      <c r="AK1822" t="str">
        <f t="shared" si="1816"/>
        <v/>
      </c>
      <c r="AL1822" t="str">
        <f t="shared" si="1767"/>
        <v/>
      </c>
      <c r="AN1822" t="s">
        <v>862</v>
      </c>
      <c r="AO1822" t="str">
        <f t="shared" si="1768"/>
        <v>a</v>
      </c>
      <c r="AP1822" t="str">
        <f t="shared" si="1776"/>
        <v/>
      </c>
      <c r="AQ1822" t="str">
        <f t="shared" si="1777"/>
        <v/>
      </c>
      <c r="AR1822" t="str">
        <f t="shared" si="1778"/>
        <v>Away</v>
      </c>
      <c r="AS1822" t="str">
        <f t="shared" si="1779"/>
        <v>a</v>
      </c>
      <c r="AT1822" t="str">
        <f t="shared" si="1780"/>
        <v>Offensive</v>
      </c>
      <c r="BA1822" s="6">
        <f t="shared" si="1769"/>
        <v>423</v>
      </c>
      <c r="BB1822">
        <f t="shared" si="1770"/>
        <v>18981</v>
      </c>
      <c r="BC1822" t="str">
        <f t="shared" si="1771"/>
        <v>Nelson</v>
      </c>
      <c r="BD1822" t="str">
        <f t="shared" si="1772"/>
        <v>Velodrome</v>
      </c>
      <c r="BE1822" t="s">
        <v>7</v>
      </c>
      <c r="BF1822" t="s">
        <v>182</v>
      </c>
      <c r="BG1822" t="s">
        <v>68</v>
      </c>
      <c r="BI1822" cm="1">
        <f t="array" aca="1" ref="BI1822" ca="1">IFERROR(_xlfn._xlws.FILTER(shifts!A:A,(shifts!B:B=events!AD1822)*(shifts!AG:AG&gt;=events!BK1822)*(shifts!AH:AH&lt;=events!BL1822)),BI1821)</f>
        <v>81</v>
      </c>
      <c r="BJ1822" s="15">
        <f t="shared" si="1773"/>
        <v>0</v>
      </c>
      <c r="BK1822">
        <f t="shared" si="1781"/>
        <v>871</v>
      </c>
      <c r="BL1822">
        <f t="shared" si="1782"/>
        <v>871</v>
      </c>
      <c r="BM1822" s="15">
        <f>SUMIFS(BJ$2:BJ1822,K$2:K1822,"=Intermission")+SUMIFS(BJ$2:BJ1822,K$2:K1822,"=Timeout")</f>
        <v>142</v>
      </c>
      <c r="BN1822">
        <f t="shared" si="1783"/>
        <v>2302</v>
      </c>
      <c r="BO1822" s="19">
        <f t="shared" si="1784"/>
        <v>2511</v>
      </c>
      <c r="BP1822">
        <f t="shared" si="1785"/>
        <v>2506</v>
      </c>
      <c r="BQ1822" s="17">
        <f t="shared" si="1786"/>
        <v>2511</v>
      </c>
      <c r="BR1822" t="str">
        <f t="shared" si="1787"/>
        <v>event_team_player_2</v>
      </c>
      <c r="BS1822">
        <f>COUNTIFS(S$3:S1822,"="&amp;S1822,AI$3:AI1822,"="&amp;AI1822)</f>
        <v>2</v>
      </c>
      <c r="BT1822" t="str">
        <f>IFERROR(VLOOKUP(BB1822&amp;BU1822&amp;X1822,game_rosters!U:W,3,FALSE),"")</f>
        <v>P100230</v>
      </c>
      <c r="BU1822" t="str">
        <f t="shared" si="1788"/>
        <v>Velodrome</v>
      </c>
    </row>
    <row r="1823" spans="1:73" x14ac:dyDescent="0.2">
      <c r="A1823">
        <f t="shared" si="1774"/>
        <v>1</v>
      </c>
      <c r="J1823" s="44" t="str">
        <f t="shared" si="1789"/>
        <v/>
      </c>
      <c r="K1823" t="s">
        <v>7</v>
      </c>
      <c r="L1823" t="s">
        <v>182</v>
      </c>
      <c r="M1823" t="s">
        <v>68</v>
      </c>
      <c r="S1823">
        <v>958</v>
      </c>
      <c r="W1823" t="str">
        <f t="shared" si="1765"/>
        <v>a</v>
      </c>
      <c r="X1823">
        <v>37</v>
      </c>
      <c r="Y1823" t="b">
        <f>IF(X1823&lt;&gt;"",VLOOKUP(X1823,game_rosters!$C$43:$E$64,3,FALSE))</f>
        <v>0</v>
      </c>
      <c r="Z1823" t="str" cm="1">
        <f t="array" ref="Z1823">IFERROR(IF(_xlfn._xlws.FILTER(game_rosters!$J:$J,(game_rosters!$G:$G=events!$AN1823)*(game_rosters!$J:$J=events!$X1823))&gt;0,1,""),"")</f>
        <v/>
      </c>
      <c r="AA1823">
        <f t="shared" si="1813"/>
        <v>1958</v>
      </c>
      <c r="AB1823" t="str">
        <f t="shared" si="1814"/>
        <v/>
      </c>
      <c r="AC1823">
        <f t="shared" si="1762"/>
        <v>1958</v>
      </c>
      <c r="AD1823" s="6">
        <v>3</v>
      </c>
      <c r="AE1823" t="s">
        <v>745</v>
      </c>
      <c r="AF1823" t="s">
        <v>738</v>
      </c>
      <c r="AG1823" t="s">
        <v>756</v>
      </c>
      <c r="AH1823" t="s">
        <v>756</v>
      </c>
      <c r="AI1823" t="s">
        <v>368</v>
      </c>
      <c r="AJ1823" t="str">
        <f t="shared" ref="AJ1823:AK1823" si="1817">IF($J1823&lt;&gt;"",$J1823,IF($AC1823=$AC1822,AJ1822,""))</f>
        <v/>
      </c>
      <c r="AK1823" t="str">
        <f t="shared" si="1817"/>
        <v/>
      </c>
      <c r="AL1823" t="str">
        <f t="shared" si="1767"/>
        <v/>
      </c>
      <c r="AN1823" t="s">
        <v>862</v>
      </c>
      <c r="AO1823" t="str">
        <f t="shared" si="1768"/>
        <v>a</v>
      </c>
      <c r="AP1823" t="str">
        <f t="shared" si="1776"/>
        <v/>
      </c>
      <c r="AQ1823" t="str">
        <f t="shared" si="1777"/>
        <v/>
      </c>
      <c r="AR1823" t="str">
        <f t="shared" si="1778"/>
        <v>Away</v>
      </c>
      <c r="AS1823" t="str">
        <f t="shared" si="1779"/>
        <v>a</v>
      </c>
      <c r="AT1823" t="str">
        <f t="shared" si="1780"/>
        <v>Defensive</v>
      </c>
      <c r="BA1823" s="6">
        <f t="shared" si="1769"/>
        <v>423</v>
      </c>
      <c r="BB1823">
        <f t="shared" si="1770"/>
        <v>18981</v>
      </c>
      <c r="BC1823" t="str">
        <f t="shared" si="1771"/>
        <v>Nelson</v>
      </c>
      <c r="BD1823" t="str">
        <f t="shared" si="1772"/>
        <v>Velodrome</v>
      </c>
      <c r="BE1823" t="s">
        <v>7</v>
      </c>
      <c r="BF1823" t="s">
        <v>182</v>
      </c>
      <c r="BG1823" t="s">
        <v>68</v>
      </c>
      <c r="BI1823" cm="1">
        <f t="array" aca="1" ref="BI1823" ca="1">IFERROR(_xlfn._xlws.FILTER(shifts!A:A,(shifts!B:B=events!AD1823)*(shifts!AG:AG&gt;=events!BK1823)*(shifts!AH:AH&lt;=events!BL1823)),BI1822)</f>
        <v>81</v>
      </c>
      <c r="BJ1823" s="15">
        <f t="shared" si="1773"/>
        <v>0</v>
      </c>
      <c r="BK1823">
        <f t="shared" si="1781"/>
        <v>871</v>
      </c>
      <c r="BL1823">
        <f t="shared" si="1782"/>
        <v>871</v>
      </c>
      <c r="BM1823" s="15">
        <f>SUMIFS(BJ$2:BJ1823,K$2:K1823,"=Intermission")+SUMIFS(BJ$2:BJ1823,K$2:K1823,"=Timeout")</f>
        <v>142</v>
      </c>
      <c r="BN1823">
        <f t="shared" si="1783"/>
        <v>2302</v>
      </c>
      <c r="BO1823" s="19">
        <f t="shared" si="1784"/>
        <v>2511</v>
      </c>
      <c r="BP1823">
        <f t="shared" si="1785"/>
        <v>2506</v>
      </c>
      <c r="BQ1823" s="17">
        <f t="shared" si="1786"/>
        <v>2511</v>
      </c>
      <c r="BR1823" t="str">
        <f t="shared" si="1787"/>
        <v>opp_team_player_1</v>
      </c>
      <c r="BS1823">
        <f>COUNTIFS(S$3:S1823,"="&amp;S1823,AI$3:AI1823,"="&amp;AI1823)</f>
        <v>1</v>
      </c>
      <c r="BT1823" t="str">
        <f>IFERROR(VLOOKUP(BB1823&amp;BU1823&amp;X1823,game_rosters!U:W,3,FALSE),"")</f>
        <v>P100119</v>
      </c>
      <c r="BU1823" t="str">
        <f t="shared" si="1788"/>
        <v>Nelson</v>
      </c>
    </row>
    <row r="1824" spans="1:73" x14ac:dyDescent="0.2">
      <c r="A1824">
        <f t="shared" si="1774"/>
        <v>1</v>
      </c>
      <c r="J1824" s="44" t="str">
        <f t="shared" si="1789"/>
        <v>o</v>
      </c>
      <c r="K1824" t="s">
        <v>238</v>
      </c>
      <c r="L1824" t="s">
        <v>174</v>
      </c>
      <c r="M1824" t="s">
        <v>390</v>
      </c>
      <c r="S1824">
        <v>959</v>
      </c>
      <c r="W1824" t="str">
        <f t="shared" si="1765"/>
        <v>a</v>
      </c>
      <c r="X1824">
        <v>91</v>
      </c>
      <c r="Y1824" t="e">
        <f>IF(X1824&lt;&gt;"",VLOOKUP(X1824,game_rosters!$C$43:$E$64,3,FALSE))</f>
        <v>#N/A</v>
      </c>
      <c r="Z1824" cm="1">
        <f t="array" ref="Z1824">IFERROR(IF(_xlfn._xlws.FILTER(game_rosters!$J:$J,(game_rosters!$G:$G=events!$AN1824)*(game_rosters!$J:$J=events!$X1824))&gt;0,1,""),"")</f>
        <v>1</v>
      </c>
      <c r="AA1824">
        <f t="shared" si="1813"/>
        <v>1959</v>
      </c>
      <c r="AB1824" t="str">
        <f t="shared" si="1814"/>
        <v/>
      </c>
      <c r="AC1824">
        <f t="shared" si="1762"/>
        <v>1959</v>
      </c>
      <c r="AD1824" s="6">
        <v>3</v>
      </c>
      <c r="AE1824" t="s">
        <v>745</v>
      </c>
      <c r="AF1824" t="s">
        <v>738</v>
      </c>
      <c r="AG1824" t="s">
        <v>756</v>
      </c>
      <c r="AH1824" t="s">
        <v>756</v>
      </c>
      <c r="AI1824" t="s">
        <v>367</v>
      </c>
      <c r="AJ1824" t="str">
        <f t="shared" ref="AJ1824:AK1824" si="1818">IF($J1824&lt;&gt;"",$J1824,IF($AC1824=$AC1823,AJ1823,""))</f>
        <v>o</v>
      </c>
      <c r="AK1824" t="str">
        <f t="shared" si="1818"/>
        <v>o</v>
      </c>
      <c r="AL1824" t="str">
        <f t="shared" si="1767"/>
        <v>d</v>
      </c>
      <c r="AN1824" t="s">
        <v>862</v>
      </c>
      <c r="AO1824" t="str">
        <f t="shared" si="1768"/>
        <v>a</v>
      </c>
      <c r="AP1824" t="str">
        <f t="shared" si="1776"/>
        <v>d</v>
      </c>
      <c r="AQ1824" t="str">
        <f t="shared" si="1777"/>
        <v/>
      </c>
      <c r="AR1824" t="str">
        <f t="shared" si="1778"/>
        <v>Away</v>
      </c>
      <c r="AS1824" t="str">
        <f t="shared" si="1779"/>
        <v>a</v>
      </c>
      <c r="AT1824" t="str">
        <f t="shared" si="1780"/>
        <v>Offensive</v>
      </c>
      <c r="BA1824" s="6">
        <f t="shared" si="1769"/>
        <v>424</v>
      </c>
      <c r="BB1824">
        <f t="shared" si="1770"/>
        <v>18981</v>
      </c>
      <c r="BC1824" t="str">
        <f t="shared" si="1771"/>
        <v>Nelson</v>
      </c>
      <c r="BD1824" t="str">
        <f t="shared" si="1772"/>
        <v>Velodrome</v>
      </c>
      <c r="BE1824" t="s">
        <v>238</v>
      </c>
      <c r="BF1824" t="s">
        <v>174</v>
      </c>
      <c r="BG1824" t="s">
        <v>390</v>
      </c>
      <c r="BI1824" cm="1">
        <f t="array" aca="1" ref="BI1824" ca="1">IFERROR(_xlfn._xlws.FILTER(shifts!A:A,(shifts!B:B=events!AD1824)*(shifts!AG:AG&gt;=events!BK1824)*(shifts!AH:AH&lt;=events!BL1824)),BI1823)</f>
        <v>81</v>
      </c>
      <c r="BJ1824" s="15">
        <f t="shared" si="1773"/>
        <v>0</v>
      </c>
      <c r="BK1824">
        <f t="shared" si="1781"/>
        <v>871</v>
      </c>
      <c r="BL1824">
        <f t="shared" si="1782"/>
        <v>871</v>
      </c>
      <c r="BM1824" s="15">
        <f>SUMIFS(BJ$2:BJ1824,K$2:K1824,"=Intermission")+SUMIFS(BJ$2:BJ1824,K$2:K1824,"=Timeout")</f>
        <v>142</v>
      </c>
      <c r="BN1824">
        <f t="shared" si="1783"/>
        <v>2302</v>
      </c>
      <c r="BO1824" s="19">
        <f t="shared" si="1784"/>
        <v>2511</v>
      </c>
      <c r="BP1824">
        <f t="shared" si="1785"/>
        <v>2506</v>
      </c>
      <c r="BQ1824" s="17">
        <f t="shared" si="1786"/>
        <v>2511</v>
      </c>
      <c r="BR1824" t="str">
        <f t="shared" si="1787"/>
        <v>event_team_player_1</v>
      </c>
      <c r="BS1824">
        <f>COUNTIFS(S$3:S1824,"="&amp;S1824,AI$3:AI1824,"="&amp;AI1824)</f>
        <v>1</v>
      </c>
      <c r="BT1824" t="str">
        <f>IFERROR(VLOOKUP(BB1824&amp;BU1824&amp;X1824,game_rosters!U:W,3,FALSE),"")</f>
        <v>P100002</v>
      </c>
      <c r="BU1824" t="str">
        <f t="shared" si="1788"/>
        <v>Velodrome</v>
      </c>
    </row>
    <row r="1825" spans="1:73" x14ac:dyDescent="0.2">
      <c r="A1825">
        <f t="shared" si="1774"/>
        <v>1</v>
      </c>
      <c r="J1825" s="44" t="str">
        <f t="shared" si="1789"/>
        <v/>
      </c>
      <c r="K1825" t="s">
        <v>9</v>
      </c>
      <c r="L1825" t="s">
        <v>173</v>
      </c>
      <c r="M1825" t="s">
        <v>74</v>
      </c>
      <c r="S1825">
        <v>960</v>
      </c>
      <c r="W1825" t="str">
        <f t="shared" si="1765"/>
        <v>a</v>
      </c>
      <c r="X1825">
        <v>91</v>
      </c>
      <c r="Y1825" t="e">
        <f>IF(X1825&lt;&gt;"",VLOOKUP(X1825,game_rosters!$C$43:$E$64,3,FALSE))</f>
        <v>#N/A</v>
      </c>
      <c r="Z1825" cm="1">
        <f t="array" ref="Z1825">IFERROR(IF(_xlfn._xlws.FILTER(game_rosters!$J:$J,(game_rosters!$G:$G=events!$AN1825)*(game_rosters!$J:$J=events!$X1825))&gt;0,1,""),"")</f>
        <v>1</v>
      </c>
      <c r="AA1825">
        <f t="shared" si="1813"/>
        <v>1960</v>
      </c>
      <c r="AB1825" t="str">
        <f t="shared" si="1814"/>
        <v/>
      </c>
      <c r="AC1825">
        <f t="shared" si="1762"/>
        <v>1960</v>
      </c>
      <c r="AD1825" s="6">
        <v>3</v>
      </c>
      <c r="AE1825" t="s">
        <v>745</v>
      </c>
      <c r="AF1825" t="s">
        <v>738</v>
      </c>
      <c r="AG1825" t="s">
        <v>756</v>
      </c>
      <c r="AH1825" t="s">
        <v>756</v>
      </c>
      <c r="AI1825" t="s">
        <v>367</v>
      </c>
      <c r="AJ1825" t="str">
        <f t="shared" ref="AJ1825:AK1825" si="1819">IF($J1825&lt;&gt;"",$J1825,IF($AC1825=$AC1824,AJ1824,""))</f>
        <v/>
      </c>
      <c r="AK1825" t="str">
        <f t="shared" si="1819"/>
        <v/>
      </c>
      <c r="AL1825" t="str">
        <f t="shared" si="1767"/>
        <v/>
      </c>
      <c r="AN1825" t="s">
        <v>862</v>
      </c>
      <c r="AO1825" t="str">
        <f t="shared" si="1768"/>
        <v>a</v>
      </c>
      <c r="AP1825" t="str">
        <f t="shared" si="1776"/>
        <v/>
      </c>
      <c r="AQ1825" t="str">
        <f t="shared" si="1777"/>
        <v/>
      </c>
      <c r="AR1825" t="str">
        <f t="shared" si="1778"/>
        <v>Away</v>
      </c>
      <c r="AS1825" t="str">
        <f t="shared" si="1779"/>
        <v>a</v>
      </c>
      <c r="AT1825" t="str">
        <f t="shared" si="1780"/>
        <v>Offensive</v>
      </c>
      <c r="BA1825" s="6">
        <f t="shared" si="1769"/>
        <v>424</v>
      </c>
      <c r="BB1825">
        <f t="shared" si="1770"/>
        <v>18981</v>
      </c>
      <c r="BC1825" t="str">
        <f t="shared" si="1771"/>
        <v>Nelson</v>
      </c>
      <c r="BD1825" t="str">
        <f t="shared" si="1772"/>
        <v>Velodrome</v>
      </c>
      <c r="BE1825" t="s">
        <v>9</v>
      </c>
      <c r="BF1825" t="s">
        <v>173</v>
      </c>
      <c r="BG1825" t="s">
        <v>74</v>
      </c>
      <c r="BI1825" cm="1">
        <f t="array" aca="1" ref="BI1825" ca="1">IFERROR(_xlfn._xlws.FILTER(shifts!A:A,(shifts!B:B=events!AD1825)*(shifts!AG:AG&gt;=events!BK1825)*(shifts!AH:AH&lt;=events!BL1825)),BI1824)</f>
        <v>81</v>
      </c>
      <c r="BJ1825" s="15">
        <f t="shared" si="1773"/>
        <v>0</v>
      </c>
      <c r="BK1825">
        <f t="shared" si="1781"/>
        <v>871</v>
      </c>
      <c r="BL1825">
        <f t="shared" si="1782"/>
        <v>871</v>
      </c>
      <c r="BM1825" s="15">
        <f>SUMIFS(BJ$2:BJ1825,K$2:K1825,"=Intermission")+SUMIFS(BJ$2:BJ1825,K$2:K1825,"=Timeout")</f>
        <v>142</v>
      </c>
      <c r="BN1825">
        <f t="shared" si="1783"/>
        <v>2302</v>
      </c>
      <c r="BO1825" s="19">
        <f t="shared" si="1784"/>
        <v>2511</v>
      </c>
      <c r="BP1825">
        <f t="shared" si="1785"/>
        <v>2506</v>
      </c>
      <c r="BQ1825" s="17">
        <f t="shared" si="1786"/>
        <v>2511</v>
      </c>
      <c r="BR1825" t="str">
        <f t="shared" si="1787"/>
        <v>event_team_player_1</v>
      </c>
      <c r="BS1825">
        <f>COUNTIFS(S$3:S1825,"="&amp;S1825,AI$3:AI1825,"="&amp;AI1825)</f>
        <v>1</v>
      </c>
      <c r="BT1825" t="str">
        <f>IFERROR(VLOOKUP(BB1825&amp;BU1825&amp;X1825,game_rosters!U:W,3,FALSE),"")</f>
        <v>P100002</v>
      </c>
      <c r="BU1825" t="str">
        <f t="shared" si="1788"/>
        <v>Velodrome</v>
      </c>
    </row>
    <row r="1826" spans="1:73" x14ac:dyDescent="0.2">
      <c r="A1826">
        <f t="shared" si="1774"/>
        <v>1</v>
      </c>
      <c r="J1826" s="44" t="str">
        <f t="shared" si="1789"/>
        <v/>
      </c>
      <c r="K1826" t="s">
        <v>13</v>
      </c>
      <c r="L1826" t="s">
        <v>756</v>
      </c>
      <c r="M1826" t="s">
        <v>756</v>
      </c>
      <c r="S1826">
        <v>961</v>
      </c>
      <c r="W1826" t="str">
        <f t="shared" si="1765"/>
        <v>h</v>
      </c>
      <c r="X1826">
        <v>37</v>
      </c>
      <c r="Y1826" t="b">
        <f>IF(X1826&lt;&gt;"",VLOOKUP(X1826,game_rosters!$C$43:$E$64,3,FALSE))</f>
        <v>0</v>
      </c>
      <c r="Z1826" cm="1">
        <f t="array" ref="Z1826">IFERROR(IF(_xlfn._xlws.FILTER(game_rosters!$J:$J,(game_rosters!$G:$G=events!$AN1826)*(game_rosters!$J:$J=events!$X1826))&gt;0,1,""),"")</f>
        <v>1</v>
      </c>
      <c r="AA1826">
        <f t="shared" si="1813"/>
        <v>1961</v>
      </c>
      <c r="AB1826" t="str">
        <f t="shared" si="1814"/>
        <v/>
      </c>
      <c r="AC1826">
        <f t="shared" si="1762"/>
        <v>1961</v>
      </c>
      <c r="AD1826" s="6">
        <v>3</v>
      </c>
      <c r="AE1826" t="s">
        <v>745</v>
      </c>
      <c r="AF1826" t="s">
        <v>930</v>
      </c>
      <c r="AG1826" t="s">
        <v>745</v>
      </c>
      <c r="AH1826" t="s">
        <v>740</v>
      </c>
      <c r="AI1826" t="s">
        <v>367</v>
      </c>
      <c r="AJ1826" t="str">
        <f t="shared" ref="AJ1826:AK1826" si="1820">IF($J1826&lt;&gt;"",$J1826,IF($AC1826=$AC1825,AJ1825,""))</f>
        <v/>
      </c>
      <c r="AK1826" t="str">
        <f t="shared" si="1820"/>
        <v/>
      </c>
      <c r="AL1826" t="str">
        <f t="shared" si="1767"/>
        <v/>
      </c>
      <c r="AN1826" t="s">
        <v>861</v>
      </c>
      <c r="AO1826" t="str">
        <f t="shared" si="1768"/>
        <v>h</v>
      </c>
      <c r="AP1826" t="str">
        <f t="shared" si="1776"/>
        <v/>
      </c>
      <c r="AQ1826" t="str">
        <f t="shared" si="1777"/>
        <v/>
      </c>
      <c r="AR1826" t="str">
        <f t="shared" si="1778"/>
        <v>Home</v>
      </c>
      <c r="AS1826" t="str">
        <f t="shared" si="1779"/>
        <v>h</v>
      </c>
      <c r="AT1826" t="str">
        <f t="shared" si="1780"/>
        <v>Offensive</v>
      </c>
      <c r="BA1826" s="6">
        <f t="shared" si="1769"/>
        <v>424</v>
      </c>
      <c r="BB1826">
        <f t="shared" si="1770"/>
        <v>18981</v>
      </c>
      <c r="BC1826" t="str">
        <f t="shared" si="1771"/>
        <v>Nelson</v>
      </c>
      <c r="BD1826" t="str">
        <f t="shared" si="1772"/>
        <v>Velodrome</v>
      </c>
      <c r="BE1826" t="s">
        <v>13</v>
      </c>
      <c r="BF1826" t="s">
        <v>756</v>
      </c>
      <c r="BG1826" t="s">
        <v>756</v>
      </c>
      <c r="BI1826" cm="1">
        <f t="array" aca="1" ref="BI1826" ca="1">IFERROR(_xlfn._xlws.FILTER(shifts!A:A,(shifts!B:B=events!AD1826)*(shifts!AG:AG&gt;=events!BK1826)*(shifts!AH:AH&lt;=events!BL1826)),BI1825)</f>
        <v>82</v>
      </c>
      <c r="BJ1826" s="15">
        <f t="shared" si="1773"/>
        <v>3</v>
      </c>
      <c r="BK1826">
        <f t="shared" si="1781"/>
        <v>868</v>
      </c>
      <c r="BL1826">
        <f t="shared" si="1782"/>
        <v>865</v>
      </c>
      <c r="BM1826" s="15">
        <f>SUMIFS(BJ$2:BJ1826,K$2:K1826,"=Intermission")+SUMIFS(BJ$2:BJ1826,K$2:K1826,"=Timeout")</f>
        <v>142</v>
      </c>
      <c r="BN1826">
        <f t="shared" si="1783"/>
        <v>2302</v>
      </c>
      <c r="BO1826" s="19">
        <f t="shared" si="1784"/>
        <v>2514</v>
      </c>
      <c r="BP1826">
        <f t="shared" si="1785"/>
        <v>2509</v>
      </c>
      <c r="BQ1826" s="17">
        <f t="shared" si="1786"/>
        <v>2517</v>
      </c>
      <c r="BR1826" t="str">
        <f t="shared" si="1787"/>
        <v>event_team_player_1</v>
      </c>
      <c r="BS1826">
        <f>COUNTIFS(S$3:S1826,"="&amp;S1826,AI$3:AI1826,"="&amp;AI1826)</f>
        <v>1</v>
      </c>
      <c r="BT1826" t="str">
        <f>IFERROR(VLOOKUP(BB1826&amp;BU1826&amp;X1826,game_rosters!U:W,3,FALSE),"")</f>
        <v>P100119</v>
      </c>
      <c r="BU1826" t="str">
        <f t="shared" si="1788"/>
        <v>Nelson</v>
      </c>
    </row>
    <row r="1827" spans="1:73" x14ac:dyDescent="0.2">
      <c r="A1827">
        <f t="shared" si="1774"/>
        <v>1</v>
      </c>
      <c r="J1827" s="44" t="str">
        <f t="shared" si="1789"/>
        <v/>
      </c>
      <c r="K1827" t="s">
        <v>7</v>
      </c>
      <c r="L1827" t="s">
        <v>172</v>
      </c>
      <c r="M1827" t="s">
        <v>65</v>
      </c>
      <c r="S1827">
        <v>962</v>
      </c>
      <c r="W1827" t="str">
        <f t="shared" si="1765"/>
        <v>h</v>
      </c>
      <c r="X1827">
        <v>37</v>
      </c>
      <c r="Y1827" t="b">
        <f>IF(X1827&lt;&gt;"",VLOOKUP(X1827,game_rosters!$C$43:$E$64,3,FALSE))</f>
        <v>0</v>
      </c>
      <c r="Z1827" cm="1">
        <f t="array" ref="Z1827">IFERROR(IF(_xlfn._xlws.FILTER(game_rosters!$J:$J,(game_rosters!$G:$G=events!$AN1827)*(game_rosters!$J:$J=events!$X1827))&gt;0,1,""),"")</f>
        <v>1</v>
      </c>
      <c r="AA1827">
        <f t="shared" si="1813"/>
        <v>1962</v>
      </c>
      <c r="AB1827" t="str">
        <f t="shared" si="1814"/>
        <v/>
      </c>
      <c r="AC1827">
        <f t="shared" si="1762"/>
        <v>1962</v>
      </c>
      <c r="AD1827" s="6">
        <v>3</v>
      </c>
      <c r="AE1827" t="s">
        <v>745</v>
      </c>
      <c r="AF1827" t="s">
        <v>740</v>
      </c>
      <c r="AG1827" t="s">
        <v>756</v>
      </c>
      <c r="AH1827" t="s">
        <v>756</v>
      </c>
      <c r="AI1827" t="s">
        <v>367</v>
      </c>
      <c r="AJ1827" t="str">
        <f t="shared" ref="AJ1827:AK1827" si="1821">IF($J1827&lt;&gt;"",$J1827,IF($AC1827=$AC1826,AJ1826,""))</f>
        <v/>
      </c>
      <c r="AK1827" t="str">
        <f t="shared" si="1821"/>
        <v/>
      </c>
      <c r="AL1827" t="str">
        <f t="shared" si="1767"/>
        <v/>
      </c>
      <c r="AN1827" t="s">
        <v>861</v>
      </c>
      <c r="AO1827" t="str">
        <f t="shared" si="1768"/>
        <v>h</v>
      </c>
      <c r="AP1827" t="str">
        <f t="shared" si="1776"/>
        <v/>
      </c>
      <c r="AQ1827" t="str">
        <f t="shared" si="1777"/>
        <v/>
      </c>
      <c r="AR1827" t="str">
        <f t="shared" si="1778"/>
        <v>Home</v>
      </c>
      <c r="AS1827" t="str">
        <f t="shared" si="1779"/>
        <v>h</v>
      </c>
      <c r="AT1827" t="str">
        <f t="shared" si="1780"/>
        <v>Offensive</v>
      </c>
      <c r="BA1827" s="6">
        <f t="shared" si="1769"/>
        <v>424</v>
      </c>
      <c r="BB1827">
        <f t="shared" si="1770"/>
        <v>18981</v>
      </c>
      <c r="BC1827" t="str">
        <f t="shared" si="1771"/>
        <v>Nelson</v>
      </c>
      <c r="BD1827" t="str">
        <f t="shared" si="1772"/>
        <v>Velodrome</v>
      </c>
      <c r="BE1827" t="s">
        <v>7</v>
      </c>
      <c r="BF1827" t="s">
        <v>172</v>
      </c>
      <c r="BG1827" t="s">
        <v>65</v>
      </c>
      <c r="BI1827" cm="1">
        <f t="array" aca="1" ref="BI1827" ca="1">IFERROR(_xlfn._xlws.FILTER(shifts!A:A,(shifts!B:B=events!AD1827)*(shifts!AG:AG&gt;=events!BK1827)*(shifts!AH:AH&lt;=events!BL1827)),BI1826)</f>
        <v>82</v>
      </c>
      <c r="BJ1827" s="15">
        <f t="shared" si="1773"/>
        <v>0</v>
      </c>
      <c r="BK1827">
        <f t="shared" si="1781"/>
        <v>865</v>
      </c>
      <c r="BL1827">
        <f t="shared" si="1782"/>
        <v>865</v>
      </c>
      <c r="BM1827" s="15">
        <f>SUMIFS(BJ$2:BJ1827,K$2:K1827,"=Intermission")+SUMIFS(BJ$2:BJ1827,K$2:K1827,"=Timeout")</f>
        <v>142</v>
      </c>
      <c r="BN1827">
        <f t="shared" si="1783"/>
        <v>2302</v>
      </c>
      <c r="BO1827" s="19">
        <f t="shared" si="1784"/>
        <v>2517</v>
      </c>
      <c r="BP1827">
        <f t="shared" si="1785"/>
        <v>2512</v>
      </c>
      <c r="BQ1827" s="17">
        <f t="shared" si="1786"/>
        <v>2517</v>
      </c>
      <c r="BR1827" t="str">
        <f t="shared" si="1787"/>
        <v>event_team_player_1</v>
      </c>
      <c r="BS1827">
        <f>COUNTIFS(S$3:S1827,"="&amp;S1827,AI$3:AI1827,"="&amp;AI1827)</f>
        <v>1</v>
      </c>
      <c r="BT1827" t="str">
        <f>IFERROR(VLOOKUP(BB1827&amp;BU1827&amp;X1827,game_rosters!U:W,3,FALSE),"")</f>
        <v>P100119</v>
      </c>
      <c r="BU1827" t="str">
        <f t="shared" si="1788"/>
        <v>Nelson</v>
      </c>
    </row>
    <row r="1828" spans="1:73" x14ac:dyDescent="0.2">
      <c r="A1828">
        <f t="shared" si="1774"/>
        <v>1</v>
      </c>
      <c r="J1828" s="44" t="str">
        <f t="shared" si="1789"/>
        <v/>
      </c>
      <c r="K1828" t="s">
        <v>7</v>
      </c>
      <c r="L1828" t="s">
        <v>172</v>
      </c>
      <c r="M1828" t="s">
        <v>65</v>
      </c>
      <c r="S1828">
        <v>962</v>
      </c>
      <c r="W1828" t="str">
        <f t="shared" si="1765"/>
        <v>h</v>
      </c>
      <c r="X1828">
        <v>7</v>
      </c>
      <c r="Y1828" t="b">
        <f>IF(X1828&lt;&gt;"",VLOOKUP(X1828,game_rosters!$C$43:$E$64,3,FALSE))</f>
        <v>0</v>
      </c>
      <c r="Z1828" cm="1">
        <f t="array" ref="Z1828">IFERROR(IF(_xlfn._xlws.FILTER(game_rosters!$J:$J,(game_rosters!$G:$G=events!$AN1828)*(game_rosters!$J:$J=events!$X1828))&gt;0,1,""),"")</f>
        <v>1</v>
      </c>
      <c r="AA1828">
        <f t="shared" si="1813"/>
        <v>1962</v>
      </c>
      <c r="AB1828" t="str">
        <f t="shared" si="1814"/>
        <v/>
      </c>
      <c r="AC1828">
        <f t="shared" si="1762"/>
        <v>1962</v>
      </c>
      <c r="AD1828" s="6">
        <v>3</v>
      </c>
      <c r="AE1828" t="s">
        <v>745</v>
      </c>
      <c r="AF1828" t="s">
        <v>740</v>
      </c>
      <c r="AG1828" t="s">
        <v>756</v>
      </c>
      <c r="AH1828" t="s">
        <v>756</v>
      </c>
      <c r="AI1828" t="s">
        <v>367</v>
      </c>
      <c r="AJ1828" t="str">
        <f t="shared" ref="AJ1828:AK1828" si="1822">IF($J1828&lt;&gt;"",$J1828,IF($AC1828=$AC1827,AJ1827,""))</f>
        <v/>
      </c>
      <c r="AK1828" t="str">
        <f t="shared" si="1822"/>
        <v/>
      </c>
      <c r="AL1828" t="str">
        <f t="shared" si="1767"/>
        <v/>
      </c>
      <c r="AN1828" t="s">
        <v>861</v>
      </c>
      <c r="AO1828" t="str">
        <f t="shared" si="1768"/>
        <v>h</v>
      </c>
      <c r="AP1828" t="str">
        <f t="shared" si="1776"/>
        <v/>
      </c>
      <c r="AQ1828" t="str">
        <f t="shared" si="1777"/>
        <v/>
      </c>
      <c r="AR1828" t="str">
        <f t="shared" si="1778"/>
        <v>Home</v>
      </c>
      <c r="AS1828" t="str">
        <f t="shared" si="1779"/>
        <v>h</v>
      </c>
      <c r="AT1828" t="str">
        <f t="shared" si="1780"/>
        <v>Offensive</v>
      </c>
      <c r="BA1828" s="6">
        <f t="shared" si="1769"/>
        <v>424</v>
      </c>
      <c r="BB1828">
        <f t="shared" si="1770"/>
        <v>18981</v>
      </c>
      <c r="BC1828" t="str">
        <f t="shared" si="1771"/>
        <v>Nelson</v>
      </c>
      <c r="BD1828" t="str">
        <f t="shared" si="1772"/>
        <v>Velodrome</v>
      </c>
      <c r="BE1828" t="s">
        <v>7</v>
      </c>
      <c r="BF1828" t="s">
        <v>172</v>
      </c>
      <c r="BG1828" t="s">
        <v>65</v>
      </c>
      <c r="BI1828" cm="1">
        <f t="array" aca="1" ref="BI1828" ca="1">IFERROR(_xlfn._xlws.FILTER(shifts!A:A,(shifts!B:B=events!AD1828)*(shifts!AG:AG&gt;=events!BK1828)*(shifts!AH:AH&lt;=events!BL1828)),BI1827)</f>
        <v>82</v>
      </c>
      <c r="BJ1828" s="15">
        <f t="shared" si="1773"/>
        <v>0</v>
      </c>
      <c r="BK1828">
        <f t="shared" si="1781"/>
        <v>865</v>
      </c>
      <c r="BL1828">
        <f t="shared" si="1782"/>
        <v>865</v>
      </c>
      <c r="BM1828" s="15">
        <f>SUMIFS(BJ$2:BJ1828,K$2:K1828,"=Intermission")+SUMIFS(BJ$2:BJ1828,K$2:K1828,"=Timeout")</f>
        <v>142</v>
      </c>
      <c r="BN1828">
        <f t="shared" si="1783"/>
        <v>2302</v>
      </c>
      <c r="BO1828" s="19">
        <f t="shared" si="1784"/>
        <v>2517</v>
      </c>
      <c r="BP1828">
        <f t="shared" si="1785"/>
        <v>2512</v>
      </c>
      <c r="BQ1828" s="17">
        <f t="shared" si="1786"/>
        <v>2517</v>
      </c>
      <c r="BR1828" t="str">
        <f t="shared" si="1787"/>
        <v>event_team_player_2</v>
      </c>
      <c r="BS1828">
        <f>COUNTIFS(S$3:S1828,"="&amp;S1828,AI$3:AI1828,"="&amp;AI1828)</f>
        <v>2</v>
      </c>
      <c r="BT1828" t="str">
        <f>IFERROR(VLOOKUP(BB1828&amp;BU1828&amp;X1828,game_rosters!U:W,3,FALSE),"")</f>
        <v>P100072</v>
      </c>
      <c r="BU1828" t="str">
        <f t="shared" si="1788"/>
        <v>Nelson</v>
      </c>
    </row>
    <row r="1829" spans="1:73" x14ac:dyDescent="0.2">
      <c r="A1829">
        <f t="shared" si="1774"/>
        <v>1</v>
      </c>
      <c r="J1829" s="44" t="str">
        <f t="shared" si="1789"/>
        <v>d</v>
      </c>
      <c r="K1829" t="s">
        <v>238</v>
      </c>
      <c r="L1829" t="s">
        <v>184</v>
      </c>
      <c r="M1829" t="s">
        <v>89</v>
      </c>
      <c r="S1829">
        <v>963</v>
      </c>
      <c r="W1829" t="str">
        <f t="shared" si="1765"/>
        <v>h</v>
      </c>
      <c r="X1829">
        <v>37</v>
      </c>
      <c r="Y1829" t="b">
        <f>IF(X1829&lt;&gt;"",VLOOKUP(X1829,game_rosters!$C$43:$E$64,3,FALSE))</f>
        <v>0</v>
      </c>
      <c r="Z1829" cm="1">
        <f t="array" ref="Z1829">IFERROR(IF(_xlfn._xlws.FILTER(game_rosters!$J:$J,(game_rosters!$G:$G=events!$AN1829)*(game_rosters!$J:$J=events!$X1829))&gt;0,1,""),"")</f>
        <v>1</v>
      </c>
      <c r="AA1829">
        <f t="shared" si="1813"/>
        <v>1963</v>
      </c>
      <c r="AB1829" t="str">
        <f t="shared" si="1814"/>
        <v/>
      </c>
      <c r="AC1829">
        <f t="shared" si="1762"/>
        <v>1963</v>
      </c>
      <c r="AD1829" s="6">
        <v>3</v>
      </c>
      <c r="AE1829" t="s">
        <v>745</v>
      </c>
      <c r="AF1829" t="s">
        <v>740</v>
      </c>
      <c r="AG1829" t="s">
        <v>756</v>
      </c>
      <c r="AH1829" t="s">
        <v>756</v>
      </c>
      <c r="AI1829" t="s">
        <v>367</v>
      </c>
      <c r="AJ1829" t="str">
        <f t="shared" ref="AJ1829:AK1829" si="1823">IF($J1829&lt;&gt;"",$J1829,IF($AC1829=$AC1828,AJ1828,""))</f>
        <v>d</v>
      </c>
      <c r="AK1829" t="str">
        <f t="shared" si="1823"/>
        <v>d</v>
      </c>
      <c r="AL1829" t="str">
        <f t="shared" si="1767"/>
        <v>d</v>
      </c>
      <c r="AN1829" t="s">
        <v>861</v>
      </c>
      <c r="AO1829" t="str">
        <f t="shared" si="1768"/>
        <v>h</v>
      </c>
      <c r="AP1829" t="str">
        <f t="shared" si="1776"/>
        <v>d</v>
      </c>
      <c r="AQ1829" t="str">
        <f t="shared" si="1777"/>
        <v/>
      </c>
      <c r="AR1829" t="str">
        <f t="shared" si="1778"/>
        <v>Home</v>
      </c>
      <c r="AS1829" t="str">
        <f t="shared" si="1779"/>
        <v>h</v>
      </c>
      <c r="AT1829" t="str">
        <f t="shared" si="1780"/>
        <v>Offensive</v>
      </c>
      <c r="BA1829" s="6">
        <f t="shared" si="1769"/>
        <v>425</v>
      </c>
      <c r="BB1829">
        <f t="shared" si="1770"/>
        <v>18981</v>
      </c>
      <c r="BC1829" t="str">
        <f t="shared" si="1771"/>
        <v>Nelson</v>
      </c>
      <c r="BD1829" t="str">
        <f t="shared" si="1772"/>
        <v>Velodrome</v>
      </c>
      <c r="BE1829" t="s">
        <v>238</v>
      </c>
      <c r="BF1829" t="s">
        <v>184</v>
      </c>
      <c r="BG1829" t="s">
        <v>89</v>
      </c>
      <c r="BI1829" cm="1">
        <f t="array" aca="1" ref="BI1829" ca="1">IFERROR(_xlfn._xlws.FILTER(shifts!A:A,(shifts!B:B=events!AD1829)*(shifts!AG:AG&gt;=events!BK1829)*(shifts!AH:AH&lt;=events!BL1829)),BI1828)</f>
        <v>82</v>
      </c>
      <c r="BJ1829" s="15">
        <f t="shared" si="1773"/>
        <v>0</v>
      </c>
      <c r="BK1829">
        <f t="shared" si="1781"/>
        <v>865</v>
      </c>
      <c r="BL1829">
        <f t="shared" si="1782"/>
        <v>865</v>
      </c>
      <c r="BM1829" s="15">
        <f>SUMIFS(BJ$2:BJ1829,K$2:K1829,"=Intermission")+SUMIFS(BJ$2:BJ1829,K$2:K1829,"=Timeout")</f>
        <v>142</v>
      </c>
      <c r="BN1829">
        <f t="shared" si="1783"/>
        <v>2302</v>
      </c>
      <c r="BO1829" s="19">
        <f t="shared" si="1784"/>
        <v>2517</v>
      </c>
      <c r="BP1829">
        <f t="shared" si="1785"/>
        <v>2512</v>
      </c>
      <c r="BQ1829" s="17">
        <f t="shared" si="1786"/>
        <v>2517</v>
      </c>
      <c r="BR1829" t="str">
        <f t="shared" si="1787"/>
        <v>event_team_player_1</v>
      </c>
      <c r="BS1829">
        <f>COUNTIFS(S$3:S1829,"="&amp;S1829,AI$3:AI1829,"="&amp;AI1829)</f>
        <v>1</v>
      </c>
      <c r="BT1829" t="str">
        <f>IFERROR(VLOOKUP(BB1829&amp;BU1829&amp;X1829,game_rosters!U:W,3,FALSE),"")</f>
        <v>P100119</v>
      </c>
      <c r="BU1829" t="str">
        <f t="shared" si="1788"/>
        <v>Nelson</v>
      </c>
    </row>
    <row r="1830" spans="1:73" x14ac:dyDescent="0.2">
      <c r="A1830">
        <f t="shared" si="1774"/>
        <v>1</v>
      </c>
      <c r="J1830" s="44" t="str">
        <f t="shared" si="1789"/>
        <v>d</v>
      </c>
      <c r="K1830" t="s">
        <v>238</v>
      </c>
      <c r="L1830" t="s">
        <v>184</v>
      </c>
      <c r="M1830" t="s">
        <v>89</v>
      </c>
      <c r="S1830">
        <v>963</v>
      </c>
      <c r="W1830" t="str">
        <f t="shared" si="1765"/>
        <v>h</v>
      </c>
      <c r="X1830">
        <v>7</v>
      </c>
      <c r="Y1830" t="b">
        <f>IF(X1830&lt;&gt;"",VLOOKUP(X1830,game_rosters!$C$43:$E$64,3,FALSE))</f>
        <v>0</v>
      </c>
      <c r="Z1830" cm="1">
        <f t="array" ref="Z1830">IFERROR(IF(_xlfn._xlws.FILTER(game_rosters!$J:$J,(game_rosters!$G:$G=events!$AN1830)*(game_rosters!$J:$J=events!$X1830))&gt;0,1,""),"")</f>
        <v>1</v>
      </c>
      <c r="AA1830">
        <f t="shared" si="1813"/>
        <v>1963</v>
      </c>
      <c r="AB1830" t="str">
        <f t="shared" si="1814"/>
        <v/>
      </c>
      <c r="AC1830">
        <f t="shared" si="1762"/>
        <v>1963</v>
      </c>
      <c r="AD1830" s="6">
        <v>3</v>
      </c>
      <c r="AE1830" t="s">
        <v>745</v>
      </c>
      <c r="AF1830" t="s">
        <v>740</v>
      </c>
      <c r="AG1830" t="s">
        <v>756</v>
      </c>
      <c r="AH1830" t="s">
        <v>756</v>
      </c>
      <c r="AI1830" t="s">
        <v>367</v>
      </c>
      <c r="AJ1830" t="str">
        <f t="shared" ref="AJ1830:AK1830" si="1824">IF($J1830&lt;&gt;"",$J1830,IF($AC1830=$AC1829,AJ1829,""))</f>
        <v>d</v>
      </c>
      <c r="AK1830" t="str">
        <f t="shared" si="1824"/>
        <v>d</v>
      </c>
      <c r="AL1830" t="str">
        <f t="shared" si="1767"/>
        <v>d</v>
      </c>
      <c r="AN1830" t="s">
        <v>861</v>
      </c>
      <c r="AO1830" t="str">
        <f t="shared" si="1768"/>
        <v>h</v>
      </c>
      <c r="AP1830" t="str">
        <f t="shared" si="1776"/>
        <v>d</v>
      </c>
      <c r="AQ1830" t="str">
        <f t="shared" si="1777"/>
        <v/>
      </c>
      <c r="AR1830" t="str">
        <f t="shared" si="1778"/>
        <v>Home</v>
      </c>
      <c r="AS1830" t="str">
        <f t="shared" si="1779"/>
        <v>h</v>
      </c>
      <c r="AT1830" t="str">
        <f t="shared" si="1780"/>
        <v>Offensive</v>
      </c>
      <c r="BA1830" s="6">
        <f t="shared" si="1769"/>
        <v>426</v>
      </c>
      <c r="BB1830">
        <f t="shared" si="1770"/>
        <v>18981</v>
      </c>
      <c r="BC1830" t="str">
        <f t="shared" si="1771"/>
        <v>Nelson</v>
      </c>
      <c r="BD1830" t="str">
        <f t="shared" si="1772"/>
        <v>Velodrome</v>
      </c>
      <c r="BE1830" t="s">
        <v>238</v>
      </c>
      <c r="BF1830" t="s">
        <v>184</v>
      </c>
      <c r="BG1830" t="s">
        <v>89</v>
      </c>
      <c r="BI1830" cm="1">
        <f t="array" aca="1" ref="BI1830" ca="1">IFERROR(_xlfn._xlws.FILTER(shifts!A:A,(shifts!B:B=events!AD1830)*(shifts!AG:AG&gt;=events!BK1830)*(shifts!AH:AH&lt;=events!BL1830)),BI1829)</f>
        <v>82</v>
      </c>
      <c r="BJ1830" s="15">
        <f t="shared" si="1773"/>
        <v>0</v>
      </c>
      <c r="BK1830">
        <f t="shared" si="1781"/>
        <v>865</v>
      </c>
      <c r="BL1830">
        <f t="shared" si="1782"/>
        <v>865</v>
      </c>
      <c r="BM1830" s="15">
        <f>SUMIFS(BJ$2:BJ1830,K$2:K1830,"=Intermission")+SUMIFS(BJ$2:BJ1830,K$2:K1830,"=Timeout")</f>
        <v>142</v>
      </c>
      <c r="BN1830">
        <f t="shared" si="1783"/>
        <v>2302</v>
      </c>
      <c r="BO1830" s="19">
        <f t="shared" si="1784"/>
        <v>2517</v>
      </c>
      <c r="BP1830">
        <f t="shared" si="1785"/>
        <v>2512</v>
      </c>
      <c r="BQ1830" s="17">
        <f t="shared" si="1786"/>
        <v>2517</v>
      </c>
      <c r="BR1830" t="str">
        <f t="shared" si="1787"/>
        <v>event_team_player_2</v>
      </c>
      <c r="BS1830">
        <f>COUNTIFS(S$3:S1830,"="&amp;S1830,AI$3:AI1830,"="&amp;AI1830)</f>
        <v>2</v>
      </c>
      <c r="BT1830" t="str">
        <f>IFERROR(VLOOKUP(BB1830&amp;BU1830&amp;X1830,game_rosters!U:W,3,FALSE),"")</f>
        <v>P100072</v>
      </c>
      <c r="BU1830" t="str">
        <f t="shared" si="1788"/>
        <v>Nelson</v>
      </c>
    </row>
    <row r="1831" spans="1:73" x14ac:dyDescent="0.2">
      <c r="A1831">
        <f t="shared" si="1774"/>
        <v>1</v>
      </c>
      <c r="J1831" s="44" t="str">
        <f t="shared" si="1789"/>
        <v/>
      </c>
      <c r="K1831" t="s">
        <v>13</v>
      </c>
      <c r="L1831" t="s">
        <v>756</v>
      </c>
      <c r="M1831" t="s">
        <v>756</v>
      </c>
      <c r="S1831">
        <v>964</v>
      </c>
      <c r="W1831" t="str">
        <f t="shared" si="1765"/>
        <v>h</v>
      </c>
      <c r="X1831">
        <v>7</v>
      </c>
      <c r="Y1831" t="b">
        <f>IF(X1831&lt;&gt;"",VLOOKUP(X1831,game_rosters!$C$43:$E$64,3,FALSE))</f>
        <v>0</v>
      </c>
      <c r="Z1831" cm="1">
        <f t="array" ref="Z1831">IFERROR(IF(_xlfn._xlws.FILTER(game_rosters!$J:$J,(game_rosters!$G:$G=events!$AN1831)*(game_rosters!$J:$J=events!$X1831))&gt;0,1,""),"")</f>
        <v>1</v>
      </c>
      <c r="AA1831">
        <f t="shared" si="1813"/>
        <v>1964</v>
      </c>
      <c r="AB1831" t="str">
        <f t="shared" si="1814"/>
        <v/>
      </c>
      <c r="AC1831">
        <f t="shared" si="1762"/>
        <v>1964</v>
      </c>
      <c r="AD1831" s="6">
        <v>3</v>
      </c>
      <c r="AE1831" t="s">
        <v>745</v>
      </c>
      <c r="AF1831" t="s">
        <v>907</v>
      </c>
      <c r="AG1831" t="s">
        <v>745</v>
      </c>
      <c r="AH1831" t="s">
        <v>918</v>
      </c>
      <c r="AI1831" t="s">
        <v>367</v>
      </c>
      <c r="AJ1831" t="str">
        <f t="shared" ref="AJ1831:AK1831" si="1825">IF($J1831&lt;&gt;"",$J1831,IF($AC1831=$AC1830,AJ1830,""))</f>
        <v/>
      </c>
      <c r="AK1831" t="str">
        <f t="shared" si="1825"/>
        <v/>
      </c>
      <c r="AL1831" t="str">
        <f t="shared" si="1767"/>
        <v/>
      </c>
      <c r="AN1831" t="s">
        <v>861</v>
      </c>
      <c r="AO1831" t="str">
        <f t="shared" si="1768"/>
        <v>h</v>
      </c>
      <c r="AP1831" t="str">
        <f t="shared" si="1776"/>
        <v/>
      </c>
      <c r="AQ1831" t="str">
        <f t="shared" si="1777"/>
        <v/>
      </c>
      <c r="AR1831" t="str">
        <f t="shared" si="1778"/>
        <v>Home</v>
      </c>
      <c r="AS1831" t="str">
        <f t="shared" si="1779"/>
        <v>h</v>
      </c>
      <c r="AT1831" t="str">
        <f t="shared" si="1780"/>
        <v>Offensive</v>
      </c>
      <c r="BA1831" s="6">
        <f t="shared" si="1769"/>
        <v>426</v>
      </c>
      <c r="BB1831">
        <f t="shared" si="1770"/>
        <v>18981</v>
      </c>
      <c r="BC1831" t="str">
        <f t="shared" si="1771"/>
        <v>Nelson</v>
      </c>
      <c r="BD1831" t="str">
        <f t="shared" si="1772"/>
        <v>Velodrome</v>
      </c>
      <c r="BE1831" t="s">
        <v>13</v>
      </c>
      <c r="BF1831" t="s">
        <v>756</v>
      </c>
      <c r="BG1831" t="s">
        <v>756</v>
      </c>
      <c r="BI1831" cm="1">
        <f t="array" aca="1" ref="BI1831" ca="1">IFERROR(_xlfn._xlws.FILTER(shifts!A:A,(shifts!B:B=events!AD1831)*(shifts!AG:AG&gt;=events!BK1831)*(shifts!AH:AH&lt;=events!BL1831)),BI1830)</f>
        <v>82</v>
      </c>
      <c r="BJ1831" s="15">
        <f t="shared" si="1773"/>
        <v>2</v>
      </c>
      <c r="BK1831">
        <f t="shared" si="1781"/>
        <v>864</v>
      </c>
      <c r="BL1831">
        <f t="shared" si="1782"/>
        <v>862</v>
      </c>
      <c r="BM1831" s="15">
        <f>SUMIFS(BJ$2:BJ1831,K$2:K1831,"=Intermission")+SUMIFS(BJ$2:BJ1831,K$2:K1831,"=Timeout")</f>
        <v>142</v>
      </c>
      <c r="BN1831">
        <f t="shared" si="1783"/>
        <v>2302</v>
      </c>
      <c r="BO1831" s="19">
        <f t="shared" si="1784"/>
        <v>2518</v>
      </c>
      <c r="BP1831">
        <f t="shared" si="1785"/>
        <v>2513</v>
      </c>
      <c r="BQ1831" s="17">
        <f t="shared" si="1786"/>
        <v>2520</v>
      </c>
      <c r="BR1831" t="str">
        <f t="shared" si="1787"/>
        <v>event_team_player_1</v>
      </c>
      <c r="BS1831">
        <f>COUNTIFS(S$3:S1831,"="&amp;S1831,AI$3:AI1831,"="&amp;AI1831)</f>
        <v>1</v>
      </c>
      <c r="BT1831" t="str">
        <f>IFERROR(VLOOKUP(BB1831&amp;BU1831&amp;X1831,game_rosters!U:W,3,FALSE),"")</f>
        <v>P100072</v>
      </c>
      <c r="BU1831" t="str">
        <f t="shared" si="1788"/>
        <v>Nelson</v>
      </c>
    </row>
    <row r="1832" spans="1:73" x14ac:dyDescent="0.2">
      <c r="A1832">
        <f t="shared" si="1774"/>
        <v>1</v>
      </c>
      <c r="J1832" s="44" t="str">
        <f t="shared" si="1789"/>
        <v/>
      </c>
      <c r="K1832" t="s">
        <v>7</v>
      </c>
      <c r="L1832" t="s">
        <v>182</v>
      </c>
      <c r="M1832" t="s">
        <v>67</v>
      </c>
      <c r="S1832">
        <v>965</v>
      </c>
      <c r="W1832" t="str">
        <f t="shared" si="1765"/>
        <v>h</v>
      </c>
      <c r="X1832">
        <v>7</v>
      </c>
      <c r="Y1832" t="b">
        <f>IF(X1832&lt;&gt;"",VLOOKUP(X1832,game_rosters!$C$43:$E$64,3,FALSE))</f>
        <v>0</v>
      </c>
      <c r="Z1832" cm="1">
        <f t="array" ref="Z1832">IFERROR(IF(_xlfn._xlws.FILTER(game_rosters!$J:$J,(game_rosters!$G:$G=events!$AN1832)*(game_rosters!$J:$J=events!$X1832))&gt;0,1,""),"")</f>
        <v>1</v>
      </c>
      <c r="AA1832">
        <f t="shared" si="1813"/>
        <v>1965</v>
      </c>
      <c r="AB1832" t="str">
        <f t="shared" si="1814"/>
        <v/>
      </c>
      <c r="AC1832">
        <f t="shared" si="1762"/>
        <v>1965</v>
      </c>
      <c r="AD1832" s="6">
        <v>3</v>
      </c>
      <c r="AE1832" t="s">
        <v>745</v>
      </c>
      <c r="AF1832" t="s">
        <v>918</v>
      </c>
      <c r="AG1832" t="s">
        <v>756</v>
      </c>
      <c r="AH1832" t="s">
        <v>756</v>
      </c>
      <c r="AI1832" t="s">
        <v>367</v>
      </c>
      <c r="AJ1832" t="str">
        <f t="shared" ref="AJ1832:AK1832" si="1826">IF($J1832&lt;&gt;"",$J1832,IF($AC1832=$AC1831,AJ1831,""))</f>
        <v/>
      </c>
      <c r="AK1832" t="str">
        <f t="shared" si="1826"/>
        <v/>
      </c>
      <c r="AL1832" t="str">
        <f t="shared" si="1767"/>
        <v/>
      </c>
      <c r="AN1832" t="s">
        <v>861</v>
      </c>
      <c r="AO1832" t="str">
        <f t="shared" si="1768"/>
        <v>h</v>
      </c>
      <c r="AP1832" t="str">
        <f t="shared" si="1776"/>
        <v/>
      </c>
      <c r="AQ1832" t="str">
        <f t="shared" si="1777"/>
        <v/>
      </c>
      <c r="AR1832" t="str">
        <f t="shared" si="1778"/>
        <v>Home</v>
      </c>
      <c r="AS1832" t="str">
        <f t="shared" si="1779"/>
        <v>h</v>
      </c>
      <c r="AT1832" t="str">
        <f t="shared" si="1780"/>
        <v>Offensive</v>
      </c>
      <c r="BA1832" s="6">
        <f t="shared" si="1769"/>
        <v>426</v>
      </c>
      <c r="BB1832">
        <f t="shared" si="1770"/>
        <v>18981</v>
      </c>
      <c r="BC1832" t="str">
        <f t="shared" si="1771"/>
        <v>Nelson</v>
      </c>
      <c r="BD1832" t="str">
        <f t="shared" si="1772"/>
        <v>Velodrome</v>
      </c>
      <c r="BE1832" t="s">
        <v>7</v>
      </c>
      <c r="BF1832" t="s">
        <v>182</v>
      </c>
      <c r="BG1832" t="s">
        <v>67</v>
      </c>
      <c r="BI1832" cm="1">
        <f t="array" aca="1" ref="BI1832" ca="1">IFERROR(_xlfn._xlws.FILTER(shifts!A:A,(shifts!B:B=events!AD1832)*(shifts!AG:AG&gt;=events!BK1832)*(shifts!AH:AH&lt;=events!BL1832)),BI1831)</f>
        <v>82</v>
      </c>
      <c r="BJ1832" s="15">
        <f t="shared" si="1773"/>
        <v>0</v>
      </c>
      <c r="BK1832">
        <f t="shared" si="1781"/>
        <v>862</v>
      </c>
      <c r="BL1832">
        <f t="shared" si="1782"/>
        <v>862</v>
      </c>
      <c r="BM1832" s="15">
        <f>SUMIFS(BJ$2:BJ1832,K$2:K1832,"=Intermission")+SUMIFS(BJ$2:BJ1832,K$2:K1832,"=Timeout")</f>
        <v>142</v>
      </c>
      <c r="BN1832">
        <f t="shared" si="1783"/>
        <v>2302</v>
      </c>
      <c r="BO1832" s="19">
        <f t="shared" si="1784"/>
        <v>2520</v>
      </c>
      <c r="BP1832">
        <f t="shared" si="1785"/>
        <v>2515</v>
      </c>
      <c r="BQ1832" s="17">
        <f t="shared" si="1786"/>
        <v>2520</v>
      </c>
      <c r="BR1832" t="str">
        <f t="shared" si="1787"/>
        <v>event_team_player_1</v>
      </c>
      <c r="BS1832">
        <f>COUNTIFS(S$3:S1832,"="&amp;S1832,AI$3:AI1832,"="&amp;AI1832)</f>
        <v>1</v>
      </c>
      <c r="BT1832" t="str">
        <f>IFERROR(VLOOKUP(BB1832&amp;BU1832&amp;X1832,game_rosters!U:W,3,FALSE),"")</f>
        <v>P100072</v>
      </c>
      <c r="BU1832" t="str">
        <f t="shared" si="1788"/>
        <v>Nelson</v>
      </c>
    </row>
    <row r="1833" spans="1:73" x14ac:dyDescent="0.2">
      <c r="A1833">
        <f t="shared" si="1774"/>
        <v>1</v>
      </c>
      <c r="J1833" s="44" t="str">
        <f t="shared" si="1789"/>
        <v/>
      </c>
      <c r="K1833" t="s">
        <v>7</v>
      </c>
      <c r="L1833" t="s">
        <v>182</v>
      </c>
      <c r="M1833" t="s">
        <v>67</v>
      </c>
      <c r="S1833">
        <v>965</v>
      </c>
      <c r="W1833" t="str">
        <f t="shared" si="1765"/>
        <v>h</v>
      </c>
      <c r="X1833">
        <v>44</v>
      </c>
      <c r="Y1833" t="b">
        <f>IF(X1833&lt;&gt;"",VLOOKUP(X1833,game_rosters!$C$43:$E$64,3,FALSE))</f>
        <v>0</v>
      </c>
      <c r="Z1833" cm="1">
        <f t="array" ref="Z1833">IFERROR(IF(_xlfn._xlws.FILTER(game_rosters!$J:$J,(game_rosters!$G:$G=events!$AN1833)*(game_rosters!$J:$J=events!$X1833))&gt;0,1,""),"")</f>
        <v>1</v>
      </c>
      <c r="AA1833">
        <f t="shared" si="1813"/>
        <v>1965</v>
      </c>
      <c r="AB1833" t="str">
        <f t="shared" si="1814"/>
        <v/>
      </c>
      <c r="AC1833">
        <f t="shared" si="1762"/>
        <v>1965</v>
      </c>
      <c r="AD1833" s="6">
        <v>3</v>
      </c>
      <c r="AE1833" t="s">
        <v>745</v>
      </c>
      <c r="AF1833" t="s">
        <v>918</v>
      </c>
      <c r="AG1833" t="s">
        <v>756</v>
      </c>
      <c r="AH1833" t="s">
        <v>756</v>
      </c>
      <c r="AI1833" t="s">
        <v>367</v>
      </c>
      <c r="AJ1833" t="str">
        <f t="shared" ref="AJ1833:AK1833" si="1827">IF($J1833&lt;&gt;"",$J1833,IF($AC1833=$AC1832,AJ1832,""))</f>
        <v/>
      </c>
      <c r="AK1833" t="str">
        <f t="shared" si="1827"/>
        <v/>
      </c>
      <c r="AL1833" t="str">
        <f t="shared" si="1767"/>
        <v/>
      </c>
      <c r="AN1833" t="s">
        <v>861</v>
      </c>
      <c r="AO1833" t="str">
        <f t="shared" si="1768"/>
        <v>h</v>
      </c>
      <c r="AP1833" t="str">
        <f t="shared" si="1776"/>
        <v/>
      </c>
      <c r="AQ1833" t="str">
        <f t="shared" si="1777"/>
        <v/>
      </c>
      <c r="AR1833" t="str">
        <f t="shared" si="1778"/>
        <v>Home</v>
      </c>
      <c r="AS1833" t="str">
        <f t="shared" si="1779"/>
        <v>h</v>
      </c>
      <c r="AT1833" t="str">
        <f t="shared" si="1780"/>
        <v>Offensive</v>
      </c>
      <c r="BA1833" s="6">
        <f t="shared" si="1769"/>
        <v>426</v>
      </c>
      <c r="BB1833">
        <f t="shared" si="1770"/>
        <v>18981</v>
      </c>
      <c r="BC1833" t="str">
        <f t="shared" si="1771"/>
        <v>Nelson</v>
      </c>
      <c r="BD1833" t="str">
        <f t="shared" si="1772"/>
        <v>Velodrome</v>
      </c>
      <c r="BE1833" t="s">
        <v>7</v>
      </c>
      <c r="BF1833" t="s">
        <v>182</v>
      </c>
      <c r="BG1833" t="s">
        <v>67</v>
      </c>
      <c r="BI1833" cm="1">
        <f t="array" aca="1" ref="BI1833" ca="1">IFERROR(_xlfn._xlws.FILTER(shifts!A:A,(shifts!B:B=events!AD1833)*(shifts!AG:AG&gt;=events!BK1833)*(shifts!AH:AH&lt;=events!BL1833)),BI1832)</f>
        <v>82</v>
      </c>
      <c r="BJ1833" s="15">
        <f t="shared" si="1773"/>
        <v>0</v>
      </c>
      <c r="BK1833">
        <f t="shared" si="1781"/>
        <v>862</v>
      </c>
      <c r="BL1833">
        <f t="shared" si="1782"/>
        <v>862</v>
      </c>
      <c r="BM1833" s="15">
        <f>SUMIFS(BJ$2:BJ1833,K$2:K1833,"=Intermission")+SUMIFS(BJ$2:BJ1833,K$2:K1833,"=Timeout")</f>
        <v>142</v>
      </c>
      <c r="BN1833">
        <f t="shared" si="1783"/>
        <v>2302</v>
      </c>
      <c r="BO1833" s="19">
        <f t="shared" si="1784"/>
        <v>2520</v>
      </c>
      <c r="BP1833">
        <f t="shared" si="1785"/>
        <v>2515</v>
      </c>
      <c r="BQ1833" s="17">
        <f t="shared" si="1786"/>
        <v>2520</v>
      </c>
      <c r="BR1833" t="str">
        <f t="shared" si="1787"/>
        <v>event_team_player_2</v>
      </c>
      <c r="BS1833">
        <f>COUNTIFS(S$3:S1833,"="&amp;S1833,AI$3:AI1833,"="&amp;AI1833)</f>
        <v>2</v>
      </c>
      <c r="BT1833" t="str">
        <f>IFERROR(VLOOKUP(BB1833&amp;BU1833&amp;X1833,game_rosters!U:W,3,FALSE),"")</f>
        <v>P100079</v>
      </c>
      <c r="BU1833" t="str">
        <f t="shared" si="1788"/>
        <v>Nelson</v>
      </c>
    </row>
    <row r="1834" spans="1:73" x14ac:dyDescent="0.2">
      <c r="A1834">
        <f t="shared" si="1774"/>
        <v>1</v>
      </c>
      <c r="J1834" s="44" t="str">
        <f t="shared" si="1789"/>
        <v>o</v>
      </c>
      <c r="K1834" t="s">
        <v>238</v>
      </c>
      <c r="L1834" t="s">
        <v>174</v>
      </c>
      <c r="M1834" t="s">
        <v>390</v>
      </c>
      <c r="S1834">
        <v>966</v>
      </c>
      <c r="W1834" t="str">
        <f t="shared" si="1765"/>
        <v>h</v>
      </c>
      <c r="X1834">
        <v>7</v>
      </c>
      <c r="Y1834" t="b">
        <f>IF(X1834&lt;&gt;"",VLOOKUP(X1834,game_rosters!$C$43:$E$64,3,FALSE))</f>
        <v>0</v>
      </c>
      <c r="Z1834" cm="1">
        <f t="array" ref="Z1834">IFERROR(IF(_xlfn._xlws.FILTER(game_rosters!$J:$J,(game_rosters!$G:$G=events!$AN1834)*(game_rosters!$J:$J=events!$X1834))&gt;0,1,""),"")</f>
        <v>1</v>
      </c>
      <c r="AA1834">
        <f t="shared" si="1813"/>
        <v>1966</v>
      </c>
      <c r="AB1834" t="str">
        <f t="shared" si="1814"/>
        <v/>
      </c>
      <c r="AC1834">
        <f t="shared" si="1762"/>
        <v>1966</v>
      </c>
      <c r="AD1834" s="6">
        <v>3</v>
      </c>
      <c r="AE1834" t="s">
        <v>745</v>
      </c>
      <c r="AF1834" t="s">
        <v>918</v>
      </c>
      <c r="AG1834" t="s">
        <v>756</v>
      </c>
      <c r="AH1834" t="s">
        <v>756</v>
      </c>
      <c r="AI1834" t="s">
        <v>367</v>
      </c>
      <c r="AJ1834" t="str">
        <f t="shared" ref="AJ1834:AK1834" si="1828">IF($J1834&lt;&gt;"",$J1834,IF($AC1834=$AC1833,AJ1833,""))</f>
        <v>o</v>
      </c>
      <c r="AK1834" t="str">
        <f t="shared" si="1828"/>
        <v>o</v>
      </c>
      <c r="AL1834" t="str">
        <f t="shared" si="1767"/>
        <v>o</v>
      </c>
      <c r="AN1834" t="s">
        <v>861</v>
      </c>
      <c r="AO1834" t="str">
        <f t="shared" si="1768"/>
        <v>h</v>
      </c>
      <c r="AP1834" t="str">
        <f t="shared" si="1776"/>
        <v>o</v>
      </c>
      <c r="AQ1834" t="str">
        <f t="shared" si="1777"/>
        <v/>
      </c>
      <c r="AR1834" t="str">
        <f t="shared" si="1778"/>
        <v>Home</v>
      </c>
      <c r="AS1834" t="str">
        <f t="shared" si="1779"/>
        <v>h</v>
      </c>
      <c r="AT1834" t="str">
        <f t="shared" si="1780"/>
        <v>Offensive</v>
      </c>
      <c r="BA1834" s="6">
        <f t="shared" si="1769"/>
        <v>427</v>
      </c>
      <c r="BB1834">
        <f t="shared" si="1770"/>
        <v>18981</v>
      </c>
      <c r="BC1834" t="str">
        <f t="shared" si="1771"/>
        <v>Nelson</v>
      </c>
      <c r="BD1834" t="str">
        <f t="shared" si="1772"/>
        <v>Velodrome</v>
      </c>
      <c r="BE1834" t="s">
        <v>238</v>
      </c>
      <c r="BF1834" t="s">
        <v>174</v>
      </c>
      <c r="BG1834" t="s">
        <v>390</v>
      </c>
      <c r="BI1834" cm="1">
        <f t="array" aca="1" ref="BI1834" ca="1">IFERROR(_xlfn._xlws.FILTER(shifts!A:A,(shifts!B:B=events!AD1834)*(shifts!AG:AG&gt;=events!BK1834)*(shifts!AH:AH&lt;=events!BL1834)),BI1833)</f>
        <v>82</v>
      </c>
      <c r="BJ1834" s="15">
        <f t="shared" si="1773"/>
        <v>0</v>
      </c>
      <c r="BK1834">
        <f t="shared" si="1781"/>
        <v>862</v>
      </c>
      <c r="BL1834">
        <f t="shared" si="1782"/>
        <v>862</v>
      </c>
      <c r="BM1834" s="15">
        <f>SUMIFS(BJ$2:BJ1834,K$2:K1834,"=Intermission")+SUMIFS(BJ$2:BJ1834,K$2:K1834,"=Timeout")</f>
        <v>142</v>
      </c>
      <c r="BN1834">
        <f t="shared" si="1783"/>
        <v>2302</v>
      </c>
      <c r="BO1834" s="19">
        <f t="shared" si="1784"/>
        <v>2520</v>
      </c>
      <c r="BP1834">
        <f t="shared" si="1785"/>
        <v>2515</v>
      </c>
      <c r="BQ1834" s="17">
        <f t="shared" si="1786"/>
        <v>2520</v>
      </c>
      <c r="BR1834" t="str">
        <f t="shared" si="1787"/>
        <v>event_team_player_1</v>
      </c>
      <c r="BS1834">
        <f>COUNTIFS(S$3:S1834,"="&amp;S1834,AI$3:AI1834,"="&amp;AI1834)</f>
        <v>1</v>
      </c>
      <c r="BT1834" t="str">
        <f>IFERROR(VLOOKUP(BB1834&amp;BU1834&amp;X1834,game_rosters!U:W,3,FALSE),"")</f>
        <v>P100072</v>
      </c>
      <c r="BU1834" t="str">
        <f t="shared" si="1788"/>
        <v>Nelson</v>
      </c>
    </row>
    <row r="1835" spans="1:73" x14ac:dyDescent="0.2">
      <c r="A1835">
        <f t="shared" si="1774"/>
        <v>1</v>
      </c>
      <c r="J1835" s="44" t="str">
        <f t="shared" si="1789"/>
        <v/>
      </c>
      <c r="K1835" t="s">
        <v>9</v>
      </c>
      <c r="L1835" t="s">
        <v>173</v>
      </c>
      <c r="M1835" t="s">
        <v>74</v>
      </c>
      <c r="S1835">
        <v>967</v>
      </c>
      <c r="W1835" t="str">
        <f t="shared" si="1765"/>
        <v>h</v>
      </c>
      <c r="X1835">
        <v>7</v>
      </c>
      <c r="Y1835" t="b">
        <f>IF(X1835&lt;&gt;"",VLOOKUP(X1835,game_rosters!$C$43:$E$64,3,FALSE))</f>
        <v>0</v>
      </c>
      <c r="Z1835" cm="1">
        <f t="array" ref="Z1835">IFERROR(IF(_xlfn._xlws.FILTER(game_rosters!$J:$J,(game_rosters!$G:$G=events!$AN1835)*(game_rosters!$J:$J=events!$X1835))&gt;0,1,""),"")</f>
        <v>1</v>
      </c>
      <c r="AA1835">
        <f t="shared" si="1813"/>
        <v>1967</v>
      </c>
      <c r="AB1835" t="str">
        <f t="shared" si="1814"/>
        <v/>
      </c>
      <c r="AC1835">
        <f t="shared" si="1762"/>
        <v>1967</v>
      </c>
      <c r="AD1835" s="6">
        <v>3</v>
      </c>
      <c r="AE1835" t="s">
        <v>745</v>
      </c>
      <c r="AF1835" t="s">
        <v>918</v>
      </c>
      <c r="AG1835" t="s">
        <v>756</v>
      </c>
      <c r="AH1835" t="s">
        <v>756</v>
      </c>
      <c r="AI1835" t="s">
        <v>367</v>
      </c>
      <c r="AJ1835" t="str">
        <f t="shared" ref="AJ1835:AK1835" si="1829">IF($J1835&lt;&gt;"",$J1835,IF($AC1835=$AC1834,AJ1834,""))</f>
        <v/>
      </c>
      <c r="AK1835" t="str">
        <f t="shared" si="1829"/>
        <v/>
      </c>
      <c r="AL1835" t="str">
        <f t="shared" si="1767"/>
        <v/>
      </c>
      <c r="AN1835" t="s">
        <v>861</v>
      </c>
      <c r="AO1835" t="str">
        <f t="shared" si="1768"/>
        <v>h</v>
      </c>
      <c r="AP1835" t="str">
        <f t="shared" si="1776"/>
        <v/>
      </c>
      <c r="AQ1835" t="str">
        <f t="shared" si="1777"/>
        <v/>
      </c>
      <c r="AR1835" t="str">
        <f t="shared" si="1778"/>
        <v>Home</v>
      </c>
      <c r="AS1835" t="str">
        <f t="shared" si="1779"/>
        <v>h</v>
      </c>
      <c r="AT1835" t="str">
        <f t="shared" si="1780"/>
        <v>Offensive</v>
      </c>
      <c r="BA1835" s="6">
        <f t="shared" si="1769"/>
        <v>427</v>
      </c>
      <c r="BB1835">
        <f t="shared" si="1770"/>
        <v>18981</v>
      </c>
      <c r="BC1835" t="str">
        <f t="shared" si="1771"/>
        <v>Nelson</v>
      </c>
      <c r="BD1835" t="str">
        <f t="shared" si="1772"/>
        <v>Velodrome</v>
      </c>
      <c r="BE1835" t="s">
        <v>9</v>
      </c>
      <c r="BF1835" t="s">
        <v>173</v>
      </c>
      <c r="BG1835" t="s">
        <v>74</v>
      </c>
      <c r="BI1835" cm="1">
        <f t="array" aca="1" ref="BI1835" ca="1">IFERROR(_xlfn._xlws.FILTER(shifts!A:A,(shifts!B:B=events!AD1835)*(shifts!AG:AG&gt;=events!BK1835)*(shifts!AH:AH&lt;=events!BL1835)),BI1834)</f>
        <v>82</v>
      </c>
      <c r="BJ1835" s="15">
        <f t="shared" si="1773"/>
        <v>0</v>
      </c>
      <c r="BK1835">
        <f t="shared" si="1781"/>
        <v>862</v>
      </c>
      <c r="BL1835">
        <f t="shared" si="1782"/>
        <v>862</v>
      </c>
      <c r="BM1835" s="15">
        <f>SUMIFS(BJ$2:BJ1835,K$2:K1835,"=Intermission")+SUMIFS(BJ$2:BJ1835,K$2:K1835,"=Timeout")</f>
        <v>142</v>
      </c>
      <c r="BN1835">
        <f t="shared" si="1783"/>
        <v>2302</v>
      </c>
      <c r="BO1835" s="19">
        <f t="shared" si="1784"/>
        <v>2520</v>
      </c>
      <c r="BP1835">
        <f t="shared" si="1785"/>
        <v>2515</v>
      </c>
      <c r="BQ1835" s="17">
        <f t="shared" si="1786"/>
        <v>2520</v>
      </c>
      <c r="BR1835" t="str">
        <f t="shared" si="1787"/>
        <v>event_team_player_1</v>
      </c>
      <c r="BS1835">
        <f>COUNTIFS(S$3:S1835,"="&amp;S1835,AI$3:AI1835,"="&amp;AI1835)</f>
        <v>1</v>
      </c>
      <c r="BT1835" t="str">
        <f>IFERROR(VLOOKUP(BB1835&amp;BU1835&amp;X1835,game_rosters!U:W,3,FALSE),"")</f>
        <v>P100072</v>
      </c>
      <c r="BU1835" t="str">
        <f t="shared" si="1788"/>
        <v>Nelson</v>
      </c>
    </row>
    <row r="1836" spans="1:73" x14ac:dyDescent="0.2">
      <c r="A1836">
        <f t="shared" si="1774"/>
        <v>1</v>
      </c>
      <c r="J1836" s="44" t="str">
        <f t="shared" si="1789"/>
        <v/>
      </c>
      <c r="K1836" t="s">
        <v>13</v>
      </c>
      <c r="L1836" t="s">
        <v>756</v>
      </c>
      <c r="M1836" t="s">
        <v>756</v>
      </c>
      <c r="S1836">
        <v>968</v>
      </c>
      <c r="W1836" t="str">
        <f t="shared" si="1765"/>
        <v>a</v>
      </c>
      <c r="X1836">
        <v>9</v>
      </c>
      <c r="Y1836" t="e">
        <f>IF(X1836&lt;&gt;"",VLOOKUP(X1836,game_rosters!$C$43:$E$64,3,FALSE))</f>
        <v>#N/A</v>
      </c>
      <c r="Z1836" cm="1">
        <f t="array" ref="Z1836">IFERROR(IF(_xlfn._xlws.FILTER(game_rosters!$J:$J,(game_rosters!$G:$G=events!$AN1836)*(game_rosters!$J:$J=events!$X1836))&gt;0,1,""),"")</f>
        <v>1</v>
      </c>
      <c r="AA1836">
        <f t="shared" si="1813"/>
        <v>1968</v>
      </c>
      <c r="AB1836" t="str">
        <f t="shared" si="1814"/>
        <v/>
      </c>
      <c r="AC1836">
        <f t="shared" si="1762"/>
        <v>1968</v>
      </c>
      <c r="AD1836" s="6">
        <v>3</v>
      </c>
      <c r="AE1836" t="s">
        <v>745</v>
      </c>
      <c r="AF1836" t="s">
        <v>908</v>
      </c>
      <c r="AG1836" t="s">
        <v>745</v>
      </c>
      <c r="AH1836" t="s">
        <v>732</v>
      </c>
      <c r="AI1836" t="s">
        <v>367</v>
      </c>
      <c r="AJ1836" t="str">
        <f t="shared" ref="AJ1836:AK1836" si="1830">IF($J1836&lt;&gt;"",$J1836,IF($AC1836=$AC1835,AJ1835,""))</f>
        <v/>
      </c>
      <c r="AK1836" t="str">
        <f t="shared" si="1830"/>
        <v/>
      </c>
      <c r="AL1836" t="str">
        <f t="shared" si="1767"/>
        <v/>
      </c>
      <c r="AN1836" t="s">
        <v>862</v>
      </c>
      <c r="AO1836" t="str">
        <f t="shared" si="1768"/>
        <v>a</v>
      </c>
      <c r="AP1836" t="str">
        <f t="shared" si="1776"/>
        <v/>
      </c>
      <c r="AQ1836" t="str">
        <f t="shared" si="1777"/>
        <v/>
      </c>
      <c r="AR1836" t="str">
        <f t="shared" si="1778"/>
        <v>Away</v>
      </c>
      <c r="AS1836" t="str">
        <f t="shared" si="1779"/>
        <v>a</v>
      </c>
      <c r="AT1836" t="str">
        <f t="shared" si="1780"/>
        <v>Offensive</v>
      </c>
      <c r="BA1836" s="6">
        <f t="shared" si="1769"/>
        <v>427</v>
      </c>
      <c r="BB1836">
        <f t="shared" si="1770"/>
        <v>18981</v>
      </c>
      <c r="BC1836" t="str">
        <f t="shared" si="1771"/>
        <v>Nelson</v>
      </c>
      <c r="BD1836" t="str">
        <f t="shared" si="1772"/>
        <v>Velodrome</v>
      </c>
      <c r="BE1836" t="s">
        <v>13</v>
      </c>
      <c r="BF1836" t="s">
        <v>756</v>
      </c>
      <c r="BG1836" t="s">
        <v>756</v>
      </c>
      <c r="BI1836" cm="1">
        <f t="array" aca="1" ref="BI1836" ca="1">IFERROR(_xlfn._xlws.FILTER(shifts!A:A,(shifts!B:B=events!AD1836)*(shifts!AG:AG&gt;=events!BK1836)*(shifts!AH:AH&lt;=events!BL1836)),BI1835)</f>
        <v>82</v>
      </c>
      <c r="BJ1836" s="15">
        <f t="shared" si="1773"/>
        <v>2</v>
      </c>
      <c r="BK1836">
        <f t="shared" si="1781"/>
        <v>859</v>
      </c>
      <c r="BL1836">
        <f t="shared" si="1782"/>
        <v>857</v>
      </c>
      <c r="BM1836" s="15">
        <f>SUMIFS(BJ$2:BJ1836,K$2:K1836,"=Intermission")+SUMIFS(BJ$2:BJ1836,K$2:K1836,"=Timeout")</f>
        <v>142</v>
      </c>
      <c r="BN1836">
        <f t="shared" si="1783"/>
        <v>2302</v>
      </c>
      <c r="BO1836" s="19">
        <f t="shared" si="1784"/>
        <v>2523</v>
      </c>
      <c r="BP1836">
        <f t="shared" si="1785"/>
        <v>2518</v>
      </c>
      <c r="BQ1836" s="17">
        <f t="shared" si="1786"/>
        <v>2525</v>
      </c>
      <c r="BR1836" t="str">
        <f t="shared" si="1787"/>
        <v>event_team_player_1</v>
      </c>
      <c r="BS1836">
        <f>COUNTIFS(S$3:S1836,"="&amp;S1836,AI$3:AI1836,"="&amp;AI1836)</f>
        <v>1</v>
      </c>
      <c r="BT1836" t="str">
        <f>IFERROR(VLOOKUP(BB1836&amp;BU1836&amp;X1836,game_rosters!U:W,3,FALSE),"")</f>
        <v>P100105</v>
      </c>
      <c r="BU1836" t="str">
        <f t="shared" si="1788"/>
        <v>Velodrome</v>
      </c>
    </row>
    <row r="1837" spans="1:73" x14ac:dyDescent="0.2">
      <c r="A1837">
        <f t="shared" si="1774"/>
        <v>1</v>
      </c>
      <c r="J1837" s="44" t="str">
        <f t="shared" si="1789"/>
        <v/>
      </c>
      <c r="K1837" t="s">
        <v>7</v>
      </c>
      <c r="L1837" t="s">
        <v>172</v>
      </c>
      <c r="M1837" t="s">
        <v>66</v>
      </c>
      <c r="S1837">
        <v>969</v>
      </c>
      <c r="W1837" t="str">
        <f t="shared" si="1765"/>
        <v>a</v>
      </c>
      <c r="X1837">
        <v>9</v>
      </c>
      <c r="Y1837" t="e">
        <f>IF(X1837&lt;&gt;"",VLOOKUP(X1837,game_rosters!$C$43:$E$64,3,FALSE))</f>
        <v>#N/A</v>
      </c>
      <c r="Z1837" cm="1">
        <f t="array" ref="Z1837">IFERROR(IF(_xlfn._xlws.FILTER(game_rosters!$J:$J,(game_rosters!$G:$G=events!$AN1837)*(game_rosters!$J:$J=events!$X1837))&gt;0,1,""),"")</f>
        <v>1</v>
      </c>
      <c r="AA1837">
        <f t="shared" si="1813"/>
        <v>1969</v>
      </c>
      <c r="AB1837" t="str">
        <f t="shared" si="1814"/>
        <v/>
      </c>
      <c r="AC1837">
        <f t="shared" si="1762"/>
        <v>1969</v>
      </c>
      <c r="AD1837" s="6">
        <v>3</v>
      </c>
      <c r="AE1837" t="s">
        <v>745</v>
      </c>
      <c r="AF1837" t="s">
        <v>732</v>
      </c>
      <c r="AG1837" t="s">
        <v>756</v>
      </c>
      <c r="AH1837" t="s">
        <v>756</v>
      </c>
      <c r="AI1837" t="s">
        <v>367</v>
      </c>
      <c r="AJ1837" t="str">
        <f t="shared" ref="AJ1837:AK1837" si="1831">IF($J1837&lt;&gt;"",$J1837,IF($AC1837=$AC1836,AJ1836,""))</f>
        <v/>
      </c>
      <c r="AK1837" t="str">
        <f t="shared" si="1831"/>
        <v/>
      </c>
      <c r="AL1837" t="str">
        <f t="shared" si="1767"/>
        <v/>
      </c>
      <c r="AN1837" t="s">
        <v>862</v>
      </c>
      <c r="AO1837" t="str">
        <f t="shared" si="1768"/>
        <v>a</v>
      </c>
      <c r="AP1837" t="str">
        <f t="shared" si="1776"/>
        <v/>
      </c>
      <c r="AQ1837" t="str">
        <f t="shared" si="1777"/>
        <v/>
      </c>
      <c r="AR1837" t="str">
        <f t="shared" si="1778"/>
        <v>Away</v>
      </c>
      <c r="AS1837" t="str">
        <f t="shared" si="1779"/>
        <v>a</v>
      </c>
      <c r="AT1837" t="str">
        <f t="shared" si="1780"/>
        <v>Offensive</v>
      </c>
      <c r="BA1837" s="6">
        <f t="shared" si="1769"/>
        <v>427</v>
      </c>
      <c r="BB1837">
        <f t="shared" si="1770"/>
        <v>18981</v>
      </c>
      <c r="BC1837" t="str">
        <f t="shared" si="1771"/>
        <v>Nelson</v>
      </c>
      <c r="BD1837" t="str">
        <f t="shared" si="1772"/>
        <v>Velodrome</v>
      </c>
      <c r="BE1837" t="s">
        <v>7</v>
      </c>
      <c r="BF1837" t="s">
        <v>172</v>
      </c>
      <c r="BG1837" t="s">
        <v>66</v>
      </c>
      <c r="BI1837" cm="1">
        <f t="array" aca="1" ref="BI1837" ca="1">IFERROR(_xlfn._xlws.FILTER(shifts!A:A,(shifts!B:B=events!AD1837)*(shifts!AG:AG&gt;=events!BK1837)*(shifts!AH:AH&lt;=events!BL1837)),BI1836)</f>
        <v>82</v>
      </c>
      <c r="BJ1837" s="15">
        <f t="shared" si="1773"/>
        <v>0</v>
      </c>
      <c r="BK1837">
        <f t="shared" si="1781"/>
        <v>857</v>
      </c>
      <c r="BL1837">
        <f t="shared" si="1782"/>
        <v>857</v>
      </c>
      <c r="BM1837" s="15">
        <f>SUMIFS(BJ$2:BJ1837,K$2:K1837,"=Intermission")+SUMIFS(BJ$2:BJ1837,K$2:K1837,"=Timeout")</f>
        <v>142</v>
      </c>
      <c r="BN1837">
        <f t="shared" si="1783"/>
        <v>2302</v>
      </c>
      <c r="BO1837" s="19">
        <f t="shared" si="1784"/>
        <v>2525</v>
      </c>
      <c r="BP1837">
        <f t="shared" si="1785"/>
        <v>2520</v>
      </c>
      <c r="BQ1837" s="17">
        <f t="shared" si="1786"/>
        <v>2525</v>
      </c>
      <c r="BR1837" t="str">
        <f t="shared" si="1787"/>
        <v>event_team_player_1</v>
      </c>
      <c r="BS1837">
        <f>COUNTIFS(S$3:S1837,"="&amp;S1837,AI$3:AI1837,"="&amp;AI1837)</f>
        <v>1</v>
      </c>
      <c r="BT1837" t="str">
        <f>IFERROR(VLOOKUP(BB1837&amp;BU1837&amp;X1837,game_rosters!U:W,3,FALSE),"")</f>
        <v>P100105</v>
      </c>
      <c r="BU1837" t="str">
        <f t="shared" si="1788"/>
        <v>Velodrome</v>
      </c>
    </row>
    <row r="1838" spans="1:73" x14ac:dyDescent="0.2">
      <c r="A1838">
        <f t="shared" si="1774"/>
        <v>1</v>
      </c>
      <c r="J1838" s="44" t="str">
        <f t="shared" si="1789"/>
        <v/>
      </c>
      <c r="K1838" t="s">
        <v>7</v>
      </c>
      <c r="L1838" t="s">
        <v>172</v>
      </c>
      <c r="M1838" t="s">
        <v>66</v>
      </c>
      <c r="S1838">
        <v>969</v>
      </c>
      <c r="W1838" t="str">
        <f t="shared" si="1765"/>
        <v>a</v>
      </c>
      <c r="X1838">
        <v>42</v>
      </c>
      <c r="Y1838" t="e">
        <f>IF(X1838&lt;&gt;"",VLOOKUP(X1838,game_rosters!$C$43:$E$64,3,FALSE))</f>
        <v>#N/A</v>
      </c>
      <c r="Z1838" cm="1">
        <f t="array" ref="Z1838">IFERROR(IF(_xlfn._xlws.FILTER(game_rosters!$J:$J,(game_rosters!$G:$G=events!$AN1838)*(game_rosters!$J:$J=events!$X1838))&gt;0,1,""),"")</f>
        <v>1</v>
      </c>
      <c r="AA1838">
        <f t="shared" si="1813"/>
        <v>1969</v>
      </c>
      <c r="AB1838" t="str">
        <f t="shared" si="1814"/>
        <v/>
      </c>
      <c r="AC1838">
        <f t="shared" si="1762"/>
        <v>1969</v>
      </c>
      <c r="AD1838" s="6">
        <v>3</v>
      </c>
      <c r="AE1838" t="s">
        <v>745</v>
      </c>
      <c r="AF1838" t="s">
        <v>732</v>
      </c>
      <c r="AG1838" t="s">
        <v>756</v>
      </c>
      <c r="AH1838" t="s">
        <v>756</v>
      </c>
      <c r="AI1838" t="s">
        <v>367</v>
      </c>
      <c r="AJ1838" t="str">
        <f t="shared" ref="AJ1838:AK1838" si="1832">IF($J1838&lt;&gt;"",$J1838,IF($AC1838=$AC1837,AJ1837,""))</f>
        <v/>
      </c>
      <c r="AK1838" t="str">
        <f t="shared" si="1832"/>
        <v/>
      </c>
      <c r="AL1838" t="str">
        <f t="shared" si="1767"/>
        <v/>
      </c>
      <c r="AN1838" t="s">
        <v>862</v>
      </c>
      <c r="AO1838" t="str">
        <f t="shared" si="1768"/>
        <v>a</v>
      </c>
      <c r="AP1838" t="str">
        <f t="shared" si="1776"/>
        <v/>
      </c>
      <c r="AQ1838" t="str">
        <f t="shared" si="1777"/>
        <v/>
      </c>
      <c r="AR1838" t="str">
        <f t="shared" si="1778"/>
        <v>Away</v>
      </c>
      <c r="AS1838" t="str">
        <f t="shared" si="1779"/>
        <v>a</v>
      </c>
      <c r="AT1838" t="str">
        <f t="shared" si="1780"/>
        <v>Offensive</v>
      </c>
      <c r="BA1838" s="6">
        <f t="shared" si="1769"/>
        <v>427</v>
      </c>
      <c r="BB1838">
        <f t="shared" si="1770"/>
        <v>18981</v>
      </c>
      <c r="BC1838" t="str">
        <f t="shared" si="1771"/>
        <v>Nelson</v>
      </c>
      <c r="BD1838" t="str">
        <f t="shared" si="1772"/>
        <v>Velodrome</v>
      </c>
      <c r="BE1838" t="s">
        <v>7</v>
      </c>
      <c r="BF1838" t="s">
        <v>172</v>
      </c>
      <c r="BG1838" t="s">
        <v>66</v>
      </c>
      <c r="BI1838" cm="1">
        <f t="array" aca="1" ref="BI1838" ca="1">IFERROR(_xlfn._xlws.FILTER(shifts!A:A,(shifts!B:B=events!AD1838)*(shifts!AG:AG&gt;=events!BK1838)*(shifts!AH:AH&lt;=events!BL1838)),BI1837)</f>
        <v>82</v>
      </c>
      <c r="BJ1838" s="15">
        <f t="shared" si="1773"/>
        <v>0</v>
      </c>
      <c r="BK1838">
        <f t="shared" si="1781"/>
        <v>857</v>
      </c>
      <c r="BL1838">
        <f t="shared" si="1782"/>
        <v>857</v>
      </c>
      <c r="BM1838" s="15">
        <f>SUMIFS(BJ$2:BJ1838,K$2:K1838,"=Intermission")+SUMIFS(BJ$2:BJ1838,K$2:K1838,"=Timeout")</f>
        <v>142</v>
      </c>
      <c r="BN1838">
        <f t="shared" si="1783"/>
        <v>2302</v>
      </c>
      <c r="BO1838" s="19">
        <f t="shared" si="1784"/>
        <v>2525</v>
      </c>
      <c r="BP1838">
        <f t="shared" si="1785"/>
        <v>2520</v>
      </c>
      <c r="BQ1838" s="17">
        <f t="shared" si="1786"/>
        <v>2525</v>
      </c>
      <c r="BR1838" t="str">
        <f t="shared" si="1787"/>
        <v>event_team_player_2</v>
      </c>
      <c r="BS1838">
        <f>COUNTIFS(S$3:S1838,"="&amp;S1838,AI$3:AI1838,"="&amp;AI1838)</f>
        <v>2</v>
      </c>
      <c r="BT1838" t="str">
        <f>IFERROR(VLOOKUP(BB1838&amp;BU1838&amp;X1838,game_rosters!U:W,3,FALSE),"")</f>
        <v>P100201</v>
      </c>
      <c r="BU1838" t="str">
        <f t="shared" si="1788"/>
        <v>Velodrome</v>
      </c>
    </row>
    <row r="1839" spans="1:73" x14ac:dyDescent="0.2">
      <c r="A1839">
        <f t="shared" si="1774"/>
        <v>1</v>
      </c>
      <c r="J1839" s="44" t="str">
        <f t="shared" si="1789"/>
        <v/>
      </c>
      <c r="K1839" t="s">
        <v>7</v>
      </c>
      <c r="L1839" t="s">
        <v>182</v>
      </c>
      <c r="M1839" t="s">
        <v>68</v>
      </c>
      <c r="S1839">
        <v>970</v>
      </c>
      <c r="W1839" t="str">
        <f t="shared" si="1765"/>
        <v>a</v>
      </c>
      <c r="X1839">
        <v>42</v>
      </c>
      <c r="Y1839" t="e">
        <f>IF(X1839&lt;&gt;"",VLOOKUP(X1839,game_rosters!$C$43:$E$64,3,FALSE))</f>
        <v>#N/A</v>
      </c>
      <c r="Z1839" cm="1">
        <f t="array" ref="Z1839">IFERROR(IF(_xlfn._xlws.FILTER(game_rosters!$J:$J,(game_rosters!$G:$G=events!$AN1839)*(game_rosters!$J:$J=events!$X1839))&gt;0,1,""),"")</f>
        <v>1</v>
      </c>
      <c r="AA1839">
        <f t="shared" si="1813"/>
        <v>1970</v>
      </c>
      <c r="AB1839" t="str">
        <f t="shared" si="1814"/>
        <v/>
      </c>
      <c r="AC1839">
        <f t="shared" si="1762"/>
        <v>1970</v>
      </c>
      <c r="AD1839" s="6">
        <v>3</v>
      </c>
      <c r="AE1839" t="s">
        <v>745</v>
      </c>
      <c r="AF1839" t="s">
        <v>926</v>
      </c>
      <c r="AG1839" t="s">
        <v>756</v>
      </c>
      <c r="AH1839" t="s">
        <v>756</v>
      </c>
      <c r="AI1839" t="s">
        <v>367</v>
      </c>
      <c r="AJ1839" t="str">
        <f t="shared" ref="AJ1839:AK1839" si="1833">IF($J1839&lt;&gt;"",$J1839,IF($AC1839=$AC1838,AJ1838,""))</f>
        <v/>
      </c>
      <c r="AK1839" t="str">
        <f t="shared" si="1833"/>
        <v/>
      </c>
      <c r="AL1839" t="str">
        <f t="shared" si="1767"/>
        <v/>
      </c>
      <c r="AN1839" t="s">
        <v>862</v>
      </c>
      <c r="AO1839" t="str">
        <f t="shared" si="1768"/>
        <v>a</v>
      </c>
      <c r="AP1839" t="str">
        <f t="shared" si="1776"/>
        <v/>
      </c>
      <c r="AQ1839" t="str">
        <f t="shared" si="1777"/>
        <v/>
      </c>
      <c r="AR1839" t="str">
        <f t="shared" si="1778"/>
        <v>Away</v>
      </c>
      <c r="AS1839" t="str">
        <f t="shared" si="1779"/>
        <v>a</v>
      </c>
      <c r="AT1839" t="str">
        <f t="shared" si="1780"/>
        <v>Offensive</v>
      </c>
      <c r="BA1839" s="6">
        <f t="shared" si="1769"/>
        <v>427</v>
      </c>
      <c r="BB1839">
        <f t="shared" si="1770"/>
        <v>18981</v>
      </c>
      <c r="BC1839" t="str">
        <f t="shared" si="1771"/>
        <v>Nelson</v>
      </c>
      <c r="BD1839" t="str">
        <f t="shared" si="1772"/>
        <v>Velodrome</v>
      </c>
      <c r="BE1839" t="s">
        <v>7</v>
      </c>
      <c r="BF1839" t="s">
        <v>182</v>
      </c>
      <c r="BG1839" t="s">
        <v>68</v>
      </c>
      <c r="BI1839" cm="1">
        <f t="array" aca="1" ref="BI1839" ca="1">IFERROR(_xlfn._xlws.FILTER(shifts!A:A,(shifts!B:B=events!AD1839)*(shifts!AG:AG&gt;=events!BK1839)*(shifts!AH:AH&lt;=events!BL1839)),BI1838)</f>
        <v>82</v>
      </c>
      <c r="BJ1839" s="15">
        <f t="shared" si="1773"/>
        <v>0</v>
      </c>
      <c r="BK1839">
        <f t="shared" si="1781"/>
        <v>853</v>
      </c>
      <c r="BL1839">
        <f t="shared" si="1782"/>
        <v>853</v>
      </c>
      <c r="BM1839" s="15">
        <f>SUMIFS(BJ$2:BJ1839,K$2:K1839,"=Intermission")+SUMIFS(BJ$2:BJ1839,K$2:K1839,"=Timeout")</f>
        <v>142</v>
      </c>
      <c r="BN1839">
        <f t="shared" si="1783"/>
        <v>2302</v>
      </c>
      <c r="BO1839" s="19">
        <f t="shared" si="1784"/>
        <v>2529</v>
      </c>
      <c r="BP1839">
        <f t="shared" si="1785"/>
        <v>2524</v>
      </c>
      <c r="BQ1839" s="17">
        <f t="shared" si="1786"/>
        <v>2529</v>
      </c>
      <c r="BR1839" t="str">
        <f t="shared" si="1787"/>
        <v>event_team_player_1</v>
      </c>
      <c r="BS1839">
        <f>COUNTIFS(S$3:S1839,"="&amp;S1839,AI$3:AI1839,"="&amp;AI1839)</f>
        <v>1</v>
      </c>
      <c r="BT1839" t="str">
        <f>IFERROR(VLOOKUP(BB1839&amp;BU1839&amp;X1839,game_rosters!U:W,3,FALSE),"")</f>
        <v>P100201</v>
      </c>
      <c r="BU1839" t="str">
        <f t="shared" si="1788"/>
        <v>Velodrome</v>
      </c>
    </row>
    <row r="1840" spans="1:73" x14ac:dyDescent="0.2">
      <c r="A1840">
        <f t="shared" si="1774"/>
        <v>1</v>
      </c>
      <c r="J1840" s="44" t="str">
        <f t="shared" si="1789"/>
        <v/>
      </c>
      <c r="K1840" t="s">
        <v>7</v>
      </c>
      <c r="L1840" t="s">
        <v>182</v>
      </c>
      <c r="M1840" t="s">
        <v>68</v>
      </c>
      <c r="S1840">
        <v>970</v>
      </c>
      <c r="W1840" t="str">
        <f t="shared" si="1765"/>
        <v>a</v>
      </c>
      <c r="X1840">
        <v>91</v>
      </c>
      <c r="Y1840" t="e">
        <f>IF(X1840&lt;&gt;"",VLOOKUP(X1840,game_rosters!$C$43:$E$64,3,FALSE))</f>
        <v>#N/A</v>
      </c>
      <c r="Z1840" cm="1">
        <f t="array" ref="Z1840">IFERROR(IF(_xlfn._xlws.FILTER(game_rosters!$J:$J,(game_rosters!$G:$G=events!$AN1840)*(game_rosters!$J:$J=events!$X1840))&gt;0,1,""),"")</f>
        <v>1</v>
      </c>
      <c r="AA1840">
        <f t="shared" si="1813"/>
        <v>1970</v>
      </c>
      <c r="AB1840" t="str">
        <f t="shared" si="1814"/>
        <v/>
      </c>
      <c r="AC1840">
        <f t="shared" si="1762"/>
        <v>1970</v>
      </c>
      <c r="AD1840" s="6">
        <v>3</v>
      </c>
      <c r="AE1840" t="s">
        <v>745</v>
      </c>
      <c r="AF1840" t="s">
        <v>926</v>
      </c>
      <c r="AG1840" t="s">
        <v>756</v>
      </c>
      <c r="AH1840" t="s">
        <v>756</v>
      </c>
      <c r="AI1840" t="s">
        <v>367</v>
      </c>
      <c r="AJ1840" t="str">
        <f t="shared" ref="AJ1840:AK1840" si="1834">IF($J1840&lt;&gt;"",$J1840,IF($AC1840=$AC1839,AJ1839,""))</f>
        <v/>
      </c>
      <c r="AK1840" t="str">
        <f t="shared" si="1834"/>
        <v/>
      </c>
      <c r="AL1840" t="str">
        <f t="shared" si="1767"/>
        <v/>
      </c>
      <c r="AN1840" t="s">
        <v>862</v>
      </c>
      <c r="AO1840" t="str">
        <f t="shared" si="1768"/>
        <v>a</v>
      </c>
      <c r="AP1840" t="str">
        <f t="shared" si="1776"/>
        <v/>
      </c>
      <c r="AQ1840" t="str">
        <f t="shared" si="1777"/>
        <v/>
      </c>
      <c r="AR1840" t="str">
        <f t="shared" si="1778"/>
        <v>Away</v>
      </c>
      <c r="AS1840" t="str">
        <f t="shared" si="1779"/>
        <v>a</v>
      </c>
      <c r="AT1840" t="str">
        <f t="shared" si="1780"/>
        <v>Offensive</v>
      </c>
      <c r="BA1840" s="6">
        <f t="shared" si="1769"/>
        <v>427</v>
      </c>
      <c r="BB1840">
        <f t="shared" si="1770"/>
        <v>18981</v>
      </c>
      <c r="BC1840" t="str">
        <f t="shared" si="1771"/>
        <v>Nelson</v>
      </c>
      <c r="BD1840" t="str">
        <f t="shared" si="1772"/>
        <v>Velodrome</v>
      </c>
      <c r="BE1840" t="s">
        <v>7</v>
      </c>
      <c r="BF1840" t="s">
        <v>182</v>
      </c>
      <c r="BG1840" t="s">
        <v>68</v>
      </c>
      <c r="BI1840" cm="1">
        <f t="array" aca="1" ref="BI1840" ca="1">IFERROR(_xlfn._xlws.FILTER(shifts!A:A,(shifts!B:B=events!AD1840)*(shifts!AG:AG&gt;=events!BK1840)*(shifts!AH:AH&lt;=events!BL1840)),BI1839)</f>
        <v>82</v>
      </c>
      <c r="BJ1840" s="15">
        <f t="shared" si="1773"/>
        <v>0</v>
      </c>
      <c r="BK1840">
        <f t="shared" si="1781"/>
        <v>853</v>
      </c>
      <c r="BL1840">
        <f t="shared" si="1782"/>
        <v>853</v>
      </c>
      <c r="BM1840" s="15">
        <f>SUMIFS(BJ$2:BJ1840,K$2:K1840,"=Intermission")+SUMIFS(BJ$2:BJ1840,K$2:K1840,"=Timeout")</f>
        <v>142</v>
      </c>
      <c r="BN1840">
        <f t="shared" si="1783"/>
        <v>2302</v>
      </c>
      <c r="BO1840" s="19">
        <f t="shared" si="1784"/>
        <v>2529</v>
      </c>
      <c r="BP1840">
        <f t="shared" si="1785"/>
        <v>2524</v>
      </c>
      <c r="BQ1840" s="17">
        <f t="shared" si="1786"/>
        <v>2529</v>
      </c>
      <c r="BR1840" t="str">
        <f t="shared" si="1787"/>
        <v>event_team_player_2</v>
      </c>
      <c r="BS1840">
        <f>COUNTIFS(S$3:S1840,"="&amp;S1840,AI$3:AI1840,"="&amp;AI1840)</f>
        <v>2</v>
      </c>
      <c r="BT1840" t="str">
        <f>IFERROR(VLOOKUP(BB1840&amp;BU1840&amp;X1840,game_rosters!U:W,3,FALSE),"")</f>
        <v>P100002</v>
      </c>
      <c r="BU1840" t="str">
        <f t="shared" si="1788"/>
        <v>Velodrome</v>
      </c>
    </row>
    <row r="1841" spans="1:73" x14ac:dyDescent="0.2">
      <c r="A1841">
        <f t="shared" si="1774"/>
        <v>1</v>
      </c>
      <c r="J1841" s="44" t="str">
        <f t="shared" si="1789"/>
        <v>d</v>
      </c>
      <c r="K1841" t="s">
        <v>238</v>
      </c>
      <c r="L1841" t="s">
        <v>184</v>
      </c>
      <c r="M1841" t="s">
        <v>376</v>
      </c>
      <c r="S1841">
        <v>971</v>
      </c>
      <c r="W1841" t="str">
        <f t="shared" si="1765"/>
        <v>a</v>
      </c>
      <c r="X1841">
        <v>42</v>
      </c>
      <c r="Y1841" t="e">
        <f>IF(X1841&lt;&gt;"",VLOOKUP(X1841,game_rosters!$C$43:$E$64,3,FALSE))</f>
        <v>#N/A</v>
      </c>
      <c r="Z1841" cm="1">
        <f t="array" ref="Z1841">IFERROR(IF(_xlfn._xlws.FILTER(game_rosters!$J:$J,(game_rosters!$G:$G=events!$AN1841)*(game_rosters!$J:$J=events!$X1841))&gt;0,1,""),"")</f>
        <v>1</v>
      </c>
      <c r="AA1841">
        <f t="shared" si="1813"/>
        <v>1971</v>
      </c>
      <c r="AB1841" t="str">
        <f t="shared" si="1814"/>
        <v/>
      </c>
      <c r="AC1841">
        <f t="shared" si="1762"/>
        <v>1971</v>
      </c>
      <c r="AD1841" s="6">
        <v>3</v>
      </c>
      <c r="AE1841" t="s">
        <v>745</v>
      </c>
      <c r="AF1841" t="s">
        <v>926</v>
      </c>
      <c r="AG1841" t="s">
        <v>756</v>
      </c>
      <c r="AH1841" t="s">
        <v>756</v>
      </c>
      <c r="AI1841" t="s">
        <v>367</v>
      </c>
      <c r="AJ1841" t="str">
        <f t="shared" ref="AJ1841:AK1841" si="1835">IF($J1841&lt;&gt;"",$J1841,IF($AC1841=$AC1840,AJ1840,""))</f>
        <v>d</v>
      </c>
      <c r="AK1841" t="str">
        <f t="shared" si="1835"/>
        <v>d</v>
      </c>
      <c r="AL1841" t="str">
        <f t="shared" si="1767"/>
        <v>o</v>
      </c>
      <c r="AN1841" t="s">
        <v>862</v>
      </c>
      <c r="AO1841" t="str">
        <f t="shared" si="1768"/>
        <v>a</v>
      </c>
      <c r="AP1841" t="str">
        <f t="shared" si="1776"/>
        <v>o</v>
      </c>
      <c r="AQ1841" t="str">
        <f t="shared" si="1777"/>
        <v/>
      </c>
      <c r="AR1841" t="str">
        <f t="shared" si="1778"/>
        <v>Away</v>
      </c>
      <c r="AS1841" t="str">
        <f t="shared" si="1779"/>
        <v>a</v>
      </c>
      <c r="AT1841" t="str">
        <f t="shared" si="1780"/>
        <v>Offensive</v>
      </c>
      <c r="BA1841" s="6">
        <f t="shared" si="1769"/>
        <v>428</v>
      </c>
      <c r="BB1841">
        <f t="shared" si="1770"/>
        <v>18981</v>
      </c>
      <c r="BC1841" t="str">
        <f t="shared" si="1771"/>
        <v>Nelson</v>
      </c>
      <c r="BD1841" t="str">
        <f t="shared" si="1772"/>
        <v>Velodrome</v>
      </c>
      <c r="BE1841" t="s">
        <v>238</v>
      </c>
      <c r="BF1841" t="s">
        <v>184</v>
      </c>
      <c r="BG1841" t="s">
        <v>376</v>
      </c>
      <c r="BI1841" cm="1">
        <f t="array" aca="1" ref="BI1841" ca="1">IFERROR(_xlfn._xlws.FILTER(shifts!A:A,(shifts!B:B=events!AD1841)*(shifts!AG:AG&gt;=events!BK1841)*(shifts!AH:AH&lt;=events!BL1841)),BI1840)</f>
        <v>82</v>
      </c>
      <c r="BJ1841" s="15">
        <f t="shared" si="1773"/>
        <v>0</v>
      </c>
      <c r="BK1841">
        <f t="shared" si="1781"/>
        <v>853</v>
      </c>
      <c r="BL1841">
        <f t="shared" si="1782"/>
        <v>853</v>
      </c>
      <c r="BM1841" s="15">
        <f>SUMIFS(BJ$2:BJ1841,K$2:K1841,"=Intermission")+SUMIFS(BJ$2:BJ1841,K$2:K1841,"=Timeout")</f>
        <v>142</v>
      </c>
      <c r="BN1841">
        <f t="shared" si="1783"/>
        <v>2302</v>
      </c>
      <c r="BO1841" s="19">
        <f t="shared" si="1784"/>
        <v>2529</v>
      </c>
      <c r="BP1841">
        <f t="shared" si="1785"/>
        <v>2524</v>
      </c>
      <c r="BQ1841" s="17">
        <f t="shared" si="1786"/>
        <v>2529</v>
      </c>
      <c r="BR1841" t="str">
        <f t="shared" si="1787"/>
        <v>event_team_player_1</v>
      </c>
      <c r="BS1841">
        <f>COUNTIFS(S$3:S1841,"="&amp;S1841,AI$3:AI1841,"="&amp;AI1841)</f>
        <v>1</v>
      </c>
      <c r="BT1841" t="str">
        <f>IFERROR(VLOOKUP(BB1841&amp;BU1841&amp;X1841,game_rosters!U:W,3,FALSE),"")</f>
        <v>P100201</v>
      </c>
      <c r="BU1841" t="str">
        <f t="shared" si="1788"/>
        <v>Velodrome</v>
      </c>
    </row>
    <row r="1842" spans="1:73" x14ac:dyDescent="0.2">
      <c r="A1842">
        <f t="shared" si="1774"/>
        <v>1</v>
      </c>
      <c r="J1842" s="44" t="str">
        <f t="shared" si="1789"/>
        <v>d</v>
      </c>
      <c r="K1842" t="s">
        <v>238</v>
      </c>
      <c r="L1842" t="s">
        <v>184</v>
      </c>
      <c r="M1842" t="s">
        <v>376</v>
      </c>
      <c r="S1842">
        <v>971</v>
      </c>
      <c r="W1842" t="str">
        <f t="shared" si="1765"/>
        <v>a</v>
      </c>
      <c r="X1842">
        <v>91</v>
      </c>
      <c r="Y1842" t="e">
        <f>IF(X1842&lt;&gt;"",VLOOKUP(X1842,game_rosters!$C$43:$E$64,3,FALSE))</f>
        <v>#N/A</v>
      </c>
      <c r="Z1842" cm="1">
        <f t="array" ref="Z1842">IFERROR(IF(_xlfn._xlws.FILTER(game_rosters!$J:$J,(game_rosters!$G:$G=events!$AN1842)*(game_rosters!$J:$J=events!$X1842))&gt;0,1,""),"")</f>
        <v>1</v>
      </c>
      <c r="AA1842">
        <f t="shared" si="1813"/>
        <v>1971</v>
      </c>
      <c r="AB1842" t="str">
        <f t="shared" si="1814"/>
        <v/>
      </c>
      <c r="AC1842">
        <f t="shared" si="1762"/>
        <v>1971</v>
      </c>
      <c r="AD1842" s="6">
        <v>3</v>
      </c>
      <c r="AE1842" t="s">
        <v>745</v>
      </c>
      <c r="AF1842" t="s">
        <v>926</v>
      </c>
      <c r="AG1842" t="s">
        <v>756</v>
      </c>
      <c r="AH1842" t="s">
        <v>756</v>
      </c>
      <c r="AI1842" t="s">
        <v>367</v>
      </c>
      <c r="AJ1842" t="str">
        <f t="shared" ref="AJ1842:AK1842" si="1836">IF($J1842&lt;&gt;"",$J1842,IF($AC1842=$AC1841,AJ1841,""))</f>
        <v>d</v>
      </c>
      <c r="AK1842" t="str">
        <f t="shared" si="1836"/>
        <v>d</v>
      </c>
      <c r="AL1842" t="str">
        <f t="shared" si="1767"/>
        <v>o</v>
      </c>
      <c r="AN1842" t="s">
        <v>862</v>
      </c>
      <c r="AO1842" t="str">
        <f t="shared" si="1768"/>
        <v>a</v>
      </c>
      <c r="AP1842" t="str">
        <f t="shared" si="1776"/>
        <v>o</v>
      </c>
      <c r="AQ1842" t="str">
        <f t="shared" si="1777"/>
        <v/>
      </c>
      <c r="AR1842" t="str">
        <f t="shared" si="1778"/>
        <v>Away</v>
      </c>
      <c r="AS1842" t="str">
        <f t="shared" si="1779"/>
        <v>a</v>
      </c>
      <c r="AT1842" t="str">
        <f t="shared" si="1780"/>
        <v>Offensive</v>
      </c>
      <c r="BA1842" s="6">
        <f t="shared" si="1769"/>
        <v>429</v>
      </c>
      <c r="BB1842">
        <f t="shared" si="1770"/>
        <v>18981</v>
      </c>
      <c r="BC1842" t="str">
        <f t="shared" si="1771"/>
        <v>Nelson</v>
      </c>
      <c r="BD1842" t="str">
        <f t="shared" si="1772"/>
        <v>Velodrome</v>
      </c>
      <c r="BE1842" t="s">
        <v>238</v>
      </c>
      <c r="BF1842" t="s">
        <v>184</v>
      </c>
      <c r="BG1842" t="s">
        <v>376</v>
      </c>
      <c r="BI1842" cm="1">
        <f t="array" aca="1" ref="BI1842" ca="1">IFERROR(_xlfn._xlws.FILTER(shifts!A:A,(shifts!B:B=events!AD1842)*(shifts!AG:AG&gt;=events!BK1842)*(shifts!AH:AH&lt;=events!BL1842)),BI1841)</f>
        <v>82</v>
      </c>
      <c r="BJ1842" s="15">
        <f t="shared" si="1773"/>
        <v>0</v>
      </c>
      <c r="BK1842">
        <f t="shared" si="1781"/>
        <v>853</v>
      </c>
      <c r="BL1842">
        <f t="shared" si="1782"/>
        <v>853</v>
      </c>
      <c r="BM1842" s="15">
        <f>SUMIFS(BJ$2:BJ1842,K$2:K1842,"=Intermission")+SUMIFS(BJ$2:BJ1842,K$2:K1842,"=Timeout")</f>
        <v>142</v>
      </c>
      <c r="BN1842">
        <f t="shared" si="1783"/>
        <v>2302</v>
      </c>
      <c r="BO1842" s="19">
        <f t="shared" si="1784"/>
        <v>2529</v>
      </c>
      <c r="BP1842">
        <f t="shared" si="1785"/>
        <v>2524</v>
      </c>
      <c r="BQ1842" s="17">
        <f t="shared" si="1786"/>
        <v>2529</v>
      </c>
      <c r="BR1842" t="str">
        <f t="shared" si="1787"/>
        <v>event_team_player_2</v>
      </c>
      <c r="BS1842">
        <f>COUNTIFS(S$3:S1842,"="&amp;S1842,AI$3:AI1842,"="&amp;AI1842)</f>
        <v>2</v>
      </c>
      <c r="BT1842" t="str">
        <f>IFERROR(VLOOKUP(BB1842&amp;BU1842&amp;X1842,game_rosters!U:W,3,FALSE),"")</f>
        <v>P100002</v>
      </c>
      <c r="BU1842" t="str">
        <f t="shared" si="1788"/>
        <v>Velodrome</v>
      </c>
    </row>
    <row r="1843" spans="1:73" x14ac:dyDescent="0.2">
      <c r="A1843">
        <f t="shared" si="1774"/>
        <v>1</v>
      </c>
      <c r="J1843" s="44" t="str">
        <f t="shared" si="1789"/>
        <v/>
      </c>
      <c r="K1843" t="s">
        <v>13</v>
      </c>
      <c r="L1843" t="s">
        <v>756</v>
      </c>
      <c r="M1843" t="s">
        <v>756</v>
      </c>
      <c r="S1843">
        <v>972</v>
      </c>
      <c r="W1843" t="str">
        <f t="shared" si="1765"/>
        <v>h</v>
      </c>
      <c r="X1843">
        <v>44</v>
      </c>
      <c r="Y1843" t="b">
        <f>IF(X1843&lt;&gt;"",VLOOKUP(X1843,game_rosters!$C$43:$E$64,3,FALSE))</f>
        <v>0</v>
      </c>
      <c r="Z1843" cm="1">
        <f t="array" ref="Z1843">IFERROR(IF(_xlfn._xlws.FILTER(game_rosters!$J:$J,(game_rosters!$G:$G=events!$AN1843)*(game_rosters!$J:$J=events!$X1843))&gt;0,1,""),"")</f>
        <v>1</v>
      </c>
      <c r="AA1843">
        <f t="shared" si="1813"/>
        <v>1972</v>
      </c>
      <c r="AB1843" t="str">
        <f t="shared" si="1814"/>
        <v/>
      </c>
      <c r="AC1843">
        <f t="shared" si="1762"/>
        <v>1972</v>
      </c>
      <c r="AD1843" s="6">
        <v>3</v>
      </c>
      <c r="AE1843" t="s">
        <v>745</v>
      </c>
      <c r="AF1843" t="s">
        <v>747</v>
      </c>
      <c r="AG1843" t="s">
        <v>745</v>
      </c>
      <c r="AH1843" t="s">
        <v>912</v>
      </c>
      <c r="AI1843" t="s">
        <v>367</v>
      </c>
      <c r="AJ1843" t="str">
        <f t="shared" ref="AJ1843:AK1843" si="1837">IF($J1843&lt;&gt;"",$J1843,IF($AC1843=$AC1842,AJ1842,""))</f>
        <v/>
      </c>
      <c r="AK1843" t="str">
        <f t="shared" si="1837"/>
        <v/>
      </c>
      <c r="AL1843" t="str">
        <f t="shared" si="1767"/>
        <v/>
      </c>
      <c r="AN1843" t="s">
        <v>861</v>
      </c>
      <c r="AO1843" t="str">
        <f t="shared" si="1768"/>
        <v>h</v>
      </c>
      <c r="AP1843" t="str">
        <f t="shared" si="1776"/>
        <v/>
      </c>
      <c r="AQ1843" t="str">
        <f t="shared" si="1777"/>
        <v/>
      </c>
      <c r="AR1843" t="str">
        <f t="shared" si="1778"/>
        <v>Home</v>
      </c>
      <c r="AS1843" t="str">
        <f t="shared" si="1779"/>
        <v>h</v>
      </c>
      <c r="AT1843" t="str">
        <f t="shared" si="1780"/>
        <v>Offensive</v>
      </c>
      <c r="BA1843" s="6">
        <f t="shared" si="1769"/>
        <v>429</v>
      </c>
      <c r="BB1843">
        <f t="shared" si="1770"/>
        <v>18981</v>
      </c>
      <c r="BC1843" t="str">
        <f t="shared" si="1771"/>
        <v>Nelson</v>
      </c>
      <c r="BD1843" t="str">
        <f t="shared" si="1772"/>
        <v>Velodrome</v>
      </c>
      <c r="BE1843" t="s">
        <v>13</v>
      </c>
      <c r="BF1843" t="s">
        <v>756</v>
      </c>
      <c r="BG1843" t="s">
        <v>756</v>
      </c>
      <c r="BI1843" cm="1">
        <f t="array" aca="1" ref="BI1843" ca="1">IFERROR(_xlfn._xlws.FILTER(shifts!A:A,(shifts!B:B=events!AD1843)*(shifts!AG:AG&gt;=events!BK1843)*(shifts!AH:AH&lt;=events!BL1843)),BI1842)</f>
        <v>82</v>
      </c>
      <c r="BJ1843" s="15">
        <f t="shared" si="1773"/>
        <v>2</v>
      </c>
      <c r="BK1843">
        <f t="shared" si="1781"/>
        <v>847</v>
      </c>
      <c r="BL1843">
        <f t="shared" si="1782"/>
        <v>845</v>
      </c>
      <c r="BM1843" s="15">
        <f>SUMIFS(BJ$2:BJ1843,K$2:K1843,"=Intermission")+SUMIFS(BJ$2:BJ1843,K$2:K1843,"=Timeout")</f>
        <v>142</v>
      </c>
      <c r="BN1843">
        <f t="shared" si="1783"/>
        <v>2302</v>
      </c>
      <c r="BO1843" s="19">
        <f t="shared" si="1784"/>
        <v>2535</v>
      </c>
      <c r="BP1843">
        <f t="shared" si="1785"/>
        <v>2530</v>
      </c>
      <c r="BQ1843" s="17">
        <f t="shared" si="1786"/>
        <v>2537</v>
      </c>
      <c r="BR1843" t="str">
        <f t="shared" si="1787"/>
        <v>event_team_player_1</v>
      </c>
      <c r="BS1843">
        <f>COUNTIFS(S$3:S1843,"="&amp;S1843,AI$3:AI1843,"="&amp;AI1843)</f>
        <v>1</v>
      </c>
      <c r="BT1843" t="str">
        <f>IFERROR(VLOOKUP(BB1843&amp;BU1843&amp;X1843,game_rosters!U:W,3,FALSE),"")</f>
        <v>P100079</v>
      </c>
      <c r="BU1843" t="str">
        <f t="shared" si="1788"/>
        <v>Nelson</v>
      </c>
    </row>
    <row r="1844" spans="1:73" x14ac:dyDescent="0.2">
      <c r="A1844">
        <f t="shared" si="1774"/>
        <v>1</v>
      </c>
      <c r="J1844" s="44" t="str">
        <f t="shared" si="1789"/>
        <v/>
      </c>
      <c r="K1844" t="s">
        <v>7</v>
      </c>
      <c r="L1844" t="s">
        <v>192</v>
      </c>
      <c r="M1844" t="s">
        <v>68</v>
      </c>
      <c r="S1844">
        <v>973</v>
      </c>
      <c r="W1844" t="str">
        <f t="shared" si="1765"/>
        <v>h</v>
      </c>
      <c r="X1844">
        <v>44</v>
      </c>
      <c r="Y1844" t="b">
        <f>IF(X1844&lt;&gt;"",VLOOKUP(X1844,game_rosters!$C$43:$E$64,3,FALSE))</f>
        <v>0</v>
      </c>
      <c r="Z1844" cm="1">
        <f t="array" ref="Z1844">IFERROR(IF(_xlfn._xlws.FILTER(game_rosters!$J:$J,(game_rosters!$G:$G=events!$AN1844)*(game_rosters!$J:$J=events!$X1844))&gt;0,1,""),"")</f>
        <v>1</v>
      </c>
      <c r="AA1844">
        <f t="shared" si="1813"/>
        <v>1973</v>
      </c>
      <c r="AB1844" t="str">
        <f t="shared" si="1814"/>
        <v/>
      </c>
      <c r="AC1844">
        <f t="shared" si="1762"/>
        <v>1973</v>
      </c>
      <c r="AD1844" s="6">
        <v>3</v>
      </c>
      <c r="AE1844" t="s">
        <v>745</v>
      </c>
      <c r="AF1844" t="s">
        <v>912</v>
      </c>
      <c r="AG1844" t="s">
        <v>756</v>
      </c>
      <c r="AH1844" t="s">
        <v>756</v>
      </c>
      <c r="AI1844" t="s">
        <v>367</v>
      </c>
      <c r="AJ1844" t="str">
        <f t="shared" ref="AJ1844:AK1844" si="1838">IF($J1844&lt;&gt;"",$J1844,IF($AC1844=$AC1843,AJ1843,""))</f>
        <v/>
      </c>
      <c r="AK1844" t="str">
        <f t="shared" si="1838"/>
        <v/>
      </c>
      <c r="AL1844" t="str">
        <f t="shared" si="1767"/>
        <v/>
      </c>
      <c r="AN1844" t="s">
        <v>861</v>
      </c>
      <c r="AO1844" t="str">
        <f t="shared" si="1768"/>
        <v>h</v>
      </c>
      <c r="AP1844" t="str">
        <f t="shared" si="1776"/>
        <v/>
      </c>
      <c r="AQ1844" t="str">
        <f t="shared" si="1777"/>
        <v/>
      </c>
      <c r="AR1844" t="str">
        <f t="shared" si="1778"/>
        <v>Home</v>
      </c>
      <c r="AS1844" t="str">
        <f t="shared" si="1779"/>
        <v>h</v>
      </c>
      <c r="AT1844" t="str">
        <f t="shared" si="1780"/>
        <v>Offensive</v>
      </c>
      <c r="BA1844" s="6">
        <f t="shared" si="1769"/>
        <v>429</v>
      </c>
      <c r="BB1844">
        <f t="shared" si="1770"/>
        <v>18981</v>
      </c>
      <c r="BC1844" t="str">
        <f t="shared" si="1771"/>
        <v>Nelson</v>
      </c>
      <c r="BD1844" t="str">
        <f t="shared" si="1772"/>
        <v>Velodrome</v>
      </c>
      <c r="BE1844" t="s">
        <v>7</v>
      </c>
      <c r="BF1844" t="s">
        <v>192</v>
      </c>
      <c r="BG1844" t="s">
        <v>68</v>
      </c>
      <c r="BI1844" cm="1">
        <f t="array" aca="1" ref="BI1844" ca="1">IFERROR(_xlfn._xlws.FILTER(shifts!A:A,(shifts!B:B=events!AD1844)*(shifts!AG:AG&gt;=events!BK1844)*(shifts!AH:AH&lt;=events!BL1844)),BI1843)</f>
        <v>82</v>
      </c>
      <c r="BJ1844" s="15">
        <f t="shared" si="1773"/>
        <v>0</v>
      </c>
      <c r="BK1844">
        <f t="shared" si="1781"/>
        <v>845</v>
      </c>
      <c r="BL1844">
        <f t="shared" si="1782"/>
        <v>845</v>
      </c>
      <c r="BM1844" s="15">
        <f>SUMIFS(BJ$2:BJ1844,K$2:K1844,"=Intermission")+SUMIFS(BJ$2:BJ1844,K$2:K1844,"=Timeout")</f>
        <v>142</v>
      </c>
      <c r="BN1844">
        <f t="shared" si="1783"/>
        <v>2302</v>
      </c>
      <c r="BO1844" s="19">
        <f t="shared" si="1784"/>
        <v>2537</v>
      </c>
      <c r="BP1844">
        <f t="shared" si="1785"/>
        <v>2532</v>
      </c>
      <c r="BQ1844" s="17">
        <f t="shared" si="1786"/>
        <v>2537</v>
      </c>
      <c r="BR1844" t="str">
        <f t="shared" si="1787"/>
        <v>event_team_player_1</v>
      </c>
      <c r="BS1844">
        <f>COUNTIFS(S$3:S1844,"="&amp;S1844,AI$3:AI1844,"="&amp;AI1844)</f>
        <v>1</v>
      </c>
      <c r="BT1844" t="str">
        <f>IFERROR(VLOOKUP(BB1844&amp;BU1844&amp;X1844,game_rosters!U:W,3,FALSE),"")</f>
        <v>P100079</v>
      </c>
      <c r="BU1844" t="str">
        <f t="shared" si="1788"/>
        <v>Nelson</v>
      </c>
    </row>
    <row r="1845" spans="1:73" x14ac:dyDescent="0.2">
      <c r="A1845">
        <f t="shared" si="1774"/>
        <v>1</v>
      </c>
      <c r="J1845" s="44" t="str">
        <f t="shared" si="1789"/>
        <v/>
      </c>
      <c r="K1845" t="s">
        <v>7</v>
      </c>
      <c r="L1845" t="s">
        <v>192</v>
      </c>
      <c r="M1845" t="s">
        <v>68</v>
      </c>
      <c r="S1845">
        <v>973</v>
      </c>
      <c r="W1845" t="str">
        <f t="shared" si="1765"/>
        <v>h</v>
      </c>
      <c r="X1845">
        <v>70</v>
      </c>
      <c r="Y1845" t="e">
        <f>IF(X1845&lt;&gt;"",VLOOKUP(X1845,game_rosters!$C$43:$E$64,3,FALSE))</f>
        <v>#N/A</v>
      </c>
      <c r="Z1845" t="str" cm="1">
        <f t="array" ref="Z1845">IFERROR(IF(_xlfn._xlws.FILTER(game_rosters!$J:$J,(game_rosters!$G:$G=events!$AN1845)*(game_rosters!$J:$J=events!$X1845))&gt;0,1,""),"")</f>
        <v/>
      </c>
      <c r="AA1845">
        <f t="shared" si="1813"/>
        <v>1973</v>
      </c>
      <c r="AB1845" t="str">
        <f t="shared" si="1814"/>
        <v/>
      </c>
      <c r="AC1845">
        <f t="shared" si="1762"/>
        <v>1973</v>
      </c>
      <c r="AD1845" s="6">
        <v>3</v>
      </c>
      <c r="AE1845" t="s">
        <v>745</v>
      </c>
      <c r="AF1845" t="s">
        <v>912</v>
      </c>
      <c r="AG1845" t="s">
        <v>756</v>
      </c>
      <c r="AH1845" t="s">
        <v>756</v>
      </c>
      <c r="AI1845" t="s">
        <v>367</v>
      </c>
      <c r="AJ1845" t="str">
        <f t="shared" ref="AJ1845:AK1845" si="1839">IF($J1845&lt;&gt;"",$J1845,IF($AC1845=$AC1844,AJ1844,""))</f>
        <v/>
      </c>
      <c r="AK1845" t="str">
        <f t="shared" si="1839"/>
        <v/>
      </c>
      <c r="AL1845" t="str">
        <f t="shared" si="1767"/>
        <v/>
      </c>
      <c r="AN1845" t="s">
        <v>861</v>
      </c>
      <c r="AO1845" t="str">
        <f t="shared" si="1768"/>
        <v>h</v>
      </c>
      <c r="AP1845" t="str">
        <f t="shared" si="1776"/>
        <v/>
      </c>
      <c r="AQ1845" t="str">
        <f t="shared" si="1777"/>
        <v/>
      </c>
      <c r="AR1845" t="str">
        <f t="shared" si="1778"/>
        <v>Home</v>
      </c>
      <c r="AS1845" t="str">
        <f t="shared" si="1779"/>
        <v>h</v>
      </c>
      <c r="AT1845" t="str">
        <f t="shared" si="1780"/>
        <v>Offensive</v>
      </c>
      <c r="BA1845" s="6">
        <f t="shared" si="1769"/>
        <v>429</v>
      </c>
      <c r="BB1845">
        <f t="shared" si="1770"/>
        <v>18981</v>
      </c>
      <c r="BC1845" t="str">
        <f t="shared" si="1771"/>
        <v>Nelson</v>
      </c>
      <c r="BD1845" t="str">
        <f t="shared" si="1772"/>
        <v>Velodrome</v>
      </c>
      <c r="BE1845" t="s">
        <v>7</v>
      </c>
      <c r="BF1845" t="s">
        <v>192</v>
      </c>
      <c r="BG1845" t="s">
        <v>68</v>
      </c>
      <c r="BI1845" cm="1">
        <f t="array" aca="1" ref="BI1845" ca="1">IFERROR(_xlfn._xlws.FILTER(shifts!A:A,(shifts!B:B=events!AD1845)*(shifts!AG:AG&gt;=events!BK1845)*(shifts!AH:AH&lt;=events!BL1845)),BI1844)</f>
        <v>82</v>
      </c>
      <c r="BJ1845" s="15">
        <f t="shared" si="1773"/>
        <v>0</v>
      </c>
      <c r="BK1845">
        <f t="shared" si="1781"/>
        <v>845</v>
      </c>
      <c r="BL1845">
        <f t="shared" si="1782"/>
        <v>845</v>
      </c>
      <c r="BM1845" s="15">
        <f>SUMIFS(BJ$2:BJ1845,K$2:K1845,"=Intermission")+SUMIFS(BJ$2:BJ1845,K$2:K1845,"=Timeout")</f>
        <v>142</v>
      </c>
      <c r="BN1845">
        <f t="shared" si="1783"/>
        <v>2302</v>
      </c>
      <c r="BO1845" s="19">
        <f t="shared" si="1784"/>
        <v>2537</v>
      </c>
      <c r="BP1845">
        <f t="shared" si="1785"/>
        <v>2532</v>
      </c>
      <c r="BQ1845" s="17">
        <f t="shared" si="1786"/>
        <v>2537</v>
      </c>
      <c r="BR1845" t="str">
        <f t="shared" si="1787"/>
        <v>event_team_player_2</v>
      </c>
      <c r="BS1845">
        <f>COUNTIFS(S$3:S1845,"="&amp;S1845,AI$3:AI1845,"="&amp;AI1845)</f>
        <v>2</v>
      </c>
      <c r="BT1845" t="str">
        <f>IFERROR(VLOOKUP(BB1845&amp;BU1845&amp;X1845,game_rosters!U:W,3,FALSE),"")</f>
        <v>P100001</v>
      </c>
      <c r="BU1845" t="s">
        <v>521</v>
      </c>
    </row>
    <row r="1846" spans="1:73" x14ac:dyDescent="0.2">
      <c r="A1846">
        <f t="shared" si="1774"/>
        <v>1</v>
      </c>
      <c r="J1846" s="44" t="str">
        <f t="shared" si="1789"/>
        <v/>
      </c>
      <c r="K1846" t="s">
        <v>7</v>
      </c>
      <c r="L1846" t="s">
        <v>192</v>
      </c>
      <c r="M1846" t="s">
        <v>68</v>
      </c>
      <c r="S1846">
        <v>973</v>
      </c>
      <c r="W1846" t="str">
        <f t="shared" si="1765"/>
        <v>h</v>
      </c>
      <c r="X1846">
        <v>24</v>
      </c>
      <c r="Y1846" t="e">
        <f>IF(X1846&lt;&gt;"",VLOOKUP(X1846,game_rosters!$C$43:$E$64,3,FALSE))</f>
        <v>#N/A</v>
      </c>
      <c r="Z1846" t="str" cm="1">
        <f t="array" ref="Z1846">IFERROR(IF(_xlfn._xlws.FILTER(game_rosters!$J:$J,(game_rosters!$G:$G=events!$AN1846)*(game_rosters!$J:$J=events!$X1846))&gt;0,1,""),"")</f>
        <v/>
      </c>
      <c r="AA1846">
        <f t="shared" si="1813"/>
        <v>1973</v>
      </c>
      <c r="AB1846" t="str">
        <f t="shared" si="1814"/>
        <v/>
      </c>
      <c r="AC1846">
        <f t="shared" si="1762"/>
        <v>1973</v>
      </c>
      <c r="AD1846" s="6">
        <v>3</v>
      </c>
      <c r="AE1846" t="s">
        <v>745</v>
      </c>
      <c r="AF1846" t="s">
        <v>912</v>
      </c>
      <c r="AG1846" t="s">
        <v>756</v>
      </c>
      <c r="AH1846" t="s">
        <v>756</v>
      </c>
      <c r="AI1846" t="s">
        <v>368</v>
      </c>
      <c r="AJ1846" t="str">
        <f t="shared" ref="AJ1846:AK1846" si="1840">IF($J1846&lt;&gt;"",$J1846,IF($AC1846=$AC1845,AJ1845,""))</f>
        <v/>
      </c>
      <c r="AK1846" t="str">
        <f t="shared" si="1840"/>
        <v/>
      </c>
      <c r="AL1846" t="str">
        <f t="shared" si="1767"/>
        <v/>
      </c>
      <c r="AN1846" t="s">
        <v>861</v>
      </c>
      <c r="AO1846" t="str">
        <f t="shared" si="1768"/>
        <v>h</v>
      </c>
      <c r="AP1846" t="str">
        <f t="shared" si="1776"/>
        <v/>
      </c>
      <c r="AQ1846" t="str">
        <f t="shared" si="1777"/>
        <v/>
      </c>
      <c r="AR1846" t="str">
        <f t="shared" si="1778"/>
        <v>Home</v>
      </c>
      <c r="AS1846" t="str">
        <f t="shared" si="1779"/>
        <v>h</v>
      </c>
      <c r="AT1846" t="str">
        <f t="shared" si="1780"/>
        <v>Defensive</v>
      </c>
      <c r="BA1846" s="6">
        <f t="shared" si="1769"/>
        <v>429</v>
      </c>
      <c r="BB1846">
        <f t="shared" si="1770"/>
        <v>18981</v>
      </c>
      <c r="BC1846" t="str">
        <f t="shared" si="1771"/>
        <v>Nelson</v>
      </c>
      <c r="BD1846" t="str">
        <f t="shared" si="1772"/>
        <v>Velodrome</v>
      </c>
      <c r="BE1846" t="s">
        <v>7</v>
      </c>
      <c r="BF1846" t="s">
        <v>192</v>
      </c>
      <c r="BG1846" t="s">
        <v>68</v>
      </c>
      <c r="BI1846" cm="1">
        <f t="array" aca="1" ref="BI1846" ca="1">IFERROR(_xlfn._xlws.FILTER(shifts!A:A,(shifts!B:B=events!AD1846)*(shifts!AG:AG&gt;=events!BK1846)*(shifts!AH:AH&lt;=events!BL1846)),BI1845)</f>
        <v>82</v>
      </c>
      <c r="BJ1846" s="15">
        <f t="shared" si="1773"/>
        <v>0</v>
      </c>
      <c r="BK1846">
        <f t="shared" si="1781"/>
        <v>845</v>
      </c>
      <c r="BL1846">
        <f t="shared" si="1782"/>
        <v>845</v>
      </c>
      <c r="BM1846" s="15">
        <f>SUMIFS(BJ$2:BJ1846,K$2:K1846,"=Intermission")+SUMIFS(BJ$2:BJ1846,K$2:K1846,"=Timeout")</f>
        <v>142</v>
      </c>
      <c r="BN1846">
        <f t="shared" si="1783"/>
        <v>2302</v>
      </c>
      <c r="BO1846" s="19">
        <f t="shared" si="1784"/>
        <v>2537</v>
      </c>
      <c r="BP1846">
        <f t="shared" si="1785"/>
        <v>2532</v>
      </c>
      <c r="BQ1846" s="17">
        <f t="shared" si="1786"/>
        <v>2537</v>
      </c>
      <c r="BR1846" t="str">
        <f t="shared" si="1787"/>
        <v>opp_team_player_1</v>
      </c>
      <c r="BS1846">
        <f>COUNTIFS(S$3:S1846,"="&amp;S1846,AI$3:AI1846,"="&amp;AI1846)</f>
        <v>1</v>
      </c>
      <c r="BT1846" t="str">
        <f>IFERROR(VLOOKUP(BB1846&amp;BU1846&amp;X1846,game_rosters!U:W,3,FALSE),"")</f>
        <v>P100230</v>
      </c>
      <c r="BU1846" t="str">
        <f t="shared" si="1788"/>
        <v>Velodrome</v>
      </c>
    </row>
    <row r="1847" spans="1:73" x14ac:dyDescent="0.2">
      <c r="A1847">
        <f t="shared" si="1774"/>
        <v>1</v>
      </c>
      <c r="J1847" s="44" t="str">
        <f t="shared" si="1789"/>
        <v>o</v>
      </c>
      <c r="K1847" t="s">
        <v>238</v>
      </c>
      <c r="L1847" t="s">
        <v>174</v>
      </c>
      <c r="M1847" t="s">
        <v>390</v>
      </c>
      <c r="S1847">
        <v>974</v>
      </c>
      <c r="W1847" t="str">
        <f t="shared" si="1765"/>
        <v>h</v>
      </c>
      <c r="X1847">
        <v>44</v>
      </c>
      <c r="Y1847" t="b">
        <f>IF(X1847&lt;&gt;"",VLOOKUP(X1847,game_rosters!$C$43:$E$64,3,FALSE))</f>
        <v>0</v>
      </c>
      <c r="Z1847" cm="1">
        <f t="array" ref="Z1847">IFERROR(IF(_xlfn._xlws.FILTER(game_rosters!$J:$J,(game_rosters!$G:$G=events!$AN1847)*(game_rosters!$J:$J=events!$X1847))&gt;0,1,""),"")</f>
        <v>1</v>
      </c>
      <c r="AA1847">
        <f t="shared" si="1813"/>
        <v>1974</v>
      </c>
      <c r="AB1847" t="str">
        <f t="shared" si="1814"/>
        <v/>
      </c>
      <c r="AC1847">
        <f t="shared" si="1762"/>
        <v>1974</v>
      </c>
      <c r="AD1847" s="6">
        <v>3</v>
      </c>
      <c r="AE1847" t="s">
        <v>745</v>
      </c>
      <c r="AF1847" t="s">
        <v>931</v>
      </c>
      <c r="AG1847" t="s">
        <v>756</v>
      </c>
      <c r="AH1847" t="s">
        <v>756</v>
      </c>
      <c r="AI1847" t="s">
        <v>367</v>
      </c>
      <c r="AJ1847" t="str">
        <f t="shared" ref="AJ1847:AK1847" si="1841">IF($J1847&lt;&gt;"",$J1847,IF($AC1847=$AC1846,AJ1846,""))</f>
        <v>o</v>
      </c>
      <c r="AK1847" t="str">
        <f t="shared" si="1841"/>
        <v>o</v>
      </c>
      <c r="AL1847" t="str">
        <f t="shared" si="1767"/>
        <v>o</v>
      </c>
      <c r="AN1847" t="s">
        <v>861</v>
      </c>
      <c r="AO1847" t="str">
        <f t="shared" si="1768"/>
        <v>h</v>
      </c>
      <c r="AP1847" t="str">
        <f t="shared" si="1776"/>
        <v>o</v>
      </c>
      <c r="AQ1847" t="str">
        <f t="shared" si="1777"/>
        <v/>
      </c>
      <c r="AR1847" t="str">
        <f t="shared" si="1778"/>
        <v>Home</v>
      </c>
      <c r="AS1847" t="str">
        <f t="shared" si="1779"/>
        <v>h</v>
      </c>
      <c r="AT1847" t="str">
        <f t="shared" si="1780"/>
        <v>Offensive</v>
      </c>
      <c r="BA1847" s="6">
        <f t="shared" si="1769"/>
        <v>430</v>
      </c>
      <c r="BB1847">
        <f t="shared" si="1770"/>
        <v>18981</v>
      </c>
      <c r="BC1847" t="str">
        <f t="shared" si="1771"/>
        <v>Nelson</v>
      </c>
      <c r="BD1847" t="str">
        <f t="shared" si="1772"/>
        <v>Velodrome</v>
      </c>
      <c r="BE1847" t="s">
        <v>238</v>
      </c>
      <c r="BF1847" t="s">
        <v>174</v>
      </c>
      <c r="BG1847" t="s">
        <v>390</v>
      </c>
      <c r="BI1847" cm="1">
        <f t="array" aca="1" ref="BI1847" ca="1">IFERROR(_xlfn._xlws.FILTER(shifts!A:A,(shifts!B:B=events!AD1847)*(shifts!AG:AG&gt;=events!BK1847)*(shifts!AH:AH&lt;=events!BL1847)),BI1846)</f>
        <v>82</v>
      </c>
      <c r="BJ1847" s="15">
        <f t="shared" si="1773"/>
        <v>0</v>
      </c>
      <c r="BK1847">
        <f t="shared" si="1781"/>
        <v>844</v>
      </c>
      <c r="BL1847">
        <f t="shared" si="1782"/>
        <v>844</v>
      </c>
      <c r="BM1847" s="15">
        <f>SUMIFS(BJ$2:BJ1847,K$2:K1847,"=Intermission")+SUMIFS(BJ$2:BJ1847,K$2:K1847,"=Timeout")</f>
        <v>142</v>
      </c>
      <c r="BN1847">
        <f t="shared" si="1783"/>
        <v>2302</v>
      </c>
      <c r="BO1847" s="19">
        <f t="shared" si="1784"/>
        <v>2538</v>
      </c>
      <c r="BP1847">
        <f t="shared" si="1785"/>
        <v>2533</v>
      </c>
      <c r="BQ1847" s="17">
        <f t="shared" si="1786"/>
        <v>2538</v>
      </c>
      <c r="BR1847" t="str">
        <f t="shared" si="1787"/>
        <v>event_team_player_1</v>
      </c>
      <c r="BS1847">
        <f>COUNTIFS(S$3:S1847,"="&amp;S1847,AI$3:AI1847,"="&amp;AI1847)</f>
        <v>1</v>
      </c>
      <c r="BT1847" t="str">
        <f>IFERROR(VLOOKUP(BB1847&amp;BU1847&amp;X1847,game_rosters!U:W,3,FALSE),"")</f>
        <v>P100079</v>
      </c>
      <c r="BU1847" t="str">
        <f t="shared" si="1788"/>
        <v>Nelson</v>
      </c>
    </row>
    <row r="1848" spans="1:73" x14ac:dyDescent="0.2">
      <c r="A1848">
        <f t="shared" si="1774"/>
        <v>1</v>
      </c>
      <c r="J1848" s="44" t="str">
        <f t="shared" si="1789"/>
        <v>o</v>
      </c>
      <c r="K1848" t="s">
        <v>238</v>
      </c>
      <c r="L1848" t="s">
        <v>174</v>
      </c>
      <c r="M1848" t="s">
        <v>390</v>
      </c>
      <c r="S1848">
        <v>974</v>
      </c>
      <c r="W1848" t="str">
        <f t="shared" si="1765"/>
        <v>h</v>
      </c>
      <c r="X1848">
        <v>10</v>
      </c>
      <c r="Y1848" t="b">
        <f>IF(X1848&lt;&gt;"",VLOOKUP(X1848,game_rosters!$C$43:$E$64,3,FALSE))</f>
        <v>0</v>
      </c>
      <c r="Z1848" cm="1">
        <f t="array" ref="Z1848">IFERROR(IF(_xlfn._xlws.FILTER(game_rosters!$J:$J,(game_rosters!$G:$G=events!$AN1848)*(game_rosters!$J:$J=events!$X1848))&gt;0,1,""),"")</f>
        <v>1</v>
      </c>
      <c r="AA1848">
        <f t="shared" si="1813"/>
        <v>1974</v>
      </c>
      <c r="AB1848" t="str">
        <f t="shared" si="1814"/>
        <v/>
      </c>
      <c r="AC1848">
        <f t="shared" si="1762"/>
        <v>1974</v>
      </c>
      <c r="AD1848" s="6">
        <v>3</v>
      </c>
      <c r="AE1848" t="s">
        <v>745</v>
      </c>
      <c r="AF1848" t="s">
        <v>931</v>
      </c>
      <c r="AG1848" t="s">
        <v>756</v>
      </c>
      <c r="AH1848" t="s">
        <v>756</v>
      </c>
      <c r="AI1848" t="s">
        <v>367</v>
      </c>
      <c r="AJ1848" t="str">
        <f t="shared" ref="AJ1848:AK1848" si="1842">IF($J1848&lt;&gt;"",$J1848,IF($AC1848=$AC1847,AJ1847,""))</f>
        <v>o</v>
      </c>
      <c r="AK1848" t="str">
        <f t="shared" si="1842"/>
        <v>o</v>
      </c>
      <c r="AL1848" t="str">
        <f t="shared" si="1767"/>
        <v>o</v>
      </c>
      <c r="AN1848" t="s">
        <v>861</v>
      </c>
      <c r="AO1848" t="str">
        <f t="shared" si="1768"/>
        <v>h</v>
      </c>
      <c r="AP1848" t="str">
        <f t="shared" si="1776"/>
        <v>o</v>
      </c>
      <c r="AQ1848" t="str">
        <f t="shared" si="1777"/>
        <v/>
      </c>
      <c r="AR1848" t="str">
        <f t="shared" si="1778"/>
        <v>Home</v>
      </c>
      <c r="AS1848" t="str">
        <f t="shared" si="1779"/>
        <v>h</v>
      </c>
      <c r="AT1848" t="str">
        <f t="shared" si="1780"/>
        <v>Offensive</v>
      </c>
      <c r="BA1848" s="6">
        <f t="shared" si="1769"/>
        <v>431</v>
      </c>
      <c r="BB1848">
        <f t="shared" si="1770"/>
        <v>18981</v>
      </c>
      <c r="BC1848" t="str">
        <f t="shared" si="1771"/>
        <v>Nelson</v>
      </c>
      <c r="BD1848" t="str">
        <f t="shared" si="1772"/>
        <v>Velodrome</v>
      </c>
      <c r="BE1848" t="s">
        <v>238</v>
      </c>
      <c r="BF1848" t="s">
        <v>174</v>
      </c>
      <c r="BG1848" t="s">
        <v>390</v>
      </c>
      <c r="BI1848" cm="1">
        <f t="array" aca="1" ref="BI1848" ca="1">IFERROR(_xlfn._xlws.FILTER(shifts!A:A,(shifts!B:B=events!AD1848)*(shifts!AG:AG&gt;=events!BK1848)*(shifts!AH:AH&lt;=events!BL1848)),BI1847)</f>
        <v>82</v>
      </c>
      <c r="BJ1848" s="15">
        <f t="shared" si="1773"/>
        <v>0</v>
      </c>
      <c r="BK1848">
        <f t="shared" si="1781"/>
        <v>844</v>
      </c>
      <c r="BL1848">
        <f t="shared" si="1782"/>
        <v>844</v>
      </c>
      <c r="BM1848" s="15">
        <f>SUMIFS(BJ$2:BJ1848,K$2:K1848,"=Intermission")+SUMIFS(BJ$2:BJ1848,K$2:K1848,"=Timeout")</f>
        <v>142</v>
      </c>
      <c r="BN1848">
        <f t="shared" si="1783"/>
        <v>2302</v>
      </c>
      <c r="BO1848" s="19">
        <f t="shared" si="1784"/>
        <v>2538</v>
      </c>
      <c r="BP1848">
        <f t="shared" si="1785"/>
        <v>2533</v>
      </c>
      <c r="BQ1848" s="17">
        <f t="shared" si="1786"/>
        <v>2538</v>
      </c>
      <c r="BR1848" t="str">
        <f t="shared" si="1787"/>
        <v>event_team_player_2</v>
      </c>
      <c r="BS1848">
        <f>COUNTIFS(S$3:S1848,"="&amp;S1848,AI$3:AI1848,"="&amp;AI1848)</f>
        <v>2</v>
      </c>
      <c r="BT1848" t="str">
        <f>IFERROR(VLOOKUP(BB1848&amp;BU1848&amp;X1848,game_rosters!U:W,3,FALSE),"")</f>
        <v>P100078</v>
      </c>
      <c r="BU1848" t="str">
        <f t="shared" si="1788"/>
        <v>Nelson</v>
      </c>
    </row>
    <row r="1849" spans="1:73" x14ac:dyDescent="0.2">
      <c r="A1849">
        <f t="shared" si="1774"/>
        <v>1</v>
      </c>
      <c r="J1849" s="44" t="str">
        <f t="shared" si="1789"/>
        <v>o</v>
      </c>
      <c r="K1849" t="s">
        <v>238</v>
      </c>
      <c r="L1849" t="s">
        <v>174</v>
      </c>
      <c r="M1849" t="s">
        <v>390</v>
      </c>
      <c r="S1849">
        <v>974</v>
      </c>
      <c r="W1849" t="str">
        <f t="shared" si="1765"/>
        <v>h</v>
      </c>
      <c r="X1849">
        <v>24</v>
      </c>
      <c r="Y1849" t="e">
        <f>IF(X1849&lt;&gt;"",VLOOKUP(X1849,game_rosters!$C$43:$E$64,3,FALSE))</f>
        <v>#N/A</v>
      </c>
      <c r="Z1849" t="str" cm="1">
        <f t="array" ref="Z1849">IFERROR(IF(_xlfn._xlws.FILTER(game_rosters!$J:$J,(game_rosters!$G:$G=events!$AN1849)*(game_rosters!$J:$J=events!$X1849))&gt;0,1,""),"")</f>
        <v/>
      </c>
      <c r="AA1849">
        <f t="shared" si="1813"/>
        <v>1974</v>
      </c>
      <c r="AB1849" t="str">
        <f t="shared" si="1814"/>
        <v/>
      </c>
      <c r="AC1849">
        <f t="shared" si="1762"/>
        <v>1974</v>
      </c>
      <c r="AD1849" s="6">
        <v>3</v>
      </c>
      <c r="AE1849" t="s">
        <v>745</v>
      </c>
      <c r="AF1849" t="s">
        <v>931</v>
      </c>
      <c r="AG1849" t="s">
        <v>756</v>
      </c>
      <c r="AH1849" t="s">
        <v>756</v>
      </c>
      <c r="AI1849" t="s">
        <v>368</v>
      </c>
      <c r="AJ1849" t="str">
        <f t="shared" ref="AJ1849:AK1849" si="1843">IF($J1849&lt;&gt;"",$J1849,IF($AC1849=$AC1848,AJ1848,""))</f>
        <v>o</v>
      </c>
      <c r="AK1849" t="str">
        <f t="shared" si="1843"/>
        <v>o</v>
      </c>
      <c r="AL1849" t="str">
        <f t="shared" si="1767"/>
        <v>o</v>
      </c>
      <c r="AN1849" t="s">
        <v>861</v>
      </c>
      <c r="AO1849" t="str">
        <f t="shared" si="1768"/>
        <v>h</v>
      </c>
      <c r="AP1849" t="str">
        <f t="shared" si="1776"/>
        <v>o</v>
      </c>
      <c r="AQ1849" t="str">
        <f t="shared" si="1777"/>
        <v/>
      </c>
      <c r="AR1849" t="str">
        <f t="shared" si="1778"/>
        <v>Home</v>
      </c>
      <c r="AS1849" t="str">
        <f t="shared" si="1779"/>
        <v>h</v>
      </c>
      <c r="AT1849" t="str">
        <f t="shared" si="1780"/>
        <v>Defensive</v>
      </c>
      <c r="BA1849" s="6">
        <f t="shared" si="1769"/>
        <v>432</v>
      </c>
      <c r="BB1849">
        <f t="shared" si="1770"/>
        <v>18981</v>
      </c>
      <c r="BC1849" t="str">
        <f t="shared" si="1771"/>
        <v>Nelson</v>
      </c>
      <c r="BD1849" t="str">
        <f t="shared" si="1772"/>
        <v>Velodrome</v>
      </c>
      <c r="BE1849" t="s">
        <v>238</v>
      </c>
      <c r="BF1849" t="s">
        <v>174</v>
      </c>
      <c r="BG1849" t="s">
        <v>390</v>
      </c>
      <c r="BI1849" cm="1">
        <f t="array" aca="1" ref="BI1849" ca="1">IFERROR(_xlfn._xlws.FILTER(shifts!A:A,(shifts!B:B=events!AD1849)*(shifts!AG:AG&gt;=events!BK1849)*(shifts!AH:AH&lt;=events!BL1849)),BI1848)</f>
        <v>82</v>
      </c>
      <c r="BJ1849" s="15">
        <f t="shared" si="1773"/>
        <v>0</v>
      </c>
      <c r="BK1849">
        <f t="shared" si="1781"/>
        <v>844</v>
      </c>
      <c r="BL1849">
        <f t="shared" si="1782"/>
        <v>844</v>
      </c>
      <c r="BM1849" s="15">
        <f>SUMIFS(BJ$2:BJ1849,K$2:K1849,"=Intermission")+SUMIFS(BJ$2:BJ1849,K$2:K1849,"=Timeout")</f>
        <v>142</v>
      </c>
      <c r="BN1849">
        <f t="shared" si="1783"/>
        <v>2302</v>
      </c>
      <c r="BO1849" s="19">
        <f t="shared" si="1784"/>
        <v>2538</v>
      </c>
      <c r="BP1849">
        <f t="shared" si="1785"/>
        <v>2533</v>
      </c>
      <c r="BQ1849" s="17">
        <f t="shared" si="1786"/>
        <v>2538</v>
      </c>
      <c r="BR1849" t="str">
        <f t="shared" si="1787"/>
        <v>opp_team_player_1</v>
      </c>
      <c r="BS1849">
        <f>COUNTIFS(S$3:S1849,"="&amp;S1849,AI$3:AI1849,"="&amp;AI1849)</f>
        <v>1</v>
      </c>
      <c r="BT1849" t="str">
        <f>IFERROR(VLOOKUP(BB1849&amp;BU1849&amp;X1849,game_rosters!U:W,3,FALSE),"")</f>
        <v>P100230</v>
      </c>
      <c r="BU1849" t="str">
        <f t="shared" si="1788"/>
        <v>Velodrome</v>
      </c>
    </row>
    <row r="1850" spans="1:73" x14ac:dyDescent="0.2">
      <c r="A1850">
        <f t="shared" si="1774"/>
        <v>1</v>
      </c>
      <c r="J1850" s="44" t="str">
        <f t="shared" si="1789"/>
        <v/>
      </c>
      <c r="K1850" t="s">
        <v>13</v>
      </c>
      <c r="L1850" t="s">
        <v>756</v>
      </c>
      <c r="M1850" t="s">
        <v>756</v>
      </c>
      <c r="S1850">
        <v>975</v>
      </c>
      <c r="W1850" t="str">
        <f t="shared" si="1765"/>
        <v>h</v>
      </c>
      <c r="X1850">
        <v>10</v>
      </c>
      <c r="Y1850" t="b">
        <f>IF(X1850&lt;&gt;"",VLOOKUP(X1850,game_rosters!$C$43:$E$64,3,FALSE))</f>
        <v>0</v>
      </c>
      <c r="Z1850" cm="1">
        <f t="array" ref="Z1850">IFERROR(IF(_xlfn._xlws.FILTER(game_rosters!$J:$J,(game_rosters!$G:$G=events!$AN1850)*(game_rosters!$J:$J=events!$X1850))&gt;0,1,""),"")</f>
        <v>1</v>
      </c>
      <c r="AA1850">
        <f t="shared" si="1813"/>
        <v>1975</v>
      </c>
      <c r="AB1850" t="str">
        <f t="shared" si="1814"/>
        <v/>
      </c>
      <c r="AC1850">
        <f t="shared" si="1762"/>
        <v>1975</v>
      </c>
      <c r="AD1850" s="6">
        <v>3</v>
      </c>
      <c r="AE1850" t="s">
        <v>745</v>
      </c>
      <c r="AF1850" t="s">
        <v>913</v>
      </c>
      <c r="AG1850" t="s">
        <v>745</v>
      </c>
      <c r="AH1850" t="s">
        <v>413</v>
      </c>
      <c r="AI1850" t="s">
        <v>367</v>
      </c>
      <c r="AJ1850" t="str">
        <f t="shared" ref="AJ1850:AK1850" si="1844">IF($J1850&lt;&gt;"",$J1850,IF($AC1850=$AC1849,AJ1849,""))</f>
        <v/>
      </c>
      <c r="AK1850" t="str">
        <f t="shared" si="1844"/>
        <v/>
      </c>
      <c r="AL1850" t="str">
        <f t="shared" si="1767"/>
        <v/>
      </c>
      <c r="AN1850" t="s">
        <v>861</v>
      </c>
      <c r="AO1850" t="str">
        <f t="shared" si="1768"/>
        <v>h</v>
      </c>
      <c r="AP1850" t="str">
        <f t="shared" si="1776"/>
        <v/>
      </c>
      <c r="AQ1850" t="str">
        <f t="shared" si="1777"/>
        <v/>
      </c>
      <c r="AR1850" t="str">
        <f t="shared" si="1778"/>
        <v>Home</v>
      </c>
      <c r="AS1850" t="str">
        <f t="shared" si="1779"/>
        <v>h</v>
      </c>
      <c r="AT1850" t="str">
        <f t="shared" si="1780"/>
        <v>Offensive</v>
      </c>
      <c r="BA1850" s="6">
        <f t="shared" si="1769"/>
        <v>432</v>
      </c>
      <c r="BB1850">
        <f t="shared" si="1770"/>
        <v>18981</v>
      </c>
      <c r="BC1850" t="str">
        <f t="shared" si="1771"/>
        <v>Nelson</v>
      </c>
      <c r="BD1850" t="str">
        <f t="shared" si="1772"/>
        <v>Velodrome</v>
      </c>
      <c r="BE1850" t="s">
        <v>13</v>
      </c>
      <c r="BF1850" t="s">
        <v>756</v>
      </c>
      <c r="BG1850" t="s">
        <v>756</v>
      </c>
      <c r="BI1850" cm="1">
        <f t="array" aca="1" ref="BI1850" ca="1">IFERROR(_xlfn._xlws.FILTER(shifts!A:A,(shifts!B:B=events!AD1850)*(shifts!AG:AG&gt;=events!BK1850)*(shifts!AH:AH&lt;=events!BL1850)),BI1849)</f>
        <v>82</v>
      </c>
      <c r="BJ1850" s="15">
        <f t="shared" si="1773"/>
        <v>2</v>
      </c>
      <c r="BK1850">
        <f t="shared" si="1781"/>
        <v>842</v>
      </c>
      <c r="BL1850">
        <f t="shared" si="1782"/>
        <v>840</v>
      </c>
      <c r="BM1850" s="15">
        <f>SUMIFS(BJ$2:BJ1850,K$2:K1850,"=Intermission")+SUMIFS(BJ$2:BJ1850,K$2:K1850,"=Timeout")</f>
        <v>142</v>
      </c>
      <c r="BN1850">
        <f t="shared" si="1783"/>
        <v>2302</v>
      </c>
      <c r="BO1850" s="19">
        <f t="shared" si="1784"/>
        <v>2540</v>
      </c>
      <c r="BP1850">
        <f t="shared" si="1785"/>
        <v>2535</v>
      </c>
      <c r="BQ1850" s="17">
        <f t="shared" si="1786"/>
        <v>2542</v>
      </c>
      <c r="BR1850" t="str">
        <f t="shared" si="1787"/>
        <v>event_team_player_1</v>
      </c>
      <c r="BS1850">
        <f>COUNTIFS(S$3:S1850,"="&amp;S1850,AI$3:AI1850,"="&amp;AI1850)</f>
        <v>1</v>
      </c>
      <c r="BT1850" t="str">
        <f>IFERROR(VLOOKUP(BB1850&amp;BU1850&amp;X1850,game_rosters!U:W,3,FALSE),"")</f>
        <v>P100078</v>
      </c>
      <c r="BU1850" t="str">
        <f t="shared" si="1788"/>
        <v>Nelson</v>
      </c>
    </row>
    <row r="1851" spans="1:73" x14ac:dyDescent="0.2">
      <c r="A1851">
        <f t="shared" si="1774"/>
        <v>1</v>
      </c>
      <c r="J1851" s="44" t="str">
        <f t="shared" si="1789"/>
        <v/>
      </c>
      <c r="K1851" t="s">
        <v>13</v>
      </c>
      <c r="L1851" t="s">
        <v>756</v>
      </c>
      <c r="M1851" t="s">
        <v>756</v>
      </c>
      <c r="S1851">
        <v>975</v>
      </c>
      <c r="W1851" t="str">
        <f t="shared" si="1765"/>
        <v>h</v>
      </c>
      <c r="X1851">
        <v>9</v>
      </c>
      <c r="Y1851" t="e">
        <f>IF(X1851&lt;&gt;"",VLOOKUP(X1851,game_rosters!$C$43:$E$64,3,FALSE))</f>
        <v>#N/A</v>
      </c>
      <c r="Z1851" t="str" cm="1">
        <f t="array" ref="Z1851">IFERROR(IF(_xlfn._xlws.FILTER(game_rosters!$J:$J,(game_rosters!$G:$G=events!$AN1851)*(game_rosters!$J:$J=events!$X1851))&gt;0,1,""),"")</f>
        <v/>
      </c>
      <c r="AA1851">
        <f t="shared" si="1813"/>
        <v>1975</v>
      </c>
      <c r="AB1851" t="str">
        <f t="shared" si="1814"/>
        <v/>
      </c>
      <c r="AC1851">
        <f t="shared" si="1762"/>
        <v>1975</v>
      </c>
      <c r="AD1851" s="6">
        <v>3</v>
      </c>
      <c r="AE1851" t="s">
        <v>745</v>
      </c>
      <c r="AF1851" t="s">
        <v>913</v>
      </c>
      <c r="AG1851" t="s">
        <v>745</v>
      </c>
      <c r="AH1851" t="s">
        <v>413</v>
      </c>
      <c r="AI1851" t="s">
        <v>368</v>
      </c>
      <c r="AJ1851" t="str">
        <f t="shared" ref="AJ1851:AK1851" si="1845">IF($J1851&lt;&gt;"",$J1851,IF($AC1851=$AC1850,AJ1850,""))</f>
        <v/>
      </c>
      <c r="AK1851" t="str">
        <f t="shared" si="1845"/>
        <v/>
      </c>
      <c r="AL1851" t="str">
        <f t="shared" si="1767"/>
        <v/>
      </c>
      <c r="AN1851" t="s">
        <v>861</v>
      </c>
      <c r="AO1851" t="str">
        <f t="shared" si="1768"/>
        <v>h</v>
      </c>
      <c r="AP1851" t="str">
        <f t="shared" si="1776"/>
        <v/>
      </c>
      <c r="AQ1851" t="str">
        <f t="shared" si="1777"/>
        <v/>
      </c>
      <c r="AR1851" t="str">
        <f t="shared" si="1778"/>
        <v>Home</v>
      </c>
      <c r="AS1851" t="str">
        <f t="shared" si="1779"/>
        <v>h</v>
      </c>
      <c r="AT1851" t="str">
        <f t="shared" si="1780"/>
        <v>Defensive</v>
      </c>
      <c r="BA1851" s="6">
        <f t="shared" si="1769"/>
        <v>432</v>
      </c>
      <c r="BB1851">
        <f t="shared" si="1770"/>
        <v>18981</v>
      </c>
      <c r="BC1851" t="str">
        <f t="shared" si="1771"/>
        <v>Nelson</v>
      </c>
      <c r="BD1851" t="str">
        <f t="shared" si="1772"/>
        <v>Velodrome</v>
      </c>
      <c r="BE1851" t="s">
        <v>13</v>
      </c>
      <c r="BF1851" t="s">
        <v>756</v>
      </c>
      <c r="BG1851" t="s">
        <v>756</v>
      </c>
      <c r="BI1851" cm="1">
        <f t="array" aca="1" ref="BI1851" ca="1">IFERROR(_xlfn._xlws.FILTER(shifts!A:A,(shifts!B:B=events!AD1851)*(shifts!AG:AG&gt;=events!BK1851)*(shifts!AH:AH&lt;=events!BL1851)),BI1850)</f>
        <v>82</v>
      </c>
      <c r="BJ1851" s="15">
        <f t="shared" si="1773"/>
        <v>2</v>
      </c>
      <c r="BK1851">
        <f t="shared" si="1781"/>
        <v>842</v>
      </c>
      <c r="BL1851">
        <f t="shared" si="1782"/>
        <v>840</v>
      </c>
      <c r="BM1851" s="15">
        <f>SUMIFS(BJ$2:BJ1851,K$2:K1851,"=Intermission")+SUMIFS(BJ$2:BJ1851,K$2:K1851,"=Timeout")</f>
        <v>142</v>
      </c>
      <c r="BN1851">
        <f t="shared" si="1783"/>
        <v>2302</v>
      </c>
      <c r="BO1851" s="19">
        <f t="shared" si="1784"/>
        <v>2540</v>
      </c>
      <c r="BP1851">
        <f t="shared" si="1785"/>
        <v>2535</v>
      </c>
      <c r="BQ1851" s="17">
        <f t="shared" si="1786"/>
        <v>2542</v>
      </c>
      <c r="BR1851" t="str">
        <f t="shared" si="1787"/>
        <v>opp_team_player_1</v>
      </c>
      <c r="BS1851">
        <f>COUNTIFS(S$3:S1851,"="&amp;S1851,AI$3:AI1851,"="&amp;AI1851)</f>
        <v>1</v>
      </c>
      <c r="BT1851" t="str">
        <f>IFERROR(VLOOKUP(BB1851&amp;BU1851&amp;X1851,game_rosters!U:W,3,FALSE),"")</f>
        <v>P100105</v>
      </c>
      <c r="BU1851" t="str">
        <f t="shared" si="1788"/>
        <v>Velodrome</v>
      </c>
    </row>
    <row r="1852" spans="1:73" x14ac:dyDescent="0.2">
      <c r="A1852">
        <f t="shared" si="1774"/>
        <v>1</v>
      </c>
      <c r="J1852" s="44" t="str">
        <f t="shared" si="1789"/>
        <v/>
      </c>
      <c r="K1852" t="s">
        <v>7</v>
      </c>
      <c r="L1852" t="s">
        <v>172</v>
      </c>
      <c r="M1852" t="s">
        <v>68</v>
      </c>
      <c r="S1852">
        <v>976</v>
      </c>
      <c r="W1852" t="str">
        <f t="shared" si="1765"/>
        <v>h</v>
      </c>
      <c r="X1852">
        <v>10</v>
      </c>
      <c r="Y1852" t="b">
        <f>IF(X1852&lt;&gt;"",VLOOKUP(X1852,game_rosters!$C$43:$E$64,3,FALSE))</f>
        <v>0</v>
      </c>
      <c r="Z1852" cm="1">
        <f t="array" ref="Z1852">IFERROR(IF(_xlfn._xlws.FILTER(game_rosters!$J:$J,(game_rosters!$G:$G=events!$AN1852)*(game_rosters!$J:$J=events!$X1852))&gt;0,1,""),"")</f>
        <v>1</v>
      </c>
      <c r="AA1852">
        <f t="shared" si="1813"/>
        <v>1976</v>
      </c>
      <c r="AB1852" t="str">
        <f t="shared" si="1814"/>
        <v/>
      </c>
      <c r="AC1852">
        <f t="shared" si="1762"/>
        <v>1976</v>
      </c>
      <c r="AD1852" s="6">
        <v>3</v>
      </c>
      <c r="AE1852" t="s">
        <v>745</v>
      </c>
      <c r="AF1852" t="s">
        <v>413</v>
      </c>
      <c r="AG1852" t="s">
        <v>756</v>
      </c>
      <c r="AH1852" t="s">
        <v>756</v>
      </c>
      <c r="AI1852" t="s">
        <v>367</v>
      </c>
      <c r="AJ1852" t="str">
        <f t="shared" ref="AJ1852:AK1852" si="1846">IF($J1852&lt;&gt;"",$J1852,IF($AC1852=$AC1851,AJ1851,""))</f>
        <v/>
      </c>
      <c r="AK1852" t="str">
        <f t="shared" si="1846"/>
        <v/>
      </c>
      <c r="AL1852" t="str">
        <f t="shared" si="1767"/>
        <v/>
      </c>
      <c r="AN1852" t="s">
        <v>861</v>
      </c>
      <c r="AO1852" t="str">
        <f t="shared" si="1768"/>
        <v>h</v>
      </c>
      <c r="AP1852" t="str">
        <f t="shared" si="1776"/>
        <v/>
      </c>
      <c r="AQ1852" t="str">
        <f t="shared" si="1777"/>
        <v/>
      </c>
      <c r="AR1852" t="str">
        <f t="shared" si="1778"/>
        <v>Home</v>
      </c>
      <c r="AS1852" t="str">
        <f t="shared" si="1779"/>
        <v>h</v>
      </c>
      <c r="AT1852" t="str">
        <f t="shared" si="1780"/>
        <v>Offensive</v>
      </c>
      <c r="BA1852" s="6">
        <f t="shared" si="1769"/>
        <v>432</v>
      </c>
      <c r="BB1852">
        <f t="shared" si="1770"/>
        <v>18981</v>
      </c>
      <c r="BC1852" t="str">
        <f t="shared" si="1771"/>
        <v>Nelson</v>
      </c>
      <c r="BD1852" t="str">
        <f t="shared" si="1772"/>
        <v>Velodrome</v>
      </c>
      <c r="BE1852" t="s">
        <v>7</v>
      </c>
      <c r="BF1852" t="s">
        <v>172</v>
      </c>
      <c r="BG1852" t="s">
        <v>68</v>
      </c>
      <c r="BI1852" cm="1">
        <f t="array" aca="1" ref="BI1852" ca="1">IFERROR(_xlfn._xlws.FILTER(shifts!A:A,(shifts!B:B=events!AD1852)*(shifts!AG:AG&gt;=events!BK1852)*(shifts!AH:AH&lt;=events!BL1852)),BI1851)</f>
        <v>82</v>
      </c>
      <c r="BJ1852" s="15">
        <f t="shared" si="1773"/>
        <v>0</v>
      </c>
      <c r="BK1852">
        <f t="shared" si="1781"/>
        <v>840</v>
      </c>
      <c r="BL1852">
        <f t="shared" si="1782"/>
        <v>840</v>
      </c>
      <c r="BM1852" s="15">
        <f>SUMIFS(BJ$2:BJ1852,K$2:K1852,"=Intermission")+SUMIFS(BJ$2:BJ1852,K$2:K1852,"=Timeout")</f>
        <v>142</v>
      </c>
      <c r="BN1852">
        <f t="shared" si="1783"/>
        <v>2302</v>
      </c>
      <c r="BO1852" s="19">
        <f t="shared" si="1784"/>
        <v>2542</v>
      </c>
      <c r="BP1852">
        <f t="shared" si="1785"/>
        <v>2537</v>
      </c>
      <c r="BQ1852" s="17">
        <f t="shared" si="1786"/>
        <v>2542</v>
      </c>
      <c r="BR1852" t="str">
        <f t="shared" si="1787"/>
        <v>event_team_player_1</v>
      </c>
      <c r="BS1852">
        <f>COUNTIFS(S$3:S1852,"="&amp;S1852,AI$3:AI1852,"="&amp;AI1852)</f>
        <v>1</v>
      </c>
      <c r="BT1852" t="str">
        <f>IFERROR(VLOOKUP(BB1852&amp;BU1852&amp;X1852,game_rosters!U:W,3,FALSE),"")</f>
        <v>P100078</v>
      </c>
      <c r="BU1852" t="str">
        <f t="shared" si="1788"/>
        <v>Nelson</v>
      </c>
    </row>
    <row r="1853" spans="1:73" x14ac:dyDescent="0.2">
      <c r="A1853">
        <f t="shared" si="1774"/>
        <v>1</v>
      </c>
      <c r="J1853" s="44" t="str">
        <f t="shared" si="1789"/>
        <v/>
      </c>
      <c r="K1853" t="s">
        <v>7</v>
      </c>
      <c r="L1853" t="s">
        <v>172</v>
      </c>
      <c r="M1853" t="s">
        <v>68</v>
      </c>
      <c r="S1853">
        <v>976</v>
      </c>
      <c r="W1853" t="str">
        <f t="shared" si="1765"/>
        <v>h</v>
      </c>
      <c r="X1853">
        <v>44</v>
      </c>
      <c r="Y1853" t="b">
        <f>IF(X1853&lt;&gt;"",VLOOKUP(X1853,game_rosters!$C$43:$E$64,3,FALSE))</f>
        <v>0</v>
      </c>
      <c r="Z1853" cm="1">
        <f t="array" ref="Z1853">IFERROR(IF(_xlfn._xlws.FILTER(game_rosters!$J:$J,(game_rosters!$G:$G=events!$AN1853)*(game_rosters!$J:$J=events!$X1853))&gt;0,1,""),"")</f>
        <v>1</v>
      </c>
      <c r="AA1853">
        <f t="shared" si="1813"/>
        <v>1976</v>
      </c>
      <c r="AB1853" t="str">
        <f t="shared" si="1814"/>
        <v/>
      </c>
      <c r="AC1853">
        <f t="shared" si="1762"/>
        <v>1976</v>
      </c>
      <c r="AD1853" s="6">
        <v>3</v>
      </c>
      <c r="AE1853" t="s">
        <v>745</v>
      </c>
      <c r="AF1853" t="s">
        <v>413</v>
      </c>
      <c r="AG1853" t="s">
        <v>756</v>
      </c>
      <c r="AH1853" t="s">
        <v>756</v>
      </c>
      <c r="AI1853" t="s">
        <v>367</v>
      </c>
      <c r="AJ1853" t="str">
        <f t="shared" ref="AJ1853:AK1853" si="1847">IF($J1853&lt;&gt;"",$J1853,IF($AC1853=$AC1852,AJ1852,""))</f>
        <v/>
      </c>
      <c r="AK1853" t="str">
        <f t="shared" si="1847"/>
        <v/>
      </c>
      <c r="AL1853" t="str">
        <f t="shared" si="1767"/>
        <v/>
      </c>
      <c r="AN1853" t="s">
        <v>861</v>
      </c>
      <c r="AO1853" t="str">
        <f t="shared" si="1768"/>
        <v>h</v>
      </c>
      <c r="AP1853" t="str">
        <f t="shared" si="1776"/>
        <v/>
      </c>
      <c r="AQ1853" t="str">
        <f t="shared" si="1777"/>
        <v/>
      </c>
      <c r="AR1853" t="str">
        <f t="shared" si="1778"/>
        <v>Home</v>
      </c>
      <c r="AS1853" t="str">
        <f t="shared" si="1779"/>
        <v>h</v>
      </c>
      <c r="AT1853" t="str">
        <f t="shared" si="1780"/>
        <v>Offensive</v>
      </c>
      <c r="BA1853" s="6">
        <f t="shared" si="1769"/>
        <v>432</v>
      </c>
      <c r="BB1853">
        <f t="shared" si="1770"/>
        <v>18981</v>
      </c>
      <c r="BC1853" t="str">
        <f t="shared" si="1771"/>
        <v>Nelson</v>
      </c>
      <c r="BD1853" t="str">
        <f t="shared" si="1772"/>
        <v>Velodrome</v>
      </c>
      <c r="BE1853" t="s">
        <v>7</v>
      </c>
      <c r="BF1853" t="s">
        <v>172</v>
      </c>
      <c r="BG1853" t="s">
        <v>68</v>
      </c>
      <c r="BI1853" cm="1">
        <f t="array" aca="1" ref="BI1853" ca="1">IFERROR(_xlfn._xlws.FILTER(shifts!A:A,(shifts!B:B=events!AD1853)*(shifts!AG:AG&gt;=events!BK1853)*(shifts!AH:AH&lt;=events!BL1853)),BI1852)</f>
        <v>82</v>
      </c>
      <c r="BJ1853" s="15">
        <f t="shared" si="1773"/>
        <v>0</v>
      </c>
      <c r="BK1853">
        <f t="shared" si="1781"/>
        <v>840</v>
      </c>
      <c r="BL1853">
        <f t="shared" si="1782"/>
        <v>840</v>
      </c>
      <c r="BM1853" s="15">
        <f>SUMIFS(BJ$2:BJ1853,K$2:K1853,"=Intermission")+SUMIFS(BJ$2:BJ1853,K$2:K1853,"=Timeout")</f>
        <v>142</v>
      </c>
      <c r="BN1853">
        <f t="shared" si="1783"/>
        <v>2302</v>
      </c>
      <c r="BO1853" s="19">
        <f t="shared" si="1784"/>
        <v>2542</v>
      </c>
      <c r="BP1853">
        <f t="shared" si="1785"/>
        <v>2537</v>
      </c>
      <c r="BQ1853" s="17">
        <f t="shared" si="1786"/>
        <v>2542</v>
      </c>
      <c r="BR1853" t="str">
        <f t="shared" si="1787"/>
        <v>event_team_player_2</v>
      </c>
      <c r="BS1853">
        <f>COUNTIFS(S$3:S1853,"="&amp;S1853,AI$3:AI1853,"="&amp;AI1853)</f>
        <v>2</v>
      </c>
      <c r="BT1853" t="str">
        <f>IFERROR(VLOOKUP(BB1853&amp;BU1853&amp;X1853,game_rosters!U:W,3,FALSE),"")</f>
        <v>P100079</v>
      </c>
      <c r="BU1853" t="str">
        <f t="shared" si="1788"/>
        <v>Nelson</v>
      </c>
    </row>
    <row r="1854" spans="1:73" x14ac:dyDescent="0.2">
      <c r="A1854">
        <f t="shared" si="1774"/>
        <v>1</v>
      </c>
      <c r="J1854" s="44" t="str">
        <f t="shared" si="1789"/>
        <v/>
      </c>
      <c r="K1854" t="s">
        <v>9</v>
      </c>
      <c r="L1854" t="s">
        <v>183</v>
      </c>
      <c r="M1854" t="s">
        <v>80</v>
      </c>
      <c r="S1854">
        <v>977</v>
      </c>
      <c r="W1854" t="str">
        <f t="shared" si="1765"/>
        <v>a</v>
      </c>
      <c r="X1854">
        <v>52</v>
      </c>
      <c r="Y1854" t="e">
        <f>IF(X1854&lt;&gt;"",VLOOKUP(X1854,game_rosters!$C$43:$E$64,3,FALSE))</f>
        <v>#N/A</v>
      </c>
      <c r="Z1854" cm="1">
        <f t="array" ref="Z1854">IFERROR(IF(_xlfn._xlws.FILTER(game_rosters!$J:$J,(game_rosters!$G:$G=events!$AN1854)*(game_rosters!$J:$J=events!$X1854))&gt;0,1,""),"")</f>
        <v>1</v>
      </c>
      <c r="AA1854">
        <f t="shared" si="1813"/>
        <v>1977</v>
      </c>
      <c r="AB1854" t="str">
        <f t="shared" si="1814"/>
        <v/>
      </c>
      <c r="AC1854">
        <f t="shared" si="1762"/>
        <v>1977</v>
      </c>
      <c r="AD1854" s="6">
        <v>3</v>
      </c>
      <c r="AE1854" t="s">
        <v>926</v>
      </c>
      <c r="AF1854" t="s">
        <v>896</v>
      </c>
      <c r="AG1854" t="s">
        <v>756</v>
      </c>
      <c r="AH1854" t="s">
        <v>756</v>
      </c>
      <c r="AI1854" t="s">
        <v>367</v>
      </c>
      <c r="AJ1854" t="str">
        <f t="shared" ref="AJ1854:AK1854" si="1848">IF($J1854&lt;&gt;"",$J1854,IF($AC1854=$AC1853,AJ1853,""))</f>
        <v/>
      </c>
      <c r="AK1854" t="str">
        <f t="shared" si="1848"/>
        <v/>
      </c>
      <c r="AL1854" t="str">
        <f t="shared" si="1767"/>
        <v/>
      </c>
      <c r="AN1854" t="s">
        <v>862</v>
      </c>
      <c r="AO1854" t="str">
        <f t="shared" si="1768"/>
        <v>a</v>
      </c>
      <c r="AP1854" t="str">
        <f t="shared" si="1776"/>
        <v/>
      </c>
      <c r="AQ1854" t="str">
        <f t="shared" si="1777"/>
        <v/>
      </c>
      <c r="AR1854" t="str">
        <f t="shared" si="1778"/>
        <v>Away</v>
      </c>
      <c r="AS1854" t="str">
        <f t="shared" si="1779"/>
        <v>a</v>
      </c>
      <c r="AT1854" t="str">
        <f t="shared" si="1780"/>
        <v>Defensive</v>
      </c>
      <c r="BA1854" s="6">
        <f t="shared" si="1769"/>
        <v>432</v>
      </c>
      <c r="BB1854">
        <f t="shared" si="1770"/>
        <v>18981</v>
      </c>
      <c r="BC1854" t="str">
        <f t="shared" si="1771"/>
        <v>Nelson</v>
      </c>
      <c r="BD1854" t="str">
        <f t="shared" si="1772"/>
        <v>Velodrome</v>
      </c>
      <c r="BE1854" t="s">
        <v>9</v>
      </c>
      <c r="BF1854" t="s">
        <v>183</v>
      </c>
      <c r="BG1854" t="s">
        <v>80</v>
      </c>
      <c r="BI1854" cm="1">
        <f t="array" aca="1" ref="BI1854" ca="1">IFERROR(_xlfn._xlws.FILTER(shifts!A:A,(shifts!B:B=events!AD1854)*(shifts!AG:AG&gt;=events!BK1854)*(shifts!AH:AH&lt;=events!BL1854)),BI1853)</f>
        <v>82</v>
      </c>
      <c r="BJ1854" s="15">
        <f t="shared" si="1773"/>
        <v>0</v>
      </c>
      <c r="BK1854">
        <f t="shared" si="1781"/>
        <v>839</v>
      </c>
      <c r="BL1854">
        <f t="shared" si="1782"/>
        <v>839</v>
      </c>
      <c r="BM1854" s="15">
        <f>SUMIFS(BJ$2:BJ1854,K$2:K1854,"=Intermission")+SUMIFS(BJ$2:BJ1854,K$2:K1854,"=Timeout")</f>
        <v>142</v>
      </c>
      <c r="BN1854">
        <f t="shared" si="1783"/>
        <v>2302</v>
      </c>
      <c r="BO1854" s="19">
        <f t="shared" si="1784"/>
        <v>2543</v>
      </c>
      <c r="BP1854">
        <f t="shared" si="1785"/>
        <v>2538</v>
      </c>
      <c r="BQ1854" s="17">
        <f t="shared" si="1786"/>
        <v>2543</v>
      </c>
      <c r="BR1854" t="str">
        <f t="shared" si="1787"/>
        <v>event_team_player_1</v>
      </c>
      <c r="BS1854">
        <f>COUNTIFS(S$3:S1854,"="&amp;S1854,AI$3:AI1854,"="&amp;AI1854)</f>
        <v>1</v>
      </c>
      <c r="BT1854" t="str">
        <f>IFERROR(VLOOKUP(BB1854&amp;BU1854&amp;X1854,game_rosters!U:W,3,FALSE),"")</f>
        <v>P100070</v>
      </c>
      <c r="BU1854" t="str">
        <f t="shared" si="1788"/>
        <v>Velodrome</v>
      </c>
    </row>
    <row r="1855" spans="1:73" x14ac:dyDescent="0.2">
      <c r="A1855">
        <f t="shared" si="1774"/>
        <v>1</v>
      </c>
      <c r="J1855" s="44" t="str">
        <f t="shared" si="1789"/>
        <v/>
      </c>
      <c r="K1855" t="s">
        <v>9</v>
      </c>
      <c r="L1855" t="s">
        <v>183</v>
      </c>
      <c r="M1855" t="s">
        <v>80</v>
      </c>
      <c r="S1855">
        <v>977</v>
      </c>
      <c r="W1855" t="str">
        <f t="shared" si="1765"/>
        <v>a</v>
      </c>
      <c r="X1855">
        <v>44</v>
      </c>
      <c r="Y1855" t="b">
        <f>IF(X1855&lt;&gt;"",VLOOKUP(X1855,game_rosters!$C$43:$E$64,3,FALSE))</f>
        <v>0</v>
      </c>
      <c r="Z1855" t="str" cm="1">
        <f t="array" ref="Z1855">IFERROR(IF(_xlfn._xlws.FILTER(game_rosters!$J:$J,(game_rosters!$G:$G=events!$AN1855)*(game_rosters!$J:$J=events!$X1855))&gt;0,1,""),"")</f>
        <v/>
      </c>
      <c r="AA1855">
        <f t="shared" si="1813"/>
        <v>1977</v>
      </c>
      <c r="AB1855" t="str">
        <f t="shared" si="1814"/>
        <v/>
      </c>
      <c r="AC1855">
        <f t="shared" si="1762"/>
        <v>1977</v>
      </c>
      <c r="AD1855" s="6">
        <v>3</v>
      </c>
      <c r="AE1855" t="s">
        <v>926</v>
      </c>
      <c r="AF1855" t="s">
        <v>896</v>
      </c>
      <c r="AG1855" t="s">
        <v>756</v>
      </c>
      <c r="AH1855" t="s">
        <v>756</v>
      </c>
      <c r="AI1855" t="s">
        <v>368</v>
      </c>
      <c r="AJ1855" t="str">
        <f t="shared" ref="AJ1855:AK1855" si="1849">IF($J1855&lt;&gt;"",$J1855,IF($AC1855=$AC1854,AJ1854,""))</f>
        <v/>
      </c>
      <c r="AK1855" t="str">
        <f t="shared" si="1849"/>
        <v/>
      </c>
      <c r="AL1855" t="str">
        <f t="shared" si="1767"/>
        <v/>
      </c>
      <c r="AN1855" t="s">
        <v>862</v>
      </c>
      <c r="AO1855" t="str">
        <f t="shared" si="1768"/>
        <v>a</v>
      </c>
      <c r="AP1855" t="str">
        <f t="shared" si="1776"/>
        <v/>
      </c>
      <c r="AQ1855" t="str">
        <f t="shared" si="1777"/>
        <v/>
      </c>
      <c r="AR1855" t="str">
        <f t="shared" si="1778"/>
        <v>Away</v>
      </c>
      <c r="AS1855" t="str">
        <f t="shared" si="1779"/>
        <v>a</v>
      </c>
      <c r="AT1855" t="str">
        <f t="shared" si="1780"/>
        <v>Offensive</v>
      </c>
      <c r="BA1855" s="6">
        <f t="shared" si="1769"/>
        <v>432</v>
      </c>
      <c r="BB1855">
        <f t="shared" si="1770"/>
        <v>18981</v>
      </c>
      <c r="BC1855" t="str">
        <f t="shared" si="1771"/>
        <v>Nelson</v>
      </c>
      <c r="BD1855" t="str">
        <f t="shared" si="1772"/>
        <v>Velodrome</v>
      </c>
      <c r="BE1855" t="s">
        <v>9</v>
      </c>
      <c r="BF1855" t="s">
        <v>183</v>
      </c>
      <c r="BG1855" t="s">
        <v>80</v>
      </c>
      <c r="BI1855" cm="1">
        <f t="array" aca="1" ref="BI1855" ca="1">IFERROR(_xlfn._xlws.FILTER(shifts!A:A,(shifts!B:B=events!AD1855)*(shifts!AG:AG&gt;=events!BK1855)*(shifts!AH:AH&lt;=events!BL1855)),BI1854)</f>
        <v>82</v>
      </c>
      <c r="BJ1855" s="15">
        <f t="shared" si="1773"/>
        <v>0</v>
      </c>
      <c r="BK1855">
        <f t="shared" si="1781"/>
        <v>839</v>
      </c>
      <c r="BL1855">
        <f t="shared" si="1782"/>
        <v>839</v>
      </c>
      <c r="BM1855" s="15">
        <f>SUMIFS(BJ$2:BJ1855,K$2:K1855,"=Intermission")+SUMIFS(BJ$2:BJ1855,K$2:K1855,"=Timeout")</f>
        <v>142</v>
      </c>
      <c r="BN1855">
        <f t="shared" si="1783"/>
        <v>2302</v>
      </c>
      <c r="BO1855" s="19">
        <f t="shared" si="1784"/>
        <v>2543</v>
      </c>
      <c r="BP1855">
        <f t="shared" si="1785"/>
        <v>2538</v>
      </c>
      <c r="BQ1855" s="17">
        <f t="shared" si="1786"/>
        <v>2543</v>
      </c>
      <c r="BR1855" t="str">
        <f t="shared" si="1787"/>
        <v>opp_team_player_1</v>
      </c>
      <c r="BS1855">
        <f>COUNTIFS(S$3:S1855,"="&amp;S1855,AI$3:AI1855,"="&amp;AI1855)</f>
        <v>1</v>
      </c>
      <c r="BT1855" t="str">
        <f>IFERROR(VLOOKUP(BB1855&amp;BU1855&amp;X1855,game_rosters!U:W,3,FALSE),"")</f>
        <v>P100079</v>
      </c>
      <c r="BU1855" t="str">
        <f t="shared" si="1788"/>
        <v>Nelson</v>
      </c>
    </row>
    <row r="1856" spans="1:73" x14ac:dyDescent="0.2">
      <c r="A1856">
        <f t="shared" si="1774"/>
        <v>1</v>
      </c>
      <c r="J1856" s="44" t="str">
        <f t="shared" si="1789"/>
        <v/>
      </c>
      <c r="K1856" t="s">
        <v>7</v>
      </c>
      <c r="L1856" t="s">
        <v>172</v>
      </c>
      <c r="M1856" t="s">
        <v>69</v>
      </c>
      <c r="S1856">
        <v>978</v>
      </c>
      <c r="W1856" t="str">
        <f t="shared" si="1765"/>
        <v>a</v>
      </c>
      <c r="X1856">
        <v>42</v>
      </c>
      <c r="Y1856" t="e">
        <f>IF(X1856&lt;&gt;"",VLOOKUP(X1856,game_rosters!$C$43:$E$64,3,FALSE))</f>
        <v>#N/A</v>
      </c>
      <c r="Z1856" cm="1">
        <f t="array" ref="Z1856">IFERROR(IF(_xlfn._xlws.FILTER(game_rosters!$J:$J,(game_rosters!$G:$G=events!$AN1856)*(game_rosters!$J:$J=events!$X1856))&gt;0,1,""),"")</f>
        <v>1</v>
      </c>
      <c r="AA1856">
        <f t="shared" si="1813"/>
        <v>1978</v>
      </c>
      <c r="AB1856" t="str">
        <f t="shared" si="1814"/>
        <v/>
      </c>
      <c r="AC1856">
        <f t="shared" si="1762"/>
        <v>1978</v>
      </c>
      <c r="AD1856" s="6">
        <v>3</v>
      </c>
      <c r="AE1856" t="s">
        <v>926</v>
      </c>
      <c r="AF1856" t="s">
        <v>934</v>
      </c>
      <c r="AG1856" t="s">
        <v>756</v>
      </c>
      <c r="AH1856" t="s">
        <v>756</v>
      </c>
      <c r="AI1856" t="s">
        <v>367</v>
      </c>
      <c r="AJ1856" t="str">
        <f t="shared" ref="AJ1856:AK1856" si="1850">IF($J1856&lt;&gt;"",$J1856,IF($AC1856=$AC1855,AJ1855,""))</f>
        <v/>
      </c>
      <c r="AK1856" t="str">
        <f t="shared" si="1850"/>
        <v/>
      </c>
      <c r="AL1856" t="str">
        <f t="shared" si="1767"/>
        <v/>
      </c>
      <c r="AN1856" t="s">
        <v>862</v>
      </c>
      <c r="AO1856" t="str">
        <f t="shared" si="1768"/>
        <v>a</v>
      </c>
      <c r="AP1856" t="str">
        <f t="shared" si="1776"/>
        <v/>
      </c>
      <c r="AQ1856" t="str">
        <f t="shared" si="1777"/>
        <v/>
      </c>
      <c r="AR1856" t="str">
        <f t="shared" si="1778"/>
        <v>Away</v>
      </c>
      <c r="AS1856" t="str">
        <f t="shared" si="1779"/>
        <v>a</v>
      </c>
      <c r="AT1856" t="str">
        <f t="shared" si="1780"/>
        <v>Offensive</v>
      </c>
      <c r="BA1856" s="6">
        <f t="shared" si="1769"/>
        <v>432</v>
      </c>
      <c r="BB1856">
        <f t="shared" si="1770"/>
        <v>18981</v>
      </c>
      <c r="BC1856" t="str">
        <f t="shared" si="1771"/>
        <v>Nelson</v>
      </c>
      <c r="BD1856" t="str">
        <f t="shared" si="1772"/>
        <v>Velodrome</v>
      </c>
      <c r="BE1856" t="s">
        <v>7</v>
      </c>
      <c r="BF1856" t="s">
        <v>172</v>
      </c>
      <c r="BG1856" t="s">
        <v>69</v>
      </c>
      <c r="BI1856" cm="1">
        <f t="array" aca="1" ref="BI1856" ca="1">IFERROR(_xlfn._xlws.FILTER(shifts!A:A,(shifts!B:B=events!AD1856)*(shifts!AG:AG&gt;=events!BK1856)*(shifts!AH:AH&lt;=events!BL1856)),BI1855)</f>
        <v>82</v>
      </c>
      <c r="BJ1856" s="15">
        <f t="shared" si="1773"/>
        <v>0</v>
      </c>
      <c r="BK1856">
        <f t="shared" si="1781"/>
        <v>834</v>
      </c>
      <c r="BL1856">
        <f t="shared" si="1782"/>
        <v>834</v>
      </c>
      <c r="BM1856" s="15">
        <f>SUMIFS(BJ$2:BJ1856,K$2:K1856,"=Intermission")+SUMIFS(BJ$2:BJ1856,K$2:K1856,"=Timeout")</f>
        <v>142</v>
      </c>
      <c r="BN1856">
        <f t="shared" si="1783"/>
        <v>2302</v>
      </c>
      <c r="BO1856" s="19">
        <f t="shared" si="1784"/>
        <v>2548</v>
      </c>
      <c r="BP1856">
        <f t="shared" si="1785"/>
        <v>2543</v>
      </c>
      <c r="BQ1856" s="17">
        <f t="shared" si="1786"/>
        <v>2548</v>
      </c>
      <c r="BR1856" t="str">
        <f t="shared" si="1787"/>
        <v>event_team_player_1</v>
      </c>
      <c r="BS1856">
        <f>COUNTIFS(S$3:S1856,"="&amp;S1856,AI$3:AI1856,"="&amp;AI1856)</f>
        <v>1</v>
      </c>
      <c r="BT1856" t="str">
        <f>IFERROR(VLOOKUP(BB1856&amp;BU1856&amp;X1856,game_rosters!U:W,3,FALSE),"")</f>
        <v>P100201</v>
      </c>
      <c r="BU1856" t="str">
        <f t="shared" si="1788"/>
        <v>Velodrome</v>
      </c>
    </row>
    <row r="1857" spans="1:73" x14ac:dyDescent="0.2">
      <c r="A1857">
        <f t="shared" si="1774"/>
        <v>1</v>
      </c>
      <c r="J1857" s="44" t="str">
        <f t="shared" si="1789"/>
        <v/>
      </c>
      <c r="K1857" t="s">
        <v>7</v>
      </c>
      <c r="L1857" t="s">
        <v>172</v>
      </c>
      <c r="M1857" t="s">
        <v>69</v>
      </c>
      <c r="S1857">
        <v>978</v>
      </c>
      <c r="W1857" t="str">
        <f t="shared" si="1765"/>
        <v>a</v>
      </c>
      <c r="X1857">
        <v>91</v>
      </c>
      <c r="Y1857" t="e">
        <f>IF(X1857&lt;&gt;"",VLOOKUP(X1857,game_rosters!$C$43:$E$64,3,FALSE))</f>
        <v>#N/A</v>
      </c>
      <c r="Z1857" cm="1">
        <f t="array" ref="Z1857">IFERROR(IF(_xlfn._xlws.FILTER(game_rosters!$J:$J,(game_rosters!$G:$G=events!$AN1857)*(game_rosters!$J:$J=events!$X1857))&gt;0,1,""),"")</f>
        <v>1</v>
      </c>
      <c r="AA1857">
        <f t="shared" si="1813"/>
        <v>1978</v>
      </c>
      <c r="AB1857" t="str">
        <f t="shared" si="1814"/>
        <v/>
      </c>
      <c r="AC1857">
        <f t="shared" si="1762"/>
        <v>1978</v>
      </c>
      <c r="AD1857" s="6">
        <v>3</v>
      </c>
      <c r="AE1857" t="s">
        <v>926</v>
      </c>
      <c r="AF1857" t="s">
        <v>934</v>
      </c>
      <c r="AG1857" t="s">
        <v>756</v>
      </c>
      <c r="AH1857" t="s">
        <v>756</v>
      </c>
      <c r="AI1857" t="s">
        <v>367</v>
      </c>
      <c r="AJ1857" t="str">
        <f t="shared" ref="AJ1857:AK1857" si="1851">IF($J1857&lt;&gt;"",$J1857,IF($AC1857=$AC1856,AJ1856,""))</f>
        <v/>
      </c>
      <c r="AK1857" t="str">
        <f t="shared" si="1851"/>
        <v/>
      </c>
      <c r="AL1857" t="str">
        <f t="shared" si="1767"/>
        <v/>
      </c>
      <c r="AN1857" t="s">
        <v>862</v>
      </c>
      <c r="AO1857" t="str">
        <f t="shared" si="1768"/>
        <v>a</v>
      </c>
      <c r="AP1857" t="str">
        <f t="shared" si="1776"/>
        <v/>
      </c>
      <c r="AQ1857" t="str">
        <f t="shared" si="1777"/>
        <v/>
      </c>
      <c r="AR1857" t="str">
        <f t="shared" si="1778"/>
        <v>Away</v>
      </c>
      <c r="AS1857" t="str">
        <f t="shared" si="1779"/>
        <v>a</v>
      </c>
      <c r="AT1857" t="str">
        <f t="shared" si="1780"/>
        <v>Offensive</v>
      </c>
      <c r="BA1857" s="6">
        <f t="shared" si="1769"/>
        <v>432</v>
      </c>
      <c r="BB1857">
        <f t="shared" si="1770"/>
        <v>18981</v>
      </c>
      <c r="BC1857" t="str">
        <f t="shared" si="1771"/>
        <v>Nelson</v>
      </c>
      <c r="BD1857" t="str">
        <f t="shared" si="1772"/>
        <v>Velodrome</v>
      </c>
      <c r="BE1857" t="s">
        <v>7</v>
      </c>
      <c r="BF1857" t="s">
        <v>172</v>
      </c>
      <c r="BG1857" t="s">
        <v>69</v>
      </c>
      <c r="BI1857" cm="1">
        <f t="array" aca="1" ref="BI1857" ca="1">IFERROR(_xlfn._xlws.FILTER(shifts!A:A,(shifts!B:B=events!AD1857)*(shifts!AG:AG&gt;=events!BK1857)*(shifts!AH:AH&lt;=events!BL1857)),BI1856)</f>
        <v>82</v>
      </c>
      <c r="BJ1857" s="15">
        <f t="shared" si="1773"/>
        <v>0</v>
      </c>
      <c r="BK1857">
        <f t="shared" si="1781"/>
        <v>834</v>
      </c>
      <c r="BL1857">
        <f t="shared" si="1782"/>
        <v>834</v>
      </c>
      <c r="BM1857" s="15">
        <f>SUMIFS(BJ$2:BJ1857,K$2:K1857,"=Intermission")+SUMIFS(BJ$2:BJ1857,K$2:K1857,"=Timeout")</f>
        <v>142</v>
      </c>
      <c r="BN1857">
        <f t="shared" si="1783"/>
        <v>2302</v>
      </c>
      <c r="BO1857" s="19">
        <f t="shared" si="1784"/>
        <v>2548</v>
      </c>
      <c r="BP1857">
        <f t="shared" si="1785"/>
        <v>2543</v>
      </c>
      <c r="BQ1857" s="17">
        <f t="shared" si="1786"/>
        <v>2548</v>
      </c>
      <c r="BR1857" t="str">
        <f t="shared" si="1787"/>
        <v>event_team_player_2</v>
      </c>
      <c r="BS1857">
        <f>COUNTIFS(S$3:S1857,"="&amp;S1857,AI$3:AI1857,"="&amp;AI1857)</f>
        <v>2</v>
      </c>
      <c r="BT1857" t="str">
        <f>IFERROR(VLOOKUP(BB1857&amp;BU1857&amp;X1857,game_rosters!U:W,3,FALSE),"")</f>
        <v>P100002</v>
      </c>
      <c r="BU1857" t="str">
        <f t="shared" si="1788"/>
        <v>Velodrome</v>
      </c>
    </row>
    <row r="1858" spans="1:73" x14ac:dyDescent="0.2">
      <c r="A1858">
        <f t="shared" si="1774"/>
        <v>1</v>
      </c>
      <c r="J1858" s="44" t="str">
        <f t="shared" si="1789"/>
        <v/>
      </c>
      <c r="K1858" t="s">
        <v>7</v>
      </c>
      <c r="L1858" t="s">
        <v>172</v>
      </c>
      <c r="M1858" t="s">
        <v>68</v>
      </c>
      <c r="S1858">
        <v>979</v>
      </c>
      <c r="W1858" t="str">
        <f t="shared" si="1765"/>
        <v>a</v>
      </c>
      <c r="X1858">
        <v>91</v>
      </c>
      <c r="Y1858" t="e">
        <f>IF(X1858&lt;&gt;"",VLOOKUP(X1858,game_rosters!$C$43:$E$64,3,FALSE))</f>
        <v>#N/A</v>
      </c>
      <c r="Z1858" cm="1">
        <f t="array" ref="Z1858">IFERROR(IF(_xlfn._xlws.FILTER(game_rosters!$J:$J,(game_rosters!$G:$G=events!$AN1858)*(game_rosters!$J:$J=events!$X1858))&gt;0,1,""),"")</f>
        <v>1</v>
      </c>
      <c r="AA1858">
        <f t="shared" si="1813"/>
        <v>1979</v>
      </c>
      <c r="AB1858" t="str">
        <f t="shared" si="1814"/>
        <v/>
      </c>
      <c r="AC1858">
        <f t="shared" ref="AC1858:AC1921" si="1852">IF(AB1858&lt;&gt;"",AB1858,S1858+1000)</f>
        <v>1979</v>
      </c>
      <c r="AD1858" s="6">
        <v>3</v>
      </c>
      <c r="AE1858" t="s">
        <v>926</v>
      </c>
      <c r="AF1858" t="s">
        <v>921</v>
      </c>
      <c r="AG1858" t="s">
        <v>756</v>
      </c>
      <c r="AH1858" t="s">
        <v>756</v>
      </c>
      <c r="AI1858" t="s">
        <v>367</v>
      </c>
      <c r="AJ1858" t="str">
        <f t="shared" ref="AJ1858:AK1858" si="1853">IF($J1858&lt;&gt;"",$J1858,IF($AC1858=$AC1857,AJ1857,""))</f>
        <v/>
      </c>
      <c r="AK1858" t="str">
        <f t="shared" si="1853"/>
        <v/>
      </c>
      <c r="AL1858" t="str">
        <f t="shared" si="1767"/>
        <v/>
      </c>
      <c r="AN1858" t="s">
        <v>862</v>
      </c>
      <c r="AO1858" t="str">
        <f t="shared" si="1768"/>
        <v>a</v>
      </c>
      <c r="AP1858" t="str">
        <f t="shared" si="1776"/>
        <v/>
      </c>
      <c r="AQ1858" t="str">
        <f t="shared" si="1777"/>
        <v/>
      </c>
      <c r="AR1858" t="str">
        <f t="shared" si="1778"/>
        <v>Away</v>
      </c>
      <c r="AS1858" t="str">
        <f t="shared" si="1779"/>
        <v>a</v>
      </c>
      <c r="AT1858" t="str">
        <f t="shared" si="1780"/>
        <v>Offensive</v>
      </c>
      <c r="BA1858" s="6">
        <f t="shared" si="1769"/>
        <v>432</v>
      </c>
      <c r="BB1858">
        <f t="shared" si="1770"/>
        <v>18981</v>
      </c>
      <c r="BC1858" t="str">
        <f t="shared" si="1771"/>
        <v>Nelson</v>
      </c>
      <c r="BD1858" t="str">
        <f t="shared" si="1772"/>
        <v>Velodrome</v>
      </c>
      <c r="BE1858" t="s">
        <v>7</v>
      </c>
      <c r="BF1858" t="s">
        <v>172</v>
      </c>
      <c r="BG1858" t="s">
        <v>68</v>
      </c>
      <c r="BI1858" cm="1">
        <f t="array" aca="1" ref="BI1858" ca="1">IFERROR(_xlfn._xlws.FILTER(shifts!A:A,(shifts!B:B=events!AD1858)*(shifts!AG:AG&gt;=events!BK1858)*(shifts!AH:AH&lt;=events!BL1858)),BI1857)</f>
        <v>82</v>
      </c>
      <c r="BJ1858" s="15">
        <f t="shared" si="1773"/>
        <v>0</v>
      </c>
      <c r="BK1858">
        <f t="shared" si="1781"/>
        <v>833</v>
      </c>
      <c r="BL1858">
        <f t="shared" si="1782"/>
        <v>833</v>
      </c>
      <c r="BM1858" s="15">
        <f>SUMIFS(BJ$2:BJ1858,K$2:K1858,"=Intermission")+SUMIFS(BJ$2:BJ1858,K$2:K1858,"=Timeout")</f>
        <v>142</v>
      </c>
      <c r="BN1858">
        <f t="shared" si="1783"/>
        <v>2302</v>
      </c>
      <c r="BO1858" s="19">
        <f t="shared" si="1784"/>
        <v>2549</v>
      </c>
      <c r="BP1858">
        <f t="shared" si="1785"/>
        <v>2544</v>
      </c>
      <c r="BQ1858" s="17">
        <f t="shared" si="1786"/>
        <v>2549</v>
      </c>
      <c r="BR1858" t="str">
        <f t="shared" si="1787"/>
        <v>event_team_player_1</v>
      </c>
      <c r="BS1858">
        <f>COUNTIFS(S$3:S1858,"="&amp;S1858,AI$3:AI1858,"="&amp;AI1858)</f>
        <v>1</v>
      </c>
      <c r="BT1858" t="str">
        <f>IFERROR(VLOOKUP(BB1858&amp;BU1858&amp;X1858,game_rosters!U:W,3,FALSE),"")</f>
        <v>P100002</v>
      </c>
      <c r="BU1858" t="str">
        <f t="shared" si="1788"/>
        <v>Velodrome</v>
      </c>
    </row>
    <row r="1859" spans="1:73" x14ac:dyDescent="0.2">
      <c r="A1859">
        <f t="shared" si="1774"/>
        <v>1</v>
      </c>
      <c r="J1859" s="44" t="str">
        <f t="shared" si="1789"/>
        <v/>
      </c>
      <c r="K1859" t="s">
        <v>7</v>
      </c>
      <c r="L1859" t="s">
        <v>172</v>
      </c>
      <c r="M1859" t="s">
        <v>68</v>
      </c>
      <c r="S1859">
        <v>979</v>
      </c>
      <c r="W1859" t="str">
        <f t="shared" si="1765"/>
        <v>a</v>
      </c>
      <c r="X1859">
        <v>42</v>
      </c>
      <c r="Y1859" t="e">
        <f>IF(X1859&lt;&gt;"",VLOOKUP(X1859,game_rosters!$C$43:$E$64,3,FALSE))</f>
        <v>#N/A</v>
      </c>
      <c r="Z1859" cm="1">
        <f t="array" ref="Z1859">IFERROR(IF(_xlfn._xlws.FILTER(game_rosters!$J:$J,(game_rosters!$G:$G=events!$AN1859)*(game_rosters!$J:$J=events!$X1859))&gt;0,1,""),"")</f>
        <v>1</v>
      </c>
      <c r="AA1859">
        <f t="shared" si="1813"/>
        <v>1979</v>
      </c>
      <c r="AB1859" t="str">
        <f t="shared" si="1814"/>
        <v/>
      </c>
      <c r="AC1859">
        <f t="shared" si="1852"/>
        <v>1979</v>
      </c>
      <c r="AD1859" s="6">
        <v>3</v>
      </c>
      <c r="AE1859" t="s">
        <v>926</v>
      </c>
      <c r="AF1859" t="s">
        <v>921</v>
      </c>
      <c r="AG1859" t="s">
        <v>756</v>
      </c>
      <c r="AH1859" t="s">
        <v>756</v>
      </c>
      <c r="AI1859" t="s">
        <v>367</v>
      </c>
      <c r="AJ1859" t="str">
        <f t="shared" ref="AJ1859:AK1859" si="1854">IF($J1859&lt;&gt;"",$J1859,IF($AC1859=$AC1858,AJ1858,""))</f>
        <v/>
      </c>
      <c r="AK1859" t="str">
        <f t="shared" si="1854"/>
        <v/>
      </c>
      <c r="AL1859" t="str">
        <f t="shared" si="1767"/>
        <v/>
      </c>
      <c r="AN1859" t="s">
        <v>862</v>
      </c>
      <c r="AO1859" t="str">
        <f t="shared" si="1768"/>
        <v>a</v>
      </c>
      <c r="AP1859" t="str">
        <f t="shared" si="1776"/>
        <v/>
      </c>
      <c r="AQ1859" t="str">
        <f t="shared" si="1777"/>
        <v/>
      </c>
      <c r="AR1859" t="str">
        <f t="shared" si="1778"/>
        <v>Away</v>
      </c>
      <c r="AS1859" t="str">
        <f t="shared" si="1779"/>
        <v>a</v>
      </c>
      <c r="AT1859" t="str">
        <f t="shared" si="1780"/>
        <v>Offensive</v>
      </c>
      <c r="BA1859" s="6">
        <f t="shared" si="1769"/>
        <v>432</v>
      </c>
      <c r="BB1859">
        <f t="shared" si="1770"/>
        <v>18981</v>
      </c>
      <c r="BC1859" t="str">
        <f t="shared" si="1771"/>
        <v>Nelson</v>
      </c>
      <c r="BD1859" t="str">
        <f t="shared" si="1772"/>
        <v>Velodrome</v>
      </c>
      <c r="BE1859" t="s">
        <v>7</v>
      </c>
      <c r="BF1859" t="s">
        <v>172</v>
      </c>
      <c r="BG1859" t="s">
        <v>68</v>
      </c>
      <c r="BI1859" cm="1">
        <f t="array" aca="1" ref="BI1859" ca="1">IFERROR(_xlfn._xlws.FILTER(shifts!A:A,(shifts!B:B=events!AD1859)*(shifts!AG:AG&gt;=events!BK1859)*(shifts!AH:AH&lt;=events!BL1859)),BI1858)</f>
        <v>82</v>
      </c>
      <c r="BJ1859" s="15">
        <f t="shared" si="1773"/>
        <v>0</v>
      </c>
      <c r="BK1859">
        <f t="shared" si="1781"/>
        <v>833</v>
      </c>
      <c r="BL1859">
        <f t="shared" si="1782"/>
        <v>833</v>
      </c>
      <c r="BM1859" s="15">
        <f>SUMIFS(BJ$2:BJ1859,K$2:K1859,"=Intermission")+SUMIFS(BJ$2:BJ1859,K$2:K1859,"=Timeout")</f>
        <v>142</v>
      </c>
      <c r="BN1859">
        <f t="shared" si="1783"/>
        <v>2302</v>
      </c>
      <c r="BO1859" s="19">
        <f t="shared" si="1784"/>
        <v>2549</v>
      </c>
      <c r="BP1859">
        <f t="shared" si="1785"/>
        <v>2544</v>
      </c>
      <c r="BQ1859" s="17">
        <f t="shared" si="1786"/>
        <v>2549</v>
      </c>
      <c r="BR1859" t="str">
        <f t="shared" si="1787"/>
        <v>event_team_player_2</v>
      </c>
      <c r="BS1859">
        <f>COUNTIFS(S$3:S1859,"="&amp;S1859,AI$3:AI1859,"="&amp;AI1859)</f>
        <v>2</v>
      </c>
      <c r="BT1859" t="str">
        <f>IFERROR(VLOOKUP(BB1859&amp;BU1859&amp;X1859,game_rosters!U:W,3,FALSE),"")</f>
        <v>P100201</v>
      </c>
      <c r="BU1859" t="str">
        <f t="shared" si="1788"/>
        <v>Velodrome</v>
      </c>
    </row>
    <row r="1860" spans="1:73" x14ac:dyDescent="0.2">
      <c r="A1860">
        <f t="shared" si="1774"/>
        <v>1</v>
      </c>
      <c r="J1860" s="44" t="str">
        <f t="shared" si="1789"/>
        <v>d</v>
      </c>
      <c r="K1860" t="s">
        <v>238</v>
      </c>
      <c r="L1860" t="s">
        <v>184</v>
      </c>
      <c r="M1860" t="s">
        <v>88</v>
      </c>
      <c r="S1860">
        <v>980</v>
      </c>
      <c r="W1860" t="str">
        <f t="shared" ref="W1860:W1923" si="1855">IF(AN1860="Away","a",IF(AN1860="Home","h",""))</f>
        <v>a</v>
      </c>
      <c r="X1860">
        <v>42</v>
      </c>
      <c r="Y1860" t="e">
        <f>IF(X1860&lt;&gt;"",VLOOKUP(X1860,game_rosters!$C$43:$E$64,3,FALSE))</f>
        <v>#N/A</v>
      </c>
      <c r="Z1860" cm="1">
        <f t="array" ref="Z1860">IFERROR(IF(_xlfn._xlws.FILTER(game_rosters!$J:$J,(game_rosters!$G:$G=events!$AN1860)*(game_rosters!$J:$J=events!$X1860))&gt;0,1,""),"")</f>
        <v>1</v>
      </c>
      <c r="AA1860">
        <f t="shared" si="1813"/>
        <v>1980</v>
      </c>
      <c r="AB1860" t="str">
        <f t="shared" si="1814"/>
        <v/>
      </c>
      <c r="AC1860">
        <f t="shared" si="1852"/>
        <v>1980</v>
      </c>
      <c r="AD1860" s="6">
        <v>3</v>
      </c>
      <c r="AE1860" t="s">
        <v>926</v>
      </c>
      <c r="AF1860" t="s">
        <v>921</v>
      </c>
      <c r="AG1860" t="s">
        <v>926</v>
      </c>
      <c r="AH1860" t="s">
        <v>898</v>
      </c>
      <c r="AI1860" t="s">
        <v>367</v>
      </c>
      <c r="AJ1860" t="str">
        <f t="shared" ref="AJ1860:AK1860" si="1856">IF($J1860&lt;&gt;"",$J1860,IF($AC1860=$AC1859,AJ1859,""))</f>
        <v>d</v>
      </c>
      <c r="AK1860" t="str">
        <f t="shared" si="1856"/>
        <v>d</v>
      </c>
      <c r="AL1860" t="str">
        <f t="shared" ref="AL1860:AL1923" si="1857">IF($W1860="","",IF($AJ1860="","",IF($W1860="h",$AJ1860,IF($AJ1860="n","n",IF(AND($W1860="a",$AJ1860="d"),"o",IF(AND($W1860="a",$AJ1860="o"),"d"))))))</f>
        <v>o</v>
      </c>
      <c r="AN1860" t="s">
        <v>862</v>
      </c>
      <c r="AO1860" t="str">
        <f t="shared" ref="AO1860:AO1923" si="1858">IF($W1860&lt;&gt;"",$W1860,IF($AC1860=$AC1859,AO1859,""))</f>
        <v>a</v>
      </c>
      <c r="AP1860" t="str">
        <f t="shared" si="1776"/>
        <v>o</v>
      </c>
      <c r="AQ1860" t="str">
        <f t="shared" si="1777"/>
        <v/>
      </c>
      <c r="AR1860" t="str">
        <f t="shared" si="1778"/>
        <v>Away</v>
      </c>
      <c r="AS1860" t="str">
        <f t="shared" si="1779"/>
        <v>a</v>
      </c>
      <c r="AT1860" t="str">
        <f t="shared" si="1780"/>
        <v>Offensive</v>
      </c>
      <c r="BA1860" s="6">
        <f t="shared" ref="BA1860:BA1923" si="1859">IF(OR(L1860="Zone_Entry",L1860="Zone_Exit"),BA1859+1,BA1859)</f>
        <v>433</v>
      </c>
      <c r="BB1860">
        <f t="shared" ref="BB1860:BB1923" si="1860">BB1859</f>
        <v>18981</v>
      </c>
      <c r="BC1860" t="str">
        <f t="shared" ref="BC1860:BC1923" si="1861">BC1859</f>
        <v>Nelson</v>
      </c>
      <c r="BD1860" t="str">
        <f t="shared" ref="BD1860:BD1923" si="1862">BD1859</f>
        <v>Velodrome</v>
      </c>
      <c r="BE1860" t="s">
        <v>238</v>
      </c>
      <c r="BF1860" t="s">
        <v>184</v>
      </c>
      <c r="BG1860" t="s">
        <v>88</v>
      </c>
      <c r="BI1860" cm="1">
        <f t="array" aca="1" ref="BI1860" ca="1">IFERROR(_xlfn._xlws.FILTER(shifts!A:A,(shifts!B:B=events!AD1860)*(shifts!AG:AG&gt;=events!BK1860)*(shifts!AH:AH&lt;=events!BL1860)),BI1859)</f>
        <v>82</v>
      </c>
      <c r="BJ1860" s="15">
        <f t="shared" ref="BJ1860:BJ1923" si="1863">IF(AND(AG1860="",AH1860=""),0,((AE1860*60)+AF1860)-((AG1860*60)+AH1860))</f>
        <v>2</v>
      </c>
      <c r="BK1860">
        <f t="shared" si="1781"/>
        <v>833</v>
      </c>
      <c r="BL1860">
        <f t="shared" si="1782"/>
        <v>831</v>
      </c>
      <c r="BM1860" s="15">
        <f>SUMIFS(BJ$2:BJ1860,K$2:K1860,"=Intermission")+SUMIFS(BJ$2:BJ1860,K$2:K1860,"=Timeout")</f>
        <v>142</v>
      </c>
      <c r="BN1860">
        <f t="shared" si="1783"/>
        <v>2302</v>
      </c>
      <c r="BO1860" s="19">
        <f t="shared" si="1784"/>
        <v>2549</v>
      </c>
      <c r="BP1860">
        <f t="shared" si="1785"/>
        <v>2544</v>
      </c>
      <c r="BQ1860" s="17">
        <f t="shared" si="1786"/>
        <v>2551</v>
      </c>
      <c r="BR1860" t="str">
        <f t="shared" si="1787"/>
        <v>event_team_player_1</v>
      </c>
      <c r="BS1860">
        <f>COUNTIFS(S$3:S1860,"="&amp;S1860,AI$3:AI1860,"="&amp;AI1860)</f>
        <v>1</v>
      </c>
      <c r="BT1860" t="str">
        <f>IFERROR(VLOOKUP(BB1860&amp;BU1860&amp;X1860,game_rosters!U:W,3,FALSE),"")</f>
        <v>P100201</v>
      </c>
      <c r="BU1860" t="str">
        <f t="shared" si="1788"/>
        <v>Velodrome</v>
      </c>
    </row>
    <row r="1861" spans="1:73" x14ac:dyDescent="0.2">
      <c r="A1861">
        <f t="shared" ref="A1861:A1924" si="1864">IF(K1861&lt;&gt;"",1,IF(D1861="x","x",""))</f>
        <v>1</v>
      </c>
      <c r="J1861" s="44" t="str">
        <f t="shared" si="1789"/>
        <v/>
      </c>
      <c r="K1861" t="s">
        <v>13</v>
      </c>
      <c r="L1861" t="s">
        <v>756</v>
      </c>
      <c r="M1861" t="s">
        <v>756</v>
      </c>
      <c r="S1861">
        <v>981</v>
      </c>
      <c r="W1861" t="str">
        <f t="shared" si="1855"/>
        <v>a</v>
      </c>
      <c r="X1861">
        <v>42</v>
      </c>
      <c r="Y1861" t="e">
        <f>IF(X1861&lt;&gt;"",VLOOKUP(X1861,game_rosters!$C$43:$E$64,3,FALSE))</f>
        <v>#N/A</v>
      </c>
      <c r="Z1861" cm="1">
        <f t="array" ref="Z1861">IFERROR(IF(_xlfn._xlws.FILTER(game_rosters!$J:$J,(game_rosters!$G:$G=events!$AN1861)*(game_rosters!$J:$J=events!$X1861))&gt;0,1,""),"")</f>
        <v>1</v>
      </c>
      <c r="AA1861">
        <f t="shared" si="1813"/>
        <v>1981</v>
      </c>
      <c r="AB1861" t="str">
        <f t="shared" si="1814"/>
        <v/>
      </c>
      <c r="AC1861">
        <f t="shared" si="1852"/>
        <v>1981</v>
      </c>
      <c r="AD1861" s="6">
        <v>3</v>
      </c>
      <c r="AE1861" t="s">
        <v>926</v>
      </c>
      <c r="AF1861" t="s">
        <v>898</v>
      </c>
      <c r="AG1861" t="s">
        <v>926</v>
      </c>
      <c r="AH1861" t="s">
        <v>751</v>
      </c>
      <c r="AI1861" t="s">
        <v>367</v>
      </c>
      <c r="AJ1861" t="str">
        <f t="shared" ref="AJ1861:AK1861" si="1865">IF($J1861&lt;&gt;"",$J1861,IF($AC1861=$AC1860,AJ1860,""))</f>
        <v/>
      </c>
      <c r="AK1861" t="str">
        <f t="shared" si="1865"/>
        <v/>
      </c>
      <c r="AL1861" t="str">
        <f t="shared" si="1857"/>
        <v/>
      </c>
      <c r="AN1861" t="s">
        <v>862</v>
      </c>
      <c r="AO1861" t="str">
        <f t="shared" si="1858"/>
        <v>a</v>
      </c>
      <c r="AP1861" t="str">
        <f t="shared" ref="AP1861:AP1924" si="1866">IF(AL1861&lt;&gt;"",AL1861,IF($AC1861=$AC1860,AP1860,""))</f>
        <v/>
      </c>
      <c r="AQ1861" t="str">
        <f t="shared" ref="AQ1861:AQ1924" si="1867">IF(AM1861&lt;&gt;"",AM1861,IF($AC1861=$AC1860,AQ1860,""))</f>
        <v/>
      </c>
      <c r="AR1861" t="str">
        <f t="shared" ref="AR1861:AR1924" si="1868">IF(AN1861&lt;&gt;"",AN1861,IF($AC1861=$AC1860,AR1860,""))</f>
        <v>Away</v>
      </c>
      <c r="AS1861" t="str">
        <f t="shared" ref="AS1861:AS1924" si="1869">IF(AO1861&lt;&gt;"",AO1861,IF($AC1861=$AC1860,AS1860,""))</f>
        <v>a</v>
      </c>
      <c r="AT1861" t="str">
        <f t="shared" ref="AT1861:AT1924" si="1870">IF(AND(AI1861="e",OR(BE1861="Save",BF1861="Turnover_Takeaway",BF1861="Play_Defensive")),"Defensive",IF(AND(AI1861="o",OR(BE1861="Save",BF1861="Turnover_Takeaway",BF1861="Play_Defensive")),"Offensive",IF(OR(BE1861="Deadice",BE1861="Stoppage",BE1861="Intermission"),"",IF(AI1861="e","Offensive",IF(AI1861="o","Defensive","")))))</f>
        <v>Offensive</v>
      </c>
      <c r="BA1861" s="6">
        <f t="shared" si="1859"/>
        <v>433</v>
      </c>
      <c r="BB1861">
        <f t="shared" si="1860"/>
        <v>18981</v>
      </c>
      <c r="BC1861" t="str">
        <f t="shared" si="1861"/>
        <v>Nelson</v>
      </c>
      <c r="BD1861" t="str">
        <f t="shared" si="1862"/>
        <v>Velodrome</v>
      </c>
      <c r="BE1861" t="s">
        <v>13</v>
      </c>
      <c r="BF1861" t="s">
        <v>756</v>
      </c>
      <c r="BG1861" t="s">
        <v>756</v>
      </c>
      <c r="BI1861" cm="1">
        <f t="array" aca="1" ref="BI1861" ca="1">IFERROR(_xlfn._xlws.FILTER(shifts!A:A,(shifts!B:B=events!AD1861)*(shifts!AG:AG&gt;=events!BK1861)*(shifts!AH:AH&lt;=events!BL1861)),BI1860)</f>
        <v>82</v>
      </c>
      <c r="BJ1861" s="15">
        <f t="shared" si="1863"/>
        <v>2</v>
      </c>
      <c r="BK1861">
        <f t="shared" ref="BK1861:BK1924" si="1871">(AE1861*60)+AF1861</f>
        <v>831</v>
      </c>
      <c r="BL1861">
        <f t="shared" ref="BL1861:BL1924" si="1872">IF(AND(AG1861="",AH1861=""),BK1861,((AG1861*60)+AH1861))</f>
        <v>829</v>
      </c>
      <c r="BM1861" s="15">
        <f>SUMIFS(BJ$2:BJ1861,K$2:K1861,"=Intermission")+SUMIFS(BJ$2:BJ1861,K$2:K1861,"=Timeout")</f>
        <v>142</v>
      </c>
      <c r="BN1861">
        <f t="shared" ref="BN1861:BN1924" si="1873">IF(AD1861=1,0,IF(AD1861=2,1080+BM1861,IF(AD1861=3,(1080*2)+BM1861,0)))</f>
        <v>2302</v>
      </c>
      <c r="BO1861" s="19">
        <f t="shared" ref="BO1861:BO1924" si="1874">IF(K1861="Intermission",BO1860,((1080)-((AE1861*60)+AF1861))+BN1861)</f>
        <v>2551</v>
      </c>
      <c r="BP1861">
        <f t="shared" ref="BP1861:BP1924" si="1875">IF(BO1861&lt;5,0,BO1861-5)</f>
        <v>2546</v>
      </c>
      <c r="BQ1861" s="17">
        <f t="shared" ref="BQ1861:BQ1924" si="1876">BP1861+BJ1861+5</f>
        <v>2553</v>
      </c>
      <c r="BR1861" t="str">
        <f t="shared" ref="BR1861:BR1924" si="1877">IF(AI1861="e","event_team_player_"&amp;BS1861,IF(AI1861="o","opp_team_player_"&amp;BS1861,""))</f>
        <v>event_team_player_1</v>
      </c>
      <c r="BS1861">
        <f>COUNTIFS(S$3:S1861,"="&amp;S1861,AI$3:AI1861,"="&amp;AI1861)</f>
        <v>1</v>
      </c>
      <c r="BT1861" t="str">
        <f>IFERROR(VLOOKUP(BB1861&amp;BU1861&amp;X1861,game_rosters!U:W,3,FALSE),"")</f>
        <v>P100201</v>
      </c>
      <c r="BU1861" t="str">
        <f t="shared" ref="BU1861:BU1924" si="1878">IF(AR1861="","",IF(AND(AR1861="Away",AI1861="e"),BD1861,IF(AND(AR1861="Home",AI1861="e"),BC1861,IF(AND(AR1861="Away",AI1861="o"),BC1861,IF(AND(AR1861="Home",AI1861="o"),BD1861)))))</f>
        <v>Velodrome</v>
      </c>
    </row>
    <row r="1862" spans="1:73" x14ac:dyDescent="0.2">
      <c r="A1862">
        <f t="shared" si="1864"/>
        <v>1</v>
      </c>
      <c r="J1862" s="44" t="str">
        <f t="shared" ref="J1862:J1925" si="1879">IF(OR(K1862="Goal",K1862="Shot",L1862="Zone_Entry",M1862="Stoppage-Goal",M1861="Stoppage-Goal"),"o",IF(OR(K1862="Save",K1862="Rebound",L1862="Zone_Exit",M1862="Stoppage-GoalieStoppage",M1861="Stoppage-GoalieStoppage"),"d",IF(OR(L1862="Faceoff_AfterGoal",L1862="Faceoff_PeriodStart",698="Faceoff_GameStart",M1861="Stoppage-Goal"),"n","")))</f>
        <v>o</v>
      </c>
      <c r="K1862" t="s">
        <v>238</v>
      </c>
      <c r="L1862" t="s">
        <v>174</v>
      </c>
      <c r="M1862" t="s">
        <v>85</v>
      </c>
      <c r="S1862">
        <v>982</v>
      </c>
      <c r="W1862" t="str">
        <f t="shared" si="1855"/>
        <v>a</v>
      </c>
      <c r="X1862">
        <v>42</v>
      </c>
      <c r="Y1862" t="e">
        <f>IF(X1862&lt;&gt;"",VLOOKUP(X1862,game_rosters!$C$43:$E$64,3,FALSE))</f>
        <v>#N/A</v>
      </c>
      <c r="Z1862" cm="1">
        <f t="array" ref="Z1862">IFERROR(IF(_xlfn._xlws.FILTER(game_rosters!$J:$J,(game_rosters!$G:$G=events!$AN1862)*(game_rosters!$J:$J=events!$X1862))&gt;0,1,""),"")</f>
        <v>1</v>
      </c>
      <c r="AA1862">
        <f t="shared" si="1813"/>
        <v>1982</v>
      </c>
      <c r="AB1862" t="str">
        <f t="shared" si="1814"/>
        <v/>
      </c>
      <c r="AC1862">
        <f t="shared" si="1852"/>
        <v>1982</v>
      </c>
      <c r="AD1862" s="6">
        <v>3</v>
      </c>
      <c r="AE1862" t="s">
        <v>926</v>
      </c>
      <c r="AF1862" t="s">
        <v>751</v>
      </c>
      <c r="AG1862" t="s">
        <v>926</v>
      </c>
      <c r="AH1862" t="s">
        <v>900</v>
      </c>
      <c r="AI1862" t="s">
        <v>367</v>
      </c>
      <c r="AJ1862" t="str">
        <f t="shared" ref="AJ1862:AK1862" si="1880">IF($J1862&lt;&gt;"",$J1862,IF($AC1862=$AC1861,AJ1861,""))</f>
        <v>o</v>
      </c>
      <c r="AK1862" t="str">
        <f t="shared" si="1880"/>
        <v>o</v>
      </c>
      <c r="AL1862" t="str">
        <f t="shared" si="1857"/>
        <v>d</v>
      </c>
      <c r="AN1862" t="s">
        <v>862</v>
      </c>
      <c r="AO1862" t="str">
        <f t="shared" si="1858"/>
        <v>a</v>
      </c>
      <c r="AP1862" t="str">
        <f t="shared" si="1866"/>
        <v>d</v>
      </c>
      <c r="AQ1862" t="str">
        <f t="shared" si="1867"/>
        <v/>
      </c>
      <c r="AR1862" t="str">
        <f t="shared" si="1868"/>
        <v>Away</v>
      </c>
      <c r="AS1862" t="str">
        <f t="shared" si="1869"/>
        <v>a</v>
      </c>
      <c r="AT1862" t="str">
        <f t="shared" si="1870"/>
        <v>Offensive</v>
      </c>
      <c r="BA1862" s="6">
        <f t="shared" si="1859"/>
        <v>434</v>
      </c>
      <c r="BB1862">
        <f t="shared" si="1860"/>
        <v>18981</v>
      </c>
      <c r="BC1862" t="str">
        <f t="shared" si="1861"/>
        <v>Nelson</v>
      </c>
      <c r="BD1862" t="str">
        <f t="shared" si="1862"/>
        <v>Velodrome</v>
      </c>
      <c r="BE1862" t="s">
        <v>238</v>
      </c>
      <c r="BF1862" t="s">
        <v>174</v>
      </c>
      <c r="BG1862" t="s">
        <v>85</v>
      </c>
      <c r="BI1862" cm="1">
        <f t="array" aca="1" ref="BI1862" ca="1">IFERROR(_xlfn._xlws.FILTER(shifts!A:A,(shifts!B:B=events!AD1862)*(shifts!AG:AG&gt;=events!BK1862)*(shifts!AH:AH&lt;=events!BL1862)),BI1861)</f>
        <v>82</v>
      </c>
      <c r="BJ1862" s="15">
        <f t="shared" si="1863"/>
        <v>2</v>
      </c>
      <c r="BK1862">
        <f t="shared" si="1871"/>
        <v>829</v>
      </c>
      <c r="BL1862">
        <f t="shared" si="1872"/>
        <v>827</v>
      </c>
      <c r="BM1862" s="15">
        <f>SUMIFS(BJ$2:BJ1862,K$2:K1862,"=Intermission")+SUMIFS(BJ$2:BJ1862,K$2:K1862,"=Timeout")</f>
        <v>142</v>
      </c>
      <c r="BN1862">
        <f t="shared" si="1873"/>
        <v>2302</v>
      </c>
      <c r="BO1862" s="19">
        <f t="shared" si="1874"/>
        <v>2553</v>
      </c>
      <c r="BP1862">
        <f t="shared" si="1875"/>
        <v>2548</v>
      </c>
      <c r="BQ1862" s="17">
        <f t="shared" si="1876"/>
        <v>2555</v>
      </c>
      <c r="BR1862" t="str">
        <f t="shared" si="1877"/>
        <v>event_team_player_1</v>
      </c>
      <c r="BS1862">
        <f>COUNTIFS(S$3:S1862,"="&amp;S1862,AI$3:AI1862,"="&amp;AI1862)</f>
        <v>1</v>
      </c>
      <c r="BT1862" t="str">
        <f>IFERROR(VLOOKUP(BB1862&amp;BU1862&amp;X1862,game_rosters!U:W,3,FALSE),"")</f>
        <v>P100201</v>
      </c>
      <c r="BU1862" t="str">
        <f t="shared" si="1878"/>
        <v>Velodrome</v>
      </c>
    </row>
    <row r="1863" spans="1:73" x14ac:dyDescent="0.2">
      <c r="A1863">
        <f t="shared" si="1864"/>
        <v>1</v>
      </c>
      <c r="J1863" s="44" t="str">
        <f t="shared" si="1879"/>
        <v>o</v>
      </c>
      <c r="K1863" t="s">
        <v>238</v>
      </c>
      <c r="L1863" t="s">
        <v>174</v>
      </c>
      <c r="M1863" t="s">
        <v>85</v>
      </c>
      <c r="S1863">
        <v>982</v>
      </c>
      <c r="W1863" t="str">
        <f t="shared" si="1855"/>
        <v>a</v>
      </c>
      <c r="X1863">
        <v>24</v>
      </c>
      <c r="Y1863" t="e">
        <f>IF(X1863&lt;&gt;"",VLOOKUP(X1863,game_rosters!$C$43:$E$64,3,FALSE))</f>
        <v>#N/A</v>
      </c>
      <c r="Z1863" cm="1">
        <f t="array" ref="Z1863">IFERROR(IF(_xlfn._xlws.FILTER(game_rosters!$J:$J,(game_rosters!$G:$G=events!$AN1863)*(game_rosters!$J:$J=events!$X1863))&gt;0,1,""),"")</f>
        <v>1</v>
      </c>
      <c r="AA1863">
        <f t="shared" si="1813"/>
        <v>1982</v>
      </c>
      <c r="AB1863" t="str">
        <f t="shared" si="1814"/>
        <v/>
      </c>
      <c r="AC1863">
        <f t="shared" si="1852"/>
        <v>1982</v>
      </c>
      <c r="AD1863" s="6">
        <v>3</v>
      </c>
      <c r="AE1863" t="s">
        <v>926</v>
      </c>
      <c r="AF1863" t="s">
        <v>751</v>
      </c>
      <c r="AG1863" t="s">
        <v>926</v>
      </c>
      <c r="AH1863" t="s">
        <v>900</v>
      </c>
      <c r="AI1863" t="s">
        <v>367</v>
      </c>
      <c r="AJ1863" t="str">
        <f t="shared" ref="AJ1863:AK1863" si="1881">IF($J1863&lt;&gt;"",$J1863,IF($AC1863=$AC1862,AJ1862,""))</f>
        <v>o</v>
      </c>
      <c r="AK1863" t="str">
        <f t="shared" si="1881"/>
        <v>o</v>
      </c>
      <c r="AL1863" t="str">
        <f t="shared" si="1857"/>
        <v>d</v>
      </c>
      <c r="AN1863" t="s">
        <v>862</v>
      </c>
      <c r="AO1863" t="str">
        <f t="shared" si="1858"/>
        <v>a</v>
      </c>
      <c r="AP1863" t="str">
        <f t="shared" si="1866"/>
        <v>d</v>
      </c>
      <c r="AQ1863" t="str">
        <f t="shared" si="1867"/>
        <v/>
      </c>
      <c r="AR1863" t="str">
        <f t="shared" si="1868"/>
        <v>Away</v>
      </c>
      <c r="AS1863" t="str">
        <f t="shared" si="1869"/>
        <v>a</v>
      </c>
      <c r="AT1863" t="str">
        <f t="shared" si="1870"/>
        <v>Offensive</v>
      </c>
      <c r="BA1863" s="6">
        <f t="shared" si="1859"/>
        <v>435</v>
      </c>
      <c r="BB1863">
        <f t="shared" si="1860"/>
        <v>18981</v>
      </c>
      <c r="BC1863" t="str">
        <f t="shared" si="1861"/>
        <v>Nelson</v>
      </c>
      <c r="BD1863" t="str">
        <f t="shared" si="1862"/>
        <v>Velodrome</v>
      </c>
      <c r="BE1863" t="s">
        <v>238</v>
      </c>
      <c r="BF1863" t="s">
        <v>174</v>
      </c>
      <c r="BG1863" t="s">
        <v>85</v>
      </c>
      <c r="BI1863" cm="1">
        <f t="array" aca="1" ref="BI1863" ca="1">IFERROR(_xlfn._xlws.FILTER(shifts!A:A,(shifts!B:B=events!AD1863)*(shifts!AG:AG&gt;=events!BK1863)*(shifts!AH:AH&lt;=events!BL1863)),BI1862)</f>
        <v>82</v>
      </c>
      <c r="BJ1863" s="15">
        <f t="shared" si="1863"/>
        <v>2</v>
      </c>
      <c r="BK1863">
        <f t="shared" si="1871"/>
        <v>829</v>
      </c>
      <c r="BL1863">
        <f t="shared" si="1872"/>
        <v>827</v>
      </c>
      <c r="BM1863" s="15">
        <f>SUMIFS(BJ$2:BJ1863,K$2:K1863,"=Intermission")+SUMIFS(BJ$2:BJ1863,K$2:K1863,"=Timeout")</f>
        <v>142</v>
      </c>
      <c r="BN1863">
        <f t="shared" si="1873"/>
        <v>2302</v>
      </c>
      <c r="BO1863" s="19">
        <f t="shared" si="1874"/>
        <v>2553</v>
      </c>
      <c r="BP1863">
        <f t="shared" si="1875"/>
        <v>2548</v>
      </c>
      <c r="BQ1863" s="17">
        <f t="shared" si="1876"/>
        <v>2555</v>
      </c>
      <c r="BR1863" t="str">
        <f t="shared" si="1877"/>
        <v>event_team_player_2</v>
      </c>
      <c r="BS1863">
        <f>COUNTIFS(S$3:S1863,"="&amp;S1863,AI$3:AI1863,"="&amp;AI1863)</f>
        <v>2</v>
      </c>
      <c r="BT1863" t="str">
        <f>IFERROR(VLOOKUP(BB1863&amp;BU1863&amp;X1863,game_rosters!U:W,3,FALSE),"")</f>
        <v>P100230</v>
      </c>
      <c r="BU1863" t="str">
        <f t="shared" si="1878"/>
        <v>Velodrome</v>
      </c>
    </row>
    <row r="1864" spans="1:73" x14ac:dyDescent="0.2">
      <c r="A1864">
        <f t="shared" si="1864"/>
        <v>1</v>
      </c>
      <c r="J1864" s="44" t="str">
        <f t="shared" si="1879"/>
        <v>o</v>
      </c>
      <c r="K1864" t="s">
        <v>238</v>
      </c>
      <c r="L1864" t="s">
        <v>174</v>
      </c>
      <c r="M1864" t="s">
        <v>85</v>
      </c>
      <c r="S1864">
        <v>982</v>
      </c>
      <c r="W1864" t="str">
        <f t="shared" si="1855"/>
        <v>a</v>
      </c>
      <c r="X1864">
        <v>23</v>
      </c>
      <c r="Y1864" t="b">
        <f>IF(X1864&lt;&gt;"",VLOOKUP(X1864,game_rosters!$C$43:$E$64,3,FALSE))</f>
        <v>0</v>
      </c>
      <c r="Z1864" t="str" cm="1">
        <f t="array" ref="Z1864">IFERROR(IF(_xlfn._xlws.FILTER(game_rosters!$J:$J,(game_rosters!$G:$G=events!$AN1864)*(game_rosters!$J:$J=events!$X1864))&gt;0,1,""),"")</f>
        <v/>
      </c>
      <c r="AA1864">
        <f t="shared" si="1813"/>
        <v>1982</v>
      </c>
      <c r="AB1864" t="str">
        <f t="shared" si="1814"/>
        <v/>
      </c>
      <c r="AC1864">
        <f t="shared" si="1852"/>
        <v>1982</v>
      </c>
      <c r="AD1864" s="6">
        <v>3</v>
      </c>
      <c r="AE1864" t="s">
        <v>926</v>
      </c>
      <c r="AF1864" t="s">
        <v>751</v>
      </c>
      <c r="AG1864" t="s">
        <v>926</v>
      </c>
      <c r="AH1864" t="s">
        <v>900</v>
      </c>
      <c r="AI1864" t="s">
        <v>368</v>
      </c>
      <c r="AJ1864" t="str">
        <f t="shared" ref="AJ1864:AK1864" si="1882">IF($J1864&lt;&gt;"",$J1864,IF($AC1864=$AC1863,AJ1863,""))</f>
        <v>o</v>
      </c>
      <c r="AK1864" t="str">
        <f t="shared" si="1882"/>
        <v>o</v>
      </c>
      <c r="AL1864" t="str">
        <f t="shared" si="1857"/>
        <v>d</v>
      </c>
      <c r="AN1864" t="s">
        <v>862</v>
      </c>
      <c r="AO1864" t="str">
        <f t="shared" si="1858"/>
        <v>a</v>
      </c>
      <c r="AP1864" t="str">
        <f t="shared" si="1866"/>
        <v>d</v>
      </c>
      <c r="AQ1864" t="str">
        <f t="shared" si="1867"/>
        <v/>
      </c>
      <c r="AR1864" t="str">
        <f t="shared" si="1868"/>
        <v>Away</v>
      </c>
      <c r="AS1864" t="str">
        <f t="shared" si="1869"/>
        <v>a</v>
      </c>
      <c r="AT1864" t="str">
        <f t="shared" si="1870"/>
        <v>Defensive</v>
      </c>
      <c r="BA1864" s="6">
        <f t="shared" si="1859"/>
        <v>436</v>
      </c>
      <c r="BB1864">
        <f t="shared" si="1860"/>
        <v>18981</v>
      </c>
      <c r="BC1864" t="str">
        <f t="shared" si="1861"/>
        <v>Nelson</v>
      </c>
      <c r="BD1864" t="str">
        <f t="shared" si="1862"/>
        <v>Velodrome</v>
      </c>
      <c r="BE1864" t="s">
        <v>238</v>
      </c>
      <c r="BF1864" t="s">
        <v>174</v>
      </c>
      <c r="BG1864" t="s">
        <v>85</v>
      </c>
      <c r="BI1864" cm="1">
        <f t="array" aca="1" ref="BI1864" ca="1">IFERROR(_xlfn._xlws.FILTER(shifts!A:A,(shifts!B:B=events!AD1864)*(shifts!AG:AG&gt;=events!BK1864)*(shifts!AH:AH&lt;=events!BL1864)),BI1863)</f>
        <v>82</v>
      </c>
      <c r="BJ1864" s="15">
        <f t="shared" si="1863"/>
        <v>2</v>
      </c>
      <c r="BK1864">
        <f t="shared" si="1871"/>
        <v>829</v>
      </c>
      <c r="BL1864">
        <f t="shared" si="1872"/>
        <v>827</v>
      </c>
      <c r="BM1864" s="15">
        <f>SUMIFS(BJ$2:BJ1864,K$2:K1864,"=Intermission")+SUMIFS(BJ$2:BJ1864,K$2:K1864,"=Timeout")</f>
        <v>142</v>
      </c>
      <c r="BN1864">
        <f t="shared" si="1873"/>
        <v>2302</v>
      </c>
      <c r="BO1864" s="19">
        <f t="shared" si="1874"/>
        <v>2553</v>
      </c>
      <c r="BP1864">
        <f t="shared" si="1875"/>
        <v>2548</v>
      </c>
      <c r="BQ1864" s="17">
        <f t="shared" si="1876"/>
        <v>2555</v>
      </c>
      <c r="BR1864" t="str">
        <f t="shared" si="1877"/>
        <v>opp_team_player_1</v>
      </c>
      <c r="BS1864">
        <f>COUNTIFS(S$3:S1864,"="&amp;S1864,AI$3:AI1864,"="&amp;AI1864)</f>
        <v>1</v>
      </c>
      <c r="BT1864" t="str">
        <f>IFERROR(VLOOKUP(BB1864&amp;BU1864&amp;X1864,game_rosters!U:W,3,FALSE),"")</f>
        <v>P100061</v>
      </c>
      <c r="BU1864" t="str">
        <f t="shared" si="1878"/>
        <v>Nelson</v>
      </c>
    </row>
    <row r="1865" spans="1:73" x14ac:dyDescent="0.2">
      <c r="A1865">
        <f t="shared" si="1864"/>
        <v>1</v>
      </c>
      <c r="J1865" s="44" t="str">
        <f t="shared" si="1879"/>
        <v>o</v>
      </c>
      <c r="K1865" t="s">
        <v>238</v>
      </c>
      <c r="L1865" t="s">
        <v>174</v>
      </c>
      <c r="M1865" t="s">
        <v>85</v>
      </c>
      <c r="S1865">
        <v>982</v>
      </c>
      <c r="W1865" t="str">
        <f t="shared" si="1855"/>
        <v>a</v>
      </c>
      <c r="X1865">
        <v>37</v>
      </c>
      <c r="Y1865" t="b">
        <f>IF(X1865&lt;&gt;"",VLOOKUP(X1865,game_rosters!$C$43:$E$64,3,FALSE))</f>
        <v>0</v>
      </c>
      <c r="Z1865" t="str" cm="1">
        <f t="array" ref="Z1865">IFERROR(IF(_xlfn._xlws.FILTER(game_rosters!$J:$J,(game_rosters!$G:$G=events!$AN1865)*(game_rosters!$J:$J=events!$X1865))&gt;0,1,""),"")</f>
        <v/>
      </c>
      <c r="AA1865">
        <f t="shared" si="1813"/>
        <v>1982</v>
      </c>
      <c r="AB1865" t="str">
        <f t="shared" si="1814"/>
        <v/>
      </c>
      <c r="AC1865">
        <f t="shared" si="1852"/>
        <v>1982</v>
      </c>
      <c r="AD1865" s="6">
        <v>3</v>
      </c>
      <c r="AE1865" t="s">
        <v>926</v>
      </c>
      <c r="AF1865" t="s">
        <v>751</v>
      </c>
      <c r="AG1865" t="s">
        <v>926</v>
      </c>
      <c r="AH1865" t="s">
        <v>900</v>
      </c>
      <c r="AI1865" t="s">
        <v>368</v>
      </c>
      <c r="AJ1865" t="str">
        <f t="shared" ref="AJ1865:AK1865" si="1883">IF($J1865&lt;&gt;"",$J1865,IF($AC1865=$AC1864,AJ1864,""))</f>
        <v>o</v>
      </c>
      <c r="AK1865" t="str">
        <f t="shared" si="1883"/>
        <v>o</v>
      </c>
      <c r="AL1865" t="str">
        <f t="shared" si="1857"/>
        <v>d</v>
      </c>
      <c r="AN1865" t="s">
        <v>862</v>
      </c>
      <c r="AO1865" t="str">
        <f t="shared" si="1858"/>
        <v>a</v>
      </c>
      <c r="AP1865" t="str">
        <f t="shared" si="1866"/>
        <v>d</v>
      </c>
      <c r="AQ1865" t="str">
        <f t="shared" si="1867"/>
        <v/>
      </c>
      <c r="AR1865" t="str">
        <f t="shared" si="1868"/>
        <v>Away</v>
      </c>
      <c r="AS1865" t="str">
        <f t="shared" si="1869"/>
        <v>a</v>
      </c>
      <c r="AT1865" t="str">
        <f t="shared" si="1870"/>
        <v>Defensive</v>
      </c>
      <c r="BA1865" s="6">
        <f t="shared" si="1859"/>
        <v>437</v>
      </c>
      <c r="BB1865">
        <f t="shared" si="1860"/>
        <v>18981</v>
      </c>
      <c r="BC1865" t="str">
        <f t="shared" si="1861"/>
        <v>Nelson</v>
      </c>
      <c r="BD1865" t="str">
        <f t="shared" si="1862"/>
        <v>Velodrome</v>
      </c>
      <c r="BE1865" t="s">
        <v>238</v>
      </c>
      <c r="BF1865" t="s">
        <v>174</v>
      </c>
      <c r="BG1865" t="s">
        <v>85</v>
      </c>
      <c r="BI1865" cm="1">
        <f t="array" aca="1" ref="BI1865" ca="1">IFERROR(_xlfn._xlws.FILTER(shifts!A:A,(shifts!B:B=events!AD1865)*(shifts!AG:AG&gt;=events!BK1865)*(shifts!AH:AH&lt;=events!BL1865)),BI1864)</f>
        <v>82</v>
      </c>
      <c r="BJ1865" s="15">
        <f t="shared" si="1863"/>
        <v>2</v>
      </c>
      <c r="BK1865">
        <f t="shared" si="1871"/>
        <v>829</v>
      </c>
      <c r="BL1865">
        <f t="shared" si="1872"/>
        <v>827</v>
      </c>
      <c r="BM1865" s="15">
        <f>SUMIFS(BJ$2:BJ1865,K$2:K1865,"=Intermission")+SUMIFS(BJ$2:BJ1865,K$2:K1865,"=Timeout")</f>
        <v>142</v>
      </c>
      <c r="BN1865">
        <f t="shared" si="1873"/>
        <v>2302</v>
      </c>
      <c r="BO1865" s="19">
        <f t="shared" si="1874"/>
        <v>2553</v>
      </c>
      <c r="BP1865">
        <f t="shared" si="1875"/>
        <v>2548</v>
      </c>
      <c r="BQ1865" s="17">
        <f t="shared" si="1876"/>
        <v>2555</v>
      </c>
      <c r="BR1865" t="str">
        <f t="shared" si="1877"/>
        <v>opp_team_player_2</v>
      </c>
      <c r="BS1865">
        <f>COUNTIFS(S$3:S1865,"="&amp;S1865,AI$3:AI1865,"="&amp;AI1865)</f>
        <v>2</v>
      </c>
      <c r="BT1865" t="str">
        <f>IFERROR(VLOOKUP(BB1865&amp;BU1865&amp;X1865,game_rosters!U:W,3,FALSE),"")</f>
        <v>P100119</v>
      </c>
      <c r="BU1865" t="str">
        <f t="shared" si="1878"/>
        <v>Nelson</v>
      </c>
    </row>
    <row r="1866" spans="1:73" x14ac:dyDescent="0.2">
      <c r="A1866">
        <f t="shared" si="1864"/>
        <v>1</v>
      </c>
      <c r="J1866" s="44" t="str">
        <f t="shared" si="1879"/>
        <v/>
      </c>
      <c r="K1866" t="s">
        <v>9</v>
      </c>
      <c r="L1866" t="s">
        <v>183</v>
      </c>
      <c r="M1866" t="s">
        <v>80</v>
      </c>
      <c r="S1866">
        <v>983</v>
      </c>
      <c r="W1866" t="str">
        <f t="shared" si="1855"/>
        <v>h</v>
      </c>
      <c r="X1866">
        <v>37</v>
      </c>
      <c r="Y1866" t="b">
        <f>IF(X1866&lt;&gt;"",VLOOKUP(X1866,game_rosters!$C$43:$E$64,3,FALSE))</f>
        <v>0</v>
      </c>
      <c r="Z1866" cm="1">
        <f t="array" ref="Z1866">IFERROR(IF(_xlfn._xlws.FILTER(game_rosters!$J:$J,(game_rosters!$G:$G=events!$AN1866)*(game_rosters!$J:$J=events!$X1866))&gt;0,1,""),"")</f>
        <v>1</v>
      </c>
      <c r="AA1866">
        <f t="shared" si="1813"/>
        <v>1983</v>
      </c>
      <c r="AB1866" t="str">
        <f t="shared" si="1814"/>
        <v/>
      </c>
      <c r="AC1866">
        <f t="shared" si="1852"/>
        <v>1983</v>
      </c>
      <c r="AD1866" s="6">
        <v>3</v>
      </c>
      <c r="AE1866" t="s">
        <v>926</v>
      </c>
      <c r="AF1866" t="s">
        <v>900</v>
      </c>
      <c r="AG1866" t="s">
        <v>756</v>
      </c>
      <c r="AH1866" t="s">
        <v>756</v>
      </c>
      <c r="AI1866" t="s">
        <v>367</v>
      </c>
      <c r="AJ1866" t="str">
        <f t="shared" ref="AJ1866:AK1866" si="1884">IF($J1866&lt;&gt;"",$J1866,IF($AC1866=$AC1865,AJ1865,""))</f>
        <v/>
      </c>
      <c r="AK1866" t="str">
        <f t="shared" si="1884"/>
        <v/>
      </c>
      <c r="AL1866" t="str">
        <f t="shared" si="1857"/>
        <v/>
      </c>
      <c r="AN1866" t="s">
        <v>861</v>
      </c>
      <c r="AO1866" t="str">
        <f t="shared" si="1858"/>
        <v>h</v>
      </c>
      <c r="AP1866" t="str">
        <f t="shared" si="1866"/>
        <v/>
      </c>
      <c r="AQ1866" t="str">
        <f t="shared" si="1867"/>
        <v/>
      </c>
      <c r="AR1866" t="str">
        <f t="shared" si="1868"/>
        <v>Home</v>
      </c>
      <c r="AS1866" t="str">
        <f t="shared" si="1869"/>
        <v>h</v>
      </c>
      <c r="AT1866" t="str">
        <f t="shared" si="1870"/>
        <v>Defensive</v>
      </c>
      <c r="BA1866" s="6">
        <f t="shared" si="1859"/>
        <v>437</v>
      </c>
      <c r="BB1866">
        <f t="shared" si="1860"/>
        <v>18981</v>
      </c>
      <c r="BC1866" t="str">
        <f t="shared" si="1861"/>
        <v>Nelson</v>
      </c>
      <c r="BD1866" t="str">
        <f t="shared" si="1862"/>
        <v>Velodrome</v>
      </c>
      <c r="BE1866" t="s">
        <v>9</v>
      </c>
      <c r="BF1866" t="s">
        <v>183</v>
      </c>
      <c r="BG1866" t="s">
        <v>80</v>
      </c>
      <c r="BI1866" cm="1">
        <f t="array" aca="1" ref="BI1866" ca="1">IFERROR(_xlfn._xlws.FILTER(shifts!A:A,(shifts!B:B=events!AD1866)*(shifts!AG:AG&gt;=events!BK1866)*(shifts!AH:AH&lt;=events!BL1866)),BI1865)</f>
        <v>82</v>
      </c>
      <c r="BJ1866" s="15">
        <f t="shared" si="1863"/>
        <v>0</v>
      </c>
      <c r="BK1866">
        <f t="shared" si="1871"/>
        <v>827</v>
      </c>
      <c r="BL1866">
        <f t="shared" si="1872"/>
        <v>827</v>
      </c>
      <c r="BM1866" s="15">
        <f>SUMIFS(BJ$2:BJ1866,K$2:K1866,"=Intermission")+SUMIFS(BJ$2:BJ1866,K$2:K1866,"=Timeout")</f>
        <v>142</v>
      </c>
      <c r="BN1866">
        <f t="shared" si="1873"/>
        <v>2302</v>
      </c>
      <c r="BO1866" s="19">
        <f t="shared" si="1874"/>
        <v>2555</v>
      </c>
      <c r="BP1866">
        <f t="shared" si="1875"/>
        <v>2550</v>
      </c>
      <c r="BQ1866" s="17">
        <f t="shared" si="1876"/>
        <v>2555</v>
      </c>
      <c r="BR1866" t="str">
        <f t="shared" si="1877"/>
        <v>event_team_player_1</v>
      </c>
      <c r="BS1866">
        <f>COUNTIFS(S$3:S1866,"="&amp;S1866,AI$3:AI1866,"="&amp;AI1866)</f>
        <v>1</v>
      </c>
      <c r="BT1866" t="str">
        <f>IFERROR(VLOOKUP(BB1866&amp;BU1866&amp;X1866,game_rosters!U:W,3,FALSE),"")</f>
        <v>P100119</v>
      </c>
      <c r="BU1866" t="str">
        <f t="shared" si="1878"/>
        <v>Nelson</v>
      </c>
    </row>
    <row r="1867" spans="1:73" x14ac:dyDescent="0.2">
      <c r="A1867">
        <f t="shared" si="1864"/>
        <v>1</v>
      </c>
      <c r="J1867" s="44" t="str">
        <f t="shared" si="1879"/>
        <v/>
      </c>
      <c r="K1867" t="s">
        <v>9</v>
      </c>
      <c r="L1867" t="s">
        <v>183</v>
      </c>
      <c r="M1867" t="s">
        <v>80</v>
      </c>
      <c r="S1867">
        <v>983</v>
      </c>
      <c r="W1867" t="str">
        <f t="shared" si="1855"/>
        <v>h</v>
      </c>
      <c r="X1867">
        <v>42</v>
      </c>
      <c r="Y1867" t="e">
        <f>IF(X1867&lt;&gt;"",VLOOKUP(X1867,game_rosters!$C$43:$E$64,3,FALSE))</f>
        <v>#N/A</v>
      </c>
      <c r="Z1867" t="str" cm="1">
        <f t="array" ref="Z1867">IFERROR(IF(_xlfn._xlws.FILTER(game_rosters!$J:$J,(game_rosters!$G:$G=events!$AN1867)*(game_rosters!$J:$J=events!$X1867))&gt;0,1,""),"")</f>
        <v/>
      </c>
      <c r="AA1867">
        <f t="shared" si="1813"/>
        <v>1983</v>
      </c>
      <c r="AB1867" t="str">
        <f t="shared" si="1814"/>
        <v/>
      </c>
      <c r="AC1867">
        <f t="shared" si="1852"/>
        <v>1983</v>
      </c>
      <c r="AD1867" s="6">
        <v>3</v>
      </c>
      <c r="AE1867" t="s">
        <v>926</v>
      </c>
      <c r="AF1867" t="s">
        <v>900</v>
      </c>
      <c r="AG1867" t="s">
        <v>756</v>
      </c>
      <c r="AH1867" t="s">
        <v>756</v>
      </c>
      <c r="AI1867" t="s">
        <v>368</v>
      </c>
      <c r="AJ1867" t="str">
        <f t="shared" ref="AJ1867:AK1867" si="1885">IF($J1867&lt;&gt;"",$J1867,IF($AC1867=$AC1866,AJ1866,""))</f>
        <v/>
      </c>
      <c r="AK1867" t="str">
        <f t="shared" si="1885"/>
        <v/>
      </c>
      <c r="AL1867" t="str">
        <f t="shared" si="1857"/>
        <v/>
      </c>
      <c r="AN1867" t="s">
        <v>861</v>
      </c>
      <c r="AO1867" t="str">
        <f t="shared" si="1858"/>
        <v>h</v>
      </c>
      <c r="AP1867" t="str">
        <f t="shared" si="1866"/>
        <v/>
      </c>
      <c r="AQ1867" t="str">
        <f t="shared" si="1867"/>
        <v/>
      </c>
      <c r="AR1867" t="str">
        <f t="shared" si="1868"/>
        <v>Home</v>
      </c>
      <c r="AS1867" t="str">
        <f t="shared" si="1869"/>
        <v>h</v>
      </c>
      <c r="AT1867" t="str">
        <f t="shared" si="1870"/>
        <v>Offensive</v>
      </c>
      <c r="BA1867" s="6">
        <f t="shared" si="1859"/>
        <v>437</v>
      </c>
      <c r="BB1867">
        <f t="shared" si="1860"/>
        <v>18981</v>
      </c>
      <c r="BC1867" t="str">
        <f t="shared" si="1861"/>
        <v>Nelson</v>
      </c>
      <c r="BD1867" t="str">
        <f t="shared" si="1862"/>
        <v>Velodrome</v>
      </c>
      <c r="BE1867" t="s">
        <v>9</v>
      </c>
      <c r="BF1867" t="s">
        <v>183</v>
      </c>
      <c r="BG1867" t="s">
        <v>80</v>
      </c>
      <c r="BI1867" cm="1">
        <f t="array" aca="1" ref="BI1867" ca="1">IFERROR(_xlfn._xlws.FILTER(shifts!A:A,(shifts!B:B=events!AD1867)*(shifts!AG:AG&gt;=events!BK1867)*(shifts!AH:AH&lt;=events!BL1867)),BI1866)</f>
        <v>82</v>
      </c>
      <c r="BJ1867" s="15">
        <f t="shared" si="1863"/>
        <v>0</v>
      </c>
      <c r="BK1867">
        <f t="shared" si="1871"/>
        <v>827</v>
      </c>
      <c r="BL1867">
        <f t="shared" si="1872"/>
        <v>827</v>
      </c>
      <c r="BM1867" s="15">
        <f>SUMIFS(BJ$2:BJ1867,K$2:K1867,"=Intermission")+SUMIFS(BJ$2:BJ1867,K$2:K1867,"=Timeout")</f>
        <v>142</v>
      </c>
      <c r="BN1867">
        <f t="shared" si="1873"/>
        <v>2302</v>
      </c>
      <c r="BO1867" s="19">
        <f t="shared" si="1874"/>
        <v>2555</v>
      </c>
      <c r="BP1867">
        <f t="shared" si="1875"/>
        <v>2550</v>
      </c>
      <c r="BQ1867" s="17">
        <f t="shared" si="1876"/>
        <v>2555</v>
      </c>
      <c r="BR1867" t="str">
        <f t="shared" si="1877"/>
        <v>opp_team_player_1</v>
      </c>
      <c r="BS1867">
        <f>COUNTIFS(S$3:S1867,"="&amp;S1867,AI$3:AI1867,"="&amp;AI1867)</f>
        <v>1</v>
      </c>
      <c r="BT1867" t="str">
        <f>IFERROR(VLOOKUP(BB1867&amp;BU1867&amp;X1867,game_rosters!U:W,3,FALSE),"")</f>
        <v>P100201</v>
      </c>
      <c r="BU1867" t="str">
        <f t="shared" si="1878"/>
        <v>Velodrome</v>
      </c>
    </row>
    <row r="1868" spans="1:73" x14ac:dyDescent="0.2">
      <c r="A1868">
        <f t="shared" si="1864"/>
        <v>1</v>
      </c>
      <c r="J1868" s="44" t="str">
        <f t="shared" si="1879"/>
        <v/>
      </c>
      <c r="K1868" t="s">
        <v>13</v>
      </c>
      <c r="L1868" t="s">
        <v>756</v>
      </c>
      <c r="M1868" t="s">
        <v>756</v>
      </c>
      <c r="S1868">
        <v>984</v>
      </c>
      <c r="W1868" t="str">
        <f t="shared" si="1855"/>
        <v>h</v>
      </c>
      <c r="X1868">
        <v>37</v>
      </c>
      <c r="Y1868" t="b">
        <f>IF(X1868&lt;&gt;"",VLOOKUP(X1868,game_rosters!$C$43:$E$64,3,FALSE))</f>
        <v>0</v>
      </c>
      <c r="Z1868" cm="1">
        <f t="array" ref="Z1868">IFERROR(IF(_xlfn._xlws.FILTER(game_rosters!$J:$J,(game_rosters!$G:$G=events!$AN1868)*(game_rosters!$J:$J=events!$X1868))&gt;0,1,""),"")</f>
        <v>1</v>
      </c>
      <c r="AA1868">
        <f t="shared" si="1813"/>
        <v>1984</v>
      </c>
      <c r="AB1868" t="str">
        <f t="shared" si="1814"/>
        <v/>
      </c>
      <c r="AC1868">
        <f t="shared" si="1852"/>
        <v>1984</v>
      </c>
      <c r="AD1868" s="6">
        <v>3</v>
      </c>
      <c r="AE1868" t="s">
        <v>926</v>
      </c>
      <c r="AF1868" t="s">
        <v>737</v>
      </c>
      <c r="AG1868" t="s">
        <v>926</v>
      </c>
      <c r="AH1868" t="s">
        <v>923</v>
      </c>
      <c r="AI1868" t="s">
        <v>367</v>
      </c>
      <c r="AJ1868" t="str">
        <f t="shared" ref="AJ1868:AK1868" si="1886">IF($J1868&lt;&gt;"",$J1868,IF($AC1868=$AC1867,AJ1867,""))</f>
        <v/>
      </c>
      <c r="AK1868" t="str">
        <f t="shared" si="1886"/>
        <v/>
      </c>
      <c r="AL1868" t="str">
        <f t="shared" si="1857"/>
        <v/>
      </c>
      <c r="AN1868" t="s">
        <v>861</v>
      </c>
      <c r="AO1868" t="str">
        <f t="shared" si="1858"/>
        <v>h</v>
      </c>
      <c r="AP1868" t="str">
        <f t="shared" si="1866"/>
        <v/>
      </c>
      <c r="AQ1868" t="str">
        <f t="shared" si="1867"/>
        <v/>
      </c>
      <c r="AR1868" t="str">
        <f t="shared" si="1868"/>
        <v>Home</v>
      </c>
      <c r="AS1868" t="str">
        <f t="shared" si="1869"/>
        <v>h</v>
      </c>
      <c r="AT1868" t="str">
        <f t="shared" si="1870"/>
        <v>Offensive</v>
      </c>
      <c r="BA1868" s="6">
        <f t="shared" si="1859"/>
        <v>437</v>
      </c>
      <c r="BB1868">
        <f t="shared" si="1860"/>
        <v>18981</v>
      </c>
      <c r="BC1868" t="str">
        <f t="shared" si="1861"/>
        <v>Nelson</v>
      </c>
      <c r="BD1868" t="str">
        <f t="shared" si="1862"/>
        <v>Velodrome</v>
      </c>
      <c r="BE1868" t="s">
        <v>13</v>
      </c>
      <c r="BF1868" t="s">
        <v>756</v>
      </c>
      <c r="BG1868" t="s">
        <v>756</v>
      </c>
      <c r="BI1868" cm="1">
        <f t="array" aca="1" ref="BI1868" ca="1">IFERROR(_xlfn._xlws.FILTER(shifts!A:A,(shifts!B:B=events!AD1868)*(shifts!AG:AG&gt;=events!BK1868)*(shifts!AH:AH&lt;=events!BL1868)),BI1867)</f>
        <v>82</v>
      </c>
      <c r="BJ1868" s="15">
        <f t="shared" si="1863"/>
        <v>2</v>
      </c>
      <c r="BK1868">
        <f t="shared" si="1871"/>
        <v>826</v>
      </c>
      <c r="BL1868">
        <f t="shared" si="1872"/>
        <v>824</v>
      </c>
      <c r="BM1868" s="15">
        <f>SUMIFS(BJ$2:BJ1868,K$2:K1868,"=Intermission")+SUMIFS(BJ$2:BJ1868,K$2:K1868,"=Timeout")</f>
        <v>142</v>
      </c>
      <c r="BN1868">
        <f t="shared" si="1873"/>
        <v>2302</v>
      </c>
      <c r="BO1868" s="19">
        <f t="shared" si="1874"/>
        <v>2556</v>
      </c>
      <c r="BP1868">
        <f t="shared" si="1875"/>
        <v>2551</v>
      </c>
      <c r="BQ1868" s="17">
        <f t="shared" si="1876"/>
        <v>2558</v>
      </c>
      <c r="BR1868" t="str">
        <f t="shared" si="1877"/>
        <v>event_team_player_1</v>
      </c>
      <c r="BS1868">
        <f>COUNTIFS(S$3:S1868,"="&amp;S1868,AI$3:AI1868,"="&amp;AI1868)</f>
        <v>1</v>
      </c>
      <c r="BT1868" t="str">
        <f>IFERROR(VLOOKUP(BB1868&amp;BU1868&amp;X1868,game_rosters!U:W,3,FALSE),"")</f>
        <v>P100119</v>
      </c>
      <c r="BU1868" t="str">
        <f t="shared" si="1878"/>
        <v>Nelson</v>
      </c>
    </row>
    <row r="1869" spans="1:73" x14ac:dyDescent="0.2">
      <c r="A1869">
        <f t="shared" si="1864"/>
        <v>1</v>
      </c>
      <c r="J1869" s="44" t="str">
        <f t="shared" si="1879"/>
        <v/>
      </c>
      <c r="K1869" t="s">
        <v>13</v>
      </c>
      <c r="L1869" t="s">
        <v>756</v>
      </c>
      <c r="M1869" t="s">
        <v>756</v>
      </c>
      <c r="S1869">
        <v>984</v>
      </c>
      <c r="W1869" t="str">
        <f t="shared" si="1855"/>
        <v>h</v>
      </c>
      <c r="X1869">
        <v>42</v>
      </c>
      <c r="Y1869" t="e">
        <f>IF(X1869&lt;&gt;"",VLOOKUP(X1869,game_rosters!$C$43:$E$64,3,FALSE))</f>
        <v>#N/A</v>
      </c>
      <c r="Z1869" t="str" cm="1">
        <f t="array" ref="Z1869">IFERROR(IF(_xlfn._xlws.FILTER(game_rosters!$J:$J,(game_rosters!$G:$G=events!$AN1869)*(game_rosters!$J:$J=events!$X1869))&gt;0,1,""),"")</f>
        <v/>
      </c>
      <c r="AA1869">
        <f t="shared" si="1813"/>
        <v>1984</v>
      </c>
      <c r="AB1869" t="str">
        <f t="shared" si="1814"/>
        <v/>
      </c>
      <c r="AC1869">
        <f t="shared" si="1852"/>
        <v>1984</v>
      </c>
      <c r="AD1869" s="6">
        <v>3</v>
      </c>
      <c r="AE1869" t="s">
        <v>926</v>
      </c>
      <c r="AF1869" t="s">
        <v>737</v>
      </c>
      <c r="AG1869" t="s">
        <v>926</v>
      </c>
      <c r="AH1869" t="s">
        <v>923</v>
      </c>
      <c r="AI1869" t="s">
        <v>368</v>
      </c>
      <c r="AJ1869" t="str">
        <f t="shared" ref="AJ1869:AK1869" si="1887">IF($J1869&lt;&gt;"",$J1869,IF($AC1869=$AC1868,AJ1868,""))</f>
        <v/>
      </c>
      <c r="AK1869" t="str">
        <f t="shared" si="1887"/>
        <v/>
      </c>
      <c r="AL1869" t="str">
        <f t="shared" si="1857"/>
        <v/>
      </c>
      <c r="AN1869" t="s">
        <v>861</v>
      </c>
      <c r="AO1869" t="str">
        <f t="shared" si="1858"/>
        <v>h</v>
      </c>
      <c r="AP1869" t="str">
        <f t="shared" si="1866"/>
        <v/>
      </c>
      <c r="AQ1869" t="str">
        <f t="shared" si="1867"/>
        <v/>
      </c>
      <c r="AR1869" t="str">
        <f t="shared" si="1868"/>
        <v>Home</v>
      </c>
      <c r="AS1869" t="str">
        <f t="shared" si="1869"/>
        <v>h</v>
      </c>
      <c r="AT1869" t="str">
        <f t="shared" si="1870"/>
        <v>Defensive</v>
      </c>
      <c r="BA1869" s="6">
        <f t="shared" si="1859"/>
        <v>437</v>
      </c>
      <c r="BB1869">
        <f t="shared" si="1860"/>
        <v>18981</v>
      </c>
      <c r="BC1869" t="str">
        <f t="shared" si="1861"/>
        <v>Nelson</v>
      </c>
      <c r="BD1869" t="str">
        <f t="shared" si="1862"/>
        <v>Velodrome</v>
      </c>
      <c r="BE1869" t="s">
        <v>13</v>
      </c>
      <c r="BF1869" t="s">
        <v>756</v>
      </c>
      <c r="BG1869" t="s">
        <v>756</v>
      </c>
      <c r="BI1869" cm="1">
        <f t="array" aca="1" ref="BI1869" ca="1">IFERROR(_xlfn._xlws.FILTER(shifts!A:A,(shifts!B:B=events!AD1869)*(shifts!AG:AG&gt;=events!BK1869)*(shifts!AH:AH&lt;=events!BL1869)),BI1868)</f>
        <v>82</v>
      </c>
      <c r="BJ1869" s="15">
        <f t="shared" si="1863"/>
        <v>2</v>
      </c>
      <c r="BK1869">
        <f t="shared" si="1871"/>
        <v>826</v>
      </c>
      <c r="BL1869">
        <f t="shared" si="1872"/>
        <v>824</v>
      </c>
      <c r="BM1869" s="15">
        <f>SUMIFS(BJ$2:BJ1869,K$2:K1869,"=Intermission")+SUMIFS(BJ$2:BJ1869,K$2:K1869,"=Timeout")</f>
        <v>142</v>
      </c>
      <c r="BN1869">
        <f t="shared" si="1873"/>
        <v>2302</v>
      </c>
      <c r="BO1869" s="19">
        <f t="shared" si="1874"/>
        <v>2556</v>
      </c>
      <c r="BP1869">
        <f t="shared" si="1875"/>
        <v>2551</v>
      </c>
      <c r="BQ1869" s="17">
        <f t="shared" si="1876"/>
        <v>2558</v>
      </c>
      <c r="BR1869" t="str">
        <f t="shared" si="1877"/>
        <v>opp_team_player_1</v>
      </c>
      <c r="BS1869">
        <f>COUNTIFS(S$3:S1869,"="&amp;S1869,AI$3:AI1869,"="&amp;AI1869)</f>
        <v>1</v>
      </c>
      <c r="BT1869" t="str">
        <f>IFERROR(VLOOKUP(BB1869&amp;BU1869&amp;X1869,game_rosters!U:W,3,FALSE),"")</f>
        <v>P100201</v>
      </c>
      <c r="BU1869" t="str">
        <f t="shared" si="1878"/>
        <v>Velodrome</v>
      </c>
    </row>
    <row r="1870" spans="1:73" x14ac:dyDescent="0.2">
      <c r="A1870">
        <f t="shared" si="1864"/>
        <v>1</v>
      </c>
      <c r="J1870" s="44" t="str">
        <f t="shared" si="1879"/>
        <v/>
      </c>
      <c r="K1870" t="s">
        <v>9</v>
      </c>
      <c r="L1870" t="s">
        <v>173</v>
      </c>
      <c r="M1870" t="s">
        <v>365</v>
      </c>
      <c r="S1870">
        <v>985</v>
      </c>
      <c r="W1870" t="str">
        <f t="shared" si="1855"/>
        <v>h</v>
      </c>
      <c r="X1870">
        <v>37</v>
      </c>
      <c r="Y1870" t="b">
        <f>IF(X1870&lt;&gt;"",VLOOKUP(X1870,game_rosters!$C$43:$E$64,3,FALSE))</f>
        <v>0</v>
      </c>
      <c r="Z1870" cm="1">
        <f t="array" ref="Z1870">IFERROR(IF(_xlfn._xlws.FILTER(game_rosters!$J:$J,(game_rosters!$G:$G=events!$AN1870)*(game_rosters!$J:$J=events!$X1870))&gt;0,1,""),"")</f>
        <v>1</v>
      </c>
      <c r="AA1870">
        <f t="shared" si="1813"/>
        <v>1985</v>
      </c>
      <c r="AB1870" t="str">
        <f t="shared" si="1814"/>
        <v/>
      </c>
      <c r="AC1870">
        <f t="shared" si="1852"/>
        <v>1985</v>
      </c>
      <c r="AD1870" s="6">
        <v>3</v>
      </c>
      <c r="AE1870" t="s">
        <v>926</v>
      </c>
      <c r="AF1870" t="s">
        <v>923</v>
      </c>
      <c r="AG1870" t="s">
        <v>756</v>
      </c>
      <c r="AH1870" t="s">
        <v>756</v>
      </c>
      <c r="AI1870" t="s">
        <v>367</v>
      </c>
      <c r="AJ1870" t="str">
        <f t="shared" ref="AJ1870:AK1870" si="1888">IF($J1870&lt;&gt;"",$J1870,IF($AC1870=$AC1869,AJ1869,""))</f>
        <v/>
      </c>
      <c r="AK1870" t="str">
        <f t="shared" si="1888"/>
        <v/>
      </c>
      <c r="AL1870" t="str">
        <f t="shared" si="1857"/>
        <v/>
      </c>
      <c r="AN1870" t="s">
        <v>861</v>
      </c>
      <c r="AO1870" t="str">
        <f t="shared" si="1858"/>
        <v>h</v>
      </c>
      <c r="AP1870" t="str">
        <f t="shared" si="1866"/>
        <v/>
      </c>
      <c r="AQ1870" t="str">
        <f t="shared" si="1867"/>
        <v/>
      </c>
      <c r="AR1870" t="str">
        <f t="shared" si="1868"/>
        <v>Home</v>
      </c>
      <c r="AS1870" t="str">
        <f t="shared" si="1869"/>
        <v>h</v>
      </c>
      <c r="AT1870" t="str">
        <f t="shared" si="1870"/>
        <v>Offensive</v>
      </c>
      <c r="BA1870" s="6">
        <f t="shared" si="1859"/>
        <v>437</v>
      </c>
      <c r="BB1870">
        <f t="shared" si="1860"/>
        <v>18981</v>
      </c>
      <c r="BC1870" t="str">
        <f t="shared" si="1861"/>
        <v>Nelson</v>
      </c>
      <c r="BD1870" t="str">
        <f t="shared" si="1862"/>
        <v>Velodrome</v>
      </c>
      <c r="BE1870" t="s">
        <v>9</v>
      </c>
      <c r="BF1870" t="s">
        <v>173</v>
      </c>
      <c r="BG1870" t="s">
        <v>365</v>
      </c>
      <c r="BI1870" cm="1">
        <f t="array" aca="1" ref="BI1870" ca="1">IFERROR(_xlfn._xlws.FILTER(shifts!A:A,(shifts!B:B=events!AD1870)*(shifts!AG:AG&gt;=events!BK1870)*(shifts!AH:AH&lt;=events!BL1870)),BI1869)</f>
        <v>82</v>
      </c>
      <c r="BJ1870" s="15">
        <f t="shared" si="1863"/>
        <v>0</v>
      </c>
      <c r="BK1870">
        <f t="shared" si="1871"/>
        <v>824</v>
      </c>
      <c r="BL1870">
        <f t="shared" si="1872"/>
        <v>824</v>
      </c>
      <c r="BM1870" s="15">
        <f>SUMIFS(BJ$2:BJ1870,K$2:K1870,"=Intermission")+SUMIFS(BJ$2:BJ1870,K$2:K1870,"=Timeout")</f>
        <v>142</v>
      </c>
      <c r="BN1870">
        <f t="shared" si="1873"/>
        <v>2302</v>
      </c>
      <c r="BO1870" s="19">
        <f t="shared" si="1874"/>
        <v>2558</v>
      </c>
      <c r="BP1870">
        <f t="shared" si="1875"/>
        <v>2553</v>
      </c>
      <c r="BQ1870" s="17">
        <f t="shared" si="1876"/>
        <v>2558</v>
      </c>
      <c r="BR1870" t="str">
        <f t="shared" si="1877"/>
        <v>event_team_player_1</v>
      </c>
      <c r="BS1870">
        <f>COUNTIFS(S$3:S1870,"="&amp;S1870,AI$3:AI1870,"="&amp;AI1870)</f>
        <v>1</v>
      </c>
      <c r="BT1870" t="str">
        <f>IFERROR(VLOOKUP(BB1870&amp;BU1870&amp;X1870,game_rosters!U:W,3,FALSE),"")</f>
        <v>P100119</v>
      </c>
      <c r="BU1870" t="str">
        <f t="shared" si="1878"/>
        <v>Nelson</v>
      </c>
    </row>
    <row r="1871" spans="1:73" x14ac:dyDescent="0.2">
      <c r="A1871">
        <f t="shared" si="1864"/>
        <v>1</v>
      </c>
      <c r="J1871" s="44" t="str">
        <f t="shared" si="1879"/>
        <v/>
      </c>
      <c r="K1871" t="s">
        <v>238</v>
      </c>
      <c r="L1871" t="s">
        <v>193</v>
      </c>
      <c r="M1871" t="s">
        <v>91</v>
      </c>
      <c r="S1871">
        <v>986</v>
      </c>
      <c r="W1871" t="str">
        <f t="shared" si="1855"/>
        <v>a</v>
      </c>
      <c r="X1871">
        <v>9</v>
      </c>
      <c r="Y1871" t="e">
        <f>IF(X1871&lt;&gt;"",VLOOKUP(X1871,game_rosters!$C$43:$E$64,3,FALSE))</f>
        <v>#N/A</v>
      </c>
      <c r="Z1871" cm="1">
        <f t="array" ref="Z1871">IFERROR(IF(_xlfn._xlws.FILTER(game_rosters!$J:$J,(game_rosters!$G:$G=events!$AN1871)*(game_rosters!$J:$J=events!$X1871))&gt;0,1,""),"")</f>
        <v>1</v>
      </c>
      <c r="AA1871">
        <f t="shared" si="1813"/>
        <v>1986</v>
      </c>
      <c r="AB1871" t="str">
        <f t="shared" si="1814"/>
        <v/>
      </c>
      <c r="AC1871">
        <f t="shared" si="1852"/>
        <v>1986</v>
      </c>
      <c r="AD1871" s="6">
        <v>3</v>
      </c>
      <c r="AE1871" t="s">
        <v>926</v>
      </c>
      <c r="AF1871" t="s">
        <v>923</v>
      </c>
      <c r="AG1871" t="s">
        <v>756</v>
      </c>
      <c r="AH1871" t="s">
        <v>756</v>
      </c>
      <c r="AI1871" t="s">
        <v>367</v>
      </c>
      <c r="AJ1871" t="str">
        <f t="shared" ref="AJ1871:AK1871" si="1889">IF($J1871&lt;&gt;"",$J1871,IF($AC1871=$AC1870,AJ1870,""))</f>
        <v/>
      </c>
      <c r="AK1871" t="str">
        <f t="shared" si="1889"/>
        <v/>
      </c>
      <c r="AL1871" t="str">
        <f t="shared" si="1857"/>
        <v/>
      </c>
      <c r="AN1871" t="s">
        <v>862</v>
      </c>
      <c r="AO1871" t="str">
        <f t="shared" si="1858"/>
        <v>a</v>
      </c>
      <c r="AP1871" t="str">
        <f t="shared" si="1866"/>
        <v/>
      </c>
      <c r="AQ1871" t="str">
        <f t="shared" si="1867"/>
        <v/>
      </c>
      <c r="AR1871" t="str">
        <f t="shared" si="1868"/>
        <v>Away</v>
      </c>
      <c r="AS1871" t="str">
        <f t="shared" si="1869"/>
        <v>a</v>
      </c>
      <c r="AT1871" t="str">
        <f t="shared" si="1870"/>
        <v>Offensive</v>
      </c>
      <c r="BA1871" s="6">
        <f t="shared" si="1859"/>
        <v>437</v>
      </c>
      <c r="BB1871">
        <f t="shared" si="1860"/>
        <v>18981</v>
      </c>
      <c r="BC1871" t="str">
        <f t="shared" si="1861"/>
        <v>Nelson</v>
      </c>
      <c r="BD1871" t="str">
        <f t="shared" si="1862"/>
        <v>Velodrome</v>
      </c>
      <c r="BE1871" t="s">
        <v>238</v>
      </c>
      <c r="BF1871" t="s">
        <v>193</v>
      </c>
      <c r="BG1871" t="s">
        <v>91</v>
      </c>
      <c r="BI1871" cm="1">
        <f t="array" aca="1" ref="BI1871" ca="1">IFERROR(_xlfn._xlws.FILTER(shifts!A:A,(shifts!B:B=events!AD1871)*(shifts!AG:AG&gt;=events!BK1871)*(shifts!AH:AH&lt;=events!BL1871)),BI1870)</f>
        <v>82</v>
      </c>
      <c r="BJ1871" s="15">
        <f t="shared" si="1863"/>
        <v>0</v>
      </c>
      <c r="BK1871">
        <f t="shared" si="1871"/>
        <v>824</v>
      </c>
      <c r="BL1871">
        <f t="shared" si="1872"/>
        <v>824</v>
      </c>
      <c r="BM1871" s="15">
        <f>SUMIFS(BJ$2:BJ1871,K$2:K1871,"=Intermission")+SUMIFS(BJ$2:BJ1871,K$2:K1871,"=Timeout")</f>
        <v>142</v>
      </c>
      <c r="BN1871">
        <f t="shared" si="1873"/>
        <v>2302</v>
      </c>
      <c r="BO1871" s="19">
        <f t="shared" si="1874"/>
        <v>2558</v>
      </c>
      <c r="BP1871">
        <f t="shared" si="1875"/>
        <v>2553</v>
      </c>
      <c r="BQ1871" s="17">
        <f t="shared" si="1876"/>
        <v>2558</v>
      </c>
      <c r="BR1871" t="str">
        <f t="shared" si="1877"/>
        <v>event_team_player_1</v>
      </c>
      <c r="BS1871">
        <f>COUNTIFS(S$3:S1871,"="&amp;S1871,AI$3:AI1871,"="&amp;AI1871)</f>
        <v>1</v>
      </c>
      <c r="BT1871" t="str">
        <f>IFERROR(VLOOKUP(BB1871&amp;BU1871&amp;X1871,game_rosters!U:W,3,FALSE),"")</f>
        <v>P100105</v>
      </c>
      <c r="BU1871" t="str">
        <f t="shared" si="1878"/>
        <v>Velodrome</v>
      </c>
    </row>
    <row r="1872" spans="1:73" x14ac:dyDescent="0.2">
      <c r="A1872">
        <f t="shared" si="1864"/>
        <v>1</v>
      </c>
      <c r="J1872" s="44" t="str">
        <f t="shared" si="1879"/>
        <v/>
      </c>
      <c r="K1872" t="s">
        <v>238</v>
      </c>
      <c r="L1872" t="s">
        <v>193</v>
      </c>
      <c r="M1872" t="s">
        <v>91</v>
      </c>
      <c r="S1872">
        <v>986</v>
      </c>
      <c r="W1872" t="str">
        <f t="shared" si="1855"/>
        <v>a</v>
      </c>
      <c r="X1872">
        <v>44</v>
      </c>
      <c r="Y1872" t="b">
        <f>IF(X1872&lt;&gt;"",VLOOKUP(X1872,game_rosters!$C$43:$E$64,3,FALSE))</f>
        <v>0</v>
      </c>
      <c r="Z1872" t="str" cm="1">
        <f t="array" ref="Z1872">IFERROR(IF(_xlfn._xlws.FILTER(game_rosters!$J:$J,(game_rosters!$G:$G=events!$AN1872)*(game_rosters!$J:$J=events!$X1872))&gt;0,1,""),"")</f>
        <v/>
      </c>
      <c r="AA1872">
        <f t="shared" si="1813"/>
        <v>1986</v>
      </c>
      <c r="AB1872" t="str">
        <f t="shared" si="1814"/>
        <v/>
      </c>
      <c r="AC1872">
        <f t="shared" si="1852"/>
        <v>1986</v>
      </c>
      <c r="AD1872" s="6">
        <v>3</v>
      </c>
      <c r="AE1872" t="s">
        <v>926</v>
      </c>
      <c r="AF1872" t="s">
        <v>923</v>
      </c>
      <c r="AG1872" t="s">
        <v>756</v>
      </c>
      <c r="AH1872" t="s">
        <v>756</v>
      </c>
      <c r="AI1872" t="s">
        <v>368</v>
      </c>
      <c r="AJ1872" t="str">
        <f t="shared" ref="AJ1872:AK1872" si="1890">IF($J1872&lt;&gt;"",$J1872,IF($AC1872=$AC1871,AJ1871,""))</f>
        <v/>
      </c>
      <c r="AK1872" t="str">
        <f t="shared" si="1890"/>
        <v/>
      </c>
      <c r="AL1872" t="str">
        <f t="shared" si="1857"/>
        <v/>
      </c>
      <c r="AN1872" t="s">
        <v>862</v>
      </c>
      <c r="AO1872" t="str">
        <f t="shared" si="1858"/>
        <v>a</v>
      </c>
      <c r="AP1872" t="str">
        <f t="shared" si="1866"/>
        <v/>
      </c>
      <c r="AQ1872" t="str">
        <f t="shared" si="1867"/>
        <v/>
      </c>
      <c r="AR1872" t="str">
        <f t="shared" si="1868"/>
        <v>Away</v>
      </c>
      <c r="AS1872" t="str">
        <f t="shared" si="1869"/>
        <v>a</v>
      </c>
      <c r="AT1872" t="str">
        <f t="shared" si="1870"/>
        <v>Defensive</v>
      </c>
      <c r="BA1872" s="6">
        <f t="shared" si="1859"/>
        <v>437</v>
      </c>
      <c r="BB1872">
        <f t="shared" si="1860"/>
        <v>18981</v>
      </c>
      <c r="BC1872" t="str">
        <f t="shared" si="1861"/>
        <v>Nelson</v>
      </c>
      <c r="BD1872" t="str">
        <f t="shared" si="1862"/>
        <v>Velodrome</v>
      </c>
      <c r="BE1872" t="s">
        <v>238</v>
      </c>
      <c r="BF1872" t="s">
        <v>193</v>
      </c>
      <c r="BG1872" t="s">
        <v>91</v>
      </c>
      <c r="BI1872" cm="1">
        <f t="array" aca="1" ref="BI1872" ca="1">IFERROR(_xlfn._xlws.FILTER(shifts!A:A,(shifts!B:B=events!AD1872)*(shifts!AG:AG&gt;=events!BK1872)*(shifts!AH:AH&lt;=events!BL1872)),BI1871)</f>
        <v>82</v>
      </c>
      <c r="BJ1872" s="15">
        <f t="shared" si="1863"/>
        <v>0</v>
      </c>
      <c r="BK1872">
        <f t="shared" si="1871"/>
        <v>824</v>
      </c>
      <c r="BL1872">
        <f t="shared" si="1872"/>
        <v>824</v>
      </c>
      <c r="BM1872" s="15">
        <f>SUMIFS(BJ$2:BJ1872,K$2:K1872,"=Intermission")+SUMIFS(BJ$2:BJ1872,K$2:K1872,"=Timeout")</f>
        <v>142</v>
      </c>
      <c r="BN1872">
        <f t="shared" si="1873"/>
        <v>2302</v>
      </c>
      <c r="BO1872" s="19">
        <f t="shared" si="1874"/>
        <v>2558</v>
      </c>
      <c r="BP1872">
        <f t="shared" si="1875"/>
        <v>2553</v>
      </c>
      <c r="BQ1872" s="17">
        <f t="shared" si="1876"/>
        <v>2558</v>
      </c>
      <c r="BR1872" t="str">
        <f t="shared" si="1877"/>
        <v>opp_team_player_1</v>
      </c>
      <c r="BS1872">
        <f>COUNTIFS(S$3:S1872,"="&amp;S1872,AI$3:AI1872,"="&amp;AI1872)</f>
        <v>1</v>
      </c>
      <c r="BT1872" t="str">
        <f>IFERROR(VLOOKUP(BB1872&amp;BU1872&amp;X1872,game_rosters!U:W,3,FALSE),"")</f>
        <v>P100079</v>
      </c>
      <c r="BU1872" t="str">
        <f t="shared" si="1878"/>
        <v>Nelson</v>
      </c>
    </row>
    <row r="1873" spans="1:73" x14ac:dyDescent="0.2">
      <c r="A1873">
        <f t="shared" si="1864"/>
        <v>1</v>
      </c>
      <c r="J1873" s="44" t="str">
        <f t="shared" si="1879"/>
        <v/>
      </c>
      <c r="K1873" t="s">
        <v>13</v>
      </c>
      <c r="L1873" t="s">
        <v>756</v>
      </c>
      <c r="M1873" t="s">
        <v>756</v>
      </c>
      <c r="S1873">
        <v>987</v>
      </c>
      <c r="W1873" t="str">
        <f t="shared" si="1855"/>
        <v>a</v>
      </c>
      <c r="X1873">
        <v>9</v>
      </c>
      <c r="Y1873" t="e">
        <f>IF(X1873&lt;&gt;"",VLOOKUP(X1873,game_rosters!$C$43:$E$64,3,FALSE))</f>
        <v>#N/A</v>
      </c>
      <c r="Z1873" cm="1">
        <f t="array" ref="Z1873">IFERROR(IF(_xlfn._xlws.FILTER(game_rosters!$J:$J,(game_rosters!$G:$G=events!$AN1873)*(game_rosters!$J:$J=events!$X1873))&gt;0,1,""),"")</f>
        <v>1</v>
      </c>
      <c r="AA1873">
        <f t="shared" si="1813"/>
        <v>1987</v>
      </c>
      <c r="AB1873" t="str">
        <f t="shared" si="1814"/>
        <v/>
      </c>
      <c r="AC1873">
        <f t="shared" si="1852"/>
        <v>1987</v>
      </c>
      <c r="AD1873" s="6">
        <v>3</v>
      </c>
      <c r="AE1873" t="s">
        <v>926</v>
      </c>
      <c r="AF1873" t="s">
        <v>923</v>
      </c>
      <c r="AG1873" t="s">
        <v>926</v>
      </c>
      <c r="AH1873" t="s">
        <v>902</v>
      </c>
      <c r="AI1873" t="s">
        <v>367</v>
      </c>
      <c r="AJ1873" t="str">
        <f t="shared" ref="AJ1873:AK1873" si="1891">IF($J1873&lt;&gt;"",$J1873,IF($AC1873=$AC1872,AJ1872,""))</f>
        <v/>
      </c>
      <c r="AK1873" t="str">
        <f t="shared" si="1891"/>
        <v/>
      </c>
      <c r="AL1873" t="str">
        <f t="shared" si="1857"/>
        <v/>
      </c>
      <c r="AN1873" t="s">
        <v>862</v>
      </c>
      <c r="AO1873" t="str">
        <f t="shared" si="1858"/>
        <v>a</v>
      </c>
      <c r="AP1873" t="str">
        <f t="shared" si="1866"/>
        <v/>
      </c>
      <c r="AQ1873" t="str">
        <f t="shared" si="1867"/>
        <v/>
      </c>
      <c r="AR1873" t="str">
        <f t="shared" si="1868"/>
        <v>Away</v>
      </c>
      <c r="AS1873" t="str">
        <f t="shared" si="1869"/>
        <v>a</v>
      </c>
      <c r="AT1873" t="str">
        <f t="shared" si="1870"/>
        <v>Offensive</v>
      </c>
      <c r="BA1873" s="6">
        <f t="shared" si="1859"/>
        <v>437</v>
      </c>
      <c r="BB1873">
        <f t="shared" si="1860"/>
        <v>18981</v>
      </c>
      <c r="BC1873" t="str">
        <f t="shared" si="1861"/>
        <v>Nelson</v>
      </c>
      <c r="BD1873" t="str">
        <f t="shared" si="1862"/>
        <v>Velodrome</v>
      </c>
      <c r="BE1873" t="s">
        <v>13</v>
      </c>
      <c r="BF1873" t="s">
        <v>756</v>
      </c>
      <c r="BG1873" t="s">
        <v>756</v>
      </c>
      <c r="BI1873" cm="1">
        <f t="array" aca="1" ref="BI1873" ca="1">IFERROR(_xlfn._xlws.FILTER(shifts!A:A,(shifts!B:B=events!AD1873)*(shifts!AG:AG&gt;=events!BK1873)*(shifts!AH:AH&lt;=events!BL1873)),BI1872)</f>
        <v>82</v>
      </c>
      <c r="BJ1873" s="15">
        <f t="shared" si="1863"/>
        <v>2</v>
      </c>
      <c r="BK1873">
        <f t="shared" si="1871"/>
        <v>824</v>
      </c>
      <c r="BL1873">
        <f t="shared" si="1872"/>
        <v>822</v>
      </c>
      <c r="BM1873" s="15">
        <f>SUMIFS(BJ$2:BJ1873,K$2:K1873,"=Intermission")+SUMIFS(BJ$2:BJ1873,K$2:K1873,"=Timeout")</f>
        <v>142</v>
      </c>
      <c r="BN1873">
        <f t="shared" si="1873"/>
        <v>2302</v>
      </c>
      <c r="BO1873" s="19">
        <f t="shared" si="1874"/>
        <v>2558</v>
      </c>
      <c r="BP1873">
        <f t="shared" si="1875"/>
        <v>2553</v>
      </c>
      <c r="BQ1873" s="17">
        <f t="shared" si="1876"/>
        <v>2560</v>
      </c>
      <c r="BR1873" t="str">
        <f t="shared" si="1877"/>
        <v>event_team_player_1</v>
      </c>
      <c r="BS1873">
        <f>COUNTIFS(S$3:S1873,"="&amp;S1873,AI$3:AI1873,"="&amp;AI1873)</f>
        <v>1</v>
      </c>
      <c r="BT1873" t="str">
        <f>IFERROR(VLOOKUP(BB1873&amp;BU1873&amp;X1873,game_rosters!U:W,3,FALSE),"")</f>
        <v>P100105</v>
      </c>
      <c r="BU1873" t="str">
        <f t="shared" si="1878"/>
        <v>Velodrome</v>
      </c>
    </row>
    <row r="1874" spans="1:73" x14ac:dyDescent="0.2">
      <c r="A1874">
        <f t="shared" si="1864"/>
        <v>1</v>
      </c>
      <c r="J1874" s="44" t="str">
        <f t="shared" si="1879"/>
        <v/>
      </c>
      <c r="K1874" t="s">
        <v>13</v>
      </c>
      <c r="L1874" t="s">
        <v>756</v>
      </c>
      <c r="M1874" t="s">
        <v>756</v>
      </c>
      <c r="S1874">
        <v>987</v>
      </c>
      <c r="W1874" t="str">
        <f t="shared" si="1855"/>
        <v>a</v>
      </c>
      <c r="X1874">
        <v>44</v>
      </c>
      <c r="Y1874" t="b">
        <f>IF(X1874&lt;&gt;"",VLOOKUP(X1874,game_rosters!$C$43:$E$64,3,FALSE))</f>
        <v>0</v>
      </c>
      <c r="Z1874" t="str" cm="1">
        <f t="array" ref="Z1874">IFERROR(IF(_xlfn._xlws.FILTER(game_rosters!$J:$J,(game_rosters!$G:$G=events!$AN1874)*(game_rosters!$J:$J=events!$X1874))&gt;0,1,""),"")</f>
        <v/>
      </c>
      <c r="AA1874">
        <f t="shared" si="1813"/>
        <v>1987</v>
      </c>
      <c r="AB1874" t="str">
        <f t="shared" si="1814"/>
        <v/>
      </c>
      <c r="AC1874">
        <f t="shared" si="1852"/>
        <v>1987</v>
      </c>
      <c r="AD1874" s="6">
        <v>3</v>
      </c>
      <c r="AE1874" t="s">
        <v>926</v>
      </c>
      <c r="AF1874" t="s">
        <v>923</v>
      </c>
      <c r="AG1874" t="s">
        <v>926</v>
      </c>
      <c r="AH1874" t="s">
        <v>902</v>
      </c>
      <c r="AI1874" t="s">
        <v>368</v>
      </c>
      <c r="AJ1874" t="str">
        <f t="shared" ref="AJ1874:AK1874" si="1892">IF($J1874&lt;&gt;"",$J1874,IF($AC1874=$AC1873,AJ1873,""))</f>
        <v/>
      </c>
      <c r="AK1874" t="str">
        <f t="shared" si="1892"/>
        <v/>
      </c>
      <c r="AL1874" t="str">
        <f t="shared" si="1857"/>
        <v/>
      </c>
      <c r="AN1874" t="s">
        <v>862</v>
      </c>
      <c r="AO1874" t="str">
        <f t="shared" si="1858"/>
        <v>a</v>
      </c>
      <c r="AP1874" t="str">
        <f t="shared" si="1866"/>
        <v/>
      </c>
      <c r="AQ1874" t="str">
        <f t="shared" si="1867"/>
        <v/>
      </c>
      <c r="AR1874" t="str">
        <f t="shared" si="1868"/>
        <v>Away</v>
      </c>
      <c r="AS1874" t="str">
        <f t="shared" si="1869"/>
        <v>a</v>
      </c>
      <c r="AT1874" t="str">
        <f t="shared" si="1870"/>
        <v>Defensive</v>
      </c>
      <c r="BA1874" s="6">
        <f t="shared" si="1859"/>
        <v>437</v>
      </c>
      <c r="BB1874">
        <f t="shared" si="1860"/>
        <v>18981</v>
      </c>
      <c r="BC1874" t="str">
        <f t="shared" si="1861"/>
        <v>Nelson</v>
      </c>
      <c r="BD1874" t="str">
        <f t="shared" si="1862"/>
        <v>Velodrome</v>
      </c>
      <c r="BE1874" t="s">
        <v>13</v>
      </c>
      <c r="BF1874" t="s">
        <v>756</v>
      </c>
      <c r="BG1874" t="s">
        <v>756</v>
      </c>
      <c r="BI1874" cm="1">
        <f t="array" aca="1" ref="BI1874" ca="1">IFERROR(_xlfn._xlws.FILTER(shifts!A:A,(shifts!B:B=events!AD1874)*(shifts!AG:AG&gt;=events!BK1874)*(shifts!AH:AH&lt;=events!BL1874)),BI1873)</f>
        <v>82</v>
      </c>
      <c r="BJ1874" s="15">
        <f t="shared" si="1863"/>
        <v>2</v>
      </c>
      <c r="BK1874">
        <f t="shared" si="1871"/>
        <v>824</v>
      </c>
      <c r="BL1874">
        <f t="shared" si="1872"/>
        <v>822</v>
      </c>
      <c r="BM1874" s="15">
        <f>SUMIFS(BJ$2:BJ1874,K$2:K1874,"=Intermission")+SUMIFS(BJ$2:BJ1874,K$2:K1874,"=Timeout")</f>
        <v>142</v>
      </c>
      <c r="BN1874">
        <f t="shared" si="1873"/>
        <v>2302</v>
      </c>
      <c r="BO1874" s="19">
        <f t="shared" si="1874"/>
        <v>2558</v>
      </c>
      <c r="BP1874">
        <f t="shared" si="1875"/>
        <v>2553</v>
      </c>
      <c r="BQ1874" s="17">
        <f t="shared" si="1876"/>
        <v>2560</v>
      </c>
      <c r="BR1874" t="str">
        <f t="shared" si="1877"/>
        <v>opp_team_player_1</v>
      </c>
      <c r="BS1874">
        <f>COUNTIFS(S$3:S1874,"="&amp;S1874,AI$3:AI1874,"="&amp;AI1874)</f>
        <v>1</v>
      </c>
      <c r="BT1874" t="str">
        <f>IFERROR(VLOOKUP(BB1874&amp;BU1874&amp;X1874,game_rosters!U:W,3,FALSE),"")</f>
        <v>P100079</v>
      </c>
      <c r="BU1874" t="str">
        <f t="shared" si="1878"/>
        <v>Nelson</v>
      </c>
    </row>
    <row r="1875" spans="1:73" x14ac:dyDescent="0.2">
      <c r="A1875">
        <f t="shared" si="1864"/>
        <v>1</v>
      </c>
      <c r="J1875" s="44" t="str">
        <f t="shared" si="1879"/>
        <v>o</v>
      </c>
      <c r="K1875" t="s">
        <v>6</v>
      </c>
      <c r="L1875" t="s">
        <v>191</v>
      </c>
      <c r="M1875" t="s">
        <v>51</v>
      </c>
      <c r="S1875">
        <v>988</v>
      </c>
      <c r="W1875" t="str">
        <f t="shared" si="1855"/>
        <v>a</v>
      </c>
      <c r="X1875">
        <v>9</v>
      </c>
      <c r="Y1875" t="e">
        <f>IF(X1875&lt;&gt;"",VLOOKUP(X1875,game_rosters!$C$43:$E$64,3,FALSE))</f>
        <v>#N/A</v>
      </c>
      <c r="Z1875" cm="1">
        <f t="array" ref="Z1875">IFERROR(IF(_xlfn._xlws.FILTER(game_rosters!$J:$J,(game_rosters!$G:$G=events!$AN1875)*(game_rosters!$J:$J=events!$X1875))&gt;0,1,""),"")</f>
        <v>1</v>
      </c>
      <c r="AA1875">
        <f t="shared" si="1813"/>
        <v>1988</v>
      </c>
      <c r="AB1875" t="str">
        <f t="shared" si="1814"/>
        <v/>
      </c>
      <c r="AC1875">
        <f t="shared" si="1852"/>
        <v>1988</v>
      </c>
      <c r="AD1875" s="6">
        <v>3</v>
      </c>
      <c r="AE1875" t="s">
        <v>926</v>
      </c>
      <c r="AF1875" t="s">
        <v>902</v>
      </c>
      <c r="AG1875" t="s">
        <v>756</v>
      </c>
      <c r="AH1875" t="s">
        <v>756</v>
      </c>
      <c r="AI1875" t="s">
        <v>367</v>
      </c>
      <c r="AJ1875" t="str">
        <f t="shared" ref="AJ1875:AK1875" si="1893">IF($J1875&lt;&gt;"",$J1875,IF($AC1875=$AC1874,AJ1874,""))</f>
        <v>o</v>
      </c>
      <c r="AK1875" t="str">
        <f t="shared" si="1893"/>
        <v>o</v>
      </c>
      <c r="AL1875" t="str">
        <f t="shared" si="1857"/>
        <v>d</v>
      </c>
      <c r="AN1875" t="s">
        <v>862</v>
      </c>
      <c r="AO1875" t="str">
        <f t="shared" si="1858"/>
        <v>a</v>
      </c>
      <c r="AP1875" t="str">
        <f t="shared" si="1866"/>
        <v>d</v>
      </c>
      <c r="AQ1875" t="str">
        <f t="shared" si="1867"/>
        <v/>
      </c>
      <c r="AR1875" t="str">
        <f t="shared" si="1868"/>
        <v>Away</v>
      </c>
      <c r="AS1875" t="str">
        <f t="shared" si="1869"/>
        <v>a</v>
      </c>
      <c r="AT1875" t="str">
        <f t="shared" si="1870"/>
        <v>Offensive</v>
      </c>
      <c r="BA1875" s="6">
        <f t="shared" si="1859"/>
        <v>437</v>
      </c>
      <c r="BB1875">
        <f t="shared" si="1860"/>
        <v>18981</v>
      </c>
      <c r="BC1875" t="str">
        <f t="shared" si="1861"/>
        <v>Nelson</v>
      </c>
      <c r="BD1875" t="str">
        <f t="shared" si="1862"/>
        <v>Velodrome</v>
      </c>
      <c r="BE1875" t="s">
        <v>6</v>
      </c>
      <c r="BF1875" t="s">
        <v>191</v>
      </c>
      <c r="BG1875" t="s">
        <v>51</v>
      </c>
      <c r="BI1875" cm="1">
        <f t="array" aca="1" ref="BI1875" ca="1">IFERROR(_xlfn._xlws.FILTER(shifts!A:A,(shifts!B:B=events!AD1875)*(shifts!AG:AG&gt;=events!BK1875)*(shifts!AH:AH&lt;=events!BL1875)),BI1874)</f>
        <v>82</v>
      </c>
      <c r="BJ1875" s="15">
        <f t="shared" si="1863"/>
        <v>0</v>
      </c>
      <c r="BK1875">
        <f t="shared" si="1871"/>
        <v>822</v>
      </c>
      <c r="BL1875">
        <f t="shared" si="1872"/>
        <v>822</v>
      </c>
      <c r="BM1875" s="15">
        <f>SUMIFS(BJ$2:BJ1875,K$2:K1875,"=Intermission")+SUMIFS(BJ$2:BJ1875,K$2:K1875,"=Timeout")</f>
        <v>142</v>
      </c>
      <c r="BN1875">
        <f t="shared" si="1873"/>
        <v>2302</v>
      </c>
      <c r="BO1875" s="19">
        <f t="shared" si="1874"/>
        <v>2560</v>
      </c>
      <c r="BP1875">
        <f t="shared" si="1875"/>
        <v>2555</v>
      </c>
      <c r="BQ1875" s="17">
        <f t="shared" si="1876"/>
        <v>2560</v>
      </c>
      <c r="BR1875" t="str">
        <f t="shared" si="1877"/>
        <v>event_team_player_1</v>
      </c>
      <c r="BS1875">
        <f>COUNTIFS(S$3:S1875,"="&amp;S1875,AI$3:AI1875,"="&amp;AI1875)</f>
        <v>1</v>
      </c>
      <c r="BT1875" t="str">
        <f>IFERROR(VLOOKUP(BB1875&amp;BU1875&amp;X1875,game_rosters!U:W,3,FALSE),"")</f>
        <v>P100105</v>
      </c>
      <c r="BU1875" t="str">
        <f t="shared" si="1878"/>
        <v>Velodrome</v>
      </c>
    </row>
    <row r="1876" spans="1:73" x14ac:dyDescent="0.2">
      <c r="A1876">
        <f t="shared" si="1864"/>
        <v>1</v>
      </c>
      <c r="J1876" s="44" t="str">
        <f t="shared" si="1879"/>
        <v>o</v>
      </c>
      <c r="K1876" t="s">
        <v>6</v>
      </c>
      <c r="L1876" t="s">
        <v>191</v>
      </c>
      <c r="M1876" t="s">
        <v>51</v>
      </c>
      <c r="S1876">
        <v>988</v>
      </c>
      <c r="W1876" t="str">
        <f t="shared" si="1855"/>
        <v>a</v>
      </c>
      <c r="X1876">
        <v>44</v>
      </c>
      <c r="Y1876" t="b">
        <f>IF(X1876&lt;&gt;"",VLOOKUP(X1876,game_rosters!$C$43:$E$64,3,FALSE))</f>
        <v>0</v>
      </c>
      <c r="Z1876" t="str" cm="1">
        <f t="array" ref="Z1876">IFERROR(IF(_xlfn._xlws.FILTER(game_rosters!$J:$J,(game_rosters!$G:$G=events!$AN1876)*(game_rosters!$J:$J=events!$X1876))&gt;0,1,""),"")</f>
        <v/>
      </c>
      <c r="AA1876">
        <f t="shared" si="1813"/>
        <v>1988</v>
      </c>
      <c r="AB1876" t="str">
        <f t="shared" si="1814"/>
        <v/>
      </c>
      <c r="AC1876">
        <f t="shared" si="1852"/>
        <v>1988</v>
      </c>
      <c r="AD1876" s="6">
        <v>3</v>
      </c>
      <c r="AE1876" t="s">
        <v>926</v>
      </c>
      <c r="AF1876" t="s">
        <v>902</v>
      </c>
      <c r="AG1876" t="s">
        <v>756</v>
      </c>
      <c r="AH1876" t="s">
        <v>756</v>
      </c>
      <c r="AI1876" t="s">
        <v>368</v>
      </c>
      <c r="AJ1876" t="str">
        <f t="shared" ref="AJ1876:AK1876" si="1894">IF($J1876&lt;&gt;"",$J1876,IF($AC1876=$AC1875,AJ1875,""))</f>
        <v>o</v>
      </c>
      <c r="AK1876" t="str">
        <f t="shared" si="1894"/>
        <v>o</v>
      </c>
      <c r="AL1876" t="str">
        <f t="shared" si="1857"/>
        <v>d</v>
      </c>
      <c r="AN1876" t="s">
        <v>862</v>
      </c>
      <c r="AO1876" t="str">
        <f t="shared" si="1858"/>
        <v>a</v>
      </c>
      <c r="AP1876" t="str">
        <f t="shared" si="1866"/>
        <v>d</v>
      </c>
      <c r="AQ1876" t="str">
        <f t="shared" si="1867"/>
        <v/>
      </c>
      <c r="AR1876" t="str">
        <f t="shared" si="1868"/>
        <v>Away</v>
      </c>
      <c r="AS1876" t="str">
        <f t="shared" si="1869"/>
        <v>a</v>
      </c>
      <c r="AT1876" t="str">
        <f t="shared" si="1870"/>
        <v>Defensive</v>
      </c>
      <c r="BA1876" s="6">
        <f t="shared" si="1859"/>
        <v>437</v>
      </c>
      <c r="BB1876">
        <f t="shared" si="1860"/>
        <v>18981</v>
      </c>
      <c r="BC1876" t="str">
        <f t="shared" si="1861"/>
        <v>Nelson</v>
      </c>
      <c r="BD1876" t="str">
        <f t="shared" si="1862"/>
        <v>Velodrome</v>
      </c>
      <c r="BE1876" t="s">
        <v>6</v>
      </c>
      <c r="BF1876" t="s">
        <v>191</v>
      </c>
      <c r="BG1876" t="s">
        <v>51</v>
      </c>
      <c r="BI1876" cm="1">
        <f t="array" aca="1" ref="BI1876" ca="1">IFERROR(_xlfn._xlws.FILTER(shifts!A:A,(shifts!B:B=events!AD1876)*(shifts!AG:AG&gt;=events!BK1876)*(shifts!AH:AH&lt;=events!BL1876)),BI1875)</f>
        <v>82</v>
      </c>
      <c r="BJ1876" s="15">
        <f t="shared" si="1863"/>
        <v>0</v>
      </c>
      <c r="BK1876">
        <f t="shared" si="1871"/>
        <v>822</v>
      </c>
      <c r="BL1876">
        <f t="shared" si="1872"/>
        <v>822</v>
      </c>
      <c r="BM1876" s="15">
        <f>SUMIFS(BJ$2:BJ1876,K$2:K1876,"=Intermission")+SUMIFS(BJ$2:BJ1876,K$2:K1876,"=Timeout")</f>
        <v>142</v>
      </c>
      <c r="BN1876">
        <f t="shared" si="1873"/>
        <v>2302</v>
      </c>
      <c r="BO1876" s="19">
        <f t="shared" si="1874"/>
        <v>2560</v>
      </c>
      <c r="BP1876">
        <f t="shared" si="1875"/>
        <v>2555</v>
      </c>
      <c r="BQ1876" s="17">
        <f t="shared" si="1876"/>
        <v>2560</v>
      </c>
      <c r="BR1876" t="str">
        <f t="shared" si="1877"/>
        <v>opp_team_player_1</v>
      </c>
      <c r="BS1876">
        <f>COUNTIFS(S$3:S1876,"="&amp;S1876,AI$3:AI1876,"="&amp;AI1876)</f>
        <v>1</v>
      </c>
      <c r="BT1876" t="str">
        <f>IFERROR(VLOOKUP(BB1876&amp;BU1876&amp;X1876,game_rosters!U:W,3,FALSE),"")</f>
        <v>P100079</v>
      </c>
      <c r="BU1876" t="str">
        <f t="shared" si="1878"/>
        <v>Nelson</v>
      </c>
    </row>
    <row r="1877" spans="1:73" x14ac:dyDescent="0.2">
      <c r="A1877">
        <f t="shared" si="1864"/>
        <v>1</v>
      </c>
      <c r="J1877" s="44" t="str">
        <f t="shared" si="1879"/>
        <v/>
      </c>
      <c r="K1877" t="s">
        <v>13</v>
      </c>
      <c r="L1877" t="s">
        <v>756</v>
      </c>
      <c r="M1877" t="s">
        <v>756</v>
      </c>
      <c r="S1877">
        <v>989</v>
      </c>
      <c r="W1877" t="str">
        <f t="shared" si="1855"/>
        <v>a</v>
      </c>
      <c r="X1877">
        <v>24</v>
      </c>
      <c r="Y1877" t="e">
        <f>IF(X1877&lt;&gt;"",VLOOKUP(X1877,game_rosters!$C$43:$E$64,3,FALSE))</f>
        <v>#N/A</v>
      </c>
      <c r="Z1877" cm="1">
        <f t="array" ref="Z1877">IFERROR(IF(_xlfn._xlws.FILTER(game_rosters!$J:$J,(game_rosters!$G:$G=events!$AN1877)*(game_rosters!$J:$J=events!$X1877))&gt;0,1,""),"")</f>
        <v>1</v>
      </c>
      <c r="AA1877">
        <f t="shared" si="1813"/>
        <v>1989</v>
      </c>
      <c r="AB1877" t="str">
        <f t="shared" si="1814"/>
        <v/>
      </c>
      <c r="AC1877">
        <f t="shared" si="1852"/>
        <v>1989</v>
      </c>
      <c r="AD1877" s="6">
        <v>3</v>
      </c>
      <c r="AE1877" t="s">
        <v>926</v>
      </c>
      <c r="AF1877" t="s">
        <v>924</v>
      </c>
      <c r="AG1877" t="s">
        <v>926</v>
      </c>
      <c r="AH1877" t="s">
        <v>749</v>
      </c>
      <c r="AI1877" t="s">
        <v>367</v>
      </c>
      <c r="AJ1877" t="str">
        <f t="shared" ref="AJ1877:AK1877" si="1895">IF($J1877&lt;&gt;"",$J1877,IF($AC1877=$AC1876,AJ1876,""))</f>
        <v/>
      </c>
      <c r="AK1877" t="str">
        <f t="shared" si="1895"/>
        <v/>
      </c>
      <c r="AL1877" t="str">
        <f t="shared" si="1857"/>
        <v/>
      </c>
      <c r="AN1877" t="s">
        <v>862</v>
      </c>
      <c r="AO1877" t="str">
        <f t="shared" si="1858"/>
        <v>a</v>
      </c>
      <c r="AP1877" t="str">
        <f t="shared" si="1866"/>
        <v/>
      </c>
      <c r="AQ1877" t="str">
        <f t="shared" si="1867"/>
        <v/>
      </c>
      <c r="AR1877" t="str">
        <f t="shared" si="1868"/>
        <v>Away</v>
      </c>
      <c r="AS1877" t="str">
        <f t="shared" si="1869"/>
        <v>a</v>
      </c>
      <c r="AT1877" t="str">
        <f t="shared" si="1870"/>
        <v>Offensive</v>
      </c>
      <c r="BA1877" s="6">
        <f t="shared" si="1859"/>
        <v>437</v>
      </c>
      <c r="BB1877">
        <f t="shared" si="1860"/>
        <v>18981</v>
      </c>
      <c r="BC1877" t="str">
        <f t="shared" si="1861"/>
        <v>Nelson</v>
      </c>
      <c r="BD1877" t="str">
        <f t="shared" si="1862"/>
        <v>Velodrome</v>
      </c>
      <c r="BE1877" t="s">
        <v>13</v>
      </c>
      <c r="BF1877" t="s">
        <v>756</v>
      </c>
      <c r="BG1877" t="s">
        <v>756</v>
      </c>
      <c r="BI1877" cm="1">
        <f t="array" aca="1" ref="BI1877" ca="1">IFERROR(_xlfn._xlws.FILTER(shifts!A:A,(shifts!B:B=events!AD1877)*(shifts!AG:AG&gt;=events!BK1877)*(shifts!AH:AH&lt;=events!BL1877)),BI1876)</f>
        <v>82</v>
      </c>
      <c r="BJ1877" s="15">
        <f t="shared" si="1863"/>
        <v>2</v>
      </c>
      <c r="BK1877">
        <f t="shared" si="1871"/>
        <v>821</v>
      </c>
      <c r="BL1877">
        <f t="shared" si="1872"/>
        <v>819</v>
      </c>
      <c r="BM1877" s="15">
        <f>SUMIFS(BJ$2:BJ1877,K$2:K1877,"=Intermission")+SUMIFS(BJ$2:BJ1877,K$2:K1877,"=Timeout")</f>
        <v>142</v>
      </c>
      <c r="BN1877">
        <f t="shared" si="1873"/>
        <v>2302</v>
      </c>
      <c r="BO1877" s="19">
        <f t="shared" si="1874"/>
        <v>2561</v>
      </c>
      <c r="BP1877">
        <f t="shared" si="1875"/>
        <v>2556</v>
      </c>
      <c r="BQ1877" s="17">
        <f t="shared" si="1876"/>
        <v>2563</v>
      </c>
      <c r="BR1877" t="str">
        <f t="shared" si="1877"/>
        <v>event_team_player_1</v>
      </c>
      <c r="BS1877">
        <f>COUNTIFS(S$3:S1877,"="&amp;S1877,AI$3:AI1877,"="&amp;AI1877)</f>
        <v>1</v>
      </c>
      <c r="BT1877" t="str">
        <f>IFERROR(VLOOKUP(BB1877&amp;BU1877&amp;X1877,game_rosters!U:W,3,FALSE),"")</f>
        <v>P100230</v>
      </c>
      <c r="BU1877" t="str">
        <f t="shared" si="1878"/>
        <v>Velodrome</v>
      </c>
    </row>
    <row r="1878" spans="1:73" x14ac:dyDescent="0.2">
      <c r="A1878">
        <f t="shared" si="1864"/>
        <v>1</v>
      </c>
      <c r="J1878" s="44" t="str">
        <f t="shared" si="1879"/>
        <v/>
      </c>
      <c r="K1878" t="s">
        <v>13</v>
      </c>
      <c r="L1878" t="s">
        <v>756</v>
      </c>
      <c r="M1878" t="s">
        <v>756</v>
      </c>
      <c r="S1878">
        <v>989</v>
      </c>
      <c r="W1878" t="str">
        <f t="shared" si="1855"/>
        <v>a</v>
      </c>
      <c r="X1878">
        <v>37</v>
      </c>
      <c r="Y1878" t="b">
        <f>IF(X1878&lt;&gt;"",VLOOKUP(X1878,game_rosters!$C$43:$E$64,3,FALSE))</f>
        <v>0</v>
      </c>
      <c r="Z1878" t="str" cm="1">
        <f t="array" ref="Z1878">IFERROR(IF(_xlfn._xlws.FILTER(game_rosters!$J:$J,(game_rosters!$G:$G=events!$AN1878)*(game_rosters!$J:$J=events!$X1878))&gt;0,1,""),"")</f>
        <v/>
      </c>
      <c r="AA1878">
        <f t="shared" si="1813"/>
        <v>1989</v>
      </c>
      <c r="AB1878" t="str">
        <f t="shared" si="1814"/>
        <v/>
      </c>
      <c r="AC1878">
        <f t="shared" si="1852"/>
        <v>1989</v>
      </c>
      <c r="AD1878" s="6">
        <v>3</v>
      </c>
      <c r="AE1878" t="s">
        <v>926</v>
      </c>
      <c r="AF1878" t="s">
        <v>924</v>
      </c>
      <c r="AG1878" t="s">
        <v>926</v>
      </c>
      <c r="AH1878" t="s">
        <v>749</v>
      </c>
      <c r="AI1878" t="s">
        <v>368</v>
      </c>
      <c r="AJ1878" t="str">
        <f t="shared" ref="AJ1878:AK1878" si="1896">IF($J1878&lt;&gt;"",$J1878,IF($AC1878=$AC1877,AJ1877,""))</f>
        <v/>
      </c>
      <c r="AK1878" t="str">
        <f t="shared" si="1896"/>
        <v/>
      </c>
      <c r="AL1878" t="str">
        <f t="shared" si="1857"/>
        <v/>
      </c>
      <c r="AN1878" t="s">
        <v>862</v>
      </c>
      <c r="AO1878" t="str">
        <f t="shared" si="1858"/>
        <v>a</v>
      </c>
      <c r="AP1878" t="str">
        <f t="shared" si="1866"/>
        <v/>
      </c>
      <c r="AQ1878" t="str">
        <f t="shared" si="1867"/>
        <v/>
      </c>
      <c r="AR1878" t="str">
        <f t="shared" si="1868"/>
        <v>Away</v>
      </c>
      <c r="AS1878" t="str">
        <f t="shared" si="1869"/>
        <v>a</v>
      </c>
      <c r="AT1878" t="str">
        <f t="shared" si="1870"/>
        <v>Defensive</v>
      </c>
      <c r="BA1878" s="6">
        <f t="shared" si="1859"/>
        <v>437</v>
      </c>
      <c r="BB1878">
        <f t="shared" si="1860"/>
        <v>18981</v>
      </c>
      <c r="BC1878" t="str">
        <f t="shared" si="1861"/>
        <v>Nelson</v>
      </c>
      <c r="BD1878" t="str">
        <f t="shared" si="1862"/>
        <v>Velodrome</v>
      </c>
      <c r="BE1878" t="s">
        <v>13</v>
      </c>
      <c r="BF1878" t="s">
        <v>756</v>
      </c>
      <c r="BG1878" t="s">
        <v>756</v>
      </c>
      <c r="BI1878" cm="1">
        <f t="array" aca="1" ref="BI1878" ca="1">IFERROR(_xlfn._xlws.FILTER(shifts!A:A,(shifts!B:B=events!AD1878)*(shifts!AG:AG&gt;=events!BK1878)*(shifts!AH:AH&lt;=events!BL1878)),BI1877)</f>
        <v>82</v>
      </c>
      <c r="BJ1878" s="15">
        <f t="shared" si="1863"/>
        <v>2</v>
      </c>
      <c r="BK1878">
        <f t="shared" si="1871"/>
        <v>821</v>
      </c>
      <c r="BL1878">
        <f t="shared" si="1872"/>
        <v>819</v>
      </c>
      <c r="BM1878" s="15">
        <f>SUMIFS(BJ$2:BJ1878,K$2:K1878,"=Intermission")+SUMIFS(BJ$2:BJ1878,K$2:K1878,"=Timeout")</f>
        <v>142</v>
      </c>
      <c r="BN1878">
        <f t="shared" si="1873"/>
        <v>2302</v>
      </c>
      <c r="BO1878" s="19">
        <f t="shared" si="1874"/>
        <v>2561</v>
      </c>
      <c r="BP1878">
        <f t="shared" si="1875"/>
        <v>2556</v>
      </c>
      <c r="BQ1878" s="17">
        <f t="shared" si="1876"/>
        <v>2563</v>
      </c>
      <c r="BR1878" t="str">
        <f t="shared" si="1877"/>
        <v>opp_team_player_1</v>
      </c>
      <c r="BS1878">
        <f>COUNTIFS(S$3:S1878,"="&amp;S1878,AI$3:AI1878,"="&amp;AI1878)</f>
        <v>1</v>
      </c>
      <c r="BT1878" t="str">
        <f>IFERROR(VLOOKUP(BB1878&amp;BU1878&amp;X1878,game_rosters!U:W,3,FALSE),"")</f>
        <v>P100119</v>
      </c>
      <c r="BU1878" t="str">
        <f t="shared" si="1878"/>
        <v>Nelson</v>
      </c>
    </row>
    <row r="1879" spans="1:73" x14ac:dyDescent="0.2">
      <c r="A1879">
        <f t="shared" si="1864"/>
        <v>1</v>
      </c>
      <c r="J1879" s="44" t="str">
        <f t="shared" si="1879"/>
        <v/>
      </c>
      <c r="K1879" t="s">
        <v>7</v>
      </c>
      <c r="L1879" t="s">
        <v>192</v>
      </c>
      <c r="M1879" t="s">
        <v>68</v>
      </c>
      <c r="S1879">
        <v>990</v>
      </c>
      <c r="W1879" t="str">
        <f t="shared" si="1855"/>
        <v>a</v>
      </c>
      <c r="X1879">
        <v>24</v>
      </c>
      <c r="Y1879" t="e">
        <f>IF(X1879&lt;&gt;"",VLOOKUP(X1879,game_rosters!$C$43:$E$64,3,FALSE))</f>
        <v>#N/A</v>
      </c>
      <c r="Z1879" cm="1">
        <f t="array" ref="Z1879">IFERROR(IF(_xlfn._xlws.FILTER(game_rosters!$J:$J,(game_rosters!$G:$G=events!$AN1879)*(game_rosters!$J:$J=events!$X1879))&gt;0,1,""),"")</f>
        <v>1</v>
      </c>
      <c r="AA1879">
        <f t="shared" si="1813"/>
        <v>1990</v>
      </c>
      <c r="AB1879" t="str">
        <f t="shared" si="1814"/>
        <v/>
      </c>
      <c r="AC1879">
        <f t="shared" si="1852"/>
        <v>1990</v>
      </c>
      <c r="AD1879" s="6">
        <v>3</v>
      </c>
      <c r="AE1879" t="s">
        <v>926</v>
      </c>
      <c r="AF1879" t="s">
        <v>749</v>
      </c>
      <c r="AG1879" t="s">
        <v>756</v>
      </c>
      <c r="AH1879" t="s">
        <v>756</v>
      </c>
      <c r="AI1879" t="s">
        <v>367</v>
      </c>
      <c r="AJ1879" t="str">
        <f t="shared" ref="AJ1879:AK1879" si="1897">IF($J1879&lt;&gt;"",$J1879,IF($AC1879=$AC1878,AJ1878,""))</f>
        <v/>
      </c>
      <c r="AK1879" t="str">
        <f t="shared" si="1897"/>
        <v/>
      </c>
      <c r="AL1879" t="str">
        <f t="shared" si="1857"/>
        <v/>
      </c>
      <c r="AN1879" t="s">
        <v>862</v>
      </c>
      <c r="AO1879" t="str">
        <f t="shared" si="1858"/>
        <v>a</v>
      </c>
      <c r="AP1879" t="str">
        <f t="shared" si="1866"/>
        <v/>
      </c>
      <c r="AQ1879" t="str">
        <f t="shared" si="1867"/>
        <v/>
      </c>
      <c r="AR1879" t="str">
        <f t="shared" si="1868"/>
        <v>Away</v>
      </c>
      <c r="AS1879" t="str">
        <f t="shared" si="1869"/>
        <v>a</v>
      </c>
      <c r="AT1879" t="str">
        <f t="shared" si="1870"/>
        <v>Offensive</v>
      </c>
      <c r="BA1879" s="6">
        <f t="shared" si="1859"/>
        <v>437</v>
      </c>
      <c r="BB1879">
        <f t="shared" si="1860"/>
        <v>18981</v>
      </c>
      <c r="BC1879" t="str">
        <f t="shared" si="1861"/>
        <v>Nelson</v>
      </c>
      <c r="BD1879" t="str">
        <f t="shared" si="1862"/>
        <v>Velodrome</v>
      </c>
      <c r="BE1879" t="s">
        <v>7</v>
      </c>
      <c r="BF1879" t="s">
        <v>192</v>
      </c>
      <c r="BG1879" t="s">
        <v>68</v>
      </c>
      <c r="BI1879" cm="1">
        <f t="array" aca="1" ref="BI1879" ca="1">IFERROR(_xlfn._xlws.FILTER(shifts!A:A,(shifts!B:B=events!AD1879)*(shifts!AG:AG&gt;=events!BK1879)*(shifts!AH:AH&lt;=events!BL1879)),BI1878)</f>
        <v>82</v>
      </c>
      <c r="BJ1879" s="15">
        <f t="shared" si="1863"/>
        <v>0</v>
      </c>
      <c r="BK1879">
        <f t="shared" si="1871"/>
        <v>819</v>
      </c>
      <c r="BL1879">
        <f t="shared" si="1872"/>
        <v>819</v>
      </c>
      <c r="BM1879" s="15">
        <f>SUMIFS(BJ$2:BJ1879,K$2:K1879,"=Intermission")+SUMIFS(BJ$2:BJ1879,K$2:K1879,"=Timeout")</f>
        <v>142</v>
      </c>
      <c r="BN1879">
        <f t="shared" si="1873"/>
        <v>2302</v>
      </c>
      <c r="BO1879" s="19">
        <f t="shared" si="1874"/>
        <v>2563</v>
      </c>
      <c r="BP1879">
        <f t="shared" si="1875"/>
        <v>2558</v>
      </c>
      <c r="BQ1879" s="17">
        <f t="shared" si="1876"/>
        <v>2563</v>
      </c>
      <c r="BR1879" t="str">
        <f t="shared" si="1877"/>
        <v>event_team_player_1</v>
      </c>
      <c r="BS1879">
        <f>COUNTIFS(S$3:S1879,"="&amp;S1879,AI$3:AI1879,"="&amp;AI1879)</f>
        <v>1</v>
      </c>
      <c r="BT1879" t="str">
        <f>IFERROR(VLOOKUP(BB1879&amp;BU1879&amp;X1879,game_rosters!U:W,3,FALSE),"")</f>
        <v>P100230</v>
      </c>
      <c r="BU1879" t="str">
        <f t="shared" si="1878"/>
        <v>Velodrome</v>
      </c>
    </row>
    <row r="1880" spans="1:73" x14ac:dyDescent="0.2">
      <c r="A1880">
        <f t="shared" si="1864"/>
        <v>1</v>
      </c>
      <c r="J1880" s="44" t="str">
        <f t="shared" si="1879"/>
        <v/>
      </c>
      <c r="K1880" t="s">
        <v>7</v>
      </c>
      <c r="L1880" t="s">
        <v>192</v>
      </c>
      <c r="M1880" t="s">
        <v>68</v>
      </c>
      <c r="S1880">
        <v>990</v>
      </c>
      <c r="W1880" t="str">
        <f t="shared" si="1855"/>
        <v>a</v>
      </c>
      <c r="X1880">
        <v>42</v>
      </c>
      <c r="Y1880" t="e">
        <f>IF(X1880&lt;&gt;"",VLOOKUP(X1880,game_rosters!$C$43:$E$64,3,FALSE))</f>
        <v>#N/A</v>
      </c>
      <c r="Z1880" cm="1">
        <f t="array" ref="Z1880">IFERROR(IF(_xlfn._xlws.FILTER(game_rosters!$J:$J,(game_rosters!$G:$G=events!$AN1880)*(game_rosters!$J:$J=events!$X1880))&gt;0,1,""),"")</f>
        <v>1</v>
      </c>
      <c r="AA1880">
        <f t="shared" si="1813"/>
        <v>1990</v>
      </c>
      <c r="AB1880" t="str">
        <f t="shared" si="1814"/>
        <v/>
      </c>
      <c r="AC1880">
        <f t="shared" si="1852"/>
        <v>1990</v>
      </c>
      <c r="AD1880" s="6">
        <v>3</v>
      </c>
      <c r="AE1880" t="s">
        <v>926</v>
      </c>
      <c r="AF1880" t="s">
        <v>749</v>
      </c>
      <c r="AG1880" t="s">
        <v>756</v>
      </c>
      <c r="AH1880" t="s">
        <v>756</v>
      </c>
      <c r="AI1880" t="s">
        <v>367</v>
      </c>
      <c r="AJ1880" t="str">
        <f t="shared" ref="AJ1880:AK1880" si="1898">IF($J1880&lt;&gt;"",$J1880,IF($AC1880=$AC1879,AJ1879,""))</f>
        <v/>
      </c>
      <c r="AK1880" t="str">
        <f t="shared" si="1898"/>
        <v/>
      </c>
      <c r="AL1880" t="str">
        <f t="shared" si="1857"/>
        <v/>
      </c>
      <c r="AN1880" t="s">
        <v>862</v>
      </c>
      <c r="AO1880" t="str">
        <f t="shared" si="1858"/>
        <v>a</v>
      </c>
      <c r="AP1880" t="str">
        <f t="shared" si="1866"/>
        <v/>
      </c>
      <c r="AQ1880" t="str">
        <f t="shared" si="1867"/>
        <v/>
      </c>
      <c r="AR1880" t="str">
        <f t="shared" si="1868"/>
        <v>Away</v>
      </c>
      <c r="AS1880" t="str">
        <f t="shared" si="1869"/>
        <v>a</v>
      </c>
      <c r="AT1880" t="str">
        <f t="shared" si="1870"/>
        <v>Offensive</v>
      </c>
      <c r="BA1880" s="6">
        <f t="shared" si="1859"/>
        <v>437</v>
      </c>
      <c r="BB1880">
        <f t="shared" si="1860"/>
        <v>18981</v>
      </c>
      <c r="BC1880" t="str">
        <f t="shared" si="1861"/>
        <v>Nelson</v>
      </c>
      <c r="BD1880" t="str">
        <f t="shared" si="1862"/>
        <v>Velodrome</v>
      </c>
      <c r="BE1880" t="s">
        <v>7</v>
      </c>
      <c r="BF1880" t="s">
        <v>192</v>
      </c>
      <c r="BG1880" t="s">
        <v>68</v>
      </c>
      <c r="BI1880" cm="1">
        <f t="array" aca="1" ref="BI1880" ca="1">IFERROR(_xlfn._xlws.FILTER(shifts!A:A,(shifts!B:B=events!AD1880)*(shifts!AG:AG&gt;=events!BK1880)*(shifts!AH:AH&lt;=events!BL1880)),BI1879)</f>
        <v>82</v>
      </c>
      <c r="BJ1880" s="15">
        <f t="shared" si="1863"/>
        <v>0</v>
      </c>
      <c r="BK1880">
        <f t="shared" si="1871"/>
        <v>819</v>
      </c>
      <c r="BL1880">
        <f t="shared" si="1872"/>
        <v>819</v>
      </c>
      <c r="BM1880" s="15">
        <f>SUMIFS(BJ$2:BJ1880,K$2:K1880,"=Intermission")+SUMIFS(BJ$2:BJ1880,K$2:K1880,"=Timeout")</f>
        <v>142</v>
      </c>
      <c r="BN1880">
        <f t="shared" si="1873"/>
        <v>2302</v>
      </c>
      <c r="BO1880" s="19">
        <f t="shared" si="1874"/>
        <v>2563</v>
      </c>
      <c r="BP1880">
        <f t="shared" si="1875"/>
        <v>2558</v>
      </c>
      <c r="BQ1880" s="17">
        <f t="shared" si="1876"/>
        <v>2563</v>
      </c>
      <c r="BR1880" t="str">
        <f t="shared" si="1877"/>
        <v>event_team_player_2</v>
      </c>
      <c r="BS1880">
        <f>COUNTIFS(S$3:S1880,"="&amp;S1880,AI$3:AI1880,"="&amp;AI1880)</f>
        <v>2</v>
      </c>
      <c r="BT1880" t="str">
        <f>IFERROR(VLOOKUP(BB1880&amp;BU1880&amp;X1880,game_rosters!U:W,3,FALSE),"")</f>
        <v>P100201</v>
      </c>
      <c r="BU1880" t="str">
        <f t="shared" si="1878"/>
        <v>Velodrome</v>
      </c>
    </row>
    <row r="1881" spans="1:73" x14ac:dyDescent="0.2">
      <c r="A1881">
        <f t="shared" si="1864"/>
        <v>1</v>
      </c>
      <c r="J1881" s="44" t="str">
        <f t="shared" si="1879"/>
        <v/>
      </c>
      <c r="K1881" t="s">
        <v>7</v>
      </c>
      <c r="L1881" t="s">
        <v>192</v>
      </c>
      <c r="M1881" t="s">
        <v>68</v>
      </c>
      <c r="S1881">
        <v>990</v>
      </c>
      <c r="W1881" t="str">
        <f t="shared" si="1855"/>
        <v>a</v>
      </c>
      <c r="X1881">
        <v>37</v>
      </c>
      <c r="Y1881" t="b">
        <f>IF(X1881&lt;&gt;"",VLOOKUP(X1881,game_rosters!$C$43:$E$64,3,FALSE))</f>
        <v>0</v>
      </c>
      <c r="Z1881" t="str" cm="1">
        <f t="array" ref="Z1881">IFERROR(IF(_xlfn._xlws.FILTER(game_rosters!$J:$J,(game_rosters!$G:$G=events!$AN1881)*(game_rosters!$J:$J=events!$X1881))&gt;0,1,""),"")</f>
        <v/>
      </c>
      <c r="AA1881">
        <f t="shared" si="1813"/>
        <v>1990</v>
      </c>
      <c r="AB1881" t="str">
        <f t="shared" si="1814"/>
        <v/>
      </c>
      <c r="AC1881">
        <f t="shared" si="1852"/>
        <v>1990</v>
      </c>
      <c r="AD1881" s="6">
        <v>3</v>
      </c>
      <c r="AE1881" t="s">
        <v>926</v>
      </c>
      <c r="AF1881" t="s">
        <v>749</v>
      </c>
      <c r="AG1881" t="s">
        <v>756</v>
      </c>
      <c r="AH1881" t="s">
        <v>756</v>
      </c>
      <c r="AI1881" t="s">
        <v>368</v>
      </c>
      <c r="AJ1881" t="str">
        <f t="shared" ref="AJ1881:AK1881" si="1899">IF($J1881&lt;&gt;"",$J1881,IF($AC1881=$AC1880,AJ1880,""))</f>
        <v/>
      </c>
      <c r="AK1881" t="str">
        <f t="shared" si="1899"/>
        <v/>
      </c>
      <c r="AL1881" t="str">
        <f t="shared" si="1857"/>
        <v/>
      </c>
      <c r="AN1881" t="s">
        <v>862</v>
      </c>
      <c r="AO1881" t="str">
        <f t="shared" si="1858"/>
        <v>a</v>
      </c>
      <c r="AP1881" t="str">
        <f t="shared" si="1866"/>
        <v/>
      </c>
      <c r="AQ1881" t="str">
        <f t="shared" si="1867"/>
        <v/>
      </c>
      <c r="AR1881" t="str">
        <f t="shared" si="1868"/>
        <v>Away</v>
      </c>
      <c r="AS1881" t="str">
        <f t="shared" si="1869"/>
        <v>a</v>
      </c>
      <c r="AT1881" t="str">
        <f t="shared" si="1870"/>
        <v>Defensive</v>
      </c>
      <c r="BA1881" s="6">
        <f t="shared" si="1859"/>
        <v>437</v>
      </c>
      <c r="BB1881">
        <f t="shared" si="1860"/>
        <v>18981</v>
      </c>
      <c r="BC1881" t="str">
        <f t="shared" si="1861"/>
        <v>Nelson</v>
      </c>
      <c r="BD1881" t="str">
        <f t="shared" si="1862"/>
        <v>Velodrome</v>
      </c>
      <c r="BE1881" t="s">
        <v>7</v>
      </c>
      <c r="BF1881" t="s">
        <v>192</v>
      </c>
      <c r="BG1881" t="s">
        <v>68</v>
      </c>
      <c r="BI1881" cm="1">
        <f t="array" aca="1" ref="BI1881" ca="1">IFERROR(_xlfn._xlws.FILTER(shifts!A:A,(shifts!B:B=events!AD1881)*(shifts!AG:AG&gt;=events!BK1881)*(shifts!AH:AH&lt;=events!BL1881)),BI1880)</f>
        <v>82</v>
      </c>
      <c r="BJ1881" s="15">
        <f t="shared" si="1863"/>
        <v>0</v>
      </c>
      <c r="BK1881">
        <f t="shared" si="1871"/>
        <v>819</v>
      </c>
      <c r="BL1881">
        <f t="shared" si="1872"/>
        <v>819</v>
      </c>
      <c r="BM1881" s="15">
        <f>SUMIFS(BJ$2:BJ1881,K$2:K1881,"=Intermission")+SUMIFS(BJ$2:BJ1881,K$2:K1881,"=Timeout")</f>
        <v>142</v>
      </c>
      <c r="BN1881">
        <f t="shared" si="1873"/>
        <v>2302</v>
      </c>
      <c r="BO1881" s="19">
        <f t="shared" si="1874"/>
        <v>2563</v>
      </c>
      <c r="BP1881">
        <f t="shared" si="1875"/>
        <v>2558</v>
      </c>
      <c r="BQ1881" s="17">
        <f t="shared" si="1876"/>
        <v>2563</v>
      </c>
      <c r="BR1881" t="str">
        <f t="shared" si="1877"/>
        <v>opp_team_player_1</v>
      </c>
      <c r="BS1881">
        <f>COUNTIFS(S$3:S1881,"="&amp;S1881,AI$3:AI1881,"="&amp;AI1881)</f>
        <v>1</v>
      </c>
      <c r="BT1881" t="str">
        <f>IFERROR(VLOOKUP(BB1881&amp;BU1881&amp;X1881,game_rosters!U:W,3,FALSE),"")</f>
        <v>P100119</v>
      </c>
      <c r="BU1881" t="str">
        <f t="shared" si="1878"/>
        <v>Nelson</v>
      </c>
    </row>
    <row r="1882" spans="1:73" x14ac:dyDescent="0.2">
      <c r="A1882">
        <f t="shared" si="1864"/>
        <v>1</v>
      </c>
      <c r="J1882" s="44" t="str">
        <f t="shared" si="1879"/>
        <v/>
      </c>
      <c r="K1882" t="s">
        <v>13</v>
      </c>
      <c r="L1882" t="s">
        <v>756</v>
      </c>
      <c r="M1882" t="s">
        <v>756</v>
      </c>
      <c r="S1882">
        <v>991</v>
      </c>
      <c r="W1882" t="str">
        <f t="shared" si="1855"/>
        <v>a</v>
      </c>
      <c r="X1882">
        <v>91</v>
      </c>
      <c r="Y1882" t="e">
        <f>IF(X1882&lt;&gt;"",VLOOKUP(X1882,game_rosters!$C$43:$E$64,3,FALSE))</f>
        <v>#N/A</v>
      </c>
      <c r="Z1882" cm="1">
        <f t="array" ref="Z1882">IFERROR(IF(_xlfn._xlws.FILTER(game_rosters!$J:$J,(game_rosters!$G:$G=events!$AN1882)*(game_rosters!$J:$J=events!$X1882))&gt;0,1,""),"")</f>
        <v>1</v>
      </c>
      <c r="AA1882">
        <f t="shared" si="1813"/>
        <v>1991</v>
      </c>
      <c r="AB1882" t="str">
        <f t="shared" si="1814"/>
        <v/>
      </c>
      <c r="AC1882">
        <f t="shared" si="1852"/>
        <v>1991</v>
      </c>
      <c r="AD1882" s="6">
        <v>3</v>
      </c>
      <c r="AE1882" t="s">
        <v>926</v>
      </c>
      <c r="AF1882" t="s">
        <v>904</v>
      </c>
      <c r="AG1882" t="s">
        <v>926</v>
      </c>
      <c r="AH1882" t="s">
        <v>914</v>
      </c>
      <c r="AI1882" t="s">
        <v>367</v>
      </c>
      <c r="AJ1882" t="str">
        <f t="shared" ref="AJ1882:AK1882" si="1900">IF($J1882&lt;&gt;"",$J1882,IF($AC1882=$AC1881,AJ1881,""))</f>
        <v/>
      </c>
      <c r="AK1882" t="str">
        <f t="shared" si="1900"/>
        <v/>
      </c>
      <c r="AL1882" t="str">
        <f t="shared" si="1857"/>
        <v/>
      </c>
      <c r="AN1882" t="s">
        <v>862</v>
      </c>
      <c r="AO1882" t="str">
        <f t="shared" si="1858"/>
        <v>a</v>
      </c>
      <c r="AP1882" t="str">
        <f t="shared" si="1866"/>
        <v/>
      </c>
      <c r="AQ1882" t="str">
        <f t="shared" si="1867"/>
        <v/>
      </c>
      <c r="AR1882" t="str">
        <f t="shared" si="1868"/>
        <v>Away</v>
      </c>
      <c r="AS1882" t="str">
        <f t="shared" si="1869"/>
        <v>a</v>
      </c>
      <c r="AT1882" t="str">
        <f t="shared" si="1870"/>
        <v>Offensive</v>
      </c>
      <c r="BA1882" s="6">
        <f t="shared" si="1859"/>
        <v>437</v>
      </c>
      <c r="BB1882">
        <f t="shared" si="1860"/>
        <v>18981</v>
      </c>
      <c r="BC1882" t="str">
        <f t="shared" si="1861"/>
        <v>Nelson</v>
      </c>
      <c r="BD1882" t="str">
        <f t="shared" si="1862"/>
        <v>Velodrome</v>
      </c>
      <c r="BE1882" t="s">
        <v>13</v>
      </c>
      <c r="BF1882" t="s">
        <v>756</v>
      </c>
      <c r="BG1882" t="s">
        <v>756</v>
      </c>
      <c r="BI1882" cm="1">
        <f t="array" aca="1" ref="BI1882" ca="1">IFERROR(_xlfn._xlws.FILTER(shifts!A:A,(shifts!B:B=events!AD1882)*(shifts!AG:AG&gt;=events!BK1882)*(shifts!AH:AH&lt;=events!BL1882)),BI1881)</f>
        <v>82</v>
      </c>
      <c r="BJ1882" s="15">
        <f t="shared" si="1863"/>
        <v>3</v>
      </c>
      <c r="BK1882">
        <f t="shared" si="1871"/>
        <v>816</v>
      </c>
      <c r="BL1882">
        <f t="shared" si="1872"/>
        <v>813</v>
      </c>
      <c r="BM1882" s="15">
        <f>SUMIFS(BJ$2:BJ1882,K$2:K1882,"=Intermission")+SUMIFS(BJ$2:BJ1882,K$2:K1882,"=Timeout")</f>
        <v>142</v>
      </c>
      <c r="BN1882">
        <f t="shared" si="1873"/>
        <v>2302</v>
      </c>
      <c r="BO1882" s="19">
        <f t="shared" si="1874"/>
        <v>2566</v>
      </c>
      <c r="BP1882">
        <f t="shared" si="1875"/>
        <v>2561</v>
      </c>
      <c r="BQ1882" s="17">
        <f t="shared" si="1876"/>
        <v>2569</v>
      </c>
      <c r="BR1882" t="str">
        <f t="shared" si="1877"/>
        <v>event_team_player_1</v>
      </c>
      <c r="BS1882">
        <f>COUNTIFS(S$3:S1882,"="&amp;S1882,AI$3:AI1882,"="&amp;AI1882)</f>
        <v>1</v>
      </c>
      <c r="BT1882" t="str">
        <f>IFERROR(VLOOKUP(BB1882&amp;BU1882&amp;X1882,game_rosters!U:W,3,FALSE),"")</f>
        <v>P100002</v>
      </c>
      <c r="BU1882" t="str">
        <f t="shared" si="1878"/>
        <v>Velodrome</v>
      </c>
    </row>
    <row r="1883" spans="1:73" x14ac:dyDescent="0.2">
      <c r="A1883">
        <f t="shared" si="1864"/>
        <v>1</v>
      </c>
      <c r="J1883" s="44" t="str">
        <f t="shared" si="1879"/>
        <v/>
      </c>
      <c r="K1883" t="s">
        <v>9</v>
      </c>
      <c r="L1883" t="s">
        <v>173</v>
      </c>
      <c r="M1883" t="s">
        <v>391</v>
      </c>
      <c r="S1883">
        <v>992</v>
      </c>
      <c r="W1883" t="str">
        <f t="shared" si="1855"/>
        <v>a</v>
      </c>
      <c r="X1883">
        <v>91</v>
      </c>
      <c r="Y1883" t="e">
        <f>IF(X1883&lt;&gt;"",VLOOKUP(X1883,game_rosters!$C$43:$E$64,3,FALSE))</f>
        <v>#N/A</v>
      </c>
      <c r="Z1883" cm="1">
        <f t="array" ref="Z1883">IFERROR(IF(_xlfn._xlws.FILTER(game_rosters!$J:$J,(game_rosters!$G:$G=events!$AN1883)*(game_rosters!$J:$J=events!$X1883))&gt;0,1,""),"")</f>
        <v>1</v>
      </c>
      <c r="AA1883">
        <f t="shared" si="1813"/>
        <v>1992</v>
      </c>
      <c r="AB1883" t="str">
        <f t="shared" si="1814"/>
        <v/>
      </c>
      <c r="AC1883">
        <f t="shared" si="1852"/>
        <v>1992</v>
      </c>
      <c r="AD1883" s="6">
        <v>3</v>
      </c>
      <c r="AE1883" t="s">
        <v>926</v>
      </c>
      <c r="AF1883" t="s">
        <v>914</v>
      </c>
      <c r="AG1883" t="s">
        <v>756</v>
      </c>
      <c r="AH1883" t="s">
        <v>756</v>
      </c>
      <c r="AI1883" t="s">
        <v>367</v>
      </c>
      <c r="AJ1883" t="str">
        <f t="shared" ref="AJ1883:AK1883" si="1901">IF($J1883&lt;&gt;"",$J1883,IF($AC1883=$AC1882,AJ1882,""))</f>
        <v/>
      </c>
      <c r="AK1883" t="str">
        <f t="shared" si="1901"/>
        <v/>
      </c>
      <c r="AL1883" t="str">
        <f t="shared" si="1857"/>
        <v/>
      </c>
      <c r="AN1883" t="s">
        <v>862</v>
      </c>
      <c r="AO1883" t="str">
        <f t="shared" si="1858"/>
        <v>a</v>
      </c>
      <c r="AP1883" t="str">
        <f t="shared" si="1866"/>
        <v/>
      </c>
      <c r="AQ1883" t="str">
        <f t="shared" si="1867"/>
        <v/>
      </c>
      <c r="AR1883" t="str">
        <f t="shared" si="1868"/>
        <v>Away</v>
      </c>
      <c r="AS1883" t="str">
        <f t="shared" si="1869"/>
        <v>a</v>
      </c>
      <c r="AT1883" t="str">
        <f t="shared" si="1870"/>
        <v>Offensive</v>
      </c>
      <c r="BA1883" s="6">
        <f t="shared" si="1859"/>
        <v>437</v>
      </c>
      <c r="BB1883">
        <f t="shared" si="1860"/>
        <v>18981</v>
      </c>
      <c r="BC1883" t="str">
        <f t="shared" si="1861"/>
        <v>Nelson</v>
      </c>
      <c r="BD1883" t="str">
        <f t="shared" si="1862"/>
        <v>Velodrome</v>
      </c>
      <c r="BE1883" t="s">
        <v>9</v>
      </c>
      <c r="BF1883" t="s">
        <v>173</v>
      </c>
      <c r="BG1883" t="s">
        <v>391</v>
      </c>
      <c r="BI1883" cm="1">
        <f t="array" aca="1" ref="BI1883" ca="1">IFERROR(_xlfn._xlws.FILTER(shifts!A:A,(shifts!B:B=events!AD1883)*(shifts!AG:AG&gt;=events!BK1883)*(shifts!AH:AH&lt;=events!BL1883)),BI1882)</f>
        <v>82</v>
      </c>
      <c r="BJ1883" s="15">
        <f t="shared" si="1863"/>
        <v>0</v>
      </c>
      <c r="BK1883">
        <f t="shared" si="1871"/>
        <v>813</v>
      </c>
      <c r="BL1883">
        <f t="shared" si="1872"/>
        <v>813</v>
      </c>
      <c r="BM1883" s="15">
        <f>SUMIFS(BJ$2:BJ1883,K$2:K1883,"=Intermission")+SUMIFS(BJ$2:BJ1883,K$2:K1883,"=Timeout")</f>
        <v>142</v>
      </c>
      <c r="BN1883">
        <f t="shared" si="1873"/>
        <v>2302</v>
      </c>
      <c r="BO1883" s="19">
        <f t="shared" si="1874"/>
        <v>2569</v>
      </c>
      <c r="BP1883">
        <f t="shared" si="1875"/>
        <v>2564</v>
      </c>
      <c r="BQ1883" s="17">
        <f t="shared" si="1876"/>
        <v>2569</v>
      </c>
      <c r="BR1883" t="str">
        <f t="shared" si="1877"/>
        <v>event_team_player_1</v>
      </c>
      <c r="BS1883">
        <f>COUNTIFS(S$3:S1883,"="&amp;S1883,AI$3:AI1883,"="&amp;AI1883)</f>
        <v>1</v>
      </c>
      <c r="BT1883" t="str">
        <f>IFERROR(VLOOKUP(BB1883&amp;BU1883&amp;X1883,game_rosters!U:W,3,FALSE),"")</f>
        <v>P100002</v>
      </c>
      <c r="BU1883" t="str">
        <f t="shared" si="1878"/>
        <v>Velodrome</v>
      </c>
    </row>
    <row r="1884" spans="1:73" x14ac:dyDescent="0.2">
      <c r="A1884">
        <f t="shared" si="1864"/>
        <v>1</v>
      </c>
      <c r="J1884" s="44" t="str">
        <f t="shared" si="1879"/>
        <v/>
      </c>
      <c r="K1884" t="s">
        <v>9</v>
      </c>
      <c r="L1884" t="s">
        <v>173</v>
      </c>
      <c r="M1884" t="s">
        <v>365</v>
      </c>
      <c r="S1884">
        <v>993</v>
      </c>
      <c r="W1884" t="str">
        <f t="shared" si="1855"/>
        <v>h</v>
      </c>
      <c r="X1884">
        <v>37</v>
      </c>
      <c r="Y1884" t="b">
        <f>IF(X1884&lt;&gt;"",VLOOKUP(X1884,game_rosters!$C$43:$E$64,3,FALSE))</f>
        <v>0</v>
      </c>
      <c r="Z1884" cm="1">
        <f t="array" ref="Z1884">IFERROR(IF(_xlfn._xlws.FILTER(game_rosters!$J:$J,(game_rosters!$G:$G=events!$AN1884)*(game_rosters!$J:$J=events!$X1884))&gt;0,1,""),"")</f>
        <v>1</v>
      </c>
      <c r="AA1884">
        <f t="shared" si="1813"/>
        <v>1993</v>
      </c>
      <c r="AB1884" t="str">
        <f t="shared" si="1814"/>
        <v/>
      </c>
      <c r="AC1884">
        <f t="shared" si="1852"/>
        <v>1993</v>
      </c>
      <c r="AD1884" s="6">
        <v>3</v>
      </c>
      <c r="AE1884" t="s">
        <v>926</v>
      </c>
      <c r="AF1884" t="s">
        <v>915</v>
      </c>
      <c r="AG1884" t="s">
        <v>756</v>
      </c>
      <c r="AH1884" t="s">
        <v>756</v>
      </c>
      <c r="AI1884" t="s">
        <v>367</v>
      </c>
      <c r="AJ1884" t="str">
        <f t="shared" ref="AJ1884:AK1884" si="1902">IF($J1884&lt;&gt;"",$J1884,IF($AC1884=$AC1883,AJ1883,""))</f>
        <v/>
      </c>
      <c r="AK1884" t="str">
        <f t="shared" si="1902"/>
        <v/>
      </c>
      <c r="AL1884" t="str">
        <f t="shared" si="1857"/>
        <v/>
      </c>
      <c r="AN1884" t="s">
        <v>861</v>
      </c>
      <c r="AO1884" t="str">
        <f t="shared" si="1858"/>
        <v>h</v>
      </c>
      <c r="AP1884" t="str">
        <f t="shared" si="1866"/>
        <v/>
      </c>
      <c r="AQ1884" t="str">
        <f t="shared" si="1867"/>
        <v/>
      </c>
      <c r="AR1884" t="str">
        <f t="shared" si="1868"/>
        <v>Home</v>
      </c>
      <c r="AS1884" t="str">
        <f t="shared" si="1869"/>
        <v>h</v>
      </c>
      <c r="AT1884" t="str">
        <f t="shared" si="1870"/>
        <v>Offensive</v>
      </c>
      <c r="BA1884" s="6">
        <f t="shared" si="1859"/>
        <v>437</v>
      </c>
      <c r="BB1884">
        <f t="shared" si="1860"/>
        <v>18981</v>
      </c>
      <c r="BC1884" t="str">
        <f t="shared" si="1861"/>
        <v>Nelson</v>
      </c>
      <c r="BD1884" t="str">
        <f t="shared" si="1862"/>
        <v>Velodrome</v>
      </c>
      <c r="BE1884" t="s">
        <v>9</v>
      </c>
      <c r="BF1884" t="s">
        <v>173</v>
      </c>
      <c r="BG1884" t="s">
        <v>365</v>
      </c>
      <c r="BI1884" cm="1">
        <f t="array" aca="1" ref="BI1884" ca="1">IFERROR(_xlfn._xlws.FILTER(shifts!A:A,(shifts!B:B=events!AD1884)*(shifts!AG:AG&gt;=events!BK1884)*(shifts!AH:AH&lt;=events!BL1884)),BI1883)</f>
        <v>82</v>
      </c>
      <c r="BJ1884" s="15">
        <f t="shared" si="1863"/>
        <v>0</v>
      </c>
      <c r="BK1884">
        <f t="shared" si="1871"/>
        <v>810</v>
      </c>
      <c r="BL1884">
        <f t="shared" si="1872"/>
        <v>810</v>
      </c>
      <c r="BM1884" s="15">
        <f>SUMIFS(BJ$2:BJ1884,K$2:K1884,"=Intermission")+SUMIFS(BJ$2:BJ1884,K$2:K1884,"=Timeout")</f>
        <v>142</v>
      </c>
      <c r="BN1884">
        <f t="shared" si="1873"/>
        <v>2302</v>
      </c>
      <c r="BO1884" s="19">
        <f t="shared" si="1874"/>
        <v>2572</v>
      </c>
      <c r="BP1884">
        <f t="shared" si="1875"/>
        <v>2567</v>
      </c>
      <c r="BQ1884" s="17">
        <f t="shared" si="1876"/>
        <v>2572</v>
      </c>
      <c r="BR1884" t="str">
        <f t="shared" si="1877"/>
        <v>event_team_player_1</v>
      </c>
      <c r="BS1884">
        <f>COUNTIFS(S$3:S1884,"="&amp;S1884,AI$3:AI1884,"="&amp;AI1884)</f>
        <v>1</v>
      </c>
      <c r="BT1884" t="str">
        <f>IFERROR(VLOOKUP(BB1884&amp;BU1884&amp;X1884,game_rosters!U:W,3,FALSE),"")</f>
        <v>P100119</v>
      </c>
      <c r="BU1884" t="str">
        <f t="shared" si="1878"/>
        <v>Nelson</v>
      </c>
    </row>
    <row r="1885" spans="1:73" x14ac:dyDescent="0.2">
      <c r="A1885">
        <f t="shared" si="1864"/>
        <v>1</v>
      </c>
      <c r="J1885" s="44" t="str">
        <f t="shared" si="1879"/>
        <v/>
      </c>
      <c r="K1885" t="s">
        <v>238</v>
      </c>
      <c r="L1885" t="s">
        <v>193</v>
      </c>
      <c r="M1885" t="s">
        <v>91</v>
      </c>
      <c r="S1885">
        <v>994</v>
      </c>
      <c r="W1885" t="str">
        <f t="shared" si="1855"/>
        <v>a</v>
      </c>
      <c r="X1885">
        <v>9</v>
      </c>
      <c r="Y1885" t="e">
        <f>IF(X1885&lt;&gt;"",VLOOKUP(X1885,game_rosters!$C$43:$E$64,3,FALSE))</f>
        <v>#N/A</v>
      </c>
      <c r="Z1885" cm="1">
        <f t="array" ref="Z1885">IFERROR(IF(_xlfn._xlws.FILTER(game_rosters!$J:$J,(game_rosters!$G:$G=events!$AN1885)*(game_rosters!$J:$J=events!$X1885))&gt;0,1,""),"")</f>
        <v>1</v>
      </c>
      <c r="AA1885">
        <f t="shared" ref="AA1885:AA1948" si="1903">S1885+1000</f>
        <v>1994</v>
      </c>
      <c r="AB1885" t="str">
        <f t="shared" ref="AB1885:AB1948" si="1904">IF(T1885&lt;&gt;"",9000+T1885,"")</f>
        <v/>
      </c>
      <c r="AC1885">
        <f t="shared" si="1852"/>
        <v>1994</v>
      </c>
      <c r="AD1885" s="6">
        <v>3</v>
      </c>
      <c r="AE1885" t="s">
        <v>926</v>
      </c>
      <c r="AF1885" t="s">
        <v>906</v>
      </c>
      <c r="AG1885" t="s">
        <v>756</v>
      </c>
      <c r="AH1885" t="s">
        <v>756</v>
      </c>
      <c r="AI1885" t="s">
        <v>367</v>
      </c>
      <c r="AJ1885" t="str">
        <f t="shared" ref="AJ1885:AK1885" si="1905">IF($J1885&lt;&gt;"",$J1885,IF($AC1885=$AC1884,AJ1884,""))</f>
        <v/>
      </c>
      <c r="AK1885" t="str">
        <f t="shared" si="1905"/>
        <v/>
      </c>
      <c r="AL1885" t="str">
        <f t="shared" si="1857"/>
        <v/>
      </c>
      <c r="AN1885" t="s">
        <v>862</v>
      </c>
      <c r="AO1885" t="str">
        <f t="shared" si="1858"/>
        <v>a</v>
      </c>
      <c r="AP1885" t="str">
        <f t="shared" si="1866"/>
        <v/>
      </c>
      <c r="AQ1885" t="str">
        <f t="shared" si="1867"/>
        <v/>
      </c>
      <c r="AR1885" t="str">
        <f t="shared" si="1868"/>
        <v>Away</v>
      </c>
      <c r="AS1885" t="str">
        <f t="shared" si="1869"/>
        <v>a</v>
      </c>
      <c r="AT1885" t="str">
        <f t="shared" si="1870"/>
        <v>Offensive</v>
      </c>
      <c r="BA1885" s="6">
        <f t="shared" si="1859"/>
        <v>437</v>
      </c>
      <c r="BB1885">
        <f t="shared" si="1860"/>
        <v>18981</v>
      </c>
      <c r="BC1885" t="str">
        <f t="shared" si="1861"/>
        <v>Nelson</v>
      </c>
      <c r="BD1885" t="str">
        <f t="shared" si="1862"/>
        <v>Velodrome</v>
      </c>
      <c r="BE1885" t="s">
        <v>238</v>
      </c>
      <c r="BF1885" t="s">
        <v>193</v>
      </c>
      <c r="BG1885" t="s">
        <v>91</v>
      </c>
      <c r="BI1885" cm="1">
        <f t="array" aca="1" ref="BI1885" ca="1">IFERROR(_xlfn._xlws.FILTER(shifts!A:A,(shifts!B:B=events!AD1885)*(shifts!AG:AG&gt;=events!BK1885)*(shifts!AH:AH&lt;=events!BL1885)),BI1884)</f>
        <v>82</v>
      </c>
      <c r="BJ1885" s="15">
        <f t="shared" si="1863"/>
        <v>0</v>
      </c>
      <c r="BK1885">
        <f t="shared" si="1871"/>
        <v>809</v>
      </c>
      <c r="BL1885">
        <f t="shared" si="1872"/>
        <v>809</v>
      </c>
      <c r="BM1885" s="15">
        <f>SUMIFS(BJ$2:BJ1885,K$2:K1885,"=Intermission")+SUMIFS(BJ$2:BJ1885,K$2:K1885,"=Timeout")</f>
        <v>142</v>
      </c>
      <c r="BN1885">
        <f t="shared" si="1873"/>
        <v>2302</v>
      </c>
      <c r="BO1885" s="19">
        <f t="shared" si="1874"/>
        <v>2573</v>
      </c>
      <c r="BP1885">
        <f t="shared" si="1875"/>
        <v>2568</v>
      </c>
      <c r="BQ1885" s="17">
        <f t="shared" si="1876"/>
        <v>2573</v>
      </c>
      <c r="BR1885" t="str">
        <f t="shared" si="1877"/>
        <v>event_team_player_1</v>
      </c>
      <c r="BS1885">
        <f>COUNTIFS(S$3:S1885,"="&amp;S1885,AI$3:AI1885,"="&amp;AI1885)</f>
        <v>1</v>
      </c>
      <c r="BT1885" t="str">
        <f>IFERROR(VLOOKUP(BB1885&amp;BU1885&amp;X1885,game_rosters!U:W,3,FALSE),"")</f>
        <v>P100105</v>
      </c>
      <c r="BU1885" t="str">
        <f t="shared" si="1878"/>
        <v>Velodrome</v>
      </c>
    </row>
    <row r="1886" spans="1:73" x14ac:dyDescent="0.2">
      <c r="A1886">
        <f t="shared" si="1864"/>
        <v>1</v>
      </c>
      <c r="J1886" s="44" t="str">
        <f t="shared" si="1879"/>
        <v/>
      </c>
      <c r="K1886" t="s">
        <v>238</v>
      </c>
      <c r="L1886" t="s">
        <v>193</v>
      </c>
      <c r="M1886" t="s">
        <v>91</v>
      </c>
      <c r="S1886">
        <v>994</v>
      </c>
      <c r="W1886" t="str">
        <f t="shared" si="1855"/>
        <v>a</v>
      </c>
      <c r="X1886">
        <v>44</v>
      </c>
      <c r="Y1886" t="b">
        <f>IF(X1886&lt;&gt;"",VLOOKUP(X1886,game_rosters!$C$43:$E$64,3,FALSE))</f>
        <v>0</v>
      </c>
      <c r="Z1886" t="str" cm="1">
        <f t="array" ref="Z1886">IFERROR(IF(_xlfn._xlws.FILTER(game_rosters!$J:$J,(game_rosters!$G:$G=events!$AN1886)*(game_rosters!$J:$J=events!$X1886))&gt;0,1,""),"")</f>
        <v/>
      </c>
      <c r="AA1886">
        <f t="shared" si="1903"/>
        <v>1994</v>
      </c>
      <c r="AB1886" t="str">
        <f t="shared" si="1904"/>
        <v/>
      </c>
      <c r="AC1886">
        <f t="shared" si="1852"/>
        <v>1994</v>
      </c>
      <c r="AD1886" s="6">
        <v>3</v>
      </c>
      <c r="AE1886" t="s">
        <v>926</v>
      </c>
      <c r="AF1886" t="s">
        <v>906</v>
      </c>
      <c r="AG1886" t="s">
        <v>756</v>
      </c>
      <c r="AH1886" t="s">
        <v>756</v>
      </c>
      <c r="AI1886" t="s">
        <v>368</v>
      </c>
      <c r="AJ1886" t="str">
        <f t="shared" ref="AJ1886:AK1886" si="1906">IF($J1886&lt;&gt;"",$J1886,IF($AC1886=$AC1885,AJ1885,""))</f>
        <v/>
      </c>
      <c r="AK1886" t="str">
        <f t="shared" si="1906"/>
        <v/>
      </c>
      <c r="AL1886" t="str">
        <f t="shared" si="1857"/>
        <v/>
      </c>
      <c r="AN1886" t="s">
        <v>862</v>
      </c>
      <c r="AO1886" t="str">
        <f t="shared" si="1858"/>
        <v>a</v>
      </c>
      <c r="AP1886" t="str">
        <f t="shared" si="1866"/>
        <v/>
      </c>
      <c r="AQ1886" t="str">
        <f t="shared" si="1867"/>
        <v/>
      </c>
      <c r="AR1886" t="str">
        <f t="shared" si="1868"/>
        <v>Away</v>
      </c>
      <c r="AS1886" t="str">
        <f t="shared" si="1869"/>
        <v>a</v>
      </c>
      <c r="AT1886" t="str">
        <f t="shared" si="1870"/>
        <v>Defensive</v>
      </c>
      <c r="BA1886" s="6">
        <f t="shared" si="1859"/>
        <v>437</v>
      </c>
      <c r="BB1886">
        <f t="shared" si="1860"/>
        <v>18981</v>
      </c>
      <c r="BC1886" t="str">
        <f t="shared" si="1861"/>
        <v>Nelson</v>
      </c>
      <c r="BD1886" t="str">
        <f t="shared" si="1862"/>
        <v>Velodrome</v>
      </c>
      <c r="BE1886" t="s">
        <v>238</v>
      </c>
      <c r="BF1886" t="s">
        <v>193</v>
      </c>
      <c r="BG1886" t="s">
        <v>91</v>
      </c>
      <c r="BI1886" cm="1">
        <f t="array" aca="1" ref="BI1886" ca="1">IFERROR(_xlfn._xlws.FILTER(shifts!A:A,(shifts!B:B=events!AD1886)*(shifts!AG:AG&gt;=events!BK1886)*(shifts!AH:AH&lt;=events!BL1886)),BI1885)</f>
        <v>82</v>
      </c>
      <c r="BJ1886" s="15">
        <f t="shared" si="1863"/>
        <v>0</v>
      </c>
      <c r="BK1886">
        <f t="shared" si="1871"/>
        <v>809</v>
      </c>
      <c r="BL1886">
        <f t="shared" si="1872"/>
        <v>809</v>
      </c>
      <c r="BM1886" s="15">
        <f>SUMIFS(BJ$2:BJ1886,K$2:K1886,"=Intermission")+SUMIFS(BJ$2:BJ1886,K$2:K1886,"=Timeout")</f>
        <v>142</v>
      </c>
      <c r="BN1886">
        <f t="shared" si="1873"/>
        <v>2302</v>
      </c>
      <c r="BO1886" s="19">
        <f t="shared" si="1874"/>
        <v>2573</v>
      </c>
      <c r="BP1886">
        <f t="shared" si="1875"/>
        <v>2568</v>
      </c>
      <c r="BQ1886" s="17">
        <f t="shared" si="1876"/>
        <v>2573</v>
      </c>
      <c r="BR1886" t="str">
        <f t="shared" si="1877"/>
        <v>opp_team_player_1</v>
      </c>
      <c r="BS1886">
        <f>COUNTIFS(S$3:S1886,"="&amp;S1886,AI$3:AI1886,"="&amp;AI1886)</f>
        <v>1</v>
      </c>
      <c r="BT1886" t="str">
        <f>IFERROR(VLOOKUP(BB1886&amp;BU1886&amp;X1886,game_rosters!U:W,3,FALSE),"")</f>
        <v>P100079</v>
      </c>
      <c r="BU1886" t="str">
        <f t="shared" si="1878"/>
        <v>Nelson</v>
      </c>
    </row>
    <row r="1887" spans="1:73" x14ac:dyDescent="0.2">
      <c r="A1887">
        <f t="shared" si="1864"/>
        <v>1</v>
      </c>
      <c r="J1887" s="44" t="str">
        <f t="shared" si="1879"/>
        <v/>
      </c>
      <c r="K1887" t="s">
        <v>13</v>
      </c>
      <c r="L1887" t="s">
        <v>756</v>
      </c>
      <c r="M1887" t="s">
        <v>756</v>
      </c>
      <c r="S1887">
        <v>995</v>
      </c>
      <c r="W1887" t="str">
        <f t="shared" si="1855"/>
        <v>a</v>
      </c>
      <c r="X1887">
        <v>9</v>
      </c>
      <c r="Y1887" t="e">
        <f>IF(X1887&lt;&gt;"",VLOOKUP(X1887,game_rosters!$C$43:$E$64,3,FALSE))</f>
        <v>#N/A</v>
      </c>
      <c r="Z1887" cm="1">
        <f t="array" ref="Z1887">IFERROR(IF(_xlfn._xlws.FILTER(game_rosters!$J:$J,(game_rosters!$G:$G=events!$AN1887)*(game_rosters!$J:$J=events!$X1887))&gt;0,1,""),"")</f>
        <v>1</v>
      </c>
      <c r="AA1887">
        <f t="shared" si="1903"/>
        <v>1995</v>
      </c>
      <c r="AB1887" t="str">
        <f t="shared" si="1904"/>
        <v/>
      </c>
      <c r="AC1887">
        <f t="shared" si="1852"/>
        <v>1995</v>
      </c>
      <c r="AD1887" s="6">
        <v>3</v>
      </c>
      <c r="AE1887" t="s">
        <v>926</v>
      </c>
      <c r="AF1887" t="s">
        <v>906</v>
      </c>
      <c r="AG1887" t="s">
        <v>926</v>
      </c>
      <c r="AH1887" t="s">
        <v>916</v>
      </c>
      <c r="AI1887" t="s">
        <v>367</v>
      </c>
      <c r="AJ1887" t="str">
        <f t="shared" ref="AJ1887:AK1887" si="1907">IF($J1887&lt;&gt;"",$J1887,IF($AC1887=$AC1886,AJ1886,""))</f>
        <v/>
      </c>
      <c r="AK1887" t="str">
        <f t="shared" si="1907"/>
        <v/>
      </c>
      <c r="AL1887" t="str">
        <f t="shared" si="1857"/>
        <v/>
      </c>
      <c r="AN1887" t="s">
        <v>862</v>
      </c>
      <c r="AO1887" t="str">
        <f t="shared" si="1858"/>
        <v>a</v>
      </c>
      <c r="AP1887" t="str">
        <f t="shared" si="1866"/>
        <v/>
      </c>
      <c r="AQ1887" t="str">
        <f t="shared" si="1867"/>
        <v/>
      </c>
      <c r="AR1887" t="str">
        <f t="shared" si="1868"/>
        <v>Away</v>
      </c>
      <c r="AS1887" t="str">
        <f t="shared" si="1869"/>
        <v>a</v>
      </c>
      <c r="AT1887" t="str">
        <f t="shared" si="1870"/>
        <v>Offensive</v>
      </c>
      <c r="BA1887" s="6">
        <f t="shared" si="1859"/>
        <v>437</v>
      </c>
      <c r="BB1887">
        <f t="shared" si="1860"/>
        <v>18981</v>
      </c>
      <c r="BC1887" t="str">
        <f t="shared" si="1861"/>
        <v>Nelson</v>
      </c>
      <c r="BD1887" t="str">
        <f t="shared" si="1862"/>
        <v>Velodrome</v>
      </c>
      <c r="BE1887" t="s">
        <v>13</v>
      </c>
      <c r="BF1887" t="s">
        <v>756</v>
      </c>
      <c r="BG1887" t="s">
        <v>756</v>
      </c>
      <c r="BI1887" cm="1">
        <f t="array" aca="1" ref="BI1887" ca="1">IFERROR(_xlfn._xlws.FILTER(shifts!A:A,(shifts!B:B=events!AD1887)*(shifts!AG:AG&gt;=events!BK1887)*(shifts!AH:AH&lt;=events!BL1887)),BI1886)</f>
        <v>82</v>
      </c>
      <c r="BJ1887" s="15">
        <f t="shared" si="1863"/>
        <v>2</v>
      </c>
      <c r="BK1887">
        <f t="shared" si="1871"/>
        <v>809</v>
      </c>
      <c r="BL1887">
        <f t="shared" si="1872"/>
        <v>807</v>
      </c>
      <c r="BM1887" s="15">
        <f>SUMIFS(BJ$2:BJ1887,K$2:K1887,"=Intermission")+SUMIFS(BJ$2:BJ1887,K$2:K1887,"=Timeout")</f>
        <v>142</v>
      </c>
      <c r="BN1887">
        <f t="shared" si="1873"/>
        <v>2302</v>
      </c>
      <c r="BO1887" s="19">
        <f t="shared" si="1874"/>
        <v>2573</v>
      </c>
      <c r="BP1887">
        <f t="shared" si="1875"/>
        <v>2568</v>
      </c>
      <c r="BQ1887" s="17">
        <f t="shared" si="1876"/>
        <v>2575</v>
      </c>
      <c r="BR1887" t="str">
        <f t="shared" si="1877"/>
        <v>event_team_player_1</v>
      </c>
      <c r="BS1887">
        <f>COUNTIFS(S$3:S1887,"="&amp;S1887,AI$3:AI1887,"="&amp;AI1887)</f>
        <v>1</v>
      </c>
      <c r="BT1887" t="str">
        <f>IFERROR(VLOOKUP(BB1887&amp;BU1887&amp;X1887,game_rosters!U:W,3,FALSE),"")</f>
        <v>P100105</v>
      </c>
      <c r="BU1887" t="str">
        <f t="shared" si="1878"/>
        <v>Velodrome</v>
      </c>
    </row>
    <row r="1888" spans="1:73" x14ac:dyDescent="0.2">
      <c r="A1888">
        <f t="shared" si="1864"/>
        <v>1</v>
      </c>
      <c r="J1888" s="44" t="str">
        <f t="shared" si="1879"/>
        <v/>
      </c>
      <c r="K1888" t="s">
        <v>13</v>
      </c>
      <c r="L1888" t="s">
        <v>756</v>
      </c>
      <c r="M1888" t="s">
        <v>756</v>
      </c>
      <c r="S1888">
        <v>995</v>
      </c>
      <c r="W1888" t="str">
        <f t="shared" si="1855"/>
        <v>a</v>
      </c>
      <c r="X1888">
        <v>44</v>
      </c>
      <c r="Y1888" t="b">
        <f>IF(X1888&lt;&gt;"",VLOOKUP(X1888,game_rosters!$C$43:$E$64,3,FALSE))</f>
        <v>0</v>
      </c>
      <c r="Z1888" t="str" cm="1">
        <f t="array" ref="Z1888">IFERROR(IF(_xlfn._xlws.FILTER(game_rosters!$J:$J,(game_rosters!$G:$G=events!$AN1888)*(game_rosters!$J:$J=events!$X1888))&gt;0,1,""),"")</f>
        <v/>
      </c>
      <c r="AA1888">
        <f t="shared" si="1903"/>
        <v>1995</v>
      </c>
      <c r="AB1888" t="str">
        <f t="shared" si="1904"/>
        <v/>
      </c>
      <c r="AC1888">
        <f t="shared" si="1852"/>
        <v>1995</v>
      </c>
      <c r="AD1888" s="6">
        <v>3</v>
      </c>
      <c r="AE1888" t="s">
        <v>926</v>
      </c>
      <c r="AF1888" t="s">
        <v>906</v>
      </c>
      <c r="AG1888" t="s">
        <v>926</v>
      </c>
      <c r="AH1888" t="s">
        <v>916</v>
      </c>
      <c r="AI1888" t="s">
        <v>368</v>
      </c>
      <c r="AJ1888" t="str">
        <f t="shared" ref="AJ1888:AK1888" si="1908">IF($J1888&lt;&gt;"",$J1888,IF($AC1888=$AC1887,AJ1887,""))</f>
        <v/>
      </c>
      <c r="AK1888" t="str">
        <f t="shared" si="1908"/>
        <v/>
      </c>
      <c r="AL1888" t="str">
        <f t="shared" si="1857"/>
        <v/>
      </c>
      <c r="AN1888" t="s">
        <v>862</v>
      </c>
      <c r="AO1888" t="str">
        <f t="shared" si="1858"/>
        <v>a</v>
      </c>
      <c r="AP1888" t="str">
        <f t="shared" si="1866"/>
        <v/>
      </c>
      <c r="AQ1888" t="str">
        <f t="shared" si="1867"/>
        <v/>
      </c>
      <c r="AR1888" t="str">
        <f t="shared" si="1868"/>
        <v>Away</v>
      </c>
      <c r="AS1888" t="str">
        <f t="shared" si="1869"/>
        <v>a</v>
      </c>
      <c r="AT1888" t="str">
        <f t="shared" si="1870"/>
        <v>Defensive</v>
      </c>
      <c r="BA1888" s="6">
        <f t="shared" si="1859"/>
        <v>437</v>
      </c>
      <c r="BB1888">
        <f t="shared" si="1860"/>
        <v>18981</v>
      </c>
      <c r="BC1888" t="str">
        <f t="shared" si="1861"/>
        <v>Nelson</v>
      </c>
      <c r="BD1888" t="str">
        <f t="shared" si="1862"/>
        <v>Velodrome</v>
      </c>
      <c r="BE1888" t="s">
        <v>13</v>
      </c>
      <c r="BF1888" t="s">
        <v>756</v>
      </c>
      <c r="BG1888" t="s">
        <v>756</v>
      </c>
      <c r="BI1888" cm="1">
        <f t="array" aca="1" ref="BI1888" ca="1">IFERROR(_xlfn._xlws.FILTER(shifts!A:A,(shifts!B:B=events!AD1888)*(shifts!AG:AG&gt;=events!BK1888)*(shifts!AH:AH&lt;=events!BL1888)),BI1887)</f>
        <v>82</v>
      </c>
      <c r="BJ1888" s="15">
        <f t="shared" si="1863"/>
        <v>2</v>
      </c>
      <c r="BK1888">
        <f t="shared" si="1871"/>
        <v>809</v>
      </c>
      <c r="BL1888">
        <f t="shared" si="1872"/>
        <v>807</v>
      </c>
      <c r="BM1888" s="15">
        <f>SUMIFS(BJ$2:BJ1888,K$2:K1888,"=Intermission")+SUMIFS(BJ$2:BJ1888,K$2:K1888,"=Timeout")</f>
        <v>142</v>
      </c>
      <c r="BN1888">
        <f t="shared" si="1873"/>
        <v>2302</v>
      </c>
      <c r="BO1888" s="19">
        <f t="shared" si="1874"/>
        <v>2573</v>
      </c>
      <c r="BP1888">
        <f t="shared" si="1875"/>
        <v>2568</v>
      </c>
      <c r="BQ1888" s="17">
        <f t="shared" si="1876"/>
        <v>2575</v>
      </c>
      <c r="BR1888" t="str">
        <f t="shared" si="1877"/>
        <v>opp_team_player_1</v>
      </c>
      <c r="BS1888">
        <f>COUNTIFS(S$3:S1888,"="&amp;S1888,AI$3:AI1888,"="&amp;AI1888)</f>
        <v>1</v>
      </c>
      <c r="BT1888" t="str">
        <f>IFERROR(VLOOKUP(BB1888&amp;BU1888&amp;X1888,game_rosters!U:W,3,FALSE),"")</f>
        <v>P100079</v>
      </c>
      <c r="BU1888" t="str">
        <f t="shared" si="1878"/>
        <v>Nelson</v>
      </c>
    </row>
    <row r="1889" spans="1:73" x14ac:dyDescent="0.2">
      <c r="A1889">
        <f t="shared" si="1864"/>
        <v>1</v>
      </c>
      <c r="J1889" s="44" t="str">
        <f t="shared" si="1879"/>
        <v/>
      </c>
      <c r="K1889" t="s">
        <v>7</v>
      </c>
      <c r="L1889" t="s">
        <v>182</v>
      </c>
      <c r="M1889" t="s">
        <v>68</v>
      </c>
      <c r="S1889">
        <v>996</v>
      </c>
      <c r="W1889" t="str">
        <f t="shared" si="1855"/>
        <v>a</v>
      </c>
      <c r="X1889">
        <v>9</v>
      </c>
      <c r="Y1889" t="e">
        <f>IF(X1889&lt;&gt;"",VLOOKUP(X1889,game_rosters!$C$43:$E$64,3,FALSE))</f>
        <v>#N/A</v>
      </c>
      <c r="Z1889" cm="1">
        <f t="array" ref="Z1889">IFERROR(IF(_xlfn._xlws.FILTER(game_rosters!$J:$J,(game_rosters!$G:$G=events!$AN1889)*(game_rosters!$J:$J=events!$X1889))&gt;0,1,""),"")</f>
        <v>1</v>
      </c>
      <c r="AA1889">
        <f t="shared" si="1903"/>
        <v>1996</v>
      </c>
      <c r="AB1889" t="str">
        <f t="shared" si="1904"/>
        <v/>
      </c>
      <c r="AC1889">
        <f t="shared" si="1852"/>
        <v>1996</v>
      </c>
      <c r="AD1889" s="6">
        <v>3</v>
      </c>
      <c r="AE1889" t="s">
        <v>926</v>
      </c>
      <c r="AF1889" t="s">
        <v>916</v>
      </c>
      <c r="AG1889" t="s">
        <v>756</v>
      </c>
      <c r="AH1889" t="s">
        <v>756</v>
      </c>
      <c r="AI1889" t="s">
        <v>367</v>
      </c>
      <c r="AJ1889" t="str">
        <f t="shared" ref="AJ1889:AK1889" si="1909">IF($J1889&lt;&gt;"",$J1889,IF($AC1889=$AC1888,AJ1888,""))</f>
        <v/>
      </c>
      <c r="AK1889" t="str">
        <f t="shared" si="1909"/>
        <v/>
      </c>
      <c r="AL1889" t="str">
        <f t="shared" si="1857"/>
        <v/>
      </c>
      <c r="AN1889" t="s">
        <v>862</v>
      </c>
      <c r="AO1889" t="str">
        <f t="shared" si="1858"/>
        <v>a</v>
      </c>
      <c r="AP1889" t="str">
        <f t="shared" si="1866"/>
        <v/>
      </c>
      <c r="AQ1889" t="str">
        <f t="shared" si="1867"/>
        <v/>
      </c>
      <c r="AR1889" t="str">
        <f t="shared" si="1868"/>
        <v>Away</v>
      </c>
      <c r="AS1889" t="str">
        <f t="shared" si="1869"/>
        <v>a</v>
      </c>
      <c r="AT1889" t="str">
        <f t="shared" si="1870"/>
        <v>Offensive</v>
      </c>
      <c r="BA1889" s="6">
        <f t="shared" si="1859"/>
        <v>437</v>
      </c>
      <c r="BB1889">
        <f t="shared" si="1860"/>
        <v>18981</v>
      </c>
      <c r="BC1889" t="str">
        <f t="shared" si="1861"/>
        <v>Nelson</v>
      </c>
      <c r="BD1889" t="str">
        <f t="shared" si="1862"/>
        <v>Velodrome</v>
      </c>
      <c r="BE1889" t="s">
        <v>7</v>
      </c>
      <c r="BF1889" t="s">
        <v>182</v>
      </c>
      <c r="BG1889" t="s">
        <v>68</v>
      </c>
      <c r="BI1889" cm="1">
        <f t="array" aca="1" ref="BI1889" ca="1">IFERROR(_xlfn._xlws.FILTER(shifts!A:A,(shifts!B:B=events!AD1889)*(shifts!AG:AG&gt;=events!BK1889)*(shifts!AH:AH&lt;=events!BL1889)),BI1888)</f>
        <v>82</v>
      </c>
      <c r="BJ1889" s="15">
        <f t="shared" si="1863"/>
        <v>0</v>
      </c>
      <c r="BK1889">
        <f t="shared" si="1871"/>
        <v>807</v>
      </c>
      <c r="BL1889">
        <f t="shared" si="1872"/>
        <v>807</v>
      </c>
      <c r="BM1889" s="15">
        <f>SUMIFS(BJ$2:BJ1889,K$2:K1889,"=Intermission")+SUMIFS(BJ$2:BJ1889,K$2:K1889,"=Timeout")</f>
        <v>142</v>
      </c>
      <c r="BN1889">
        <f t="shared" si="1873"/>
        <v>2302</v>
      </c>
      <c r="BO1889" s="19">
        <f t="shared" si="1874"/>
        <v>2575</v>
      </c>
      <c r="BP1889">
        <f t="shared" si="1875"/>
        <v>2570</v>
      </c>
      <c r="BQ1889" s="17">
        <f t="shared" si="1876"/>
        <v>2575</v>
      </c>
      <c r="BR1889" t="str">
        <f t="shared" si="1877"/>
        <v>event_team_player_1</v>
      </c>
      <c r="BS1889">
        <f>COUNTIFS(S$3:S1889,"="&amp;S1889,AI$3:AI1889,"="&amp;AI1889)</f>
        <v>1</v>
      </c>
      <c r="BT1889" t="str">
        <f>IFERROR(VLOOKUP(BB1889&amp;BU1889&amp;X1889,game_rosters!U:W,3,FALSE),"")</f>
        <v>P100105</v>
      </c>
      <c r="BU1889" t="str">
        <f t="shared" si="1878"/>
        <v>Velodrome</v>
      </c>
    </row>
    <row r="1890" spans="1:73" x14ac:dyDescent="0.2">
      <c r="A1890">
        <f t="shared" si="1864"/>
        <v>1</v>
      </c>
      <c r="J1890" s="44" t="str">
        <f t="shared" si="1879"/>
        <v/>
      </c>
      <c r="K1890" t="s">
        <v>7</v>
      </c>
      <c r="L1890" t="s">
        <v>182</v>
      </c>
      <c r="M1890" t="s">
        <v>68</v>
      </c>
      <c r="S1890">
        <v>996</v>
      </c>
      <c r="W1890" t="str">
        <f t="shared" si="1855"/>
        <v>a</v>
      </c>
      <c r="X1890">
        <v>42</v>
      </c>
      <c r="Y1890" t="e">
        <f>IF(X1890&lt;&gt;"",VLOOKUP(X1890,game_rosters!$C$43:$E$64,3,FALSE))</f>
        <v>#N/A</v>
      </c>
      <c r="Z1890" cm="1">
        <f t="array" ref="Z1890">IFERROR(IF(_xlfn._xlws.FILTER(game_rosters!$J:$J,(game_rosters!$G:$G=events!$AN1890)*(game_rosters!$J:$J=events!$X1890))&gt;0,1,""),"")</f>
        <v>1</v>
      </c>
      <c r="AA1890">
        <f t="shared" si="1903"/>
        <v>1996</v>
      </c>
      <c r="AB1890" t="str">
        <f t="shared" si="1904"/>
        <v/>
      </c>
      <c r="AC1890">
        <f t="shared" si="1852"/>
        <v>1996</v>
      </c>
      <c r="AD1890" s="6">
        <v>3</v>
      </c>
      <c r="AE1890" t="s">
        <v>926</v>
      </c>
      <c r="AF1890" t="s">
        <v>916</v>
      </c>
      <c r="AG1890" t="s">
        <v>756</v>
      </c>
      <c r="AH1890" t="s">
        <v>756</v>
      </c>
      <c r="AI1890" t="s">
        <v>367</v>
      </c>
      <c r="AJ1890" t="str">
        <f t="shared" ref="AJ1890:AK1890" si="1910">IF($J1890&lt;&gt;"",$J1890,IF($AC1890=$AC1889,AJ1889,""))</f>
        <v/>
      </c>
      <c r="AK1890" t="str">
        <f t="shared" si="1910"/>
        <v/>
      </c>
      <c r="AL1890" t="str">
        <f t="shared" si="1857"/>
        <v/>
      </c>
      <c r="AN1890" t="s">
        <v>862</v>
      </c>
      <c r="AO1890" t="str">
        <f t="shared" si="1858"/>
        <v>a</v>
      </c>
      <c r="AP1890" t="str">
        <f t="shared" si="1866"/>
        <v/>
      </c>
      <c r="AQ1890" t="str">
        <f t="shared" si="1867"/>
        <v/>
      </c>
      <c r="AR1890" t="str">
        <f t="shared" si="1868"/>
        <v>Away</v>
      </c>
      <c r="AS1890" t="str">
        <f t="shared" si="1869"/>
        <v>a</v>
      </c>
      <c r="AT1890" t="str">
        <f t="shared" si="1870"/>
        <v>Offensive</v>
      </c>
      <c r="BA1890" s="6">
        <f t="shared" si="1859"/>
        <v>437</v>
      </c>
      <c r="BB1890">
        <f t="shared" si="1860"/>
        <v>18981</v>
      </c>
      <c r="BC1890" t="str">
        <f t="shared" si="1861"/>
        <v>Nelson</v>
      </c>
      <c r="BD1890" t="str">
        <f t="shared" si="1862"/>
        <v>Velodrome</v>
      </c>
      <c r="BE1890" t="s">
        <v>7</v>
      </c>
      <c r="BF1890" t="s">
        <v>182</v>
      </c>
      <c r="BG1890" t="s">
        <v>68</v>
      </c>
      <c r="BI1890" cm="1">
        <f t="array" aca="1" ref="BI1890" ca="1">IFERROR(_xlfn._xlws.FILTER(shifts!A:A,(shifts!B:B=events!AD1890)*(shifts!AG:AG&gt;=events!BK1890)*(shifts!AH:AH&lt;=events!BL1890)),BI1889)</f>
        <v>82</v>
      </c>
      <c r="BJ1890" s="15">
        <f t="shared" si="1863"/>
        <v>0</v>
      </c>
      <c r="BK1890">
        <f t="shared" si="1871"/>
        <v>807</v>
      </c>
      <c r="BL1890">
        <f t="shared" si="1872"/>
        <v>807</v>
      </c>
      <c r="BM1890" s="15">
        <f>SUMIFS(BJ$2:BJ1890,K$2:K1890,"=Intermission")+SUMIFS(BJ$2:BJ1890,K$2:K1890,"=Timeout")</f>
        <v>142</v>
      </c>
      <c r="BN1890">
        <f t="shared" si="1873"/>
        <v>2302</v>
      </c>
      <c r="BO1890" s="19">
        <f t="shared" si="1874"/>
        <v>2575</v>
      </c>
      <c r="BP1890">
        <f t="shared" si="1875"/>
        <v>2570</v>
      </c>
      <c r="BQ1890" s="17">
        <f t="shared" si="1876"/>
        <v>2575</v>
      </c>
      <c r="BR1890" t="str">
        <f t="shared" si="1877"/>
        <v>event_team_player_2</v>
      </c>
      <c r="BS1890">
        <f>COUNTIFS(S$3:S1890,"="&amp;S1890,AI$3:AI1890,"="&amp;AI1890)</f>
        <v>2</v>
      </c>
      <c r="BT1890" t="str">
        <f>IFERROR(VLOOKUP(BB1890&amp;BU1890&amp;X1890,game_rosters!U:W,3,FALSE),"")</f>
        <v>P100201</v>
      </c>
      <c r="BU1890" t="str">
        <f t="shared" si="1878"/>
        <v>Velodrome</v>
      </c>
    </row>
    <row r="1891" spans="1:73" x14ac:dyDescent="0.2">
      <c r="A1891">
        <f t="shared" si="1864"/>
        <v>1</v>
      </c>
      <c r="J1891" s="44" t="str">
        <f t="shared" si="1879"/>
        <v/>
      </c>
      <c r="K1891" t="s">
        <v>7</v>
      </c>
      <c r="L1891" t="s">
        <v>182</v>
      </c>
      <c r="M1891" t="s">
        <v>68</v>
      </c>
      <c r="S1891">
        <v>996</v>
      </c>
      <c r="W1891" t="str">
        <f t="shared" si="1855"/>
        <v>a</v>
      </c>
      <c r="X1891">
        <v>44</v>
      </c>
      <c r="Y1891" t="b">
        <f>IF(X1891&lt;&gt;"",VLOOKUP(X1891,game_rosters!$C$43:$E$64,3,FALSE))</f>
        <v>0</v>
      </c>
      <c r="Z1891" t="str" cm="1">
        <f t="array" ref="Z1891">IFERROR(IF(_xlfn._xlws.FILTER(game_rosters!$J:$J,(game_rosters!$G:$G=events!$AN1891)*(game_rosters!$J:$J=events!$X1891))&gt;0,1,""),"")</f>
        <v/>
      </c>
      <c r="AA1891">
        <f t="shared" si="1903"/>
        <v>1996</v>
      </c>
      <c r="AB1891" t="str">
        <f t="shared" si="1904"/>
        <v/>
      </c>
      <c r="AC1891">
        <f t="shared" si="1852"/>
        <v>1996</v>
      </c>
      <c r="AD1891" s="6">
        <v>3</v>
      </c>
      <c r="AE1891" t="s">
        <v>926</v>
      </c>
      <c r="AF1891" t="s">
        <v>916</v>
      </c>
      <c r="AG1891" t="s">
        <v>756</v>
      </c>
      <c r="AH1891" t="s">
        <v>756</v>
      </c>
      <c r="AI1891" t="s">
        <v>368</v>
      </c>
      <c r="AJ1891" t="str">
        <f t="shared" ref="AJ1891:AK1891" si="1911">IF($J1891&lt;&gt;"",$J1891,IF($AC1891=$AC1890,AJ1890,""))</f>
        <v/>
      </c>
      <c r="AK1891" t="str">
        <f t="shared" si="1911"/>
        <v/>
      </c>
      <c r="AL1891" t="str">
        <f t="shared" si="1857"/>
        <v/>
      </c>
      <c r="AN1891" t="s">
        <v>862</v>
      </c>
      <c r="AO1891" t="str">
        <f t="shared" si="1858"/>
        <v>a</v>
      </c>
      <c r="AP1891" t="str">
        <f t="shared" si="1866"/>
        <v/>
      </c>
      <c r="AQ1891" t="str">
        <f t="shared" si="1867"/>
        <v/>
      </c>
      <c r="AR1891" t="str">
        <f t="shared" si="1868"/>
        <v>Away</v>
      </c>
      <c r="AS1891" t="str">
        <f t="shared" si="1869"/>
        <v>a</v>
      </c>
      <c r="AT1891" t="str">
        <f t="shared" si="1870"/>
        <v>Defensive</v>
      </c>
      <c r="BA1891" s="6">
        <f t="shared" si="1859"/>
        <v>437</v>
      </c>
      <c r="BB1891">
        <f t="shared" si="1860"/>
        <v>18981</v>
      </c>
      <c r="BC1891" t="str">
        <f t="shared" si="1861"/>
        <v>Nelson</v>
      </c>
      <c r="BD1891" t="str">
        <f t="shared" si="1862"/>
        <v>Velodrome</v>
      </c>
      <c r="BE1891" t="s">
        <v>7</v>
      </c>
      <c r="BF1891" t="s">
        <v>182</v>
      </c>
      <c r="BG1891" t="s">
        <v>68</v>
      </c>
      <c r="BI1891" cm="1">
        <f t="array" aca="1" ref="BI1891" ca="1">IFERROR(_xlfn._xlws.FILTER(shifts!A:A,(shifts!B:B=events!AD1891)*(shifts!AG:AG&gt;=events!BK1891)*(shifts!AH:AH&lt;=events!BL1891)),BI1890)</f>
        <v>82</v>
      </c>
      <c r="BJ1891" s="15">
        <f t="shared" si="1863"/>
        <v>0</v>
      </c>
      <c r="BK1891">
        <f t="shared" si="1871"/>
        <v>807</v>
      </c>
      <c r="BL1891">
        <f t="shared" si="1872"/>
        <v>807</v>
      </c>
      <c r="BM1891" s="15">
        <f>SUMIFS(BJ$2:BJ1891,K$2:K1891,"=Intermission")+SUMIFS(BJ$2:BJ1891,K$2:K1891,"=Timeout")</f>
        <v>142</v>
      </c>
      <c r="BN1891">
        <f t="shared" si="1873"/>
        <v>2302</v>
      </c>
      <c r="BO1891" s="19">
        <f t="shared" si="1874"/>
        <v>2575</v>
      </c>
      <c r="BP1891">
        <f t="shared" si="1875"/>
        <v>2570</v>
      </c>
      <c r="BQ1891" s="17">
        <f t="shared" si="1876"/>
        <v>2575</v>
      </c>
      <c r="BR1891" t="str">
        <f t="shared" si="1877"/>
        <v>opp_team_player_1</v>
      </c>
      <c r="BS1891">
        <f>COUNTIFS(S$3:S1891,"="&amp;S1891,AI$3:AI1891,"="&amp;AI1891)</f>
        <v>1</v>
      </c>
      <c r="BT1891" t="str">
        <f>IFERROR(VLOOKUP(BB1891&amp;BU1891&amp;X1891,game_rosters!U:W,3,FALSE),"")</f>
        <v>P100079</v>
      </c>
      <c r="BU1891" t="str">
        <f t="shared" si="1878"/>
        <v>Nelson</v>
      </c>
    </row>
    <row r="1892" spans="1:73" x14ac:dyDescent="0.2">
      <c r="A1892">
        <f t="shared" si="1864"/>
        <v>1</v>
      </c>
      <c r="J1892" s="44" t="str">
        <f t="shared" si="1879"/>
        <v/>
      </c>
      <c r="K1892" t="s">
        <v>9</v>
      </c>
      <c r="L1892" t="s">
        <v>173</v>
      </c>
      <c r="M1892" t="s">
        <v>74</v>
      </c>
      <c r="S1892">
        <v>997</v>
      </c>
      <c r="W1892" t="str">
        <f t="shared" si="1855"/>
        <v>a</v>
      </c>
      <c r="X1892">
        <v>9</v>
      </c>
      <c r="Y1892" t="e">
        <f>IF(X1892&lt;&gt;"",VLOOKUP(X1892,game_rosters!$C$43:$E$64,3,FALSE))</f>
        <v>#N/A</v>
      </c>
      <c r="Z1892" cm="1">
        <f t="array" ref="Z1892">IFERROR(IF(_xlfn._xlws.FILTER(game_rosters!$J:$J,(game_rosters!$G:$G=events!$AN1892)*(game_rosters!$J:$J=events!$X1892))&gt;0,1,""),"")</f>
        <v>1</v>
      </c>
      <c r="AA1892">
        <f t="shared" si="1903"/>
        <v>1997</v>
      </c>
      <c r="AB1892" t="str">
        <f t="shared" si="1904"/>
        <v/>
      </c>
      <c r="AC1892">
        <f t="shared" si="1852"/>
        <v>1997</v>
      </c>
      <c r="AD1892" s="6">
        <v>3</v>
      </c>
      <c r="AE1892" t="s">
        <v>926</v>
      </c>
      <c r="AF1892" t="s">
        <v>916</v>
      </c>
      <c r="AG1892" t="s">
        <v>756</v>
      </c>
      <c r="AH1892" t="s">
        <v>756</v>
      </c>
      <c r="AI1892" t="s">
        <v>367</v>
      </c>
      <c r="AJ1892" t="str">
        <f t="shared" ref="AJ1892:AK1892" si="1912">IF($J1892&lt;&gt;"",$J1892,IF($AC1892=$AC1891,AJ1891,""))</f>
        <v/>
      </c>
      <c r="AK1892" t="str">
        <f t="shared" si="1912"/>
        <v/>
      </c>
      <c r="AL1892" t="str">
        <f t="shared" si="1857"/>
        <v/>
      </c>
      <c r="AN1892" t="s">
        <v>862</v>
      </c>
      <c r="AO1892" t="str">
        <f t="shared" si="1858"/>
        <v>a</v>
      </c>
      <c r="AP1892" t="str">
        <f t="shared" si="1866"/>
        <v/>
      </c>
      <c r="AQ1892" t="str">
        <f t="shared" si="1867"/>
        <v/>
      </c>
      <c r="AR1892" t="str">
        <f t="shared" si="1868"/>
        <v>Away</v>
      </c>
      <c r="AS1892" t="str">
        <f t="shared" si="1869"/>
        <v>a</v>
      </c>
      <c r="AT1892" t="str">
        <f t="shared" si="1870"/>
        <v>Offensive</v>
      </c>
      <c r="BA1892" s="6">
        <f t="shared" si="1859"/>
        <v>437</v>
      </c>
      <c r="BB1892">
        <f t="shared" si="1860"/>
        <v>18981</v>
      </c>
      <c r="BC1892" t="str">
        <f t="shared" si="1861"/>
        <v>Nelson</v>
      </c>
      <c r="BD1892" t="str">
        <f t="shared" si="1862"/>
        <v>Velodrome</v>
      </c>
      <c r="BE1892" t="s">
        <v>9</v>
      </c>
      <c r="BF1892" t="s">
        <v>173</v>
      </c>
      <c r="BG1892" t="s">
        <v>74</v>
      </c>
      <c r="BI1892" cm="1">
        <f t="array" aca="1" ref="BI1892" ca="1">IFERROR(_xlfn._xlws.FILTER(shifts!A:A,(shifts!B:B=events!AD1892)*(shifts!AG:AG&gt;=events!BK1892)*(shifts!AH:AH&lt;=events!BL1892)),BI1891)</f>
        <v>82</v>
      </c>
      <c r="BJ1892" s="15">
        <f t="shared" si="1863"/>
        <v>0</v>
      </c>
      <c r="BK1892">
        <f t="shared" si="1871"/>
        <v>807</v>
      </c>
      <c r="BL1892">
        <f t="shared" si="1872"/>
        <v>807</v>
      </c>
      <c r="BM1892" s="15">
        <f>SUMIFS(BJ$2:BJ1892,K$2:K1892,"=Intermission")+SUMIFS(BJ$2:BJ1892,K$2:K1892,"=Timeout")</f>
        <v>142</v>
      </c>
      <c r="BN1892">
        <f t="shared" si="1873"/>
        <v>2302</v>
      </c>
      <c r="BO1892" s="19">
        <f t="shared" si="1874"/>
        <v>2575</v>
      </c>
      <c r="BP1892">
        <f t="shared" si="1875"/>
        <v>2570</v>
      </c>
      <c r="BQ1892" s="17">
        <f t="shared" si="1876"/>
        <v>2575</v>
      </c>
      <c r="BR1892" t="str">
        <f t="shared" si="1877"/>
        <v>event_team_player_1</v>
      </c>
      <c r="BS1892">
        <f>COUNTIFS(S$3:S1892,"="&amp;S1892,AI$3:AI1892,"="&amp;AI1892)</f>
        <v>1</v>
      </c>
      <c r="BT1892" t="str">
        <f>IFERROR(VLOOKUP(BB1892&amp;BU1892&amp;X1892,game_rosters!U:W,3,FALSE),"")</f>
        <v>P100105</v>
      </c>
      <c r="BU1892" t="str">
        <f t="shared" si="1878"/>
        <v>Velodrome</v>
      </c>
    </row>
    <row r="1893" spans="1:73" x14ac:dyDescent="0.2">
      <c r="A1893">
        <f t="shared" si="1864"/>
        <v>1</v>
      </c>
      <c r="J1893" s="44" t="str">
        <f t="shared" si="1879"/>
        <v/>
      </c>
      <c r="K1893" t="s">
        <v>13</v>
      </c>
      <c r="L1893" t="s">
        <v>756</v>
      </c>
      <c r="M1893" t="s">
        <v>756</v>
      </c>
      <c r="S1893">
        <v>998</v>
      </c>
      <c r="W1893" t="str">
        <f t="shared" si="1855"/>
        <v>h</v>
      </c>
      <c r="X1893">
        <v>23</v>
      </c>
      <c r="Y1893" t="b">
        <f>IF(X1893&lt;&gt;"",VLOOKUP(X1893,game_rosters!$C$43:$E$64,3,FALSE))</f>
        <v>0</v>
      </c>
      <c r="Z1893" cm="1">
        <f t="array" ref="Z1893">IFERROR(IF(_xlfn._xlws.FILTER(game_rosters!$J:$J,(game_rosters!$G:$G=events!$AN1893)*(game_rosters!$J:$J=events!$X1893))&gt;0,1,""),"")</f>
        <v>1</v>
      </c>
      <c r="AA1893">
        <f t="shared" si="1903"/>
        <v>1998</v>
      </c>
      <c r="AB1893" t="str">
        <f t="shared" si="1904"/>
        <v/>
      </c>
      <c r="AC1893">
        <f t="shared" si="1852"/>
        <v>1998</v>
      </c>
      <c r="AD1893" s="6">
        <v>3</v>
      </c>
      <c r="AE1893" t="s">
        <v>926</v>
      </c>
      <c r="AF1893" t="s">
        <v>739</v>
      </c>
      <c r="AG1893" t="s">
        <v>926</v>
      </c>
      <c r="AH1893" t="s">
        <v>918</v>
      </c>
      <c r="AI1893" t="s">
        <v>367</v>
      </c>
      <c r="AJ1893" t="str">
        <f t="shared" ref="AJ1893:AK1893" si="1913">IF($J1893&lt;&gt;"",$J1893,IF($AC1893=$AC1892,AJ1892,""))</f>
        <v/>
      </c>
      <c r="AK1893" t="str">
        <f t="shared" si="1913"/>
        <v/>
      </c>
      <c r="AL1893" t="str">
        <f t="shared" si="1857"/>
        <v/>
      </c>
      <c r="AN1893" t="s">
        <v>861</v>
      </c>
      <c r="AO1893" t="str">
        <f t="shared" si="1858"/>
        <v>h</v>
      </c>
      <c r="AP1893" t="str">
        <f t="shared" si="1866"/>
        <v/>
      </c>
      <c r="AQ1893" t="str">
        <f t="shared" si="1867"/>
        <v/>
      </c>
      <c r="AR1893" t="str">
        <f t="shared" si="1868"/>
        <v>Home</v>
      </c>
      <c r="AS1893" t="str">
        <f t="shared" si="1869"/>
        <v>h</v>
      </c>
      <c r="AT1893" t="str">
        <f t="shared" si="1870"/>
        <v>Offensive</v>
      </c>
      <c r="BA1893" s="6">
        <f t="shared" si="1859"/>
        <v>437</v>
      </c>
      <c r="BB1893">
        <f t="shared" si="1860"/>
        <v>18981</v>
      </c>
      <c r="BC1893" t="str">
        <f t="shared" si="1861"/>
        <v>Nelson</v>
      </c>
      <c r="BD1893" t="str">
        <f t="shared" si="1862"/>
        <v>Velodrome</v>
      </c>
      <c r="BE1893" t="s">
        <v>13</v>
      </c>
      <c r="BF1893" t="s">
        <v>756</v>
      </c>
      <c r="BG1893" t="s">
        <v>756</v>
      </c>
      <c r="BI1893" cm="1">
        <f t="array" aca="1" ref="BI1893" ca="1">IFERROR(_xlfn._xlws.FILTER(shifts!A:A,(shifts!B:B=events!AD1893)*(shifts!AG:AG&gt;=events!BK1893)*(shifts!AH:AH&lt;=events!BL1893)),BI1892)</f>
        <v>82</v>
      </c>
      <c r="BJ1893" s="15">
        <f t="shared" si="1863"/>
        <v>4</v>
      </c>
      <c r="BK1893">
        <f t="shared" si="1871"/>
        <v>806</v>
      </c>
      <c r="BL1893">
        <f t="shared" si="1872"/>
        <v>802</v>
      </c>
      <c r="BM1893" s="15">
        <f>SUMIFS(BJ$2:BJ1893,K$2:K1893,"=Intermission")+SUMIFS(BJ$2:BJ1893,K$2:K1893,"=Timeout")</f>
        <v>142</v>
      </c>
      <c r="BN1893">
        <f t="shared" si="1873"/>
        <v>2302</v>
      </c>
      <c r="BO1893" s="19">
        <f t="shared" si="1874"/>
        <v>2576</v>
      </c>
      <c r="BP1893">
        <f t="shared" si="1875"/>
        <v>2571</v>
      </c>
      <c r="BQ1893" s="17">
        <f t="shared" si="1876"/>
        <v>2580</v>
      </c>
      <c r="BR1893" t="str">
        <f t="shared" si="1877"/>
        <v>event_team_player_1</v>
      </c>
      <c r="BS1893">
        <f>COUNTIFS(S$3:S1893,"="&amp;S1893,AI$3:AI1893,"="&amp;AI1893)</f>
        <v>1</v>
      </c>
      <c r="BT1893" t="str">
        <f>IFERROR(VLOOKUP(BB1893&amp;BU1893&amp;X1893,game_rosters!U:W,3,FALSE),"")</f>
        <v>P100061</v>
      </c>
      <c r="BU1893" t="str">
        <f t="shared" si="1878"/>
        <v>Nelson</v>
      </c>
    </row>
    <row r="1894" spans="1:73" x14ac:dyDescent="0.2">
      <c r="A1894">
        <f t="shared" si="1864"/>
        <v>1</v>
      </c>
      <c r="J1894" s="44" t="str">
        <f t="shared" si="1879"/>
        <v/>
      </c>
      <c r="K1894" t="s">
        <v>7</v>
      </c>
      <c r="L1894" t="s">
        <v>182</v>
      </c>
      <c r="M1894" t="s">
        <v>68</v>
      </c>
      <c r="S1894">
        <v>999</v>
      </c>
      <c r="W1894" t="str">
        <f t="shared" si="1855"/>
        <v>h</v>
      </c>
      <c r="X1894">
        <v>23</v>
      </c>
      <c r="Y1894" t="b">
        <f>IF(X1894&lt;&gt;"",VLOOKUP(X1894,game_rosters!$C$43:$E$64,3,FALSE))</f>
        <v>0</v>
      </c>
      <c r="Z1894" cm="1">
        <f t="array" ref="Z1894">IFERROR(IF(_xlfn._xlws.FILTER(game_rosters!$J:$J,(game_rosters!$G:$G=events!$AN1894)*(game_rosters!$J:$J=events!$X1894))&gt;0,1,""),"")</f>
        <v>1</v>
      </c>
      <c r="AA1894">
        <f t="shared" si="1903"/>
        <v>1999</v>
      </c>
      <c r="AB1894" t="str">
        <f t="shared" si="1904"/>
        <v/>
      </c>
      <c r="AC1894">
        <f t="shared" si="1852"/>
        <v>1999</v>
      </c>
      <c r="AD1894" s="6">
        <v>3</v>
      </c>
      <c r="AE1894" t="s">
        <v>926</v>
      </c>
      <c r="AF1894" t="s">
        <v>918</v>
      </c>
      <c r="AG1894" t="s">
        <v>756</v>
      </c>
      <c r="AH1894" t="s">
        <v>756</v>
      </c>
      <c r="AI1894" t="s">
        <v>367</v>
      </c>
      <c r="AJ1894" t="str">
        <f t="shared" ref="AJ1894:AK1894" si="1914">IF($J1894&lt;&gt;"",$J1894,IF($AC1894=$AC1893,AJ1893,""))</f>
        <v/>
      </c>
      <c r="AK1894" t="str">
        <f t="shared" si="1914"/>
        <v/>
      </c>
      <c r="AL1894" t="str">
        <f t="shared" si="1857"/>
        <v/>
      </c>
      <c r="AN1894" t="s">
        <v>861</v>
      </c>
      <c r="AO1894" t="str">
        <f t="shared" si="1858"/>
        <v>h</v>
      </c>
      <c r="AP1894" t="str">
        <f t="shared" si="1866"/>
        <v/>
      </c>
      <c r="AQ1894" t="str">
        <f t="shared" si="1867"/>
        <v/>
      </c>
      <c r="AR1894" t="str">
        <f t="shared" si="1868"/>
        <v>Home</v>
      </c>
      <c r="AS1894" t="str">
        <f t="shared" si="1869"/>
        <v>h</v>
      </c>
      <c r="AT1894" t="str">
        <f t="shared" si="1870"/>
        <v>Offensive</v>
      </c>
      <c r="BA1894" s="6">
        <f t="shared" si="1859"/>
        <v>437</v>
      </c>
      <c r="BB1894">
        <f t="shared" si="1860"/>
        <v>18981</v>
      </c>
      <c r="BC1894" t="str">
        <f t="shared" si="1861"/>
        <v>Nelson</v>
      </c>
      <c r="BD1894" t="str">
        <f t="shared" si="1862"/>
        <v>Velodrome</v>
      </c>
      <c r="BE1894" t="s">
        <v>7</v>
      </c>
      <c r="BF1894" t="s">
        <v>182</v>
      </c>
      <c r="BG1894" t="s">
        <v>68</v>
      </c>
      <c r="BI1894" cm="1">
        <f t="array" aca="1" ref="BI1894" ca="1">IFERROR(_xlfn._xlws.FILTER(shifts!A:A,(shifts!B:B=events!AD1894)*(shifts!AG:AG&gt;=events!BK1894)*(shifts!AH:AH&lt;=events!BL1894)),BI1893)</f>
        <v>82</v>
      </c>
      <c r="BJ1894" s="15">
        <f t="shared" si="1863"/>
        <v>0</v>
      </c>
      <c r="BK1894">
        <f t="shared" si="1871"/>
        <v>802</v>
      </c>
      <c r="BL1894">
        <f t="shared" si="1872"/>
        <v>802</v>
      </c>
      <c r="BM1894" s="15">
        <f>SUMIFS(BJ$2:BJ1894,K$2:K1894,"=Intermission")+SUMIFS(BJ$2:BJ1894,K$2:K1894,"=Timeout")</f>
        <v>142</v>
      </c>
      <c r="BN1894">
        <f t="shared" si="1873"/>
        <v>2302</v>
      </c>
      <c r="BO1894" s="19">
        <f t="shared" si="1874"/>
        <v>2580</v>
      </c>
      <c r="BP1894">
        <f t="shared" si="1875"/>
        <v>2575</v>
      </c>
      <c r="BQ1894" s="17">
        <f t="shared" si="1876"/>
        <v>2580</v>
      </c>
      <c r="BR1894" t="str">
        <f t="shared" si="1877"/>
        <v>event_team_player_1</v>
      </c>
      <c r="BS1894">
        <f>COUNTIFS(S$3:S1894,"="&amp;S1894,AI$3:AI1894,"="&amp;AI1894)</f>
        <v>1</v>
      </c>
      <c r="BT1894" t="str">
        <f>IFERROR(VLOOKUP(BB1894&amp;BU1894&amp;X1894,game_rosters!U:W,3,FALSE),"")</f>
        <v>P100061</v>
      </c>
      <c r="BU1894" t="str">
        <f t="shared" si="1878"/>
        <v>Nelson</v>
      </c>
    </row>
    <row r="1895" spans="1:73" x14ac:dyDescent="0.2">
      <c r="A1895">
        <f t="shared" si="1864"/>
        <v>1</v>
      </c>
      <c r="J1895" s="44" t="str">
        <f t="shared" si="1879"/>
        <v/>
      </c>
      <c r="K1895" t="s">
        <v>7</v>
      </c>
      <c r="L1895" t="s">
        <v>182</v>
      </c>
      <c r="M1895" t="s">
        <v>68</v>
      </c>
      <c r="S1895">
        <v>999</v>
      </c>
      <c r="W1895" t="str">
        <f t="shared" si="1855"/>
        <v>h</v>
      </c>
      <c r="X1895">
        <v>44</v>
      </c>
      <c r="Y1895" t="b">
        <f>IF(X1895&lt;&gt;"",VLOOKUP(X1895,game_rosters!$C$43:$E$64,3,FALSE))</f>
        <v>0</v>
      </c>
      <c r="Z1895" cm="1">
        <f t="array" ref="Z1895">IFERROR(IF(_xlfn._xlws.FILTER(game_rosters!$J:$J,(game_rosters!$G:$G=events!$AN1895)*(game_rosters!$J:$J=events!$X1895))&gt;0,1,""),"")</f>
        <v>1</v>
      </c>
      <c r="AA1895">
        <f t="shared" si="1903"/>
        <v>1999</v>
      </c>
      <c r="AB1895" t="str">
        <f t="shared" si="1904"/>
        <v/>
      </c>
      <c r="AC1895">
        <f t="shared" si="1852"/>
        <v>1999</v>
      </c>
      <c r="AD1895" s="6">
        <v>3</v>
      </c>
      <c r="AE1895" t="s">
        <v>926</v>
      </c>
      <c r="AF1895" t="s">
        <v>918</v>
      </c>
      <c r="AG1895" t="s">
        <v>756</v>
      </c>
      <c r="AH1895" t="s">
        <v>756</v>
      </c>
      <c r="AI1895" t="s">
        <v>367</v>
      </c>
      <c r="AJ1895" t="str">
        <f t="shared" ref="AJ1895:AK1895" si="1915">IF($J1895&lt;&gt;"",$J1895,IF($AC1895=$AC1894,AJ1894,""))</f>
        <v/>
      </c>
      <c r="AK1895" t="str">
        <f t="shared" si="1915"/>
        <v/>
      </c>
      <c r="AL1895" t="str">
        <f t="shared" si="1857"/>
        <v/>
      </c>
      <c r="AN1895" t="s">
        <v>861</v>
      </c>
      <c r="AO1895" t="str">
        <f t="shared" si="1858"/>
        <v>h</v>
      </c>
      <c r="AP1895" t="str">
        <f t="shared" si="1866"/>
        <v/>
      </c>
      <c r="AQ1895" t="str">
        <f t="shared" si="1867"/>
        <v/>
      </c>
      <c r="AR1895" t="str">
        <f t="shared" si="1868"/>
        <v>Home</v>
      </c>
      <c r="AS1895" t="str">
        <f t="shared" si="1869"/>
        <v>h</v>
      </c>
      <c r="AT1895" t="str">
        <f t="shared" si="1870"/>
        <v>Offensive</v>
      </c>
      <c r="BA1895" s="6">
        <f t="shared" si="1859"/>
        <v>437</v>
      </c>
      <c r="BB1895">
        <f t="shared" si="1860"/>
        <v>18981</v>
      </c>
      <c r="BC1895" t="str">
        <f t="shared" si="1861"/>
        <v>Nelson</v>
      </c>
      <c r="BD1895" t="str">
        <f t="shared" si="1862"/>
        <v>Velodrome</v>
      </c>
      <c r="BE1895" t="s">
        <v>7</v>
      </c>
      <c r="BF1895" t="s">
        <v>182</v>
      </c>
      <c r="BG1895" t="s">
        <v>68</v>
      </c>
      <c r="BI1895" cm="1">
        <f t="array" aca="1" ref="BI1895" ca="1">IFERROR(_xlfn._xlws.FILTER(shifts!A:A,(shifts!B:B=events!AD1895)*(shifts!AG:AG&gt;=events!BK1895)*(shifts!AH:AH&lt;=events!BL1895)),BI1894)</f>
        <v>82</v>
      </c>
      <c r="BJ1895" s="15">
        <f t="shared" si="1863"/>
        <v>0</v>
      </c>
      <c r="BK1895">
        <f t="shared" si="1871"/>
        <v>802</v>
      </c>
      <c r="BL1895">
        <f t="shared" si="1872"/>
        <v>802</v>
      </c>
      <c r="BM1895" s="15">
        <f>SUMIFS(BJ$2:BJ1895,K$2:K1895,"=Intermission")+SUMIFS(BJ$2:BJ1895,K$2:K1895,"=Timeout")</f>
        <v>142</v>
      </c>
      <c r="BN1895">
        <f t="shared" si="1873"/>
        <v>2302</v>
      </c>
      <c r="BO1895" s="19">
        <f t="shared" si="1874"/>
        <v>2580</v>
      </c>
      <c r="BP1895">
        <f t="shared" si="1875"/>
        <v>2575</v>
      </c>
      <c r="BQ1895" s="17">
        <f t="shared" si="1876"/>
        <v>2580</v>
      </c>
      <c r="BR1895" t="str">
        <f t="shared" si="1877"/>
        <v>event_team_player_2</v>
      </c>
      <c r="BS1895">
        <f>COUNTIFS(S$3:S1895,"="&amp;S1895,AI$3:AI1895,"="&amp;AI1895)</f>
        <v>2</v>
      </c>
      <c r="BT1895" t="str">
        <f>IFERROR(VLOOKUP(BB1895&amp;BU1895&amp;X1895,game_rosters!U:W,3,FALSE),"")</f>
        <v>P100079</v>
      </c>
      <c r="BU1895" t="str">
        <f t="shared" si="1878"/>
        <v>Nelson</v>
      </c>
    </row>
    <row r="1896" spans="1:73" x14ac:dyDescent="0.2">
      <c r="A1896">
        <f t="shared" si="1864"/>
        <v>1</v>
      </c>
      <c r="J1896" s="44" t="str">
        <f t="shared" si="1879"/>
        <v>d</v>
      </c>
      <c r="K1896" t="s">
        <v>238</v>
      </c>
      <c r="L1896" t="s">
        <v>184</v>
      </c>
      <c r="M1896" t="s">
        <v>376</v>
      </c>
      <c r="S1896">
        <v>1000</v>
      </c>
      <c r="W1896" t="str">
        <f t="shared" si="1855"/>
        <v>h</v>
      </c>
      <c r="X1896">
        <v>23</v>
      </c>
      <c r="Y1896" t="b">
        <f>IF(X1896&lt;&gt;"",VLOOKUP(X1896,game_rosters!$C$43:$E$64,3,FALSE))</f>
        <v>0</v>
      </c>
      <c r="Z1896" cm="1">
        <f t="array" ref="Z1896">IFERROR(IF(_xlfn._xlws.FILTER(game_rosters!$J:$J,(game_rosters!$G:$G=events!$AN1896)*(game_rosters!$J:$J=events!$X1896))&gt;0,1,""),"")</f>
        <v>1</v>
      </c>
      <c r="AA1896">
        <f t="shared" si="1903"/>
        <v>2000</v>
      </c>
      <c r="AB1896" t="str">
        <f t="shared" si="1904"/>
        <v/>
      </c>
      <c r="AC1896">
        <f t="shared" si="1852"/>
        <v>2000</v>
      </c>
      <c r="AD1896" s="6">
        <v>3</v>
      </c>
      <c r="AE1896" t="s">
        <v>926</v>
      </c>
      <c r="AF1896" t="s">
        <v>918</v>
      </c>
      <c r="AG1896" t="s">
        <v>756</v>
      </c>
      <c r="AH1896" t="s">
        <v>756</v>
      </c>
      <c r="AI1896" t="s">
        <v>367</v>
      </c>
      <c r="AJ1896" t="str">
        <f t="shared" ref="AJ1896:AK1896" si="1916">IF($J1896&lt;&gt;"",$J1896,IF($AC1896=$AC1895,AJ1895,""))</f>
        <v>d</v>
      </c>
      <c r="AK1896" t="str">
        <f t="shared" si="1916"/>
        <v>d</v>
      </c>
      <c r="AL1896" t="str">
        <f t="shared" si="1857"/>
        <v>d</v>
      </c>
      <c r="AN1896" t="s">
        <v>861</v>
      </c>
      <c r="AO1896" t="str">
        <f t="shared" si="1858"/>
        <v>h</v>
      </c>
      <c r="AP1896" t="str">
        <f t="shared" si="1866"/>
        <v>d</v>
      </c>
      <c r="AQ1896" t="str">
        <f t="shared" si="1867"/>
        <v/>
      </c>
      <c r="AR1896" t="str">
        <f t="shared" si="1868"/>
        <v>Home</v>
      </c>
      <c r="AS1896" t="str">
        <f t="shared" si="1869"/>
        <v>h</v>
      </c>
      <c r="AT1896" t="str">
        <f t="shared" si="1870"/>
        <v>Offensive</v>
      </c>
      <c r="BA1896" s="6">
        <f t="shared" si="1859"/>
        <v>438</v>
      </c>
      <c r="BB1896">
        <f t="shared" si="1860"/>
        <v>18981</v>
      </c>
      <c r="BC1896" t="str">
        <f t="shared" si="1861"/>
        <v>Nelson</v>
      </c>
      <c r="BD1896" t="str">
        <f t="shared" si="1862"/>
        <v>Velodrome</v>
      </c>
      <c r="BE1896" t="s">
        <v>238</v>
      </c>
      <c r="BF1896" t="s">
        <v>184</v>
      </c>
      <c r="BG1896" t="s">
        <v>376</v>
      </c>
      <c r="BI1896" cm="1">
        <f t="array" aca="1" ref="BI1896" ca="1">IFERROR(_xlfn._xlws.FILTER(shifts!A:A,(shifts!B:B=events!AD1896)*(shifts!AG:AG&gt;=events!BK1896)*(shifts!AH:AH&lt;=events!BL1896)),BI1895)</f>
        <v>82</v>
      </c>
      <c r="BJ1896" s="15">
        <f t="shared" si="1863"/>
        <v>0</v>
      </c>
      <c r="BK1896">
        <f t="shared" si="1871"/>
        <v>802</v>
      </c>
      <c r="BL1896">
        <f t="shared" si="1872"/>
        <v>802</v>
      </c>
      <c r="BM1896" s="15">
        <f>SUMIFS(BJ$2:BJ1896,K$2:K1896,"=Intermission")+SUMIFS(BJ$2:BJ1896,K$2:K1896,"=Timeout")</f>
        <v>142</v>
      </c>
      <c r="BN1896">
        <f t="shared" si="1873"/>
        <v>2302</v>
      </c>
      <c r="BO1896" s="19">
        <f t="shared" si="1874"/>
        <v>2580</v>
      </c>
      <c r="BP1896">
        <f t="shared" si="1875"/>
        <v>2575</v>
      </c>
      <c r="BQ1896" s="17">
        <f t="shared" si="1876"/>
        <v>2580</v>
      </c>
      <c r="BR1896" t="str">
        <f t="shared" si="1877"/>
        <v>event_team_player_1</v>
      </c>
      <c r="BS1896">
        <f>COUNTIFS(S$3:S1896,"="&amp;S1896,AI$3:AI1896,"="&amp;AI1896)</f>
        <v>1</v>
      </c>
      <c r="BT1896" t="str">
        <f>IFERROR(VLOOKUP(BB1896&amp;BU1896&amp;X1896,game_rosters!U:W,3,FALSE),"")</f>
        <v>P100061</v>
      </c>
      <c r="BU1896" t="str">
        <f t="shared" si="1878"/>
        <v>Nelson</v>
      </c>
    </row>
    <row r="1897" spans="1:73" x14ac:dyDescent="0.2">
      <c r="A1897">
        <f t="shared" si="1864"/>
        <v>1</v>
      </c>
      <c r="J1897" s="44" t="str">
        <f t="shared" si="1879"/>
        <v>d</v>
      </c>
      <c r="K1897" t="s">
        <v>238</v>
      </c>
      <c r="L1897" t="s">
        <v>184</v>
      </c>
      <c r="M1897" t="s">
        <v>376</v>
      </c>
      <c r="S1897">
        <v>1000</v>
      </c>
      <c r="W1897" t="str">
        <f t="shared" si="1855"/>
        <v>h</v>
      </c>
      <c r="X1897">
        <v>44</v>
      </c>
      <c r="Y1897" t="b">
        <f>IF(X1897&lt;&gt;"",VLOOKUP(X1897,game_rosters!$C$43:$E$64,3,FALSE))</f>
        <v>0</v>
      </c>
      <c r="Z1897" cm="1">
        <f t="array" ref="Z1897">IFERROR(IF(_xlfn._xlws.FILTER(game_rosters!$J:$J,(game_rosters!$G:$G=events!$AN1897)*(game_rosters!$J:$J=events!$X1897))&gt;0,1,""),"")</f>
        <v>1</v>
      </c>
      <c r="AA1897">
        <f t="shared" si="1903"/>
        <v>2000</v>
      </c>
      <c r="AB1897" t="str">
        <f t="shared" si="1904"/>
        <v/>
      </c>
      <c r="AC1897">
        <f t="shared" si="1852"/>
        <v>2000</v>
      </c>
      <c r="AD1897" s="6">
        <v>3</v>
      </c>
      <c r="AE1897" t="s">
        <v>926</v>
      </c>
      <c r="AF1897" t="s">
        <v>918</v>
      </c>
      <c r="AG1897" t="s">
        <v>756</v>
      </c>
      <c r="AH1897" t="s">
        <v>756</v>
      </c>
      <c r="AI1897" t="s">
        <v>367</v>
      </c>
      <c r="AJ1897" t="str">
        <f t="shared" ref="AJ1897:AK1897" si="1917">IF($J1897&lt;&gt;"",$J1897,IF($AC1897=$AC1896,AJ1896,""))</f>
        <v>d</v>
      </c>
      <c r="AK1897" t="str">
        <f t="shared" si="1917"/>
        <v>d</v>
      </c>
      <c r="AL1897" t="str">
        <f t="shared" si="1857"/>
        <v>d</v>
      </c>
      <c r="AN1897" t="s">
        <v>861</v>
      </c>
      <c r="AO1897" t="str">
        <f t="shared" si="1858"/>
        <v>h</v>
      </c>
      <c r="AP1897" t="str">
        <f t="shared" si="1866"/>
        <v>d</v>
      </c>
      <c r="AQ1897" t="str">
        <f t="shared" si="1867"/>
        <v/>
      </c>
      <c r="AR1897" t="str">
        <f t="shared" si="1868"/>
        <v>Home</v>
      </c>
      <c r="AS1897" t="str">
        <f t="shared" si="1869"/>
        <v>h</v>
      </c>
      <c r="AT1897" t="str">
        <f t="shared" si="1870"/>
        <v>Offensive</v>
      </c>
      <c r="BA1897" s="6">
        <f t="shared" si="1859"/>
        <v>439</v>
      </c>
      <c r="BB1897">
        <f t="shared" si="1860"/>
        <v>18981</v>
      </c>
      <c r="BC1897" t="str">
        <f t="shared" si="1861"/>
        <v>Nelson</v>
      </c>
      <c r="BD1897" t="str">
        <f t="shared" si="1862"/>
        <v>Velodrome</v>
      </c>
      <c r="BE1897" t="s">
        <v>238</v>
      </c>
      <c r="BF1897" t="s">
        <v>184</v>
      </c>
      <c r="BG1897" t="s">
        <v>376</v>
      </c>
      <c r="BI1897" cm="1">
        <f t="array" aca="1" ref="BI1897" ca="1">IFERROR(_xlfn._xlws.FILTER(shifts!A:A,(shifts!B:B=events!AD1897)*(shifts!AG:AG&gt;=events!BK1897)*(shifts!AH:AH&lt;=events!BL1897)),BI1896)</f>
        <v>82</v>
      </c>
      <c r="BJ1897" s="15">
        <f t="shared" si="1863"/>
        <v>0</v>
      </c>
      <c r="BK1897">
        <f t="shared" si="1871"/>
        <v>802</v>
      </c>
      <c r="BL1897">
        <f t="shared" si="1872"/>
        <v>802</v>
      </c>
      <c r="BM1897" s="15">
        <f>SUMIFS(BJ$2:BJ1897,K$2:K1897,"=Intermission")+SUMIFS(BJ$2:BJ1897,K$2:K1897,"=Timeout")</f>
        <v>142</v>
      </c>
      <c r="BN1897">
        <f t="shared" si="1873"/>
        <v>2302</v>
      </c>
      <c r="BO1897" s="19">
        <f t="shared" si="1874"/>
        <v>2580</v>
      </c>
      <c r="BP1897">
        <f t="shared" si="1875"/>
        <v>2575</v>
      </c>
      <c r="BQ1897" s="17">
        <f t="shared" si="1876"/>
        <v>2580</v>
      </c>
      <c r="BR1897" t="str">
        <f t="shared" si="1877"/>
        <v>event_team_player_2</v>
      </c>
      <c r="BS1897">
        <f>COUNTIFS(S$3:S1897,"="&amp;S1897,AI$3:AI1897,"="&amp;AI1897)</f>
        <v>2</v>
      </c>
      <c r="BT1897" t="str">
        <f>IFERROR(VLOOKUP(BB1897&amp;BU1897&amp;X1897,game_rosters!U:W,3,FALSE),"")</f>
        <v>P100079</v>
      </c>
      <c r="BU1897" t="str">
        <f t="shared" si="1878"/>
        <v>Nelson</v>
      </c>
    </row>
    <row r="1898" spans="1:73" x14ac:dyDescent="0.2">
      <c r="A1898">
        <f t="shared" si="1864"/>
        <v>1</v>
      </c>
      <c r="J1898" s="44" t="str">
        <f t="shared" si="1879"/>
        <v/>
      </c>
      <c r="K1898" t="s">
        <v>9</v>
      </c>
      <c r="L1898" t="s">
        <v>173</v>
      </c>
      <c r="M1898" t="s">
        <v>74</v>
      </c>
      <c r="S1898">
        <v>1001</v>
      </c>
      <c r="W1898" t="str">
        <f t="shared" si="1855"/>
        <v>h</v>
      </c>
      <c r="X1898">
        <v>23</v>
      </c>
      <c r="Y1898" t="b">
        <f>IF(X1898&lt;&gt;"",VLOOKUP(X1898,game_rosters!$C$43:$E$64,3,FALSE))</f>
        <v>0</v>
      </c>
      <c r="Z1898" cm="1">
        <f t="array" ref="Z1898">IFERROR(IF(_xlfn._xlws.FILTER(game_rosters!$J:$J,(game_rosters!$G:$G=events!$AN1898)*(game_rosters!$J:$J=events!$X1898))&gt;0,1,""),"")</f>
        <v>1</v>
      </c>
      <c r="AA1898">
        <f t="shared" si="1903"/>
        <v>2001</v>
      </c>
      <c r="AB1898" t="str">
        <f t="shared" si="1904"/>
        <v/>
      </c>
      <c r="AC1898">
        <f t="shared" si="1852"/>
        <v>2001</v>
      </c>
      <c r="AD1898" s="6">
        <v>3</v>
      </c>
      <c r="AE1898" t="s">
        <v>926</v>
      </c>
      <c r="AF1898" t="s">
        <v>918</v>
      </c>
      <c r="AG1898" t="s">
        <v>756</v>
      </c>
      <c r="AH1898" t="s">
        <v>756</v>
      </c>
      <c r="AI1898" t="s">
        <v>367</v>
      </c>
      <c r="AJ1898" t="str">
        <f t="shared" ref="AJ1898:AK1898" si="1918">IF($J1898&lt;&gt;"",$J1898,IF($AC1898=$AC1897,AJ1897,""))</f>
        <v/>
      </c>
      <c r="AK1898" t="str">
        <f t="shared" si="1918"/>
        <v/>
      </c>
      <c r="AL1898" t="str">
        <f t="shared" si="1857"/>
        <v/>
      </c>
      <c r="AN1898" t="s">
        <v>861</v>
      </c>
      <c r="AO1898" t="str">
        <f t="shared" si="1858"/>
        <v>h</v>
      </c>
      <c r="AP1898" t="str">
        <f t="shared" si="1866"/>
        <v/>
      </c>
      <c r="AQ1898" t="str">
        <f t="shared" si="1867"/>
        <v/>
      </c>
      <c r="AR1898" t="str">
        <f t="shared" si="1868"/>
        <v>Home</v>
      </c>
      <c r="AS1898" t="str">
        <f t="shared" si="1869"/>
        <v>h</v>
      </c>
      <c r="AT1898" t="str">
        <f t="shared" si="1870"/>
        <v>Offensive</v>
      </c>
      <c r="BA1898" s="6">
        <f t="shared" si="1859"/>
        <v>439</v>
      </c>
      <c r="BB1898">
        <f t="shared" si="1860"/>
        <v>18981</v>
      </c>
      <c r="BC1898" t="str">
        <f t="shared" si="1861"/>
        <v>Nelson</v>
      </c>
      <c r="BD1898" t="str">
        <f t="shared" si="1862"/>
        <v>Velodrome</v>
      </c>
      <c r="BE1898" t="s">
        <v>9</v>
      </c>
      <c r="BF1898" t="s">
        <v>173</v>
      </c>
      <c r="BG1898" t="s">
        <v>74</v>
      </c>
      <c r="BI1898" cm="1">
        <f t="array" aca="1" ref="BI1898" ca="1">IFERROR(_xlfn._xlws.FILTER(shifts!A:A,(shifts!B:B=events!AD1898)*(shifts!AG:AG&gt;=events!BK1898)*(shifts!AH:AH&lt;=events!BL1898)),BI1897)</f>
        <v>82</v>
      </c>
      <c r="BJ1898" s="15">
        <f t="shared" si="1863"/>
        <v>0</v>
      </c>
      <c r="BK1898">
        <f t="shared" si="1871"/>
        <v>802</v>
      </c>
      <c r="BL1898">
        <f t="shared" si="1872"/>
        <v>802</v>
      </c>
      <c r="BM1898" s="15">
        <f>SUMIFS(BJ$2:BJ1898,K$2:K1898,"=Intermission")+SUMIFS(BJ$2:BJ1898,K$2:K1898,"=Timeout")</f>
        <v>142</v>
      </c>
      <c r="BN1898">
        <f t="shared" si="1873"/>
        <v>2302</v>
      </c>
      <c r="BO1898" s="19">
        <f t="shared" si="1874"/>
        <v>2580</v>
      </c>
      <c r="BP1898">
        <f t="shared" si="1875"/>
        <v>2575</v>
      </c>
      <c r="BQ1898" s="17">
        <f t="shared" si="1876"/>
        <v>2580</v>
      </c>
      <c r="BR1898" t="str">
        <f t="shared" si="1877"/>
        <v>event_team_player_1</v>
      </c>
      <c r="BS1898">
        <f>COUNTIFS(S$3:S1898,"="&amp;S1898,AI$3:AI1898,"="&amp;AI1898)</f>
        <v>1</v>
      </c>
      <c r="BT1898" t="str">
        <f>IFERROR(VLOOKUP(BB1898&amp;BU1898&amp;X1898,game_rosters!U:W,3,FALSE),"")</f>
        <v>P100061</v>
      </c>
      <c r="BU1898" t="str">
        <f t="shared" si="1878"/>
        <v>Nelson</v>
      </c>
    </row>
    <row r="1899" spans="1:73" x14ac:dyDescent="0.2">
      <c r="A1899">
        <f t="shared" si="1864"/>
        <v>1</v>
      </c>
      <c r="J1899" s="44" t="str">
        <f t="shared" si="1879"/>
        <v/>
      </c>
      <c r="K1899" t="s">
        <v>9</v>
      </c>
      <c r="L1899" t="s">
        <v>173</v>
      </c>
      <c r="M1899" t="s">
        <v>365</v>
      </c>
      <c r="S1899">
        <v>1002</v>
      </c>
      <c r="W1899" t="str">
        <f t="shared" si="1855"/>
        <v>a</v>
      </c>
      <c r="X1899">
        <v>9</v>
      </c>
      <c r="Y1899" t="e">
        <f>IF(X1899&lt;&gt;"",VLOOKUP(X1899,game_rosters!$C$43:$E$64,3,FALSE))</f>
        <v>#N/A</v>
      </c>
      <c r="Z1899" cm="1">
        <f t="array" ref="Z1899">IFERROR(IF(_xlfn._xlws.FILTER(game_rosters!$J:$J,(game_rosters!$G:$G=events!$AN1899)*(game_rosters!$J:$J=events!$X1899))&gt;0,1,""),"")</f>
        <v>1</v>
      </c>
      <c r="AA1899">
        <f t="shared" si="1903"/>
        <v>2002</v>
      </c>
      <c r="AB1899" t="str">
        <f t="shared" si="1904"/>
        <v/>
      </c>
      <c r="AC1899">
        <f t="shared" si="1852"/>
        <v>2002</v>
      </c>
      <c r="AD1899" s="6">
        <v>3</v>
      </c>
      <c r="AE1899" t="s">
        <v>926</v>
      </c>
      <c r="AF1899" t="s">
        <v>743</v>
      </c>
      <c r="AG1899" t="s">
        <v>756</v>
      </c>
      <c r="AH1899" t="s">
        <v>756</v>
      </c>
      <c r="AI1899" t="s">
        <v>367</v>
      </c>
      <c r="AJ1899" t="str">
        <f t="shared" ref="AJ1899:AK1899" si="1919">IF($J1899&lt;&gt;"",$J1899,IF($AC1899=$AC1898,AJ1898,""))</f>
        <v/>
      </c>
      <c r="AK1899" t="str">
        <f t="shared" si="1919"/>
        <v/>
      </c>
      <c r="AL1899" t="str">
        <f t="shared" si="1857"/>
        <v/>
      </c>
      <c r="AN1899" t="s">
        <v>862</v>
      </c>
      <c r="AO1899" t="str">
        <f t="shared" si="1858"/>
        <v>a</v>
      </c>
      <c r="AP1899" t="str">
        <f t="shared" si="1866"/>
        <v/>
      </c>
      <c r="AQ1899" t="str">
        <f t="shared" si="1867"/>
        <v/>
      </c>
      <c r="AR1899" t="str">
        <f t="shared" si="1868"/>
        <v>Away</v>
      </c>
      <c r="AS1899" t="str">
        <f t="shared" si="1869"/>
        <v>a</v>
      </c>
      <c r="AT1899" t="str">
        <f t="shared" si="1870"/>
        <v>Offensive</v>
      </c>
      <c r="BA1899" s="6">
        <f t="shared" si="1859"/>
        <v>439</v>
      </c>
      <c r="BB1899">
        <f t="shared" si="1860"/>
        <v>18981</v>
      </c>
      <c r="BC1899" t="str">
        <f t="shared" si="1861"/>
        <v>Nelson</v>
      </c>
      <c r="BD1899" t="str">
        <f t="shared" si="1862"/>
        <v>Velodrome</v>
      </c>
      <c r="BE1899" t="s">
        <v>9</v>
      </c>
      <c r="BF1899" t="s">
        <v>173</v>
      </c>
      <c r="BG1899" t="s">
        <v>365</v>
      </c>
      <c r="BI1899" cm="1">
        <f t="array" aca="1" ref="BI1899" ca="1">IFERROR(_xlfn._xlws.FILTER(shifts!A:A,(shifts!B:B=events!AD1899)*(shifts!AG:AG&gt;=events!BK1899)*(shifts!AH:AH&lt;=events!BL1899)),BI1898)</f>
        <v>83</v>
      </c>
      <c r="BJ1899" s="15">
        <f t="shared" si="1863"/>
        <v>0</v>
      </c>
      <c r="BK1899">
        <f t="shared" si="1871"/>
        <v>798</v>
      </c>
      <c r="BL1899">
        <f t="shared" si="1872"/>
        <v>798</v>
      </c>
      <c r="BM1899" s="15">
        <f>SUMIFS(BJ$2:BJ1899,K$2:K1899,"=Intermission")+SUMIFS(BJ$2:BJ1899,K$2:K1899,"=Timeout")</f>
        <v>142</v>
      </c>
      <c r="BN1899">
        <f t="shared" si="1873"/>
        <v>2302</v>
      </c>
      <c r="BO1899" s="19">
        <f t="shared" si="1874"/>
        <v>2584</v>
      </c>
      <c r="BP1899">
        <f t="shared" si="1875"/>
        <v>2579</v>
      </c>
      <c r="BQ1899" s="17">
        <f t="shared" si="1876"/>
        <v>2584</v>
      </c>
      <c r="BR1899" t="str">
        <f t="shared" si="1877"/>
        <v>event_team_player_1</v>
      </c>
      <c r="BS1899">
        <f>COUNTIFS(S$3:S1899,"="&amp;S1899,AI$3:AI1899,"="&amp;AI1899)</f>
        <v>1</v>
      </c>
      <c r="BT1899" t="str">
        <f>IFERROR(VLOOKUP(BB1899&amp;BU1899&amp;X1899,game_rosters!U:W,3,FALSE),"")</f>
        <v>P100105</v>
      </c>
      <c r="BU1899" t="str">
        <f t="shared" si="1878"/>
        <v>Velodrome</v>
      </c>
    </row>
    <row r="1900" spans="1:73" x14ac:dyDescent="0.2">
      <c r="A1900">
        <f t="shared" si="1864"/>
        <v>1</v>
      </c>
      <c r="J1900" s="44" t="str">
        <f t="shared" si="1879"/>
        <v/>
      </c>
      <c r="K1900" t="s">
        <v>13</v>
      </c>
      <c r="L1900" t="s">
        <v>756</v>
      </c>
      <c r="M1900" t="s">
        <v>756</v>
      </c>
      <c r="S1900">
        <v>1003</v>
      </c>
      <c r="W1900" t="str">
        <f t="shared" si="1855"/>
        <v>h</v>
      </c>
      <c r="X1900">
        <v>10</v>
      </c>
      <c r="Y1900" t="b">
        <f>IF(X1900&lt;&gt;"",VLOOKUP(X1900,game_rosters!$C$43:$E$64,3,FALSE))</f>
        <v>0</v>
      </c>
      <c r="Z1900" cm="1">
        <f t="array" ref="Z1900">IFERROR(IF(_xlfn._xlws.FILTER(game_rosters!$J:$J,(game_rosters!$G:$G=events!$AN1900)*(game_rosters!$J:$J=events!$X1900))&gt;0,1,""),"")</f>
        <v>1</v>
      </c>
      <c r="AA1900">
        <f t="shared" si="1903"/>
        <v>2003</v>
      </c>
      <c r="AB1900" t="str">
        <f t="shared" si="1904"/>
        <v/>
      </c>
      <c r="AC1900">
        <f t="shared" si="1852"/>
        <v>2003</v>
      </c>
      <c r="AD1900" s="6">
        <v>3</v>
      </c>
      <c r="AE1900" t="s">
        <v>926</v>
      </c>
      <c r="AF1900" t="s">
        <v>909</v>
      </c>
      <c r="AG1900" t="s">
        <v>926</v>
      </c>
      <c r="AH1900" t="s">
        <v>745</v>
      </c>
      <c r="AI1900" t="s">
        <v>367</v>
      </c>
      <c r="AJ1900" t="str">
        <f t="shared" ref="AJ1900:AK1900" si="1920">IF($J1900&lt;&gt;"",$J1900,IF($AC1900=$AC1899,AJ1899,""))</f>
        <v/>
      </c>
      <c r="AK1900" t="str">
        <f t="shared" si="1920"/>
        <v/>
      </c>
      <c r="AL1900" t="str">
        <f t="shared" si="1857"/>
        <v/>
      </c>
      <c r="AN1900" t="s">
        <v>861</v>
      </c>
      <c r="AO1900" t="str">
        <f t="shared" si="1858"/>
        <v>h</v>
      </c>
      <c r="AP1900" t="str">
        <f t="shared" si="1866"/>
        <v/>
      </c>
      <c r="AQ1900" t="str">
        <f t="shared" si="1867"/>
        <v/>
      </c>
      <c r="AR1900" t="str">
        <f t="shared" si="1868"/>
        <v>Home</v>
      </c>
      <c r="AS1900" t="str">
        <f t="shared" si="1869"/>
        <v>h</v>
      </c>
      <c r="AT1900" t="str">
        <f t="shared" si="1870"/>
        <v>Offensive</v>
      </c>
      <c r="BA1900" s="6">
        <f t="shared" si="1859"/>
        <v>439</v>
      </c>
      <c r="BB1900">
        <f t="shared" si="1860"/>
        <v>18981</v>
      </c>
      <c r="BC1900" t="str">
        <f t="shared" si="1861"/>
        <v>Nelson</v>
      </c>
      <c r="BD1900" t="str">
        <f t="shared" si="1862"/>
        <v>Velodrome</v>
      </c>
      <c r="BE1900" t="s">
        <v>13</v>
      </c>
      <c r="BF1900" t="s">
        <v>756</v>
      </c>
      <c r="BG1900" t="s">
        <v>756</v>
      </c>
      <c r="BI1900" cm="1">
        <f t="array" aca="1" ref="BI1900" ca="1">IFERROR(_xlfn._xlws.FILTER(shifts!A:A,(shifts!B:B=events!AD1900)*(shifts!AG:AG&gt;=events!BK1900)*(shifts!AH:AH&lt;=events!BL1900)),BI1899)</f>
        <v>83</v>
      </c>
      <c r="BJ1900" s="15">
        <f t="shared" si="1863"/>
        <v>2</v>
      </c>
      <c r="BK1900">
        <f t="shared" si="1871"/>
        <v>796</v>
      </c>
      <c r="BL1900">
        <f t="shared" si="1872"/>
        <v>794</v>
      </c>
      <c r="BM1900" s="15">
        <f>SUMIFS(BJ$2:BJ1900,K$2:K1900,"=Intermission")+SUMIFS(BJ$2:BJ1900,K$2:K1900,"=Timeout")</f>
        <v>142</v>
      </c>
      <c r="BN1900">
        <f t="shared" si="1873"/>
        <v>2302</v>
      </c>
      <c r="BO1900" s="19">
        <f t="shared" si="1874"/>
        <v>2586</v>
      </c>
      <c r="BP1900">
        <f t="shared" si="1875"/>
        <v>2581</v>
      </c>
      <c r="BQ1900" s="17">
        <f t="shared" si="1876"/>
        <v>2588</v>
      </c>
      <c r="BR1900" t="str">
        <f t="shared" si="1877"/>
        <v>event_team_player_1</v>
      </c>
      <c r="BS1900">
        <f>COUNTIFS(S$3:S1900,"="&amp;S1900,AI$3:AI1900,"="&amp;AI1900)</f>
        <v>1</v>
      </c>
      <c r="BT1900" t="str">
        <f>IFERROR(VLOOKUP(BB1900&amp;BU1900&amp;X1900,game_rosters!U:W,3,FALSE),"")</f>
        <v>P100078</v>
      </c>
      <c r="BU1900" t="str">
        <f t="shared" si="1878"/>
        <v>Nelson</v>
      </c>
    </row>
    <row r="1901" spans="1:73" x14ac:dyDescent="0.2">
      <c r="A1901">
        <f t="shared" si="1864"/>
        <v>1</v>
      </c>
      <c r="J1901" s="44" t="str">
        <f t="shared" si="1879"/>
        <v>o</v>
      </c>
      <c r="K1901" t="s">
        <v>238</v>
      </c>
      <c r="L1901" t="s">
        <v>174</v>
      </c>
      <c r="M1901" t="s">
        <v>85</v>
      </c>
      <c r="S1901">
        <v>1004</v>
      </c>
      <c r="W1901" t="str">
        <f t="shared" si="1855"/>
        <v>h</v>
      </c>
      <c r="X1901">
        <v>10</v>
      </c>
      <c r="Y1901" t="b">
        <f>IF(X1901&lt;&gt;"",VLOOKUP(X1901,game_rosters!$C$43:$E$64,3,FALSE))</f>
        <v>0</v>
      </c>
      <c r="Z1901" cm="1">
        <f t="array" ref="Z1901">IFERROR(IF(_xlfn._xlws.FILTER(game_rosters!$J:$J,(game_rosters!$G:$G=events!$AN1901)*(game_rosters!$J:$J=events!$X1901))&gt;0,1,""),"")</f>
        <v>1</v>
      </c>
      <c r="AA1901">
        <f t="shared" si="1903"/>
        <v>2004</v>
      </c>
      <c r="AB1901" t="str">
        <f t="shared" si="1904"/>
        <v/>
      </c>
      <c r="AC1901">
        <f t="shared" si="1852"/>
        <v>2004</v>
      </c>
      <c r="AD1901" s="6">
        <v>3</v>
      </c>
      <c r="AE1901" t="s">
        <v>926</v>
      </c>
      <c r="AF1901" t="s">
        <v>745</v>
      </c>
      <c r="AG1901" t="s">
        <v>926</v>
      </c>
      <c r="AH1901" t="s">
        <v>745</v>
      </c>
      <c r="AI1901" t="s">
        <v>367</v>
      </c>
      <c r="AJ1901" t="str">
        <f t="shared" ref="AJ1901:AK1901" si="1921">IF($J1901&lt;&gt;"",$J1901,IF($AC1901=$AC1900,AJ1900,""))</f>
        <v>o</v>
      </c>
      <c r="AK1901" t="str">
        <f t="shared" si="1921"/>
        <v>o</v>
      </c>
      <c r="AL1901" t="str">
        <f t="shared" si="1857"/>
        <v>o</v>
      </c>
      <c r="AN1901" t="s">
        <v>861</v>
      </c>
      <c r="AO1901" t="str">
        <f t="shared" si="1858"/>
        <v>h</v>
      </c>
      <c r="AP1901" t="str">
        <f t="shared" si="1866"/>
        <v>o</v>
      </c>
      <c r="AQ1901" t="str">
        <f t="shared" si="1867"/>
        <v/>
      </c>
      <c r="AR1901" t="str">
        <f t="shared" si="1868"/>
        <v>Home</v>
      </c>
      <c r="AS1901" t="str">
        <f t="shared" si="1869"/>
        <v>h</v>
      </c>
      <c r="AT1901" t="str">
        <f t="shared" si="1870"/>
        <v>Offensive</v>
      </c>
      <c r="BA1901" s="6">
        <f t="shared" si="1859"/>
        <v>440</v>
      </c>
      <c r="BB1901">
        <f t="shared" si="1860"/>
        <v>18981</v>
      </c>
      <c r="BC1901" t="str">
        <f t="shared" si="1861"/>
        <v>Nelson</v>
      </c>
      <c r="BD1901" t="str">
        <f t="shared" si="1862"/>
        <v>Velodrome</v>
      </c>
      <c r="BE1901" t="s">
        <v>238</v>
      </c>
      <c r="BF1901" t="s">
        <v>174</v>
      </c>
      <c r="BG1901" t="s">
        <v>85</v>
      </c>
      <c r="BI1901" cm="1">
        <f t="array" aca="1" ref="BI1901" ca="1">IFERROR(_xlfn._xlws.FILTER(shifts!A:A,(shifts!B:B=events!AD1901)*(shifts!AG:AG&gt;=events!BK1901)*(shifts!AH:AH&lt;=events!BL1901)),BI1900)</f>
        <v>84</v>
      </c>
      <c r="BJ1901" s="15">
        <f t="shared" si="1863"/>
        <v>0</v>
      </c>
      <c r="BK1901">
        <f t="shared" si="1871"/>
        <v>794</v>
      </c>
      <c r="BL1901">
        <f t="shared" si="1872"/>
        <v>794</v>
      </c>
      <c r="BM1901" s="15">
        <f>SUMIFS(BJ$2:BJ1901,K$2:K1901,"=Intermission")+SUMIFS(BJ$2:BJ1901,K$2:K1901,"=Timeout")</f>
        <v>142</v>
      </c>
      <c r="BN1901">
        <f t="shared" si="1873"/>
        <v>2302</v>
      </c>
      <c r="BO1901" s="19">
        <f t="shared" si="1874"/>
        <v>2588</v>
      </c>
      <c r="BP1901">
        <f t="shared" si="1875"/>
        <v>2583</v>
      </c>
      <c r="BQ1901" s="17">
        <f t="shared" si="1876"/>
        <v>2588</v>
      </c>
      <c r="BR1901" t="str">
        <f t="shared" si="1877"/>
        <v>event_team_player_1</v>
      </c>
      <c r="BS1901">
        <f>COUNTIFS(S$3:S1901,"="&amp;S1901,AI$3:AI1901,"="&amp;AI1901)</f>
        <v>1</v>
      </c>
      <c r="BT1901" t="str">
        <f>IFERROR(VLOOKUP(BB1901&amp;BU1901&amp;X1901,game_rosters!U:W,3,FALSE),"")</f>
        <v>P100078</v>
      </c>
      <c r="BU1901" t="str">
        <f t="shared" si="1878"/>
        <v>Nelson</v>
      </c>
    </row>
    <row r="1902" spans="1:73" x14ac:dyDescent="0.2">
      <c r="A1902">
        <f t="shared" si="1864"/>
        <v>1</v>
      </c>
      <c r="J1902" s="44" t="str">
        <f t="shared" si="1879"/>
        <v>o</v>
      </c>
      <c r="K1902" t="s">
        <v>238</v>
      </c>
      <c r="L1902" t="s">
        <v>174</v>
      </c>
      <c r="M1902" t="s">
        <v>85</v>
      </c>
      <c r="S1902">
        <v>1004</v>
      </c>
      <c r="W1902" t="str">
        <f t="shared" si="1855"/>
        <v>h</v>
      </c>
      <c r="X1902">
        <v>9</v>
      </c>
      <c r="Y1902" t="e">
        <f>IF(X1902&lt;&gt;"",VLOOKUP(X1902,game_rosters!$C$43:$E$64,3,FALSE))</f>
        <v>#N/A</v>
      </c>
      <c r="Z1902" t="str" cm="1">
        <f t="array" ref="Z1902">IFERROR(IF(_xlfn._xlws.FILTER(game_rosters!$J:$J,(game_rosters!$G:$G=events!$AN1902)*(game_rosters!$J:$J=events!$X1902))&gt;0,1,""),"")</f>
        <v/>
      </c>
      <c r="AA1902">
        <f t="shared" si="1903"/>
        <v>2004</v>
      </c>
      <c r="AB1902" t="str">
        <f t="shared" si="1904"/>
        <v/>
      </c>
      <c r="AC1902">
        <f t="shared" si="1852"/>
        <v>2004</v>
      </c>
      <c r="AD1902" s="6">
        <v>3</v>
      </c>
      <c r="AE1902" t="s">
        <v>926</v>
      </c>
      <c r="AF1902" t="s">
        <v>745</v>
      </c>
      <c r="AG1902" t="s">
        <v>926</v>
      </c>
      <c r="AH1902" t="s">
        <v>745</v>
      </c>
      <c r="AI1902" t="s">
        <v>368</v>
      </c>
      <c r="AJ1902" t="str">
        <f t="shared" ref="AJ1902:AK1902" si="1922">IF($J1902&lt;&gt;"",$J1902,IF($AC1902=$AC1901,AJ1901,""))</f>
        <v>o</v>
      </c>
      <c r="AK1902" t="str">
        <f t="shared" si="1922"/>
        <v>o</v>
      </c>
      <c r="AL1902" t="str">
        <f t="shared" si="1857"/>
        <v>o</v>
      </c>
      <c r="AN1902" t="s">
        <v>861</v>
      </c>
      <c r="AO1902" t="str">
        <f t="shared" si="1858"/>
        <v>h</v>
      </c>
      <c r="AP1902" t="str">
        <f t="shared" si="1866"/>
        <v>o</v>
      </c>
      <c r="AQ1902" t="str">
        <f t="shared" si="1867"/>
        <v/>
      </c>
      <c r="AR1902" t="str">
        <f t="shared" si="1868"/>
        <v>Home</v>
      </c>
      <c r="AS1902" t="str">
        <f t="shared" si="1869"/>
        <v>h</v>
      </c>
      <c r="AT1902" t="str">
        <f t="shared" si="1870"/>
        <v>Defensive</v>
      </c>
      <c r="BA1902" s="6">
        <f t="shared" si="1859"/>
        <v>441</v>
      </c>
      <c r="BB1902">
        <f t="shared" si="1860"/>
        <v>18981</v>
      </c>
      <c r="BC1902" t="str">
        <f t="shared" si="1861"/>
        <v>Nelson</v>
      </c>
      <c r="BD1902" t="str">
        <f t="shared" si="1862"/>
        <v>Velodrome</v>
      </c>
      <c r="BE1902" t="s">
        <v>238</v>
      </c>
      <c r="BF1902" t="s">
        <v>174</v>
      </c>
      <c r="BG1902" t="s">
        <v>85</v>
      </c>
      <c r="BI1902" cm="1">
        <f t="array" aca="1" ref="BI1902" ca="1">IFERROR(_xlfn._xlws.FILTER(shifts!A:A,(shifts!B:B=events!AD1902)*(shifts!AG:AG&gt;=events!BK1902)*(shifts!AH:AH&lt;=events!BL1902)),BI1901)</f>
        <v>84</v>
      </c>
      <c r="BJ1902" s="15">
        <f t="shared" si="1863"/>
        <v>0</v>
      </c>
      <c r="BK1902">
        <f t="shared" si="1871"/>
        <v>794</v>
      </c>
      <c r="BL1902">
        <f t="shared" si="1872"/>
        <v>794</v>
      </c>
      <c r="BM1902" s="15">
        <f>SUMIFS(BJ$2:BJ1902,K$2:K1902,"=Intermission")+SUMIFS(BJ$2:BJ1902,K$2:K1902,"=Timeout")</f>
        <v>142</v>
      </c>
      <c r="BN1902">
        <f t="shared" si="1873"/>
        <v>2302</v>
      </c>
      <c r="BO1902" s="19">
        <f t="shared" si="1874"/>
        <v>2588</v>
      </c>
      <c r="BP1902">
        <f t="shared" si="1875"/>
        <v>2583</v>
      </c>
      <c r="BQ1902" s="17">
        <f t="shared" si="1876"/>
        <v>2588</v>
      </c>
      <c r="BR1902" t="str">
        <f t="shared" si="1877"/>
        <v>opp_team_player_1</v>
      </c>
      <c r="BS1902">
        <f>COUNTIFS(S$3:S1902,"="&amp;S1902,AI$3:AI1902,"="&amp;AI1902)</f>
        <v>1</v>
      </c>
      <c r="BT1902" t="str">
        <f>IFERROR(VLOOKUP(BB1902&amp;BU1902&amp;X1902,game_rosters!U:W,3,FALSE),"")</f>
        <v>P100105</v>
      </c>
      <c r="BU1902" t="str">
        <f t="shared" si="1878"/>
        <v>Velodrome</v>
      </c>
    </row>
    <row r="1903" spans="1:73" x14ac:dyDescent="0.2">
      <c r="A1903">
        <f t="shared" si="1864"/>
        <v>1</v>
      </c>
      <c r="J1903" s="44" t="str">
        <f t="shared" si="1879"/>
        <v>o</v>
      </c>
      <c r="K1903" t="s">
        <v>238</v>
      </c>
      <c r="L1903" t="s">
        <v>174</v>
      </c>
      <c r="M1903" t="s">
        <v>85</v>
      </c>
      <c r="S1903">
        <v>1004</v>
      </c>
      <c r="W1903" t="str">
        <f t="shared" si="1855"/>
        <v>h</v>
      </c>
      <c r="X1903">
        <v>14</v>
      </c>
      <c r="Y1903" t="e">
        <f>IF(X1903&lt;&gt;"",VLOOKUP(X1903,game_rosters!$C$43:$E$64,3,FALSE))</f>
        <v>#N/A</v>
      </c>
      <c r="Z1903" t="str" cm="1">
        <f t="array" ref="Z1903">IFERROR(IF(_xlfn._xlws.FILTER(game_rosters!$J:$J,(game_rosters!$G:$G=events!$AN1903)*(game_rosters!$J:$J=events!$X1903))&gt;0,1,""),"")</f>
        <v/>
      </c>
      <c r="AA1903">
        <f t="shared" si="1903"/>
        <v>2004</v>
      </c>
      <c r="AB1903" t="str">
        <f t="shared" si="1904"/>
        <v/>
      </c>
      <c r="AC1903">
        <f t="shared" si="1852"/>
        <v>2004</v>
      </c>
      <c r="AD1903" s="6">
        <v>3</v>
      </c>
      <c r="AE1903" t="s">
        <v>926</v>
      </c>
      <c r="AF1903" t="s">
        <v>745</v>
      </c>
      <c r="AG1903" t="s">
        <v>926</v>
      </c>
      <c r="AH1903" t="s">
        <v>745</v>
      </c>
      <c r="AI1903" t="s">
        <v>368</v>
      </c>
      <c r="AJ1903" t="str">
        <f t="shared" ref="AJ1903:AK1903" si="1923">IF($J1903&lt;&gt;"",$J1903,IF($AC1903=$AC1902,AJ1902,""))</f>
        <v>o</v>
      </c>
      <c r="AK1903" t="str">
        <f t="shared" si="1923"/>
        <v>o</v>
      </c>
      <c r="AL1903" t="str">
        <f t="shared" si="1857"/>
        <v>o</v>
      </c>
      <c r="AN1903" t="s">
        <v>861</v>
      </c>
      <c r="AO1903" t="str">
        <f t="shared" si="1858"/>
        <v>h</v>
      </c>
      <c r="AP1903" t="str">
        <f t="shared" si="1866"/>
        <v>o</v>
      </c>
      <c r="AQ1903" t="str">
        <f t="shared" si="1867"/>
        <v/>
      </c>
      <c r="AR1903" t="str">
        <f t="shared" si="1868"/>
        <v>Home</v>
      </c>
      <c r="AS1903" t="str">
        <f t="shared" si="1869"/>
        <v>h</v>
      </c>
      <c r="AT1903" t="str">
        <f t="shared" si="1870"/>
        <v>Defensive</v>
      </c>
      <c r="BA1903" s="6">
        <f t="shared" si="1859"/>
        <v>442</v>
      </c>
      <c r="BB1903">
        <f t="shared" si="1860"/>
        <v>18981</v>
      </c>
      <c r="BC1903" t="str">
        <f t="shared" si="1861"/>
        <v>Nelson</v>
      </c>
      <c r="BD1903" t="str">
        <f t="shared" si="1862"/>
        <v>Velodrome</v>
      </c>
      <c r="BE1903" t="s">
        <v>238</v>
      </c>
      <c r="BF1903" t="s">
        <v>174</v>
      </c>
      <c r="BG1903" t="s">
        <v>85</v>
      </c>
      <c r="BI1903" cm="1">
        <f t="array" aca="1" ref="BI1903" ca="1">IFERROR(_xlfn._xlws.FILTER(shifts!A:A,(shifts!B:B=events!AD1903)*(shifts!AG:AG&gt;=events!BK1903)*(shifts!AH:AH&lt;=events!BL1903)),BI1902)</f>
        <v>84</v>
      </c>
      <c r="BJ1903" s="15">
        <f t="shared" si="1863"/>
        <v>0</v>
      </c>
      <c r="BK1903">
        <f t="shared" si="1871"/>
        <v>794</v>
      </c>
      <c r="BL1903">
        <f t="shared" si="1872"/>
        <v>794</v>
      </c>
      <c r="BM1903" s="15">
        <f>SUMIFS(BJ$2:BJ1903,K$2:K1903,"=Intermission")+SUMIFS(BJ$2:BJ1903,K$2:K1903,"=Timeout")</f>
        <v>142</v>
      </c>
      <c r="BN1903">
        <f t="shared" si="1873"/>
        <v>2302</v>
      </c>
      <c r="BO1903" s="19">
        <f t="shared" si="1874"/>
        <v>2588</v>
      </c>
      <c r="BP1903">
        <f t="shared" si="1875"/>
        <v>2583</v>
      </c>
      <c r="BQ1903" s="17">
        <f t="shared" si="1876"/>
        <v>2588</v>
      </c>
      <c r="BR1903" t="str">
        <f t="shared" si="1877"/>
        <v>opp_team_player_2</v>
      </c>
      <c r="BS1903">
        <f>COUNTIFS(S$3:S1903,"="&amp;S1903,AI$3:AI1903,"="&amp;AI1903)</f>
        <v>2</v>
      </c>
      <c r="BT1903" t="str">
        <f>IFERROR(VLOOKUP(BB1903&amp;BU1903&amp;X1903,game_rosters!U:W,3,FALSE),"")</f>
        <v>P100132</v>
      </c>
      <c r="BU1903" t="str">
        <f t="shared" si="1878"/>
        <v>Velodrome</v>
      </c>
    </row>
    <row r="1904" spans="1:73" x14ac:dyDescent="0.2">
      <c r="A1904">
        <f t="shared" si="1864"/>
        <v>1</v>
      </c>
      <c r="J1904" s="44" t="str">
        <f t="shared" si="1879"/>
        <v>o</v>
      </c>
      <c r="K1904" t="s">
        <v>6</v>
      </c>
      <c r="L1904" t="s">
        <v>205</v>
      </c>
      <c r="M1904" t="s">
        <v>51</v>
      </c>
      <c r="S1904">
        <v>1005</v>
      </c>
      <c r="W1904" t="str">
        <f t="shared" si="1855"/>
        <v>h</v>
      </c>
      <c r="X1904">
        <v>10</v>
      </c>
      <c r="Y1904" t="b">
        <f>IF(X1904&lt;&gt;"",VLOOKUP(X1904,game_rosters!$C$43:$E$64,3,FALSE))</f>
        <v>0</v>
      </c>
      <c r="Z1904" cm="1">
        <f t="array" ref="Z1904">IFERROR(IF(_xlfn._xlws.FILTER(game_rosters!$J:$J,(game_rosters!$G:$G=events!$AN1904)*(game_rosters!$J:$J=events!$X1904))&gt;0,1,""),"")</f>
        <v>1</v>
      </c>
      <c r="AA1904">
        <f t="shared" si="1903"/>
        <v>2005</v>
      </c>
      <c r="AB1904" t="str">
        <f t="shared" si="1904"/>
        <v/>
      </c>
      <c r="AC1904">
        <f t="shared" si="1852"/>
        <v>2005</v>
      </c>
      <c r="AD1904" s="6">
        <v>3</v>
      </c>
      <c r="AE1904" t="s">
        <v>926</v>
      </c>
      <c r="AF1904" t="s">
        <v>745</v>
      </c>
      <c r="AG1904" t="s">
        <v>756</v>
      </c>
      <c r="AH1904" t="s">
        <v>756</v>
      </c>
      <c r="AI1904" t="s">
        <v>367</v>
      </c>
      <c r="AJ1904" t="str">
        <f t="shared" ref="AJ1904:AK1904" si="1924">IF($J1904&lt;&gt;"",$J1904,IF($AC1904=$AC1903,AJ1903,""))</f>
        <v>o</v>
      </c>
      <c r="AK1904" t="str">
        <f t="shared" si="1924"/>
        <v>o</v>
      </c>
      <c r="AL1904" t="str">
        <f t="shared" si="1857"/>
        <v>o</v>
      </c>
      <c r="AN1904" t="s">
        <v>861</v>
      </c>
      <c r="AO1904" t="str">
        <f t="shared" si="1858"/>
        <v>h</v>
      </c>
      <c r="AP1904" t="str">
        <f t="shared" si="1866"/>
        <v>o</v>
      </c>
      <c r="AQ1904" t="str">
        <f t="shared" si="1867"/>
        <v/>
      </c>
      <c r="AR1904" t="str">
        <f t="shared" si="1868"/>
        <v>Home</v>
      </c>
      <c r="AS1904" t="str">
        <f t="shared" si="1869"/>
        <v>h</v>
      </c>
      <c r="AT1904" t="str">
        <f t="shared" si="1870"/>
        <v>Offensive</v>
      </c>
      <c r="BA1904" s="6">
        <f t="shared" si="1859"/>
        <v>442</v>
      </c>
      <c r="BB1904">
        <f t="shared" si="1860"/>
        <v>18981</v>
      </c>
      <c r="BC1904" t="str">
        <f t="shared" si="1861"/>
        <v>Nelson</v>
      </c>
      <c r="BD1904" t="str">
        <f t="shared" si="1862"/>
        <v>Velodrome</v>
      </c>
      <c r="BE1904" t="s">
        <v>6</v>
      </c>
      <c r="BF1904" t="s">
        <v>205</v>
      </c>
      <c r="BG1904" t="s">
        <v>51</v>
      </c>
      <c r="BI1904" cm="1">
        <f t="array" aca="1" ref="BI1904" ca="1">IFERROR(_xlfn._xlws.FILTER(shifts!A:A,(shifts!B:B=events!AD1904)*(shifts!AG:AG&gt;=events!BK1904)*(shifts!AH:AH&lt;=events!BL1904)),BI1903)</f>
        <v>84</v>
      </c>
      <c r="BJ1904" s="15">
        <f t="shared" si="1863"/>
        <v>0</v>
      </c>
      <c r="BK1904">
        <f t="shared" si="1871"/>
        <v>794</v>
      </c>
      <c r="BL1904">
        <f t="shared" si="1872"/>
        <v>794</v>
      </c>
      <c r="BM1904" s="15">
        <f>SUMIFS(BJ$2:BJ1904,K$2:K1904,"=Intermission")+SUMIFS(BJ$2:BJ1904,K$2:K1904,"=Timeout")</f>
        <v>142</v>
      </c>
      <c r="BN1904">
        <f t="shared" si="1873"/>
        <v>2302</v>
      </c>
      <c r="BO1904" s="19">
        <f t="shared" si="1874"/>
        <v>2588</v>
      </c>
      <c r="BP1904">
        <f t="shared" si="1875"/>
        <v>2583</v>
      </c>
      <c r="BQ1904" s="17">
        <f t="shared" si="1876"/>
        <v>2588</v>
      </c>
      <c r="BR1904" t="str">
        <f t="shared" si="1877"/>
        <v>event_team_player_1</v>
      </c>
      <c r="BS1904">
        <f>COUNTIFS(S$3:S1904,"="&amp;S1904,AI$3:AI1904,"="&amp;AI1904)</f>
        <v>1</v>
      </c>
      <c r="BT1904" t="str">
        <f>IFERROR(VLOOKUP(BB1904&amp;BU1904&amp;X1904,game_rosters!U:W,3,FALSE),"")</f>
        <v>P100078</v>
      </c>
      <c r="BU1904" t="str">
        <f t="shared" si="1878"/>
        <v>Nelson</v>
      </c>
    </row>
    <row r="1905" spans="1:73" x14ac:dyDescent="0.2">
      <c r="A1905">
        <f t="shared" si="1864"/>
        <v>1</v>
      </c>
      <c r="J1905" s="44" t="str">
        <f t="shared" si="1879"/>
        <v>o</v>
      </c>
      <c r="K1905" t="s">
        <v>6</v>
      </c>
      <c r="L1905" t="s">
        <v>205</v>
      </c>
      <c r="M1905" t="s">
        <v>51</v>
      </c>
      <c r="S1905">
        <v>1005</v>
      </c>
      <c r="W1905" t="str">
        <f t="shared" si="1855"/>
        <v>h</v>
      </c>
      <c r="X1905">
        <v>39</v>
      </c>
      <c r="Y1905" t="e">
        <f>IF(X1905&lt;&gt;"",VLOOKUP(X1905,game_rosters!$C$43:$E$64,3,FALSE))</f>
        <v>#N/A</v>
      </c>
      <c r="Z1905" t="str" cm="1">
        <f t="array" ref="Z1905">IFERROR(IF(_xlfn._xlws.FILTER(game_rosters!$J:$J,(game_rosters!$G:$G=events!$AN1905)*(game_rosters!$J:$J=events!$X1905))&gt;0,1,""),"")</f>
        <v/>
      </c>
      <c r="AA1905">
        <f t="shared" si="1903"/>
        <v>2005</v>
      </c>
      <c r="AB1905" t="str">
        <f t="shared" si="1904"/>
        <v/>
      </c>
      <c r="AC1905">
        <f t="shared" si="1852"/>
        <v>2005</v>
      </c>
      <c r="AD1905" s="6">
        <v>3</v>
      </c>
      <c r="AE1905" t="s">
        <v>926</v>
      </c>
      <c r="AF1905" t="s">
        <v>745</v>
      </c>
      <c r="AG1905" t="s">
        <v>756</v>
      </c>
      <c r="AH1905" t="s">
        <v>756</v>
      </c>
      <c r="AI1905" t="s">
        <v>368</v>
      </c>
      <c r="AJ1905" t="str">
        <f t="shared" ref="AJ1905:AK1905" si="1925">IF($J1905&lt;&gt;"",$J1905,IF($AC1905=$AC1904,AJ1904,""))</f>
        <v>o</v>
      </c>
      <c r="AK1905" t="str">
        <f t="shared" si="1925"/>
        <v>o</v>
      </c>
      <c r="AL1905" t="str">
        <f t="shared" si="1857"/>
        <v>o</v>
      </c>
      <c r="AN1905" t="s">
        <v>861</v>
      </c>
      <c r="AO1905" t="str">
        <f t="shared" si="1858"/>
        <v>h</v>
      </c>
      <c r="AP1905" t="str">
        <f t="shared" si="1866"/>
        <v>o</v>
      </c>
      <c r="AQ1905" t="str">
        <f t="shared" si="1867"/>
        <v/>
      </c>
      <c r="AR1905" t="str">
        <f t="shared" si="1868"/>
        <v>Home</v>
      </c>
      <c r="AS1905" t="str">
        <f t="shared" si="1869"/>
        <v>h</v>
      </c>
      <c r="AT1905" t="str">
        <f t="shared" si="1870"/>
        <v>Defensive</v>
      </c>
      <c r="BA1905" s="6">
        <f t="shared" si="1859"/>
        <v>442</v>
      </c>
      <c r="BB1905">
        <f t="shared" si="1860"/>
        <v>18981</v>
      </c>
      <c r="BC1905" t="str">
        <f t="shared" si="1861"/>
        <v>Nelson</v>
      </c>
      <c r="BD1905" t="str">
        <f t="shared" si="1862"/>
        <v>Velodrome</v>
      </c>
      <c r="BE1905" t="s">
        <v>6</v>
      </c>
      <c r="BF1905" t="s">
        <v>205</v>
      </c>
      <c r="BG1905" t="s">
        <v>51</v>
      </c>
      <c r="BI1905" cm="1">
        <f t="array" aca="1" ref="BI1905" ca="1">IFERROR(_xlfn._xlws.FILTER(shifts!A:A,(shifts!B:B=events!AD1905)*(shifts!AG:AG&gt;=events!BK1905)*(shifts!AH:AH&lt;=events!BL1905)),BI1904)</f>
        <v>84</v>
      </c>
      <c r="BJ1905" s="15">
        <f t="shared" si="1863"/>
        <v>0</v>
      </c>
      <c r="BK1905">
        <f t="shared" si="1871"/>
        <v>794</v>
      </c>
      <c r="BL1905">
        <f t="shared" si="1872"/>
        <v>794</v>
      </c>
      <c r="BM1905" s="15">
        <f>SUMIFS(BJ$2:BJ1905,K$2:K1905,"=Intermission")+SUMIFS(BJ$2:BJ1905,K$2:K1905,"=Timeout")</f>
        <v>142</v>
      </c>
      <c r="BN1905">
        <f t="shared" si="1873"/>
        <v>2302</v>
      </c>
      <c r="BO1905" s="19">
        <f t="shared" si="1874"/>
        <v>2588</v>
      </c>
      <c r="BP1905">
        <f t="shared" si="1875"/>
        <v>2583</v>
      </c>
      <c r="BQ1905" s="17">
        <f t="shared" si="1876"/>
        <v>2588</v>
      </c>
      <c r="BR1905" t="str">
        <f t="shared" si="1877"/>
        <v>opp_team_player_1</v>
      </c>
      <c r="BS1905">
        <f>COUNTIFS(S$3:S1905,"="&amp;S1905,AI$3:AI1905,"="&amp;AI1905)</f>
        <v>1</v>
      </c>
      <c r="BT1905" t="str">
        <f>IFERROR(VLOOKUP(BB1905&amp;BU1905&amp;X1905,game_rosters!U:W,3,FALSE),"")</f>
        <v>P100016</v>
      </c>
      <c r="BU1905" t="str">
        <f t="shared" si="1878"/>
        <v>Velodrome</v>
      </c>
    </row>
    <row r="1906" spans="1:73" x14ac:dyDescent="0.2">
      <c r="A1906">
        <f t="shared" si="1864"/>
        <v>1</v>
      </c>
      <c r="J1906" s="44" t="str">
        <f t="shared" si="1879"/>
        <v>o</v>
      </c>
      <c r="K1906" t="s">
        <v>6</v>
      </c>
      <c r="L1906" t="s">
        <v>205</v>
      </c>
      <c r="M1906" t="s">
        <v>51</v>
      </c>
      <c r="S1906">
        <v>1005</v>
      </c>
      <c r="W1906" t="str">
        <f t="shared" si="1855"/>
        <v>h</v>
      </c>
      <c r="X1906">
        <v>9</v>
      </c>
      <c r="Y1906" t="e">
        <f>IF(X1906&lt;&gt;"",VLOOKUP(X1906,game_rosters!$C$43:$E$64,3,FALSE))</f>
        <v>#N/A</v>
      </c>
      <c r="Z1906" t="str" cm="1">
        <f t="array" ref="Z1906">IFERROR(IF(_xlfn._xlws.FILTER(game_rosters!$J:$J,(game_rosters!$G:$G=events!$AN1906)*(game_rosters!$J:$J=events!$X1906))&gt;0,1,""),"")</f>
        <v/>
      </c>
      <c r="AA1906">
        <f t="shared" si="1903"/>
        <v>2005</v>
      </c>
      <c r="AB1906" t="str">
        <f t="shared" si="1904"/>
        <v/>
      </c>
      <c r="AC1906">
        <f t="shared" si="1852"/>
        <v>2005</v>
      </c>
      <c r="AD1906" s="6">
        <v>3</v>
      </c>
      <c r="AE1906" t="s">
        <v>926</v>
      </c>
      <c r="AF1906" t="s">
        <v>745</v>
      </c>
      <c r="AG1906" t="s">
        <v>756</v>
      </c>
      <c r="AH1906" t="s">
        <v>756</v>
      </c>
      <c r="AI1906" t="s">
        <v>368</v>
      </c>
      <c r="AJ1906" t="str">
        <f t="shared" ref="AJ1906:AK1906" si="1926">IF($J1906&lt;&gt;"",$J1906,IF($AC1906=$AC1905,AJ1905,""))</f>
        <v>o</v>
      </c>
      <c r="AK1906" t="str">
        <f t="shared" si="1926"/>
        <v>o</v>
      </c>
      <c r="AL1906" t="str">
        <f t="shared" si="1857"/>
        <v>o</v>
      </c>
      <c r="AN1906" t="s">
        <v>861</v>
      </c>
      <c r="AO1906" t="str">
        <f t="shared" si="1858"/>
        <v>h</v>
      </c>
      <c r="AP1906" t="str">
        <f t="shared" si="1866"/>
        <v>o</v>
      </c>
      <c r="AQ1906" t="str">
        <f t="shared" si="1867"/>
        <v/>
      </c>
      <c r="AR1906" t="str">
        <f t="shared" si="1868"/>
        <v>Home</v>
      </c>
      <c r="AS1906" t="str">
        <f t="shared" si="1869"/>
        <v>h</v>
      </c>
      <c r="AT1906" t="str">
        <f t="shared" si="1870"/>
        <v>Defensive</v>
      </c>
      <c r="BA1906" s="6">
        <f t="shared" si="1859"/>
        <v>442</v>
      </c>
      <c r="BB1906">
        <f t="shared" si="1860"/>
        <v>18981</v>
      </c>
      <c r="BC1906" t="str">
        <f t="shared" si="1861"/>
        <v>Nelson</v>
      </c>
      <c r="BD1906" t="str">
        <f t="shared" si="1862"/>
        <v>Velodrome</v>
      </c>
      <c r="BE1906" t="s">
        <v>6</v>
      </c>
      <c r="BF1906" t="s">
        <v>205</v>
      </c>
      <c r="BG1906" t="s">
        <v>51</v>
      </c>
      <c r="BI1906" cm="1">
        <f t="array" aca="1" ref="BI1906" ca="1">IFERROR(_xlfn._xlws.FILTER(shifts!A:A,(shifts!B:B=events!AD1906)*(shifts!AG:AG&gt;=events!BK1906)*(shifts!AH:AH&lt;=events!BL1906)),BI1905)</f>
        <v>84</v>
      </c>
      <c r="BJ1906" s="15">
        <f t="shared" si="1863"/>
        <v>0</v>
      </c>
      <c r="BK1906">
        <f t="shared" si="1871"/>
        <v>794</v>
      </c>
      <c r="BL1906">
        <f t="shared" si="1872"/>
        <v>794</v>
      </c>
      <c r="BM1906" s="15">
        <f>SUMIFS(BJ$2:BJ1906,K$2:K1906,"=Intermission")+SUMIFS(BJ$2:BJ1906,K$2:K1906,"=Timeout")</f>
        <v>142</v>
      </c>
      <c r="BN1906">
        <f t="shared" si="1873"/>
        <v>2302</v>
      </c>
      <c r="BO1906" s="19">
        <f t="shared" si="1874"/>
        <v>2588</v>
      </c>
      <c r="BP1906">
        <f t="shared" si="1875"/>
        <v>2583</v>
      </c>
      <c r="BQ1906" s="17">
        <f t="shared" si="1876"/>
        <v>2588</v>
      </c>
      <c r="BR1906" t="str">
        <f t="shared" si="1877"/>
        <v>opp_team_player_2</v>
      </c>
      <c r="BS1906">
        <f>COUNTIFS(S$3:S1906,"="&amp;S1906,AI$3:AI1906,"="&amp;AI1906)</f>
        <v>2</v>
      </c>
      <c r="BT1906" t="str">
        <f>IFERROR(VLOOKUP(BB1906&amp;BU1906&amp;X1906,game_rosters!U:W,3,FALSE),"")</f>
        <v>P100105</v>
      </c>
      <c r="BU1906" t="str">
        <f t="shared" si="1878"/>
        <v>Velodrome</v>
      </c>
    </row>
    <row r="1907" spans="1:73" x14ac:dyDescent="0.2">
      <c r="A1907">
        <f t="shared" si="1864"/>
        <v>1</v>
      </c>
      <c r="J1907" s="44" t="str">
        <f t="shared" si="1879"/>
        <v>d</v>
      </c>
      <c r="K1907" t="s">
        <v>15</v>
      </c>
      <c r="L1907" t="s">
        <v>189</v>
      </c>
      <c r="M1907" t="s">
        <v>94</v>
      </c>
      <c r="S1907">
        <v>1006</v>
      </c>
      <c r="W1907" t="str">
        <f t="shared" si="1855"/>
        <v>a</v>
      </c>
      <c r="X1907">
        <v>39</v>
      </c>
      <c r="Y1907" t="e">
        <f>IF(X1907&lt;&gt;"",VLOOKUP(X1907,game_rosters!$C$43:$E$64,3,FALSE))</f>
        <v>#N/A</v>
      </c>
      <c r="Z1907" cm="1">
        <f t="array" ref="Z1907">IFERROR(IF(_xlfn._xlws.FILTER(game_rosters!$J:$J,(game_rosters!$G:$G=events!$AN1907)*(game_rosters!$J:$J=events!$X1907))&gt;0,1,""),"")</f>
        <v>1</v>
      </c>
      <c r="AA1907">
        <f t="shared" si="1903"/>
        <v>2006</v>
      </c>
      <c r="AB1907" t="str">
        <f t="shared" si="1904"/>
        <v/>
      </c>
      <c r="AC1907">
        <f t="shared" si="1852"/>
        <v>2006</v>
      </c>
      <c r="AD1907" s="6">
        <v>3</v>
      </c>
      <c r="AE1907" t="s">
        <v>926</v>
      </c>
      <c r="AF1907" t="s">
        <v>745</v>
      </c>
      <c r="AG1907" t="s">
        <v>756</v>
      </c>
      <c r="AH1907" t="s">
        <v>756</v>
      </c>
      <c r="AI1907" t="s">
        <v>367</v>
      </c>
      <c r="AJ1907" t="str">
        <f t="shared" ref="AJ1907:AK1907" si="1927">IF($J1907&lt;&gt;"",$J1907,IF($AC1907=$AC1906,AJ1906,""))</f>
        <v>d</v>
      </c>
      <c r="AK1907" t="str">
        <f t="shared" si="1927"/>
        <v>d</v>
      </c>
      <c r="AL1907" t="str">
        <f t="shared" si="1857"/>
        <v>o</v>
      </c>
      <c r="AN1907" t="s">
        <v>862</v>
      </c>
      <c r="AO1907" t="str">
        <f t="shared" si="1858"/>
        <v>a</v>
      </c>
      <c r="AP1907" t="str">
        <f t="shared" si="1866"/>
        <v>o</v>
      </c>
      <c r="AQ1907" t="str">
        <f t="shared" si="1867"/>
        <v/>
      </c>
      <c r="AR1907" t="str">
        <f t="shared" si="1868"/>
        <v>Away</v>
      </c>
      <c r="AS1907" t="str">
        <f t="shared" si="1869"/>
        <v>a</v>
      </c>
      <c r="AT1907" t="str">
        <f t="shared" si="1870"/>
        <v>Defensive</v>
      </c>
      <c r="BA1907" s="6">
        <f t="shared" si="1859"/>
        <v>442</v>
      </c>
      <c r="BB1907">
        <f t="shared" si="1860"/>
        <v>18981</v>
      </c>
      <c r="BC1907" t="str">
        <f t="shared" si="1861"/>
        <v>Nelson</v>
      </c>
      <c r="BD1907" t="str">
        <f t="shared" si="1862"/>
        <v>Velodrome</v>
      </c>
      <c r="BE1907" t="s">
        <v>15</v>
      </c>
      <c r="BF1907" t="s">
        <v>189</v>
      </c>
      <c r="BG1907" t="s">
        <v>94</v>
      </c>
      <c r="BI1907" cm="1">
        <f t="array" aca="1" ref="BI1907" ca="1">IFERROR(_xlfn._xlws.FILTER(shifts!A:A,(shifts!B:B=events!AD1907)*(shifts!AG:AG&gt;=events!BK1907)*(shifts!AH:AH&lt;=events!BL1907)),BI1906)</f>
        <v>84</v>
      </c>
      <c r="BJ1907" s="15">
        <f t="shared" si="1863"/>
        <v>0</v>
      </c>
      <c r="BK1907">
        <f t="shared" si="1871"/>
        <v>794</v>
      </c>
      <c r="BL1907">
        <f t="shared" si="1872"/>
        <v>794</v>
      </c>
      <c r="BM1907" s="15">
        <f>SUMIFS(BJ$2:BJ1907,K$2:K1907,"=Intermission")+SUMIFS(BJ$2:BJ1907,K$2:K1907,"=Timeout")</f>
        <v>142</v>
      </c>
      <c r="BN1907">
        <f t="shared" si="1873"/>
        <v>2302</v>
      </c>
      <c r="BO1907" s="19">
        <f t="shared" si="1874"/>
        <v>2588</v>
      </c>
      <c r="BP1907">
        <f t="shared" si="1875"/>
        <v>2583</v>
      </c>
      <c r="BQ1907" s="17">
        <f t="shared" si="1876"/>
        <v>2588</v>
      </c>
      <c r="BR1907" t="str">
        <f t="shared" si="1877"/>
        <v>event_team_player_1</v>
      </c>
      <c r="BS1907">
        <f>COUNTIFS(S$3:S1907,"="&amp;S1907,AI$3:AI1907,"="&amp;AI1907)</f>
        <v>1</v>
      </c>
      <c r="BT1907" t="str">
        <f>IFERROR(VLOOKUP(BB1907&amp;BU1907&amp;X1907,game_rosters!U:W,3,FALSE),"")</f>
        <v>P100016</v>
      </c>
      <c r="BU1907" t="str">
        <f t="shared" si="1878"/>
        <v>Velodrome</v>
      </c>
    </row>
    <row r="1908" spans="1:73" x14ac:dyDescent="0.2">
      <c r="A1908">
        <f t="shared" si="1864"/>
        <v>1</v>
      </c>
      <c r="J1908" s="44" t="str">
        <f t="shared" si="1879"/>
        <v>d</v>
      </c>
      <c r="K1908" t="s">
        <v>15</v>
      </c>
      <c r="L1908" t="s">
        <v>189</v>
      </c>
      <c r="M1908" t="s">
        <v>94</v>
      </c>
      <c r="S1908">
        <v>1006</v>
      </c>
      <c r="W1908" t="str">
        <f t="shared" si="1855"/>
        <v>a</v>
      </c>
      <c r="X1908">
        <v>9</v>
      </c>
      <c r="Y1908" t="e">
        <f>IF(X1908&lt;&gt;"",VLOOKUP(X1908,game_rosters!$C$43:$E$64,3,FALSE))</f>
        <v>#N/A</v>
      </c>
      <c r="Z1908" cm="1">
        <f t="array" ref="Z1908">IFERROR(IF(_xlfn._xlws.FILTER(game_rosters!$J:$J,(game_rosters!$G:$G=events!$AN1908)*(game_rosters!$J:$J=events!$X1908))&gt;0,1,""),"")</f>
        <v>1</v>
      </c>
      <c r="AA1908">
        <f t="shared" si="1903"/>
        <v>2006</v>
      </c>
      <c r="AB1908" t="str">
        <f t="shared" si="1904"/>
        <v/>
      </c>
      <c r="AC1908">
        <f t="shared" si="1852"/>
        <v>2006</v>
      </c>
      <c r="AD1908" s="6">
        <v>3</v>
      </c>
      <c r="AE1908" t="s">
        <v>926</v>
      </c>
      <c r="AF1908" t="s">
        <v>745</v>
      </c>
      <c r="AG1908" t="s">
        <v>756</v>
      </c>
      <c r="AH1908" t="s">
        <v>756</v>
      </c>
      <c r="AI1908" t="s">
        <v>367</v>
      </c>
      <c r="AJ1908" t="str">
        <f t="shared" ref="AJ1908:AK1908" si="1928">IF($J1908&lt;&gt;"",$J1908,IF($AC1908=$AC1907,AJ1907,""))</f>
        <v>d</v>
      </c>
      <c r="AK1908" t="str">
        <f t="shared" si="1928"/>
        <v>d</v>
      </c>
      <c r="AL1908" t="str">
        <f t="shared" si="1857"/>
        <v>o</v>
      </c>
      <c r="AN1908" t="s">
        <v>862</v>
      </c>
      <c r="AO1908" t="str">
        <f t="shared" si="1858"/>
        <v>a</v>
      </c>
      <c r="AP1908" t="str">
        <f t="shared" si="1866"/>
        <v>o</v>
      </c>
      <c r="AQ1908" t="str">
        <f t="shared" si="1867"/>
        <v/>
      </c>
      <c r="AR1908" t="str">
        <f t="shared" si="1868"/>
        <v>Away</v>
      </c>
      <c r="AS1908" t="str">
        <f t="shared" si="1869"/>
        <v>a</v>
      </c>
      <c r="AT1908" t="str">
        <f t="shared" si="1870"/>
        <v>Defensive</v>
      </c>
      <c r="BA1908" s="6">
        <f t="shared" si="1859"/>
        <v>442</v>
      </c>
      <c r="BB1908">
        <f t="shared" si="1860"/>
        <v>18981</v>
      </c>
      <c r="BC1908" t="str">
        <f t="shared" si="1861"/>
        <v>Nelson</v>
      </c>
      <c r="BD1908" t="str">
        <f t="shared" si="1862"/>
        <v>Velodrome</v>
      </c>
      <c r="BE1908" t="s">
        <v>15</v>
      </c>
      <c r="BF1908" t="s">
        <v>189</v>
      </c>
      <c r="BG1908" t="s">
        <v>94</v>
      </c>
      <c r="BI1908" cm="1">
        <f t="array" aca="1" ref="BI1908" ca="1">IFERROR(_xlfn._xlws.FILTER(shifts!A:A,(shifts!B:B=events!AD1908)*(shifts!AG:AG&gt;=events!BK1908)*(shifts!AH:AH&lt;=events!BL1908)),BI1907)</f>
        <v>84</v>
      </c>
      <c r="BJ1908" s="15">
        <f t="shared" si="1863"/>
        <v>0</v>
      </c>
      <c r="BK1908">
        <f t="shared" si="1871"/>
        <v>794</v>
      </c>
      <c r="BL1908">
        <f t="shared" si="1872"/>
        <v>794</v>
      </c>
      <c r="BM1908" s="15">
        <f>SUMIFS(BJ$2:BJ1908,K$2:K1908,"=Intermission")+SUMIFS(BJ$2:BJ1908,K$2:K1908,"=Timeout")</f>
        <v>142</v>
      </c>
      <c r="BN1908">
        <f t="shared" si="1873"/>
        <v>2302</v>
      </c>
      <c r="BO1908" s="19">
        <f t="shared" si="1874"/>
        <v>2588</v>
      </c>
      <c r="BP1908">
        <f t="shared" si="1875"/>
        <v>2583</v>
      </c>
      <c r="BQ1908" s="17">
        <f t="shared" si="1876"/>
        <v>2588</v>
      </c>
      <c r="BR1908" t="str">
        <f t="shared" si="1877"/>
        <v>event_team_player_2</v>
      </c>
      <c r="BS1908">
        <f>COUNTIFS(S$3:S1908,"="&amp;S1908,AI$3:AI1908,"="&amp;AI1908)</f>
        <v>2</v>
      </c>
      <c r="BT1908" t="str">
        <f>IFERROR(VLOOKUP(BB1908&amp;BU1908&amp;X1908,game_rosters!U:W,3,FALSE),"")</f>
        <v>P100105</v>
      </c>
      <c r="BU1908" t="str">
        <f t="shared" si="1878"/>
        <v>Velodrome</v>
      </c>
    </row>
    <row r="1909" spans="1:73" x14ac:dyDescent="0.2">
      <c r="A1909">
        <f t="shared" si="1864"/>
        <v>1</v>
      </c>
      <c r="J1909" s="44" t="str">
        <f t="shared" si="1879"/>
        <v>d</v>
      </c>
      <c r="K1909" t="s">
        <v>15</v>
      </c>
      <c r="L1909" t="s">
        <v>189</v>
      </c>
      <c r="M1909" t="s">
        <v>94</v>
      </c>
      <c r="S1909">
        <v>1006</v>
      </c>
      <c r="W1909" t="str">
        <f t="shared" si="1855"/>
        <v>a</v>
      </c>
      <c r="X1909">
        <v>10</v>
      </c>
      <c r="Y1909" t="b">
        <f>IF(X1909&lt;&gt;"",VLOOKUP(X1909,game_rosters!$C$43:$E$64,3,FALSE))</f>
        <v>0</v>
      </c>
      <c r="Z1909" t="str" cm="1">
        <f t="array" ref="Z1909">IFERROR(IF(_xlfn._xlws.FILTER(game_rosters!$J:$J,(game_rosters!$G:$G=events!$AN1909)*(game_rosters!$J:$J=events!$X1909))&gt;0,1,""),"")</f>
        <v/>
      </c>
      <c r="AA1909">
        <f t="shared" si="1903"/>
        <v>2006</v>
      </c>
      <c r="AB1909" t="str">
        <f t="shared" si="1904"/>
        <v/>
      </c>
      <c r="AC1909">
        <f t="shared" si="1852"/>
        <v>2006</v>
      </c>
      <c r="AD1909" s="6">
        <v>3</v>
      </c>
      <c r="AE1909" t="s">
        <v>926</v>
      </c>
      <c r="AF1909" t="s">
        <v>745</v>
      </c>
      <c r="AG1909" t="s">
        <v>756</v>
      </c>
      <c r="AH1909" t="s">
        <v>756</v>
      </c>
      <c r="AI1909" t="s">
        <v>368</v>
      </c>
      <c r="AJ1909" t="str">
        <f t="shared" ref="AJ1909:AK1909" si="1929">IF($J1909&lt;&gt;"",$J1909,IF($AC1909=$AC1908,AJ1908,""))</f>
        <v>d</v>
      </c>
      <c r="AK1909" t="str">
        <f t="shared" si="1929"/>
        <v>d</v>
      </c>
      <c r="AL1909" t="str">
        <f t="shared" si="1857"/>
        <v>o</v>
      </c>
      <c r="AN1909" t="s">
        <v>862</v>
      </c>
      <c r="AO1909" t="str">
        <f t="shared" si="1858"/>
        <v>a</v>
      </c>
      <c r="AP1909" t="str">
        <f t="shared" si="1866"/>
        <v>o</v>
      </c>
      <c r="AQ1909" t="str">
        <f t="shared" si="1867"/>
        <v/>
      </c>
      <c r="AR1909" t="str">
        <f t="shared" si="1868"/>
        <v>Away</v>
      </c>
      <c r="AS1909" t="str">
        <f t="shared" si="1869"/>
        <v>a</v>
      </c>
      <c r="AT1909" t="str">
        <f t="shared" si="1870"/>
        <v>Offensive</v>
      </c>
      <c r="BA1909" s="6">
        <f t="shared" si="1859"/>
        <v>442</v>
      </c>
      <c r="BB1909">
        <f t="shared" si="1860"/>
        <v>18981</v>
      </c>
      <c r="BC1909" t="str">
        <f t="shared" si="1861"/>
        <v>Nelson</v>
      </c>
      <c r="BD1909" t="str">
        <f t="shared" si="1862"/>
        <v>Velodrome</v>
      </c>
      <c r="BE1909" t="s">
        <v>15</v>
      </c>
      <c r="BF1909" t="s">
        <v>189</v>
      </c>
      <c r="BG1909" t="s">
        <v>94</v>
      </c>
      <c r="BI1909" cm="1">
        <f t="array" aca="1" ref="BI1909" ca="1">IFERROR(_xlfn._xlws.FILTER(shifts!A:A,(shifts!B:B=events!AD1909)*(shifts!AG:AG&gt;=events!BK1909)*(shifts!AH:AH&lt;=events!BL1909)),BI1908)</f>
        <v>84</v>
      </c>
      <c r="BJ1909" s="15">
        <f t="shared" si="1863"/>
        <v>0</v>
      </c>
      <c r="BK1909">
        <f t="shared" si="1871"/>
        <v>794</v>
      </c>
      <c r="BL1909">
        <f t="shared" si="1872"/>
        <v>794</v>
      </c>
      <c r="BM1909" s="15">
        <f>SUMIFS(BJ$2:BJ1909,K$2:K1909,"=Intermission")+SUMIFS(BJ$2:BJ1909,K$2:K1909,"=Timeout")</f>
        <v>142</v>
      </c>
      <c r="BN1909">
        <f t="shared" si="1873"/>
        <v>2302</v>
      </c>
      <c r="BO1909" s="19">
        <f t="shared" si="1874"/>
        <v>2588</v>
      </c>
      <c r="BP1909">
        <f t="shared" si="1875"/>
        <v>2583</v>
      </c>
      <c r="BQ1909" s="17">
        <f t="shared" si="1876"/>
        <v>2588</v>
      </c>
      <c r="BR1909" t="str">
        <f t="shared" si="1877"/>
        <v>opp_team_player_1</v>
      </c>
      <c r="BS1909">
        <f>COUNTIFS(S$3:S1909,"="&amp;S1909,AI$3:AI1909,"="&amp;AI1909)</f>
        <v>1</v>
      </c>
      <c r="BT1909" t="str">
        <f>IFERROR(VLOOKUP(BB1909&amp;BU1909&amp;X1909,game_rosters!U:W,3,FALSE),"")</f>
        <v>P100078</v>
      </c>
      <c r="BU1909" t="str">
        <f t="shared" si="1878"/>
        <v>Nelson</v>
      </c>
    </row>
    <row r="1910" spans="1:73" x14ac:dyDescent="0.2">
      <c r="A1910">
        <f t="shared" si="1864"/>
        <v>1</v>
      </c>
      <c r="J1910" s="44" t="str">
        <f t="shared" si="1879"/>
        <v>d</v>
      </c>
      <c r="K1910" t="s">
        <v>11</v>
      </c>
      <c r="L1910" t="s">
        <v>187</v>
      </c>
      <c r="M1910" t="s">
        <v>108</v>
      </c>
      <c r="S1910">
        <v>1007</v>
      </c>
      <c r="W1910" t="str">
        <f t="shared" si="1855"/>
        <v>a</v>
      </c>
      <c r="X1910">
        <v>39</v>
      </c>
      <c r="Y1910" t="e">
        <f>IF(X1910&lt;&gt;"",VLOOKUP(X1910,game_rosters!$C$43:$E$64,3,FALSE))</f>
        <v>#N/A</v>
      </c>
      <c r="Z1910" cm="1">
        <f t="array" ref="Z1910">IFERROR(IF(_xlfn._xlws.FILTER(game_rosters!$J:$J,(game_rosters!$G:$G=events!$AN1910)*(game_rosters!$J:$J=events!$X1910))&gt;0,1,""),"")</f>
        <v>1</v>
      </c>
      <c r="AA1910">
        <f t="shared" si="1903"/>
        <v>2007</v>
      </c>
      <c r="AB1910" t="str">
        <f t="shared" si="1904"/>
        <v/>
      </c>
      <c r="AC1910">
        <f t="shared" si="1852"/>
        <v>2007</v>
      </c>
      <c r="AD1910" s="6">
        <v>3</v>
      </c>
      <c r="AE1910" t="s">
        <v>926</v>
      </c>
      <c r="AF1910" t="s">
        <v>745</v>
      </c>
      <c r="AG1910" t="s">
        <v>756</v>
      </c>
      <c r="AH1910" t="s">
        <v>756</v>
      </c>
      <c r="AI1910" t="s">
        <v>367</v>
      </c>
      <c r="AJ1910" t="str">
        <f t="shared" ref="AJ1910:AK1910" si="1930">IF($J1910&lt;&gt;"",$J1910,IF($AC1910=$AC1909,AJ1909,""))</f>
        <v>d</v>
      </c>
      <c r="AK1910" t="str">
        <f t="shared" si="1930"/>
        <v>d</v>
      </c>
      <c r="AL1910" t="str">
        <f t="shared" si="1857"/>
        <v>o</v>
      </c>
      <c r="AN1910" t="s">
        <v>862</v>
      </c>
      <c r="AO1910" t="str">
        <f t="shared" si="1858"/>
        <v>a</v>
      </c>
      <c r="AP1910" t="str">
        <f t="shared" si="1866"/>
        <v>o</v>
      </c>
      <c r="AQ1910" t="str">
        <f t="shared" si="1867"/>
        <v/>
      </c>
      <c r="AR1910" t="str">
        <f t="shared" si="1868"/>
        <v>Away</v>
      </c>
      <c r="AS1910" t="str">
        <f t="shared" si="1869"/>
        <v>a</v>
      </c>
      <c r="AT1910" t="str">
        <f t="shared" si="1870"/>
        <v/>
      </c>
      <c r="BA1910" s="6">
        <f t="shared" si="1859"/>
        <v>442</v>
      </c>
      <c r="BB1910">
        <f t="shared" si="1860"/>
        <v>18981</v>
      </c>
      <c r="BC1910" t="str">
        <f t="shared" si="1861"/>
        <v>Nelson</v>
      </c>
      <c r="BD1910" t="str">
        <f t="shared" si="1862"/>
        <v>Velodrome</v>
      </c>
      <c r="BE1910" t="s">
        <v>11</v>
      </c>
      <c r="BF1910" t="s">
        <v>187</v>
      </c>
      <c r="BG1910" t="s">
        <v>108</v>
      </c>
      <c r="BI1910" cm="1">
        <f t="array" aca="1" ref="BI1910" ca="1">IFERROR(_xlfn._xlws.FILTER(shifts!A:A,(shifts!B:B=events!AD1910)*(shifts!AG:AG&gt;=events!BK1910)*(shifts!AH:AH&lt;=events!BL1910)),BI1909)</f>
        <v>84</v>
      </c>
      <c r="BJ1910" s="15">
        <f t="shared" si="1863"/>
        <v>0</v>
      </c>
      <c r="BK1910">
        <f t="shared" si="1871"/>
        <v>794</v>
      </c>
      <c r="BL1910">
        <f t="shared" si="1872"/>
        <v>794</v>
      </c>
      <c r="BM1910" s="15">
        <f>SUMIFS(BJ$2:BJ1910,K$2:K1910,"=Intermission")+SUMIFS(BJ$2:BJ1910,K$2:K1910,"=Timeout")</f>
        <v>142</v>
      </c>
      <c r="BN1910">
        <f t="shared" si="1873"/>
        <v>2302</v>
      </c>
      <c r="BO1910" s="19">
        <f t="shared" si="1874"/>
        <v>2588</v>
      </c>
      <c r="BP1910">
        <f t="shared" si="1875"/>
        <v>2583</v>
      </c>
      <c r="BQ1910" s="17">
        <f t="shared" si="1876"/>
        <v>2588</v>
      </c>
      <c r="BR1910" t="str">
        <f t="shared" si="1877"/>
        <v>event_team_player_1</v>
      </c>
      <c r="BS1910">
        <f>COUNTIFS(S$3:S1910,"="&amp;S1910,AI$3:AI1910,"="&amp;AI1910)</f>
        <v>1</v>
      </c>
      <c r="BT1910" t="str">
        <f>IFERROR(VLOOKUP(BB1910&amp;BU1910&amp;X1910,game_rosters!U:W,3,FALSE),"")</f>
        <v>P100016</v>
      </c>
      <c r="BU1910" t="str">
        <f t="shared" si="1878"/>
        <v>Velodrome</v>
      </c>
    </row>
    <row r="1911" spans="1:73" x14ac:dyDescent="0.2">
      <c r="A1911">
        <f t="shared" si="1864"/>
        <v>1</v>
      </c>
      <c r="J1911" s="44" t="str">
        <f t="shared" si="1879"/>
        <v>d</v>
      </c>
      <c r="K1911" t="s">
        <v>241</v>
      </c>
      <c r="L1911" t="s">
        <v>756</v>
      </c>
      <c r="M1911" t="s">
        <v>756</v>
      </c>
      <c r="S1911">
        <v>1008</v>
      </c>
      <c r="W1911" t="str">
        <f t="shared" si="1855"/>
        <v>a</v>
      </c>
      <c r="X1911">
        <v>39</v>
      </c>
      <c r="Y1911" t="e">
        <f>IF(X1911&lt;&gt;"",VLOOKUP(X1911,game_rosters!$C$43:$E$64,3,FALSE))</f>
        <v>#N/A</v>
      </c>
      <c r="Z1911" cm="1">
        <f t="array" ref="Z1911">IFERROR(IF(_xlfn._xlws.FILTER(game_rosters!$J:$J,(game_rosters!$G:$G=events!$AN1911)*(game_rosters!$J:$J=events!$X1911))&gt;0,1,""),"")</f>
        <v>1</v>
      </c>
      <c r="AA1911">
        <f t="shared" si="1903"/>
        <v>2008</v>
      </c>
      <c r="AB1911" t="str">
        <f t="shared" si="1904"/>
        <v/>
      </c>
      <c r="AC1911">
        <f t="shared" si="1852"/>
        <v>2008</v>
      </c>
      <c r="AD1911" s="6">
        <v>3</v>
      </c>
      <c r="AE1911" t="s">
        <v>926</v>
      </c>
      <c r="AF1911" t="s">
        <v>926</v>
      </c>
      <c r="AG1911" t="s">
        <v>746</v>
      </c>
      <c r="AH1911" t="s">
        <v>922</v>
      </c>
      <c r="AI1911" t="s">
        <v>367</v>
      </c>
      <c r="AJ1911" t="str">
        <f t="shared" ref="AJ1911:AK1911" si="1931">IF($J1911&lt;&gt;"",$J1911,IF($AC1911=$AC1910,AJ1910,""))</f>
        <v>d</v>
      </c>
      <c r="AK1911" t="str">
        <f t="shared" si="1931"/>
        <v>d</v>
      </c>
      <c r="AL1911" t="str">
        <f t="shared" si="1857"/>
        <v>o</v>
      </c>
      <c r="AN1911" t="s">
        <v>862</v>
      </c>
      <c r="AO1911" t="str">
        <f t="shared" si="1858"/>
        <v>a</v>
      </c>
      <c r="AP1911" t="str">
        <f t="shared" si="1866"/>
        <v>o</v>
      </c>
      <c r="AQ1911" t="str">
        <f t="shared" si="1867"/>
        <v/>
      </c>
      <c r="AR1911" t="str">
        <f t="shared" si="1868"/>
        <v>Away</v>
      </c>
      <c r="AS1911" t="str">
        <f t="shared" si="1869"/>
        <v>a</v>
      </c>
      <c r="AT1911" t="str">
        <f t="shared" si="1870"/>
        <v/>
      </c>
      <c r="BA1911" s="6">
        <f t="shared" si="1859"/>
        <v>442</v>
      </c>
      <c r="BB1911">
        <f t="shared" si="1860"/>
        <v>18981</v>
      </c>
      <c r="BC1911" t="str">
        <f t="shared" si="1861"/>
        <v>Nelson</v>
      </c>
      <c r="BD1911" t="str">
        <f t="shared" si="1862"/>
        <v>Velodrome</v>
      </c>
      <c r="BE1911" t="s">
        <v>241</v>
      </c>
      <c r="BF1911" t="s">
        <v>756</v>
      </c>
      <c r="BG1911" t="s">
        <v>756</v>
      </c>
      <c r="BI1911" cm="1">
        <f t="array" aca="1" ref="BI1911" ca="1">IFERROR(_xlfn._xlws.FILTER(shifts!A:A,(shifts!B:B=events!AD1911)*(shifts!AG:AG&gt;=events!BK1911)*(shifts!AH:AH&lt;=events!BL1911)),BI1910)</f>
        <v>84</v>
      </c>
      <c r="BJ1911" s="15">
        <f t="shared" si="1863"/>
        <v>23</v>
      </c>
      <c r="BK1911">
        <f t="shared" si="1871"/>
        <v>793</v>
      </c>
      <c r="BL1911">
        <f t="shared" si="1872"/>
        <v>770</v>
      </c>
      <c r="BM1911" s="15">
        <f>SUMIFS(BJ$2:BJ1911,K$2:K1911,"=Intermission")+SUMIFS(BJ$2:BJ1911,K$2:K1911,"=Timeout")</f>
        <v>142</v>
      </c>
      <c r="BN1911">
        <f t="shared" si="1873"/>
        <v>2302</v>
      </c>
      <c r="BO1911" s="19">
        <f t="shared" si="1874"/>
        <v>2589</v>
      </c>
      <c r="BP1911">
        <f t="shared" si="1875"/>
        <v>2584</v>
      </c>
      <c r="BQ1911" s="17">
        <f t="shared" si="1876"/>
        <v>2612</v>
      </c>
      <c r="BR1911" t="str">
        <f t="shared" si="1877"/>
        <v>event_team_player_1</v>
      </c>
      <c r="BS1911">
        <f>COUNTIFS(S$3:S1911,"="&amp;S1911,AI$3:AI1911,"="&amp;AI1911)</f>
        <v>1</v>
      </c>
      <c r="BT1911" t="str">
        <f>IFERROR(VLOOKUP(BB1911&amp;BU1911&amp;X1911,game_rosters!U:W,3,FALSE),"")</f>
        <v>P100016</v>
      </c>
      <c r="BU1911" t="str">
        <f t="shared" si="1878"/>
        <v>Velodrome</v>
      </c>
    </row>
    <row r="1912" spans="1:73" x14ac:dyDescent="0.2">
      <c r="A1912">
        <f t="shared" si="1864"/>
        <v>1</v>
      </c>
      <c r="J1912" s="44" t="str">
        <f t="shared" si="1879"/>
        <v/>
      </c>
      <c r="K1912" t="s">
        <v>5</v>
      </c>
      <c r="L1912" t="s">
        <v>236</v>
      </c>
      <c r="M1912" t="s">
        <v>756</v>
      </c>
      <c r="S1912">
        <v>1009</v>
      </c>
      <c r="W1912" t="str">
        <f t="shared" si="1855"/>
        <v>h</v>
      </c>
      <c r="X1912">
        <v>79</v>
      </c>
      <c r="Y1912" t="b">
        <f>IF(X1912&lt;&gt;"",VLOOKUP(X1912,game_rosters!$C$43:$E$64,3,FALSE))</f>
        <v>0</v>
      </c>
      <c r="Z1912" cm="1">
        <f t="array" ref="Z1912">IFERROR(IF(_xlfn._xlws.FILTER(game_rosters!$J:$J,(game_rosters!$G:$G=events!$AN1912)*(game_rosters!$J:$J=events!$X1912))&gt;0,1,""),"")</f>
        <v>1</v>
      </c>
      <c r="AA1912">
        <f t="shared" si="1903"/>
        <v>2009</v>
      </c>
      <c r="AB1912" t="str">
        <f t="shared" si="1904"/>
        <v/>
      </c>
      <c r="AC1912">
        <f t="shared" si="1852"/>
        <v>2009</v>
      </c>
      <c r="AD1912" s="6">
        <v>3</v>
      </c>
      <c r="AE1912" t="s">
        <v>746</v>
      </c>
      <c r="AF1912" t="s">
        <v>922</v>
      </c>
      <c r="AG1912" t="s">
        <v>756</v>
      </c>
      <c r="AH1912" t="s">
        <v>756</v>
      </c>
      <c r="AI1912" t="s">
        <v>367</v>
      </c>
      <c r="AJ1912" t="str">
        <f t="shared" ref="AJ1912:AK1912" si="1932">IF($J1912&lt;&gt;"",$J1912,IF($AC1912=$AC1911,AJ1911,""))</f>
        <v/>
      </c>
      <c r="AK1912" t="str">
        <f t="shared" si="1932"/>
        <v/>
      </c>
      <c r="AL1912" t="str">
        <f t="shared" si="1857"/>
        <v/>
      </c>
      <c r="AN1912" t="s">
        <v>861</v>
      </c>
      <c r="AO1912" t="str">
        <f t="shared" si="1858"/>
        <v>h</v>
      </c>
      <c r="AP1912" t="str">
        <f t="shared" si="1866"/>
        <v/>
      </c>
      <c r="AQ1912" t="str">
        <f t="shared" si="1867"/>
        <v/>
      </c>
      <c r="AR1912" t="str">
        <f t="shared" si="1868"/>
        <v>Home</v>
      </c>
      <c r="AS1912" t="str">
        <f t="shared" si="1869"/>
        <v>h</v>
      </c>
      <c r="AT1912" t="str">
        <f t="shared" si="1870"/>
        <v>Offensive</v>
      </c>
      <c r="BA1912" s="6">
        <f t="shared" si="1859"/>
        <v>442</v>
      </c>
      <c r="BB1912">
        <f t="shared" si="1860"/>
        <v>18981</v>
      </c>
      <c r="BC1912" t="str">
        <f t="shared" si="1861"/>
        <v>Nelson</v>
      </c>
      <c r="BD1912" t="str">
        <f t="shared" si="1862"/>
        <v>Velodrome</v>
      </c>
      <c r="BE1912" t="s">
        <v>5</v>
      </c>
      <c r="BF1912" t="s">
        <v>236</v>
      </c>
      <c r="BG1912" t="s">
        <v>756</v>
      </c>
      <c r="BI1912" cm="1">
        <f t="array" aca="1" ref="BI1912" ca="1">IFERROR(_xlfn._xlws.FILTER(shifts!A:A,(shifts!B:B=events!AD1912)*(shifts!AG:AG&gt;=events!BK1912)*(shifts!AH:AH&lt;=events!BL1912)),BI1911)</f>
        <v>84</v>
      </c>
      <c r="BJ1912" s="15">
        <f t="shared" si="1863"/>
        <v>0</v>
      </c>
      <c r="BK1912">
        <f t="shared" si="1871"/>
        <v>770</v>
      </c>
      <c r="BL1912">
        <f t="shared" si="1872"/>
        <v>770</v>
      </c>
      <c r="BM1912" s="15">
        <f>SUMIFS(BJ$2:BJ1912,K$2:K1912,"=Intermission")+SUMIFS(BJ$2:BJ1912,K$2:K1912,"=Timeout")</f>
        <v>142</v>
      </c>
      <c r="BN1912">
        <f t="shared" si="1873"/>
        <v>2302</v>
      </c>
      <c r="BO1912" s="19">
        <f t="shared" si="1874"/>
        <v>2612</v>
      </c>
      <c r="BP1912">
        <f t="shared" si="1875"/>
        <v>2607</v>
      </c>
      <c r="BQ1912" s="17">
        <f t="shared" si="1876"/>
        <v>2612</v>
      </c>
      <c r="BR1912" t="str">
        <f t="shared" si="1877"/>
        <v>event_team_player_1</v>
      </c>
      <c r="BS1912">
        <f>COUNTIFS(S$3:S1912,"="&amp;S1912,AI$3:AI1912,"="&amp;AI1912)</f>
        <v>1</v>
      </c>
      <c r="BT1912" t="str">
        <f>IFERROR(VLOOKUP(BB1912&amp;BU1912&amp;X1912,game_rosters!U:W,3,FALSE),"")</f>
        <v>P100066</v>
      </c>
      <c r="BU1912" t="str">
        <f t="shared" si="1878"/>
        <v>Nelson</v>
      </c>
    </row>
    <row r="1913" spans="1:73" x14ac:dyDescent="0.2">
      <c r="A1913">
        <f t="shared" si="1864"/>
        <v>1</v>
      </c>
      <c r="J1913" s="44" t="str">
        <f t="shared" si="1879"/>
        <v/>
      </c>
      <c r="K1913" t="s">
        <v>5</v>
      </c>
      <c r="L1913" t="s">
        <v>236</v>
      </c>
      <c r="M1913" t="s">
        <v>756</v>
      </c>
      <c r="S1913">
        <v>1009</v>
      </c>
      <c r="W1913" t="str">
        <f t="shared" si="1855"/>
        <v>h</v>
      </c>
      <c r="X1913">
        <v>8</v>
      </c>
      <c r="Y1913" t="b">
        <f>IF(X1913&lt;&gt;"",VLOOKUP(X1913,game_rosters!$C$43:$E$64,3,FALSE))</f>
        <v>0</v>
      </c>
      <c r="Z1913" cm="1">
        <f t="array" ref="Z1913">IFERROR(IF(_xlfn._xlws.FILTER(game_rosters!$J:$J,(game_rosters!$G:$G=events!$AN1913)*(game_rosters!$J:$J=events!$X1913))&gt;0,1,""),"")</f>
        <v>1</v>
      </c>
      <c r="AA1913">
        <f t="shared" si="1903"/>
        <v>2009</v>
      </c>
      <c r="AB1913" t="str">
        <f t="shared" si="1904"/>
        <v/>
      </c>
      <c r="AC1913">
        <f t="shared" si="1852"/>
        <v>2009</v>
      </c>
      <c r="AD1913" s="6">
        <v>3</v>
      </c>
      <c r="AE1913" t="s">
        <v>746</v>
      </c>
      <c r="AF1913" t="s">
        <v>922</v>
      </c>
      <c r="AG1913" t="s">
        <v>756</v>
      </c>
      <c r="AH1913" t="s">
        <v>756</v>
      </c>
      <c r="AI1913" t="s">
        <v>367</v>
      </c>
      <c r="AJ1913" t="str">
        <f t="shared" ref="AJ1913:AK1913" si="1933">IF($J1913&lt;&gt;"",$J1913,IF($AC1913=$AC1912,AJ1912,""))</f>
        <v/>
      </c>
      <c r="AK1913" t="str">
        <f t="shared" si="1933"/>
        <v/>
      </c>
      <c r="AL1913" t="str">
        <f t="shared" si="1857"/>
        <v/>
      </c>
      <c r="AN1913" t="s">
        <v>861</v>
      </c>
      <c r="AO1913" t="str">
        <f t="shared" si="1858"/>
        <v>h</v>
      </c>
      <c r="AP1913" t="str">
        <f t="shared" si="1866"/>
        <v/>
      </c>
      <c r="AQ1913" t="str">
        <f t="shared" si="1867"/>
        <v/>
      </c>
      <c r="AR1913" t="str">
        <f t="shared" si="1868"/>
        <v>Home</v>
      </c>
      <c r="AS1913" t="str">
        <f t="shared" si="1869"/>
        <v>h</v>
      </c>
      <c r="AT1913" t="str">
        <f t="shared" si="1870"/>
        <v>Offensive</v>
      </c>
      <c r="BA1913" s="6">
        <f t="shared" si="1859"/>
        <v>442</v>
      </c>
      <c r="BB1913">
        <f t="shared" si="1860"/>
        <v>18981</v>
      </c>
      <c r="BC1913" t="str">
        <f t="shared" si="1861"/>
        <v>Nelson</v>
      </c>
      <c r="BD1913" t="str">
        <f t="shared" si="1862"/>
        <v>Velodrome</v>
      </c>
      <c r="BE1913" t="s">
        <v>5</v>
      </c>
      <c r="BF1913" t="s">
        <v>236</v>
      </c>
      <c r="BG1913" t="s">
        <v>756</v>
      </c>
      <c r="BI1913" cm="1">
        <f t="array" aca="1" ref="BI1913" ca="1">IFERROR(_xlfn._xlws.FILTER(shifts!A:A,(shifts!B:B=events!AD1913)*(shifts!AG:AG&gt;=events!BK1913)*(shifts!AH:AH&lt;=events!BL1913)),BI1912)</f>
        <v>84</v>
      </c>
      <c r="BJ1913" s="15">
        <f t="shared" si="1863"/>
        <v>0</v>
      </c>
      <c r="BK1913">
        <f t="shared" si="1871"/>
        <v>770</v>
      </c>
      <c r="BL1913">
        <f t="shared" si="1872"/>
        <v>770</v>
      </c>
      <c r="BM1913" s="15">
        <f>SUMIFS(BJ$2:BJ1913,K$2:K1913,"=Intermission")+SUMIFS(BJ$2:BJ1913,K$2:K1913,"=Timeout")</f>
        <v>142</v>
      </c>
      <c r="BN1913">
        <f t="shared" si="1873"/>
        <v>2302</v>
      </c>
      <c r="BO1913" s="19">
        <f t="shared" si="1874"/>
        <v>2612</v>
      </c>
      <c r="BP1913">
        <f t="shared" si="1875"/>
        <v>2607</v>
      </c>
      <c r="BQ1913" s="17">
        <f t="shared" si="1876"/>
        <v>2612</v>
      </c>
      <c r="BR1913" t="str">
        <f t="shared" si="1877"/>
        <v>event_team_player_2</v>
      </c>
      <c r="BS1913">
        <f>COUNTIFS(S$3:S1913,"="&amp;S1913,AI$3:AI1913,"="&amp;AI1913)</f>
        <v>2</v>
      </c>
      <c r="BT1913" t="str">
        <f>IFERROR(VLOOKUP(BB1913&amp;BU1913&amp;X1913,game_rosters!U:W,3,FALSE),"")</f>
        <v>P100074</v>
      </c>
      <c r="BU1913" t="str">
        <f t="shared" si="1878"/>
        <v>Nelson</v>
      </c>
    </row>
    <row r="1914" spans="1:73" x14ac:dyDescent="0.2">
      <c r="A1914">
        <f t="shared" si="1864"/>
        <v>1</v>
      </c>
      <c r="J1914" s="44" t="str">
        <f t="shared" si="1879"/>
        <v/>
      </c>
      <c r="K1914" t="s">
        <v>5</v>
      </c>
      <c r="L1914" t="s">
        <v>236</v>
      </c>
      <c r="M1914" t="s">
        <v>756</v>
      </c>
      <c r="S1914">
        <v>1009</v>
      </c>
      <c r="W1914" t="str">
        <f t="shared" si="1855"/>
        <v>h</v>
      </c>
      <c r="X1914">
        <v>49</v>
      </c>
      <c r="Y1914" t="e">
        <f>IF(X1914&lt;&gt;"",VLOOKUP(X1914,game_rosters!$C$43:$E$64,3,FALSE))</f>
        <v>#N/A</v>
      </c>
      <c r="Z1914" t="str" cm="1">
        <f t="array" ref="Z1914">IFERROR(IF(_xlfn._xlws.FILTER(game_rosters!$J:$J,(game_rosters!$G:$G=events!$AN1914)*(game_rosters!$J:$J=events!$X1914))&gt;0,1,""),"")</f>
        <v/>
      </c>
      <c r="AA1914">
        <f t="shared" si="1903"/>
        <v>2009</v>
      </c>
      <c r="AB1914" t="str">
        <f t="shared" si="1904"/>
        <v/>
      </c>
      <c r="AC1914">
        <f t="shared" si="1852"/>
        <v>2009</v>
      </c>
      <c r="AD1914" s="6">
        <v>3</v>
      </c>
      <c r="AE1914" t="s">
        <v>746</v>
      </c>
      <c r="AF1914" t="s">
        <v>922</v>
      </c>
      <c r="AG1914" t="s">
        <v>756</v>
      </c>
      <c r="AH1914" t="s">
        <v>756</v>
      </c>
      <c r="AI1914" t="s">
        <v>368</v>
      </c>
      <c r="AJ1914" t="str">
        <f t="shared" ref="AJ1914:AK1914" si="1934">IF($J1914&lt;&gt;"",$J1914,IF($AC1914=$AC1913,AJ1913,""))</f>
        <v/>
      </c>
      <c r="AK1914" t="str">
        <f t="shared" si="1934"/>
        <v/>
      </c>
      <c r="AL1914" t="str">
        <f t="shared" si="1857"/>
        <v/>
      </c>
      <c r="AN1914" t="s">
        <v>861</v>
      </c>
      <c r="AO1914" t="str">
        <f t="shared" si="1858"/>
        <v>h</v>
      </c>
      <c r="AP1914" t="str">
        <f t="shared" si="1866"/>
        <v/>
      </c>
      <c r="AQ1914" t="str">
        <f t="shared" si="1867"/>
        <v/>
      </c>
      <c r="AR1914" t="str">
        <f t="shared" si="1868"/>
        <v>Home</v>
      </c>
      <c r="AS1914" t="str">
        <f t="shared" si="1869"/>
        <v>h</v>
      </c>
      <c r="AT1914" t="str">
        <f t="shared" si="1870"/>
        <v>Defensive</v>
      </c>
      <c r="BA1914" s="6">
        <f t="shared" si="1859"/>
        <v>442</v>
      </c>
      <c r="BB1914">
        <f t="shared" si="1860"/>
        <v>18981</v>
      </c>
      <c r="BC1914" t="str">
        <f t="shared" si="1861"/>
        <v>Nelson</v>
      </c>
      <c r="BD1914" t="str">
        <f t="shared" si="1862"/>
        <v>Velodrome</v>
      </c>
      <c r="BE1914" t="s">
        <v>5</v>
      </c>
      <c r="BF1914" t="s">
        <v>236</v>
      </c>
      <c r="BG1914" t="s">
        <v>756</v>
      </c>
      <c r="BI1914" cm="1">
        <f t="array" aca="1" ref="BI1914" ca="1">IFERROR(_xlfn._xlws.FILTER(shifts!A:A,(shifts!B:B=events!AD1914)*(shifts!AG:AG&gt;=events!BK1914)*(shifts!AH:AH&lt;=events!BL1914)),BI1913)</f>
        <v>84</v>
      </c>
      <c r="BJ1914" s="15">
        <f t="shared" si="1863"/>
        <v>0</v>
      </c>
      <c r="BK1914">
        <f t="shared" si="1871"/>
        <v>770</v>
      </c>
      <c r="BL1914">
        <f t="shared" si="1872"/>
        <v>770</v>
      </c>
      <c r="BM1914" s="15">
        <f>SUMIFS(BJ$2:BJ1914,K$2:K1914,"=Intermission")+SUMIFS(BJ$2:BJ1914,K$2:K1914,"=Timeout")</f>
        <v>142</v>
      </c>
      <c r="BN1914">
        <f t="shared" si="1873"/>
        <v>2302</v>
      </c>
      <c r="BO1914" s="19">
        <f t="shared" si="1874"/>
        <v>2612</v>
      </c>
      <c r="BP1914">
        <f t="shared" si="1875"/>
        <v>2607</v>
      </c>
      <c r="BQ1914" s="17">
        <f t="shared" si="1876"/>
        <v>2612</v>
      </c>
      <c r="BR1914" t="str">
        <f t="shared" si="1877"/>
        <v>opp_team_player_1</v>
      </c>
      <c r="BS1914">
        <f>COUNTIFS(S$3:S1914,"="&amp;S1914,AI$3:AI1914,"="&amp;AI1914)</f>
        <v>1</v>
      </c>
      <c r="BT1914" t="str">
        <f>IFERROR(VLOOKUP(BB1914&amp;BU1914&amp;X1914,game_rosters!U:W,3,FALSE),"")</f>
        <v>P100161</v>
      </c>
      <c r="BU1914" t="str">
        <f t="shared" si="1878"/>
        <v>Velodrome</v>
      </c>
    </row>
    <row r="1915" spans="1:73" x14ac:dyDescent="0.2">
      <c r="A1915">
        <f t="shared" si="1864"/>
        <v>1</v>
      </c>
      <c r="J1915" s="44" t="str">
        <f t="shared" si="1879"/>
        <v/>
      </c>
      <c r="K1915" t="s">
        <v>13</v>
      </c>
      <c r="L1915" t="s">
        <v>756</v>
      </c>
      <c r="M1915" t="s">
        <v>756</v>
      </c>
      <c r="S1915">
        <v>1010</v>
      </c>
      <c r="W1915" t="str">
        <f t="shared" si="1855"/>
        <v>h</v>
      </c>
      <c r="X1915">
        <v>8</v>
      </c>
      <c r="Y1915" t="b">
        <f>IF(X1915&lt;&gt;"",VLOOKUP(X1915,game_rosters!$C$43:$E$64,3,FALSE))</f>
        <v>0</v>
      </c>
      <c r="Z1915" cm="1">
        <f t="array" ref="Z1915">IFERROR(IF(_xlfn._xlws.FILTER(game_rosters!$J:$J,(game_rosters!$G:$G=events!$AN1915)*(game_rosters!$J:$J=events!$X1915))&gt;0,1,""),"")</f>
        <v>1</v>
      </c>
      <c r="AA1915">
        <f t="shared" si="1903"/>
        <v>2010</v>
      </c>
      <c r="AB1915" t="str">
        <f t="shared" si="1904"/>
        <v/>
      </c>
      <c r="AC1915">
        <f t="shared" si="1852"/>
        <v>2010</v>
      </c>
      <c r="AD1915" s="6">
        <v>3</v>
      </c>
      <c r="AE1915" t="s">
        <v>746</v>
      </c>
      <c r="AF1915" t="s">
        <v>751</v>
      </c>
      <c r="AG1915" t="s">
        <v>746</v>
      </c>
      <c r="AH1915" t="s">
        <v>900</v>
      </c>
      <c r="AI1915" t="s">
        <v>367</v>
      </c>
      <c r="AJ1915" t="str">
        <f t="shared" ref="AJ1915:AK1915" si="1935">IF($J1915&lt;&gt;"",$J1915,IF($AC1915=$AC1914,AJ1914,""))</f>
        <v/>
      </c>
      <c r="AK1915" t="str">
        <f t="shared" si="1935"/>
        <v/>
      </c>
      <c r="AL1915" t="str">
        <f t="shared" si="1857"/>
        <v/>
      </c>
      <c r="AN1915" t="s">
        <v>861</v>
      </c>
      <c r="AO1915" t="str">
        <f t="shared" si="1858"/>
        <v>h</v>
      </c>
      <c r="AP1915" t="str">
        <f t="shared" si="1866"/>
        <v/>
      </c>
      <c r="AQ1915" t="str">
        <f t="shared" si="1867"/>
        <v/>
      </c>
      <c r="AR1915" t="str">
        <f t="shared" si="1868"/>
        <v>Home</v>
      </c>
      <c r="AS1915" t="str">
        <f t="shared" si="1869"/>
        <v>h</v>
      </c>
      <c r="AT1915" t="str">
        <f t="shared" si="1870"/>
        <v>Offensive</v>
      </c>
      <c r="BA1915" s="6">
        <f t="shared" si="1859"/>
        <v>442</v>
      </c>
      <c r="BB1915">
        <f t="shared" si="1860"/>
        <v>18981</v>
      </c>
      <c r="BC1915" t="str">
        <f t="shared" si="1861"/>
        <v>Nelson</v>
      </c>
      <c r="BD1915" t="str">
        <f t="shared" si="1862"/>
        <v>Velodrome</v>
      </c>
      <c r="BE1915" t="s">
        <v>13</v>
      </c>
      <c r="BF1915" t="s">
        <v>756</v>
      </c>
      <c r="BG1915" t="s">
        <v>756</v>
      </c>
      <c r="BI1915" cm="1">
        <f t="array" aca="1" ref="BI1915" ca="1">IFERROR(_xlfn._xlws.FILTER(shifts!A:A,(shifts!B:B=events!AD1915)*(shifts!AG:AG&gt;=events!BK1915)*(shifts!AH:AH&lt;=events!BL1915)),BI1914)</f>
        <v>84</v>
      </c>
      <c r="BJ1915" s="15">
        <f t="shared" si="1863"/>
        <v>2</v>
      </c>
      <c r="BK1915">
        <f t="shared" si="1871"/>
        <v>769</v>
      </c>
      <c r="BL1915">
        <f t="shared" si="1872"/>
        <v>767</v>
      </c>
      <c r="BM1915" s="15">
        <f>SUMIFS(BJ$2:BJ1915,K$2:K1915,"=Intermission")+SUMIFS(BJ$2:BJ1915,K$2:K1915,"=Timeout")</f>
        <v>142</v>
      </c>
      <c r="BN1915">
        <f t="shared" si="1873"/>
        <v>2302</v>
      </c>
      <c r="BO1915" s="19">
        <f t="shared" si="1874"/>
        <v>2613</v>
      </c>
      <c r="BP1915">
        <f t="shared" si="1875"/>
        <v>2608</v>
      </c>
      <c r="BQ1915" s="17">
        <f t="shared" si="1876"/>
        <v>2615</v>
      </c>
      <c r="BR1915" t="str">
        <f t="shared" si="1877"/>
        <v>event_team_player_1</v>
      </c>
      <c r="BS1915">
        <f>COUNTIFS(S$3:S1915,"="&amp;S1915,AI$3:AI1915,"="&amp;AI1915)</f>
        <v>1</v>
      </c>
      <c r="BT1915" t="str">
        <f>IFERROR(VLOOKUP(BB1915&amp;BU1915&amp;X1915,game_rosters!U:W,3,FALSE),"")</f>
        <v>P100074</v>
      </c>
      <c r="BU1915" t="str">
        <f t="shared" si="1878"/>
        <v>Nelson</v>
      </c>
    </row>
    <row r="1916" spans="1:73" x14ac:dyDescent="0.2">
      <c r="A1916">
        <f t="shared" si="1864"/>
        <v>1</v>
      </c>
      <c r="J1916" s="44" t="str">
        <f t="shared" si="1879"/>
        <v>o</v>
      </c>
      <c r="K1916" t="s">
        <v>6</v>
      </c>
      <c r="L1916" t="s">
        <v>205</v>
      </c>
      <c r="M1916" t="s">
        <v>51</v>
      </c>
      <c r="S1916">
        <v>1011</v>
      </c>
      <c r="W1916" t="str">
        <f t="shared" si="1855"/>
        <v>h</v>
      </c>
      <c r="X1916">
        <v>8</v>
      </c>
      <c r="Y1916" t="b">
        <f>IF(X1916&lt;&gt;"",VLOOKUP(X1916,game_rosters!$C$43:$E$64,3,FALSE))</f>
        <v>0</v>
      </c>
      <c r="Z1916" cm="1">
        <f t="array" ref="Z1916">IFERROR(IF(_xlfn._xlws.FILTER(game_rosters!$J:$J,(game_rosters!$G:$G=events!$AN1916)*(game_rosters!$J:$J=events!$X1916))&gt;0,1,""),"")</f>
        <v>1</v>
      </c>
      <c r="AA1916">
        <f t="shared" si="1903"/>
        <v>2011</v>
      </c>
      <c r="AB1916" t="str">
        <f t="shared" si="1904"/>
        <v/>
      </c>
      <c r="AC1916">
        <f t="shared" si="1852"/>
        <v>2011</v>
      </c>
      <c r="AD1916" s="6">
        <v>3</v>
      </c>
      <c r="AE1916" t="s">
        <v>746</v>
      </c>
      <c r="AF1916" t="s">
        <v>737</v>
      </c>
      <c r="AG1916" t="s">
        <v>756</v>
      </c>
      <c r="AH1916" t="s">
        <v>756</v>
      </c>
      <c r="AI1916" t="s">
        <v>367</v>
      </c>
      <c r="AJ1916" t="str">
        <f t="shared" ref="AJ1916:AK1916" si="1936">IF($J1916&lt;&gt;"",$J1916,IF($AC1916=$AC1915,AJ1915,""))</f>
        <v>o</v>
      </c>
      <c r="AK1916" t="str">
        <f t="shared" si="1936"/>
        <v>o</v>
      </c>
      <c r="AL1916" t="str">
        <f t="shared" si="1857"/>
        <v>o</v>
      </c>
      <c r="AN1916" t="s">
        <v>861</v>
      </c>
      <c r="AO1916" t="str">
        <f t="shared" si="1858"/>
        <v>h</v>
      </c>
      <c r="AP1916" t="str">
        <f t="shared" si="1866"/>
        <v>o</v>
      </c>
      <c r="AQ1916" t="str">
        <f t="shared" si="1867"/>
        <v/>
      </c>
      <c r="AR1916" t="str">
        <f t="shared" si="1868"/>
        <v>Home</v>
      </c>
      <c r="AS1916" t="str">
        <f t="shared" si="1869"/>
        <v>h</v>
      </c>
      <c r="AT1916" t="str">
        <f t="shared" si="1870"/>
        <v>Offensive</v>
      </c>
      <c r="BA1916" s="6">
        <f t="shared" si="1859"/>
        <v>442</v>
      </c>
      <c r="BB1916">
        <f t="shared" si="1860"/>
        <v>18981</v>
      </c>
      <c r="BC1916" t="str">
        <f t="shared" si="1861"/>
        <v>Nelson</v>
      </c>
      <c r="BD1916" t="str">
        <f t="shared" si="1862"/>
        <v>Velodrome</v>
      </c>
      <c r="BE1916" t="s">
        <v>6</v>
      </c>
      <c r="BF1916" t="s">
        <v>205</v>
      </c>
      <c r="BG1916" t="s">
        <v>51</v>
      </c>
      <c r="BI1916" cm="1">
        <f t="array" aca="1" ref="BI1916" ca="1">IFERROR(_xlfn._xlws.FILTER(shifts!A:A,(shifts!B:B=events!AD1916)*(shifts!AG:AG&gt;=events!BK1916)*(shifts!AH:AH&lt;=events!BL1916)),BI1915)</f>
        <v>84</v>
      </c>
      <c r="BJ1916" s="15">
        <f t="shared" si="1863"/>
        <v>0</v>
      </c>
      <c r="BK1916">
        <f t="shared" si="1871"/>
        <v>766</v>
      </c>
      <c r="BL1916">
        <f t="shared" si="1872"/>
        <v>766</v>
      </c>
      <c r="BM1916" s="15">
        <f>SUMIFS(BJ$2:BJ1916,K$2:K1916,"=Intermission")+SUMIFS(BJ$2:BJ1916,K$2:K1916,"=Timeout")</f>
        <v>142</v>
      </c>
      <c r="BN1916">
        <f t="shared" si="1873"/>
        <v>2302</v>
      </c>
      <c r="BO1916" s="19">
        <f t="shared" si="1874"/>
        <v>2616</v>
      </c>
      <c r="BP1916">
        <f t="shared" si="1875"/>
        <v>2611</v>
      </c>
      <c r="BQ1916" s="17">
        <f t="shared" si="1876"/>
        <v>2616</v>
      </c>
      <c r="BR1916" t="str">
        <f t="shared" si="1877"/>
        <v>event_team_player_1</v>
      </c>
      <c r="BS1916">
        <f>COUNTIFS(S$3:S1916,"="&amp;S1916,AI$3:AI1916,"="&amp;AI1916)</f>
        <v>1</v>
      </c>
      <c r="BT1916" t="str">
        <f>IFERROR(VLOOKUP(BB1916&amp;BU1916&amp;X1916,game_rosters!U:W,3,FALSE),"")</f>
        <v>P100074</v>
      </c>
      <c r="BU1916" t="str">
        <f t="shared" si="1878"/>
        <v>Nelson</v>
      </c>
    </row>
    <row r="1917" spans="1:73" x14ac:dyDescent="0.2">
      <c r="A1917">
        <f t="shared" si="1864"/>
        <v>1</v>
      </c>
      <c r="J1917" s="44" t="str">
        <f t="shared" si="1879"/>
        <v>o</v>
      </c>
      <c r="K1917" t="s">
        <v>6</v>
      </c>
      <c r="L1917" t="s">
        <v>205</v>
      </c>
      <c r="M1917" t="s">
        <v>51</v>
      </c>
      <c r="S1917">
        <v>1011</v>
      </c>
      <c r="W1917" t="str">
        <f t="shared" si="1855"/>
        <v>h</v>
      </c>
      <c r="X1917">
        <v>39</v>
      </c>
      <c r="Y1917" t="e">
        <f>IF(X1917&lt;&gt;"",VLOOKUP(X1917,game_rosters!$C$43:$E$64,3,FALSE))</f>
        <v>#N/A</v>
      </c>
      <c r="Z1917" t="str" cm="1">
        <f t="array" ref="Z1917">IFERROR(IF(_xlfn._xlws.FILTER(game_rosters!$J:$J,(game_rosters!$G:$G=events!$AN1917)*(game_rosters!$J:$J=events!$X1917))&gt;0,1,""),"")</f>
        <v/>
      </c>
      <c r="AA1917">
        <f t="shared" si="1903"/>
        <v>2011</v>
      </c>
      <c r="AB1917" t="str">
        <f t="shared" si="1904"/>
        <v/>
      </c>
      <c r="AC1917">
        <f t="shared" si="1852"/>
        <v>2011</v>
      </c>
      <c r="AD1917" s="6">
        <v>3</v>
      </c>
      <c r="AE1917" t="s">
        <v>746</v>
      </c>
      <c r="AF1917" t="s">
        <v>737</v>
      </c>
      <c r="AG1917" t="s">
        <v>756</v>
      </c>
      <c r="AH1917" t="s">
        <v>756</v>
      </c>
      <c r="AI1917" t="s">
        <v>368</v>
      </c>
      <c r="AJ1917" t="str">
        <f t="shared" ref="AJ1917:AK1917" si="1937">IF($J1917&lt;&gt;"",$J1917,IF($AC1917=$AC1916,AJ1916,""))</f>
        <v>o</v>
      </c>
      <c r="AK1917" t="str">
        <f t="shared" si="1937"/>
        <v>o</v>
      </c>
      <c r="AL1917" t="str">
        <f t="shared" si="1857"/>
        <v>o</v>
      </c>
      <c r="AN1917" t="s">
        <v>861</v>
      </c>
      <c r="AO1917" t="str">
        <f t="shared" si="1858"/>
        <v>h</v>
      </c>
      <c r="AP1917" t="str">
        <f t="shared" si="1866"/>
        <v>o</v>
      </c>
      <c r="AQ1917" t="str">
        <f t="shared" si="1867"/>
        <v/>
      </c>
      <c r="AR1917" t="str">
        <f t="shared" si="1868"/>
        <v>Home</v>
      </c>
      <c r="AS1917" t="str">
        <f t="shared" si="1869"/>
        <v>h</v>
      </c>
      <c r="AT1917" t="str">
        <f t="shared" si="1870"/>
        <v>Defensive</v>
      </c>
      <c r="BA1917" s="6">
        <f t="shared" si="1859"/>
        <v>442</v>
      </c>
      <c r="BB1917">
        <f t="shared" si="1860"/>
        <v>18981</v>
      </c>
      <c r="BC1917" t="str">
        <f t="shared" si="1861"/>
        <v>Nelson</v>
      </c>
      <c r="BD1917" t="str">
        <f t="shared" si="1862"/>
        <v>Velodrome</v>
      </c>
      <c r="BE1917" t="s">
        <v>6</v>
      </c>
      <c r="BF1917" t="s">
        <v>205</v>
      </c>
      <c r="BG1917" t="s">
        <v>51</v>
      </c>
      <c r="BI1917" cm="1">
        <f t="array" aca="1" ref="BI1917" ca="1">IFERROR(_xlfn._xlws.FILTER(shifts!A:A,(shifts!B:B=events!AD1917)*(shifts!AG:AG&gt;=events!BK1917)*(shifts!AH:AH&lt;=events!BL1917)),BI1916)</f>
        <v>84</v>
      </c>
      <c r="BJ1917" s="15">
        <f t="shared" si="1863"/>
        <v>0</v>
      </c>
      <c r="BK1917">
        <f t="shared" si="1871"/>
        <v>766</v>
      </c>
      <c r="BL1917">
        <f t="shared" si="1872"/>
        <v>766</v>
      </c>
      <c r="BM1917" s="15">
        <f>SUMIFS(BJ$2:BJ1917,K$2:K1917,"=Intermission")+SUMIFS(BJ$2:BJ1917,K$2:K1917,"=Timeout")</f>
        <v>142</v>
      </c>
      <c r="BN1917">
        <f t="shared" si="1873"/>
        <v>2302</v>
      </c>
      <c r="BO1917" s="19">
        <f t="shared" si="1874"/>
        <v>2616</v>
      </c>
      <c r="BP1917">
        <f t="shared" si="1875"/>
        <v>2611</v>
      </c>
      <c r="BQ1917" s="17">
        <f t="shared" si="1876"/>
        <v>2616</v>
      </c>
      <c r="BR1917" t="str">
        <f t="shared" si="1877"/>
        <v>opp_team_player_1</v>
      </c>
      <c r="BS1917">
        <f>COUNTIFS(S$3:S1917,"="&amp;S1917,AI$3:AI1917,"="&amp;AI1917)</f>
        <v>1</v>
      </c>
      <c r="BT1917" t="str">
        <f>IFERROR(VLOOKUP(BB1917&amp;BU1917&amp;X1917,game_rosters!U:W,3,FALSE),"")</f>
        <v>P100016</v>
      </c>
      <c r="BU1917" t="str">
        <f t="shared" si="1878"/>
        <v>Velodrome</v>
      </c>
    </row>
    <row r="1918" spans="1:73" x14ac:dyDescent="0.2">
      <c r="A1918">
        <f t="shared" si="1864"/>
        <v>1</v>
      </c>
      <c r="J1918" s="44" t="str">
        <f t="shared" si="1879"/>
        <v>o</v>
      </c>
      <c r="K1918" t="s">
        <v>6</v>
      </c>
      <c r="L1918" t="s">
        <v>205</v>
      </c>
      <c r="M1918" t="s">
        <v>51</v>
      </c>
      <c r="S1918">
        <v>1011</v>
      </c>
      <c r="W1918" t="str">
        <f t="shared" si="1855"/>
        <v>h</v>
      </c>
      <c r="X1918">
        <v>14</v>
      </c>
      <c r="Y1918" t="e">
        <f>IF(X1918&lt;&gt;"",VLOOKUP(X1918,game_rosters!$C$43:$E$64,3,FALSE))</f>
        <v>#N/A</v>
      </c>
      <c r="Z1918" t="str" cm="1">
        <f t="array" ref="Z1918">IFERROR(IF(_xlfn._xlws.FILTER(game_rosters!$J:$J,(game_rosters!$G:$G=events!$AN1918)*(game_rosters!$J:$J=events!$X1918))&gt;0,1,""),"")</f>
        <v/>
      </c>
      <c r="AA1918">
        <f t="shared" si="1903"/>
        <v>2011</v>
      </c>
      <c r="AB1918" t="str">
        <f t="shared" si="1904"/>
        <v/>
      </c>
      <c r="AC1918">
        <f t="shared" si="1852"/>
        <v>2011</v>
      </c>
      <c r="AD1918" s="6">
        <v>3</v>
      </c>
      <c r="AE1918" t="s">
        <v>746</v>
      </c>
      <c r="AF1918" t="s">
        <v>737</v>
      </c>
      <c r="AG1918" t="s">
        <v>756</v>
      </c>
      <c r="AH1918" t="s">
        <v>756</v>
      </c>
      <c r="AI1918" t="s">
        <v>368</v>
      </c>
      <c r="AJ1918" t="str">
        <f t="shared" ref="AJ1918:AK1918" si="1938">IF($J1918&lt;&gt;"",$J1918,IF($AC1918=$AC1917,AJ1917,""))</f>
        <v>o</v>
      </c>
      <c r="AK1918" t="str">
        <f t="shared" si="1938"/>
        <v>o</v>
      </c>
      <c r="AL1918" t="str">
        <f t="shared" si="1857"/>
        <v>o</v>
      </c>
      <c r="AN1918" t="s">
        <v>861</v>
      </c>
      <c r="AO1918" t="str">
        <f t="shared" si="1858"/>
        <v>h</v>
      </c>
      <c r="AP1918" t="str">
        <f t="shared" si="1866"/>
        <v>o</v>
      </c>
      <c r="AQ1918" t="str">
        <f t="shared" si="1867"/>
        <v/>
      </c>
      <c r="AR1918" t="str">
        <f t="shared" si="1868"/>
        <v>Home</v>
      </c>
      <c r="AS1918" t="str">
        <f t="shared" si="1869"/>
        <v>h</v>
      </c>
      <c r="AT1918" t="str">
        <f t="shared" si="1870"/>
        <v>Defensive</v>
      </c>
      <c r="BA1918" s="6">
        <f t="shared" si="1859"/>
        <v>442</v>
      </c>
      <c r="BB1918">
        <f t="shared" si="1860"/>
        <v>18981</v>
      </c>
      <c r="BC1918" t="str">
        <f t="shared" si="1861"/>
        <v>Nelson</v>
      </c>
      <c r="BD1918" t="str">
        <f t="shared" si="1862"/>
        <v>Velodrome</v>
      </c>
      <c r="BE1918" t="s">
        <v>6</v>
      </c>
      <c r="BF1918" t="s">
        <v>205</v>
      </c>
      <c r="BG1918" t="s">
        <v>51</v>
      </c>
      <c r="BI1918" cm="1">
        <f t="array" aca="1" ref="BI1918" ca="1">IFERROR(_xlfn._xlws.FILTER(shifts!A:A,(shifts!B:B=events!AD1918)*(shifts!AG:AG&gt;=events!BK1918)*(shifts!AH:AH&lt;=events!BL1918)),BI1917)</f>
        <v>84</v>
      </c>
      <c r="BJ1918" s="15">
        <f t="shared" si="1863"/>
        <v>0</v>
      </c>
      <c r="BK1918">
        <f t="shared" si="1871"/>
        <v>766</v>
      </c>
      <c r="BL1918">
        <f t="shared" si="1872"/>
        <v>766</v>
      </c>
      <c r="BM1918" s="15">
        <f>SUMIFS(BJ$2:BJ1918,K$2:K1918,"=Intermission")+SUMIFS(BJ$2:BJ1918,K$2:K1918,"=Timeout")</f>
        <v>142</v>
      </c>
      <c r="BN1918">
        <f t="shared" si="1873"/>
        <v>2302</v>
      </c>
      <c r="BO1918" s="19">
        <f t="shared" si="1874"/>
        <v>2616</v>
      </c>
      <c r="BP1918">
        <f t="shared" si="1875"/>
        <v>2611</v>
      </c>
      <c r="BQ1918" s="17">
        <f t="shared" si="1876"/>
        <v>2616</v>
      </c>
      <c r="BR1918" t="str">
        <f t="shared" si="1877"/>
        <v>opp_team_player_2</v>
      </c>
      <c r="BS1918">
        <f>COUNTIFS(S$3:S1918,"="&amp;S1918,AI$3:AI1918,"="&amp;AI1918)</f>
        <v>2</v>
      </c>
      <c r="BT1918" t="str">
        <f>IFERROR(VLOOKUP(BB1918&amp;BU1918&amp;X1918,game_rosters!U:W,3,FALSE),"")</f>
        <v>P100132</v>
      </c>
      <c r="BU1918" t="str">
        <f t="shared" si="1878"/>
        <v>Velodrome</v>
      </c>
    </row>
    <row r="1919" spans="1:73" x14ac:dyDescent="0.2">
      <c r="A1919">
        <f t="shared" si="1864"/>
        <v>1</v>
      </c>
      <c r="J1919" s="44" t="str">
        <f t="shared" si="1879"/>
        <v>d</v>
      </c>
      <c r="K1919" t="s">
        <v>15</v>
      </c>
      <c r="L1919" t="s">
        <v>189</v>
      </c>
      <c r="M1919" t="s">
        <v>101</v>
      </c>
      <c r="S1919">
        <v>1012</v>
      </c>
      <c r="W1919" t="str">
        <f t="shared" si="1855"/>
        <v>a</v>
      </c>
      <c r="X1919">
        <v>39</v>
      </c>
      <c r="Y1919" t="e">
        <f>IF(X1919&lt;&gt;"",VLOOKUP(X1919,game_rosters!$C$43:$E$64,3,FALSE))</f>
        <v>#N/A</v>
      </c>
      <c r="Z1919" cm="1">
        <f t="array" ref="Z1919">IFERROR(IF(_xlfn._xlws.FILTER(game_rosters!$J:$J,(game_rosters!$G:$G=events!$AN1919)*(game_rosters!$J:$J=events!$X1919))&gt;0,1,""),"")</f>
        <v>1</v>
      </c>
      <c r="AA1919">
        <f t="shared" si="1903"/>
        <v>2012</v>
      </c>
      <c r="AB1919" t="str">
        <f t="shared" si="1904"/>
        <v/>
      </c>
      <c r="AC1919">
        <f t="shared" si="1852"/>
        <v>2012</v>
      </c>
      <c r="AD1919" s="6">
        <v>3</v>
      </c>
      <c r="AE1919" t="s">
        <v>746</v>
      </c>
      <c r="AF1919" t="s">
        <v>737</v>
      </c>
      <c r="AG1919" t="s">
        <v>756</v>
      </c>
      <c r="AH1919" t="s">
        <v>756</v>
      </c>
      <c r="AI1919" t="s">
        <v>367</v>
      </c>
      <c r="AJ1919" t="str">
        <f t="shared" ref="AJ1919:AK1919" si="1939">IF($J1919&lt;&gt;"",$J1919,IF($AC1919=$AC1918,AJ1918,""))</f>
        <v>d</v>
      </c>
      <c r="AK1919" t="str">
        <f t="shared" si="1939"/>
        <v>d</v>
      </c>
      <c r="AL1919" t="str">
        <f t="shared" si="1857"/>
        <v>o</v>
      </c>
      <c r="AN1919" t="s">
        <v>862</v>
      </c>
      <c r="AO1919" t="str">
        <f t="shared" si="1858"/>
        <v>a</v>
      </c>
      <c r="AP1919" t="str">
        <f t="shared" si="1866"/>
        <v>o</v>
      </c>
      <c r="AQ1919" t="str">
        <f t="shared" si="1867"/>
        <v/>
      </c>
      <c r="AR1919" t="str">
        <f t="shared" si="1868"/>
        <v>Away</v>
      </c>
      <c r="AS1919" t="str">
        <f t="shared" si="1869"/>
        <v>a</v>
      </c>
      <c r="AT1919" t="str">
        <f t="shared" si="1870"/>
        <v>Defensive</v>
      </c>
      <c r="BA1919" s="6">
        <f t="shared" si="1859"/>
        <v>442</v>
      </c>
      <c r="BB1919">
        <f t="shared" si="1860"/>
        <v>18981</v>
      </c>
      <c r="BC1919" t="str">
        <f t="shared" si="1861"/>
        <v>Nelson</v>
      </c>
      <c r="BD1919" t="str">
        <f t="shared" si="1862"/>
        <v>Velodrome</v>
      </c>
      <c r="BE1919" t="s">
        <v>15</v>
      </c>
      <c r="BF1919" t="s">
        <v>189</v>
      </c>
      <c r="BG1919" t="s">
        <v>101</v>
      </c>
      <c r="BI1919" cm="1">
        <f t="array" aca="1" ref="BI1919" ca="1">IFERROR(_xlfn._xlws.FILTER(shifts!A:A,(shifts!B:B=events!AD1919)*(shifts!AG:AG&gt;=events!BK1919)*(shifts!AH:AH&lt;=events!BL1919)),BI1918)</f>
        <v>84</v>
      </c>
      <c r="BJ1919" s="15">
        <f t="shared" si="1863"/>
        <v>0</v>
      </c>
      <c r="BK1919">
        <f t="shared" si="1871"/>
        <v>766</v>
      </c>
      <c r="BL1919">
        <f t="shared" si="1872"/>
        <v>766</v>
      </c>
      <c r="BM1919" s="15">
        <f>SUMIFS(BJ$2:BJ1919,K$2:K1919,"=Intermission")+SUMIFS(BJ$2:BJ1919,K$2:K1919,"=Timeout")</f>
        <v>142</v>
      </c>
      <c r="BN1919">
        <f t="shared" si="1873"/>
        <v>2302</v>
      </c>
      <c r="BO1919" s="19">
        <f t="shared" si="1874"/>
        <v>2616</v>
      </c>
      <c r="BP1919">
        <f t="shared" si="1875"/>
        <v>2611</v>
      </c>
      <c r="BQ1919" s="17">
        <f t="shared" si="1876"/>
        <v>2616</v>
      </c>
      <c r="BR1919" t="str">
        <f t="shared" si="1877"/>
        <v>event_team_player_1</v>
      </c>
      <c r="BS1919">
        <f>COUNTIFS(S$3:S1919,"="&amp;S1919,AI$3:AI1919,"="&amp;AI1919)</f>
        <v>1</v>
      </c>
      <c r="BT1919" t="str">
        <f>IFERROR(VLOOKUP(BB1919&amp;BU1919&amp;X1919,game_rosters!U:W,3,FALSE),"")</f>
        <v>P100016</v>
      </c>
      <c r="BU1919" t="str">
        <f t="shared" si="1878"/>
        <v>Velodrome</v>
      </c>
    </row>
    <row r="1920" spans="1:73" x14ac:dyDescent="0.2">
      <c r="A1920">
        <f t="shared" si="1864"/>
        <v>1</v>
      </c>
      <c r="J1920" s="44" t="str">
        <f t="shared" si="1879"/>
        <v>d</v>
      </c>
      <c r="K1920" t="s">
        <v>15</v>
      </c>
      <c r="L1920" t="s">
        <v>189</v>
      </c>
      <c r="M1920" t="s">
        <v>101</v>
      </c>
      <c r="S1920">
        <v>1012</v>
      </c>
      <c r="W1920" t="str">
        <f t="shared" si="1855"/>
        <v>a</v>
      </c>
      <c r="X1920">
        <v>14</v>
      </c>
      <c r="Y1920" t="e">
        <f>IF(X1920&lt;&gt;"",VLOOKUP(X1920,game_rosters!$C$43:$E$64,3,FALSE))</f>
        <v>#N/A</v>
      </c>
      <c r="Z1920" cm="1">
        <f t="array" ref="Z1920">IFERROR(IF(_xlfn._xlws.FILTER(game_rosters!$J:$J,(game_rosters!$G:$G=events!$AN1920)*(game_rosters!$J:$J=events!$X1920))&gt;0,1,""),"")</f>
        <v>1</v>
      </c>
      <c r="AA1920">
        <f t="shared" si="1903"/>
        <v>2012</v>
      </c>
      <c r="AB1920" t="str">
        <f t="shared" si="1904"/>
        <v/>
      </c>
      <c r="AC1920">
        <f t="shared" si="1852"/>
        <v>2012</v>
      </c>
      <c r="AD1920" s="6">
        <v>3</v>
      </c>
      <c r="AE1920" t="s">
        <v>746</v>
      </c>
      <c r="AF1920" t="s">
        <v>737</v>
      </c>
      <c r="AG1920" t="s">
        <v>756</v>
      </c>
      <c r="AH1920" t="s">
        <v>756</v>
      </c>
      <c r="AI1920" t="s">
        <v>367</v>
      </c>
      <c r="AJ1920" t="str">
        <f t="shared" ref="AJ1920:AK1920" si="1940">IF($J1920&lt;&gt;"",$J1920,IF($AC1920=$AC1919,AJ1919,""))</f>
        <v>d</v>
      </c>
      <c r="AK1920" t="str">
        <f t="shared" si="1940"/>
        <v>d</v>
      </c>
      <c r="AL1920" t="str">
        <f t="shared" si="1857"/>
        <v>o</v>
      </c>
      <c r="AN1920" t="s">
        <v>862</v>
      </c>
      <c r="AO1920" t="str">
        <f t="shared" si="1858"/>
        <v>a</v>
      </c>
      <c r="AP1920" t="str">
        <f t="shared" si="1866"/>
        <v>o</v>
      </c>
      <c r="AQ1920" t="str">
        <f t="shared" si="1867"/>
        <v/>
      </c>
      <c r="AR1920" t="str">
        <f t="shared" si="1868"/>
        <v>Away</v>
      </c>
      <c r="AS1920" t="str">
        <f t="shared" si="1869"/>
        <v>a</v>
      </c>
      <c r="AT1920" t="str">
        <f t="shared" si="1870"/>
        <v>Defensive</v>
      </c>
      <c r="BA1920" s="6">
        <f t="shared" si="1859"/>
        <v>442</v>
      </c>
      <c r="BB1920">
        <f t="shared" si="1860"/>
        <v>18981</v>
      </c>
      <c r="BC1920" t="str">
        <f t="shared" si="1861"/>
        <v>Nelson</v>
      </c>
      <c r="BD1920" t="str">
        <f t="shared" si="1862"/>
        <v>Velodrome</v>
      </c>
      <c r="BE1920" t="s">
        <v>15</v>
      </c>
      <c r="BF1920" t="s">
        <v>189</v>
      </c>
      <c r="BG1920" t="s">
        <v>101</v>
      </c>
      <c r="BI1920" cm="1">
        <f t="array" aca="1" ref="BI1920" ca="1">IFERROR(_xlfn._xlws.FILTER(shifts!A:A,(shifts!B:B=events!AD1920)*(shifts!AG:AG&gt;=events!BK1920)*(shifts!AH:AH&lt;=events!BL1920)),BI1919)</f>
        <v>84</v>
      </c>
      <c r="BJ1920" s="15">
        <f t="shared" si="1863"/>
        <v>0</v>
      </c>
      <c r="BK1920">
        <f t="shared" si="1871"/>
        <v>766</v>
      </c>
      <c r="BL1920">
        <f t="shared" si="1872"/>
        <v>766</v>
      </c>
      <c r="BM1920" s="15">
        <f>SUMIFS(BJ$2:BJ1920,K$2:K1920,"=Intermission")+SUMIFS(BJ$2:BJ1920,K$2:K1920,"=Timeout")</f>
        <v>142</v>
      </c>
      <c r="BN1920">
        <f t="shared" si="1873"/>
        <v>2302</v>
      </c>
      <c r="BO1920" s="19">
        <f t="shared" si="1874"/>
        <v>2616</v>
      </c>
      <c r="BP1920">
        <f t="shared" si="1875"/>
        <v>2611</v>
      </c>
      <c r="BQ1920" s="17">
        <f t="shared" si="1876"/>
        <v>2616</v>
      </c>
      <c r="BR1920" t="str">
        <f t="shared" si="1877"/>
        <v>event_team_player_2</v>
      </c>
      <c r="BS1920">
        <f>COUNTIFS(S$3:S1920,"="&amp;S1920,AI$3:AI1920,"="&amp;AI1920)</f>
        <v>2</v>
      </c>
      <c r="BT1920" t="str">
        <f>IFERROR(VLOOKUP(BB1920&amp;BU1920&amp;X1920,game_rosters!U:W,3,FALSE),"")</f>
        <v>P100132</v>
      </c>
      <c r="BU1920" t="str">
        <f t="shared" si="1878"/>
        <v>Velodrome</v>
      </c>
    </row>
    <row r="1921" spans="1:73" x14ac:dyDescent="0.2">
      <c r="A1921">
        <f t="shared" si="1864"/>
        <v>1</v>
      </c>
      <c r="J1921" s="44" t="str">
        <f t="shared" si="1879"/>
        <v>d</v>
      </c>
      <c r="K1921" t="s">
        <v>15</v>
      </c>
      <c r="L1921" t="s">
        <v>189</v>
      </c>
      <c r="M1921" t="s">
        <v>101</v>
      </c>
      <c r="S1921">
        <v>1012</v>
      </c>
      <c r="W1921" t="str">
        <f t="shared" si="1855"/>
        <v>a</v>
      </c>
      <c r="X1921">
        <v>8</v>
      </c>
      <c r="Y1921" t="b">
        <f>IF(X1921&lt;&gt;"",VLOOKUP(X1921,game_rosters!$C$43:$E$64,3,FALSE))</f>
        <v>0</v>
      </c>
      <c r="Z1921" t="str" cm="1">
        <f t="array" ref="Z1921">IFERROR(IF(_xlfn._xlws.FILTER(game_rosters!$J:$J,(game_rosters!$G:$G=events!$AN1921)*(game_rosters!$J:$J=events!$X1921))&gt;0,1,""),"")</f>
        <v/>
      </c>
      <c r="AA1921">
        <f t="shared" si="1903"/>
        <v>2012</v>
      </c>
      <c r="AB1921" t="str">
        <f t="shared" si="1904"/>
        <v/>
      </c>
      <c r="AC1921">
        <f t="shared" si="1852"/>
        <v>2012</v>
      </c>
      <c r="AD1921" s="6">
        <v>3</v>
      </c>
      <c r="AE1921" t="s">
        <v>746</v>
      </c>
      <c r="AF1921" t="s">
        <v>737</v>
      </c>
      <c r="AG1921" t="s">
        <v>756</v>
      </c>
      <c r="AH1921" t="s">
        <v>756</v>
      </c>
      <c r="AI1921" t="s">
        <v>368</v>
      </c>
      <c r="AJ1921" t="str">
        <f t="shared" ref="AJ1921:AK1921" si="1941">IF($J1921&lt;&gt;"",$J1921,IF($AC1921=$AC1920,AJ1920,""))</f>
        <v>d</v>
      </c>
      <c r="AK1921" t="str">
        <f t="shared" si="1941"/>
        <v>d</v>
      </c>
      <c r="AL1921" t="str">
        <f t="shared" si="1857"/>
        <v>o</v>
      </c>
      <c r="AN1921" t="s">
        <v>862</v>
      </c>
      <c r="AO1921" t="str">
        <f t="shared" si="1858"/>
        <v>a</v>
      </c>
      <c r="AP1921" t="str">
        <f t="shared" si="1866"/>
        <v>o</v>
      </c>
      <c r="AQ1921" t="str">
        <f t="shared" si="1867"/>
        <v/>
      </c>
      <c r="AR1921" t="str">
        <f t="shared" si="1868"/>
        <v>Away</v>
      </c>
      <c r="AS1921" t="str">
        <f t="shared" si="1869"/>
        <v>a</v>
      </c>
      <c r="AT1921" t="str">
        <f t="shared" si="1870"/>
        <v>Offensive</v>
      </c>
      <c r="BA1921" s="6">
        <f t="shared" si="1859"/>
        <v>442</v>
      </c>
      <c r="BB1921">
        <f t="shared" si="1860"/>
        <v>18981</v>
      </c>
      <c r="BC1921" t="str">
        <f t="shared" si="1861"/>
        <v>Nelson</v>
      </c>
      <c r="BD1921" t="str">
        <f t="shared" si="1862"/>
        <v>Velodrome</v>
      </c>
      <c r="BE1921" t="s">
        <v>15</v>
      </c>
      <c r="BF1921" t="s">
        <v>189</v>
      </c>
      <c r="BG1921" t="s">
        <v>101</v>
      </c>
      <c r="BI1921" cm="1">
        <f t="array" aca="1" ref="BI1921" ca="1">IFERROR(_xlfn._xlws.FILTER(shifts!A:A,(shifts!B:B=events!AD1921)*(shifts!AG:AG&gt;=events!BK1921)*(shifts!AH:AH&lt;=events!BL1921)),BI1920)</f>
        <v>84</v>
      </c>
      <c r="BJ1921" s="15">
        <f t="shared" si="1863"/>
        <v>0</v>
      </c>
      <c r="BK1921">
        <f t="shared" si="1871"/>
        <v>766</v>
      </c>
      <c r="BL1921">
        <f t="shared" si="1872"/>
        <v>766</v>
      </c>
      <c r="BM1921" s="15">
        <f>SUMIFS(BJ$2:BJ1921,K$2:K1921,"=Intermission")+SUMIFS(BJ$2:BJ1921,K$2:K1921,"=Timeout")</f>
        <v>142</v>
      </c>
      <c r="BN1921">
        <f t="shared" si="1873"/>
        <v>2302</v>
      </c>
      <c r="BO1921" s="19">
        <f t="shared" si="1874"/>
        <v>2616</v>
      </c>
      <c r="BP1921">
        <f t="shared" si="1875"/>
        <v>2611</v>
      </c>
      <c r="BQ1921" s="17">
        <f t="shared" si="1876"/>
        <v>2616</v>
      </c>
      <c r="BR1921" t="str">
        <f t="shared" si="1877"/>
        <v>opp_team_player_1</v>
      </c>
      <c r="BS1921">
        <f>COUNTIFS(S$3:S1921,"="&amp;S1921,AI$3:AI1921,"="&amp;AI1921)</f>
        <v>1</v>
      </c>
      <c r="BT1921" t="str">
        <f>IFERROR(VLOOKUP(BB1921&amp;BU1921&amp;X1921,game_rosters!U:W,3,FALSE),"")</f>
        <v>P100074</v>
      </c>
      <c r="BU1921" t="str">
        <f t="shared" si="1878"/>
        <v>Nelson</v>
      </c>
    </row>
    <row r="1922" spans="1:73" x14ac:dyDescent="0.2">
      <c r="A1922">
        <f t="shared" si="1864"/>
        <v>1</v>
      </c>
      <c r="J1922" s="44" t="str">
        <f t="shared" si="1879"/>
        <v>d</v>
      </c>
      <c r="K1922" t="s">
        <v>11</v>
      </c>
      <c r="L1922" t="s">
        <v>187</v>
      </c>
      <c r="M1922" t="s">
        <v>108</v>
      </c>
      <c r="S1922">
        <v>1013</v>
      </c>
      <c r="W1922" t="str">
        <f t="shared" si="1855"/>
        <v>a</v>
      </c>
      <c r="X1922">
        <v>39</v>
      </c>
      <c r="Y1922" t="e">
        <f>IF(X1922&lt;&gt;"",VLOOKUP(X1922,game_rosters!$C$43:$E$64,3,FALSE))</f>
        <v>#N/A</v>
      </c>
      <c r="Z1922" cm="1">
        <f t="array" ref="Z1922">IFERROR(IF(_xlfn._xlws.FILTER(game_rosters!$J:$J,(game_rosters!$G:$G=events!$AN1922)*(game_rosters!$J:$J=events!$X1922))&gt;0,1,""),"")</f>
        <v>1</v>
      </c>
      <c r="AA1922">
        <f t="shared" si="1903"/>
        <v>2013</v>
      </c>
      <c r="AB1922" t="str">
        <f t="shared" si="1904"/>
        <v/>
      </c>
      <c r="AC1922">
        <f t="shared" ref="AC1922:AC1985" si="1942">IF(AB1922&lt;&gt;"",AB1922,S1922+1000)</f>
        <v>2013</v>
      </c>
      <c r="AD1922" s="6">
        <v>3</v>
      </c>
      <c r="AE1922" t="s">
        <v>746</v>
      </c>
      <c r="AF1922" t="s">
        <v>737</v>
      </c>
      <c r="AG1922" t="s">
        <v>756</v>
      </c>
      <c r="AH1922" t="s">
        <v>756</v>
      </c>
      <c r="AI1922" t="s">
        <v>367</v>
      </c>
      <c r="AJ1922" t="str">
        <f t="shared" ref="AJ1922:AK1922" si="1943">IF($J1922&lt;&gt;"",$J1922,IF($AC1922=$AC1921,AJ1921,""))</f>
        <v>d</v>
      </c>
      <c r="AK1922" t="str">
        <f t="shared" si="1943"/>
        <v>d</v>
      </c>
      <c r="AL1922" t="str">
        <f t="shared" si="1857"/>
        <v>o</v>
      </c>
      <c r="AN1922" t="s">
        <v>862</v>
      </c>
      <c r="AO1922" t="str">
        <f t="shared" si="1858"/>
        <v>a</v>
      </c>
      <c r="AP1922" t="str">
        <f t="shared" si="1866"/>
        <v>o</v>
      </c>
      <c r="AQ1922" t="str">
        <f t="shared" si="1867"/>
        <v/>
      </c>
      <c r="AR1922" t="str">
        <f t="shared" si="1868"/>
        <v>Away</v>
      </c>
      <c r="AS1922" t="str">
        <f t="shared" si="1869"/>
        <v>a</v>
      </c>
      <c r="AT1922" t="str">
        <f t="shared" si="1870"/>
        <v/>
      </c>
      <c r="BA1922" s="6">
        <f t="shared" si="1859"/>
        <v>442</v>
      </c>
      <c r="BB1922">
        <f t="shared" si="1860"/>
        <v>18981</v>
      </c>
      <c r="BC1922" t="str">
        <f t="shared" si="1861"/>
        <v>Nelson</v>
      </c>
      <c r="BD1922" t="str">
        <f t="shared" si="1862"/>
        <v>Velodrome</v>
      </c>
      <c r="BE1922" t="s">
        <v>11</v>
      </c>
      <c r="BF1922" t="s">
        <v>187</v>
      </c>
      <c r="BG1922" t="s">
        <v>108</v>
      </c>
      <c r="BI1922" cm="1">
        <f t="array" aca="1" ref="BI1922" ca="1">IFERROR(_xlfn._xlws.FILTER(shifts!A:A,(shifts!B:B=events!AD1922)*(shifts!AG:AG&gt;=events!BK1922)*(shifts!AH:AH&lt;=events!BL1922)),BI1921)</f>
        <v>84</v>
      </c>
      <c r="BJ1922" s="15">
        <f t="shared" si="1863"/>
        <v>0</v>
      </c>
      <c r="BK1922">
        <f t="shared" si="1871"/>
        <v>766</v>
      </c>
      <c r="BL1922">
        <f t="shared" si="1872"/>
        <v>766</v>
      </c>
      <c r="BM1922" s="15">
        <f>SUMIFS(BJ$2:BJ1922,K$2:K1922,"=Intermission")+SUMIFS(BJ$2:BJ1922,K$2:K1922,"=Timeout")</f>
        <v>142</v>
      </c>
      <c r="BN1922">
        <f t="shared" si="1873"/>
        <v>2302</v>
      </c>
      <c r="BO1922" s="19">
        <f t="shared" si="1874"/>
        <v>2616</v>
      </c>
      <c r="BP1922">
        <f t="shared" si="1875"/>
        <v>2611</v>
      </c>
      <c r="BQ1922" s="17">
        <f t="shared" si="1876"/>
        <v>2616</v>
      </c>
      <c r="BR1922" t="str">
        <f t="shared" si="1877"/>
        <v>event_team_player_1</v>
      </c>
      <c r="BS1922">
        <f>COUNTIFS(S$3:S1922,"="&amp;S1922,AI$3:AI1922,"="&amp;AI1922)</f>
        <v>1</v>
      </c>
      <c r="BT1922" t="str">
        <f>IFERROR(VLOOKUP(BB1922&amp;BU1922&amp;X1922,game_rosters!U:W,3,FALSE),"")</f>
        <v>P100016</v>
      </c>
      <c r="BU1922" t="str">
        <f t="shared" si="1878"/>
        <v>Velodrome</v>
      </c>
    </row>
    <row r="1923" spans="1:73" x14ac:dyDescent="0.2">
      <c r="A1923">
        <f t="shared" si="1864"/>
        <v>1</v>
      </c>
      <c r="J1923" s="44" t="str">
        <f t="shared" si="1879"/>
        <v>d</v>
      </c>
      <c r="K1923" t="s">
        <v>241</v>
      </c>
      <c r="L1923" t="s">
        <v>756</v>
      </c>
      <c r="M1923" t="s">
        <v>756</v>
      </c>
      <c r="S1923">
        <v>1014</v>
      </c>
      <c r="W1923" t="str">
        <f t="shared" si="1855"/>
        <v>a</v>
      </c>
      <c r="X1923">
        <v>39</v>
      </c>
      <c r="Y1923" t="e">
        <f>IF(X1923&lt;&gt;"",VLOOKUP(X1923,game_rosters!$C$43:$E$64,3,FALSE))</f>
        <v>#N/A</v>
      </c>
      <c r="Z1923" cm="1">
        <f t="array" ref="Z1923">IFERROR(IF(_xlfn._xlws.FILTER(game_rosters!$J:$J,(game_rosters!$G:$G=events!$AN1923)*(game_rosters!$J:$J=events!$X1923))&gt;0,1,""),"")</f>
        <v>1</v>
      </c>
      <c r="AA1923">
        <f t="shared" si="1903"/>
        <v>2014</v>
      </c>
      <c r="AB1923" t="str">
        <f t="shared" si="1904"/>
        <v/>
      </c>
      <c r="AC1923">
        <f t="shared" si="1942"/>
        <v>2014</v>
      </c>
      <c r="AD1923" s="6">
        <v>3</v>
      </c>
      <c r="AE1923" t="s">
        <v>746</v>
      </c>
      <c r="AF1923" t="s">
        <v>935</v>
      </c>
      <c r="AG1923" t="s">
        <v>746</v>
      </c>
      <c r="AH1923" t="s">
        <v>915</v>
      </c>
      <c r="AI1923" t="s">
        <v>367</v>
      </c>
      <c r="AJ1923" t="str">
        <f t="shared" ref="AJ1923:AK1923" si="1944">IF($J1923&lt;&gt;"",$J1923,IF($AC1923=$AC1922,AJ1922,""))</f>
        <v>d</v>
      </c>
      <c r="AK1923" t="str">
        <f t="shared" si="1944"/>
        <v>d</v>
      </c>
      <c r="AL1923" t="str">
        <f t="shared" si="1857"/>
        <v>o</v>
      </c>
      <c r="AN1923" t="s">
        <v>862</v>
      </c>
      <c r="AO1923" t="str">
        <f t="shared" si="1858"/>
        <v>a</v>
      </c>
      <c r="AP1923" t="str">
        <f t="shared" si="1866"/>
        <v>o</v>
      </c>
      <c r="AQ1923" t="str">
        <f t="shared" si="1867"/>
        <v/>
      </c>
      <c r="AR1923" t="str">
        <f t="shared" si="1868"/>
        <v>Away</v>
      </c>
      <c r="AS1923" t="str">
        <f t="shared" si="1869"/>
        <v>a</v>
      </c>
      <c r="AT1923" t="str">
        <f t="shared" si="1870"/>
        <v/>
      </c>
      <c r="BA1923" s="6">
        <f t="shared" si="1859"/>
        <v>442</v>
      </c>
      <c r="BB1923">
        <f t="shared" si="1860"/>
        <v>18981</v>
      </c>
      <c r="BC1923" t="str">
        <f t="shared" si="1861"/>
        <v>Nelson</v>
      </c>
      <c r="BD1923" t="str">
        <f t="shared" si="1862"/>
        <v>Velodrome</v>
      </c>
      <c r="BE1923" t="s">
        <v>241</v>
      </c>
      <c r="BF1923" t="s">
        <v>756</v>
      </c>
      <c r="BG1923" t="s">
        <v>756</v>
      </c>
      <c r="BI1923" cm="1">
        <f t="array" aca="1" ref="BI1923" ca="1">IFERROR(_xlfn._xlws.FILTER(shifts!A:A,(shifts!B:B=events!AD1923)*(shifts!AG:AG&gt;=events!BK1923)*(shifts!AH:AH&lt;=events!BL1923)),BI1922)</f>
        <v>84</v>
      </c>
      <c r="BJ1923" s="15">
        <f t="shared" si="1863"/>
        <v>15</v>
      </c>
      <c r="BK1923">
        <f t="shared" si="1871"/>
        <v>765</v>
      </c>
      <c r="BL1923">
        <f t="shared" si="1872"/>
        <v>750</v>
      </c>
      <c r="BM1923" s="15">
        <f>SUMIFS(BJ$2:BJ1923,K$2:K1923,"=Intermission")+SUMIFS(BJ$2:BJ1923,K$2:K1923,"=Timeout")</f>
        <v>142</v>
      </c>
      <c r="BN1923">
        <f t="shared" si="1873"/>
        <v>2302</v>
      </c>
      <c r="BO1923" s="19">
        <f t="shared" si="1874"/>
        <v>2617</v>
      </c>
      <c r="BP1923">
        <f t="shared" si="1875"/>
        <v>2612</v>
      </c>
      <c r="BQ1923" s="17">
        <f t="shared" si="1876"/>
        <v>2632</v>
      </c>
      <c r="BR1923" t="str">
        <f t="shared" si="1877"/>
        <v>event_team_player_1</v>
      </c>
      <c r="BS1923">
        <f>COUNTIFS(S$3:S1923,"="&amp;S1923,AI$3:AI1923,"="&amp;AI1923)</f>
        <v>1</v>
      </c>
      <c r="BT1923" t="str">
        <f>IFERROR(VLOOKUP(BB1923&amp;BU1923&amp;X1923,game_rosters!U:W,3,FALSE),"")</f>
        <v>P100016</v>
      </c>
      <c r="BU1923" t="str">
        <f t="shared" si="1878"/>
        <v>Velodrome</v>
      </c>
    </row>
    <row r="1924" spans="1:73" x14ac:dyDescent="0.2">
      <c r="A1924">
        <f t="shared" si="1864"/>
        <v>1</v>
      </c>
      <c r="J1924" s="44" t="str">
        <f t="shared" si="1879"/>
        <v/>
      </c>
      <c r="K1924" t="s">
        <v>5</v>
      </c>
      <c r="L1924" t="s">
        <v>236</v>
      </c>
      <c r="M1924" t="s">
        <v>756</v>
      </c>
      <c r="S1924">
        <v>1015</v>
      </c>
      <c r="W1924" t="str">
        <f t="shared" ref="W1924:W1987" si="1945">IF(AN1924="Away","a",IF(AN1924="Home","h",""))</f>
        <v>a</v>
      </c>
      <c r="X1924">
        <v>49</v>
      </c>
      <c r="Y1924" t="e">
        <f>IF(X1924&lt;&gt;"",VLOOKUP(X1924,game_rosters!$C$43:$E$64,3,FALSE))</f>
        <v>#N/A</v>
      </c>
      <c r="Z1924" cm="1">
        <f t="array" ref="Z1924">IFERROR(IF(_xlfn._xlws.FILTER(game_rosters!$J:$J,(game_rosters!$G:$G=events!$AN1924)*(game_rosters!$J:$J=events!$X1924))&gt;0,1,""),"")</f>
        <v>1</v>
      </c>
      <c r="AA1924">
        <f t="shared" si="1903"/>
        <v>2015</v>
      </c>
      <c r="AB1924" t="str">
        <f t="shared" si="1904"/>
        <v/>
      </c>
      <c r="AC1924">
        <f t="shared" si="1942"/>
        <v>2015</v>
      </c>
      <c r="AD1924" s="6">
        <v>3</v>
      </c>
      <c r="AE1924" t="s">
        <v>746</v>
      </c>
      <c r="AF1924" t="s">
        <v>915</v>
      </c>
      <c r="AG1924" t="s">
        <v>756</v>
      </c>
      <c r="AH1924" t="s">
        <v>756</v>
      </c>
      <c r="AI1924" t="s">
        <v>367</v>
      </c>
      <c r="AJ1924" t="str">
        <f t="shared" ref="AJ1924:AK1924" si="1946">IF($J1924&lt;&gt;"",$J1924,IF($AC1924=$AC1923,AJ1923,""))</f>
        <v/>
      </c>
      <c r="AK1924" t="str">
        <f t="shared" si="1946"/>
        <v/>
      </c>
      <c r="AL1924" t="str">
        <f t="shared" ref="AL1924:AL1987" si="1947">IF($W1924="","",IF($AJ1924="","",IF($W1924="h",$AJ1924,IF($AJ1924="n","n",IF(AND($W1924="a",$AJ1924="d"),"o",IF(AND($W1924="a",$AJ1924="o"),"d"))))))</f>
        <v/>
      </c>
      <c r="AN1924" t="s">
        <v>862</v>
      </c>
      <c r="AO1924" t="str">
        <f t="shared" ref="AO1924:AO1987" si="1948">IF($W1924&lt;&gt;"",$W1924,IF($AC1924=$AC1923,AO1923,""))</f>
        <v>a</v>
      </c>
      <c r="AP1924" t="str">
        <f t="shared" si="1866"/>
        <v/>
      </c>
      <c r="AQ1924" t="str">
        <f t="shared" si="1867"/>
        <v/>
      </c>
      <c r="AR1924" t="str">
        <f t="shared" si="1868"/>
        <v>Away</v>
      </c>
      <c r="AS1924" t="str">
        <f t="shared" si="1869"/>
        <v>a</v>
      </c>
      <c r="AT1924" t="str">
        <f t="shared" si="1870"/>
        <v>Offensive</v>
      </c>
      <c r="BA1924" s="6">
        <f t="shared" ref="BA1924:BA1987" si="1949">IF(OR(L1924="Zone_Entry",L1924="Zone_Exit"),BA1923+1,BA1923)</f>
        <v>442</v>
      </c>
      <c r="BB1924">
        <f t="shared" ref="BB1924:BB1987" si="1950">BB1923</f>
        <v>18981</v>
      </c>
      <c r="BC1924" t="str">
        <f t="shared" ref="BC1924:BC1987" si="1951">BC1923</f>
        <v>Nelson</v>
      </c>
      <c r="BD1924" t="str">
        <f t="shared" ref="BD1924:BD1987" si="1952">BD1923</f>
        <v>Velodrome</v>
      </c>
      <c r="BE1924" t="s">
        <v>5</v>
      </c>
      <c r="BF1924" t="s">
        <v>236</v>
      </c>
      <c r="BG1924" t="s">
        <v>756</v>
      </c>
      <c r="BI1924" cm="1">
        <f t="array" aca="1" ref="BI1924" ca="1">IFERROR(_xlfn._xlws.FILTER(shifts!A:A,(shifts!B:B=events!AD1924)*(shifts!AG:AG&gt;=events!BK1924)*(shifts!AH:AH&lt;=events!BL1924)),BI1923)</f>
        <v>84</v>
      </c>
      <c r="BJ1924" s="15">
        <f t="shared" ref="BJ1924:BJ1987" si="1953">IF(AND(AG1924="",AH1924=""),0,((AE1924*60)+AF1924)-((AG1924*60)+AH1924))</f>
        <v>0</v>
      </c>
      <c r="BK1924">
        <f t="shared" si="1871"/>
        <v>750</v>
      </c>
      <c r="BL1924">
        <f t="shared" si="1872"/>
        <v>750</v>
      </c>
      <c r="BM1924" s="15">
        <f>SUMIFS(BJ$2:BJ1924,K$2:K1924,"=Intermission")+SUMIFS(BJ$2:BJ1924,K$2:K1924,"=Timeout")</f>
        <v>142</v>
      </c>
      <c r="BN1924">
        <f t="shared" si="1873"/>
        <v>2302</v>
      </c>
      <c r="BO1924" s="19">
        <f t="shared" si="1874"/>
        <v>2632</v>
      </c>
      <c r="BP1924">
        <f t="shared" si="1875"/>
        <v>2627</v>
      </c>
      <c r="BQ1924" s="17">
        <f t="shared" si="1876"/>
        <v>2632</v>
      </c>
      <c r="BR1924" t="str">
        <f t="shared" si="1877"/>
        <v>event_team_player_1</v>
      </c>
      <c r="BS1924">
        <f>COUNTIFS(S$3:S1924,"="&amp;S1924,AI$3:AI1924,"="&amp;AI1924)</f>
        <v>1</v>
      </c>
      <c r="BT1924" t="str">
        <f>IFERROR(VLOOKUP(BB1924&amp;BU1924&amp;X1924,game_rosters!U:W,3,FALSE),"")</f>
        <v>P100161</v>
      </c>
      <c r="BU1924" t="str">
        <f t="shared" si="1878"/>
        <v>Velodrome</v>
      </c>
    </row>
    <row r="1925" spans="1:73" x14ac:dyDescent="0.2">
      <c r="A1925">
        <f t="shared" ref="A1925:A1988" si="1954">IF(K1925&lt;&gt;"",1,IF(D1925="x","x",""))</f>
        <v>1</v>
      </c>
      <c r="J1925" s="44" t="str">
        <f t="shared" si="1879"/>
        <v/>
      </c>
      <c r="K1925" t="s">
        <v>5</v>
      </c>
      <c r="L1925" t="s">
        <v>236</v>
      </c>
      <c r="M1925" t="s">
        <v>756</v>
      </c>
      <c r="S1925">
        <v>1015</v>
      </c>
      <c r="W1925" t="str">
        <f t="shared" si="1945"/>
        <v>a</v>
      </c>
      <c r="X1925">
        <v>79</v>
      </c>
      <c r="Y1925" t="b">
        <f>IF(X1925&lt;&gt;"",VLOOKUP(X1925,game_rosters!$C$43:$E$64,3,FALSE))</f>
        <v>0</v>
      </c>
      <c r="Z1925" t="str" cm="1">
        <f t="array" ref="Z1925">IFERROR(IF(_xlfn._xlws.FILTER(game_rosters!$J:$J,(game_rosters!$G:$G=events!$AN1925)*(game_rosters!$J:$J=events!$X1925))&gt;0,1,""),"")</f>
        <v/>
      </c>
      <c r="AA1925">
        <f t="shared" si="1903"/>
        <v>2015</v>
      </c>
      <c r="AB1925" t="str">
        <f t="shared" si="1904"/>
        <v/>
      </c>
      <c r="AC1925">
        <f t="shared" si="1942"/>
        <v>2015</v>
      </c>
      <c r="AD1925" s="6">
        <v>3</v>
      </c>
      <c r="AE1925" t="s">
        <v>746</v>
      </c>
      <c r="AF1925" t="s">
        <v>915</v>
      </c>
      <c r="AG1925" t="s">
        <v>756</v>
      </c>
      <c r="AH1925" t="s">
        <v>756</v>
      </c>
      <c r="AI1925" t="s">
        <v>368</v>
      </c>
      <c r="AJ1925" t="str">
        <f t="shared" ref="AJ1925:AK1925" si="1955">IF($J1925&lt;&gt;"",$J1925,IF($AC1925=$AC1924,AJ1924,""))</f>
        <v/>
      </c>
      <c r="AK1925" t="str">
        <f t="shared" si="1955"/>
        <v/>
      </c>
      <c r="AL1925" t="str">
        <f t="shared" si="1947"/>
        <v/>
      </c>
      <c r="AN1925" t="s">
        <v>862</v>
      </c>
      <c r="AO1925" t="str">
        <f t="shared" si="1948"/>
        <v>a</v>
      </c>
      <c r="AP1925" t="str">
        <f t="shared" ref="AP1925:AP1988" si="1956">IF(AL1925&lt;&gt;"",AL1925,IF($AC1925=$AC1924,AP1924,""))</f>
        <v/>
      </c>
      <c r="AQ1925" t="str">
        <f t="shared" ref="AQ1925:AQ1988" si="1957">IF(AM1925&lt;&gt;"",AM1925,IF($AC1925=$AC1924,AQ1924,""))</f>
        <v/>
      </c>
      <c r="AR1925" t="str">
        <f t="shared" ref="AR1925:AR1988" si="1958">IF(AN1925&lt;&gt;"",AN1925,IF($AC1925=$AC1924,AR1924,""))</f>
        <v>Away</v>
      </c>
      <c r="AS1925" t="str">
        <f t="shared" ref="AS1925:AS1988" si="1959">IF(AO1925&lt;&gt;"",AO1925,IF($AC1925=$AC1924,AS1924,""))</f>
        <v>a</v>
      </c>
      <c r="AT1925" t="str">
        <f t="shared" ref="AT1925:AT1988" si="1960">IF(AND(AI1925="e",OR(BE1925="Save",BF1925="Turnover_Takeaway",BF1925="Play_Defensive")),"Defensive",IF(AND(AI1925="o",OR(BE1925="Save",BF1925="Turnover_Takeaway",BF1925="Play_Defensive")),"Offensive",IF(OR(BE1925="Deadice",BE1925="Stoppage",BE1925="Intermission"),"",IF(AI1925="e","Offensive",IF(AI1925="o","Defensive","")))))</f>
        <v>Defensive</v>
      </c>
      <c r="BA1925" s="6">
        <f t="shared" si="1949"/>
        <v>442</v>
      </c>
      <c r="BB1925">
        <f t="shared" si="1950"/>
        <v>18981</v>
      </c>
      <c r="BC1925" t="str">
        <f t="shared" si="1951"/>
        <v>Nelson</v>
      </c>
      <c r="BD1925" t="str">
        <f t="shared" si="1952"/>
        <v>Velodrome</v>
      </c>
      <c r="BE1925" t="s">
        <v>5</v>
      </c>
      <c r="BF1925" t="s">
        <v>236</v>
      </c>
      <c r="BG1925" t="s">
        <v>756</v>
      </c>
      <c r="BI1925" cm="1">
        <f t="array" aca="1" ref="BI1925" ca="1">IFERROR(_xlfn._xlws.FILTER(shifts!A:A,(shifts!B:B=events!AD1925)*(shifts!AG:AG&gt;=events!BK1925)*(shifts!AH:AH&lt;=events!BL1925)),BI1924)</f>
        <v>84</v>
      </c>
      <c r="BJ1925" s="15">
        <f t="shared" si="1953"/>
        <v>0</v>
      </c>
      <c r="BK1925">
        <f t="shared" ref="BK1925:BK1988" si="1961">(AE1925*60)+AF1925</f>
        <v>750</v>
      </c>
      <c r="BL1925">
        <f t="shared" ref="BL1925:BL1988" si="1962">IF(AND(AG1925="",AH1925=""),BK1925,((AG1925*60)+AH1925))</f>
        <v>750</v>
      </c>
      <c r="BM1925" s="15">
        <f>SUMIFS(BJ$2:BJ1925,K$2:K1925,"=Intermission")+SUMIFS(BJ$2:BJ1925,K$2:K1925,"=Timeout")</f>
        <v>142</v>
      </c>
      <c r="BN1925">
        <f t="shared" ref="BN1925:BN1988" si="1963">IF(AD1925=1,0,IF(AD1925=2,1080+BM1925,IF(AD1925=3,(1080*2)+BM1925,0)))</f>
        <v>2302</v>
      </c>
      <c r="BO1925" s="19">
        <f t="shared" ref="BO1925:BO1988" si="1964">IF(K1925="Intermission",BO1924,((1080)-((AE1925*60)+AF1925))+BN1925)</f>
        <v>2632</v>
      </c>
      <c r="BP1925">
        <f t="shared" ref="BP1925:BP1988" si="1965">IF(BO1925&lt;5,0,BO1925-5)</f>
        <v>2627</v>
      </c>
      <c r="BQ1925" s="17">
        <f t="shared" ref="BQ1925:BQ1988" si="1966">BP1925+BJ1925+5</f>
        <v>2632</v>
      </c>
      <c r="BR1925" t="str">
        <f t="shared" ref="BR1925:BR1988" si="1967">IF(AI1925="e","event_team_player_"&amp;BS1925,IF(AI1925="o","opp_team_player_"&amp;BS1925,""))</f>
        <v>opp_team_player_1</v>
      </c>
      <c r="BS1925">
        <f>COUNTIFS(S$3:S1925,"="&amp;S1925,AI$3:AI1925,"="&amp;AI1925)</f>
        <v>1</v>
      </c>
      <c r="BT1925" t="str">
        <f>IFERROR(VLOOKUP(BB1925&amp;BU1925&amp;X1925,game_rosters!U:W,3,FALSE),"")</f>
        <v>P100066</v>
      </c>
      <c r="BU1925" t="str">
        <f t="shared" ref="BU1925:BU1988" si="1968">IF(AR1925="","",IF(AND(AR1925="Away",AI1925="e"),BD1925,IF(AND(AR1925="Home",AI1925="e"),BC1925,IF(AND(AR1925="Away",AI1925="o"),BC1925,IF(AND(AR1925="Home",AI1925="o"),BD1925)))))</f>
        <v>Nelson</v>
      </c>
    </row>
    <row r="1926" spans="1:73" x14ac:dyDescent="0.2">
      <c r="A1926">
        <f t="shared" si="1954"/>
        <v>1</v>
      </c>
      <c r="J1926" s="44" t="str">
        <f t="shared" ref="J1926:J1989" si="1969">IF(OR(K1926="Goal",K1926="Shot",L1926="Zone_Entry",M1926="Stoppage-Goal",M1925="Stoppage-Goal"),"o",IF(OR(K1926="Save",K1926="Rebound",L1926="Zone_Exit",M1926="Stoppage-GoalieStoppage",M1925="Stoppage-GoalieStoppage"),"d",IF(OR(L1926="Faceoff_AfterGoal",L1926="Faceoff_PeriodStart",698="Faceoff_GameStart",M1925="Stoppage-Goal"),"n","")))</f>
        <v/>
      </c>
      <c r="K1926" t="s">
        <v>9</v>
      </c>
      <c r="L1926" t="s">
        <v>173</v>
      </c>
      <c r="M1926" t="s">
        <v>365</v>
      </c>
      <c r="S1926">
        <v>1016</v>
      </c>
      <c r="W1926" t="str">
        <f t="shared" si="1945"/>
        <v>a</v>
      </c>
      <c r="X1926">
        <v>84</v>
      </c>
      <c r="Y1926" t="e">
        <f>IF(X1926&lt;&gt;"",VLOOKUP(X1926,game_rosters!$C$43:$E$64,3,FALSE))</f>
        <v>#N/A</v>
      </c>
      <c r="Z1926" cm="1">
        <f t="array" ref="Z1926">IFERROR(IF(_xlfn._xlws.FILTER(game_rosters!$J:$J,(game_rosters!$G:$G=events!$AN1926)*(game_rosters!$J:$J=events!$X1926))&gt;0,1,""),"")</f>
        <v>1</v>
      </c>
      <c r="AA1926">
        <f t="shared" si="1903"/>
        <v>2016</v>
      </c>
      <c r="AB1926" t="str">
        <f t="shared" si="1904"/>
        <v/>
      </c>
      <c r="AC1926">
        <f t="shared" si="1942"/>
        <v>2016</v>
      </c>
      <c r="AD1926" s="6">
        <v>3</v>
      </c>
      <c r="AE1926" t="s">
        <v>746</v>
      </c>
      <c r="AF1926" t="s">
        <v>930</v>
      </c>
      <c r="AG1926" t="s">
        <v>756</v>
      </c>
      <c r="AH1926" t="s">
        <v>756</v>
      </c>
      <c r="AI1926" t="s">
        <v>367</v>
      </c>
      <c r="AJ1926" t="str">
        <f t="shared" ref="AJ1926:AK1926" si="1970">IF($J1926&lt;&gt;"",$J1926,IF($AC1926=$AC1925,AJ1925,""))</f>
        <v/>
      </c>
      <c r="AK1926" t="str">
        <f t="shared" si="1970"/>
        <v/>
      </c>
      <c r="AL1926" t="str">
        <f t="shared" si="1947"/>
        <v/>
      </c>
      <c r="AN1926" t="s">
        <v>862</v>
      </c>
      <c r="AO1926" t="str">
        <f t="shared" si="1948"/>
        <v>a</v>
      </c>
      <c r="AP1926" t="str">
        <f t="shared" si="1956"/>
        <v/>
      </c>
      <c r="AQ1926" t="str">
        <f t="shared" si="1957"/>
        <v/>
      </c>
      <c r="AR1926" t="str">
        <f t="shared" si="1958"/>
        <v>Away</v>
      </c>
      <c r="AS1926" t="str">
        <f t="shared" si="1959"/>
        <v>a</v>
      </c>
      <c r="AT1926" t="str">
        <f t="shared" si="1960"/>
        <v>Offensive</v>
      </c>
      <c r="BA1926" s="6">
        <f t="shared" si="1949"/>
        <v>442</v>
      </c>
      <c r="BB1926">
        <f t="shared" si="1950"/>
        <v>18981</v>
      </c>
      <c r="BC1926" t="str">
        <f t="shared" si="1951"/>
        <v>Nelson</v>
      </c>
      <c r="BD1926" t="str">
        <f t="shared" si="1952"/>
        <v>Velodrome</v>
      </c>
      <c r="BE1926" t="s">
        <v>9</v>
      </c>
      <c r="BF1926" t="s">
        <v>173</v>
      </c>
      <c r="BG1926" t="s">
        <v>365</v>
      </c>
      <c r="BI1926" cm="1">
        <f t="array" aca="1" ref="BI1926" ca="1">IFERROR(_xlfn._xlws.FILTER(shifts!A:A,(shifts!B:B=events!AD1926)*(shifts!AG:AG&gt;=events!BK1926)*(shifts!AH:AH&lt;=events!BL1926)),BI1925)</f>
        <v>84</v>
      </c>
      <c r="BJ1926" s="15">
        <f t="shared" si="1953"/>
        <v>0</v>
      </c>
      <c r="BK1926">
        <f t="shared" si="1961"/>
        <v>748</v>
      </c>
      <c r="BL1926">
        <f t="shared" si="1962"/>
        <v>748</v>
      </c>
      <c r="BM1926" s="15">
        <f>SUMIFS(BJ$2:BJ1926,K$2:K1926,"=Intermission")+SUMIFS(BJ$2:BJ1926,K$2:K1926,"=Timeout")</f>
        <v>142</v>
      </c>
      <c r="BN1926">
        <f t="shared" si="1963"/>
        <v>2302</v>
      </c>
      <c r="BO1926" s="19">
        <f t="shared" si="1964"/>
        <v>2634</v>
      </c>
      <c r="BP1926">
        <f t="shared" si="1965"/>
        <v>2629</v>
      </c>
      <c r="BQ1926" s="17">
        <f t="shared" si="1966"/>
        <v>2634</v>
      </c>
      <c r="BR1926" t="str">
        <f t="shared" si="1967"/>
        <v>event_team_player_1</v>
      </c>
      <c r="BS1926">
        <f>COUNTIFS(S$3:S1926,"="&amp;S1926,AI$3:AI1926,"="&amp;AI1926)</f>
        <v>1</v>
      </c>
      <c r="BT1926" t="str">
        <f>IFERROR(VLOOKUP(BB1926&amp;BU1926&amp;X1926,game_rosters!U:W,3,FALSE),"")</f>
        <v>P100198</v>
      </c>
      <c r="BU1926" t="str">
        <f t="shared" si="1968"/>
        <v>Velodrome</v>
      </c>
    </row>
    <row r="1927" spans="1:73" x14ac:dyDescent="0.2">
      <c r="A1927">
        <f t="shared" si="1954"/>
        <v>1</v>
      </c>
      <c r="J1927" s="44" t="str">
        <f t="shared" si="1969"/>
        <v/>
      </c>
      <c r="K1927" t="s">
        <v>7</v>
      </c>
      <c r="L1927" t="s">
        <v>172</v>
      </c>
      <c r="M1927" t="s">
        <v>68</v>
      </c>
      <c r="S1927">
        <v>1017</v>
      </c>
      <c r="W1927" t="str">
        <f t="shared" si="1945"/>
        <v>h</v>
      </c>
      <c r="X1927">
        <v>16</v>
      </c>
      <c r="Y1927" t="b">
        <f>IF(X1927&lt;&gt;"",VLOOKUP(X1927,game_rosters!$C$43:$E$64,3,FALSE))</f>
        <v>0</v>
      </c>
      <c r="Z1927" cm="1">
        <f t="array" ref="Z1927">IFERROR(IF(_xlfn._xlws.FILTER(game_rosters!$J:$J,(game_rosters!$G:$G=events!$AN1927)*(game_rosters!$J:$J=events!$X1927))&gt;0,1,""),"")</f>
        <v>1</v>
      </c>
      <c r="AA1927">
        <f t="shared" si="1903"/>
        <v>2017</v>
      </c>
      <c r="AB1927" t="str">
        <f t="shared" si="1904"/>
        <v/>
      </c>
      <c r="AC1927">
        <f t="shared" si="1942"/>
        <v>2017</v>
      </c>
      <c r="AD1927" s="6">
        <v>3</v>
      </c>
      <c r="AE1927" t="s">
        <v>746</v>
      </c>
      <c r="AF1927" t="s">
        <v>907</v>
      </c>
      <c r="AG1927" t="s">
        <v>756</v>
      </c>
      <c r="AH1927" t="s">
        <v>756</v>
      </c>
      <c r="AI1927" t="s">
        <v>367</v>
      </c>
      <c r="AJ1927" t="str">
        <f t="shared" ref="AJ1927:AK1927" si="1971">IF($J1927&lt;&gt;"",$J1927,IF($AC1927=$AC1926,AJ1926,""))</f>
        <v/>
      </c>
      <c r="AK1927" t="str">
        <f t="shared" si="1971"/>
        <v/>
      </c>
      <c r="AL1927" t="str">
        <f t="shared" si="1947"/>
        <v/>
      </c>
      <c r="AN1927" t="s">
        <v>861</v>
      </c>
      <c r="AO1927" t="str">
        <f t="shared" si="1948"/>
        <v>h</v>
      </c>
      <c r="AP1927" t="str">
        <f t="shared" si="1956"/>
        <v/>
      </c>
      <c r="AQ1927" t="str">
        <f t="shared" si="1957"/>
        <v/>
      </c>
      <c r="AR1927" t="str">
        <f t="shared" si="1958"/>
        <v>Home</v>
      </c>
      <c r="AS1927" t="str">
        <f t="shared" si="1959"/>
        <v>h</v>
      </c>
      <c r="AT1927" t="str">
        <f t="shared" si="1960"/>
        <v>Offensive</v>
      </c>
      <c r="BA1927" s="6">
        <f t="shared" si="1949"/>
        <v>442</v>
      </c>
      <c r="BB1927">
        <f t="shared" si="1950"/>
        <v>18981</v>
      </c>
      <c r="BC1927" t="str">
        <f t="shared" si="1951"/>
        <v>Nelson</v>
      </c>
      <c r="BD1927" t="str">
        <f t="shared" si="1952"/>
        <v>Velodrome</v>
      </c>
      <c r="BE1927" t="s">
        <v>7</v>
      </c>
      <c r="BF1927" t="s">
        <v>172</v>
      </c>
      <c r="BG1927" t="s">
        <v>68</v>
      </c>
      <c r="BI1927" cm="1">
        <f t="array" aca="1" ref="BI1927" ca="1">IFERROR(_xlfn._xlws.FILTER(shifts!A:A,(shifts!B:B=events!AD1927)*(shifts!AG:AG&gt;=events!BK1927)*(shifts!AH:AH&lt;=events!BL1927)),BI1926)</f>
        <v>84</v>
      </c>
      <c r="BJ1927" s="15">
        <f t="shared" si="1953"/>
        <v>0</v>
      </c>
      <c r="BK1927">
        <f t="shared" si="1961"/>
        <v>744</v>
      </c>
      <c r="BL1927">
        <f t="shared" si="1962"/>
        <v>744</v>
      </c>
      <c r="BM1927" s="15">
        <f>SUMIFS(BJ$2:BJ1927,K$2:K1927,"=Intermission")+SUMIFS(BJ$2:BJ1927,K$2:K1927,"=Timeout")</f>
        <v>142</v>
      </c>
      <c r="BN1927">
        <f t="shared" si="1963"/>
        <v>2302</v>
      </c>
      <c r="BO1927" s="19">
        <f t="shared" si="1964"/>
        <v>2638</v>
      </c>
      <c r="BP1927">
        <f t="shared" si="1965"/>
        <v>2633</v>
      </c>
      <c r="BQ1927" s="17">
        <f t="shared" si="1966"/>
        <v>2638</v>
      </c>
      <c r="BR1927" t="str">
        <f t="shared" si="1967"/>
        <v>event_team_player_1</v>
      </c>
      <c r="BS1927">
        <f>COUNTIFS(S$3:S1927,"="&amp;S1927,AI$3:AI1927,"="&amp;AI1927)</f>
        <v>1</v>
      </c>
      <c r="BT1927" t="str">
        <f>IFERROR(VLOOKUP(BB1927&amp;BU1927&amp;X1927,game_rosters!U:W,3,FALSE),"")</f>
        <v>P100164</v>
      </c>
      <c r="BU1927" t="str">
        <f t="shared" si="1968"/>
        <v>Nelson</v>
      </c>
    </row>
    <row r="1928" spans="1:73" x14ac:dyDescent="0.2">
      <c r="A1928">
        <f t="shared" si="1954"/>
        <v>1</v>
      </c>
      <c r="J1928" s="44" t="str">
        <f t="shared" si="1969"/>
        <v/>
      </c>
      <c r="K1928" t="s">
        <v>7</v>
      </c>
      <c r="L1928" t="s">
        <v>172</v>
      </c>
      <c r="M1928" t="s">
        <v>68</v>
      </c>
      <c r="S1928">
        <v>1017</v>
      </c>
      <c r="W1928" t="str">
        <f t="shared" si="1945"/>
        <v>h</v>
      </c>
      <c r="X1928">
        <v>15</v>
      </c>
      <c r="Y1928" t="b">
        <f>IF(X1928&lt;&gt;"",VLOOKUP(X1928,game_rosters!$C$43:$E$64,3,FALSE))</f>
        <v>0</v>
      </c>
      <c r="Z1928" cm="1">
        <f t="array" ref="Z1928">IFERROR(IF(_xlfn._xlws.FILTER(game_rosters!$J:$J,(game_rosters!$G:$G=events!$AN1928)*(game_rosters!$J:$J=events!$X1928))&gt;0,1,""),"")</f>
        <v>1</v>
      </c>
      <c r="AA1928">
        <f t="shared" si="1903"/>
        <v>2017</v>
      </c>
      <c r="AB1928" t="str">
        <f t="shared" si="1904"/>
        <v/>
      </c>
      <c r="AC1928">
        <f t="shared" si="1942"/>
        <v>2017</v>
      </c>
      <c r="AD1928" s="6">
        <v>3</v>
      </c>
      <c r="AE1928" t="s">
        <v>746</v>
      </c>
      <c r="AF1928" t="s">
        <v>907</v>
      </c>
      <c r="AG1928" t="s">
        <v>756</v>
      </c>
      <c r="AH1928" t="s">
        <v>756</v>
      </c>
      <c r="AI1928" t="s">
        <v>367</v>
      </c>
      <c r="AJ1928" t="str">
        <f t="shared" ref="AJ1928:AK1928" si="1972">IF($J1928&lt;&gt;"",$J1928,IF($AC1928=$AC1927,AJ1927,""))</f>
        <v/>
      </c>
      <c r="AK1928" t="str">
        <f t="shared" si="1972"/>
        <v/>
      </c>
      <c r="AL1928" t="str">
        <f t="shared" si="1947"/>
        <v/>
      </c>
      <c r="AN1928" t="s">
        <v>861</v>
      </c>
      <c r="AO1928" t="str">
        <f t="shared" si="1948"/>
        <v>h</v>
      </c>
      <c r="AP1928" t="str">
        <f t="shared" si="1956"/>
        <v/>
      </c>
      <c r="AQ1928" t="str">
        <f t="shared" si="1957"/>
        <v/>
      </c>
      <c r="AR1928" t="str">
        <f t="shared" si="1958"/>
        <v>Home</v>
      </c>
      <c r="AS1928" t="str">
        <f t="shared" si="1959"/>
        <v>h</v>
      </c>
      <c r="AT1928" t="str">
        <f t="shared" si="1960"/>
        <v>Offensive</v>
      </c>
      <c r="BA1928" s="6">
        <f t="shared" si="1949"/>
        <v>442</v>
      </c>
      <c r="BB1928">
        <f t="shared" si="1950"/>
        <v>18981</v>
      </c>
      <c r="BC1928" t="str">
        <f t="shared" si="1951"/>
        <v>Nelson</v>
      </c>
      <c r="BD1928" t="str">
        <f t="shared" si="1952"/>
        <v>Velodrome</v>
      </c>
      <c r="BE1928" t="s">
        <v>7</v>
      </c>
      <c r="BF1928" t="s">
        <v>172</v>
      </c>
      <c r="BG1928" t="s">
        <v>68</v>
      </c>
      <c r="BI1928" cm="1">
        <f t="array" aca="1" ref="BI1928" ca="1">IFERROR(_xlfn._xlws.FILTER(shifts!A:A,(shifts!B:B=events!AD1928)*(shifts!AG:AG&gt;=events!BK1928)*(shifts!AH:AH&lt;=events!BL1928)),BI1927)</f>
        <v>84</v>
      </c>
      <c r="BJ1928" s="15">
        <f t="shared" si="1953"/>
        <v>0</v>
      </c>
      <c r="BK1928">
        <f t="shared" si="1961"/>
        <v>744</v>
      </c>
      <c r="BL1928">
        <f t="shared" si="1962"/>
        <v>744</v>
      </c>
      <c r="BM1928" s="15">
        <f>SUMIFS(BJ$2:BJ1928,K$2:K1928,"=Intermission")+SUMIFS(BJ$2:BJ1928,K$2:K1928,"=Timeout")</f>
        <v>142</v>
      </c>
      <c r="BN1928">
        <f t="shared" si="1963"/>
        <v>2302</v>
      </c>
      <c r="BO1928" s="19">
        <f t="shared" si="1964"/>
        <v>2638</v>
      </c>
      <c r="BP1928">
        <f t="shared" si="1965"/>
        <v>2633</v>
      </c>
      <c r="BQ1928" s="17">
        <f t="shared" si="1966"/>
        <v>2638</v>
      </c>
      <c r="BR1928" t="str">
        <f t="shared" si="1967"/>
        <v>event_team_player_2</v>
      </c>
      <c r="BS1928">
        <f>COUNTIFS(S$3:S1928,"="&amp;S1928,AI$3:AI1928,"="&amp;AI1928)</f>
        <v>2</v>
      </c>
      <c r="BT1928" t="str">
        <f>IFERROR(VLOOKUP(BB1928&amp;BU1928&amp;X1928,game_rosters!U:W,3,FALSE),"")</f>
        <v>P100071</v>
      </c>
      <c r="BU1928" t="str">
        <f t="shared" si="1968"/>
        <v>Nelson</v>
      </c>
    </row>
    <row r="1929" spans="1:73" x14ac:dyDescent="0.2">
      <c r="A1929">
        <f t="shared" si="1954"/>
        <v>1</v>
      </c>
      <c r="J1929" s="44" t="str">
        <f t="shared" si="1969"/>
        <v/>
      </c>
      <c r="K1929" t="s">
        <v>13</v>
      </c>
      <c r="L1929" t="s">
        <v>756</v>
      </c>
      <c r="M1929" t="s">
        <v>756</v>
      </c>
      <c r="S1929">
        <v>1018</v>
      </c>
      <c r="W1929" t="str">
        <f t="shared" si="1945"/>
        <v>h</v>
      </c>
      <c r="X1929">
        <v>15</v>
      </c>
      <c r="Y1929" t="b">
        <f>IF(X1929&lt;&gt;"",VLOOKUP(X1929,game_rosters!$C$43:$E$64,3,FALSE))</f>
        <v>0</v>
      </c>
      <c r="Z1929" cm="1">
        <f t="array" ref="Z1929">IFERROR(IF(_xlfn._xlws.FILTER(game_rosters!$J:$J,(game_rosters!$G:$G=events!$AN1929)*(game_rosters!$J:$J=events!$X1929))&gt;0,1,""),"")</f>
        <v>1</v>
      </c>
      <c r="AA1929">
        <f t="shared" si="1903"/>
        <v>2018</v>
      </c>
      <c r="AB1929" t="str">
        <f t="shared" si="1904"/>
        <v/>
      </c>
      <c r="AC1929">
        <f t="shared" si="1942"/>
        <v>2018</v>
      </c>
      <c r="AD1929" s="6">
        <v>3</v>
      </c>
      <c r="AE1929" t="s">
        <v>746</v>
      </c>
      <c r="AF1929" t="s">
        <v>907</v>
      </c>
      <c r="AG1929" t="s">
        <v>746</v>
      </c>
      <c r="AH1929" t="s">
        <v>918</v>
      </c>
      <c r="AI1929" t="s">
        <v>367</v>
      </c>
      <c r="AJ1929" t="str">
        <f t="shared" ref="AJ1929:AK1929" si="1973">IF($J1929&lt;&gt;"",$J1929,IF($AC1929=$AC1928,AJ1928,""))</f>
        <v/>
      </c>
      <c r="AK1929" t="str">
        <f t="shared" si="1973"/>
        <v/>
      </c>
      <c r="AL1929" t="str">
        <f t="shared" si="1947"/>
        <v/>
      </c>
      <c r="AN1929" t="s">
        <v>861</v>
      </c>
      <c r="AO1929" t="str">
        <f t="shared" si="1948"/>
        <v>h</v>
      </c>
      <c r="AP1929" t="str">
        <f t="shared" si="1956"/>
        <v/>
      </c>
      <c r="AQ1929" t="str">
        <f t="shared" si="1957"/>
        <v/>
      </c>
      <c r="AR1929" t="str">
        <f t="shared" si="1958"/>
        <v>Home</v>
      </c>
      <c r="AS1929" t="str">
        <f t="shared" si="1959"/>
        <v>h</v>
      </c>
      <c r="AT1929" t="str">
        <f t="shared" si="1960"/>
        <v>Offensive</v>
      </c>
      <c r="BA1929" s="6">
        <f t="shared" si="1949"/>
        <v>442</v>
      </c>
      <c r="BB1929">
        <f t="shared" si="1950"/>
        <v>18981</v>
      </c>
      <c r="BC1929" t="str">
        <f t="shared" si="1951"/>
        <v>Nelson</v>
      </c>
      <c r="BD1929" t="str">
        <f t="shared" si="1952"/>
        <v>Velodrome</v>
      </c>
      <c r="BE1929" t="s">
        <v>13</v>
      </c>
      <c r="BF1929" t="s">
        <v>756</v>
      </c>
      <c r="BG1929" t="s">
        <v>756</v>
      </c>
      <c r="BI1929" cm="1">
        <f t="array" aca="1" ref="BI1929" ca="1">IFERROR(_xlfn._xlws.FILTER(shifts!A:A,(shifts!B:B=events!AD1929)*(shifts!AG:AG&gt;=events!BK1929)*(shifts!AH:AH&lt;=events!BL1929)),BI1928)</f>
        <v>84</v>
      </c>
      <c r="BJ1929" s="15">
        <f t="shared" si="1953"/>
        <v>2</v>
      </c>
      <c r="BK1929">
        <f t="shared" si="1961"/>
        <v>744</v>
      </c>
      <c r="BL1929">
        <f t="shared" si="1962"/>
        <v>742</v>
      </c>
      <c r="BM1929" s="15">
        <f>SUMIFS(BJ$2:BJ1929,K$2:K1929,"=Intermission")+SUMIFS(BJ$2:BJ1929,K$2:K1929,"=Timeout")</f>
        <v>142</v>
      </c>
      <c r="BN1929">
        <f t="shared" si="1963"/>
        <v>2302</v>
      </c>
      <c r="BO1929" s="19">
        <f t="shared" si="1964"/>
        <v>2638</v>
      </c>
      <c r="BP1929">
        <f t="shared" si="1965"/>
        <v>2633</v>
      </c>
      <c r="BQ1929" s="17">
        <f t="shared" si="1966"/>
        <v>2640</v>
      </c>
      <c r="BR1929" t="str">
        <f t="shared" si="1967"/>
        <v>event_team_player_1</v>
      </c>
      <c r="BS1929">
        <f>COUNTIFS(S$3:S1929,"="&amp;S1929,AI$3:AI1929,"="&amp;AI1929)</f>
        <v>1</v>
      </c>
      <c r="BT1929" t="str">
        <f>IFERROR(VLOOKUP(BB1929&amp;BU1929&amp;X1929,game_rosters!U:W,3,FALSE),"")</f>
        <v>P100071</v>
      </c>
      <c r="BU1929" t="str">
        <f t="shared" si="1968"/>
        <v>Nelson</v>
      </c>
    </row>
    <row r="1930" spans="1:73" x14ac:dyDescent="0.2">
      <c r="A1930">
        <f t="shared" si="1954"/>
        <v>1</v>
      </c>
      <c r="J1930" s="44" t="str">
        <f t="shared" si="1969"/>
        <v/>
      </c>
      <c r="K1930" t="s">
        <v>7</v>
      </c>
      <c r="L1930" t="s">
        <v>172</v>
      </c>
      <c r="M1930" t="s">
        <v>68</v>
      </c>
      <c r="S1930">
        <v>1019</v>
      </c>
      <c r="W1930" t="str">
        <f t="shared" si="1945"/>
        <v>h</v>
      </c>
      <c r="X1930">
        <v>15</v>
      </c>
      <c r="Y1930" t="b">
        <f>IF(X1930&lt;&gt;"",VLOOKUP(X1930,game_rosters!$C$43:$E$64,3,FALSE))</f>
        <v>0</v>
      </c>
      <c r="Z1930" cm="1">
        <f t="array" ref="Z1930">IFERROR(IF(_xlfn._xlws.FILTER(game_rosters!$J:$J,(game_rosters!$G:$G=events!$AN1930)*(game_rosters!$J:$J=events!$X1930))&gt;0,1,""),"")</f>
        <v>1</v>
      </c>
      <c r="AA1930">
        <f t="shared" si="1903"/>
        <v>2019</v>
      </c>
      <c r="AB1930" t="str">
        <f t="shared" si="1904"/>
        <v/>
      </c>
      <c r="AC1930">
        <f t="shared" si="1942"/>
        <v>2019</v>
      </c>
      <c r="AD1930" s="6">
        <v>3</v>
      </c>
      <c r="AE1930" t="s">
        <v>746</v>
      </c>
      <c r="AF1930" t="s">
        <v>918</v>
      </c>
      <c r="AG1930" t="s">
        <v>756</v>
      </c>
      <c r="AH1930" t="s">
        <v>756</v>
      </c>
      <c r="AI1930" t="s">
        <v>367</v>
      </c>
      <c r="AJ1930" t="str">
        <f t="shared" ref="AJ1930:AK1930" si="1974">IF($J1930&lt;&gt;"",$J1930,IF($AC1930=$AC1929,AJ1929,""))</f>
        <v/>
      </c>
      <c r="AK1930" t="str">
        <f t="shared" si="1974"/>
        <v/>
      </c>
      <c r="AL1930" t="str">
        <f t="shared" si="1947"/>
        <v/>
      </c>
      <c r="AN1930" t="s">
        <v>861</v>
      </c>
      <c r="AO1930" t="str">
        <f t="shared" si="1948"/>
        <v>h</v>
      </c>
      <c r="AP1930" t="str">
        <f t="shared" si="1956"/>
        <v/>
      </c>
      <c r="AQ1930" t="str">
        <f t="shared" si="1957"/>
        <v/>
      </c>
      <c r="AR1930" t="str">
        <f t="shared" si="1958"/>
        <v>Home</v>
      </c>
      <c r="AS1930" t="str">
        <f t="shared" si="1959"/>
        <v>h</v>
      </c>
      <c r="AT1930" t="str">
        <f t="shared" si="1960"/>
        <v>Offensive</v>
      </c>
      <c r="BA1930" s="6">
        <f t="shared" si="1949"/>
        <v>442</v>
      </c>
      <c r="BB1930">
        <f t="shared" si="1950"/>
        <v>18981</v>
      </c>
      <c r="BC1930" t="str">
        <f t="shared" si="1951"/>
        <v>Nelson</v>
      </c>
      <c r="BD1930" t="str">
        <f t="shared" si="1952"/>
        <v>Velodrome</v>
      </c>
      <c r="BE1930" t="s">
        <v>7</v>
      </c>
      <c r="BF1930" t="s">
        <v>172</v>
      </c>
      <c r="BG1930" t="s">
        <v>68</v>
      </c>
      <c r="BI1930" cm="1">
        <f t="array" aca="1" ref="BI1930" ca="1">IFERROR(_xlfn._xlws.FILTER(shifts!A:A,(shifts!B:B=events!AD1930)*(shifts!AG:AG&gt;=events!BK1930)*(shifts!AH:AH&lt;=events!BL1930)),BI1929)</f>
        <v>84</v>
      </c>
      <c r="BJ1930" s="15">
        <f t="shared" si="1953"/>
        <v>0</v>
      </c>
      <c r="BK1930">
        <f t="shared" si="1961"/>
        <v>742</v>
      </c>
      <c r="BL1930">
        <f t="shared" si="1962"/>
        <v>742</v>
      </c>
      <c r="BM1930" s="15">
        <f>SUMIFS(BJ$2:BJ1930,K$2:K1930,"=Intermission")+SUMIFS(BJ$2:BJ1930,K$2:K1930,"=Timeout")</f>
        <v>142</v>
      </c>
      <c r="BN1930">
        <f t="shared" si="1963"/>
        <v>2302</v>
      </c>
      <c r="BO1930" s="19">
        <f t="shared" si="1964"/>
        <v>2640</v>
      </c>
      <c r="BP1930">
        <f t="shared" si="1965"/>
        <v>2635</v>
      </c>
      <c r="BQ1930" s="17">
        <f t="shared" si="1966"/>
        <v>2640</v>
      </c>
      <c r="BR1930" t="str">
        <f t="shared" si="1967"/>
        <v>event_team_player_1</v>
      </c>
      <c r="BS1930">
        <f>COUNTIFS(S$3:S1930,"="&amp;S1930,AI$3:AI1930,"="&amp;AI1930)</f>
        <v>1</v>
      </c>
      <c r="BT1930" t="str">
        <f>IFERROR(VLOOKUP(BB1930&amp;BU1930&amp;X1930,game_rosters!U:W,3,FALSE),"")</f>
        <v>P100071</v>
      </c>
      <c r="BU1930" t="str">
        <f t="shared" si="1968"/>
        <v>Nelson</v>
      </c>
    </row>
    <row r="1931" spans="1:73" x14ac:dyDescent="0.2">
      <c r="A1931">
        <f t="shared" si="1954"/>
        <v>1</v>
      </c>
      <c r="J1931" s="44" t="str">
        <f t="shared" si="1969"/>
        <v/>
      </c>
      <c r="K1931" t="s">
        <v>7</v>
      </c>
      <c r="L1931" t="s">
        <v>172</v>
      </c>
      <c r="M1931" t="s">
        <v>68</v>
      </c>
      <c r="S1931">
        <v>1019</v>
      </c>
      <c r="W1931" t="str">
        <f t="shared" si="1945"/>
        <v>h</v>
      </c>
      <c r="X1931">
        <v>16</v>
      </c>
      <c r="Y1931" t="b">
        <f>IF(X1931&lt;&gt;"",VLOOKUP(X1931,game_rosters!$C$43:$E$64,3,FALSE))</f>
        <v>0</v>
      </c>
      <c r="Z1931" cm="1">
        <f t="array" ref="Z1931">IFERROR(IF(_xlfn._xlws.FILTER(game_rosters!$J:$J,(game_rosters!$G:$G=events!$AN1931)*(game_rosters!$J:$J=events!$X1931))&gt;0,1,""),"")</f>
        <v>1</v>
      </c>
      <c r="AA1931">
        <f t="shared" si="1903"/>
        <v>2019</v>
      </c>
      <c r="AB1931" t="str">
        <f t="shared" si="1904"/>
        <v/>
      </c>
      <c r="AC1931">
        <f t="shared" si="1942"/>
        <v>2019</v>
      </c>
      <c r="AD1931" s="6">
        <v>3</v>
      </c>
      <c r="AE1931" t="s">
        <v>746</v>
      </c>
      <c r="AF1931" t="s">
        <v>918</v>
      </c>
      <c r="AG1931" t="s">
        <v>756</v>
      </c>
      <c r="AH1931" t="s">
        <v>756</v>
      </c>
      <c r="AI1931" t="s">
        <v>367</v>
      </c>
      <c r="AJ1931" t="str">
        <f t="shared" ref="AJ1931:AK1931" si="1975">IF($J1931&lt;&gt;"",$J1931,IF($AC1931=$AC1930,AJ1930,""))</f>
        <v/>
      </c>
      <c r="AK1931" t="str">
        <f t="shared" si="1975"/>
        <v/>
      </c>
      <c r="AL1931" t="str">
        <f t="shared" si="1947"/>
        <v/>
      </c>
      <c r="AN1931" t="s">
        <v>861</v>
      </c>
      <c r="AO1931" t="str">
        <f t="shared" si="1948"/>
        <v>h</v>
      </c>
      <c r="AP1931" t="str">
        <f t="shared" si="1956"/>
        <v/>
      </c>
      <c r="AQ1931" t="str">
        <f t="shared" si="1957"/>
        <v/>
      </c>
      <c r="AR1931" t="str">
        <f t="shared" si="1958"/>
        <v>Home</v>
      </c>
      <c r="AS1931" t="str">
        <f t="shared" si="1959"/>
        <v>h</v>
      </c>
      <c r="AT1931" t="str">
        <f t="shared" si="1960"/>
        <v>Offensive</v>
      </c>
      <c r="BA1931" s="6">
        <f t="shared" si="1949"/>
        <v>442</v>
      </c>
      <c r="BB1931">
        <f t="shared" si="1950"/>
        <v>18981</v>
      </c>
      <c r="BC1931" t="str">
        <f t="shared" si="1951"/>
        <v>Nelson</v>
      </c>
      <c r="BD1931" t="str">
        <f t="shared" si="1952"/>
        <v>Velodrome</v>
      </c>
      <c r="BE1931" t="s">
        <v>7</v>
      </c>
      <c r="BF1931" t="s">
        <v>172</v>
      </c>
      <c r="BG1931" t="s">
        <v>68</v>
      </c>
      <c r="BI1931" cm="1">
        <f t="array" aca="1" ref="BI1931" ca="1">IFERROR(_xlfn._xlws.FILTER(shifts!A:A,(shifts!B:B=events!AD1931)*(shifts!AG:AG&gt;=events!BK1931)*(shifts!AH:AH&lt;=events!BL1931)),BI1930)</f>
        <v>84</v>
      </c>
      <c r="BJ1931" s="15">
        <f t="shared" si="1953"/>
        <v>0</v>
      </c>
      <c r="BK1931">
        <f t="shared" si="1961"/>
        <v>742</v>
      </c>
      <c r="BL1931">
        <f t="shared" si="1962"/>
        <v>742</v>
      </c>
      <c r="BM1931" s="15">
        <f>SUMIFS(BJ$2:BJ1931,K$2:K1931,"=Intermission")+SUMIFS(BJ$2:BJ1931,K$2:K1931,"=Timeout")</f>
        <v>142</v>
      </c>
      <c r="BN1931">
        <f t="shared" si="1963"/>
        <v>2302</v>
      </c>
      <c r="BO1931" s="19">
        <f t="shared" si="1964"/>
        <v>2640</v>
      </c>
      <c r="BP1931">
        <f t="shared" si="1965"/>
        <v>2635</v>
      </c>
      <c r="BQ1931" s="17">
        <f t="shared" si="1966"/>
        <v>2640</v>
      </c>
      <c r="BR1931" t="str">
        <f t="shared" si="1967"/>
        <v>event_team_player_2</v>
      </c>
      <c r="BS1931">
        <f>COUNTIFS(S$3:S1931,"="&amp;S1931,AI$3:AI1931,"="&amp;AI1931)</f>
        <v>2</v>
      </c>
      <c r="BT1931" t="str">
        <f>IFERROR(VLOOKUP(BB1931&amp;BU1931&amp;X1931,game_rosters!U:W,3,FALSE),"")</f>
        <v>P100164</v>
      </c>
      <c r="BU1931" t="str">
        <f t="shared" si="1968"/>
        <v>Nelson</v>
      </c>
    </row>
    <row r="1932" spans="1:73" x14ac:dyDescent="0.2">
      <c r="A1932">
        <f t="shared" si="1954"/>
        <v>1</v>
      </c>
      <c r="J1932" s="44" t="str">
        <f t="shared" si="1969"/>
        <v>o</v>
      </c>
      <c r="K1932" t="s">
        <v>6</v>
      </c>
      <c r="L1932" t="s">
        <v>191</v>
      </c>
      <c r="M1932" t="s">
        <v>51</v>
      </c>
      <c r="S1932">
        <v>1020</v>
      </c>
      <c r="W1932" t="str">
        <f t="shared" si="1945"/>
        <v>h</v>
      </c>
      <c r="X1932">
        <v>16</v>
      </c>
      <c r="Y1932" t="b">
        <f>IF(X1932&lt;&gt;"",VLOOKUP(X1932,game_rosters!$C$43:$E$64,3,FALSE))</f>
        <v>0</v>
      </c>
      <c r="Z1932" cm="1">
        <f t="array" ref="Z1932">IFERROR(IF(_xlfn._xlws.FILTER(game_rosters!$J:$J,(game_rosters!$G:$G=events!$AN1932)*(game_rosters!$J:$J=events!$X1932))&gt;0,1,""),"")</f>
        <v>1</v>
      </c>
      <c r="AA1932">
        <f t="shared" si="1903"/>
        <v>2020</v>
      </c>
      <c r="AB1932" t="str">
        <f t="shared" si="1904"/>
        <v/>
      </c>
      <c r="AC1932">
        <f t="shared" si="1942"/>
        <v>2020</v>
      </c>
      <c r="AD1932" s="6">
        <v>3</v>
      </c>
      <c r="AE1932" t="s">
        <v>746</v>
      </c>
      <c r="AF1932" t="s">
        <v>741</v>
      </c>
      <c r="AG1932" t="s">
        <v>756</v>
      </c>
      <c r="AH1932" t="s">
        <v>756</v>
      </c>
      <c r="AI1932" t="s">
        <v>367</v>
      </c>
      <c r="AJ1932" t="str">
        <f t="shared" ref="AJ1932:AK1932" si="1976">IF($J1932&lt;&gt;"",$J1932,IF($AC1932=$AC1931,AJ1931,""))</f>
        <v>o</v>
      </c>
      <c r="AK1932" t="str">
        <f t="shared" si="1976"/>
        <v>o</v>
      </c>
      <c r="AL1932" t="str">
        <f t="shared" si="1947"/>
        <v>o</v>
      </c>
      <c r="AN1932" t="s">
        <v>861</v>
      </c>
      <c r="AO1932" t="str">
        <f t="shared" si="1948"/>
        <v>h</v>
      </c>
      <c r="AP1932" t="str">
        <f t="shared" si="1956"/>
        <v>o</v>
      </c>
      <c r="AQ1932" t="str">
        <f t="shared" si="1957"/>
        <v/>
      </c>
      <c r="AR1932" t="str">
        <f t="shared" si="1958"/>
        <v>Home</v>
      </c>
      <c r="AS1932" t="str">
        <f t="shared" si="1959"/>
        <v>h</v>
      </c>
      <c r="AT1932" t="str">
        <f t="shared" si="1960"/>
        <v>Offensive</v>
      </c>
      <c r="BA1932" s="6">
        <f t="shared" si="1949"/>
        <v>442</v>
      </c>
      <c r="BB1932">
        <f t="shared" si="1950"/>
        <v>18981</v>
      </c>
      <c r="BC1932" t="str">
        <f t="shared" si="1951"/>
        <v>Nelson</v>
      </c>
      <c r="BD1932" t="str">
        <f t="shared" si="1952"/>
        <v>Velodrome</v>
      </c>
      <c r="BE1932" t="s">
        <v>6</v>
      </c>
      <c r="BF1932" t="s">
        <v>191</v>
      </c>
      <c r="BG1932" t="s">
        <v>51</v>
      </c>
      <c r="BI1932" cm="1">
        <f t="array" aca="1" ref="BI1932" ca="1">IFERROR(_xlfn._xlws.FILTER(shifts!A:A,(shifts!B:B=events!AD1932)*(shifts!AG:AG&gt;=events!BK1932)*(shifts!AH:AH&lt;=events!BL1932)),BI1931)</f>
        <v>84</v>
      </c>
      <c r="BJ1932" s="15">
        <f t="shared" si="1953"/>
        <v>0</v>
      </c>
      <c r="BK1932">
        <f t="shared" si="1961"/>
        <v>741</v>
      </c>
      <c r="BL1932">
        <f t="shared" si="1962"/>
        <v>741</v>
      </c>
      <c r="BM1932" s="15">
        <f>SUMIFS(BJ$2:BJ1932,K$2:K1932,"=Intermission")+SUMIFS(BJ$2:BJ1932,K$2:K1932,"=Timeout")</f>
        <v>142</v>
      </c>
      <c r="BN1932">
        <f t="shared" si="1963"/>
        <v>2302</v>
      </c>
      <c r="BO1932" s="19">
        <f t="shared" si="1964"/>
        <v>2641</v>
      </c>
      <c r="BP1932">
        <f t="shared" si="1965"/>
        <v>2636</v>
      </c>
      <c r="BQ1932" s="17">
        <f t="shared" si="1966"/>
        <v>2641</v>
      </c>
      <c r="BR1932" t="str">
        <f t="shared" si="1967"/>
        <v>event_team_player_1</v>
      </c>
      <c r="BS1932">
        <f>COUNTIFS(S$3:S1932,"="&amp;S1932,AI$3:AI1932,"="&amp;AI1932)</f>
        <v>1</v>
      </c>
      <c r="BT1932" t="str">
        <f>IFERROR(VLOOKUP(BB1932&amp;BU1932&amp;X1932,game_rosters!U:W,3,FALSE),"")</f>
        <v>P100164</v>
      </c>
      <c r="BU1932" t="str">
        <f t="shared" si="1968"/>
        <v>Nelson</v>
      </c>
    </row>
    <row r="1933" spans="1:73" x14ac:dyDescent="0.2">
      <c r="A1933">
        <f t="shared" si="1954"/>
        <v>1</v>
      </c>
      <c r="J1933" s="44" t="str">
        <f t="shared" si="1969"/>
        <v>o</v>
      </c>
      <c r="K1933" t="s">
        <v>6</v>
      </c>
      <c r="L1933" t="s">
        <v>191</v>
      </c>
      <c r="M1933" t="s">
        <v>51</v>
      </c>
      <c r="S1933">
        <v>1020</v>
      </c>
      <c r="W1933" t="str">
        <f t="shared" si="1945"/>
        <v>h</v>
      </c>
      <c r="X1933">
        <v>93</v>
      </c>
      <c r="Y1933" t="e">
        <f>IF(X1933&lt;&gt;"",VLOOKUP(X1933,game_rosters!$C$43:$E$64,3,FALSE))</f>
        <v>#N/A</v>
      </c>
      <c r="Z1933" t="str" cm="1">
        <f t="array" ref="Z1933">IFERROR(IF(_xlfn._xlws.FILTER(game_rosters!$J:$J,(game_rosters!$G:$G=events!$AN1933)*(game_rosters!$J:$J=events!$X1933))&gt;0,1,""),"")</f>
        <v/>
      </c>
      <c r="AA1933">
        <f t="shared" si="1903"/>
        <v>2020</v>
      </c>
      <c r="AB1933" t="str">
        <f t="shared" si="1904"/>
        <v/>
      </c>
      <c r="AC1933">
        <f t="shared" si="1942"/>
        <v>2020</v>
      </c>
      <c r="AD1933" s="6">
        <v>3</v>
      </c>
      <c r="AE1933" t="s">
        <v>746</v>
      </c>
      <c r="AF1933" t="s">
        <v>741</v>
      </c>
      <c r="AG1933" t="s">
        <v>756</v>
      </c>
      <c r="AH1933" t="s">
        <v>756</v>
      </c>
      <c r="AI1933" t="s">
        <v>368</v>
      </c>
      <c r="AJ1933" t="str">
        <f t="shared" ref="AJ1933:AK1933" si="1977">IF($J1933&lt;&gt;"",$J1933,IF($AC1933=$AC1932,AJ1932,""))</f>
        <v>o</v>
      </c>
      <c r="AK1933" t="str">
        <f t="shared" si="1977"/>
        <v>o</v>
      </c>
      <c r="AL1933" t="str">
        <f t="shared" si="1947"/>
        <v>o</v>
      </c>
      <c r="AN1933" t="s">
        <v>861</v>
      </c>
      <c r="AO1933" t="str">
        <f t="shared" si="1948"/>
        <v>h</v>
      </c>
      <c r="AP1933" t="str">
        <f t="shared" si="1956"/>
        <v>o</v>
      </c>
      <c r="AQ1933" t="str">
        <f t="shared" si="1957"/>
        <v/>
      </c>
      <c r="AR1933" t="str">
        <f t="shared" si="1958"/>
        <v>Home</v>
      </c>
      <c r="AS1933" t="str">
        <f t="shared" si="1959"/>
        <v>h</v>
      </c>
      <c r="AT1933" t="str">
        <f t="shared" si="1960"/>
        <v>Defensive</v>
      </c>
      <c r="BA1933" s="6">
        <f t="shared" si="1949"/>
        <v>442</v>
      </c>
      <c r="BB1933">
        <f t="shared" si="1950"/>
        <v>18981</v>
      </c>
      <c r="BC1933" t="str">
        <f t="shared" si="1951"/>
        <v>Nelson</v>
      </c>
      <c r="BD1933" t="str">
        <f t="shared" si="1952"/>
        <v>Velodrome</v>
      </c>
      <c r="BE1933" t="s">
        <v>6</v>
      </c>
      <c r="BF1933" t="s">
        <v>191</v>
      </c>
      <c r="BG1933" t="s">
        <v>51</v>
      </c>
      <c r="BI1933" cm="1">
        <f t="array" aca="1" ref="BI1933" ca="1">IFERROR(_xlfn._xlws.FILTER(shifts!A:A,(shifts!B:B=events!AD1933)*(shifts!AG:AG&gt;=events!BK1933)*(shifts!AH:AH&lt;=events!BL1933)),BI1932)</f>
        <v>84</v>
      </c>
      <c r="BJ1933" s="15">
        <f t="shared" si="1953"/>
        <v>0</v>
      </c>
      <c r="BK1933">
        <f t="shared" si="1961"/>
        <v>741</v>
      </c>
      <c r="BL1933">
        <f t="shared" si="1962"/>
        <v>741</v>
      </c>
      <c r="BM1933" s="15">
        <f>SUMIFS(BJ$2:BJ1933,K$2:K1933,"=Intermission")+SUMIFS(BJ$2:BJ1933,K$2:K1933,"=Timeout")</f>
        <v>142</v>
      </c>
      <c r="BN1933">
        <f t="shared" si="1963"/>
        <v>2302</v>
      </c>
      <c r="BO1933" s="19">
        <f t="shared" si="1964"/>
        <v>2641</v>
      </c>
      <c r="BP1933">
        <f t="shared" si="1965"/>
        <v>2636</v>
      </c>
      <c r="BQ1933" s="17">
        <f t="shared" si="1966"/>
        <v>2641</v>
      </c>
      <c r="BR1933" t="str">
        <f t="shared" si="1967"/>
        <v>opp_team_player_1</v>
      </c>
      <c r="BS1933">
        <f>COUNTIFS(S$3:S1933,"="&amp;S1933,AI$3:AI1933,"="&amp;AI1933)</f>
        <v>1</v>
      </c>
      <c r="BT1933" t="str">
        <f>IFERROR(VLOOKUP(BB1933&amp;BU1933&amp;X1933,game_rosters!U:W,3,FALSE),"")</f>
        <v>P100093</v>
      </c>
      <c r="BU1933" t="str">
        <f t="shared" si="1968"/>
        <v>Velodrome</v>
      </c>
    </row>
    <row r="1934" spans="1:73" x14ac:dyDescent="0.2">
      <c r="A1934">
        <f t="shared" si="1954"/>
        <v>1</v>
      </c>
      <c r="J1934" s="44" t="str">
        <f t="shared" si="1969"/>
        <v>o</v>
      </c>
      <c r="K1934" t="s">
        <v>6</v>
      </c>
      <c r="L1934" t="s">
        <v>191</v>
      </c>
      <c r="M1934" t="s">
        <v>51</v>
      </c>
      <c r="S1934">
        <v>1021</v>
      </c>
      <c r="W1934" t="str">
        <f t="shared" si="1945"/>
        <v>h</v>
      </c>
      <c r="X1934">
        <v>15</v>
      </c>
      <c r="Y1934" t="b">
        <f>IF(X1934&lt;&gt;"",VLOOKUP(X1934,game_rosters!$C$43:$E$64,3,FALSE))</f>
        <v>0</v>
      </c>
      <c r="Z1934" cm="1">
        <f t="array" ref="Z1934">IFERROR(IF(_xlfn._xlws.FILTER(game_rosters!$J:$J,(game_rosters!$G:$G=events!$AN1934)*(game_rosters!$J:$J=events!$X1934))&gt;0,1,""),"")</f>
        <v>1</v>
      </c>
      <c r="AA1934">
        <f t="shared" si="1903"/>
        <v>2021</v>
      </c>
      <c r="AB1934" t="str">
        <f t="shared" si="1904"/>
        <v/>
      </c>
      <c r="AC1934">
        <f t="shared" si="1942"/>
        <v>2021</v>
      </c>
      <c r="AD1934" s="6">
        <v>3</v>
      </c>
      <c r="AE1934" t="s">
        <v>746</v>
      </c>
      <c r="AF1934" t="s">
        <v>919</v>
      </c>
      <c r="AG1934" t="s">
        <v>756</v>
      </c>
      <c r="AH1934" t="s">
        <v>756</v>
      </c>
      <c r="AI1934" t="s">
        <v>367</v>
      </c>
      <c r="AJ1934" t="str">
        <f t="shared" ref="AJ1934:AK1934" si="1978">IF($J1934&lt;&gt;"",$J1934,IF($AC1934=$AC1933,AJ1933,""))</f>
        <v>o</v>
      </c>
      <c r="AK1934" t="str">
        <f t="shared" si="1978"/>
        <v>o</v>
      </c>
      <c r="AL1934" t="str">
        <f t="shared" si="1947"/>
        <v>o</v>
      </c>
      <c r="AN1934" t="s">
        <v>861</v>
      </c>
      <c r="AO1934" t="str">
        <f t="shared" si="1948"/>
        <v>h</v>
      </c>
      <c r="AP1934" t="str">
        <f t="shared" si="1956"/>
        <v>o</v>
      </c>
      <c r="AQ1934" t="str">
        <f t="shared" si="1957"/>
        <v/>
      </c>
      <c r="AR1934" t="str">
        <f t="shared" si="1958"/>
        <v>Home</v>
      </c>
      <c r="AS1934" t="str">
        <f t="shared" si="1959"/>
        <v>h</v>
      </c>
      <c r="AT1934" t="str">
        <f t="shared" si="1960"/>
        <v>Offensive</v>
      </c>
      <c r="BA1934" s="6">
        <f t="shared" si="1949"/>
        <v>442</v>
      </c>
      <c r="BB1934">
        <f t="shared" si="1950"/>
        <v>18981</v>
      </c>
      <c r="BC1934" t="str">
        <f t="shared" si="1951"/>
        <v>Nelson</v>
      </c>
      <c r="BD1934" t="str">
        <f t="shared" si="1952"/>
        <v>Velodrome</v>
      </c>
      <c r="BE1934" t="s">
        <v>6</v>
      </c>
      <c r="BF1934" t="s">
        <v>191</v>
      </c>
      <c r="BG1934" t="s">
        <v>51</v>
      </c>
      <c r="BI1934" cm="1">
        <f t="array" aca="1" ref="BI1934" ca="1">IFERROR(_xlfn._xlws.FILTER(shifts!A:A,(shifts!B:B=events!AD1934)*(shifts!AG:AG&gt;=events!BK1934)*(shifts!AH:AH&lt;=events!BL1934)),BI1933)</f>
        <v>84</v>
      </c>
      <c r="BJ1934" s="15">
        <f t="shared" si="1953"/>
        <v>0</v>
      </c>
      <c r="BK1934">
        <f t="shared" si="1961"/>
        <v>740</v>
      </c>
      <c r="BL1934">
        <f t="shared" si="1962"/>
        <v>740</v>
      </c>
      <c r="BM1934" s="15">
        <f>SUMIFS(BJ$2:BJ1934,K$2:K1934,"=Intermission")+SUMIFS(BJ$2:BJ1934,K$2:K1934,"=Timeout")</f>
        <v>142</v>
      </c>
      <c r="BN1934">
        <f t="shared" si="1963"/>
        <v>2302</v>
      </c>
      <c r="BO1934" s="19">
        <f t="shared" si="1964"/>
        <v>2642</v>
      </c>
      <c r="BP1934">
        <f t="shared" si="1965"/>
        <v>2637</v>
      </c>
      <c r="BQ1934" s="17">
        <f t="shared" si="1966"/>
        <v>2642</v>
      </c>
      <c r="BR1934" t="str">
        <f t="shared" si="1967"/>
        <v>event_team_player_1</v>
      </c>
      <c r="BS1934">
        <f>COUNTIFS(S$3:S1934,"="&amp;S1934,AI$3:AI1934,"="&amp;AI1934)</f>
        <v>1</v>
      </c>
      <c r="BT1934" t="str">
        <f>IFERROR(VLOOKUP(BB1934&amp;BU1934&amp;X1934,game_rosters!U:W,3,FALSE),"")</f>
        <v>P100071</v>
      </c>
      <c r="BU1934" t="str">
        <f t="shared" si="1968"/>
        <v>Nelson</v>
      </c>
    </row>
    <row r="1935" spans="1:73" x14ac:dyDescent="0.2">
      <c r="A1935">
        <f t="shared" si="1954"/>
        <v>1</v>
      </c>
      <c r="J1935" s="44" t="str">
        <f t="shared" si="1969"/>
        <v>o</v>
      </c>
      <c r="K1935" t="s">
        <v>6</v>
      </c>
      <c r="L1935" t="s">
        <v>191</v>
      </c>
      <c r="M1935" t="s">
        <v>51</v>
      </c>
      <c r="S1935">
        <v>1021</v>
      </c>
      <c r="W1935" t="str">
        <f t="shared" si="1945"/>
        <v>h</v>
      </c>
      <c r="X1935">
        <v>84</v>
      </c>
      <c r="Y1935" t="e">
        <f>IF(X1935&lt;&gt;"",VLOOKUP(X1935,game_rosters!$C$43:$E$64,3,FALSE))</f>
        <v>#N/A</v>
      </c>
      <c r="Z1935" t="str" cm="1">
        <f t="array" ref="Z1935">IFERROR(IF(_xlfn._xlws.FILTER(game_rosters!$J:$J,(game_rosters!$G:$G=events!$AN1935)*(game_rosters!$J:$J=events!$X1935))&gt;0,1,""),"")</f>
        <v/>
      </c>
      <c r="AA1935">
        <f t="shared" si="1903"/>
        <v>2021</v>
      </c>
      <c r="AB1935" t="str">
        <f t="shared" si="1904"/>
        <v/>
      </c>
      <c r="AC1935">
        <f t="shared" si="1942"/>
        <v>2021</v>
      </c>
      <c r="AD1935" s="6">
        <v>3</v>
      </c>
      <c r="AE1935" t="s">
        <v>746</v>
      </c>
      <c r="AF1935" t="s">
        <v>919</v>
      </c>
      <c r="AG1935" t="s">
        <v>756</v>
      </c>
      <c r="AH1935" t="s">
        <v>756</v>
      </c>
      <c r="AI1935" t="s">
        <v>368</v>
      </c>
      <c r="AJ1935" t="str">
        <f t="shared" ref="AJ1935:AK1935" si="1979">IF($J1935&lt;&gt;"",$J1935,IF($AC1935=$AC1934,AJ1934,""))</f>
        <v>o</v>
      </c>
      <c r="AK1935" t="str">
        <f t="shared" si="1979"/>
        <v>o</v>
      </c>
      <c r="AL1935" t="str">
        <f t="shared" si="1947"/>
        <v>o</v>
      </c>
      <c r="AN1935" t="s">
        <v>861</v>
      </c>
      <c r="AO1935" t="str">
        <f t="shared" si="1948"/>
        <v>h</v>
      </c>
      <c r="AP1935" t="str">
        <f t="shared" si="1956"/>
        <v>o</v>
      </c>
      <c r="AQ1935" t="str">
        <f t="shared" si="1957"/>
        <v/>
      </c>
      <c r="AR1935" t="str">
        <f t="shared" si="1958"/>
        <v>Home</v>
      </c>
      <c r="AS1935" t="str">
        <f t="shared" si="1959"/>
        <v>h</v>
      </c>
      <c r="AT1935" t="str">
        <f t="shared" si="1960"/>
        <v>Defensive</v>
      </c>
      <c r="BA1935" s="6">
        <f t="shared" si="1949"/>
        <v>442</v>
      </c>
      <c r="BB1935">
        <f t="shared" si="1950"/>
        <v>18981</v>
      </c>
      <c r="BC1935" t="str">
        <f t="shared" si="1951"/>
        <v>Nelson</v>
      </c>
      <c r="BD1935" t="str">
        <f t="shared" si="1952"/>
        <v>Velodrome</v>
      </c>
      <c r="BE1935" t="s">
        <v>6</v>
      </c>
      <c r="BF1935" t="s">
        <v>191</v>
      </c>
      <c r="BG1935" t="s">
        <v>51</v>
      </c>
      <c r="BI1935" cm="1">
        <f t="array" aca="1" ref="BI1935" ca="1">IFERROR(_xlfn._xlws.FILTER(shifts!A:A,(shifts!B:B=events!AD1935)*(shifts!AG:AG&gt;=events!BK1935)*(shifts!AH:AH&lt;=events!BL1935)),BI1934)</f>
        <v>84</v>
      </c>
      <c r="BJ1935" s="15">
        <f t="shared" si="1953"/>
        <v>0</v>
      </c>
      <c r="BK1935">
        <f t="shared" si="1961"/>
        <v>740</v>
      </c>
      <c r="BL1935">
        <f t="shared" si="1962"/>
        <v>740</v>
      </c>
      <c r="BM1935" s="15">
        <f>SUMIFS(BJ$2:BJ1935,K$2:K1935,"=Intermission")+SUMIFS(BJ$2:BJ1935,K$2:K1935,"=Timeout")</f>
        <v>142</v>
      </c>
      <c r="BN1935">
        <f t="shared" si="1963"/>
        <v>2302</v>
      </c>
      <c r="BO1935" s="19">
        <f t="shared" si="1964"/>
        <v>2642</v>
      </c>
      <c r="BP1935">
        <f t="shared" si="1965"/>
        <v>2637</v>
      </c>
      <c r="BQ1935" s="17">
        <f t="shared" si="1966"/>
        <v>2642</v>
      </c>
      <c r="BR1935" t="str">
        <f t="shared" si="1967"/>
        <v>opp_team_player_1</v>
      </c>
      <c r="BS1935">
        <f>COUNTIFS(S$3:S1935,"="&amp;S1935,AI$3:AI1935,"="&amp;AI1935)</f>
        <v>1</v>
      </c>
      <c r="BT1935" t="str">
        <f>IFERROR(VLOOKUP(BB1935&amp;BU1935&amp;X1935,game_rosters!U:W,3,FALSE),"")</f>
        <v>P100198</v>
      </c>
      <c r="BU1935" t="str">
        <f t="shared" si="1968"/>
        <v>Velodrome</v>
      </c>
    </row>
    <row r="1936" spans="1:73" x14ac:dyDescent="0.2">
      <c r="A1936">
        <f t="shared" si="1954"/>
        <v>1</v>
      </c>
      <c r="J1936" s="44" t="str">
        <f t="shared" si="1969"/>
        <v/>
      </c>
      <c r="K1936" t="s">
        <v>9</v>
      </c>
      <c r="L1936" t="s">
        <v>173</v>
      </c>
      <c r="M1936" t="s">
        <v>76</v>
      </c>
      <c r="S1936">
        <v>1022</v>
      </c>
      <c r="W1936" t="str">
        <f t="shared" si="1945"/>
        <v>h</v>
      </c>
      <c r="X1936">
        <v>15</v>
      </c>
      <c r="Y1936" t="b">
        <f>IF(X1936&lt;&gt;"",VLOOKUP(X1936,game_rosters!$C$43:$E$64,3,FALSE))</f>
        <v>0</v>
      </c>
      <c r="Z1936" cm="1">
        <f t="array" ref="Z1936">IFERROR(IF(_xlfn._xlws.FILTER(game_rosters!$J:$J,(game_rosters!$G:$G=events!$AN1936)*(game_rosters!$J:$J=events!$X1936))&gt;0,1,""),"")</f>
        <v>1</v>
      </c>
      <c r="AA1936">
        <f t="shared" si="1903"/>
        <v>2022</v>
      </c>
      <c r="AB1936" t="str">
        <f t="shared" si="1904"/>
        <v/>
      </c>
      <c r="AC1936">
        <f t="shared" si="1942"/>
        <v>2022</v>
      </c>
      <c r="AD1936" s="6">
        <v>3</v>
      </c>
      <c r="AE1936" t="s">
        <v>746</v>
      </c>
      <c r="AF1936" t="s">
        <v>919</v>
      </c>
      <c r="AG1936" t="s">
        <v>756</v>
      </c>
      <c r="AH1936" t="s">
        <v>756</v>
      </c>
      <c r="AI1936" t="s">
        <v>367</v>
      </c>
      <c r="AJ1936" t="str">
        <f t="shared" ref="AJ1936:AK1936" si="1980">IF($J1936&lt;&gt;"",$J1936,IF($AC1936=$AC1935,AJ1935,""))</f>
        <v/>
      </c>
      <c r="AK1936" t="str">
        <f t="shared" si="1980"/>
        <v/>
      </c>
      <c r="AL1936" t="str">
        <f t="shared" si="1947"/>
        <v/>
      </c>
      <c r="AN1936" t="s">
        <v>861</v>
      </c>
      <c r="AO1936" t="str">
        <f t="shared" si="1948"/>
        <v>h</v>
      </c>
      <c r="AP1936" t="str">
        <f t="shared" si="1956"/>
        <v/>
      </c>
      <c r="AQ1936" t="str">
        <f t="shared" si="1957"/>
        <v/>
      </c>
      <c r="AR1936" t="str">
        <f t="shared" si="1958"/>
        <v>Home</v>
      </c>
      <c r="AS1936" t="str">
        <f t="shared" si="1959"/>
        <v>h</v>
      </c>
      <c r="AT1936" t="str">
        <f t="shared" si="1960"/>
        <v>Offensive</v>
      </c>
      <c r="BA1936" s="6">
        <f t="shared" si="1949"/>
        <v>442</v>
      </c>
      <c r="BB1936">
        <f t="shared" si="1950"/>
        <v>18981</v>
      </c>
      <c r="BC1936" t="str">
        <f t="shared" si="1951"/>
        <v>Nelson</v>
      </c>
      <c r="BD1936" t="str">
        <f t="shared" si="1952"/>
        <v>Velodrome</v>
      </c>
      <c r="BE1936" t="s">
        <v>9</v>
      </c>
      <c r="BF1936" t="s">
        <v>173</v>
      </c>
      <c r="BG1936" t="s">
        <v>76</v>
      </c>
      <c r="BI1936" cm="1">
        <f t="array" aca="1" ref="BI1936" ca="1">IFERROR(_xlfn._xlws.FILTER(shifts!A:A,(shifts!B:B=events!AD1936)*(shifts!AG:AG&gt;=events!BK1936)*(shifts!AH:AH&lt;=events!BL1936)),BI1935)</f>
        <v>84</v>
      </c>
      <c r="BJ1936" s="15">
        <f t="shared" si="1953"/>
        <v>0</v>
      </c>
      <c r="BK1936">
        <f t="shared" si="1961"/>
        <v>740</v>
      </c>
      <c r="BL1936">
        <f t="shared" si="1962"/>
        <v>740</v>
      </c>
      <c r="BM1936" s="15">
        <f>SUMIFS(BJ$2:BJ1936,K$2:K1936,"=Intermission")+SUMIFS(BJ$2:BJ1936,K$2:K1936,"=Timeout")</f>
        <v>142</v>
      </c>
      <c r="BN1936">
        <f t="shared" si="1963"/>
        <v>2302</v>
      </c>
      <c r="BO1936" s="19">
        <f t="shared" si="1964"/>
        <v>2642</v>
      </c>
      <c r="BP1936">
        <f t="shared" si="1965"/>
        <v>2637</v>
      </c>
      <c r="BQ1936" s="17">
        <f t="shared" si="1966"/>
        <v>2642</v>
      </c>
      <c r="BR1936" t="str">
        <f t="shared" si="1967"/>
        <v>event_team_player_1</v>
      </c>
      <c r="BS1936">
        <f>COUNTIFS(S$3:S1936,"="&amp;S1936,AI$3:AI1936,"="&amp;AI1936)</f>
        <v>1</v>
      </c>
      <c r="BT1936" t="str">
        <f>IFERROR(VLOOKUP(BB1936&amp;BU1936&amp;X1936,game_rosters!U:W,3,FALSE),"")</f>
        <v>P100071</v>
      </c>
      <c r="BU1936" t="str">
        <f t="shared" si="1968"/>
        <v>Nelson</v>
      </c>
    </row>
    <row r="1937" spans="1:73" x14ac:dyDescent="0.2">
      <c r="A1937">
        <f t="shared" si="1954"/>
        <v>1</v>
      </c>
      <c r="J1937" s="44" t="str">
        <f t="shared" si="1969"/>
        <v/>
      </c>
      <c r="K1937" t="s">
        <v>13</v>
      </c>
      <c r="L1937" t="s">
        <v>756</v>
      </c>
      <c r="M1937" t="s">
        <v>756</v>
      </c>
      <c r="S1937">
        <v>1023</v>
      </c>
      <c r="W1937" t="str">
        <f t="shared" si="1945"/>
        <v>a</v>
      </c>
      <c r="X1937">
        <v>14</v>
      </c>
      <c r="Y1937" t="e">
        <f>IF(X1937&lt;&gt;"",VLOOKUP(X1937,game_rosters!$C$43:$E$64,3,FALSE))</f>
        <v>#N/A</v>
      </c>
      <c r="Z1937" cm="1">
        <f t="array" ref="Z1937">IFERROR(IF(_xlfn._xlws.FILTER(game_rosters!$J:$J,(game_rosters!$G:$G=events!$AN1937)*(game_rosters!$J:$J=events!$X1937))&gt;0,1,""),"")</f>
        <v>1</v>
      </c>
      <c r="AA1937">
        <f t="shared" si="1903"/>
        <v>2023</v>
      </c>
      <c r="AB1937" t="str">
        <f t="shared" si="1904"/>
        <v/>
      </c>
      <c r="AC1937">
        <f t="shared" si="1942"/>
        <v>2023</v>
      </c>
      <c r="AD1937" s="6">
        <v>3</v>
      </c>
      <c r="AE1937" t="s">
        <v>746</v>
      </c>
      <c r="AF1937" t="s">
        <v>732</v>
      </c>
      <c r="AG1937" t="s">
        <v>746</v>
      </c>
      <c r="AH1937" t="s">
        <v>744</v>
      </c>
      <c r="AI1937" t="s">
        <v>367</v>
      </c>
      <c r="AJ1937" t="str">
        <f t="shared" ref="AJ1937:AK1937" si="1981">IF($J1937&lt;&gt;"",$J1937,IF($AC1937=$AC1936,AJ1936,""))</f>
        <v/>
      </c>
      <c r="AK1937" t="str">
        <f t="shared" si="1981"/>
        <v/>
      </c>
      <c r="AL1937" t="str">
        <f t="shared" si="1947"/>
        <v/>
      </c>
      <c r="AN1937" t="s">
        <v>862</v>
      </c>
      <c r="AO1937" t="str">
        <f t="shared" si="1948"/>
        <v>a</v>
      </c>
      <c r="AP1937" t="str">
        <f t="shared" si="1956"/>
        <v/>
      </c>
      <c r="AQ1937" t="str">
        <f t="shared" si="1957"/>
        <v/>
      </c>
      <c r="AR1937" t="str">
        <f t="shared" si="1958"/>
        <v>Away</v>
      </c>
      <c r="AS1937" t="str">
        <f t="shared" si="1959"/>
        <v>a</v>
      </c>
      <c r="AT1937" t="str">
        <f t="shared" si="1960"/>
        <v>Offensive</v>
      </c>
      <c r="BA1937" s="6">
        <f t="shared" si="1949"/>
        <v>442</v>
      </c>
      <c r="BB1937">
        <f t="shared" si="1950"/>
        <v>18981</v>
      </c>
      <c r="BC1937" t="str">
        <f t="shared" si="1951"/>
        <v>Nelson</v>
      </c>
      <c r="BD1937" t="str">
        <f t="shared" si="1952"/>
        <v>Velodrome</v>
      </c>
      <c r="BE1937" t="s">
        <v>13</v>
      </c>
      <c r="BF1937" t="s">
        <v>756</v>
      </c>
      <c r="BG1937" t="s">
        <v>756</v>
      </c>
      <c r="BI1937" cm="1">
        <f t="array" aca="1" ref="BI1937" ca="1">IFERROR(_xlfn._xlws.FILTER(shifts!A:A,(shifts!B:B=events!AD1937)*(shifts!AG:AG&gt;=events!BK1937)*(shifts!AH:AH&lt;=events!BL1937)),BI1936)</f>
        <v>84</v>
      </c>
      <c r="BJ1937" s="15">
        <f t="shared" si="1953"/>
        <v>2</v>
      </c>
      <c r="BK1937">
        <f t="shared" si="1961"/>
        <v>737</v>
      </c>
      <c r="BL1937">
        <f t="shared" si="1962"/>
        <v>735</v>
      </c>
      <c r="BM1937" s="15">
        <f>SUMIFS(BJ$2:BJ1937,K$2:K1937,"=Intermission")+SUMIFS(BJ$2:BJ1937,K$2:K1937,"=Timeout")</f>
        <v>142</v>
      </c>
      <c r="BN1937">
        <f t="shared" si="1963"/>
        <v>2302</v>
      </c>
      <c r="BO1937" s="19">
        <f t="shared" si="1964"/>
        <v>2645</v>
      </c>
      <c r="BP1937">
        <f t="shared" si="1965"/>
        <v>2640</v>
      </c>
      <c r="BQ1937" s="17">
        <f t="shared" si="1966"/>
        <v>2647</v>
      </c>
      <c r="BR1937" t="str">
        <f t="shared" si="1967"/>
        <v>event_team_player_1</v>
      </c>
      <c r="BS1937">
        <f>COUNTIFS(S$3:S1937,"="&amp;S1937,AI$3:AI1937,"="&amp;AI1937)</f>
        <v>1</v>
      </c>
      <c r="BT1937" t="str">
        <f>IFERROR(VLOOKUP(BB1937&amp;BU1937&amp;X1937,game_rosters!U:W,3,FALSE),"")</f>
        <v>P100132</v>
      </c>
      <c r="BU1937" t="str">
        <f t="shared" si="1968"/>
        <v>Velodrome</v>
      </c>
    </row>
    <row r="1938" spans="1:73" x14ac:dyDescent="0.2">
      <c r="A1938">
        <f t="shared" si="1954"/>
        <v>1</v>
      </c>
      <c r="J1938" s="44" t="str">
        <f t="shared" si="1969"/>
        <v/>
      </c>
      <c r="K1938" t="s">
        <v>7</v>
      </c>
      <c r="L1938" t="s">
        <v>172</v>
      </c>
      <c r="M1938" t="s">
        <v>68</v>
      </c>
      <c r="S1938">
        <v>1024</v>
      </c>
      <c r="W1938" t="str">
        <f t="shared" si="1945"/>
        <v>a</v>
      </c>
      <c r="X1938">
        <v>14</v>
      </c>
      <c r="Y1938" t="e">
        <f>IF(X1938&lt;&gt;"",VLOOKUP(X1938,game_rosters!$C$43:$E$64,3,FALSE))</f>
        <v>#N/A</v>
      </c>
      <c r="Z1938" cm="1">
        <f t="array" ref="Z1938">IFERROR(IF(_xlfn._xlws.FILTER(game_rosters!$J:$J,(game_rosters!$G:$G=events!$AN1938)*(game_rosters!$J:$J=events!$X1938))&gt;0,1,""),"")</f>
        <v>1</v>
      </c>
      <c r="AA1938">
        <f t="shared" si="1903"/>
        <v>2024</v>
      </c>
      <c r="AB1938" t="str">
        <f t="shared" si="1904"/>
        <v/>
      </c>
      <c r="AC1938">
        <f t="shared" si="1942"/>
        <v>2024</v>
      </c>
      <c r="AD1938" s="6">
        <v>3</v>
      </c>
      <c r="AE1938" t="s">
        <v>746</v>
      </c>
      <c r="AF1938" t="s">
        <v>744</v>
      </c>
      <c r="AG1938" t="s">
        <v>756</v>
      </c>
      <c r="AH1938" t="s">
        <v>756</v>
      </c>
      <c r="AI1938" t="s">
        <v>367</v>
      </c>
      <c r="AJ1938" t="str">
        <f t="shared" ref="AJ1938:AK1938" si="1982">IF($J1938&lt;&gt;"",$J1938,IF($AC1938=$AC1937,AJ1937,""))</f>
        <v/>
      </c>
      <c r="AK1938" t="str">
        <f t="shared" si="1982"/>
        <v/>
      </c>
      <c r="AL1938" t="str">
        <f t="shared" si="1947"/>
        <v/>
      </c>
      <c r="AN1938" t="s">
        <v>862</v>
      </c>
      <c r="AO1938" t="str">
        <f t="shared" si="1948"/>
        <v>a</v>
      </c>
      <c r="AP1938" t="str">
        <f t="shared" si="1956"/>
        <v/>
      </c>
      <c r="AQ1938" t="str">
        <f t="shared" si="1957"/>
        <v/>
      </c>
      <c r="AR1938" t="str">
        <f t="shared" si="1958"/>
        <v>Away</v>
      </c>
      <c r="AS1938" t="str">
        <f t="shared" si="1959"/>
        <v>a</v>
      </c>
      <c r="AT1938" t="str">
        <f t="shared" si="1960"/>
        <v>Offensive</v>
      </c>
      <c r="BA1938" s="6">
        <f t="shared" si="1949"/>
        <v>442</v>
      </c>
      <c r="BB1938">
        <f t="shared" si="1950"/>
        <v>18981</v>
      </c>
      <c r="BC1938" t="str">
        <f t="shared" si="1951"/>
        <v>Nelson</v>
      </c>
      <c r="BD1938" t="str">
        <f t="shared" si="1952"/>
        <v>Velodrome</v>
      </c>
      <c r="BE1938" t="s">
        <v>7</v>
      </c>
      <c r="BF1938" t="s">
        <v>172</v>
      </c>
      <c r="BG1938" t="s">
        <v>68</v>
      </c>
      <c r="BI1938" cm="1">
        <f t="array" aca="1" ref="BI1938" ca="1">IFERROR(_xlfn._xlws.FILTER(shifts!A:A,(shifts!B:B=events!AD1938)*(shifts!AG:AG&gt;=events!BK1938)*(shifts!AH:AH&lt;=events!BL1938)),BI1937)</f>
        <v>84</v>
      </c>
      <c r="BJ1938" s="15">
        <f t="shared" si="1953"/>
        <v>0</v>
      </c>
      <c r="BK1938">
        <f t="shared" si="1961"/>
        <v>735</v>
      </c>
      <c r="BL1938">
        <f t="shared" si="1962"/>
        <v>735</v>
      </c>
      <c r="BM1938" s="15">
        <f>SUMIFS(BJ$2:BJ1938,K$2:K1938,"=Intermission")+SUMIFS(BJ$2:BJ1938,K$2:K1938,"=Timeout")</f>
        <v>142</v>
      </c>
      <c r="BN1938">
        <f t="shared" si="1963"/>
        <v>2302</v>
      </c>
      <c r="BO1938" s="19">
        <f t="shared" si="1964"/>
        <v>2647</v>
      </c>
      <c r="BP1938">
        <f t="shared" si="1965"/>
        <v>2642</v>
      </c>
      <c r="BQ1938" s="17">
        <f t="shared" si="1966"/>
        <v>2647</v>
      </c>
      <c r="BR1938" t="str">
        <f t="shared" si="1967"/>
        <v>event_team_player_1</v>
      </c>
      <c r="BS1938">
        <f>COUNTIFS(S$3:S1938,"="&amp;S1938,AI$3:AI1938,"="&amp;AI1938)</f>
        <v>1</v>
      </c>
      <c r="BT1938" t="str">
        <f>IFERROR(VLOOKUP(BB1938&amp;BU1938&amp;X1938,game_rosters!U:W,3,FALSE),"")</f>
        <v>P100132</v>
      </c>
      <c r="BU1938" t="str">
        <f t="shared" si="1968"/>
        <v>Velodrome</v>
      </c>
    </row>
    <row r="1939" spans="1:73" x14ac:dyDescent="0.2">
      <c r="A1939">
        <f t="shared" si="1954"/>
        <v>1</v>
      </c>
      <c r="J1939" s="44" t="str">
        <f t="shared" si="1969"/>
        <v/>
      </c>
      <c r="K1939" t="s">
        <v>7</v>
      </c>
      <c r="L1939" t="s">
        <v>172</v>
      </c>
      <c r="M1939" t="s">
        <v>68</v>
      </c>
      <c r="S1939">
        <v>1024</v>
      </c>
      <c r="W1939" t="str">
        <f t="shared" si="1945"/>
        <v>a</v>
      </c>
      <c r="X1939">
        <v>49</v>
      </c>
      <c r="Y1939" t="e">
        <f>IF(X1939&lt;&gt;"",VLOOKUP(X1939,game_rosters!$C$43:$E$64,3,FALSE))</f>
        <v>#N/A</v>
      </c>
      <c r="Z1939" cm="1">
        <f t="array" ref="Z1939">IFERROR(IF(_xlfn._xlws.FILTER(game_rosters!$J:$J,(game_rosters!$G:$G=events!$AN1939)*(game_rosters!$J:$J=events!$X1939))&gt;0,1,""),"")</f>
        <v>1</v>
      </c>
      <c r="AA1939">
        <f t="shared" si="1903"/>
        <v>2024</v>
      </c>
      <c r="AB1939" t="str">
        <f t="shared" si="1904"/>
        <v/>
      </c>
      <c r="AC1939">
        <f t="shared" si="1942"/>
        <v>2024</v>
      </c>
      <c r="AD1939" s="6">
        <v>3</v>
      </c>
      <c r="AE1939" t="s">
        <v>746</v>
      </c>
      <c r="AF1939" t="s">
        <v>744</v>
      </c>
      <c r="AG1939" t="s">
        <v>756</v>
      </c>
      <c r="AH1939" t="s">
        <v>756</v>
      </c>
      <c r="AI1939" t="s">
        <v>367</v>
      </c>
      <c r="AJ1939" t="str">
        <f t="shared" ref="AJ1939:AK1939" si="1983">IF($J1939&lt;&gt;"",$J1939,IF($AC1939=$AC1938,AJ1938,""))</f>
        <v/>
      </c>
      <c r="AK1939" t="str">
        <f t="shared" si="1983"/>
        <v/>
      </c>
      <c r="AL1939" t="str">
        <f t="shared" si="1947"/>
        <v/>
      </c>
      <c r="AN1939" t="s">
        <v>862</v>
      </c>
      <c r="AO1939" t="str">
        <f t="shared" si="1948"/>
        <v>a</v>
      </c>
      <c r="AP1939" t="str">
        <f t="shared" si="1956"/>
        <v/>
      </c>
      <c r="AQ1939" t="str">
        <f t="shared" si="1957"/>
        <v/>
      </c>
      <c r="AR1939" t="str">
        <f t="shared" si="1958"/>
        <v>Away</v>
      </c>
      <c r="AS1939" t="str">
        <f t="shared" si="1959"/>
        <v>a</v>
      </c>
      <c r="AT1939" t="str">
        <f t="shared" si="1960"/>
        <v>Offensive</v>
      </c>
      <c r="BA1939" s="6">
        <f t="shared" si="1949"/>
        <v>442</v>
      </c>
      <c r="BB1939">
        <f t="shared" si="1950"/>
        <v>18981</v>
      </c>
      <c r="BC1939" t="str">
        <f t="shared" si="1951"/>
        <v>Nelson</v>
      </c>
      <c r="BD1939" t="str">
        <f t="shared" si="1952"/>
        <v>Velodrome</v>
      </c>
      <c r="BE1939" t="s">
        <v>7</v>
      </c>
      <c r="BF1939" t="s">
        <v>172</v>
      </c>
      <c r="BG1939" t="s">
        <v>68</v>
      </c>
      <c r="BI1939" cm="1">
        <f t="array" aca="1" ref="BI1939" ca="1">IFERROR(_xlfn._xlws.FILTER(shifts!A:A,(shifts!B:B=events!AD1939)*(shifts!AG:AG&gt;=events!BK1939)*(shifts!AH:AH&lt;=events!BL1939)),BI1938)</f>
        <v>84</v>
      </c>
      <c r="BJ1939" s="15">
        <f t="shared" si="1953"/>
        <v>0</v>
      </c>
      <c r="BK1939">
        <f t="shared" si="1961"/>
        <v>735</v>
      </c>
      <c r="BL1939">
        <f t="shared" si="1962"/>
        <v>735</v>
      </c>
      <c r="BM1939" s="15">
        <f>SUMIFS(BJ$2:BJ1939,K$2:K1939,"=Intermission")+SUMIFS(BJ$2:BJ1939,K$2:K1939,"=Timeout")</f>
        <v>142</v>
      </c>
      <c r="BN1939">
        <f t="shared" si="1963"/>
        <v>2302</v>
      </c>
      <c r="BO1939" s="19">
        <f t="shared" si="1964"/>
        <v>2647</v>
      </c>
      <c r="BP1939">
        <f t="shared" si="1965"/>
        <v>2642</v>
      </c>
      <c r="BQ1939" s="17">
        <f t="shared" si="1966"/>
        <v>2647</v>
      </c>
      <c r="BR1939" t="str">
        <f t="shared" si="1967"/>
        <v>event_team_player_2</v>
      </c>
      <c r="BS1939">
        <f>COUNTIFS(S$3:S1939,"="&amp;S1939,AI$3:AI1939,"="&amp;AI1939)</f>
        <v>2</v>
      </c>
      <c r="BT1939" t="str">
        <f>IFERROR(VLOOKUP(BB1939&amp;BU1939&amp;X1939,game_rosters!U:W,3,FALSE),"")</f>
        <v>P100161</v>
      </c>
      <c r="BU1939" t="str">
        <f t="shared" si="1968"/>
        <v>Velodrome</v>
      </c>
    </row>
    <row r="1940" spans="1:73" x14ac:dyDescent="0.2">
      <c r="A1940">
        <f t="shared" si="1954"/>
        <v>1</v>
      </c>
      <c r="J1940" s="44" t="str">
        <f t="shared" si="1969"/>
        <v/>
      </c>
      <c r="K1940" t="s">
        <v>7</v>
      </c>
      <c r="L1940" t="s">
        <v>172</v>
      </c>
      <c r="M1940" t="s">
        <v>68</v>
      </c>
      <c r="S1940">
        <v>1024</v>
      </c>
      <c r="W1940" t="str">
        <f t="shared" si="1945"/>
        <v>a</v>
      </c>
      <c r="X1940">
        <v>15</v>
      </c>
      <c r="Y1940" t="b">
        <f>IF(X1940&lt;&gt;"",VLOOKUP(X1940,game_rosters!$C$43:$E$64,3,FALSE))</f>
        <v>0</v>
      </c>
      <c r="Z1940" t="str" cm="1">
        <f t="array" ref="Z1940">IFERROR(IF(_xlfn._xlws.FILTER(game_rosters!$J:$J,(game_rosters!$G:$G=events!$AN1940)*(game_rosters!$J:$J=events!$X1940))&gt;0,1,""),"")</f>
        <v/>
      </c>
      <c r="AA1940">
        <f t="shared" si="1903"/>
        <v>2024</v>
      </c>
      <c r="AB1940" t="str">
        <f t="shared" si="1904"/>
        <v/>
      </c>
      <c r="AC1940">
        <f t="shared" si="1942"/>
        <v>2024</v>
      </c>
      <c r="AD1940" s="6">
        <v>3</v>
      </c>
      <c r="AE1940" t="s">
        <v>746</v>
      </c>
      <c r="AF1940" t="s">
        <v>744</v>
      </c>
      <c r="AG1940" t="s">
        <v>756</v>
      </c>
      <c r="AH1940" t="s">
        <v>756</v>
      </c>
      <c r="AI1940" t="s">
        <v>368</v>
      </c>
      <c r="AJ1940" t="str">
        <f t="shared" ref="AJ1940:AK1940" si="1984">IF($J1940&lt;&gt;"",$J1940,IF($AC1940=$AC1939,AJ1939,""))</f>
        <v/>
      </c>
      <c r="AK1940" t="str">
        <f t="shared" si="1984"/>
        <v/>
      </c>
      <c r="AL1940" t="str">
        <f t="shared" si="1947"/>
        <v/>
      </c>
      <c r="AN1940" t="s">
        <v>862</v>
      </c>
      <c r="AO1940" t="str">
        <f t="shared" si="1948"/>
        <v>a</v>
      </c>
      <c r="AP1940" t="str">
        <f t="shared" si="1956"/>
        <v/>
      </c>
      <c r="AQ1940" t="str">
        <f t="shared" si="1957"/>
        <v/>
      </c>
      <c r="AR1940" t="str">
        <f t="shared" si="1958"/>
        <v>Away</v>
      </c>
      <c r="AS1940" t="str">
        <f t="shared" si="1959"/>
        <v>a</v>
      </c>
      <c r="AT1940" t="str">
        <f t="shared" si="1960"/>
        <v>Defensive</v>
      </c>
      <c r="BA1940" s="6">
        <f t="shared" si="1949"/>
        <v>442</v>
      </c>
      <c r="BB1940">
        <f t="shared" si="1950"/>
        <v>18981</v>
      </c>
      <c r="BC1940" t="str">
        <f t="shared" si="1951"/>
        <v>Nelson</v>
      </c>
      <c r="BD1940" t="str">
        <f t="shared" si="1952"/>
        <v>Velodrome</v>
      </c>
      <c r="BE1940" t="s">
        <v>7</v>
      </c>
      <c r="BF1940" t="s">
        <v>172</v>
      </c>
      <c r="BG1940" t="s">
        <v>68</v>
      </c>
      <c r="BI1940" cm="1">
        <f t="array" aca="1" ref="BI1940" ca="1">IFERROR(_xlfn._xlws.FILTER(shifts!A:A,(shifts!B:B=events!AD1940)*(shifts!AG:AG&gt;=events!BK1940)*(shifts!AH:AH&lt;=events!BL1940)),BI1939)</f>
        <v>84</v>
      </c>
      <c r="BJ1940" s="15">
        <f t="shared" si="1953"/>
        <v>0</v>
      </c>
      <c r="BK1940">
        <f t="shared" si="1961"/>
        <v>735</v>
      </c>
      <c r="BL1940">
        <f t="shared" si="1962"/>
        <v>735</v>
      </c>
      <c r="BM1940" s="15">
        <f>SUMIFS(BJ$2:BJ1940,K$2:K1940,"=Intermission")+SUMIFS(BJ$2:BJ1940,K$2:K1940,"=Timeout")</f>
        <v>142</v>
      </c>
      <c r="BN1940">
        <f t="shared" si="1963"/>
        <v>2302</v>
      </c>
      <c r="BO1940" s="19">
        <f t="shared" si="1964"/>
        <v>2647</v>
      </c>
      <c r="BP1940">
        <f t="shared" si="1965"/>
        <v>2642</v>
      </c>
      <c r="BQ1940" s="17">
        <f t="shared" si="1966"/>
        <v>2647</v>
      </c>
      <c r="BR1940" t="str">
        <f t="shared" si="1967"/>
        <v>opp_team_player_1</v>
      </c>
      <c r="BS1940">
        <f>COUNTIFS(S$3:S1940,"="&amp;S1940,AI$3:AI1940,"="&amp;AI1940)</f>
        <v>1</v>
      </c>
      <c r="BT1940" t="str">
        <f>IFERROR(VLOOKUP(BB1940&amp;BU1940&amp;X1940,game_rosters!U:W,3,FALSE),"")</f>
        <v>P100071</v>
      </c>
      <c r="BU1940" t="str">
        <f t="shared" si="1968"/>
        <v>Nelson</v>
      </c>
    </row>
    <row r="1941" spans="1:73" x14ac:dyDescent="0.2">
      <c r="A1941">
        <f t="shared" si="1954"/>
        <v>1</v>
      </c>
      <c r="J1941" s="44" t="str">
        <f t="shared" si="1969"/>
        <v>d</v>
      </c>
      <c r="K1941" t="s">
        <v>238</v>
      </c>
      <c r="L1941" t="s">
        <v>184</v>
      </c>
      <c r="M1941" t="s">
        <v>89</v>
      </c>
      <c r="S1941">
        <v>1025</v>
      </c>
      <c r="W1941" t="str">
        <f t="shared" si="1945"/>
        <v>a</v>
      </c>
      <c r="X1941">
        <v>14</v>
      </c>
      <c r="Y1941" t="e">
        <f>IF(X1941&lt;&gt;"",VLOOKUP(X1941,game_rosters!$C$43:$E$64,3,FALSE))</f>
        <v>#N/A</v>
      </c>
      <c r="Z1941" cm="1">
        <f t="array" ref="Z1941">IFERROR(IF(_xlfn._xlws.FILTER(game_rosters!$J:$J,(game_rosters!$G:$G=events!$AN1941)*(game_rosters!$J:$J=events!$X1941))&gt;0,1,""),"")</f>
        <v>1</v>
      </c>
      <c r="AA1941">
        <f t="shared" si="1903"/>
        <v>2025</v>
      </c>
      <c r="AB1941" t="str">
        <f t="shared" si="1904"/>
        <v/>
      </c>
      <c r="AC1941">
        <f t="shared" si="1942"/>
        <v>2025</v>
      </c>
      <c r="AD1941" s="6">
        <v>3</v>
      </c>
      <c r="AE1941" t="s">
        <v>746</v>
      </c>
      <c r="AF1941" t="s">
        <v>744</v>
      </c>
      <c r="AG1941" t="s">
        <v>756</v>
      </c>
      <c r="AH1941" t="s">
        <v>756</v>
      </c>
      <c r="AI1941" t="s">
        <v>367</v>
      </c>
      <c r="AJ1941" t="str">
        <f t="shared" ref="AJ1941:AK1941" si="1985">IF($J1941&lt;&gt;"",$J1941,IF($AC1941=$AC1940,AJ1940,""))</f>
        <v>d</v>
      </c>
      <c r="AK1941" t="str">
        <f t="shared" si="1985"/>
        <v>d</v>
      </c>
      <c r="AL1941" t="str">
        <f t="shared" si="1947"/>
        <v>o</v>
      </c>
      <c r="AN1941" t="s">
        <v>862</v>
      </c>
      <c r="AO1941" t="str">
        <f t="shared" si="1948"/>
        <v>a</v>
      </c>
      <c r="AP1941" t="str">
        <f t="shared" si="1956"/>
        <v>o</v>
      </c>
      <c r="AQ1941" t="str">
        <f t="shared" si="1957"/>
        <v/>
      </c>
      <c r="AR1941" t="str">
        <f t="shared" si="1958"/>
        <v>Away</v>
      </c>
      <c r="AS1941" t="str">
        <f t="shared" si="1959"/>
        <v>a</v>
      </c>
      <c r="AT1941" t="str">
        <f t="shared" si="1960"/>
        <v>Offensive</v>
      </c>
      <c r="BA1941" s="6">
        <f t="shared" si="1949"/>
        <v>443</v>
      </c>
      <c r="BB1941">
        <f t="shared" si="1950"/>
        <v>18981</v>
      </c>
      <c r="BC1941" t="str">
        <f t="shared" si="1951"/>
        <v>Nelson</v>
      </c>
      <c r="BD1941" t="str">
        <f t="shared" si="1952"/>
        <v>Velodrome</v>
      </c>
      <c r="BE1941" t="s">
        <v>238</v>
      </c>
      <c r="BF1941" t="s">
        <v>184</v>
      </c>
      <c r="BG1941" t="s">
        <v>89</v>
      </c>
      <c r="BI1941" cm="1">
        <f t="array" aca="1" ref="BI1941" ca="1">IFERROR(_xlfn._xlws.FILTER(shifts!A:A,(shifts!B:B=events!AD1941)*(shifts!AG:AG&gt;=events!BK1941)*(shifts!AH:AH&lt;=events!BL1941)),BI1940)</f>
        <v>84</v>
      </c>
      <c r="BJ1941" s="15">
        <f t="shared" si="1953"/>
        <v>0</v>
      </c>
      <c r="BK1941">
        <f t="shared" si="1961"/>
        <v>735</v>
      </c>
      <c r="BL1941">
        <f t="shared" si="1962"/>
        <v>735</v>
      </c>
      <c r="BM1941" s="15">
        <f>SUMIFS(BJ$2:BJ1941,K$2:K1941,"=Intermission")+SUMIFS(BJ$2:BJ1941,K$2:K1941,"=Timeout")</f>
        <v>142</v>
      </c>
      <c r="BN1941">
        <f t="shared" si="1963"/>
        <v>2302</v>
      </c>
      <c r="BO1941" s="19">
        <f t="shared" si="1964"/>
        <v>2647</v>
      </c>
      <c r="BP1941">
        <f t="shared" si="1965"/>
        <v>2642</v>
      </c>
      <c r="BQ1941" s="17">
        <f t="shared" si="1966"/>
        <v>2647</v>
      </c>
      <c r="BR1941" t="str">
        <f t="shared" si="1967"/>
        <v>event_team_player_1</v>
      </c>
      <c r="BS1941">
        <f>COUNTIFS(S$3:S1941,"="&amp;S1941,AI$3:AI1941,"="&amp;AI1941)</f>
        <v>1</v>
      </c>
      <c r="BT1941" t="str">
        <f>IFERROR(VLOOKUP(BB1941&amp;BU1941&amp;X1941,game_rosters!U:W,3,FALSE),"")</f>
        <v>P100132</v>
      </c>
      <c r="BU1941" t="str">
        <f t="shared" si="1968"/>
        <v>Velodrome</v>
      </c>
    </row>
    <row r="1942" spans="1:73" x14ac:dyDescent="0.2">
      <c r="A1942">
        <f t="shared" si="1954"/>
        <v>1</v>
      </c>
      <c r="J1942" s="44" t="str">
        <f t="shared" si="1969"/>
        <v>d</v>
      </c>
      <c r="K1942" t="s">
        <v>238</v>
      </c>
      <c r="L1942" t="s">
        <v>184</v>
      </c>
      <c r="M1942" t="s">
        <v>89</v>
      </c>
      <c r="S1942">
        <v>1025</v>
      </c>
      <c r="W1942" t="str">
        <f t="shared" si="1945"/>
        <v>a</v>
      </c>
      <c r="X1942">
        <v>49</v>
      </c>
      <c r="Y1942" t="e">
        <f>IF(X1942&lt;&gt;"",VLOOKUP(X1942,game_rosters!$C$43:$E$64,3,FALSE))</f>
        <v>#N/A</v>
      </c>
      <c r="Z1942" cm="1">
        <f t="array" ref="Z1942">IFERROR(IF(_xlfn._xlws.FILTER(game_rosters!$J:$J,(game_rosters!$G:$G=events!$AN1942)*(game_rosters!$J:$J=events!$X1942))&gt;0,1,""),"")</f>
        <v>1</v>
      </c>
      <c r="AA1942">
        <f t="shared" si="1903"/>
        <v>2025</v>
      </c>
      <c r="AB1942" t="str">
        <f t="shared" si="1904"/>
        <v/>
      </c>
      <c r="AC1942">
        <f t="shared" si="1942"/>
        <v>2025</v>
      </c>
      <c r="AD1942" s="6">
        <v>3</v>
      </c>
      <c r="AE1942" t="s">
        <v>746</v>
      </c>
      <c r="AF1942" t="s">
        <v>744</v>
      </c>
      <c r="AG1942" t="s">
        <v>756</v>
      </c>
      <c r="AH1942" t="s">
        <v>756</v>
      </c>
      <c r="AI1942" t="s">
        <v>367</v>
      </c>
      <c r="AJ1942" t="str">
        <f t="shared" ref="AJ1942:AK1942" si="1986">IF($J1942&lt;&gt;"",$J1942,IF($AC1942=$AC1941,AJ1941,""))</f>
        <v>d</v>
      </c>
      <c r="AK1942" t="str">
        <f t="shared" si="1986"/>
        <v>d</v>
      </c>
      <c r="AL1942" t="str">
        <f t="shared" si="1947"/>
        <v>o</v>
      </c>
      <c r="AN1942" t="s">
        <v>862</v>
      </c>
      <c r="AO1942" t="str">
        <f t="shared" si="1948"/>
        <v>a</v>
      </c>
      <c r="AP1942" t="str">
        <f t="shared" si="1956"/>
        <v>o</v>
      </c>
      <c r="AQ1942" t="str">
        <f t="shared" si="1957"/>
        <v/>
      </c>
      <c r="AR1942" t="str">
        <f t="shared" si="1958"/>
        <v>Away</v>
      </c>
      <c r="AS1942" t="str">
        <f t="shared" si="1959"/>
        <v>a</v>
      </c>
      <c r="AT1942" t="str">
        <f t="shared" si="1960"/>
        <v>Offensive</v>
      </c>
      <c r="BA1942" s="6">
        <f t="shared" si="1949"/>
        <v>444</v>
      </c>
      <c r="BB1942">
        <f t="shared" si="1950"/>
        <v>18981</v>
      </c>
      <c r="BC1942" t="str">
        <f t="shared" si="1951"/>
        <v>Nelson</v>
      </c>
      <c r="BD1942" t="str">
        <f t="shared" si="1952"/>
        <v>Velodrome</v>
      </c>
      <c r="BE1942" t="s">
        <v>238</v>
      </c>
      <c r="BF1942" t="s">
        <v>184</v>
      </c>
      <c r="BG1942" t="s">
        <v>89</v>
      </c>
      <c r="BI1942" cm="1">
        <f t="array" aca="1" ref="BI1942" ca="1">IFERROR(_xlfn._xlws.FILTER(shifts!A:A,(shifts!B:B=events!AD1942)*(shifts!AG:AG&gt;=events!BK1942)*(shifts!AH:AH&lt;=events!BL1942)),BI1941)</f>
        <v>84</v>
      </c>
      <c r="BJ1942" s="15">
        <f t="shared" si="1953"/>
        <v>0</v>
      </c>
      <c r="BK1942">
        <f t="shared" si="1961"/>
        <v>735</v>
      </c>
      <c r="BL1942">
        <f t="shared" si="1962"/>
        <v>735</v>
      </c>
      <c r="BM1942" s="15">
        <f>SUMIFS(BJ$2:BJ1942,K$2:K1942,"=Intermission")+SUMIFS(BJ$2:BJ1942,K$2:K1942,"=Timeout")</f>
        <v>142</v>
      </c>
      <c r="BN1942">
        <f t="shared" si="1963"/>
        <v>2302</v>
      </c>
      <c r="BO1942" s="19">
        <f t="shared" si="1964"/>
        <v>2647</v>
      </c>
      <c r="BP1942">
        <f t="shared" si="1965"/>
        <v>2642</v>
      </c>
      <c r="BQ1942" s="17">
        <f t="shared" si="1966"/>
        <v>2647</v>
      </c>
      <c r="BR1942" t="str">
        <f t="shared" si="1967"/>
        <v>event_team_player_2</v>
      </c>
      <c r="BS1942">
        <f>COUNTIFS(S$3:S1942,"="&amp;S1942,AI$3:AI1942,"="&amp;AI1942)</f>
        <v>2</v>
      </c>
      <c r="BT1942" t="str">
        <f>IFERROR(VLOOKUP(BB1942&amp;BU1942&amp;X1942,game_rosters!U:W,3,FALSE),"")</f>
        <v>P100161</v>
      </c>
      <c r="BU1942" t="str">
        <f t="shared" si="1968"/>
        <v>Velodrome</v>
      </c>
    </row>
    <row r="1943" spans="1:73" x14ac:dyDescent="0.2">
      <c r="A1943">
        <f t="shared" si="1954"/>
        <v>1</v>
      </c>
      <c r="J1943" s="44" t="str">
        <f t="shared" si="1969"/>
        <v>d</v>
      </c>
      <c r="K1943" t="s">
        <v>238</v>
      </c>
      <c r="L1943" t="s">
        <v>184</v>
      </c>
      <c r="M1943" t="s">
        <v>89</v>
      </c>
      <c r="S1943">
        <v>1025</v>
      </c>
      <c r="W1943" t="str">
        <f t="shared" si="1945"/>
        <v>a</v>
      </c>
      <c r="X1943">
        <v>15</v>
      </c>
      <c r="Y1943" t="b">
        <f>IF(X1943&lt;&gt;"",VLOOKUP(X1943,game_rosters!$C$43:$E$64,3,FALSE))</f>
        <v>0</v>
      </c>
      <c r="Z1943" t="str" cm="1">
        <f t="array" ref="Z1943">IFERROR(IF(_xlfn._xlws.FILTER(game_rosters!$J:$J,(game_rosters!$G:$G=events!$AN1943)*(game_rosters!$J:$J=events!$X1943))&gt;0,1,""),"")</f>
        <v/>
      </c>
      <c r="AA1943">
        <f t="shared" si="1903"/>
        <v>2025</v>
      </c>
      <c r="AB1943" t="str">
        <f t="shared" si="1904"/>
        <v/>
      </c>
      <c r="AC1943">
        <f t="shared" si="1942"/>
        <v>2025</v>
      </c>
      <c r="AD1943" s="6">
        <v>3</v>
      </c>
      <c r="AE1943" t="s">
        <v>746</v>
      </c>
      <c r="AF1943" t="s">
        <v>744</v>
      </c>
      <c r="AG1943" t="s">
        <v>756</v>
      </c>
      <c r="AH1943" t="s">
        <v>756</v>
      </c>
      <c r="AI1943" t="s">
        <v>368</v>
      </c>
      <c r="AJ1943" t="str">
        <f t="shared" ref="AJ1943:AK1943" si="1987">IF($J1943&lt;&gt;"",$J1943,IF($AC1943=$AC1942,AJ1942,""))</f>
        <v>d</v>
      </c>
      <c r="AK1943" t="str">
        <f t="shared" si="1987"/>
        <v>d</v>
      </c>
      <c r="AL1943" t="str">
        <f t="shared" si="1947"/>
        <v>o</v>
      </c>
      <c r="AN1943" t="s">
        <v>862</v>
      </c>
      <c r="AO1943" t="str">
        <f t="shared" si="1948"/>
        <v>a</v>
      </c>
      <c r="AP1943" t="str">
        <f t="shared" si="1956"/>
        <v>o</v>
      </c>
      <c r="AQ1943" t="str">
        <f t="shared" si="1957"/>
        <v/>
      </c>
      <c r="AR1943" t="str">
        <f t="shared" si="1958"/>
        <v>Away</v>
      </c>
      <c r="AS1943" t="str">
        <f t="shared" si="1959"/>
        <v>a</v>
      </c>
      <c r="AT1943" t="str">
        <f t="shared" si="1960"/>
        <v>Defensive</v>
      </c>
      <c r="BA1943" s="6">
        <f t="shared" si="1949"/>
        <v>445</v>
      </c>
      <c r="BB1943">
        <f t="shared" si="1950"/>
        <v>18981</v>
      </c>
      <c r="BC1943" t="str">
        <f t="shared" si="1951"/>
        <v>Nelson</v>
      </c>
      <c r="BD1943" t="str">
        <f t="shared" si="1952"/>
        <v>Velodrome</v>
      </c>
      <c r="BE1943" t="s">
        <v>238</v>
      </c>
      <c r="BF1943" t="s">
        <v>184</v>
      </c>
      <c r="BG1943" t="s">
        <v>89</v>
      </c>
      <c r="BI1943" cm="1">
        <f t="array" aca="1" ref="BI1943" ca="1">IFERROR(_xlfn._xlws.FILTER(shifts!A:A,(shifts!B:B=events!AD1943)*(shifts!AG:AG&gt;=events!BK1943)*(shifts!AH:AH&lt;=events!BL1943)),BI1942)</f>
        <v>84</v>
      </c>
      <c r="BJ1943" s="15">
        <f t="shared" si="1953"/>
        <v>0</v>
      </c>
      <c r="BK1943">
        <f t="shared" si="1961"/>
        <v>735</v>
      </c>
      <c r="BL1943">
        <f t="shared" si="1962"/>
        <v>735</v>
      </c>
      <c r="BM1943" s="15">
        <f>SUMIFS(BJ$2:BJ1943,K$2:K1943,"=Intermission")+SUMIFS(BJ$2:BJ1943,K$2:K1943,"=Timeout")</f>
        <v>142</v>
      </c>
      <c r="BN1943">
        <f t="shared" si="1963"/>
        <v>2302</v>
      </c>
      <c r="BO1943" s="19">
        <f t="shared" si="1964"/>
        <v>2647</v>
      </c>
      <c r="BP1943">
        <f t="shared" si="1965"/>
        <v>2642</v>
      </c>
      <c r="BQ1943" s="17">
        <f t="shared" si="1966"/>
        <v>2647</v>
      </c>
      <c r="BR1943" t="str">
        <f t="shared" si="1967"/>
        <v>opp_team_player_1</v>
      </c>
      <c r="BS1943">
        <f>COUNTIFS(S$3:S1943,"="&amp;S1943,AI$3:AI1943,"="&amp;AI1943)</f>
        <v>1</v>
      </c>
      <c r="BT1943" t="str">
        <f>IFERROR(VLOOKUP(BB1943&amp;BU1943&amp;X1943,game_rosters!U:W,3,FALSE),"")</f>
        <v>P100071</v>
      </c>
      <c r="BU1943" t="str">
        <f t="shared" si="1968"/>
        <v>Nelson</v>
      </c>
    </row>
    <row r="1944" spans="1:73" x14ac:dyDescent="0.2">
      <c r="A1944">
        <f t="shared" si="1954"/>
        <v>1</v>
      </c>
      <c r="J1944" s="44" t="str">
        <f t="shared" si="1969"/>
        <v/>
      </c>
      <c r="K1944" t="s">
        <v>13</v>
      </c>
      <c r="L1944" t="s">
        <v>756</v>
      </c>
      <c r="M1944" t="s">
        <v>756</v>
      </c>
      <c r="S1944">
        <v>1026</v>
      </c>
      <c r="W1944" t="str">
        <f t="shared" si="1945"/>
        <v>a</v>
      </c>
      <c r="X1944">
        <v>49</v>
      </c>
      <c r="Y1944" t="e">
        <f>IF(X1944&lt;&gt;"",VLOOKUP(X1944,game_rosters!$C$43:$E$64,3,FALSE))</f>
        <v>#N/A</v>
      </c>
      <c r="Z1944" cm="1">
        <f t="array" ref="Z1944">IFERROR(IF(_xlfn._xlws.FILTER(game_rosters!$J:$J,(game_rosters!$G:$G=events!$AN1944)*(game_rosters!$J:$J=events!$X1944))&gt;0,1,""),"")</f>
        <v>1</v>
      </c>
      <c r="AA1944">
        <f t="shared" si="1903"/>
        <v>2026</v>
      </c>
      <c r="AB1944" t="str">
        <f t="shared" si="1904"/>
        <v/>
      </c>
      <c r="AC1944">
        <f t="shared" si="1942"/>
        <v>2026</v>
      </c>
      <c r="AD1944" s="6">
        <v>3</v>
      </c>
      <c r="AE1944" t="s">
        <v>746</v>
      </c>
      <c r="AF1944" t="s">
        <v>744</v>
      </c>
      <c r="AG1944" t="s">
        <v>746</v>
      </c>
      <c r="AH1944" t="s">
        <v>746</v>
      </c>
      <c r="AI1944" t="s">
        <v>367</v>
      </c>
      <c r="AJ1944" t="str">
        <f t="shared" ref="AJ1944:AK1944" si="1988">IF($J1944&lt;&gt;"",$J1944,IF($AC1944=$AC1943,AJ1943,""))</f>
        <v/>
      </c>
      <c r="AK1944" t="str">
        <f t="shared" si="1988"/>
        <v/>
      </c>
      <c r="AL1944" t="str">
        <f t="shared" si="1947"/>
        <v/>
      </c>
      <c r="AN1944" t="s">
        <v>862</v>
      </c>
      <c r="AO1944" t="str">
        <f t="shared" si="1948"/>
        <v>a</v>
      </c>
      <c r="AP1944" t="str">
        <f t="shared" si="1956"/>
        <v/>
      </c>
      <c r="AQ1944" t="str">
        <f t="shared" si="1957"/>
        <v/>
      </c>
      <c r="AR1944" t="str">
        <f t="shared" si="1958"/>
        <v>Away</v>
      </c>
      <c r="AS1944" t="str">
        <f t="shared" si="1959"/>
        <v>a</v>
      </c>
      <c r="AT1944" t="str">
        <f t="shared" si="1960"/>
        <v>Offensive</v>
      </c>
      <c r="BA1944" s="6">
        <f t="shared" si="1949"/>
        <v>445</v>
      </c>
      <c r="BB1944">
        <f t="shared" si="1950"/>
        <v>18981</v>
      </c>
      <c r="BC1944" t="str">
        <f t="shared" si="1951"/>
        <v>Nelson</v>
      </c>
      <c r="BD1944" t="str">
        <f t="shared" si="1952"/>
        <v>Velodrome</v>
      </c>
      <c r="BE1944" t="s">
        <v>13</v>
      </c>
      <c r="BF1944" t="s">
        <v>756</v>
      </c>
      <c r="BG1944" t="s">
        <v>756</v>
      </c>
      <c r="BI1944" cm="1">
        <f t="array" aca="1" ref="BI1944" ca="1">IFERROR(_xlfn._xlws.FILTER(shifts!A:A,(shifts!B:B=events!AD1944)*(shifts!AG:AG&gt;=events!BK1944)*(shifts!AH:AH&lt;=events!BL1944)),BI1943)</f>
        <v>84</v>
      </c>
      <c r="BJ1944" s="15">
        <f t="shared" si="1953"/>
        <v>3</v>
      </c>
      <c r="BK1944">
        <f t="shared" si="1961"/>
        <v>735</v>
      </c>
      <c r="BL1944">
        <f t="shared" si="1962"/>
        <v>732</v>
      </c>
      <c r="BM1944" s="15">
        <f>SUMIFS(BJ$2:BJ1944,K$2:K1944,"=Intermission")+SUMIFS(BJ$2:BJ1944,K$2:K1944,"=Timeout")</f>
        <v>142</v>
      </c>
      <c r="BN1944">
        <f t="shared" si="1963"/>
        <v>2302</v>
      </c>
      <c r="BO1944" s="19">
        <f t="shared" si="1964"/>
        <v>2647</v>
      </c>
      <c r="BP1944">
        <f t="shared" si="1965"/>
        <v>2642</v>
      </c>
      <c r="BQ1944" s="17">
        <f t="shared" si="1966"/>
        <v>2650</v>
      </c>
      <c r="BR1944" t="str">
        <f t="shared" si="1967"/>
        <v>event_team_player_1</v>
      </c>
      <c r="BS1944">
        <f>COUNTIFS(S$3:S1944,"="&amp;S1944,AI$3:AI1944,"="&amp;AI1944)</f>
        <v>1</v>
      </c>
      <c r="BT1944" t="str">
        <f>IFERROR(VLOOKUP(BB1944&amp;BU1944&amp;X1944,game_rosters!U:W,3,FALSE),"")</f>
        <v>P100161</v>
      </c>
      <c r="BU1944" t="str">
        <f t="shared" si="1968"/>
        <v>Velodrome</v>
      </c>
    </row>
    <row r="1945" spans="1:73" x14ac:dyDescent="0.2">
      <c r="A1945">
        <f t="shared" si="1954"/>
        <v>1</v>
      </c>
      <c r="J1945" s="44" t="str">
        <f t="shared" si="1969"/>
        <v>o</v>
      </c>
      <c r="K1945" t="s">
        <v>238</v>
      </c>
      <c r="L1945" t="s">
        <v>174</v>
      </c>
      <c r="M1945" t="s">
        <v>85</v>
      </c>
      <c r="S1945">
        <v>1027</v>
      </c>
      <c r="W1945" t="str">
        <f t="shared" si="1945"/>
        <v>a</v>
      </c>
      <c r="X1945">
        <v>49</v>
      </c>
      <c r="Y1945" t="e">
        <f>IF(X1945&lt;&gt;"",VLOOKUP(X1945,game_rosters!$C$43:$E$64,3,FALSE))</f>
        <v>#N/A</v>
      </c>
      <c r="Z1945" cm="1">
        <f t="array" ref="Z1945">IFERROR(IF(_xlfn._xlws.FILTER(game_rosters!$J:$J,(game_rosters!$G:$G=events!$AN1945)*(game_rosters!$J:$J=events!$X1945))&gt;0,1,""),"")</f>
        <v>1</v>
      </c>
      <c r="AA1945">
        <f t="shared" si="1903"/>
        <v>2027</v>
      </c>
      <c r="AB1945" t="str">
        <f t="shared" si="1904"/>
        <v/>
      </c>
      <c r="AC1945">
        <f t="shared" si="1942"/>
        <v>2027</v>
      </c>
      <c r="AD1945" s="6">
        <v>3</v>
      </c>
      <c r="AE1945" t="s">
        <v>746</v>
      </c>
      <c r="AF1945" t="s">
        <v>746</v>
      </c>
      <c r="AG1945" t="s">
        <v>746</v>
      </c>
      <c r="AH1945" t="s">
        <v>920</v>
      </c>
      <c r="AI1945" t="s">
        <v>367</v>
      </c>
      <c r="AJ1945" t="str">
        <f t="shared" ref="AJ1945:AK1945" si="1989">IF($J1945&lt;&gt;"",$J1945,IF($AC1945=$AC1944,AJ1944,""))</f>
        <v>o</v>
      </c>
      <c r="AK1945" t="str">
        <f t="shared" si="1989"/>
        <v>o</v>
      </c>
      <c r="AL1945" t="str">
        <f t="shared" si="1947"/>
        <v>d</v>
      </c>
      <c r="AN1945" t="s">
        <v>862</v>
      </c>
      <c r="AO1945" t="str">
        <f t="shared" si="1948"/>
        <v>a</v>
      </c>
      <c r="AP1945" t="str">
        <f t="shared" si="1956"/>
        <v>d</v>
      </c>
      <c r="AQ1945" t="str">
        <f t="shared" si="1957"/>
        <v/>
      </c>
      <c r="AR1945" t="str">
        <f t="shared" si="1958"/>
        <v>Away</v>
      </c>
      <c r="AS1945" t="str">
        <f t="shared" si="1959"/>
        <v>a</v>
      </c>
      <c r="AT1945" t="str">
        <f t="shared" si="1960"/>
        <v>Offensive</v>
      </c>
      <c r="BA1945" s="6">
        <f t="shared" si="1949"/>
        <v>446</v>
      </c>
      <c r="BB1945">
        <f t="shared" si="1950"/>
        <v>18981</v>
      </c>
      <c r="BC1945" t="str">
        <f t="shared" si="1951"/>
        <v>Nelson</v>
      </c>
      <c r="BD1945" t="str">
        <f t="shared" si="1952"/>
        <v>Velodrome</v>
      </c>
      <c r="BE1945" t="s">
        <v>238</v>
      </c>
      <c r="BF1945" t="s">
        <v>174</v>
      </c>
      <c r="BG1945" t="s">
        <v>85</v>
      </c>
      <c r="BI1945" cm="1">
        <f t="array" aca="1" ref="BI1945" ca="1">IFERROR(_xlfn._xlws.FILTER(shifts!A:A,(shifts!B:B=events!AD1945)*(shifts!AG:AG&gt;=events!BK1945)*(shifts!AH:AH&lt;=events!BL1945)),BI1944)</f>
        <v>84</v>
      </c>
      <c r="BJ1945" s="15">
        <f t="shared" si="1953"/>
        <v>3</v>
      </c>
      <c r="BK1945">
        <f t="shared" si="1961"/>
        <v>732</v>
      </c>
      <c r="BL1945">
        <f t="shared" si="1962"/>
        <v>729</v>
      </c>
      <c r="BM1945" s="15">
        <f>SUMIFS(BJ$2:BJ1945,K$2:K1945,"=Intermission")+SUMIFS(BJ$2:BJ1945,K$2:K1945,"=Timeout")</f>
        <v>142</v>
      </c>
      <c r="BN1945">
        <f t="shared" si="1963"/>
        <v>2302</v>
      </c>
      <c r="BO1945" s="19">
        <f t="shared" si="1964"/>
        <v>2650</v>
      </c>
      <c r="BP1945">
        <f t="shared" si="1965"/>
        <v>2645</v>
      </c>
      <c r="BQ1945" s="17">
        <f t="shared" si="1966"/>
        <v>2653</v>
      </c>
      <c r="BR1945" t="str">
        <f t="shared" si="1967"/>
        <v>event_team_player_1</v>
      </c>
      <c r="BS1945">
        <f>COUNTIFS(S$3:S1945,"="&amp;S1945,AI$3:AI1945,"="&amp;AI1945)</f>
        <v>1</v>
      </c>
      <c r="BT1945" t="str">
        <f>IFERROR(VLOOKUP(BB1945&amp;BU1945&amp;X1945,game_rosters!U:W,3,FALSE),"")</f>
        <v>P100161</v>
      </c>
      <c r="BU1945" t="str">
        <f t="shared" si="1968"/>
        <v>Velodrome</v>
      </c>
    </row>
    <row r="1946" spans="1:73" x14ac:dyDescent="0.2">
      <c r="A1946">
        <f t="shared" si="1954"/>
        <v>1</v>
      </c>
      <c r="J1946" s="44" t="str">
        <f t="shared" si="1969"/>
        <v>o</v>
      </c>
      <c r="K1946" t="s">
        <v>238</v>
      </c>
      <c r="L1946" t="s">
        <v>174</v>
      </c>
      <c r="M1946" t="s">
        <v>85</v>
      </c>
      <c r="S1946">
        <v>1027</v>
      </c>
      <c r="W1946" t="str">
        <f t="shared" si="1945"/>
        <v>a</v>
      </c>
      <c r="X1946">
        <v>79</v>
      </c>
      <c r="Y1946" t="b">
        <f>IF(X1946&lt;&gt;"",VLOOKUP(X1946,game_rosters!$C$43:$E$64,3,FALSE))</f>
        <v>0</v>
      </c>
      <c r="Z1946" t="str" cm="1">
        <f t="array" ref="Z1946">IFERROR(IF(_xlfn._xlws.FILTER(game_rosters!$J:$J,(game_rosters!$G:$G=events!$AN1946)*(game_rosters!$J:$J=events!$X1946))&gt;0,1,""),"")</f>
        <v/>
      </c>
      <c r="AA1946">
        <f t="shared" si="1903"/>
        <v>2027</v>
      </c>
      <c r="AB1946" t="str">
        <f t="shared" si="1904"/>
        <v/>
      </c>
      <c r="AC1946">
        <f t="shared" si="1942"/>
        <v>2027</v>
      </c>
      <c r="AD1946" s="6">
        <v>3</v>
      </c>
      <c r="AE1946" t="s">
        <v>746</v>
      </c>
      <c r="AF1946" t="s">
        <v>746</v>
      </c>
      <c r="AG1946" t="s">
        <v>746</v>
      </c>
      <c r="AH1946" t="s">
        <v>920</v>
      </c>
      <c r="AI1946" t="s">
        <v>368</v>
      </c>
      <c r="AJ1946" t="str">
        <f t="shared" ref="AJ1946:AK1946" si="1990">IF($J1946&lt;&gt;"",$J1946,IF($AC1946=$AC1945,AJ1945,""))</f>
        <v>o</v>
      </c>
      <c r="AK1946" t="str">
        <f t="shared" si="1990"/>
        <v>o</v>
      </c>
      <c r="AL1946" t="str">
        <f t="shared" si="1947"/>
        <v>d</v>
      </c>
      <c r="AN1946" t="s">
        <v>862</v>
      </c>
      <c r="AO1946" t="str">
        <f t="shared" si="1948"/>
        <v>a</v>
      </c>
      <c r="AP1946" t="str">
        <f t="shared" si="1956"/>
        <v>d</v>
      </c>
      <c r="AQ1946" t="str">
        <f t="shared" si="1957"/>
        <v/>
      </c>
      <c r="AR1946" t="str">
        <f t="shared" si="1958"/>
        <v>Away</v>
      </c>
      <c r="AS1946" t="str">
        <f t="shared" si="1959"/>
        <v>a</v>
      </c>
      <c r="AT1946" t="str">
        <f t="shared" si="1960"/>
        <v>Defensive</v>
      </c>
      <c r="BA1946" s="6">
        <f t="shared" si="1949"/>
        <v>447</v>
      </c>
      <c r="BB1946">
        <f t="shared" si="1950"/>
        <v>18981</v>
      </c>
      <c r="BC1946" t="str">
        <f t="shared" si="1951"/>
        <v>Nelson</v>
      </c>
      <c r="BD1946" t="str">
        <f t="shared" si="1952"/>
        <v>Velodrome</v>
      </c>
      <c r="BE1946" t="s">
        <v>238</v>
      </c>
      <c r="BF1946" t="s">
        <v>174</v>
      </c>
      <c r="BG1946" t="s">
        <v>85</v>
      </c>
      <c r="BI1946" cm="1">
        <f t="array" aca="1" ref="BI1946" ca="1">IFERROR(_xlfn._xlws.FILTER(shifts!A:A,(shifts!B:B=events!AD1946)*(shifts!AG:AG&gt;=events!BK1946)*(shifts!AH:AH&lt;=events!BL1946)),BI1945)</f>
        <v>84</v>
      </c>
      <c r="BJ1946" s="15">
        <f t="shared" si="1953"/>
        <v>3</v>
      </c>
      <c r="BK1946">
        <f t="shared" si="1961"/>
        <v>732</v>
      </c>
      <c r="BL1946">
        <f t="shared" si="1962"/>
        <v>729</v>
      </c>
      <c r="BM1946" s="15">
        <f>SUMIFS(BJ$2:BJ1946,K$2:K1946,"=Intermission")+SUMIFS(BJ$2:BJ1946,K$2:K1946,"=Timeout")</f>
        <v>142</v>
      </c>
      <c r="BN1946">
        <f t="shared" si="1963"/>
        <v>2302</v>
      </c>
      <c r="BO1946" s="19">
        <f t="shared" si="1964"/>
        <v>2650</v>
      </c>
      <c r="BP1946">
        <f t="shared" si="1965"/>
        <v>2645</v>
      </c>
      <c r="BQ1946" s="17">
        <f t="shared" si="1966"/>
        <v>2653</v>
      </c>
      <c r="BR1946" t="str">
        <f t="shared" si="1967"/>
        <v>opp_team_player_1</v>
      </c>
      <c r="BS1946">
        <f>COUNTIFS(S$3:S1946,"="&amp;S1946,AI$3:AI1946,"="&amp;AI1946)</f>
        <v>1</v>
      </c>
      <c r="BT1946" t="str">
        <f>IFERROR(VLOOKUP(BB1946&amp;BU1946&amp;X1946,game_rosters!U:W,3,FALSE),"")</f>
        <v>P100066</v>
      </c>
      <c r="BU1946" t="str">
        <f t="shared" si="1968"/>
        <v>Nelson</v>
      </c>
    </row>
    <row r="1947" spans="1:73" x14ac:dyDescent="0.2">
      <c r="A1947">
        <f t="shared" si="1954"/>
        <v>1</v>
      </c>
      <c r="J1947" s="44" t="str">
        <f t="shared" si="1969"/>
        <v>o</v>
      </c>
      <c r="K1947" t="s">
        <v>238</v>
      </c>
      <c r="L1947" t="s">
        <v>174</v>
      </c>
      <c r="M1947" t="s">
        <v>85</v>
      </c>
      <c r="S1947">
        <v>1027</v>
      </c>
      <c r="W1947" t="str">
        <f t="shared" si="1945"/>
        <v>a</v>
      </c>
      <c r="X1947">
        <v>8</v>
      </c>
      <c r="Y1947" t="b">
        <f>IF(X1947&lt;&gt;"",VLOOKUP(X1947,game_rosters!$C$43:$E$64,3,FALSE))</f>
        <v>0</v>
      </c>
      <c r="Z1947" t="str" cm="1">
        <f t="array" ref="Z1947">IFERROR(IF(_xlfn._xlws.FILTER(game_rosters!$J:$J,(game_rosters!$G:$G=events!$AN1947)*(game_rosters!$J:$J=events!$X1947))&gt;0,1,""),"")</f>
        <v/>
      </c>
      <c r="AA1947">
        <f t="shared" si="1903"/>
        <v>2027</v>
      </c>
      <c r="AB1947" t="str">
        <f t="shared" si="1904"/>
        <v/>
      </c>
      <c r="AC1947">
        <f t="shared" si="1942"/>
        <v>2027</v>
      </c>
      <c r="AD1947" s="6">
        <v>3</v>
      </c>
      <c r="AE1947" t="s">
        <v>746</v>
      </c>
      <c r="AF1947" t="s">
        <v>746</v>
      </c>
      <c r="AG1947" t="s">
        <v>746</v>
      </c>
      <c r="AH1947" t="s">
        <v>920</v>
      </c>
      <c r="AI1947" t="s">
        <v>368</v>
      </c>
      <c r="AJ1947" t="str">
        <f t="shared" ref="AJ1947:AK1947" si="1991">IF($J1947&lt;&gt;"",$J1947,IF($AC1947=$AC1946,AJ1946,""))</f>
        <v>o</v>
      </c>
      <c r="AK1947" t="str">
        <f t="shared" si="1991"/>
        <v>o</v>
      </c>
      <c r="AL1947" t="str">
        <f t="shared" si="1947"/>
        <v>d</v>
      </c>
      <c r="AN1947" t="s">
        <v>862</v>
      </c>
      <c r="AO1947" t="str">
        <f t="shared" si="1948"/>
        <v>a</v>
      </c>
      <c r="AP1947" t="str">
        <f t="shared" si="1956"/>
        <v>d</v>
      </c>
      <c r="AQ1947" t="str">
        <f t="shared" si="1957"/>
        <v/>
      </c>
      <c r="AR1947" t="str">
        <f t="shared" si="1958"/>
        <v>Away</v>
      </c>
      <c r="AS1947" t="str">
        <f t="shared" si="1959"/>
        <v>a</v>
      </c>
      <c r="AT1947" t="str">
        <f t="shared" si="1960"/>
        <v>Defensive</v>
      </c>
      <c r="BA1947" s="6">
        <f t="shared" si="1949"/>
        <v>448</v>
      </c>
      <c r="BB1947">
        <f t="shared" si="1950"/>
        <v>18981</v>
      </c>
      <c r="BC1947" t="str">
        <f t="shared" si="1951"/>
        <v>Nelson</v>
      </c>
      <c r="BD1947" t="str">
        <f t="shared" si="1952"/>
        <v>Velodrome</v>
      </c>
      <c r="BE1947" t="s">
        <v>238</v>
      </c>
      <c r="BF1947" t="s">
        <v>174</v>
      </c>
      <c r="BG1947" t="s">
        <v>85</v>
      </c>
      <c r="BI1947" cm="1">
        <f t="array" aca="1" ref="BI1947" ca="1">IFERROR(_xlfn._xlws.FILTER(shifts!A:A,(shifts!B:B=events!AD1947)*(shifts!AG:AG&gt;=events!BK1947)*(shifts!AH:AH&lt;=events!BL1947)),BI1946)</f>
        <v>84</v>
      </c>
      <c r="BJ1947" s="15">
        <f t="shared" si="1953"/>
        <v>3</v>
      </c>
      <c r="BK1947">
        <f t="shared" si="1961"/>
        <v>732</v>
      </c>
      <c r="BL1947">
        <f t="shared" si="1962"/>
        <v>729</v>
      </c>
      <c r="BM1947" s="15">
        <f>SUMIFS(BJ$2:BJ1947,K$2:K1947,"=Intermission")+SUMIFS(BJ$2:BJ1947,K$2:K1947,"=Timeout")</f>
        <v>142</v>
      </c>
      <c r="BN1947">
        <f t="shared" si="1963"/>
        <v>2302</v>
      </c>
      <c r="BO1947" s="19">
        <f t="shared" si="1964"/>
        <v>2650</v>
      </c>
      <c r="BP1947">
        <f t="shared" si="1965"/>
        <v>2645</v>
      </c>
      <c r="BQ1947" s="17">
        <f t="shared" si="1966"/>
        <v>2653</v>
      </c>
      <c r="BR1947" t="str">
        <f t="shared" si="1967"/>
        <v>opp_team_player_2</v>
      </c>
      <c r="BS1947">
        <f>COUNTIFS(S$3:S1947,"="&amp;S1947,AI$3:AI1947,"="&amp;AI1947)</f>
        <v>2</v>
      </c>
      <c r="BT1947" t="str">
        <f>IFERROR(VLOOKUP(BB1947&amp;BU1947&amp;X1947,game_rosters!U:W,3,FALSE),"")</f>
        <v>P100074</v>
      </c>
      <c r="BU1947" t="str">
        <f t="shared" si="1968"/>
        <v>Nelson</v>
      </c>
    </row>
    <row r="1948" spans="1:73" x14ac:dyDescent="0.2">
      <c r="A1948">
        <f t="shared" si="1954"/>
        <v>1</v>
      </c>
      <c r="J1948" s="44" t="str">
        <f t="shared" si="1969"/>
        <v>o</v>
      </c>
      <c r="K1948" t="s">
        <v>238</v>
      </c>
      <c r="L1948" t="s">
        <v>174</v>
      </c>
      <c r="M1948" t="s">
        <v>85</v>
      </c>
      <c r="S1948">
        <v>1027</v>
      </c>
      <c r="W1948" t="str">
        <f t="shared" si="1945"/>
        <v>a</v>
      </c>
      <c r="X1948">
        <v>80</v>
      </c>
      <c r="Y1948" t="b">
        <f>IF(X1948&lt;&gt;"",VLOOKUP(X1948,game_rosters!$C$43:$E$64,3,FALSE))</f>
        <v>0</v>
      </c>
      <c r="Z1948" t="str" cm="1">
        <f t="array" ref="Z1948">IFERROR(IF(_xlfn._xlws.FILTER(game_rosters!$J:$J,(game_rosters!$G:$G=events!$AN1948)*(game_rosters!$J:$J=events!$X1948))&gt;0,1,""),"")</f>
        <v/>
      </c>
      <c r="AA1948">
        <f t="shared" si="1903"/>
        <v>2027</v>
      </c>
      <c r="AB1948" t="str">
        <f t="shared" si="1904"/>
        <v/>
      </c>
      <c r="AC1948">
        <f t="shared" si="1942"/>
        <v>2027</v>
      </c>
      <c r="AD1948" s="6">
        <v>3</v>
      </c>
      <c r="AE1948" t="s">
        <v>746</v>
      </c>
      <c r="AF1948" t="s">
        <v>746</v>
      </c>
      <c r="AG1948" t="s">
        <v>746</v>
      </c>
      <c r="AH1948" t="s">
        <v>920</v>
      </c>
      <c r="AI1948" t="s">
        <v>368</v>
      </c>
      <c r="AJ1948" t="str">
        <f t="shared" ref="AJ1948:AK1948" si="1992">IF($J1948&lt;&gt;"",$J1948,IF($AC1948=$AC1947,AJ1947,""))</f>
        <v>o</v>
      </c>
      <c r="AK1948" t="str">
        <f t="shared" si="1992"/>
        <v>o</v>
      </c>
      <c r="AL1948" t="str">
        <f t="shared" si="1947"/>
        <v>d</v>
      </c>
      <c r="AN1948" t="s">
        <v>862</v>
      </c>
      <c r="AO1948" t="str">
        <f t="shared" si="1948"/>
        <v>a</v>
      </c>
      <c r="AP1948" t="str">
        <f t="shared" si="1956"/>
        <v>d</v>
      </c>
      <c r="AQ1948" t="str">
        <f t="shared" si="1957"/>
        <v/>
      </c>
      <c r="AR1948" t="str">
        <f t="shared" si="1958"/>
        <v>Away</v>
      </c>
      <c r="AS1948" t="str">
        <f t="shared" si="1959"/>
        <v>a</v>
      </c>
      <c r="AT1948" t="str">
        <f t="shared" si="1960"/>
        <v>Defensive</v>
      </c>
      <c r="BA1948" s="6">
        <f t="shared" si="1949"/>
        <v>449</v>
      </c>
      <c r="BB1948">
        <f t="shared" si="1950"/>
        <v>18981</v>
      </c>
      <c r="BC1948" t="str">
        <f t="shared" si="1951"/>
        <v>Nelson</v>
      </c>
      <c r="BD1948" t="str">
        <f t="shared" si="1952"/>
        <v>Velodrome</v>
      </c>
      <c r="BE1948" t="s">
        <v>238</v>
      </c>
      <c r="BF1948" t="s">
        <v>174</v>
      </c>
      <c r="BG1948" t="s">
        <v>85</v>
      </c>
      <c r="BI1948" cm="1">
        <f t="array" aca="1" ref="BI1948" ca="1">IFERROR(_xlfn._xlws.FILTER(shifts!A:A,(shifts!B:B=events!AD1948)*(shifts!AG:AG&gt;=events!BK1948)*(shifts!AH:AH&lt;=events!BL1948)),BI1947)</f>
        <v>84</v>
      </c>
      <c r="BJ1948" s="15">
        <f t="shared" si="1953"/>
        <v>3</v>
      </c>
      <c r="BK1948">
        <f t="shared" si="1961"/>
        <v>732</v>
      </c>
      <c r="BL1948">
        <f t="shared" si="1962"/>
        <v>729</v>
      </c>
      <c r="BM1948" s="15">
        <f>SUMIFS(BJ$2:BJ1948,K$2:K1948,"=Intermission")+SUMIFS(BJ$2:BJ1948,K$2:K1948,"=Timeout")</f>
        <v>142</v>
      </c>
      <c r="BN1948">
        <f t="shared" si="1963"/>
        <v>2302</v>
      </c>
      <c r="BO1948" s="19">
        <f t="shared" si="1964"/>
        <v>2650</v>
      </c>
      <c r="BP1948">
        <f t="shared" si="1965"/>
        <v>2645</v>
      </c>
      <c r="BQ1948" s="17">
        <f t="shared" si="1966"/>
        <v>2653</v>
      </c>
      <c r="BR1948" t="str">
        <f t="shared" si="1967"/>
        <v>opp_team_player_3</v>
      </c>
      <c r="BS1948">
        <f>COUNTIFS(S$3:S1948,"="&amp;S1948,AI$3:AI1948,"="&amp;AI1948)</f>
        <v>3</v>
      </c>
      <c r="BT1948" t="str">
        <f>IFERROR(VLOOKUP(BB1948&amp;BU1948&amp;X1948,game_rosters!U:W,3,FALSE),"")</f>
        <v>P100197</v>
      </c>
      <c r="BU1948" t="str">
        <f t="shared" si="1968"/>
        <v>Nelson</v>
      </c>
    </row>
    <row r="1949" spans="1:73" x14ac:dyDescent="0.2">
      <c r="A1949">
        <f t="shared" si="1954"/>
        <v>1</v>
      </c>
      <c r="J1949" s="44" t="str">
        <f t="shared" si="1969"/>
        <v/>
      </c>
      <c r="K1949" t="s">
        <v>230</v>
      </c>
      <c r="L1949" t="s">
        <v>389</v>
      </c>
      <c r="M1949" t="s">
        <v>432</v>
      </c>
      <c r="S1949">
        <v>1028</v>
      </c>
      <c r="W1949" t="str">
        <f t="shared" si="1945"/>
        <v>h</v>
      </c>
      <c r="X1949">
        <v>80</v>
      </c>
      <c r="Y1949" t="b">
        <f>IF(X1949&lt;&gt;"",VLOOKUP(X1949,game_rosters!$C$43:$E$64,3,FALSE))</f>
        <v>0</v>
      </c>
      <c r="Z1949" cm="1">
        <f t="array" ref="Z1949">IFERROR(IF(_xlfn._xlws.FILTER(game_rosters!$J:$J,(game_rosters!$G:$G=events!$AN1949)*(game_rosters!$J:$J=events!$X1949))&gt;0,1,""),"")</f>
        <v>1</v>
      </c>
      <c r="AA1949">
        <f t="shared" ref="AA1949:AA2012" si="1993">S1949+1000</f>
        <v>2028</v>
      </c>
      <c r="AB1949" t="str">
        <f t="shared" ref="AB1949:AB2012" si="1994">IF(T1949&lt;&gt;"",9000+T1949,"")</f>
        <v/>
      </c>
      <c r="AC1949">
        <f t="shared" si="1942"/>
        <v>2028</v>
      </c>
      <c r="AD1949" s="6">
        <v>3</v>
      </c>
      <c r="AE1949" t="s">
        <v>746</v>
      </c>
      <c r="AF1949" t="s">
        <v>920</v>
      </c>
      <c r="AG1949" t="s">
        <v>756</v>
      </c>
      <c r="AH1949" t="s">
        <v>756</v>
      </c>
      <c r="AI1949" t="s">
        <v>367</v>
      </c>
      <c r="AJ1949" t="str">
        <f t="shared" ref="AJ1949:AK1949" si="1995">IF($J1949&lt;&gt;"",$J1949,IF($AC1949=$AC1948,AJ1948,""))</f>
        <v/>
      </c>
      <c r="AK1949" t="str">
        <f t="shared" si="1995"/>
        <v/>
      </c>
      <c r="AL1949" t="str">
        <f t="shared" si="1947"/>
        <v/>
      </c>
      <c r="AN1949" t="s">
        <v>861</v>
      </c>
      <c r="AO1949" t="str">
        <f t="shared" si="1948"/>
        <v>h</v>
      </c>
      <c r="AP1949" t="str">
        <f t="shared" si="1956"/>
        <v/>
      </c>
      <c r="AQ1949" t="str">
        <f t="shared" si="1957"/>
        <v/>
      </c>
      <c r="AR1949" t="str">
        <f t="shared" si="1958"/>
        <v>Home</v>
      </c>
      <c r="AS1949" t="str">
        <f t="shared" si="1959"/>
        <v>h</v>
      </c>
      <c r="AT1949" t="str">
        <f t="shared" si="1960"/>
        <v>Defensive</v>
      </c>
      <c r="BA1949" s="6">
        <f t="shared" si="1949"/>
        <v>449</v>
      </c>
      <c r="BB1949">
        <f t="shared" si="1950"/>
        <v>18981</v>
      </c>
      <c r="BC1949" t="str">
        <f t="shared" si="1951"/>
        <v>Nelson</v>
      </c>
      <c r="BD1949" t="str">
        <f t="shared" si="1952"/>
        <v>Velodrome</v>
      </c>
      <c r="BE1949" t="s">
        <v>230</v>
      </c>
      <c r="BF1949" t="s">
        <v>389</v>
      </c>
      <c r="BG1949" t="s">
        <v>432</v>
      </c>
      <c r="BI1949" cm="1">
        <f t="array" aca="1" ref="BI1949" ca="1">IFERROR(_xlfn._xlws.FILTER(shifts!A:A,(shifts!B:B=events!AD1949)*(shifts!AG:AG&gt;=events!BK1949)*(shifts!AH:AH&lt;=events!BL1949)),BI1948)</f>
        <v>84</v>
      </c>
      <c r="BJ1949" s="15">
        <f t="shared" si="1953"/>
        <v>0</v>
      </c>
      <c r="BK1949">
        <f t="shared" si="1961"/>
        <v>729</v>
      </c>
      <c r="BL1949">
        <f t="shared" si="1962"/>
        <v>729</v>
      </c>
      <c r="BM1949" s="15">
        <f>SUMIFS(BJ$2:BJ1949,K$2:K1949,"=Intermission")+SUMIFS(BJ$2:BJ1949,K$2:K1949,"=Timeout")</f>
        <v>142</v>
      </c>
      <c r="BN1949">
        <f t="shared" si="1963"/>
        <v>2302</v>
      </c>
      <c r="BO1949" s="19">
        <f t="shared" si="1964"/>
        <v>2653</v>
      </c>
      <c r="BP1949">
        <f t="shared" si="1965"/>
        <v>2648</v>
      </c>
      <c r="BQ1949" s="17">
        <f t="shared" si="1966"/>
        <v>2653</v>
      </c>
      <c r="BR1949" t="str">
        <f t="shared" si="1967"/>
        <v>event_team_player_1</v>
      </c>
      <c r="BS1949">
        <f>COUNTIFS(S$3:S1949,"="&amp;S1949,AI$3:AI1949,"="&amp;AI1949)</f>
        <v>1</v>
      </c>
      <c r="BT1949" t="str">
        <f>IFERROR(VLOOKUP(BB1949&amp;BU1949&amp;X1949,game_rosters!U:W,3,FALSE),"")</f>
        <v>P100197</v>
      </c>
      <c r="BU1949" t="str">
        <f t="shared" si="1968"/>
        <v>Nelson</v>
      </c>
    </row>
    <row r="1950" spans="1:73" x14ac:dyDescent="0.2">
      <c r="A1950">
        <f t="shared" si="1954"/>
        <v>1</v>
      </c>
      <c r="J1950" s="44" t="str">
        <f t="shared" si="1969"/>
        <v/>
      </c>
      <c r="K1950" t="s">
        <v>230</v>
      </c>
      <c r="L1950" t="s">
        <v>389</v>
      </c>
      <c r="M1950" t="s">
        <v>432</v>
      </c>
      <c r="S1950">
        <v>1028</v>
      </c>
      <c r="W1950" t="str">
        <f t="shared" si="1945"/>
        <v>h</v>
      </c>
      <c r="X1950">
        <v>49</v>
      </c>
      <c r="Y1950" t="e">
        <f>IF(X1950&lt;&gt;"",VLOOKUP(X1950,game_rosters!$C$43:$E$64,3,FALSE))</f>
        <v>#N/A</v>
      </c>
      <c r="Z1950" t="str" cm="1">
        <f t="array" ref="Z1950">IFERROR(IF(_xlfn._xlws.FILTER(game_rosters!$J:$J,(game_rosters!$G:$G=events!$AN1950)*(game_rosters!$J:$J=events!$X1950))&gt;0,1,""),"")</f>
        <v/>
      </c>
      <c r="AA1950">
        <f t="shared" si="1993"/>
        <v>2028</v>
      </c>
      <c r="AB1950" t="str">
        <f t="shared" si="1994"/>
        <v/>
      </c>
      <c r="AC1950">
        <f t="shared" si="1942"/>
        <v>2028</v>
      </c>
      <c r="AD1950" s="6">
        <v>3</v>
      </c>
      <c r="AE1950" t="s">
        <v>746</v>
      </c>
      <c r="AF1950" t="s">
        <v>920</v>
      </c>
      <c r="AG1950" t="s">
        <v>756</v>
      </c>
      <c r="AH1950" t="s">
        <v>756</v>
      </c>
      <c r="AI1950" t="s">
        <v>368</v>
      </c>
      <c r="AJ1950" t="str">
        <f t="shared" ref="AJ1950:AK1950" si="1996">IF($J1950&lt;&gt;"",$J1950,IF($AC1950=$AC1949,AJ1949,""))</f>
        <v/>
      </c>
      <c r="AK1950" t="str">
        <f t="shared" si="1996"/>
        <v/>
      </c>
      <c r="AL1950" t="str">
        <f t="shared" si="1947"/>
        <v/>
      </c>
      <c r="AN1950" t="s">
        <v>861</v>
      </c>
      <c r="AO1950" t="str">
        <f t="shared" si="1948"/>
        <v>h</v>
      </c>
      <c r="AP1950" t="str">
        <f t="shared" si="1956"/>
        <v/>
      </c>
      <c r="AQ1950" t="str">
        <f t="shared" si="1957"/>
        <v/>
      </c>
      <c r="AR1950" t="str">
        <f t="shared" si="1958"/>
        <v>Home</v>
      </c>
      <c r="AS1950" t="str">
        <f t="shared" si="1959"/>
        <v>h</v>
      </c>
      <c r="AT1950" t="str">
        <f t="shared" si="1960"/>
        <v>Offensive</v>
      </c>
      <c r="BA1950" s="6">
        <f t="shared" si="1949"/>
        <v>449</v>
      </c>
      <c r="BB1950">
        <f t="shared" si="1950"/>
        <v>18981</v>
      </c>
      <c r="BC1950" t="str">
        <f t="shared" si="1951"/>
        <v>Nelson</v>
      </c>
      <c r="BD1950" t="str">
        <f t="shared" si="1952"/>
        <v>Velodrome</v>
      </c>
      <c r="BE1950" t="s">
        <v>230</v>
      </c>
      <c r="BF1950" t="s">
        <v>389</v>
      </c>
      <c r="BG1950" t="s">
        <v>432</v>
      </c>
      <c r="BI1950" cm="1">
        <f t="array" aca="1" ref="BI1950" ca="1">IFERROR(_xlfn._xlws.FILTER(shifts!A:A,(shifts!B:B=events!AD1950)*(shifts!AG:AG&gt;=events!BK1950)*(shifts!AH:AH&lt;=events!BL1950)),BI1949)</f>
        <v>84</v>
      </c>
      <c r="BJ1950" s="15">
        <f t="shared" si="1953"/>
        <v>0</v>
      </c>
      <c r="BK1950">
        <f t="shared" si="1961"/>
        <v>729</v>
      </c>
      <c r="BL1950">
        <f t="shared" si="1962"/>
        <v>729</v>
      </c>
      <c r="BM1950" s="15">
        <f>SUMIFS(BJ$2:BJ1950,K$2:K1950,"=Intermission")+SUMIFS(BJ$2:BJ1950,K$2:K1950,"=Timeout")</f>
        <v>142</v>
      </c>
      <c r="BN1950">
        <f t="shared" si="1963"/>
        <v>2302</v>
      </c>
      <c r="BO1950" s="19">
        <f t="shared" si="1964"/>
        <v>2653</v>
      </c>
      <c r="BP1950">
        <f t="shared" si="1965"/>
        <v>2648</v>
      </c>
      <c r="BQ1950" s="17">
        <f t="shared" si="1966"/>
        <v>2653</v>
      </c>
      <c r="BR1950" t="str">
        <f t="shared" si="1967"/>
        <v>opp_team_player_1</v>
      </c>
      <c r="BS1950">
        <f>COUNTIFS(S$3:S1950,"="&amp;S1950,AI$3:AI1950,"="&amp;AI1950)</f>
        <v>1</v>
      </c>
      <c r="BT1950" t="str">
        <f>IFERROR(VLOOKUP(BB1950&amp;BU1950&amp;X1950,game_rosters!U:W,3,FALSE),"")</f>
        <v>P100161</v>
      </c>
      <c r="BU1950" t="str">
        <f t="shared" si="1968"/>
        <v>Velodrome</v>
      </c>
    </row>
    <row r="1951" spans="1:73" x14ac:dyDescent="0.2">
      <c r="A1951">
        <f t="shared" si="1954"/>
        <v>1</v>
      </c>
      <c r="J1951" s="44" t="str">
        <f t="shared" si="1969"/>
        <v/>
      </c>
      <c r="K1951" t="s">
        <v>7</v>
      </c>
      <c r="L1951" t="s">
        <v>182</v>
      </c>
      <c r="M1951" t="s">
        <v>66</v>
      </c>
      <c r="S1951">
        <v>1029</v>
      </c>
      <c r="W1951" t="str">
        <f t="shared" si="1945"/>
        <v>a</v>
      </c>
      <c r="X1951">
        <v>49</v>
      </c>
      <c r="Y1951" t="e">
        <f>IF(X1951&lt;&gt;"",VLOOKUP(X1951,game_rosters!$C$43:$E$64,3,FALSE))</f>
        <v>#N/A</v>
      </c>
      <c r="Z1951" cm="1">
        <f t="array" ref="Z1951">IFERROR(IF(_xlfn._xlws.FILTER(game_rosters!$J:$J,(game_rosters!$G:$G=events!$AN1951)*(game_rosters!$J:$J=events!$X1951))&gt;0,1,""),"")</f>
        <v>1</v>
      </c>
      <c r="AA1951">
        <f t="shared" si="1993"/>
        <v>2029</v>
      </c>
      <c r="AB1951" t="str">
        <f t="shared" si="1994"/>
        <v/>
      </c>
      <c r="AC1951">
        <f t="shared" si="1942"/>
        <v>2029</v>
      </c>
      <c r="AD1951" s="6">
        <v>3</v>
      </c>
      <c r="AE1951" t="s">
        <v>746</v>
      </c>
      <c r="AF1951" t="s">
        <v>747</v>
      </c>
      <c r="AG1951" t="s">
        <v>756</v>
      </c>
      <c r="AH1951" t="s">
        <v>756</v>
      </c>
      <c r="AI1951" t="s">
        <v>367</v>
      </c>
      <c r="AJ1951" t="str">
        <f t="shared" ref="AJ1951:AK1951" si="1997">IF($J1951&lt;&gt;"",$J1951,IF($AC1951=$AC1950,AJ1950,""))</f>
        <v/>
      </c>
      <c r="AK1951" t="str">
        <f t="shared" si="1997"/>
        <v/>
      </c>
      <c r="AL1951" t="str">
        <f t="shared" si="1947"/>
        <v/>
      </c>
      <c r="AN1951" t="s">
        <v>862</v>
      </c>
      <c r="AO1951" t="str">
        <f t="shared" si="1948"/>
        <v>a</v>
      </c>
      <c r="AP1951" t="str">
        <f t="shared" si="1956"/>
        <v/>
      </c>
      <c r="AQ1951" t="str">
        <f t="shared" si="1957"/>
        <v/>
      </c>
      <c r="AR1951" t="str">
        <f t="shared" si="1958"/>
        <v>Away</v>
      </c>
      <c r="AS1951" t="str">
        <f t="shared" si="1959"/>
        <v>a</v>
      </c>
      <c r="AT1951" t="str">
        <f t="shared" si="1960"/>
        <v>Offensive</v>
      </c>
      <c r="BA1951" s="6">
        <f t="shared" si="1949"/>
        <v>449</v>
      </c>
      <c r="BB1951">
        <f t="shared" si="1950"/>
        <v>18981</v>
      </c>
      <c r="BC1951" t="str">
        <f t="shared" si="1951"/>
        <v>Nelson</v>
      </c>
      <c r="BD1951" t="str">
        <f t="shared" si="1952"/>
        <v>Velodrome</v>
      </c>
      <c r="BE1951" t="s">
        <v>7</v>
      </c>
      <c r="BF1951" t="s">
        <v>182</v>
      </c>
      <c r="BG1951" t="s">
        <v>66</v>
      </c>
      <c r="BI1951" cm="1">
        <f t="array" aca="1" ref="BI1951" ca="1">IFERROR(_xlfn._xlws.FILTER(shifts!A:A,(shifts!B:B=events!AD1951)*(shifts!AG:AG&gt;=events!BK1951)*(shifts!AH:AH&lt;=events!BL1951)),BI1950)</f>
        <v>84</v>
      </c>
      <c r="BJ1951" s="15">
        <f t="shared" si="1953"/>
        <v>0</v>
      </c>
      <c r="BK1951">
        <f t="shared" si="1961"/>
        <v>727</v>
      </c>
      <c r="BL1951">
        <f t="shared" si="1962"/>
        <v>727</v>
      </c>
      <c r="BM1951" s="15">
        <f>SUMIFS(BJ$2:BJ1951,K$2:K1951,"=Intermission")+SUMIFS(BJ$2:BJ1951,K$2:K1951,"=Timeout")</f>
        <v>142</v>
      </c>
      <c r="BN1951">
        <f t="shared" si="1963"/>
        <v>2302</v>
      </c>
      <c r="BO1951" s="19">
        <f t="shared" si="1964"/>
        <v>2655</v>
      </c>
      <c r="BP1951">
        <f t="shared" si="1965"/>
        <v>2650</v>
      </c>
      <c r="BQ1951" s="17">
        <f t="shared" si="1966"/>
        <v>2655</v>
      </c>
      <c r="BR1951" t="str">
        <f t="shared" si="1967"/>
        <v>event_team_player_1</v>
      </c>
      <c r="BS1951">
        <f>COUNTIFS(S$3:S1951,"="&amp;S1951,AI$3:AI1951,"="&amp;AI1951)</f>
        <v>1</v>
      </c>
      <c r="BT1951" t="str">
        <f>IFERROR(VLOOKUP(BB1951&amp;BU1951&amp;X1951,game_rosters!U:W,3,FALSE),"")</f>
        <v>P100161</v>
      </c>
      <c r="BU1951" t="str">
        <f t="shared" si="1968"/>
        <v>Velodrome</v>
      </c>
    </row>
    <row r="1952" spans="1:73" x14ac:dyDescent="0.2">
      <c r="A1952">
        <f t="shared" si="1954"/>
        <v>1</v>
      </c>
      <c r="J1952" s="44" t="str">
        <f t="shared" si="1969"/>
        <v/>
      </c>
      <c r="K1952" t="s">
        <v>7</v>
      </c>
      <c r="L1952" t="s">
        <v>182</v>
      </c>
      <c r="M1952" t="s">
        <v>66</v>
      </c>
      <c r="S1952">
        <v>1029</v>
      </c>
      <c r="W1952" t="str">
        <f t="shared" si="1945"/>
        <v>a</v>
      </c>
      <c r="X1952">
        <v>14</v>
      </c>
      <c r="Y1952" t="e">
        <f>IF(X1952&lt;&gt;"",VLOOKUP(X1952,game_rosters!$C$43:$E$64,3,FALSE))</f>
        <v>#N/A</v>
      </c>
      <c r="Z1952" cm="1">
        <f t="array" ref="Z1952">IFERROR(IF(_xlfn._xlws.FILTER(game_rosters!$J:$J,(game_rosters!$G:$G=events!$AN1952)*(game_rosters!$J:$J=events!$X1952))&gt;0,1,""),"")</f>
        <v>1</v>
      </c>
      <c r="AA1952">
        <f t="shared" si="1993"/>
        <v>2029</v>
      </c>
      <c r="AB1952" t="str">
        <f t="shared" si="1994"/>
        <v/>
      </c>
      <c r="AC1952">
        <f t="shared" si="1942"/>
        <v>2029</v>
      </c>
      <c r="AD1952" s="6">
        <v>3</v>
      </c>
      <c r="AE1952" t="s">
        <v>746</v>
      </c>
      <c r="AF1952" t="s">
        <v>747</v>
      </c>
      <c r="AG1952" t="s">
        <v>756</v>
      </c>
      <c r="AH1952" t="s">
        <v>756</v>
      </c>
      <c r="AI1952" t="s">
        <v>367</v>
      </c>
      <c r="AJ1952" t="str">
        <f t="shared" ref="AJ1952:AK1952" si="1998">IF($J1952&lt;&gt;"",$J1952,IF($AC1952=$AC1951,AJ1951,""))</f>
        <v/>
      </c>
      <c r="AK1952" t="str">
        <f t="shared" si="1998"/>
        <v/>
      </c>
      <c r="AL1952" t="str">
        <f t="shared" si="1947"/>
        <v/>
      </c>
      <c r="AN1952" t="s">
        <v>862</v>
      </c>
      <c r="AO1952" t="str">
        <f t="shared" si="1948"/>
        <v>a</v>
      </c>
      <c r="AP1952" t="str">
        <f t="shared" si="1956"/>
        <v/>
      </c>
      <c r="AQ1952" t="str">
        <f t="shared" si="1957"/>
        <v/>
      </c>
      <c r="AR1952" t="str">
        <f t="shared" si="1958"/>
        <v>Away</v>
      </c>
      <c r="AS1952" t="str">
        <f t="shared" si="1959"/>
        <v>a</v>
      </c>
      <c r="AT1952" t="str">
        <f t="shared" si="1960"/>
        <v>Offensive</v>
      </c>
      <c r="BA1952" s="6">
        <f t="shared" si="1949"/>
        <v>449</v>
      </c>
      <c r="BB1952">
        <f t="shared" si="1950"/>
        <v>18981</v>
      </c>
      <c r="BC1952" t="str">
        <f t="shared" si="1951"/>
        <v>Nelson</v>
      </c>
      <c r="BD1952" t="str">
        <f t="shared" si="1952"/>
        <v>Velodrome</v>
      </c>
      <c r="BE1952" t="s">
        <v>7</v>
      </c>
      <c r="BF1952" t="s">
        <v>182</v>
      </c>
      <c r="BG1952" t="s">
        <v>66</v>
      </c>
      <c r="BI1952" cm="1">
        <f t="array" aca="1" ref="BI1952" ca="1">IFERROR(_xlfn._xlws.FILTER(shifts!A:A,(shifts!B:B=events!AD1952)*(shifts!AG:AG&gt;=events!BK1952)*(shifts!AH:AH&lt;=events!BL1952)),BI1951)</f>
        <v>84</v>
      </c>
      <c r="BJ1952" s="15">
        <f t="shared" si="1953"/>
        <v>0</v>
      </c>
      <c r="BK1952">
        <f t="shared" si="1961"/>
        <v>727</v>
      </c>
      <c r="BL1952">
        <f t="shared" si="1962"/>
        <v>727</v>
      </c>
      <c r="BM1952" s="15">
        <f>SUMIFS(BJ$2:BJ1952,K$2:K1952,"=Intermission")+SUMIFS(BJ$2:BJ1952,K$2:K1952,"=Timeout")</f>
        <v>142</v>
      </c>
      <c r="BN1952">
        <f t="shared" si="1963"/>
        <v>2302</v>
      </c>
      <c r="BO1952" s="19">
        <f t="shared" si="1964"/>
        <v>2655</v>
      </c>
      <c r="BP1952">
        <f t="shared" si="1965"/>
        <v>2650</v>
      </c>
      <c r="BQ1952" s="17">
        <f t="shared" si="1966"/>
        <v>2655</v>
      </c>
      <c r="BR1952" t="str">
        <f t="shared" si="1967"/>
        <v>event_team_player_2</v>
      </c>
      <c r="BS1952">
        <f>COUNTIFS(S$3:S1952,"="&amp;S1952,AI$3:AI1952,"="&amp;AI1952)</f>
        <v>2</v>
      </c>
      <c r="BT1952" t="str">
        <f>IFERROR(VLOOKUP(BB1952&amp;BU1952&amp;X1952,game_rosters!U:W,3,FALSE),"")</f>
        <v>P100132</v>
      </c>
      <c r="BU1952" t="str">
        <f t="shared" si="1968"/>
        <v>Velodrome</v>
      </c>
    </row>
    <row r="1953" spans="1:73" x14ac:dyDescent="0.2">
      <c r="A1953">
        <f t="shared" si="1954"/>
        <v>1</v>
      </c>
      <c r="J1953" s="44" t="str">
        <f t="shared" si="1969"/>
        <v/>
      </c>
      <c r="K1953" t="s">
        <v>7</v>
      </c>
      <c r="L1953" t="s">
        <v>182</v>
      </c>
      <c r="M1953" t="s">
        <v>66</v>
      </c>
      <c r="S1953">
        <v>1029</v>
      </c>
      <c r="W1953" t="str">
        <f t="shared" si="1945"/>
        <v>a</v>
      </c>
      <c r="X1953">
        <v>80</v>
      </c>
      <c r="Y1953" t="b">
        <f>IF(X1953&lt;&gt;"",VLOOKUP(X1953,game_rosters!$C$43:$E$64,3,FALSE))</f>
        <v>0</v>
      </c>
      <c r="Z1953" t="str" cm="1">
        <f t="array" ref="Z1953">IFERROR(IF(_xlfn._xlws.FILTER(game_rosters!$J:$J,(game_rosters!$G:$G=events!$AN1953)*(game_rosters!$J:$J=events!$X1953))&gt;0,1,""),"")</f>
        <v/>
      </c>
      <c r="AA1953">
        <f t="shared" si="1993"/>
        <v>2029</v>
      </c>
      <c r="AB1953" t="str">
        <f t="shared" si="1994"/>
        <v/>
      </c>
      <c r="AC1953">
        <f t="shared" si="1942"/>
        <v>2029</v>
      </c>
      <c r="AD1953" s="6">
        <v>3</v>
      </c>
      <c r="AE1953" t="s">
        <v>746</v>
      </c>
      <c r="AF1953" t="s">
        <v>747</v>
      </c>
      <c r="AG1953" t="s">
        <v>756</v>
      </c>
      <c r="AH1953" t="s">
        <v>756</v>
      </c>
      <c r="AI1953" t="s">
        <v>368</v>
      </c>
      <c r="AJ1953" t="str">
        <f t="shared" ref="AJ1953:AK1953" si="1999">IF($J1953&lt;&gt;"",$J1953,IF($AC1953=$AC1952,AJ1952,""))</f>
        <v/>
      </c>
      <c r="AK1953" t="str">
        <f t="shared" si="1999"/>
        <v/>
      </c>
      <c r="AL1953" t="str">
        <f t="shared" si="1947"/>
        <v/>
      </c>
      <c r="AN1953" t="s">
        <v>862</v>
      </c>
      <c r="AO1953" t="str">
        <f t="shared" si="1948"/>
        <v>a</v>
      </c>
      <c r="AP1953" t="str">
        <f t="shared" si="1956"/>
        <v/>
      </c>
      <c r="AQ1953" t="str">
        <f t="shared" si="1957"/>
        <v/>
      </c>
      <c r="AR1953" t="str">
        <f t="shared" si="1958"/>
        <v>Away</v>
      </c>
      <c r="AS1953" t="str">
        <f t="shared" si="1959"/>
        <v>a</v>
      </c>
      <c r="AT1953" t="str">
        <f t="shared" si="1960"/>
        <v>Defensive</v>
      </c>
      <c r="BA1953" s="6">
        <f t="shared" si="1949"/>
        <v>449</v>
      </c>
      <c r="BB1953">
        <f t="shared" si="1950"/>
        <v>18981</v>
      </c>
      <c r="BC1953" t="str">
        <f t="shared" si="1951"/>
        <v>Nelson</v>
      </c>
      <c r="BD1953" t="str">
        <f t="shared" si="1952"/>
        <v>Velodrome</v>
      </c>
      <c r="BE1953" t="s">
        <v>7</v>
      </c>
      <c r="BF1953" t="s">
        <v>182</v>
      </c>
      <c r="BG1953" t="s">
        <v>66</v>
      </c>
      <c r="BI1953" cm="1">
        <f t="array" aca="1" ref="BI1953" ca="1">IFERROR(_xlfn._xlws.FILTER(shifts!A:A,(shifts!B:B=events!AD1953)*(shifts!AG:AG&gt;=events!BK1953)*(shifts!AH:AH&lt;=events!BL1953)),BI1952)</f>
        <v>84</v>
      </c>
      <c r="BJ1953" s="15">
        <f t="shared" si="1953"/>
        <v>0</v>
      </c>
      <c r="BK1953">
        <f t="shared" si="1961"/>
        <v>727</v>
      </c>
      <c r="BL1953">
        <f t="shared" si="1962"/>
        <v>727</v>
      </c>
      <c r="BM1953" s="15">
        <f>SUMIFS(BJ$2:BJ1953,K$2:K1953,"=Intermission")+SUMIFS(BJ$2:BJ1953,K$2:K1953,"=Timeout")</f>
        <v>142</v>
      </c>
      <c r="BN1953">
        <f t="shared" si="1963"/>
        <v>2302</v>
      </c>
      <c r="BO1953" s="19">
        <f t="shared" si="1964"/>
        <v>2655</v>
      </c>
      <c r="BP1953">
        <f t="shared" si="1965"/>
        <v>2650</v>
      </c>
      <c r="BQ1953" s="17">
        <f t="shared" si="1966"/>
        <v>2655</v>
      </c>
      <c r="BR1953" t="str">
        <f t="shared" si="1967"/>
        <v>opp_team_player_1</v>
      </c>
      <c r="BS1953">
        <f>COUNTIFS(S$3:S1953,"="&amp;S1953,AI$3:AI1953,"="&amp;AI1953)</f>
        <v>1</v>
      </c>
      <c r="BT1953" t="str">
        <f>IFERROR(VLOOKUP(BB1953&amp;BU1953&amp;X1953,game_rosters!U:W,3,FALSE),"")</f>
        <v>P100197</v>
      </c>
      <c r="BU1953" t="str">
        <f t="shared" si="1968"/>
        <v>Nelson</v>
      </c>
    </row>
    <row r="1954" spans="1:73" x14ac:dyDescent="0.2">
      <c r="A1954">
        <f t="shared" si="1954"/>
        <v>1</v>
      </c>
      <c r="J1954" s="44" t="str">
        <f t="shared" si="1969"/>
        <v/>
      </c>
      <c r="K1954" t="s">
        <v>7</v>
      </c>
      <c r="L1954" t="s">
        <v>172</v>
      </c>
      <c r="M1954" t="s">
        <v>66</v>
      </c>
      <c r="S1954">
        <v>1030</v>
      </c>
      <c r="W1954" t="str">
        <f t="shared" si="1945"/>
        <v>a</v>
      </c>
      <c r="X1954">
        <v>14</v>
      </c>
      <c r="Y1954" t="e">
        <f>IF(X1954&lt;&gt;"",VLOOKUP(X1954,game_rosters!$C$43:$E$64,3,FALSE))</f>
        <v>#N/A</v>
      </c>
      <c r="Z1954" cm="1">
        <f t="array" ref="Z1954">IFERROR(IF(_xlfn._xlws.FILTER(game_rosters!$J:$J,(game_rosters!$G:$G=events!$AN1954)*(game_rosters!$J:$J=events!$X1954))&gt;0,1,""),"")</f>
        <v>1</v>
      </c>
      <c r="AA1954">
        <f t="shared" si="1993"/>
        <v>2030</v>
      </c>
      <c r="AB1954" t="str">
        <f t="shared" si="1994"/>
        <v/>
      </c>
      <c r="AC1954">
        <f t="shared" si="1942"/>
        <v>2030</v>
      </c>
      <c r="AD1954" s="6">
        <v>3</v>
      </c>
      <c r="AE1954" t="s">
        <v>754</v>
      </c>
      <c r="AF1954" t="s">
        <v>932</v>
      </c>
      <c r="AG1954" t="s">
        <v>756</v>
      </c>
      <c r="AH1954" t="s">
        <v>756</v>
      </c>
      <c r="AI1954" t="s">
        <v>367</v>
      </c>
      <c r="AJ1954" t="str">
        <f t="shared" ref="AJ1954:AK1954" si="2000">IF($J1954&lt;&gt;"",$J1954,IF($AC1954=$AC1953,AJ1953,""))</f>
        <v/>
      </c>
      <c r="AK1954" t="str">
        <f t="shared" si="2000"/>
        <v/>
      </c>
      <c r="AL1954" t="str">
        <f t="shared" si="1947"/>
        <v/>
      </c>
      <c r="AN1954" t="s">
        <v>862</v>
      </c>
      <c r="AO1954" t="str">
        <f t="shared" si="1948"/>
        <v>a</v>
      </c>
      <c r="AP1954" t="str">
        <f t="shared" si="1956"/>
        <v/>
      </c>
      <c r="AQ1954" t="str">
        <f t="shared" si="1957"/>
        <v/>
      </c>
      <c r="AR1954" t="str">
        <f t="shared" si="1958"/>
        <v>Away</v>
      </c>
      <c r="AS1954" t="str">
        <f t="shared" si="1959"/>
        <v>a</v>
      </c>
      <c r="AT1954" t="str">
        <f t="shared" si="1960"/>
        <v>Offensive</v>
      </c>
      <c r="BA1954" s="6">
        <f t="shared" si="1949"/>
        <v>449</v>
      </c>
      <c r="BB1954">
        <f t="shared" si="1950"/>
        <v>18981</v>
      </c>
      <c r="BC1954" t="str">
        <f t="shared" si="1951"/>
        <v>Nelson</v>
      </c>
      <c r="BD1954" t="str">
        <f t="shared" si="1952"/>
        <v>Velodrome</v>
      </c>
      <c r="BE1954" t="s">
        <v>7</v>
      </c>
      <c r="BF1954" t="s">
        <v>172</v>
      </c>
      <c r="BG1954" t="s">
        <v>66</v>
      </c>
      <c r="BI1954" cm="1">
        <f t="array" aca="1" ref="BI1954" ca="1">IFERROR(_xlfn._xlws.FILTER(shifts!A:A,(shifts!B:B=events!AD1954)*(shifts!AG:AG&gt;=events!BK1954)*(shifts!AH:AH&lt;=events!BL1954)),BI1953)</f>
        <v>84</v>
      </c>
      <c r="BJ1954" s="15">
        <f t="shared" si="1953"/>
        <v>0</v>
      </c>
      <c r="BK1954">
        <f t="shared" si="1961"/>
        <v>718</v>
      </c>
      <c r="BL1954">
        <f t="shared" si="1962"/>
        <v>718</v>
      </c>
      <c r="BM1954" s="15">
        <f>SUMIFS(BJ$2:BJ1954,K$2:K1954,"=Intermission")+SUMIFS(BJ$2:BJ1954,K$2:K1954,"=Timeout")</f>
        <v>142</v>
      </c>
      <c r="BN1954">
        <f t="shared" si="1963"/>
        <v>2302</v>
      </c>
      <c r="BO1954" s="19">
        <f t="shared" si="1964"/>
        <v>2664</v>
      </c>
      <c r="BP1954">
        <f t="shared" si="1965"/>
        <v>2659</v>
      </c>
      <c r="BQ1954" s="17">
        <f t="shared" si="1966"/>
        <v>2664</v>
      </c>
      <c r="BR1954" t="str">
        <f t="shared" si="1967"/>
        <v>event_team_player_1</v>
      </c>
      <c r="BS1954">
        <f>COUNTIFS(S$3:S1954,"="&amp;S1954,AI$3:AI1954,"="&amp;AI1954)</f>
        <v>1</v>
      </c>
      <c r="BT1954" t="str">
        <f>IFERROR(VLOOKUP(BB1954&amp;BU1954&amp;X1954,game_rosters!U:W,3,FALSE),"")</f>
        <v>P100132</v>
      </c>
      <c r="BU1954" t="str">
        <f t="shared" si="1968"/>
        <v>Velodrome</v>
      </c>
    </row>
    <row r="1955" spans="1:73" x14ac:dyDescent="0.2">
      <c r="A1955">
        <f t="shared" si="1954"/>
        <v>1</v>
      </c>
      <c r="J1955" s="44" t="str">
        <f t="shared" si="1969"/>
        <v/>
      </c>
      <c r="K1955" t="s">
        <v>7</v>
      </c>
      <c r="L1955" t="s">
        <v>172</v>
      </c>
      <c r="M1955" t="s">
        <v>66</v>
      </c>
      <c r="S1955">
        <v>1030</v>
      </c>
      <c r="W1955" t="str">
        <f t="shared" si="1945"/>
        <v>a</v>
      </c>
      <c r="X1955">
        <v>49</v>
      </c>
      <c r="Y1955" t="e">
        <f>IF(X1955&lt;&gt;"",VLOOKUP(X1955,game_rosters!$C$43:$E$64,3,FALSE))</f>
        <v>#N/A</v>
      </c>
      <c r="Z1955" cm="1">
        <f t="array" ref="Z1955">IFERROR(IF(_xlfn._xlws.FILTER(game_rosters!$J:$J,(game_rosters!$G:$G=events!$AN1955)*(game_rosters!$J:$J=events!$X1955))&gt;0,1,""),"")</f>
        <v>1</v>
      </c>
      <c r="AA1955">
        <f t="shared" si="1993"/>
        <v>2030</v>
      </c>
      <c r="AB1955" t="str">
        <f t="shared" si="1994"/>
        <v/>
      </c>
      <c r="AC1955">
        <f t="shared" si="1942"/>
        <v>2030</v>
      </c>
      <c r="AD1955" s="6">
        <v>3</v>
      </c>
      <c r="AE1955" t="s">
        <v>754</v>
      </c>
      <c r="AF1955" t="s">
        <v>932</v>
      </c>
      <c r="AG1955" t="s">
        <v>756</v>
      </c>
      <c r="AH1955" t="s">
        <v>756</v>
      </c>
      <c r="AI1955" t="s">
        <v>367</v>
      </c>
      <c r="AJ1955" t="str">
        <f t="shared" ref="AJ1955:AK1955" si="2001">IF($J1955&lt;&gt;"",$J1955,IF($AC1955=$AC1954,AJ1954,""))</f>
        <v/>
      </c>
      <c r="AK1955" t="str">
        <f t="shared" si="2001"/>
        <v/>
      </c>
      <c r="AL1955" t="str">
        <f t="shared" si="1947"/>
        <v/>
      </c>
      <c r="AN1955" t="s">
        <v>862</v>
      </c>
      <c r="AO1955" t="str">
        <f t="shared" si="1948"/>
        <v>a</v>
      </c>
      <c r="AP1955" t="str">
        <f t="shared" si="1956"/>
        <v/>
      </c>
      <c r="AQ1955" t="str">
        <f t="shared" si="1957"/>
        <v/>
      </c>
      <c r="AR1955" t="str">
        <f t="shared" si="1958"/>
        <v>Away</v>
      </c>
      <c r="AS1955" t="str">
        <f t="shared" si="1959"/>
        <v>a</v>
      </c>
      <c r="AT1955" t="str">
        <f t="shared" si="1960"/>
        <v>Offensive</v>
      </c>
      <c r="BA1955" s="6">
        <f t="shared" si="1949"/>
        <v>449</v>
      </c>
      <c r="BB1955">
        <f t="shared" si="1950"/>
        <v>18981</v>
      </c>
      <c r="BC1955" t="str">
        <f t="shared" si="1951"/>
        <v>Nelson</v>
      </c>
      <c r="BD1955" t="str">
        <f t="shared" si="1952"/>
        <v>Velodrome</v>
      </c>
      <c r="BE1955" t="s">
        <v>7</v>
      </c>
      <c r="BF1955" t="s">
        <v>172</v>
      </c>
      <c r="BG1955" t="s">
        <v>66</v>
      </c>
      <c r="BI1955" cm="1">
        <f t="array" aca="1" ref="BI1955" ca="1">IFERROR(_xlfn._xlws.FILTER(shifts!A:A,(shifts!B:B=events!AD1955)*(shifts!AG:AG&gt;=events!BK1955)*(shifts!AH:AH&lt;=events!BL1955)),BI1954)</f>
        <v>84</v>
      </c>
      <c r="BJ1955" s="15">
        <f t="shared" si="1953"/>
        <v>0</v>
      </c>
      <c r="BK1955">
        <f t="shared" si="1961"/>
        <v>718</v>
      </c>
      <c r="BL1955">
        <f t="shared" si="1962"/>
        <v>718</v>
      </c>
      <c r="BM1955" s="15">
        <f>SUMIFS(BJ$2:BJ1955,K$2:K1955,"=Intermission")+SUMIFS(BJ$2:BJ1955,K$2:K1955,"=Timeout")</f>
        <v>142</v>
      </c>
      <c r="BN1955">
        <f t="shared" si="1963"/>
        <v>2302</v>
      </c>
      <c r="BO1955" s="19">
        <f t="shared" si="1964"/>
        <v>2664</v>
      </c>
      <c r="BP1955">
        <f t="shared" si="1965"/>
        <v>2659</v>
      </c>
      <c r="BQ1955" s="17">
        <f t="shared" si="1966"/>
        <v>2664</v>
      </c>
      <c r="BR1955" t="str">
        <f t="shared" si="1967"/>
        <v>event_team_player_2</v>
      </c>
      <c r="BS1955">
        <f>COUNTIFS(S$3:S1955,"="&amp;S1955,AI$3:AI1955,"="&amp;AI1955)</f>
        <v>2</v>
      </c>
      <c r="BT1955" t="str">
        <f>IFERROR(VLOOKUP(BB1955&amp;BU1955&amp;X1955,game_rosters!U:W,3,FALSE),"")</f>
        <v>P100161</v>
      </c>
      <c r="BU1955" t="str">
        <f t="shared" si="1968"/>
        <v>Velodrome</v>
      </c>
    </row>
    <row r="1956" spans="1:73" x14ac:dyDescent="0.2">
      <c r="A1956">
        <f t="shared" si="1954"/>
        <v>1</v>
      </c>
      <c r="J1956" s="44" t="str">
        <f t="shared" si="1969"/>
        <v/>
      </c>
      <c r="K1956" t="s">
        <v>7</v>
      </c>
      <c r="L1956" t="s">
        <v>172</v>
      </c>
      <c r="M1956" t="s">
        <v>66</v>
      </c>
      <c r="S1956">
        <v>1030</v>
      </c>
      <c r="W1956" t="str">
        <f t="shared" si="1945"/>
        <v>a</v>
      </c>
      <c r="X1956">
        <v>8</v>
      </c>
      <c r="Y1956" t="b">
        <f>IF(X1956&lt;&gt;"",VLOOKUP(X1956,game_rosters!$C$43:$E$64,3,FALSE))</f>
        <v>0</v>
      </c>
      <c r="Z1956" t="str" cm="1">
        <f t="array" ref="Z1956">IFERROR(IF(_xlfn._xlws.FILTER(game_rosters!$J:$J,(game_rosters!$G:$G=events!$AN1956)*(game_rosters!$J:$J=events!$X1956))&gt;0,1,""),"")</f>
        <v/>
      </c>
      <c r="AA1956">
        <f t="shared" si="1993"/>
        <v>2030</v>
      </c>
      <c r="AB1956" t="str">
        <f t="shared" si="1994"/>
        <v/>
      </c>
      <c r="AC1956">
        <f t="shared" si="1942"/>
        <v>2030</v>
      </c>
      <c r="AD1956" s="6">
        <v>3</v>
      </c>
      <c r="AE1956" t="s">
        <v>754</v>
      </c>
      <c r="AF1956" t="s">
        <v>932</v>
      </c>
      <c r="AG1956" t="s">
        <v>756</v>
      </c>
      <c r="AH1956" t="s">
        <v>756</v>
      </c>
      <c r="AI1956" t="s">
        <v>368</v>
      </c>
      <c r="AJ1956" t="str">
        <f t="shared" ref="AJ1956:AK1956" si="2002">IF($J1956&lt;&gt;"",$J1956,IF($AC1956=$AC1955,AJ1955,""))</f>
        <v/>
      </c>
      <c r="AK1956" t="str">
        <f t="shared" si="2002"/>
        <v/>
      </c>
      <c r="AL1956" t="str">
        <f t="shared" si="1947"/>
        <v/>
      </c>
      <c r="AN1956" t="s">
        <v>862</v>
      </c>
      <c r="AO1956" t="str">
        <f t="shared" si="1948"/>
        <v>a</v>
      </c>
      <c r="AP1956" t="str">
        <f t="shared" si="1956"/>
        <v/>
      </c>
      <c r="AQ1956" t="str">
        <f t="shared" si="1957"/>
        <v/>
      </c>
      <c r="AR1956" t="str">
        <f t="shared" si="1958"/>
        <v>Away</v>
      </c>
      <c r="AS1956" t="str">
        <f t="shared" si="1959"/>
        <v>a</v>
      </c>
      <c r="AT1956" t="str">
        <f t="shared" si="1960"/>
        <v>Defensive</v>
      </c>
      <c r="BA1956" s="6">
        <f t="shared" si="1949"/>
        <v>449</v>
      </c>
      <c r="BB1956">
        <f t="shared" si="1950"/>
        <v>18981</v>
      </c>
      <c r="BC1956" t="str">
        <f t="shared" si="1951"/>
        <v>Nelson</v>
      </c>
      <c r="BD1956" t="str">
        <f t="shared" si="1952"/>
        <v>Velodrome</v>
      </c>
      <c r="BE1956" t="s">
        <v>7</v>
      </c>
      <c r="BF1956" t="s">
        <v>172</v>
      </c>
      <c r="BG1956" t="s">
        <v>66</v>
      </c>
      <c r="BI1956" cm="1">
        <f t="array" aca="1" ref="BI1956" ca="1">IFERROR(_xlfn._xlws.FILTER(shifts!A:A,(shifts!B:B=events!AD1956)*(shifts!AG:AG&gt;=events!BK1956)*(shifts!AH:AH&lt;=events!BL1956)),BI1955)</f>
        <v>84</v>
      </c>
      <c r="BJ1956" s="15">
        <f t="shared" si="1953"/>
        <v>0</v>
      </c>
      <c r="BK1956">
        <f t="shared" si="1961"/>
        <v>718</v>
      </c>
      <c r="BL1956">
        <f t="shared" si="1962"/>
        <v>718</v>
      </c>
      <c r="BM1956" s="15">
        <f>SUMIFS(BJ$2:BJ1956,K$2:K1956,"=Intermission")+SUMIFS(BJ$2:BJ1956,K$2:K1956,"=Timeout")</f>
        <v>142</v>
      </c>
      <c r="BN1956">
        <f t="shared" si="1963"/>
        <v>2302</v>
      </c>
      <c r="BO1956" s="19">
        <f t="shared" si="1964"/>
        <v>2664</v>
      </c>
      <c r="BP1956">
        <f t="shared" si="1965"/>
        <v>2659</v>
      </c>
      <c r="BQ1956" s="17">
        <f t="shared" si="1966"/>
        <v>2664</v>
      </c>
      <c r="BR1956" t="str">
        <f t="shared" si="1967"/>
        <v>opp_team_player_1</v>
      </c>
      <c r="BS1956">
        <f>COUNTIFS(S$3:S1956,"="&amp;S1956,AI$3:AI1956,"="&amp;AI1956)</f>
        <v>1</v>
      </c>
      <c r="BT1956" t="str">
        <f>IFERROR(VLOOKUP(BB1956&amp;BU1956&amp;X1956,game_rosters!U:W,3,FALSE),"")</f>
        <v>P100074</v>
      </c>
      <c r="BU1956" t="str">
        <f t="shared" si="1968"/>
        <v>Nelson</v>
      </c>
    </row>
    <row r="1957" spans="1:73" x14ac:dyDescent="0.2">
      <c r="A1957">
        <f t="shared" si="1954"/>
        <v>1</v>
      </c>
      <c r="J1957" s="44" t="str">
        <f t="shared" si="1969"/>
        <v/>
      </c>
      <c r="K1957" t="s">
        <v>13</v>
      </c>
      <c r="L1957" t="s">
        <v>756</v>
      </c>
      <c r="M1957" t="s">
        <v>756</v>
      </c>
      <c r="S1957">
        <v>1031</v>
      </c>
      <c r="W1957" t="str">
        <f t="shared" si="1945"/>
        <v>a</v>
      </c>
      <c r="X1957">
        <v>49</v>
      </c>
      <c r="Y1957" t="e">
        <f>IF(X1957&lt;&gt;"",VLOOKUP(X1957,game_rosters!$C$43:$E$64,3,FALSE))</f>
        <v>#N/A</v>
      </c>
      <c r="Z1957" cm="1">
        <f t="array" ref="Z1957">IFERROR(IF(_xlfn._xlws.FILTER(game_rosters!$J:$J,(game_rosters!$G:$G=events!$AN1957)*(game_rosters!$J:$J=events!$X1957))&gt;0,1,""),"")</f>
        <v>1</v>
      </c>
      <c r="AA1957">
        <f t="shared" si="1993"/>
        <v>2031</v>
      </c>
      <c r="AB1957" t="str">
        <f t="shared" si="1994"/>
        <v/>
      </c>
      <c r="AC1957">
        <f t="shared" si="1942"/>
        <v>2031</v>
      </c>
      <c r="AD1957" s="6">
        <v>3</v>
      </c>
      <c r="AE1957" t="s">
        <v>754</v>
      </c>
      <c r="AF1957" t="s">
        <v>932</v>
      </c>
      <c r="AG1957" t="s">
        <v>754</v>
      </c>
      <c r="AH1957" t="s">
        <v>733</v>
      </c>
      <c r="AI1957" t="s">
        <v>367</v>
      </c>
      <c r="AJ1957" t="str">
        <f t="shared" ref="AJ1957:AK1957" si="2003">IF($J1957&lt;&gt;"",$J1957,IF($AC1957=$AC1956,AJ1956,""))</f>
        <v/>
      </c>
      <c r="AK1957" t="str">
        <f t="shared" si="2003"/>
        <v/>
      </c>
      <c r="AL1957" t="str">
        <f t="shared" si="1947"/>
        <v/>
      </c>
      <c r="AN1957" t="s">
        <v>862</v>
      </c>
      <c r="AO1957" t="str">
        <f t="shared" si="1948"/>
        <v>a</v>
      </c>
      <c r="AP1957" t="str">
        <f t="shared" si="1956"/>
        <v/>
      </c>
      <c r="AQ1957" t="str">
        <f t="shared" si="1957"/>
        <v/>
      </c>
      <c r="AR1957" t="str">
        <f t="shared" si="1958"/>
        <v>Away</v>
      </c>
      <c r="AS1957" t="str">
        <f t="shared" si="1959"/>
        <v>a</v>
      </c>
      <c r="AT1957" t="str">
        <f t="shared" si="1960"/>
        <v>Offensive</v>
      </c>
      <c r="BA1957" s="6">
        <f t="shared" si="1949"/>
        <v>449</v>
      </c>
      <c r="BB1957">
        <f t="shared" si="1950"/>
        <v>18981</v>
      </c>
      <c r="BC1957" t="str">
        <f t="shared" si="1951"/>
        <v>Nelson</v>
      </c>
      <c r="BD1957" t="str">
        <f t="shared" si="1952"/>
        <v>Velodrome</v>
      </c>
      <c r="BE1957" t="s">
        <v>13</v>
      </c>
      <c r="BF1957" t="s">
        <v>756</v>
      </c>
      <c r="BG1957" t="s">
        <v>756</v>
      </c>
      <c r="BI1957" cm="1">
        <f t="array" aca="1" ref="BI1957" ca="1">IFERROR(_xlfn._xlws.FILTER(shifts!A:A,(shifts!B:B=events!AD1957)*(shifts!AG:AG&gt;=events!BK1957)*(shifts!AH:AH&lt;=events!BL1957)),BI1956)</f>
        <v>84</v>
      </c>
      <c r="BJ1957" s="15">
        <f t="shared" si="1953"/>
        <v>2</v>
      </c>
      <c r="BK1957">
        <f t="shared" si="1961"/>
        <v>718</v>
      </c>
      <c r="BL1957">
        <f t="shared" si="1962"/>
        <v>716</v>
      </c>
      <c r="BM1957" s="15">
        <f>SUMIFS(BJ$2:BJ1957,K$2:K1957,"=Intermission")+SUMIFS(BJ$2:BJ1957,K$2:K1957,"=Timeout")</f>
        <v>142</v>
      </c>
      <c r="BN1957">
        <f t="shared" si="1963"/>
        <v>2302</v>
      </c>
      <c r="BO1957" s="19">
        <f t="shared" si="1964"/>
        <v>2664</v>
      </c>
      <c r="BP1957">
        <f t="shared" si="1965"/>
        <v>2659</v>
      </c>
      <c r="BQ1957" s="17">
        <f t="shared" si="1966"/>
        <v>2666</v>
      </c>
      <c r="BR1957" t="str">
        <f t="shared" si="1967"/>
        <v>event_team_player_1</v>
      </c>
      <c r="BS1957">
        <f>COUNTIFS(S$3:S1957,"="&amp;S1957,AI$3:AI1957,"="&amp;AI1957)</f>
        <v>1</v>
      </c>
      <c r="BT1957" t="str">
        <f>IFERROR(VLOOKUP(BB1957&amp;BU1957&amp;X1957,game_rosters!U:W,3,FALSE),"")</f>
        <v>P100161</v>
      </c>
      <c r="BU1957" t="str">
        <f t="shared" si="1968"/>
        <v>Velodrome</v>
      </c>
    </row>
    <row r="1958" spans="1:73" x14ac:dyDescent="0.2">
      <c r="A1958">
        <f t="shared" si="1954"/>
        <v>1</v>
      </c>
      <c r="J1958" s="44" t="str">
        <f t="shared" si="1969"/>
        <v/>
      </c>
      <c r="K1958" t="s">
        <v>7</v>
      </c>
      <c r="L1958" t="s">
        <v>172</v>
      </c>
      <c r="M1958" t="s">
        <v>68</v>
      </c>
      <c r="S1958">
        <v>1032</v>
      </c>
      <c r="W1958" t="str">
        <f t="shared" si="1945"/>
        <v>a</v>
      </c>
      <c r="X1958">
        <v>49</v>
      </c>
      <c r="Y1958" t="e">
        <f>IF(X1958&lt;&gt;"",VLOOKUP(X1958,game_rosters!$C$43:$E$64,3,FALSE))</f>
        <v>#N/A</v>
      </c>
      <c r="Z1958" cm="1">
        <f t="array" ref="Z1958">IFERROR(IF(_xlfn._xlws.FILTER(game_rosters!$J:$J,(game_rosters!$G:$G=events!$AN1958)*(game_rosters!$J:$J=events!$X1958))&gt;0,1,""),"")</f>
        <v>1</v>
      </c>
      <c r="AA1958">
        <f t="shared" si="1993"/>
        <v>2032</v>
      </c>
      <c r="AB1958" t="str">
        <f t="shared" si="1994"/>
        <v/>
      </c>
      <c r="AC1958">
        <f t="shared" si="1942"/>
        <v>2032</v>
      </c>
      <c r="AD1958" s="6">
        <v>3</v>
      </c>
      <c r="AE1958" t="s">
        <v>754</v>
      </c>
      <c r="AF1958" t="s">
        <v>733</v>
      </c>
      <c r="AG1958" t="s">
        <v>756</v>
      </c>
      <c r="AH1958" t="s">
        <v>756</v>
      </c>
      <c r="AI1958" t="s">
        <v>367</v>
      </c>
      <c r="AJ1958" t="str">
        <f t="shared" ref="AJ1958:AK1958" si="2004">IF($J1958&lt;&gt;"",$J1958,IF($AC1958=$AC1957,AJ1957,""))</f>
        <v/>
      </c>
      <c r="AK1958" t="str">
        <f t="shared" si="2004"/>
        <v/>
      </c>
      <c r="AL1958" t="str">
        <f t="shared" si="1947"/>
        <v/>
      </c>
      <c r="AN1958" t="s">
        <v>862</v>
      </c>
      <c r="AO1958" t="str">
        <f t="shared" si="1948"/>
        <v>a</v>
      </c>
      <c r="AP1958" t="str">
        <f t="shared" si="1956"/>
        <v/>
      </c>
      <c r="AQ1958" t="str">
        <f t="shared" si="1957"/>
        <v/>
      </c>
      <c r="AR1958" t="str">
        <f t="shared" si="1958"/>
        <v>Away</v>
      </c>
      <c r="AS1958" t="str">
        <f t="shared" si="1959"/>
        <v>a</v>
      </c>
      <c r="AT1958" t="str">
        <f t="shared" si="1960"/>
        <v>Offensive</v>
      </c>
      <c r="BA1958" s="6">
        <f t="shared" si="1949"/>
        <v>449</v>
      </c>
      <c r="BB1958">
        <f t="shared" si="1950"/>
        <v>18981</v>
      </c>
      <c r="BC1958" t="str">
        <f t="shared" si="1951"/>
        <v>Nelson</v>
      </c>
      <c r="BD1958" t="str">
        <f t="shared" si="1952"/>
        <v>Velodrome</v>
      </c>
      <c r="BE1958" t="s">
        <v>7</v>
      </c>
      <c r="BF1958" t="s">
        <v>172</v>
      </c>
      <c r="BG1958" t="s">
        <v>68</v>
      </c>
      <c r="BI1958" cm="1">
        <f t="array" aca="1" ref="BI1958" ca="1">IFERROR(_xlfn._xlws.FILTER(shifts!A:A,(shifts!B:B=events!AD1958)*(shifts!AG:AG&gt;=events!BK1958)*(shifts!AH:AH&lt;=events!BL1958)),BI1957)</f>
        <v>84</v>
      </c>
      <c r="BJ1958" s="15">
        <f t="shared" si="1953"/>
        <v>0</v>
      </c>
      <c r="BK1958">
        <f t="shared" si="1961"/>
        <v>716</v>
      </c>
      <c r="BL1958">
        <f t="shared" si="1962"/>
        <v>716</v>
      </c>
      <c r="BM1958" s="15">
        <f>SUMIFS(BJ$2:BJ1958,K$2:K1958,"=Intermission")+SUMIFS(BJ$2:BJ1958,K$2:K1958,"=Timeout")</f>
        <v>142</v>
      </c>
      <c r="BN1958">
        <f t="shared" si="1963"/>
        <v>2302</v>
      </c>
      <c r="BO1958" s="19">
        <f t="shared" si="1964"/>
        <v>2666</v>
      </c>
      <c r="BP1958">
        <f t="shared" si="1965"/>
        <v>2661</v>
      </c>
      <c r="BQ1958" s="17">
        <f t="shared" si="1966"/>
        <v>2666</v>
      </c>
      <c r="BR1958" t="str">
        <f t="shared" si="1967"/>
        <v>event_team_player_1</v>
      </c>
      <c r="BS1958">
        <f>COUNTIFS(S$3:S1958,"="&amp;S1958,AI$3:AI1958,"="&amp;AI1958)</f>
        <v>1</v>
      </c>
      <c r="BT1958" t="str">
        <f>IFERROR(VLOOKUP(BB1958&amp;BU1958&amp;X1958,game_rosters!U:W,3,FALSE),"")</f>
        <v>P100161</v>
      </c>
      <c r="BU1958" t="str">
        <f t="shared" si="1968"/>
        <v>Velodrome</v>
      </c>
    </row>
    <row r="1959" spans="1:73" x14ac:dyDescent="0.2">
      <c r="A1959">
        <f t="shared" si="1954"/>
        <v>1</v>
      </c>
      <c r="J1959" s="44" t="str">
        <f t="shared" si="1969"/>
        <v/>
      </c>
      <c r="K1959" t="s">
        <v>7</v>
      </c>
      <c r="L1959" t="s">
        <v>172</v>
      </c>
      <c r="M1959" t="s">
        <v>68</v>
      </c>
      <c r="S1959">
        <v>1032</v>
      </c>
      <c r="W1959" t="str">
        <f t="shared" si="1945"/>
        <v>a</v>
      </c>
      <c r="X1959">
        <v>61</v>
      </c>
      <c r="Y1959" t="e">
        <f>IF(X1959&lt;&gt;"",VLOOKUP(X1959,game_rosters!$C$43:$E$64,3,FALSE))</f>
        <v>#N/A</v>
      </c>
      <c r="Z1959" cm="1">
        <f t="array" ref="Z1959">IFERROR(IF(_xlfn._xlws.FILTER(game_rosters!$J:$J,(game_rosters!$G:$G=events!$AN1959)*(game_rosters!$J:$J=events!$X1959))&gt;0,1,""),"")</f>
        <v>1</v>
      </c>
      <c r="AA1959">
        <f t="shared" si="1993"/>
        <v>2032</v>
      </c>
      <c r="AB1959" t="str">
        <f t="shared" si="1994"/>
        <v/>
      </c>
      <c r="AC1959">
        <f t="shared" si="1942"/>
        <v>2032</v>
      </c>
      <c r="AD1959" s="6">
        <v>3</v>
      </c>
      <c r="AE1959" t="s">
        <v>754</v>
      </c>
      <c r="AF1959" t="s">
        <v>733</v>
      </c>
      <c r="AG1959" t="s">
        <v>756</v>
      </c>
      <c r="AH1959" t="s">
        <v>756</v>
      </c>
      <c r="AI1959" t="s">
        <v>367</v>
      </c>
      <c r="AJ1959" t="str">
        <f t="shared" ref="AJ1959:AK1959" si="2005">IF($J1959&lt;&gt;"",$J1959,IF($AC1959=$AC1958,AJ1958,""))</f>
        <v/>
      </c>
      <c r="AK1959" t="str">
        <f t="shared" si="2005"/>
        <v/>
      </c>
      <c r="AL1959" t="str">
        <f t="shared" si="1947"/>
        <v/>
      </c>
      <c r="AN1959" t="s">
        <v>862</v>
      </c>
      <c r="AO1959" t="str">
        <f t="shared" si="1948"/>
        <v>a</v>
      </c>
      <c r="AP1959" t="str">
        <f t="shared" si="1956"/>
        <v/>
      </c>
      <c r="AQ1959" t="str">
        <f t="shared" si="1957"/>
        <v/>
      </c>
      <c r="AR1959" t="str">
        <f t="shared" si="1958"/>
        <v>Away</v>
      </c>
      <c r="AS1959" t="str">
        <f t="shared" si="1959"/>
        <v>a</v>
      </c>
      <c r="AT1959" t="str">
        <f t="shared" si="1960"/>
        <v>Offensive</v>
      </c>
      <c r="BA1959" s="6">
        <f t="shared" si="1949"/>
        <v>449</v>
      </c>
      <c r="BB1959">
        <f t="shared" si="1950"/>
        <v>18981</v>
      </c>
      <c r="BC1959" t="str">
        <f t="shared" si="1951"/>
        <v>Nelson</v>
      </c>
      <c r="BD1959" t="str">
        <f t="shared" si="1952"/>
        <v>Velodrome</v>
      </c>
      <c r="BE1959" t="s">
        <v>7</v>
      </c>
      <c r="BF1959" t="s">
        <v>172</v>
      </c>
      <c r="BG1959" t="s">
        <v>68</v>
      </c>
      <c r="BI1959" cm="1">
        <f t="array" aca="1" ref="BI1959" ca="1">IFERROR(_xlfn._xlws.FILTER(shifts!A:A,(shifts!B:B=events!AD1959)*(shifts!AG:AG&gt;=events!BK1959)*(shifts!AH:AH&lt;=events!BL1959)),BI1958)</f>
        <v>84</v>
      </c>
      <c r="BJ1959" s="15">
        <f t="shared" si="1953"/>
        <v>0</v>
      </c>
      <c r="BK1959">
        <f t="shared" si="1961"/>
        <v>716</v>
      </c>
      <c r="BL1959">
        <f t="shared" si="1962"/>
        <v>716</v>
      </c>
      <c r="BM1959" s="15">
        <f>SUMIFS(BJ$2:BJ1959,K$2:K1959,"=Intermission")+SUMIFS(BJ$2:BJ1959,K$2:K1959,"=Timeout")</f>
        <v>142</v>
      </c>
      <c r="BN1959">
        <f t="shared" si="1963"/>
        <v>2302</v>
      </c>
      <c r="BO1959" s="19">
        <f t="shared" si="1964"/>
        <v>2666</v>
      </c>
      <c r="BP1959">
        <f t="shared" si="1965"/>
        <v>2661</v>
      </c>
      <c r="BQ1959" s="17">
        <f t="shared" si="1966"/>
        <v>2666</v>
      </c>
      <c r="BR1959" t="str">
        <f t="shared" si="1967"/>
        <v>event_team_player_2</v>
      </c>
      <c r="BS1959">
        <f>COUNTIFS(S$3:S1959,"="&amp;S1959,AI$3:AI1959,"="&amp;AI1959)</f>
        <v>2</v>
      </c>
      <c r="BT1959" t="str">
        <f>IFERROR(VLOOKUP(BB1959&amp;BU1959&amp;X1959,game_rosters!U:W,3,FALSE),"")</f>
        <v>P100224</v>
      </c>
      <c r="BU1959" t="str">
        <f t="shared" si="1968"/>
        <v>Velodrome</v>
      </c>
    </row>
    <row r="1960" spans="1:73" x14ac:dyDescent="0.2">
      <c r="A1960">
        <f t="shared" si="1954"/>
        <v>1</v>
      </c>
      <c r="J1960" s="44" t="str">
        <f t="shared" si="1969"/>
        <v/>
      </c>
      <c r="K1960" t="s">
        <v>7</v>
      </c>
      <c r="L1960" t="s">
        <v>172</v>
      </c>
      <c r="M1960" t="s">
        <v>68</v>
      </c>
      <c r="S1960">
        <v>1032</v>
      </c>
      <c r="W1960" t="str">
        <f t="shared" si="1945"/>
        <v>a</v>
      </c>
      <c r="X1960">
        <v>80</v>
      </c>
      <c r="Y1960" t="b">
        <f>IF(X1960&lt;&gt;"",VLOOKUP(X1960,game_rosters!$C$43:$E$64,3,FALSE))</f>
        <v>0</v>
      </c>
      <c r="Z1960" t="str" cm="1">
        <f t="array" ref="Z1960">IFERROR(IF(_xlfn._xlws.FILTER(game_rosters!$J:$J,(game_rosters!$G:$G=events!$AN1960)*(game_rosters!$J:$J=events!$X1960))&gt;0,1,""),"")</f>
        <v/>
      </c>
      <c r="AA1960">
        <f t="shared" si="1993"/>
        <v>2032</v>
      </c>
      <c r="AB1960" t="str">
        <f t="shared" si="1994"/>
        <v/>
      </c>
      <c r="AC1960">
        <f t="shared" si="1942"/>
        <v>2032</v>
      </c>
      <c r="AD1960" s="6">
        <v>3</v>
      </c>
      <c r="AE1960" t="s">
        <v>754</v>
      </c>
      <c r="AF1960" t="s">
        <v>733</v>
      </c>
      <c r="AG1960" t="s">
        <v>756</v>
      </c>
      <c r="AH1960" t="s">
        <v>756</v>
      </c>
      <c r="AI1960" t="s">
        <v>368</v>
      </c>
      <c r="AJ1960" t="str">
        <f t="shared" ref="AJ1960:AK1960" si="2006">IF($J1960&lt;&gt;"",$J1960,IF($AC1960=$AC1959,AJ1959,""))</f>
        <v/>
      </c>
      <c r="AK1960" t="str">
        <f t="shared" si="2006"/>
        <v/>
      </c>
      <c r="AL1960" t="str">
        <f t="shared" si="1947"/>
        <v/>
      </c>
      <c r="AN1960" t="s">
        <v>862</v>
      </c>
      <c r="AO1960" t="str">
        <f t="shared" si="1948"/>
        <v>a</v>
      </c>
      <c r="AP1960" t="str">
        <f t="shared" si="1956"/>
        <v/>
      </c>
      <c r="AQ1960" t="str">
        <f t="shared" si="1957"/>
        <v/>
      </c>
      <c r="AR1960" t="str">
        <f t="shared" si="1958"/>
        <v>Away</v>
      </c>
      <c r="AS1960" t="str">
        <f t="shared" si="1959"/>
        <v>a</v>
      </c>
      <c r="AT1960" t="str">
        <f t="shared" si="1960"/>
        <v>Defensive</v>
      </c>
      <c r="BA1960" s="6">
        <f t="shared" si="1949"/>
        <v>449</v>
      </c>
      <c r="BB1960">
        <f t="shared" si="1950"/>
        <v>18981</v>
      </c>
      <c r="BC1960" t="str">
        <f t="shared" si="1951"/>
        <v>Nelson</v>
      </c>
      <c r="BD1960" t="str">
        <f t="shared" si="1952"/>
        <v>Velodrome</v>
      </c>
      <c r="BE1960" t="s">
        <v>7</v>
      </c>
      <c r="BF1960" t="s">
        <v>172</v>
      </c>
      <c r="BG1960" t="s">
        <v>68</v>
      </c>
      <c r="BI1960" cm="1">
        <f t="array" aca="1" ref="BI1960" ca="1">IFERROR(_xlfn._xlws.FILTER(shifts!A:A,(shifts!B:B=events!AD1960)*(shifts!AG:AG&gt;=events!BK1960)*(shifts!AH:AH&lt;=events!BL1960)),BI1959)</f>
        <v>84</v>
      </c>
      <c r="BJ1960" s="15">
        <f t="shared" si="1953"/>
        <v>0</v>
      </c>
      <c r="BK1960">
        <f t="shared" si="1961"/>
        <v>716</v>
      </c>
      <c r="BL1960">
        <f t="shared" si="1962"/>
        <v>716</v>
      </c>
      <c r="BM1960" s="15">
        <f>SUMIFS(BJ$2:BJ1960,K$2:K1960,"=Intermission")+SUMIFS(BJ$2:BJ1960,K$2:K1960,"=Timeout")</f>
        <v>142</v>
      </c>
      <c r="BN1960">
        <f t="shared" si="1963"/>
        <v>2302</v>
      </c>
      <c r="BO1960" s="19">
        <f t="shared" si="1964"/>
        <v>2666</v>
      </c>
      <c r="BP1960">
        <f t="shared" si="1965"/>
        <v>2661</v>
      </c>
      <c r="BQ1960" s="17">
        <f t="shared" si="1966"/>
        <v>2666</v>
      </c>
      <c r="BR1960" t="str">
        <f t="shared" si="1967"/>
        <v>opp_team_player_1</v>
      </c>
      <c r="BS1960">
        <f>COUNTIFS(S$3:S1960,"="&amp;S1960,AI$3:AI1960,"="&amp;AI1960)</f>
        <v>1</v>
      </c>
      <c r="BT1960" t="str">
        <f>IFERROR(VLOOKUP(BB1960&amp;BU1960&amp;X1960,game_rosters!U:W,3,FALSE),"")</f>
        <v>P100197</v>
      </c>
      <c r="BU1960" t="str">
        <f t="shared" si="1968"/>
        <v>Nelson</v>
      </c>
    </row>
    <row r="1961" spans="1:73" x14ac:dyDescent="0.2">
      <c r="A1961">
        <f t="shared" si="1954"/>
        <v>1</v>
      </c>
      <c r="J1961" s="44" t="str">
        <f t="shared" si="1969"/>
        <v>o</v>
      </c>
      <c r="K1961" t="s">
        <v>6</v>
      </c>
      <c r="L1961" t="s">
        <v>205</v>
      </c>
      <c r="M1961" t="s">
        <v>54</v>
      </c>
      <c r="S1961">
        <v>1033</v>
      </c>
      <c r="W1961" t="str">
        <f t="shared" si="1945"/>
        <v>a</v>
      </c>
      <c r="X1961">
        <v>61</v>
      </c>
      <c r="Y1961" t="e">
        <f>IF(X1961&lt;&gt;"",VLOOKUP(X1961,game_rosters!$C$43:$E$64,3,FALSE))</f>
        <v>#N/A</v>
      </c>
      <c r="Z1961" cm="1">
        <f t="array" ref="Z1961">IFERROR(IF(_xlfn._xlws.FILTER(game_rosters!$J:$J,(game_rosters!$G:$G=events!$AN1961)*(game_rosters!$J:$J=events!$X1961))&gt;0,1,""),"")</f>
        <v>1</v>
      </c>
      <c r="AA1961">
        <f t="shared" si="1993"/>
        <v>2033</v>
      </c>
      <c r="AB1961" t="str">
        <f t="shared" si="1994"/>
        <v/>
      </c>
      <c r="AC1961">
        <f t="shared" si="1942"/>
        <v>2033</v>
      </c>
      <c r="AD1961" s="6">
        <v>3</v>
      </c>
      <c r="AE1961" t="s">
        <v>754</v>
      </c>
      <c r="AF1961" t="s">
        <v>934</v>
      </c>
      <c r="AG1961" t="s">
        <v>756</v>
      </c>
      <c r="AH1961" t="s">
        <v>756</v>
      </c>
      <c r="AI1961" t="s">
        <v>367</v>
      </c>
      <c r="AJ1961" t="str">
        <f t="shared" ref="AJ1961:AK1961" si="2007">IF($J1961&lt;&gt;"",$J1961,IF($AC1961=$AC1960,AJ1960,""))</f>
        <v>o</v>
      </c>
      <c r="AK1961" t="str">
        <f t="shared" si="2007"/>
        <v>o</v>
      </c>
      <c r="AL1961" t="str">
        <f t="shared" si="1947"/>
        <v>d</v>
      </c>
      <c r="AN1961" t="s">
        <v>862</v>
      </c>
      <c r="AO1961" t="str">
        <f t="shared" si="1948"/>
        <v>a</v>
      </c>
      <c r="AP1961" t="str">
        <f t="shared" si="1956"/>
        <v>d</v>
      </c>
      <c r="AQ1961" t="str">
        <f t="shared" si="1957"/>
        <v/>
      </c>
      <c r="AR1961" t="str">
        <f t="shared" si="1958"/>
        <v>Away</v>
      </c>
      <c r="AS1961" t="str">
        <f t="shared" si="1959"/>
        <v>a</v>
      </c>
      <c r="AT1961" t="str">
        <f t="shared" si="1960"/>
        <v>Offensive</v>
      </c>
      <c r="BA1961" s="6">
        <f t="shared" si="1949"/>
        <v>449</v>
      </c>
      <c r="BB1961">
        <f t="shared" si="1950"/>
        <v>18981</v>
      </c>
      <c r="BC1961" t="str">
        <f t="shared" si="1951"/>
        <v>Nelson</v>
      </c>
      <c r="BD1961" t="str">
        <f t="shared" si="1952"/>
        <v>Velodrome</v>
      </c>
      <c r="BE1961" t="s">
        <v>6</v>
      </c>
      <c r="BF1961" t="s">
        <v>205</v>
      </c>
      <c r="BG1961" t="s">
        <v>54</v>
      </c>
      <c r="BI1961" cm="1">
        <f t="array" aca="1" ref="BI1961" ca="1">IFERROR(_xlfn._xlws.FILTER(shifts!A:A,(shifts!B:B=events!AD1961)*(shifts!AG:AG&gt;=events!BK1961)*(shifts!AH:AH&lt;=events!BL1961)),BI1960)</f>
        <v>84</v>
      </c>
      <c r="BJ1961" s="15">
        <f t="shared" si="1953"/>
        <v>0</v>
      </c>
      <c r="BK1961">
        <f t="shared" si="1961"/>
        <v>714</v>
      </c>
      <c r="BL1961">
        <f t="shared" si="1962"/>
        <v>714</v>
      </c>
      <c r="BM1961" s="15">
        <f>SUMIFS(BJ$2:BJ1961,K$2:K1961,"=Intermission")+SUMIFS(BJ$2:BJ1961,K$2:K1961,"=Timeout")</f>
        <v>142</v>
      </c>
      <c r="BN1961">
        <f t="shared" si="1963"/>
        <v>2302</v>
      </c>
      <c r="BO1961" s="19">
        <f t="shared" si="1964"/>
        <v>2668</v>
      </c>
      <c r="BP1961">
        <f t="shared" si="1965"/>
        <v>2663</v>
      </c>
      <c r="BQ1961" s="17">
        <f t="shared" si="1966"/>
        <v>2668</v>
      </c>
      <c r="BR1961" t="str">
        <f t="shared" si="1967"/>
        <v>event_team_player_1</v>
      </c>
      <c r="BS1961">
        <f>COUNTIFS(S$3:S1961,"="&amp;S1961,AI$3:AI1961,"="&amp;AI1961)</f>
        <v>1</v>
      </c>
      <c r="BT1961" t="str">
        <f>IFERROR(VLOOKUP(BB1961&amp;BU1961&amp;X1961,game_rosters!U:W,3,FALSE),"")</f>
        <v>P100224</v>
      </c>
      <c r="BU1961" t="str">
        <f t="shared" si="1968"/>
        <v>Velodrome</v>
      </c>
    </row>
    <row r="1962" spans="1:73" x14ac:dyDescent="0.2">
      <c r="A1962">
        <f t="shared" si="1954"/>
        <v>1</v>
      </c>
      <c r="J1962" s="44" t="str">
        <f t="shared" si="1969"/>
        <v>o</v>
      </c>
      <c r="K1962" t="s">
        <v>6</v>
      </c>
      <c r="L1962" t="s">
        <v>205</v>
      </c>
      <c r="M1962" t="s">
        <v>54</v>
      </c>
      <c r="S1962">
        <v>1033</v>
      </c>
      <c r="W1962" t="str">
        <f t="shared" si="1945"/>
        <v>a</v>
      </c>
      <c r="X1962">
        <v>31</v>
      </c>
      <c r="Y1962" t="b">
        <f>IF(X1962&lt;&gt;"",VLOOKUP(X1962,game_rosters!$C$43:$E$64,3,FALSE))</f>
        <v>0</v>
      </c>
      <c r="Z1962" t="str" cm="1">
        <f t="array" ref="Z1962">IFERROR(IF(_xlfn._xlws.FILTER(game_rosters!$J:$J,(game_rosters!$G:$G=events!$AN1962)*(game_rosters!$J:$J=events!$X1962))&gt;0,1,""),"")</f>
        <v/>
      </c>
      <c r="AA1962">
        <f t="shared" si="1993"/>
        <v>2033</v>
      </c>
      <c r="AB1962" t="str">
        <f t="shared" si="1994"/>
        <v/>
      </c>
      <c r="AC1962">
        <f t="shared" si="1942"/>
        <v>2033</v>
      </c>
      <c r="AD1962" s="6">
        <v>3</v>
      </c>
      <c r="AE1962" t="s">
        <v>754</v>
      </c>
      <c r="AF1962" t="s">
        <v>934</v>
      </c>
      <c r="AG1962" t="s">
        <v>756</v>
      </c>
      <c r="AH1962" t="s">
        <v>756</v>
      </c>
      <c r="AI1962" t="s">
        <v>368</v>
      </c>
      <c r="AJ1962" t="str">
        <f t="shared" ref="AJ1962:AK1962" si="2008">IF($J1962&lt;&gt;"",$J1962,IF($AC1962=$AC1961,AJ1961,""))</f>
        <v>o</v>
      </c>
      <c r="AK1962" t="str">
        <f t="shared" si="2008"/>
        <v>o</v>
      </c>
      <c r="AL1962" t="str">
        <f t="shared" si="1947"/>
        <v>d</v>
      </c>
      <c r="AN1962" t="s">
        <v>862</v>
      </c>
      <c r="AO1962" t="str">
        <f t="shared" si="1948"/>
        <v>a</v>
      </c>
      <c r="AP1962" t="str">
        <f t="shared" si="1956"/>
        <v>d</v>
      </c>
      <c r="AQ1962" t="str">
        <f t="shared" si="1957"/>
        <v/>
      </c>
      <c r="AR1962" t="str">
        <f t="shared" si="1958"/>
        <v>Away</v>
      </c>
      <c r="AS1962" t="str">
        <f t="shared" si="1959"/>
        <v>a</v>
      </c>
      <c r="AT1962" t="str">
        <f t="shared" si="1960"/>
        <v>Defensive</v>
      </c>
      <c r="BA1962" s="6">
        <f t="shared" si="1949"/>
        <v>449</v>
      </c>
      <c r="BB1962">
        <f t="shared" si="1950"/>
        <v>18981</v>
      </c>
      <c r="BC1962" t="str">
        <f t="shared" si="1951"/>
        <v>Nelson</v>
      </c>
      <c r="BD1962" t="str">
        <f t="shared" si="1952"/>
        <v>Velodrome</v>
      </c>
      <c r="BE1962" t="s">
        <v>6</v>
      </c>
      <c r="BF1962" t="s">
        <v>205</v>
      </c>
      <c r="BG1962" t="s">
        <v>54</v>
      </c>
      <c r="BI1962" cm="1">
        <f t="array" aca="1" ref="BI1962" ca="1">IFERROR(_xlfn._xlws.FILTER(shifts!A:A,(shifts!B:B=events!AD1962)*(shifts!AG:AG&gt;=events!BK1962)*(shifts!AH:AH&lt;=events!BL1962)),BI1961)</f>
        <v>84</v>
      </c>
      <c r="BJ1962" s="15">
        <f t="shared" si="1953"/>
        <v>0</v>
      </c>
      <c r="BK1962">
        <f t="shared" si="1961"/>
        <v>714</v>
      </c>
      <c r="BL1962">
        <f t="shared" si="1962"/>
        <v>714</v>
      </c>
      <c r="BM1962" s="15">
        <f>SUMIFS(BJ$2:BJ1962,K$2:K1962,"=Intermission")+SUMIFS(BJ$2:BJ1962,K$2:K1962,"=Timeout")</f>
        <v>142</v>
      </c>
      <c r="BN1962">
        <f t="shared" si="1963"/>
        <v>2302</v>
      </c>
      <c r="BO1962" s="19">
        <f t="shared" si="1964"/>
        <v>2668</v>
      </c>
      <c r="BP1962">
        <f t="shared" si="1965"/>
        <v>2663</v>
      </c>
      <c r="BQ1962" s="17">
        <f t="shared" si="1966"/>
        <v>2668</v>
      </c>
      <c r="BR1962" t="str">
        <f t="shared" si="1967"/>
        <v>opp_team_player_1</v>
      </c>
      <c r="BS1962">
        <f>COUNTIFS(S$3:S1962,"="&amp;S1962,AI$3:AI1962,"="&amp;AI1962)</f>
        <v>1</v>
      </c>
      <c r="BT1962" t="str">
        <f>IFERROR(VLOOKUP(BB1962&amp;BU1962&amp;X1962,game_rosters!U:W,3,FALSE),"")</f>
        <v>P100138</v>
      </c>
      <c r="BU1962" t="str">
        <f t="shared" si="1968"/>
        <v>Nelson</v>
      </c>
    </row>
    <row r="1963" spans="1:73" x14ac:dyDescent="0.2">
      <c r="A1963">
        <f t="shared" si="1954"/>
        <v>1</v>
      </c>
      <c r="J1963" s="44" t="str">
        <f t="shared" si="1969"/>
        <v>o</v>
      </c>
      <c r="K1963" t="s">
        <v>6</v>
      </c>
      <c r="L1963" t="s">
        <v>205</v>
      </c>
      <c r="M1963" t="s">
        <v>54</v>
      </c>
      <c r="S1963">
        <v>1033</v>
      </c>
      <c r="W1963" t="str">
        <f t="shared" si="1945"/>
        <v>a</v>
      </c>
      <c r="X1963">
        <v>80</v>
      </c>
      <c r="Y1963" t="b">
        <f>IF(X1963&lt;&gt;"",VLOOKUP(X1963,game_rosters!$C$43:$E$64,3,FALSE))</f>
        <v>0</v>
      </c>
      <c r="Z1963" t="str" cm="1">
        <f t="array" ref="Z1963">IFERROR(IF(_xlfn._xlws.FILTER(game_rosters!$J:$J,(game_rosters!$G:$G=events!$AN1963)*(game_rosters!$J:$J=events!$X1963))&gt;0,1,""),"")</f>
        <v/>
      </c>
      <c r="AA1963">
        <f t="shared" si="1993"/>
        <v>2033</v>
      </c>
      <c r="AB1963" t="str">
        <f t="shared" si="1994"/>
        <v/>
      </c>
      <c r="AC1963">
        <f t="shared" si="1942"/>
        <v>2033</v>
      </c>
      <c r="AD1963" s="6">
        <v>3</v>
      </c>
      <c r="AE1963" t="s">
        <v>754</v>
      </c>
      <c r="AF1963" t="s">
        <v>934</v>
      </c>
      <c r="AG1963" t="s">
        <v>756</v>
      </c>
      <c r="AH1963" t="s">
        <v>756</v>
      </c>
      <c r="AI1963" t="s">
        <v>368</v>
      </c>
      <c r="AJ1963" t="str">
        <f t="shared" ref="AJ1963:AK1963" si="2009">IF($J1963&lt;&gt;"",$J1963,IF($AC1963=$AC1962,AJ1962,""))</f>
        <v>o</v>
      </c>
      <c r="AK1963" t="str">
        <f t="shared" si="2009"/>
        <v>o</v>
      </c>
      <c r="AL1963" t="str">
        <f t="shared" si="1947"/>
        <v>d</v>
      </c>
      <c r="AN1963" t="s">
        <v>862</v>
      </c>
      <c r="AO1963" t="str">
        <f t="shared" si="1948"/>
        <v>a</v>
      </c>
      <c r="AP1963" t="str">
        <f t="shared" si="1956"/>
        <v>d</v>
      </c>
      <c r="AQ1963" t="str">
        <f t="shared" si="1957"/>
        <v/>
      </c>
      <c r="AR1963" t="str">
        <f t="shared" si="1958"/>
        <v>Away</v>
      </c>
      <c r="AS1963" t="str">
        <f t="shared" si="1959"/>
        <v>a</v>
      </c>
      <c r="AT1963" t="str">
        <f t="shared" si="1960"/>
        <v>Defensive</v>
      </c>
      <c r="BA1963" s="6">
        <f t="shared" si="1949"/>
        <v>449</v>
      </c>
      <c r="BB1963">
        <f t="shared" si="1950"/>
        <v>18981</v>
      </c>
      <c r="BC1963" t="str">
        <f t="shared" si="1951"/>
        <v>Nelson</v>
      </c>
      <c r="BD1963" t="str">
        <f t="shared" si="1952"/>
        <v>Velodrome</v>
      </c>
      <c r="BE1963" t="s">
        <v>6</v>
      </c>
      <c r="BF1963" t="s">
        <v>205</v>
      </c>
      <c r="BG1963" t="s">
        <v>54</v>
      </c>
      <c r="BI1963" cm="1">
        <f t="array" aca="1" ref="BI1963" ca="1">IFERROR(_xlfn._xlws.FILTER(shifts!A:A,(shifts!B:B=events!AD1963)*(shifts!AG:AG&gt;=events!BK1963)*(shifts!AH:AH&lt;=events!BL1963)),BI1962)</f>
        <v>84</v>
      </c>
      <c r="BJ1963" s="15">
        <f t="shared" si="1953"/>
        <v>0</v>
      </c>
      <c r="BK1963">
        <f t="shared" si="1961"/>
        <v>714</v>
      </c>
      <c r="BL1963">
        <f t="shared" si="1962"/>
        <v>714</v>
      </c>
      <c r="BM1963" s="15">
        <f>SUMIFS(BJ$2:BJ1963,K$2:K1963,"=Intermission")+SUMIFS(BJ$2:BJ1963,K$2:K1963,"=Timeout")</f>
        <v>142</v>
      </c>
      <c r="BN1963">
        <f t="shared" si="1963"/>
        <v>2302</v>
      </c>
      <c r="BO1963" s="19">
        <f t="shared" si="1964"/>
        <v>2668</v>
      </c>
      <c r="BP1963">
        <f t="shared" si="1965"/>
        <v>2663</v>
      </c>
      <c r="BQ1963" s="17">
        <f t="shared" si="1966"/>
        <v>2668</v>
      </c>
      <c r="BR1963" t="str">
        <f t="shared" si="1967"/>
        <v>opp_team_player_2</v>
      </c>
      <c r="BS1963">
        <f>COUNTIFS(S$3:S1963,"="&amp;S1963,AI$3:AI1963,"="&amp;AI1963)</f>
        <v>2</v>
      </c>
      <c r="BT1963" t="str">
        <f>IFERROR(VLOOKUP(BB1963&amp;BU1963&amp;X1963,game_rosters!U:W,3,FALSE),"")</f>
        <v>P100197</v>
      </c>
      <c r="BU1963" t="str">
        <f t="shared" si="1968"/>
        <v>Nelson</v>
      </c>
    </row>
    <row r="1964" spans="1:73" x14ac:dyDescent="0.2">
      <c r="A1964">
        <f t="shared" si="1954"/>
        <v>1</v>
      </c>
      <c r="J1964" s="44" t="str">
        <f t="shared" si="1969"/>
        <v>d</v>
      </c>
      <c r="K1964" t="s">
        <v>15</v>
      </c>
      <c r="L1964" t="s">
        <v>189</v>
      </c>
      <c r="M1964" t="s">
        <v>100</v>
      </c>
      <c r="S1964">
        <v>1034</v>
      </c>
      <c r="W1964" t="str">
        <f t="shared" si="1945"/>
        <v>h</v>
      </c>
      <c r="X1964">
        <v>31</v>
      </c>
      <c r="Y1964" t="b">
        <f>IF(X1964&lt;&gt;"",VLOOKUP(X1964,game_rosters!$C$43:$E$64,3,FALSE))</f>
        <v>0</v>
      </c>
      <c r="Z1964" cm="1">
        <f t="array" ref="Z1964">IFERROR(IF(_xlfn._xlws.FILTER(game_rosters!$J:$J,(game_rosters!$G:$G=events!$AN1964)*(game_rosters!$J:$J=events!$X1964))&gt;0,1,""),"")</f>
        <v>1</v>
      </c>
      <c r="AA1964">
        <f t="shared" si="1993"/>
        <v>2034</v>
      </c>
      <c r="AB1964" t="str">
        <f t="shared" si="1994"/>
        <v/>
      </c>
      <c r="AC1964">
        <f t="shared" si="1942"/>
        <v>2034</v>
      </c>
      <c r="AD1964" s="6">
        <v>3</v>
      </c>
      <c r="AE1964" t="s">
        <v>754</v>
      </c>
      <c r="AF1964" t="s">
        <v>934</v>
      </c>
      <c r="AG1964" t="s">
        <v>756</v>
      </c>
      <c r="AH1964" t="s">
        <v>756</v>
      </c>
      <c r="AI1964" t="s">
        <v>367</v>
      </c>
      <c r="AJ1964" t="str">
        <f t="shared" ref="AJ1964:AK1964" si="2010">IF($J1964&lt;&gt;"",$J1964,IF($AC1964=$AC1963,AJ1963,""))</f>
        <v>d</v>
      </c>
      <c r="AK1964" t="str">
        <f t="shared" si="2010"/>
        <v>d</v>
      </c>
      <c r="AL1964" t="str">
        <f t="shared" si="1947"/>
        <v>d</v>
      </c>
      <c r="AN1964" t="s">
        <v>861</v>
      </c>
      <c r="AO1964" t="str">
        <f t="shared" si="1948"/>
        <v>h</v>
      </c>
      <c r="AP1964" t="str">
        <f t="shared" si="1956"/>
        <v>d</v>
      </c>
      <c r="AQ1964" t="str">
        <f t="shared" si="1957"/>
        <v/>
      </c>
      <c r="AR1964" t="str">
        <f t="shared" si="1958"/>
        <v>Home</v>
      </c>
      <c r="AS1964" t="str">
        <f t="shared" si="1959"/>
        <v>h</v>
      </c>
      <c r="AT1964" t="str">
        <f t="shared" si="1960"/>
        <v>Defensive</v>
      </c>
      <c r="BA1964" s="6">
        <f t="shared" si="1949"/>
        <v>449</v>
      </c>
      <c r="BB1964">
        <f t="shared" si="1950"/>
        <v>18981</v>
      </c>
      <c r="BC1964" t="str">
        <f t="shared" si="1951"/>
        <v>Nelson</v>
      </c>
      <c r="BD1964" t="str">
        <f t="shared" si="1952"/>
        <v>Velodrome</v>
      </c>
      <c r="BE1964" t="s">
        <v>15</v>
      </c>
      <c r="BF1964" t="s">
        <v>189</v>
      </c>
      <c r="BG1964" t="s">
        <v>100</v>
      </c>
      <c r="BI1964" cm="1">
        <f t="array" aca="1" ref="BI1964" ca="1">IFERROR(_xlfn._xlws.FILTER(shifts!A:A,(shifts!B:B=events!AD1964)*(shifts!AG:AG&gt;=events!BK1964)*(shifts!AH:AH&lt;=events!BL1964)),BI1963)</f>
        <v>84</v>
      </c>
      <c r="BJ1964" s="15">
        <f t="shared" si="1953"/>
        <v>0</v>
      </c>
      <c r="BK1964">
        <f t="shared" si="1961"/>
        <v>714</v>
      </c>
      <c r="BL1964">
        <f t="shared" si="1962"/>
        <v>714</v>
      </c>
      <c r="BM1964" s="15">
        <f>SUMIFS(BJ$2:BJ1964,K$2:K1964,"=Intermission")+SUMIFS(BJ$2:BJ1964,K$2:K1964,"=Timeout")</f>
        <v>142</v>
      </c>
      <c r="BN1964">
        <f t="shared" si="1963"/>
        <v>2302</v>
      </c>
      <c r="BO1964" s="19">
        <f t="shared" si="1964"/>
        <v>2668</v>
      </c>
      <c r="BP1964">
        <f t="shared" si="1965"/>
        <v>2663</v>
      </c>
      <c r="BQ1964" s="17">
        <f t="shared" si="1966"/>
        <v>2668</v>
      </c>
      <c r="BR1964" t="str">
        <f t="shared" si="1967"/>
        <v>event_team_player_1</v>
      </c>
      <c r="BS1964">
        <f>COUNTIFS(S$3:S1964,"="&amp;S1964,AI$3:AI1964,"="&amp;AI1964)</f>
        <v>1</v>
      </c>
      <c r="BT1964" t="str">
        <f>IFERROR(VLOOKUP(BB1964&amp;BU1964&amp;X1964,game_rosters!U:W,3,FALSE),"")</f>
        <v>P100138</v>
      </c>
      <c r="BU1964" t="str">
        <f t="shared" si="1968"/>
        <v>Nelson</v>
      </c>
    </row>
    <row r="1965" spans="1:73" x14ac:dyDescent="0.2">
      <c r="A1965">
        <f t="shared" si="1954"/>
        <v>1</v>
      </c>
      <c r="J1965" s="44" t="str">
        <f t="shared" si="1969"/>
        <v>d</v>
      </c>
      <c r="K1965" t="s">
        <v>15</v>
      </c>
      <c r="L1965" t="s">
        <v>189</v>
      </c>
      <c r="M1965" t="s">
        <v>100</v>
      </c>
      <c r="S1965">
        <v>1034</v>
      </c>
      <c r="W1965" t="str">
        <f t="shared" si="1945"/>
        <v>h</v>
      </c>
      <c r="X1965">
        <v>80</v>
      </c>
      <c r="Y1965" t="b">
        <f>IF(X1965&lt;&gt;"",VLOOKUP(X1965,game_rosters!$C$43:$E$64,3,FALSE))</f>
        <v>0</v>
      </c>
      <c r="Z1965" cm="1">
        <f t="array" ref="Z1965">IFERROR(IF(_xlfn._xlws.FILTER(game_rosters!$J:$J,(game_rosters!$G:$G=events!$AN1965)*(game_rosters!$J:$J=events!$X1965))&gt;0,1,""),"")</f>
        <v>1</v>
      </c>
      <c r="AA1965">
        <f t="shared" si="1993"/>
        <v>2034</v>
      </c>
      <c r="AB1965" t="str">
        <f t="shared" si="1994"/>
        <v/>
      </c>
      <c r="AC1965">
        <f t="shared" si="1942"/>
        <v>2034</v>
      </c>
      <c r="AD1965" s="6">
        <v>3</v>
      </c>
      <c r="AE1965" t="s">
        <v>754</v>
      </c>
      <c r="AF1965" t="s">
        <v>934</v>
      </c>
      <c r="AG1965" t="s">
        <v>756</v>
      </c>
      <c r="AH1965" t="s">
        <v>756</v>
      </c>
      <c r="AI1965" t="s">
        <v>367</v>
      </c>
      <c r="AJ1965" t="str">
        <f t="shared" ref="AJ1965:AK1965" si="2011">IF($J1965&lt;&gt;"",$J1965,IF($AC1965=$AC1964,AJ1964,""))</f>
        <v>d</v>
      </c>
      <c r="AK1965" t="str">
        <f t="shared" si="2011"/>
        <v>d</v>
      </c>
      <c r="AL1965" t="str">
        <f t="shared" si="1947"/>
        <v>d</v>
      </c>
      <c r="AN1965" t="s">
        <v>861</v>
      </c>
      <c r="AO1965" t="str">
        <f t="shared" si="1948"/>
        <v>h</v>
      </c>
      <c r="AP1965" t="str">
        <f t="shared" si="1956"/>
        <v>d</v>
      </c>
      <c r="AQ1965" t="str">
        <f t="shared" si="1957"/>
        <v/>
      </c>
      <c r="AR1965" t="str">
        <f t="shared" si="1958"/>
        <v>Home</v>
      </c>
      <c r="AS1965" t="str">
        <f t="shared" si="1959"/>
        <v>h</v>
      </c>
      <c r="AT1965" t="str">
        <f t="shared" si="1960"/>
        <v>Defensive</v>
      </c>
      <c r="BA1965" s="6">
        <f t="shared" si="1949"/>
        <v>449</v>
      </c>
      <c r="BB1965">
        <f t="shared" si="1950"/>
        <v>18981</v>
      </c>
      <c r="BC1965" t="str">
        <f t="shared" si="1951"/>
        <v>Nelson</v>
      </c>
      <c r="BD1965" t="str">
        <f t="shared" si="1952"/>
        <v>Velodrome</v>
      </c>
      <c r="BE1965" t="s">
        <v>15</v>
      </c>
      <c r="BF1965" t="s">
        <v>189</v>
      </c>
      <c r="BG1965" t="s">
        <v>100</v>
      </c>
      <c r="BI1965" cm="1">
        <f t="array" aca="1" ref="BI1965" ca="1">IFERROR(_xlfn._xlws.FILTER(shifts!A:A,(shifts!B:B=events!AD1965)*(shifts!AG:AG&gt;=events!BK1965)*(shifts!AH:AH&lt;=events!BL1965)),BI1964)</f>
        <v>84</v>
      </c>
      <c r="BJ1965" s="15">
        <f t="shared" si="1953"/>
        <v>0</v>
      </c>
      <c r="BK1965">
        <f t="shared" si="1961"/>
        <v>714</v>
      </c>
      <c r="BL1965">
        <f t="shared" si="1962"/>
        <v>714</v>
      </c>
      <c r="BM1965" s="15">
        <f>SUMIFS(BJ$2:BJ1965,K$2:K1965,"=Intermission")+SUMIFS(BJ$2:BJ1965,K$2:K1965,"=Timeout")</f>
        <v>142</v>
      </c>
      <c r="BN1965">
        <f t="shared" si="1963"/>
        <v>2302</v>
      </c>
      <c r="BO1965" s="19">
        <f t="shared" si="1964"/>
        <v>2668</v>
      </c>
      <c r="BP1965">
        <f t="shared" si="1965"/>
        <v>2663</v>
      </c>
      <c r="BQ1965" s="17">
        <f t="shared" si="1966"/>
        <v>2668</v>
      </c>
      <c r="BR1965" t="str">
        <f t="shared" si="1967"/>
        <v>event_team_player_2</v>
      </c>
      <c r="BS1965">
        <f>COUNTIFS(S$3:S1965,"="&amp;S1965,AI$3:AI1965,"="&amp;AI1965)</f>
        <v>2</v>
      </c>
      <c r="BT1965" t="str">
        <f>IFERROR(VLOOKUP(BB1965&amp;BU1965&amp;X1965,game_rosters!U:W,3,FALSE),"")</f>
        <v>P100197</v>
      </c>
      <c r="BU1965" t="str">
        <f t="shared" si="1968"/>
        <v>Nelson</v>
      </c>
    </row>
    <row r="1966" spans="1:73" x14ac:dyDescent="0.2">
      <c r="A1966">
        <f t="shared" si="1954"/>
        <v>1</v>
      </c>
      <c r="J1966" s="44" t="str">
        <f t="shared" si="1969"/>
        <v>d</v>
      </c>
      <c r="K1966" t="s">
        <v>15</v>
      </c>
      <c r="L1966" t="s">
        <v>189</v>
      </c>
      <c r="M1966" t="s">
        <v>100</v>
      </c>
      <c r="S1966">
        <v>1034</v>
      </c>
      <c r="W1966" t="str">
        <f t="shared" si="1945"/>
        <v>h</v>
      </c>
      <c r="X1966">
        <v>61</v>
      </c>
      <c r="Y1966" t="e">
        <f>IF(X1966&lt;&gt;"",VLOOKUP(X1966,game_rosters!$C$43:$E$64,3,FALSE))</f>
        <v>#N/A</v>
      </c>
      <c r="Z1966" t="str" cm="1">
        <f t="array" ref="Z1966">IFERROR(IF(_xlfn._xlws.FILTER(game_rosters!$J:$J,(game_rosters!$G:$G=events!$AN1966)*(game_rosters!$J:$J=events!$X1966))&gt;0,1,""),"")</f>
        <v/>
      </c>
      <c r="AA1966">
        <f t="shared" si="1993"/>
        <v>2034</v>
      </c>
      <c r="AB1966" t="str">
        <f t="shared" si="1994"/>
        <v/>
      </c>
      <c r="AC1966">
        <f t="shared" si="1942"/>
        <v>2034</v>
      </c>
      <c r="AD1966" s="6">
        <v>3</v>
      </c>
      <c r="AE1966" t="s">
        <v>754</v>
      </c>
      <c r="AF1966" t="s">
        <v>934</v>
      </c>
      <c r="AG1966" t="s">
        <v>756</v>
      </c>
      <c r="AH1966" t="s">
        <v>756</v>
      </c>
      <c r="AI1966" t="s">
        <v>368</v>
      </c>
      <c r="AJ1966" t="str">
        <f t="shared" ref="AJ1966:AK1966" si="2012">IF($J1966&lt;&gt;"",$J1966,IF($AC1966=$AC1965,AJ1965,""))</f>
        <v>d</v>
      </c>
      <c r="AK1966" t="str">
        <f t="shared" si="2012"/>
        <v>d</v>
      </c>
      <c r="AL1966" t="str">
        <f t="shared" si="1947"/>
        <v>d</v>
      </c>
      <c r="AN1966" t="s">
        <v>861</v>
      </c>
      <c r="AO1966" t="str">
        <f t="shared" si="1948"/>
        <v>h</v>
      </c>
      <c r="AP1966" t="str">
        <f t="shared" si="1956"/>
        <v>d</v>
      </c>
      <c r="AQ1966" t="str">
        <f t="shared" si="1957"/>
        <v/>
      </c>
      <c r="AR1966" t="str">
        <f t="shared" si="1958"/>
        <v>Home</v>
      </c>
      <c r="AS1966" t="str">
        <f t="shared" si="1959"/>
        <v>h</v>
      </c>
      <c r="AT1966" t="str">
        <f t="shared" si="1960"/>
        <v>Offensive</v>
      </c>
      <c r="BA1966" s="6">
        <f t="shared" si="1949"/>
        <v>449</v>
      </c>
      <c r="BB1966">
        <f t="shared" si="1950"/>
        <v>18981</v>
      </c>
      <c r="BC1966" t="str">
        <f t="shared" si="1951"/>
        <v>Nelson</v>
      </c>
      <c r="BD1966" t="str">
        <f t="shared" si="1952"/>
        <v>Velodrome</v>
      </c>
      <c r="BE1966" t="s">
        <v>15</v>
      </c>
      <c r="BF1966" t="s">
        <v>189</v>
      </c>
      <c r="BG1966" t="s">
        <v>100</v>
      </c>
      <c r="BI1966" cm="1">
        <f t="array" aca="1" ref="BI1966" ca="1">IFERROR(_xlfn._xlws.FILTER(shifts!A:A,(shifts!B:B=events!AD1966)*(shifts!AG:AG&gt;=events!BK1966)*(shifts!AH:AH&lt;=events!BL1966)),BI1965)</f>
        <v>84</v>
      </c>
      <c r="BJ1966" s="15">
        <f t="shared" si="1953"/>
        <v>0</v>
      </c>
      <c r="BK1966">
        <f t="shared" si="1961"/>
        <v>714</v>
      </c>
      <c r="BL1966">
        <f t="shared" si="1962"/>
        <v>714</v>
      </c>
      <c r="BM1966" s="15">
        <f>SUMIFS(BJ$2:BJ1966,K$2:K1966,"=Intermission")+SUMIFS(BJ$2:BJ1966,K$2:K1966,"=Timeout")</f>
        <v>142</v>
      </c>
      <c r="BN1966">
        <f t="shared" si="1963"/>
        <v>2302</v>
      </c>
      <c r="BO1966" s="19">
        <f t="shared" si="1964"/>
        <v>2668</v>
      </c>
      <c r="BP1966">
        <f t="shared" si="1965"/>
        <v>2663</v>
      </c>
      <c r="BQ1966" s="17">
        <f t="shared" si="1966"/>
        <v>2668</v>
      </c>
      <c r="BR1966" t="str">
        <f t="shared" si="1967"/>
        <v>opp_team_player_1</v>
      </c>
      <c r="BS1966">
        <f>COUNTIFS(S$3:S1966,"="&amp;S1966,AI$3:AI1966,"="&amp;AI1966)</f>
        <v>1</v>
      </c>
      <c r="BT1966" t="str">
        <f>IFERROR(VLOOKUP(BB1966&amp;BU1966&amp;X1966,game_rosters!U:W,3,FALSE),"")</f>
        <v>P100224</v>
      </c>
      <c r="BU1966" t="str">
        <f t="shared" si="1968"/>
        <v>Velodrome</v>
      </c>
    </row>
    <row r="1967" spans="1:73" x14ac:dyDescent="0.2">
      <c r="A1967">
        <f t="shared" si="1954"/>
        <v>1</v>
      </c>
      <c r="J1967" s="44" t="str">
        <f t="shared" si="1969"/>
        <v>d</v>
      </c>
      <c r="K1967" t="s">
        <v>11</v>
      </c>
      <c r="L1967" t="s">
        <v>187</v>
      </c>
      <c r="M1967" t="s">
        <v>108</v>
      </c>
      <c r="S1967">
        <v>1035</v>
      </c>
      <c r="W1967" t="str">
        <f t="shared" si="1945"/>
        <v>h</v>
      </c>
      <c r="X1967">
        <v>31</v>
      </c>
      <c r="Y1967" t="b">
        <f>IF(X1967&lt;&gt;"",VLOOKUP(X1967,game_rosters!$C$43:$E$64,3,FALSE))</f>
        <v>0</v>
      </c>
      <c r="Z1967" cm="1">
        <f t="array" ref="Z1967">IFERROR(IF(_xlfn._xlws.FILTER(game_rosters!$J:$J,(game_rosters!$G:$G=events!$AN1967)*(game_rosters!$J:$J=events!$X1967))&gt;0,1,""),"")</f>
        <v>1</v>
      </c>
      <c r="AA1967">
        <f t="shared" si="1993"/>
        <v>2035</v>
      </c>
      <c r="AB1967" t="str">
        <f t="shared" si="1994"/>
        <v/>
      </c>
      <c r="AC1967">
        <f t="shared" si="1942"/>
        <v>2035</v>
      </c>
      <c r="AD1967" s="6">
        <v>3</v>
      </c>
      <c r="AE1967" t="s">
        <v>754</v>
      </c>
      <c r="AF1967" t="s">
        <v>934</v>
      </c>
      <c r="AG1967" t="s">
        <v>756</v>
      </c>
      <c r="AH1967" t="s">
        <v>756</v>
      </c>
      <c r="AI1967" t="s">
        <v>367</v>
      </c>
      <c r="AJ1967" t="str">
        <f t="shared" ref="AJ1967:AK1967" si="2013">IF($J1967&lt;&gt;"",$J1967,IF($AC1967=$AC1966,AJ1966,""))</f>
        <v>d</v>
      </c>
      <c r="AK1967" t="str">
        <f t="shared" si="2013"/>
        <v>d</v>
      </c>
      <c r="AL1967" t="str">
        <f t="shared" si="1947"/>
        <v>d</v>
      </c>
      <c r="AN1967" t="s">
        <v>861</v>
      </c>
      <c r="AO1967" t="str">
        <f t="shared" si="1948"/>
        <v>h</v>
      </c>
      <c r="AP1967" t="str">
        <f t="shared" si="1956"/>
        <v>d</v>
      </c>
      <c r="AQ1967" t="str">
        <f t="shared" si="1957"/>
        <v/>
      </c>
      <c r="AR1967" t="str">
        <f t="shared" si="1958"/>
        <v>Home</v>
      </c>
      <c r="AS1967" t="str">
        <f t="shared" si="1959"/>
        <v>h</v>
      </c>
      <c r="AT1967" t="str">
        <f t="shared" si="1960"/>
        <v/>
      </c>
      <c r="BA1967" s="6">
        <f t="shared" si="1949"/>
        <v>449</v>
      </c>
      <c r="BB1967">
        <f t="shared" si="1950"/>
        <v>18981</v>
      </c>
      <c r="BC1967" t="str">
        <f t="shared" si="1951"/>
        <v>Nelson</v>
      </c>
      <c r="BD1967" t="str">
        <f t="shared" si="1952"/>
        <v>Velodrome</v>
      </c>
      <c r="BE1967" t="s">
        <v>11</v>
      </c>
      <c r="BF1967" t="s">
        <v>187</v>
      </c>
      <c r="BG1967" t="s">
        <v>108</v>
      </c>
      <c r="BI1967" cm="1">
        <f t="array" aca="1" ref="BI1967" ca="1">IFERROR(_xlfn._xlws.FILTER(shifts!A:A,(shifts!B:B=events!AD1967)*(shifts!AG:AG&gt;=events!BK1967)*(shifts!AH:AH&lt;=events!BL1967)),BI1966)</f>
        <v>84</v>
      </c>
      <c r="BJ1967" s="15">
        <f t="shared" si="1953"/>
        <v>0</v>
      </c>
      <c r="BK1967">
        <f t="shared" si="1961"/>
        <v>714</v>
      </c>
      <c r="BL1967">
        <f t="shared" si="1962"/>
        <v>714</v>
      </c>
      <c r="BM1967" s="15">
        <f>SUMIFS(BJ$2:BJ1967,K$2:K1967,"=Intermission")+SUMIFS(BJ$2:BJ1967,K$2:K1967,"=Timeout")</f>
        <v>142</v>
      </c>
      <c r="BN1967">
        <f t="shared" si="1963"/>
        <v>2302</v>
      </c>
      <c r="BO1967" s="19">
        <f t="shared" si="1964"/>
        <v>2668</v>
      </c>
      <c r="BP1967">
        <f t="shared" si="1965"/>
        <v>2663</v>
      </c>
      <c r="BQ1967" s="17">
        <f t="shared" si="1966"/>
        <v>2668</v>
      </c>
      <c r="BR1967" t="str">
        <f t="shared" si="1967"/>
        <v>event_team_player_1</v>
      </c>
      <c r="BS1967">
        <f>COUNTIFS(S$3:S1967,"="&amp;S1967,AI$3:AI1967,"="&amp;AI1967)</f>
        <v>1</v>
      </c>
      <c r="BT1967" t="str">
        <f>IFERROR(VLOOKUP(BB1967&amp;BU1967&amp;X1967,game_rosters!U:W,3,FALSE),"")</f>
        <v>P100138</v>
      </c>
      <c r="BU1967" t="str">
        <f t="shared" si="1968"/>
        <v>Nelson</v>
      </c>
    </row>
    <row r="1968" spans="1:73" x14ac:dyDescent="0.2">
      <c r="A1968">
        <f t="shared" si="1954"/>
        <v>1</v>
      </c>
      <c r="J1968" s="44" t="str">
        <f t="shared" si="1969"/>
        <v>d</v>
      </c>
      <c r="K1968" t="s">
        <v>241</v>
      </c>
      <c r="L1968" t="s">
        <v>756</v>
      </c>
      <c r="M1968" t="s">
        <v>756</v>
      </c>
      <c r="S1968">
        <v>1036</v>
      </c>
      <c r="W1968" t="str">
        <f t="shared" si="1945"/>
        <v>h</v>
      </c>
      <c r="X1968">
        <v>31</v>
      </c>
      <c r="Y1968" t="b">
        <f>IF(X1968&lt;&gt;"",VLOOKUP(X1968,game_rosters!$C$43:$E$64,3,FALSE))</f>
        <v>0</v>
      </c>
      <c r="Z1968" cm="1">
        <f t="array" ref="Z1968">IFERROR(IF(_xlfn._xlws.FILTER(game_rosters!$J:$J,(game_rosters!$G:$G=events!$AN1968)*(game_rosters!$J:$J=events!$X1968))&gt;0,1,""),"")</f>
        <v>1</v>
      </c>
      <c r="AA1968">
        <f t="shared" si="1993"/>
        <v>2036</v>
      </c>
      <c r="AB1968" t="str">
        <f t="shared" si="1994"/>
        <v/>
      </c>
      <c r="AC1968">
        <f t="shared" si="1942"/>
        <v>2036</v>
      </c>
      <c r="AD1968" s="6">
        <v>3</v>
      </c>
      <c r="AE1968" t="s">
        <v>754</v>
      </c>
      <c r="AF1968" t="s">
        <v>934</v>
      </c>
      <c r="AG1968" t="s">
        <v>754</v>
      </c>
      <c r="AH1968" t="s">
        <v>928</v>
      </c>
      <c r="AI1968" t="s">
        <v>367</v>
      </c>
      <c r="AJ1968" t="str">
        <f t="shared" ref="AJ1968:AK1968" si="2014">IF($J1968&lt;&gt;"",$J1968,IF($AC1968=$AC1967,AJ1967,""))</f>
        <v>d</v>
      </c>
      <c r="AK1968" t="str">
        <f t="shared" si="2014"/>
        <v>d</v>
      </c>
      <c r="AL1968" t="str">
        <f t="shared" si="1947"/>
        <v>d</v>
      </c>
      <c r="AN1968" t="s">
        <v>861</v>
      </c>
      <c r="AO1968" t="str">
        <f t="shared" si="1948"/>
        <v>h</v>
      </c>
      <c r="AP1968" t="str">
        <f t="shared" si="1956"/>
        <v>d</v>
      </c>
      <c r="AQ1968" t="str">
        <f t="shared" si="1957"/>
        <v/>
      </c>
      <c r="AR1968" t="str">
        <f t="shared" si="1958"/>
        <v>Home</v>
      </c>
      <c r="AS1968" t="str">
        <f t="shared" si="1959"/>
        <v>h</v>
      </c>
      <c r="AT1968" t="str">
        <f t="shared" si="1960"/>
        <v/>
      </c>
      <c r="BA1968" s="6">
        <f t="shared" si="1949"/>
        <v>449</v>
      </c>
      <c r="BB1968">
        <f t="shared" si="1950"/>
        <v>18981</v>
      </c>
      <c r="BC1968" t="str">
        <f t="shared" si="1951"/>
        <v>Nelson</v>
      </c>
      <c r="BD1968" t="str">
        <f t="shared" si="1952"/>
        <v>Velodrome</v>
      </c>
      <c r="BE1968" t="s">
        <v>241</v>
      </c>
      <c r="BF1968" t="s">
        <v>756</v>
      </c>
      <c r="BG1968" t="s">
        <v>756</v>
      </c>
      <c r="BI1968" cm="1">
        <f t="array" aca="1" ref="BI1968" ca="1">IFERROR(_xlfn._xlws.FILTER(shifts!A:A,(shifts!B:B=events!AD1968)*(shifts!AG:AG&gt;=events!BK1968)*(shifts!AH:AH&lt;=events!BL1968)),BI1967)</f>
        <v>84</v>
      </c>
      <c r="BJ1968" s="15">
        <f t="shared" si="1953"/>
        <v>17</v>
      </c>
      <c r="BK1968">
        <f t="shared" si="1961"/>
        <v>714</v>
      </c>
      <c r="BL1968">
        <f t="shared" si="1962"/>
        <v>697</v>
      </c>
      <c r="BM1968" s="15">
        <f>SUMIFS(BJ$2:BJ1968,K$2:K1968,"=Intermission")+SUMIFS(BJ$2:BJ1968,K$2:K1968,"=Timeout")</f>
        <v>142</v>
      </c>
      <c r="BN1968">
        <f t="shared" si="1963"/>
        <v>2302</v>
      </c>
      <c r="BO1968" s="19">
        <f t="shared" si="1964"/>
        <v>2668</v>
      </c>
      <c r="BP1968">
        <f t="shared" si="1965"/>
        <v>2663</v>
      </c>
      <c r="BQ1968" s="17">
        <f t="shared" si="1966"/>
        <v>2685</v>
      </c>
      <c r="BR1968" t="str">
        <f t="shared" si="1967"/>
        <v>event_team_player_1</v>
      </c>
      <c r="BS1968">
        <f>COUNTIFS(S$3:S1968,"="&amp;S1968,AI$3:AI1968,"="&amp;AI1968)</f>
        <v>1</v>
      </c>
      <c r="BT1968" t="str">
        <f>IFERROR(VLOOKUP(BB1968&amp;BU1968&amp;X1968,game_rosters!U:W,3,FALSE),"")</f>
        <v>P100138</v>
      </c>
      <c r="BU1968" t="str">
        <f t="shared" si="1968"/>
        <v>Nelson</v>
      </c>
    </row>
    <row r="1969" spans="1:73" x14ac:dyDescent="0.2">
      <c r="A1969">
        <f t="shared" si="1954"/>
        <v>1</v>
      </c>
      <c r="J1969" s="44" t="str">
        <f t="shared" si="1969"/>
        <v/>
      </c>
      <c r="K1969" t="s">
        <v>5</v>
      </c>
      <c r="L1969" t="s">
        <v>236</v>
      </c>
      <c r="M1969" t="s">
        <v>756</v>
      </c>
      <c r="S1969">
        <v>1037</v>
      </c>
      <c r="W1969" t="str">
        <f t="shared" si="1945"/>
        <v>a</v>
      </c>
      <c r="X1969">
        <v>49</v>
      </c>
      <c r="Y1969" t="e">
        <f>IF(X1969&lt;&gt;"",VLOOKUP(X1969,game_rosters!$C$43:$E$64,3,FALSE))</f>
        <v>#N/A</v>
      </c>
      <c r="Z1969" cm="1">
        <f t="array" ref="Z1969">IFERROR(IF(_xlfn._xlws.FILTER(game_rosters!$J:$J,(game_rosters!$G:$G=events!$AN1969)*(game_rosters!$J:$J=events!$X1969))&gt;0,1,""),"")</f>
        <v>1</v>
      </c>
      <c r="AA1969">
        <f t="shared" si="1993"/>
        <v>2037</v>
      </c>
      <c r="AB1969" t="str">
        <f t="shared" si="1994"/>
        <v/>
      </c>
      <c r="AC1969">
        <f t="shared" si="1942"/>
        <v>2037</v>
      </c>
      <c r="AD1969" s="6">
        <v>3</v>
      </c>
      <c r="AE1969" t="s">
        <v>754</v>
      </c>
      <c r="AF1969" t="s">
        <v>928</v>
      </c>
      <c r="AG1969" t="s">
        <v>756</v>
      </c>
      <c r="AH1969" t="s">
        <v>756</v>
      </c>
      <c r="AI1969" t="s">
        <v>367</v>
      </c>
      <c r="AJ1969" t="str">
        <f t="shared" ref="AJ1969:AK1969" si="2015">IF($J1969&lt;&gt;"",$J1969,IF($AC1969=$AC1968,AJ1968,""))</f>
        <v/>
      </c>
      <c r="AK1969" t="str">
        <f t="shared" si="2015"/>
        <v/>
      </c>
      <c r="AL1969" t="str">
        <f t="shared" si="1947"/>
        <v/>
      </c>
      <c r="AN1969" t="s">
        <v>862</v>
      </c>
      <c r="AO1969" t="str">
        <f t="shared" si="1948"/>
        <v>a</v>
      </c>
      <c r="AP1969" t="str">
        <f t="shared" si="1956"/>
        <v/>
      </c>
      <c r="AQ1969" t="str">
        <f t="shared" si="1957"/>
        <v/>
      </c>
      <c r="AR1969" t="str">
        <f t="shared" si="1958"/>
        <v>Away</v>
      </c>
      <c r="AS1969" t="str">
        <f t="shared" si="1959"/>
        <v>a</v>
      </c>
      <c r="AT1969" t="str">
        <f t="shared" si="1960"/>
        <v>Offensive</v>
      </c>
      <c r="BA1969" s="6">
        <f t="shared" si="1949"/>
        <v>449</v>
      </c>
      <c r="BB1969">
        <f t="shared" si="1950"/>
        <v>18981</v>
      </c>
      <c r="BC1969" t="str">
        <f t="shared" si="1951"/>
        <v>Nelson</v>
      </c>
      <c r="BD1969" t="str">
        <f t="shared" si="1952"/>
        <v>Velodrome</v>
      </c>
      <c r="BE1969" t="s">
        <v>5</v>
      </c>
      <c r="BF1969" t="s">
        <v>236</v>
      </c>
      <c r="BG1969" t="s">
        <v>756</v>
      </c>
      <c r="BI1969" cm="1">
        <f t="array" aca="1" ref="BI1969" ca="1">IFERROR(_xlfn._xlws.FILTER(shifts!A:A,(shifts!B:B=events!AD1969)*(shifts!AG:AG&gt;=events!BK1969)*(shifts!AH:AH&lt;=events!BL1969)),BI1968)</f>
        <v>85</v>
      </c>
      <c r="BJ1969" s="15">
        <f t="shared" si="1953"/>
        <v>0</v>
      </c>
      <c r="BK1969">
        <f t="shared" si="1961"/>
        <v>697</v>
      </c>
      <c r="BL1969">
        <f t="shared" si="1962"/>
        <v>697</v>
      </c>
      <c r="BM1969" s="15">
        <f>SUMIFS(BJ$2:BJ1969,K$2:K1969,"=Intermission")+SUMIFS(BJ$2:BJ1969,K$2:K1969,"=Timeout")</f>
        <v>142</v>
      </c>
      <c r="BN1969">
        <f t="shared" si="1963"/>
        <v>2302</v>
      </c>
      <c r="BO1969" s="19">
        <f t="shared" si="1964"/>
        <v>2685</v>
      </c>
      <c r="BP1969">
        <f t="shared" si="1965"/>
        <v>2680</v>
      </c>
      <c r="BQ1969" s="17">
        <f t="shared" si="1966"/>
        <v>2685</v>
      </c>
      <c r="BR1969" t="str">
        <f t="shared" si="1967"/>
        <v>event_team_player_1</v>
      </c>
      <c r="BS1969">
        <f>COUNTIFS(S$3:S1969,"="&amp;S1969,AI$3:AI1969,"="&amp;AI1969)</f>
        <v>1</v>
      </c>
      <c r="BT1969" t="str">
        <f>IFERROR(VLOOKUP(BB1969&amp;BU1969&amp;X1969,game_rosters!U:W,3,FALSE),"")</f>
        <v>P100161</v>
      </c>
      <c r="BU1969" t="str">
        <f t="shared" si="1968"/>
        <v>Velodrome</v>
      </c>
    </row>
    <row r="1970" spans="1:73" x14ac:dyDescent="0.2">
      <c r="A1970">
        <f t="shared" si="1954"/>
        <v>1</v>
      </c>
      <c r="J1970" s="44" t="str">
        <f t="shared" si="1969"/>
        <v/>
      </c>
      <c r="K1970" t="s">
        <v>5</v>
      </c>
      <c r="L1970" t="s">
        <v>236</v>
      </c>
      <c r="M1970" t="s">
        <v>756</v>
      </c>
      <c r="S1970">
        <v>1037</v>
      </c>
      <c r="W1970" t="str">
        <f t="shared" si="1945"/>
        <v>a</v>
      </c>
      <c r="X1970">
        <v>93</v>
      </c>
      <c r="Y1970" t="e">
        <f>IF(X1970&lt;&gt;"",VLOOKUP(X1970,game_rosters!$C$43:$E$64,3,FALSE))</f>
        <v>#N/A</v>
      </c>
      <c r="Z1970" cm="1">
        <f t="array" ref="Z1970">IFERROR(IF(_xlfn._xlws.FILTER(game_rosters!$J:$J,(game_rosters!$G:$G=events!$AN1970)*(game_rosters!$J:$J=events!$X1970))&gt;0,1,""),"")</f>
        <v>1</v>
      </c>
      <c r="AA1970">
        <f t="shared" si="1993"/>
        <v>2037</v>
      </c>
      <c r="AB1970" t="str">
        <f t="shared" si="1994"/>
        <v/>
      </c>
      <c r="AC1970">
        <f t="shared" si="1942"/>
        <v>2037</v>
      </c>
      <c r="AD1970" s="6">
        <v>3</v>
      </c>
      <c r="AE1970" t="s">
        <v>754</v>
      </c>
      <c r="AF1970" t="s">
        <v>928</v>
      </c>
      <c r="AG1970" t="s">
        <v>756</v>
      </c>
      <c r="AH1970" t="s">
        <v>756</v>
      </c>
      <c r="AI1970" t="s">
        <v>367</v>
      </c>
      <c r="AJ1970" t="str">
        <f t="shared" ref="AJ1970:AK1970" si="2016">IF($J1970&lt;&gt;"",$J1970,IF($AC1970=$AC1969,AJ1969,""))</f>
        <v/>
      </c>
      <c r="AK1970" t="str">
        <f t="shared" si="2016"/>
        <v/>
      </c>
      <c r="AL1970" t="str">
        <f t="shared" si="1947"/>
        <v/>
      </c>
      <c r="AN1970" t="s">
        <v>862</v>
      </c>
      <c r="AO1970" t="str">
        <f t="shared" si="1948"/>
        <v>a</v>
      </c>
      <c r="AP1970" t="str">
        <f t="shared" si="1956"/>
        <v/>
      </c>
      <c r="AQ1970" t="str">
        <f t="shared" si="1957"/>
        <v/>
      </c>
      <c r="AR1970" t="str">
        <f t="shared" si="1958"/>
        <v>Away</v>
      </c>
      <c r="AS1970" t="str">
        <f t="shared" si="1959"/>
        <v>a</v>
      </c>
      <c r="AT1970" t="str">
        <f t="shared" si="1960"/>
        <v>Offensive</v>
      </c>
      <c r="BA1970" s="6">
        <f t="shared" si="1949"/>
        <v>449</v>
      </c>
      <c r="BB1970">
        <f t="shared" si="1950"/>
        <v>18981</v>
      </c>
      <c r="BC1970" t="str">
        <f t="shared" si="1951"/>
        <v>Nelson</v>
      </c>
      <c r="BD1970" t="str">
        <f t="shared" si="1952"/>
        <v>Velodrome</v>
      </c>
      <c r="BE1970" t="s">
        <v>5</v>
      </c>
      <c r="BF1970" t="s">
        <v>236</v>
      </c>
      <c r="BG1970" t="s">
        <v>756</v>
      </c>
      <c r="BI1970" cm="1">
        <f t="array" aca="1" ref="BI1970" ca="1">IFERROR(_xlfn._xlws.FILTER(shifts!A:A,(shifts!B:B=events!AD1970)*(shifts!AG:AG&gt;=events!BK1970)*(shifts!AH:AH&lt;=events!BL1970)),BI1969)</f>
        <v>85</v>
      </c>
      <c r="BJ1970" s="15">
        <f t="shared" si="1953"/>
        <v>0</v>
      </c>
      <c r="BK1970">
        <f t="shared" si="1961"/>
        <v>697</v>
      </c>
      <c r="BL1970">
        <f t="shared" si="1962"/>
        <v>697</v>
      </c>
      <c r="BM1970" s="15">
        <f>SUMIFS(BJ$2:BJ1970,K$2:K1970,"=Intermission")+SUMIFS(BJ$2:BJ1970,K$2:K1970,"=Timeout")</f>
        <v>142</v>
      </c>
      <c r="BN1970">
        <f t="shared" si="1963"/>
        <v>2302</v>
      </c>
      <c r="BO1970" s="19">
        <f t="shared" si="1964"/>
        <v>2685</v>
      </c>
      <c r="BP1970">
        <f t="shared" si="1965"/>
        <v>2680</v>
      </c>
      <c r="BQ1970" s="17">
        <f t="shared" si="1966"/>
        <v>2685</v>
      </c>
      <c r="BR1970" t="str">
        <f t="shared" si="1967"/>
        <v>event_team_player_2</v>
      </c>
      <c r="BS1970">
        <f>COUNTIFS(S$3:S1970,"="&amp;S1970,AI$3:AI1970,"="&amp;AI1970)</f>
        <v>2</v>
      </c>
      <c r="BT1970" t="str">
        <f>IFERROR(VLOOKUP(BB1970&amp;BU1970&amp;X1970,game_rosters!U:W,3,FALSE),"")</f>
        <v>P100093</v>
      </c>
      <c r="BU1970" t="str">
        <f t="shared" si="1968"/>
        <v>Velodrome</v>
      </c>
    </row>
    <row r="1971" spans="1:73" x14ac:dyDescent="0.2">
      <c r="A1971">
        <f t="shared" si="1954"/>
        <v>1</v>
      </c>
      <c r="J1971" s="44" t="str">
        <f t="shared" si="1969"/>
        <v/>
      </c>
      <c r="K1971" t="s">
        <v>5</v>
      </c>
      <c r="L1971" t="s">
        <v>236</v>
      </c>
      <c r="M1971" t="s">
        <v>756</v>
      </c>
      <c r="S1971">
        <v>1037</v>
      </c>
      <c r="W1971" t="str">
        <f t="shared" si="1945"/>
        <v>a</v>
      </c>
      <c r="X1971">
        <v>79</v>
      </c>
      <c r="Y1971" t="b">
        <f>IF(X1971&lt;&gt;"",VLOOKUP(X1971,game_rosters!$C$43:$E$64,3,FALSE))</f>
        <v>0</v>
      </c>
      <c r="Z1971" t="str" cm="1">
        <f t="array" ref="Z1971">IFERROR(IF(_xlfn._xlws.FILTER(game_rosters!$J:$J,(game_rosters!$G:$G=events!$AN1971)*(game_rosters!$J:$J=events!$X1971))&gt;0,1,""),"")</f>
        <v/>
      </c>
      <c r="AA1971">
        <f t="shared" si="1993"/>
        <v>2037</v>
      </c>
      <c r="AB1971" t="str">
        <f t="shared" si="1994"/>
        <v/>
      </c>
      <c r="AC1971">
        <f t="shared" si="1942"/>
        <v>2037</v>
      </c>
      <c r="AD1971" s="6">
        <v>3</v>
      </c>
      <c r="AE1971" t="s">
        <v>754</v>
      </c>
      <c r="AF1971" t="s">
        <v>928</v>
      </c>
      <c r="AG1971" t="s">
        <v>756</v>
      </c>
      <c r="AH1971" t="s">
        <v>756</v>
      </c>
      <c r="AI1971" t="s">
        <v>368</v>
      </c>
      <c r="AJ1971" t="str">
        <f t="shared" ref="AJ1971:AK1971" si="2017">IF($J1971&lt;&gt;"",$J1971,IF($AC1971=$AC1970,AJ1970,""))</f>
        <v/>
      </c>
      <c r="AK1971" t="str">
        <f t="shared" si="2017"/>
        <v/>
      </c>
      <c r="AL1971" t="str">
        <f t="shared" si="1947"/>
        <v/>
      </c>
      <c r="AN1971" t="s">
        <v>862</v>
      </c>
      <c r="AO1971" t="str">
        <f t="shared" si="1948"/>
        <v>a</v>
      </c>
      <c r="AP1971" t="str">
        <f t="shared" si="1956"/>
        <v/>
      </c>
      <c r="AQ1971" t="str">
        <f t="shared" si="1957"/>
        <v/>
      </c>
      <c r="AR1971" t="str">
        <f t="shared" si="1958"/>
        <v>Away</v>
      </c>
      <c r="AS1971" t="str">
        <f t="shared" si="1959"/>
        <v>a</v>
      </c>
      <c r="AT1971" t="str">
        <f t="shared" si="1960"/>
        <v>Defensive</v>
      </c>
      <c r="BA1971" s="6">
        <f t="shared" si="1949"/>
        <v>449</v>
      </c>
      <c r="BB1971">
        <f t="shared" si="1950"/>
        <v>18981</v>
      </c>
      <c r="BC1971" t="str">
        <f t="shared" si="1951"/>
        <v>Nelson</v>
      </c>
      <c r="BD1971" t="str">
        <f t="shared" si="1952"/>
        <v>Velodrome</v>
      </c>
      <c r="BE1971" t="s">
        <v>5</v>
      </c>
      <c r="BF1971" t="s">
        <v>236</v>
      </c>
      <c r="BG1971" t="s">
        <v>756</v>
      </c>
      <c r="BI1971" cm="1">
        <f t="array" aca="1" ref="BI1971" ca="1">IFERROR(_xlfn._xlws.FILTER(shifts!A:A,(shifts!B:B=events!AD1971)*(shifts!AG:AG&gt;=events!BK1971)*(shifts!AH:AH&lt;=events!BL1971)),BI1970)</f>
        <v>85</v>
      </c>
      <c r="BJ1971" s="15">
        <f t="shared" si="1953"/>
        <v>0</v>
      </c>
      <c r="BK1971">
        <f t="shared" si="1961"/>
        <v>697</v>
      </c>
      <c r="BL1971">
        <f t="shared" si="1962"/>
        <v>697</v>
      </c>
      <c r="BM1971" s="15">
        <f>SUMIFS(BJ$2:BJ1971,K$2:K1971,"=Intermission")+SUMIFS(BJ$2:BJ1971,K$2:K1971,"=Timeout")</f>
        <v>142</v>
      </c>
      <c r="BN1971">
        <f t="shared" si="1963"/>
        <v>2302</v>
      </c>
      <c r="BO1971" s="19">
        <f t="shared" si="1964"/>
        <v>2685</v>
      </c>
      <c r="BP1971">
        <f t="shared" si="1965"/>
        <v>2680</v>
      </c>
      <c r="BQ1971" s="17">
        <f t="shared" si="1966"/>
        <v>2685</v>
      </c>
      <c r="BR1971" t="str">
        <f t="shared" si="1967"/>
        <v>opp_team_player_1</v>
      </c>
      <c r="BS1971">
        <f>COUNTIFS(S$3:S1971,"="&amp;S1971,AI$3:AI1971,"="&amp;AI1971)</f>
        <v>1</v>
      </c>
      <c r="BT1971" t="str">
        <f>IFERROR(VLOOKUP(BB1971&amp;BU1971&amp;X1971,game_rosters!U:W,3,FALSE),"")</f>
        <v>P100066</v>
      </c>
      <c r="BU1971" t="str">
        <f t="shared" si="1968"/>
        <v>Nelson</v>
      </c>
    </row>
    <row r="1972" spans="1:73" x14ac:dyDescent="0.2">
      <c r="A1972">
        <f t="shared" si="1954"/>
        <v>1</v>
      </c>
      <c r="J1972" s="44" t="str">
        <f t="shared" si="1969"/>
        <v>o</v>
      </c>
      <c r="K1972" t="s">
        <v>6</v>
      </c>
      <c r="L1972" t="s">
        <v>191</v>
      </c>
      <c r="M1972" t="s">
        <v>51</v>
      </c>
      <c r="S1972">
        <v>1038</v>
      </c>
      <c r="W1972" t="str">
        <f t="shared" si="1945"/>
        <v>a</v>
      </c>
      <c r="X1972">
        <v>93</v>
      </c>
      <c r="Y1972" t="e">
        <f>IF(X1972&lt;&gt;"",VLOOKUP(X1972,game_rosters!$C$43:$E$64,3,FALSE))</f>
        <v>#N/A</v>
      </c>
      <c r="Z1972" cm="1">
        <f t="array" ref="Z1972">IFERROR(IF(_xlfn._xlws.FILTER(game_rosters!$J:$J,(game_rosters!$G:$G=events!$AN1972)*(game_rosters!$J:$J=events!$X1972))&gt;0,1,""),"")</f>
        <v>1</v>
      </c>
      <c r="AA1972">
        <f t="shared" si="1993"/>
        <v>2038</v>
      </c>
      <c r="AB1972" t="str">
        <f t="shared" si="1994"/>
        <v/>
      </c>
      <c r="AC1972">
        <f t="shared" si="1942"/>
        <v>2038</v>
      </c>
      <c r="AD1972" s="6">
        <v>3</v>
      </c>
      <c r="AE1972" t="s">
        <v>754</v>
      </c>
      <c r="AF1972" t="s">
        <v>904</v>
      </c>
      <c r="AG1972" t="s">
        <v>756</v>
      </c>
      <c r="AH1972" t="s">
        <v>756</v>
      </c>
      <c r="AI1972" t="s">
        <v>367</v>
      </c>
      <c r="AJ1972" t="str">
        <f t="shared" ref="AJ1972:AK1972" si="2018">IF($J1972&lt;&gt;"",$J1972,IF($AC1972=$AC1971,AJ1971,""))</f>
        <v>o</v>
      </c>
      <c r="AK1972" t="str">
        <f t="shared" si="2018"/>
        <v>o</v>
      </c>
      <c r="AL1972" t="str">
        <f t="shared" si="1947"/>
        <v>d</v>
      </c>
      <c r="AN1972" t="s">
        <v>862</v>
      </c>
      <c r="AO1972" t="str">
        <f t="shared" si="1948"/>
        <v>a</v>
      </c>
      <c r="AP1972" t="str">
        <f t="shared" si="1956"/>
        <v>d</v>
      </c>
      <c r="AQ1972" t="str">
        <f t="shared" si="1957"/>
        <v/>
      </c>
      <c r="AR1972" t="str">
        <f t="shared" si="1958"/>
        <v>Away</v>
      </c>
      <c r="AS1972" t="str">
        <f t="shared" si="1959"/>
        <v>a</v>
      </c>
      <c r="AT1972" t="str">
        <f t="shared" si="1960"/>
        <v>Offensive</v>
      </c>
      <c r="BA1972" s="6">
        <f t="shared" si="1949"/>
        <v>449</v>
      </c>
      <c r="BB1972">
        <f t="shared" si="1950"/>
        <v>18981</v>
      </c>
      <c r="BC1972" t="str">
        <f t="shared" si="1951"/>
        <v>Nelson</v>
      </c>
      <c r="BD1972" t="str">
        <f t="shared" si="1952"/>
        <v>Velodrome</v>
      </c>
      <c r="BE1972" t="s">
        <v>6</v>
      </c>
      <c r="BF1972" t="s">
        <v>191</v>
      </c>
      <c r="BG1972" t="s">
        <v>51</v>
      </c>
      <c r="BI1972" cm="1">
        <f t="array" aca="1" ref="BI1972" ca="1">IFERROR(_xlfn._xlws.FILTER(shifts!A:A,(shifts!B:B=events!AD1972)*(shifts!AG:AG&gt;=events!BK1972)*(shifts!AH:AH&lt;=events!BL1972)),BI1971)</f>
        <v>85</v>
      </c>
      <c r="BJ1972" s="15">
        <f t="shared" si="1953"/>
        <v>0</v>
      </c>
      <c r="BK1972">
        <f t="shared" si="1961"/>
        <v>696</v>
      </c>
      <c r="BL1972">
        <f t="shared" si="1962"/>
        <v>696</v>
      </c>
      <c r="BM1972" s="15">
        <f>SUMIFS(BJ$2:BJ1972,K$2:K1972,"=Intermission")+SUMIFS(BJ$2:BJ1972,K$2:K1972,"=Timeout")</f>
        <v>142</v>
      </c>
      <c r="BN1972">
        <f t="shared" si="1963"/>
        <v>2302</v>
      </c>
      <c r="BO1972" s="19">
        <f t="shared" si="1964"/>
        <v>2686</v>
      </c>
      <c r="BP1972">
        <f t="shared" si="1965"/>
        <v>2681</v>
      </c>
      <c r="BQ1972" s="17">
        <f t="shared" si="1966"/>
        <v>2686</v>
      </c>
      <c r="BR1972" t="str">
        <f t="shared" si="1967"/>
        <v>event_team_player_1</v>
      </c>
      <c r="BS1972">
        <f>COUNTIFS(S$3:S1972,"="&amp;S1972,AI$3:AI1972,"="&amp;AI1972)</f>
        <v>1</v>
      </c>
      <c r="BT1972" t="str">
        <f>IFERROR(VLOOKUP(BB1972&amp;BU1972&amp;X1972,game_rosters!U:W,3,FALSE),"")</f>
        <v>P100093</v>
      </c>
      <c r="BU1972" t="str">
        <f t="shared" si="1968"/>
        <v>Velodrome</v>
      </c>
    </row>
    <row r="1973" spans="1:73" x14ac:dyDescent="0.2">
      <c r="A1973">
        <f t="shared" si="1954"/>
        <v>1</v>
      </c>
      <c r="J1973" s="44" t="str">
        <f t="shared" si="1969"/>
        <v>o</v>
      </c>
      <c r="K1973" t="s">
        <v>6</v>
      </c>
      <c r="L1973" t="s">
        <v>191</v>
      </c>
      <c r="M1973" t="s">
        <v>51</v>
      </c>
      <c r="S1973">
        <v>1038</v>
      </c>
      <c r="W1973" t="str">
        <f t="shared" si="1945"/>
        <v>a</v>
      </c>
      <c r="X1973">
        <v>79</v>
      </c>
      <c r="Y1973" t="b">
        <f>IF(X1973&lt;&gt;"",VLOOKUP(X1973,game_rosters!$C$43:$E$64,3,FALSE))</f>
        <v>0</v>
      </c>
      <c r="Z1973" t="str" cm="1">
        <f t="array" ref="Z1973">IFERROR(IF(_xlfn._xlws.FILTER(game_rosters!$J:$J,(game_rosters!$G:$G=events!$AN1973)*(game_rosters!$J:$J=events!$X1973))&gt;0,1,""),"")</f>
        <v/>
      </c>
      <c r="AA1973">
        <f t="shared" si="1993"/>
        <v>2038</v>
      </c>
      <c r="AB1973" t="str">
        <f t="shared" si="1994"/>
        <v/>
      </c>
      <c r="AC1973">
        <f t="shared" si="1942"/>
        <v>2038</v>
      </c>
      <c r="AD1973" s="6">
        <v>3</v>
      </c>
      <c r="AE1973" t="s">
        <v>754</v>
      </c>
      <c r="AF1973" t="s">
        <v>904</v>
      </c>
      <c r="AG1973" t="s">
        <v>756</v>
      </c>
      <c r="AH1973" t="s">
        <v>756</v>
      </c>
      <c r="AI1973" t="s">
        <v>368</v>
      </c>
      <c r="AJ1973" t="str">
        <f t="shared" ref="AJ1973:AK1973" si="2019">IF($J1973&lt;&gt;"",$J1973,IF($AC1973=$AC1972,AJ1972,""))</f>
        <v>o</v>
      </c>
      <c r="AK1973" t="str">
        <f t="shared" si="2019"/>
        <v>o</v>
      </c>
      <c r="AL1973" t="str">
        <f t="shared" si="1947"/>
        <v>d</v>
      </c>
      <c r="AN1973" t="s">
        <v>862</v>
      </c>
      <c r="AO1973" t="str">
        <f t="shared" si="1948"/>
        <v>a</v>
      </c>
      <c r="AP1973" t="str">
        <f t="shared" si="1956"/>
        <v>d</v>
      </c>
      <c r="AQ1973" t="str">
        <f t="shared" si="1957"/>
        <v/>
      </c>
      <c r="AR1973" t="str">
        <f t="shared" si="1958"/>
        <v>Away</v>
      </c>
      <c r="AS1973" t="str">
        <f t="shared" si="1959"/>
        <v>a</v>
      </c>
      <c r="AT1973" t="str">
        <f t="shared" si="1960"/>
        <v>Defensive</v>
      </c>
      <c r="BA1973" s="6">
        <f t="shared" si="1949"/>
        <v>449</v>
      </c>
      <c r="BB1973">
        <f t="shared" si="1950"/>
        <v>18981</v>
      </c>
      <c r="BC1973" t="str">
        <f t="shared" si="1951"/>
        <v>Nelson</v>
      </c>
      <c r="BD1973" t="str">
        <f t="shared" si="1952"/>
        <v>Velodrome</v>
      </c>
      <c r="BE1973" t="s">
        <v>6</v>
      </c>
      <c r="BF1973" t="s">
        <v>191</v>
      </c>
      <c r="BG1973" t="s">
        <v>51</v>
      </c>
      <c r="BI1973" cm="1">
        <f t="array" aca="1" ref="BI1973" ca="1">IFERROR(_xlfn._xlws.FILTER(shifts!A:A,(shifts!B:B=events!AD1973)*(shifts!AG:AG&gt;=events!BK1973)*(shifts!AH:AH&lt;=events!BL1973)),BI1972)</f>
        <v>85</v>
      </c>
      <c r="BJ1973" s="15">
        <f t="shared" si="1953"/>
        <v>0</v>
      </c>
      <c r="BK1973">
        <f t="shared" si="1961"/>
        <v>696</v>
      </c>
      <c r="BL1973">
        <f t="shared" si="1962"/>
        <v>696</v>
      </c>
      <c r="BM1973" s="15">
        <f>SUMIFS(BJ$2:BJ1973,K$2:K1973,"=Intermission")+SUMIFS(BJ$2:BJ1973,K$2:K1973,"=Timeout")</f>
        <v>142</v>
      </c>
      <c r="BN1973">
        <f t="shared" si="1963"/>
        <v>2302</v>
      </c>
      <c r="BO1973" s="19">
        <f t="shared" si="1964"/>
        <v>2686</v>
      </c>
      <c r="BP1973">
        <f t="shared" si="1965"/>
        <v>2681</v>
      </c>
      <c r="BQ1973" s="17">
        <f t="shared" si="1966"/>
        <v>2686</v>
      </c>
      <c r="BR1973" t="str">
        <f t="shared" si="1967"/>
        <v>opp_team_player_1</v>
      </c>
      <c r="BS1973">
        <f>COUNTIFS(S$3:S1973,"="&amp;S1973,AI$3:AI1973,"="&amp;AI1973)</f>
        <v>1</v>
      </c>
      <c r="BT1973" t="str">
        <f>IFERROR(VLOOKUP(BB1973&amp;BU1973&amp;X1973,game_rosters!U:W,3,FALSE),"")</f>
        <v>P100066</v>
      </c>
      <c r="BU1973" t="str">
        <f t="shared" si="1968"/>
        <v>Nelson</v>
      </c>
    </row>
    <row r="1974" spans="1:73" x14ac:dyDescent="0.2">
      <c r="A1974">
        <f t="shared" si="1954"/>
        <v>1</v>
      </c>
      <c r="J1974" s="44" t="str">
        <f t="shared" si="1969"/>
        <v/>
      </c>
      <c r="K1974" t="s">
        <v>9</v>
      </c>
      <c r="L1974" t="s">
        <v>173</v>
      </c>
      <c r="M1974" t="s">
        <v>76</v>
      </c>
      <c r="S1974">
        <v>1039</v>
      </c>
      <c r="W1974" t="str">
        <f t="shared" si="1945"/>
        <v>a</v>
      </c>
      <c r="X1974">
        <v>93</v>
      </c>
      <c r="Y1974" t="e">
        <f>IF(X1974&lt;&gt;"",VLOOKUP(X1974,game_rosters!$C$43:$E$64,3,FALSE))</f>
        <v>#N/A</v>
      </c>
      <c r="Z1974" cm="1">
        <f t="array" ref="Z1974">IFERROR(IF(_xlfn._xlws.FILTER(game_rosters!$J:$J,(game_rosters!$G:$G=events!$AN1974)*(game_rosters!$J:$J=events!$X1974))&gt;0,1,""),"")</f>
        <v>1</v>
      </c>
      <c r="AA1974">
        <f t="shared" si="1993"/>
        <v>2039</v>
      </c>
      <c r="AB1974" t="str">
        <f t="shared" si="1994"/>
        <v/>
      </c>
      <c r="AC1974">
        <f t="shared" si="1942"/>
        <v>2039</v>
      </c>
      <c r="AD1974" s="6">
        <v>3</v>
      </c>
      <c r="AE1974" t="s">
        <v>754</v>
      </c>
      <c r="AF1974" t="s">
        <v>904</v>
      </c>
      <c r="AG1974" t="s">
        <v>756</v>
      </c>
      <c r="AH1974" t="s">
        <v>756</v>
      </c>
      <c r="AI1974" t="s">
        <v>367</v>
      </c>
      <c r="AJ1974" t="str">
        <f t="shared" ref="AJ1974:AK1974" si="2020">IF($J1974&lt;&gt;"",$J1974,IF($AC1974=$AC1973,AJ1973,""))</f>
        <v/>
      </c>
      <c r="AK1974" t="str">
        <f t="shared" si="2020"/>
        <v/>
      </c>
      <c r="AL1974" t="str">
        <f t="shared" si="1947"/>
        <v/>
      </c>
      <c r="AN1974" t="s">
        <v>862</v>
      </c>
      <c r="AO1974" t="str">
        <f t="shared" si="1948"/>
        <v>a</v>
      </c>
      <c r="AP1974" t="str">
        <f t="shared" si="1956"/>
        <v/>
      </c>
      <c r="AQ1974" t="str">
        <f t="shared" si="1957"/>
        <v/>
      </c>
      <c r="AR1974" t="str">
        <f t="shared" si="1958"/>
        <v>Away</v>
      </c>
      <c r="AS1974" t="str">
        <f t="shared" si="1959"/>
        <v>a</v>
      </c>
      <c r="AT1974" t="str">
        <f t="shared" si="1960"/>
        <v>Offensive</v>
      </c>
      <c r="BA1974" s="6">
        <f t="shared" si="1949"/>
        <v>449</v>
      </c>
      <c r="BB1974">
        <f t="shared" si="1950"/>
        <v>18981</v>
      </c>
      <c r="BC1974" t="str">
        <f t="shared" si="1951"/>
        <v>Nelson</v>
      </c>
      <c r="BD1974" t="str">
        <f t="shared" si="1952"/>
        <v>Velodrome</v>
      </c>
      <c r="BE1974" t="s">
        <v>9</v>
      </c>
      <c r="BF1974" t="s">
        <v>173</v>
      </c>
      <c r="BG1974" t="s">
        <v>76</v>
      </c>
      <c r="BI1974" cm="1">
        <f t="array" aca="1" ref="BI1974" ca="1">IFERROR(_xlfn._xlws.FILTER(shifts!A:A,(shifts!B:B=events!AD1974)*(shifts!AG:AG&gt;=events!BK1974)*(shifts!AH:AH&lt;=events!BL1974)),BI1973)</f>
        <v>85</v>
      </c>
      <c r="BJ1974" s="15">
        <f t="shared" si="1953"/>
        <v>0</v>
      </c>
      <c r="BK1974">
        <f t="shared" si="1961"/>
        <v>696</v>
      </c>
      <c r="BL1974">
        <f t="shared" si="1962"/>
        <v>696</v>
      </c>
      <c r="BM1974" s="15">
        <f>SUMIFS(BJ$2:BJ1974,K$2:K1974,"=Intermission")+SUMIFS(BJ$2:BJ1974,K$2:K1974,"=Timeout")</f>
        <v>142</v>
      </c>
      <c r="BN1974">
        <f t="shared" si="1963"/>
        <v>2302</v>
      </c>
      <c r="BO1974" s="19">
        <f t="shared" si="1964"/>
        <v>2686</v>
      </c>
      <c r="BP1974">
        <f t="shared" si="1965"/>
        <v>2681</v>
      </c>
      <c r="BQ1974" s="17">
        <f t="shared" si="1966"/>
        <v>2686</v>
      </c>
      <c r="BR1974" t="str">
        <f t="shared" si="1967"/>
        <v>event_team_player_1</v>
      </c>
      <c r="BS1974">
        <f>COUNTIFS(S$3:S1974,"="&amp;S1974,AI$3:AI1974,"="&amp;AI1974)</f>
        <v>1</v>
      </c>
      <c r="BT1974" t="str">
        <f>IFERROR(VLOOKUP(BB1974&amp;BU1974&amp;X1974,game_rosters!U:W,3,FALSE),"")</f>
        <v>P100093</v>
      </c>
      <c r="BU1974" t="str">
        <f t="shared" si="1968"/>
        <v>Velodrome</v>
      </c>
    </row>
    <row r="1975" spans="1:73" x14ac:dyDescent="0.2">
      <c r="A1975">
        <f t="shared" si="1954"/>
        <v>1</v>
      </c>
      <c r="J1975" s="44" t="str">
        <f t="shared" si="1969"/>
        <v/>
      </c>
      <c r="K1975" t="s">
        <v>9</v>
      </c>
      <c r="L1975" t="s">
        <v>173</v>
      </c>
      <c r="M1975" t="s">
        <v>76</v>
      </c>
      <c r="S1975">
        <v>1039</v>
      </c>
      <c r="W1975" t="str">
        <f t="shared" si="1945"/>
        <v>a</v>
      </c>
      <c r="X1975">
        <v>79</v>
      </c>
      <c r="Y1975" t="b">
        <f>IF(X1975&lt;&gt;"",VLOOKUP(X1975,game_rosters!$C$43:$E$64,3,FALSE))</f>
        <v>0</v>
      </c>
      <c r="Z1975" t="str" cm="1">
        <f t="array" ref="Z1975">IFERROR(IF(_xlfn._xlws.FILTER(game_rosters!$J:$J,(game_rosters!$G:$G=events!$AN1975)*(game_rosters!$J:$J=events!$X1975))&gt;0,1,""),"")</f>
        <v/>
      </c>
      <c r="AA1975">
        <f t="shared" si="1993"/>
        <v>2039</v>
      </c>
      <c r="AB1975" t="str">
        <f t="shared" si="1994"/>
        <v/>
      </c>
      <c r="AC1975">
        <f t="shared" si="1942"/>
        <v>2039</v>
      </c>
      <c r="AD1975" s="6">
        <v>3</v>
      </c>
      <c r="AE1975" t="s">
        <v>754</v>
      </c>
      <c r="AF1975" t="s">
        <v>904</v>
      </c>
      <c r="AG1975" t="s">
        <v>756</v>
      </c>
      <c r="AH1975" t="s">
        <v>756</v>
      </c>
      <c r="AI1975" t="s">
        <v>368</v>
      </c>
      <c r="AJ1975" t="str">
        <f t="shared" ref="AJ1975:AK1975" si="2021">IF($J1975&lt;&gt;"",$J1975,IF($AC1975=$AC1974,AJ1974,""))</f>
        <v/>
      </c>
      <c r="AK1975" t="str">
        <f t="shared" si="2021"/>
        <v/>
      </c>
      <c r="AL1975" t="str">
        <f t="shared" si="1947"/>
        <v/>
      </c>
      <c r="AN1975" t="s">
        <v>862</v>
      </c>
      <c r="AO1975" t="str">
        <f t="shared" si="1948"/>
        <v>a</v>
      </c>
      <c r="AP1975" t="str">
        <f t="shared" si="1956"/>
        <v/>
      </c>
      <c r="AQ1975" t="str">
        <f t="shared" si="1957"/>
        <v/>
      </c>
      <c r="AR1975" t="str">
        <f t="shared" si="1958"/>
        <v>Away</v>
      </c>
      <c r="AS1975" t="str">
        <f t="shared" si="1959"/>
        <v>a</v>
      </c>
      <c r="AT1975" t="str">
        <f t="shared" si="1960"/>
        <v>Defensive</v>
      </c>
      <c r="BA1975" s="6">
        <f t="shared" si="1949"/>
        <v>449</v>
      </c>
      <c r="BB1975">
        <f t="shared" si="1950"/>
        <v>18981</v>
      </c>
      <c r="BC1975" t="str">
        <f t="shared" si="1951"/>
        <v>Nelson</v>
      </c>
      <c r="BD1975" t="str">
        <f t="shared" si="1952"/>
        <v>Velodrome</v>
      </c>
      <c r="BE1975" t="s">
        <v>9</v>
      </c>
      <c r="BF1975" t="s">
        <v>173</v>
      </c>
      <c r="BG1975" t="s">
        <v>76</v>
      </c>
      <c r="BI1975" cm="1">
        <f t="array" aca="1" ref="BI1975" ca="1">IFERROR(_xlfn._xlws.FILTER(shifts!A:A,(shifts!B:B=events!AD1975)*(shifts!AG:AG&gt;=events!BK1975)*(shifts!AH:AH&lt;=events!BL1975)),BI1974)</f>
        <v>85</v>
      </c>
      <c r="BJ1975" s="15">
        <f t="shared" si="1953"/>
        <v>0</v>
      </c>
      <c r="BK1975">
        <f t="shared" si="1961"/>
        <v>696</v>
      </c>
      <c r="BL1975">
        <f t="shared" si="1962"/>
        <v>696</v>
      </c>
      <c r="BM1975" s="15">
        <f>SUMIFS(BJ$2:BJ1975,K$2:K1975,"=Intermission")+SUMIFS(BJ$2:BJ1975,K$2:K1975,"=Timeout")</f>
        <v>142</v>
      </c>
      <c r="BN1975">
        <f t="shared" si="1963"/>
        <v>2302</v>
      </c>
      <c r="BO1975" s="19">
        <f t="shared" si="1964"/>
        <v>2686</v>
      </c>
      <c r="BP1975">
        <f t="shared" si="1965"/>
        <v>2681</v>
      </c>
      <c r="BQ1975" s="17">
        <f t="shared" si="1966"/>
        <v>2686</v>
      </c>
      <c r="BR1975" t="str">
        <f t="shared" si="1967"/>
        <v>opp_team_player_1</v>
      </c>
      <c r="BS1975">
        <f>COUNTIFS(S$3:S1975,"="&amp;S1975,AI$3:AI1975,"="&amp;AI1975)</f>
        <v>1</v>
      </c>
      <c r="BT1975" t="str">
        <f>IFERROR(VLOOKUP(BB1975&amp;BU1975&amp;X1975,game_rosters!U:W,3,FALSE),"")</f>
        <v>P100066</v>
      </c>
      <c r="BU1975" t="str">
        <f t="shared" si="1968"/>
        <v>Nelson</v>
      </c>
    </row>
    <row r="1976" spans="1:73" x14ac:dyDescent="0.2">
      <c r="A1976">
        <f t="shared" si="1954"/>
        <v>1</v>
      </c>
      <c r="J1976" s="44" t="str">
        <f t="shared" si="1969"/>
        <v>d</v>
      </c>
      <c r="K1976" t="s">
        <v>238</v>
      </c>
      <c r="L1976" t="s">
        <v>184</v>
      </c>
      <c r="M1976" t="s">
        <v>88</v>
      </c>
      <c r="S1976">
        <v>1040</v>
      </c>
      <c r="W1976" t="str">
        <f t="shared" si="1945"/>
        <v>h</v>
      </c>
      <c r="X1976">
        <v>79</v>
      </c>
      <c r="Y1976" t="b">
        <f>IF(X1976&lt;&gt;"",VLOOKUP(X1976,game_rosters!$C$43:$E$64,3,FALSE))</f>
        <v>0</v>
      </c>
      <c r="Z1976" cm="1">
        <f t="array" ref="Z1976">IFERROR(IF(_xlfn._xlws.FILTER(game_rosters!$J:$J,(game_rosters!$G:$G=events!$AN1976)*(game_rosters!$J:$J=events!$X1976))&gt;0,1,""),"")</f>
        <v>1</v>
      </c>
      <c r="AA1976">
        <f t="shared" si="1993"/>
        <v>2040</v>
      </c>
      <c r="AB1976" t="str">
        <f t="shared" si="1994"/>
        <v/>
      </c>
      <c r="AC1976">
        <f t="shared" si="1942"/>
        <v>2040</v>
      </c>
      <c r="AD1976" s="6">
        <v>3</v>
      </c>
      <c r="AE1976" t="s">
        <v>754</v>
      </c>
      <c r="AF1976" t="s">
        <v>914</v>
      </c>
      <c r="AG1976" t="s">
        <v>754</v>
      </c>
      <c r="AH1976" t="s">
        <v>905</v>
      </c>
      <c r="AI1976" t="s">
        <v>367</v>
      </c>
      <c r="AJ1976" t="str">
        <f t="shared" ref="AJ1976:AK1976" si="2022">IF($J1976&lt;&gt;"",$J1976,IF($AC1976=$AC1975,AJ1975,""))</f>
        <v>d</v>
      </c>
      <c r="AK1976" t="str">
        <f t="shared" si="2022"/>
        <v>d</v>
      </c>
      <c r="AL1976" t="str">
        <f t="shared" si="1947"/>
        <v>d</v>
      </c>
      <c r="AN1976" t="s">
        <v>861</v>
      </c>
      <c r="AO1976" t="str">
        <f t="shared" si="1948"/>
        <v>h</v>
      </c>
      <c r="AP1976" t="str">
        <f t="shared" si="1956"/>
        <v>d</v>
      </c>
      <c r="AQ1976" t="str">
        <f t="shared" si="1957"/>
        <v/>
      </c>
      <c r="AR1976" t="str">
        <f t="shared" si="1958"/>
        <v>Home</v>
      </c>
      <c r="AS1976" t="str">
        <f t="shared" si="1959"/>
        <v>h</v>
      </c>
      <c r="AT1976" t="str">
        <f t="shared" si="1960"/>
        <v>Offensive</v>
      </c>
      <c r="BA1976" s="6">
        <f t="shared" si="1949"/>
        <v>450</v>
      </c>
      <c r="BB1976">
        <f t="shared" si="1950"/>
        <v>18981</v>
      </c>
      <c r="BC1976" t="str">
        <f t="shared" si="1951"/>
        <v>Nelson</v>
      </c>
      <c r="BD1976" t="str">
        <f t="shared" si="1952"/>
        <v>Velodrome</v>
      </c>
      <c r="BE1976" t="s">
        <v>238</v>
      </c>
      <c r="BF1976" t="s">
        <v>184</v>
      </c>
      <c r="BG1976" t="s">
        <v>88</v>
      </c>
      <c r="BI1976" cm="1">
        <f t="array" aca="1" ref="BI1976" ca="1">IFERROR(_xlfn._xlws.FILTER(shifts!A:A,(shifts!B:B=events!AD1976)*(shifts!AG:AG&gt;=events!BK1976)*(shifts!AH:AH&lt;=events!BL1976)),BI1975)</f>
        <v>85</v>
      </c>
      <c r="BJ1976" s="15">
        <f t="shared" si="1953"/>
        <v>1</v>
      </c>
      <c r="BK1976">
        <f t="shared" si="1961"/>
        <v>693</v>
      </c>
      <c r="BL1976">
        <f t="shared" si="1962"/>
        <v>692</v>
      </c>
      <c r="BM1976" s="15">
        <f>SUMIFS(BJ$2:BJ1976,K$2:K1976,"=Intermission")+SUMIFS(BJ$2:BJ1976,K$2:K1976,"=Timeout")</f>
        <v>142</v>
      </c>
      <c r="BN1976">
        <f t="shared" si="1963"/>
        <v>2302</v>
      </c>
      <c r="BO1976" s="19">
        <f t="shared" si="1964"/>
        <v>2689</v>
      </c>
      <c r="BP1976">
        <f t="shared" si="1965"/>
        <v>2684</v>
      </c>
      <c r="BQ1976" s="17">
        <f t="shared" si="1966"/>
        <v>2690</v>
      </c>
      <c r="BR1976" t="str">
        <f t="shared" si="1967"/>
        <v>event_team_player_1</v>
      </c>
      <c r="BS1976">
        <f>COUNTIFS(S$3:S1976,"="&amp;S1976,AI$3:AI1976,"="&amp;AI1976)</f>
        <v>1</v>
      </c>
      <c r="BT1976" t="str">
        <f>IFERROR(VLOOKUP(BB1976&amp;BU1976&amp;X1976,game_rosters!U:W,3,FALSE),"")</f>
        <v>P100066</v>
      </c>
      <c r="BU1976" t="str">
        <f t="shared" si="1968"/>
        <v>Nelson</v>
      </c>
    </row>
    <row r="1977" spans="1:73" x14ac:dyDescent="0.2">
      <c r="A1977">
        <f t="shared" si="1954"/>
        <v>1</v>
      </c>
      <c r="J1977" s="44" t="str">
        <f t="shared" si="1969"/>
        <v/>
      </c>
      <c r="K1977" t="s">
        <v>13</v>
      </c>
      <c r="L1977" t="s">
        <v>756</v>
      </c>
      <c r="M1977" t="s">
        <v>756</v>
      </c>
      <c r="S1977">
        <v>1041</v>
      </c>
      <c r="W1977" t="str">
        <f t="shared" si="1945"/>
        <v>h</v>
      </c>
      <c r="X1977">
        <v>79</v>
      </c>
      <c r="Y1977" t="b">
        <f>IF(X1977&lt;&gt;"",VLOOKUP(X1977,game_rosters!$C$43:$E$64,3,FALSE))</f>
        <v>0</v>
      </c>
      <c r="Z1977" cm="1">
        <f t="array" ref="Z1977">IFERROR(IF(_xlfn._xlws.FILTER(game_rosters!$J:$J,(game_rosters!$G:$G=events!$AN1977)*(game_rosters!$J:$J=events!$X1977))&gt;0,1,""),"")</f>
        <v>1</v>
      </c>
      <c r="AA1977">
        <f t="shared" si="1993"/>
        <v>2041</v>
      </c>
      <c r="AB1977" t="str">
        <f t="shared" si="1994"/>
        <v/>
      </c>
      <c r="AC1977">
        <f t="shared" si="1942"/>
        <v>2041</v>
      </c>
      <c r="AD1977" s="6">
        <v>3</v>
      </c>
      <c r="AE1977" t="s">
        <v>754</v>
      </c>
      <c r="AF1977" t="s">
        <v>905</v>
      </c>
      <c r="AG1977" t="s">
        <v>754</v>
      </c>
      <c r="AH1977" t="s">
        <v>915</v>
      </c>
      <c r="AI1977" t="s">
        <v>367</v>
      </c>
      <c r="AJ1977" t="str">
        <f t="shared" ref="AJ1977:AK1977" si="2023">IF($J1977&lt;&gt;"",$J1977,IF($AC1977=$AC1976,AJ1976,""))</f>
        <v/>
      </c>
      <c r="AK1977" t="str">
        <f t="shared" si="2023"/>
        <v/>
      </c>
      <c r="AL1977" t="str">
        <f t="shared" si="1947"/>
        <v/>
      </c>
      <c r="AN1977" t="s">
        <v>861</v>
      </c>
      <c r="AO1977" t="str">
        <f t="shared" si="1948"/>
        <v>h</v>
      </c>
      <c r="AP1977" t="str">
        <f t="shared" si="1956"/>
        <v/>
      </c>
      <c r="AQ1977" t="str">
        <f t="shared" si="1957"/>
        <v/>
      </c>
      <c r="AR1977" t="str">
        <f t="shared" si="1958"/>
        <v>Home</v>
      </c>
      <c r="AS1977" t="str">
        <f t="shared" si="1959"/>
        <v>h</v>
      </c>
      <c r="AT1977" t="str">
        <f t="shared" si="1960"/>
        <v>Offensive</v>
      </c>
      <c r="BA1977" s="6">
        <f t="shared" si="1949"/>
        <v>450</v>
      </c>
      <c r="BB1977">
        <f t="shared" si="1950"/>
        <v>18981</v>
      </c>
      <c r="BC1977" t="str">
        <f t="shared" si="1951"/>
        <v>Nelson</v>
      </c>
      <c r="BD1977" t="str">
        <f t="shared" si="1952"/>
        <v>Velodrome</v>
      </c>
      <c r="BE1977" t="s">
        <v>13</v>
      </c>
      <c r="BF1977" t="s">
        <v>756</v>
      </c>
      <c r="BG1977" t="s">
        <v>756</v>
      </c>
      <c r="BI1977" cm="1">
        <f t="array" aca="1" ref="BI1977" ca="1">IFERROR(_xlfn._xlws.FILTER(shifts!A:A,(shifts!B:B=events!AD1977)*(shifts!AG:AG&gt;=events!BK1977)*(shifts!AH:AH&lt;=events!BL1977)),BI1976)</f>
        <v>85</v>
      </c>
      <c r="BJ1977" s="15">
        <f t="shared" si="1953"/>
        <v>2</v>
      </c>
      <c r="BK1977">
        <f t="shared" si="1961"/>
        <v>692</v>
      </c>
      <c r="BL1977">
        <f t="shared" si="1962"/>
        <v>690</v>
      </c>
      <c r="BM1977" s="15">
        <f>SUMIFS(BJ$2:BJ1977,K$2:K1977,"=Intermission")+SUMIFS(BJ$2:BJ1977,K$2:K1977,"=Timeout")</f>
        <v>142</v>
      </c>
      <c r="BN1977">
        <f t="shared" si="1963"/>
        <v>2302</v>
      </c>
      <c r="BO1977" s="19">
        <f t="shared" si="1964"/>
        <v>2690</v>
      </c>
      <c r="BP1977">
        <f t="shared" si="1965"/>
        <v>2685</v>
      </c>
      <c r="BQ1977" s="17">
        <f t="shared" si="1966"/>
        <v>2692</v>
      </c>
      <c r="BR1977" t="str">
        <f t="shared" si="1967"/>
        <v>event_team_player_1</v>
      </c>
      <c r="BS1977">
        <f>COUNTIFS(S$3:S1977,"="&amp;S1977,AI$3:AI1977,"="&amp;AI1977)</f>
        <v>1</v>
      </c>
      <c r="BT1977" t="str">
        <f>IFERROR(VLOOKUP(BB1977&amp;BU1977&amp;X1977,game_rosters!U:W,3,FALSE),"")</f>
        <v>P100066</v>
      </c>
      <c r="BU1977" t="str">
        <f t="shared" si="1968"/>
        <v>Nelson</v>
      </c>
    </row>
    <row r="1978" spans="1:73" x14ac:dyDescent="0.2">
      <c r="A1978">
        <f t="shared" si="1954"/>
        <v>1</v>
      </c>
      <c r="J1978" s="44" t="str">
        <f t="shared" si="1969"/>
        <v/>
      </c>
      <c r="K1978" t="s">
        <v>13</v>
      </c>
      <c r="L1978" t="s">
        <v>756</v>
      </c>
      <c r="M1978" t="s">
        <v>756</v>
      </c>
      <c r="S1978">
        <v>1041</v>
      </c>
      <c r="W1978" t="str">
        <f t="shared" si="1945"/>
        <v>h</v>
      </c>
      <c r="X1978">
        <v>93</v>
      </c>
      <c r="Y1978" t="e">
        <f>IF(X1978&lt;&gt;"",VLOOKUP(X1978,game_rosters!$C$43:$E$64,3,FALSE))</f>
        <v>#N/A</v>
      </c>
      <c r="Z1978" t="str" cm="1">
        <f t="array" ref="Z1978">IFERROR(IF(_xlfn._xlws.FILTER(game_rosters!$J:$J,(game_rosters!$G:$G=events!$AN1978)*(game_rosters!$J:$J=events!$X1978))&gt;0,1,""),"")</f>
        <v/>
      </c>
      <c r="AA1978">
        <f t="shared" si="1993"/>
        <v>2041</v>
      </c>
      <c r="AB1978" t="str">
        <f t="shared" si="1994"/>
        <v/>
      </c>
      <c r="AC1978">
        <f t="shared" si="1942"/>
        <v>2041</v>
      </c>
      <c r="AD1978" s="6">
        <v>3</v>
      </c>
      <c r="AE1978" t="s">
        <v>754</v>
      </c>
      <c r="AF1978" t="s">
        <v>905</v>
      </c>
      <c r="AG1978" t="s">
        <v>754</v>
      </c>
      <c r="AH1978" t="s">
        <v>915</v>
      </c>
      <c r="AI1978" t="s">
        <v>368</v>
      </c>
      <c r="AJ1978" t="str">
        <f t="shared" ref="AJ1978:AK1978" si="2024">IF($J1978&lt;&gt;"",$J1978,IF($AC1978=$AC1977,AJ1977,""))</f>
        <v/>
      </c>
      <c r="AK1978" t="str">
        <f t="shared" si="2024"/>
        <v/>
      </c>
      <c r="AL1978" t="str">
        <f t="shared" si="1947"/>
        <v/>
      </c>
      <c r="AN1978" t="s">
        <v>861</v>
      </c>
      <c r="AO1978" t="str">
        <f t="shared" si="1948"/>
        <v>h</v>
      </c>
      <c r="AP1978" t="str">
        <f t="shared" si="1956"/>
        <v/>
      </c>
      <c r="AQ1978" t="str">
        <f t="shared" si="1957"/>
        <v/>
      </c>
      <c r="AR1978" t="str">
        <f t="shared" si="1958"/>
        <v>Home</v>
      </c>
      <c r="AS1978" t="str">
        <f t="shared" si="1959"/>
        <v>h</v>
      </c>
      <c r="AT1978" t="str">
        <f t="shared" si="1960"/>
        <v>Defensive</v>
      </c>
      <c r="BA1978" s="6">
        <f t="shared" si="1949"/>
        <v>450</v>
      </c>
      <c r="BB1978">
        <f t="shared" si="1950"/>
        <v>18981</v>
      </c>
      <c r="BC1978" t="str">
        <f t="shared" si="1951"/>
        <v>Nelson</v>
      </c>
      <c r="BD1978" t="str">
        <f t="shared" si="1952"/>
        <v>Velodrome</v>
      </c>
      <c r="BE1978" t="s">
        <v>13</v>
      </c>
      <c r="BF1978" t="s">
        <v>756</v>
      </c>
      <c r="BG1978" t="s">
        <v>756</v>
      </c>
      <c r="BI1978" cm="1">
        <f t="array" aca="1" ref="BI1978" ca="1">IFERROR(_xlfn._xlws.FILTER(shifts!A:A,(shifts!B:B=events!AD1978)*(shifts!AG:AG&gt;=events!BK1978)*(shifts!AH:AH&lt;=events!BL1978)),BI1977)</f>
        <v>85</v>
      </c>
      <c r="BJ1978" s="15">
        <f t="shared" si="1953"/>
        <v>2</v>
      </c>
      <c r="BK1978">
        <f t="shared" si="1961"/>
        <v>692</v>
      </c>
      <c r="BL1978">
        <f t="shared" si="1962"/>
        <v>690</v>
      </c>
      <c r="BM1978" s="15">
        <f>SUMIFS(BJ$2:BJ1978,K$2:K1978,"=Intermission")+SUMIFS(BJ$2:BJ1978,K$2:K1978,"=Timeout")</f>
        <v>142</v>
      </c>
      <c r="BN1978">
        <f t="shared" si="1963"/>
        <v>2302</v>
      </c>
      <c r="BO1978" s="19">
        <f t="shared" si="1964"/>
        <v>2690</v>
      </c>
      <c r="BP1978">
        <f t="shared" si="1965"/>
        <v>2685</v>
      </c>
      <c r="BQ1978" s="17">
        <f t="shared" si="1966"/>
        <v>2692</v>
      </c>
      <c r="BR1978" t="str">
        <f t="shared" si="1967"/>
        <v>opp_team_player_1</v>
      </c>
      <c r="BS1978">
        <f>COUNTIFS(S$3:S1978,"="&amp;S1978,AI$3:AI1978,"="&amp;AI1978)</f>
        <v>1</v>
      </c>
      <c r="BT1978" t="str">
        <f>IFERROR(VLOOKUP(BB1978&amp;BU1978&amp;X1978,game_rosters!U:W,3,FALSE),"")</f>
        <v>P100093</v>
      </c>
      <c r="BU1978" t="str">
        <f t="shared" si="1968"/>
        <v>Velodrome</v>
      </c>
    </row>
    <row r="1979" spans="1:73" x14ac:dyDescent="0.2">
      <c r="A1979">
        <f t="shared" si="1954"/>
        <v>1</v>
      </c>
      <c r="J1979" s="44" t="str">
        <f t="shared" si="1969"/>
        <v>o</v>
      </c>
      <c r="K1979" t="s">
        <v>238</v>
      </c>
      <c r="L1979" t="s">
        <v>174</v>
      </c>
      <c r="M1979" t="s">
        <v>85</v>
      </c>
      <c r="S1979">
        <v>1042</v>
      </c>
      <c r="W1979" t="str">
        <f t="shared" si="1945"/>
        <v>h</v>
      </c>
      <c r="X1979">
        <v>79</v>
      </c>
      <c r="Y1979" t="b">
        <f>IF(X1979&lt;&gt;"",VLOOKUP(X1979,game_rosters!$C$43:$E$64,3,FALSE))</f>
        <v>0</v>
      </c>
      <c r="Z1979" cm="1">
        <f t="array" ref="Z1979">IFERROR(IF(_xlfn._xlws.FILTER(game_rosters!$J:$J,(game_rosters!$G:$G=events!$AN1979)*(game_rosters!$J:$J=events!$X1979))&gt;0,1,""),"")</f>
        <v>1</v>
      </c>
      <c r="AA1979">
        <f t="shared" si="1993"/>
        <v>2042</v>
      </c>
      <c r="AB1979" t="str">
        <f t="shared" si="1994"/>
        <v/>
      </c>
      <c r="AC1979">
        <f t="shared" si="1942"/>
        <v>2042</v>
      </c>
      <c r="AD1979" s="6">
        <v>3</v>
      </c>
      <c r="AE1979" t="s">
        <v>754</v>
      </c>
      <c r="AF1979" t="s">
        <v>915</v>
      </c>
      <c r="AG1979" t="s">
        <v>754</v>
      </c>
      <c r="AH1979" t="s">
        <v>916</v>
      </c>
      <c r="AI1979" t="s">
        <v>367</v>
      </c>
      <c r="AJ1979" t="str">
        <f t="shared" ref="AJ1979:AK1979" si="2025">IF($J1979&lt;&gt;"",$J1979,IF($AC1979=$AC1978,AJ1978,""))</f>
        <v>o</v>
      </c>
      <c r="AK1979" t="str">
        <f t="shared" si="2025"/>
        <v>o</v>
      </c>
      <c r="AL1979" t="str">
        <f t="shared" si="1947"/>
        <v>o</v>
      </c>
      <c r="AN1979" t="s">
        <v>861</v>
      </c>
      <c r="AO1979" t="str">
        <f t="shared" si="1948"/>
        <v>h</v>
      </c>
      <c r="AP1979" t="str">
        <f t="shared" si="1956"/>
        <v>o</v>
      </c>
      <c r="AQ1979" t="str">
        <f t="shared" si="1957"/>
        <v/>
      </c>
      <c r="AR1979" t="str">
        <f t="shared" si="1958"/>
        <v>Home</v>
      </c>
      <c r="AS1979" t="str">
        <f t="shared" si="1959"/>
        <v>h</v>
      </c>
      <c r="AT1979" t="str">
        <f t="shared" si="1960"/>
        <v>Offensive</v>
      </c>
      <c r="BA1979" s="6">
        <f t="shared" si="1949"/>
        <v>451</v>
      </c>
      <c r="BB1979">
        <f t="shared" si="1950"/>
        <v>18981</v>
      </c>
      <c r="BC1979" t="str">
        <f t="shared" si="1951"/>
        <v>Nelson</v>
      </c>
      <c r="BD1979" t="str">
        <f t="shared" si="1952"/>
        <v>Velodrome</v>
      </c>
      <c r="BE1979" t="s">
        <v>238</v>
      </c>
      <c r="BF1979" t="s">
        <v>174</v>
      </c>
      <c r="BG1979" t="s">
        <v>85</v>
      </c>
      <c r="BI1979" cm="1">
        <f t="array" aca="1" ref="BI1979" ca="1">IFERROR(_xlfn._xlws.FILTER(shifts!A:A,(shifts!B:B=events!AD1979)*(shifts!AG:AG&gt;=events!BK1979)*(shifts!AH:AH&lt;=events!BL1979)),BI1978)</f>
        <v>85</v>
      </c>
      <c r="BJ1979" s="15">
        <f t="shared" si="1953"/>
        <v>3</v>
      </c>
      <c r="BK1979">
        <f t="shared" si="1961"/>
        <v>690</v>
      </c>
      <c r="BL1979">
        <f t="shared" si="1962"/>
        <v>687</v>
      </c>
      <c r="BM1979" s="15">
        <f>SUMIFS(BJ$2:BJ1979,K$2:K1979,"=Intermission")+SUMIFS(BJ$2:BJ1979,K$2:K1979,"=Timeout")</f>
        <v>142</v>
      </c>
      <c r="BN1979">
        <f t="shared" si="1963"/>
        <v>2302</v>
      </c>
      <c r="BO1979" s="19">
        <f t="shared" si="1964"/>
        <v>2692</v>
      </c>
      <c r="BP1979">
        <f t="shared" si="1965"/>
        <v>2687</v>
      </c>
      <c r="BQ1979" s="17">
        <f t="shared" si="1966"/>
        <v>2695</v>
      </c>
      <c r="BR1979" t="str">
        <f t="shared" si="1967"/>
        <v>event_team_player_1</v>
      </c>
      <c r="BS1979">
        <f>COUNTIFS(S$3:S1979,"="&amp;S1979,AI$3:AI1979,"="&amp;AI1979)</f>
        <v>1</v>
      </c>
      <c r="BT1979" t="str">
        <f>IFERROR(VLOOKUP(BB1979&amp;BU1979&amp;X1979,game_rosters!U:W,3,FALSE),"")</f>
        <v>P100066</v>
      </c>
      <c r="BU1979" t="str">
        <f t="shared" si="1968"/>
        <v>Nelson</v>
      </c>
    </row>
    <row r="1980" spans="1:73" x14ac:dyDescent="0.2">
      <c r="A1980">
        <f t="shared" si="1954"/>
        <v>1</v>
      </c>
      <c r="J1980" s="44" t="str">
        <f t="shared" si="1969"/>
        <v>o</v>
      </c>
      <c r="K1980" t="s">
        <v>238</v>
      </c>
      <c r="L1980" t="s">
        <v>174</v>
      </c>
      <c r="M1980" t="s">
        <v>85</v>
      </c>
      <c r="S1980">
        <v>1042</v>
      </c>
      <c r="W1980" t="str">
        <f t="shared" si="1945"/>
        <v>h</v>
      </c>
      <c r="X1980">
        <v>16</v>
      </c>
      <c r="Y1980" t="b">
        <f>IF(X1980&lt;&gt;"",VLOOKUP(X1980,game_rosters!$C$43:$E$64,3,FALSE))</f>
        <v>0</v>
      </c>
      <c r="Z1980" cm="1">
        <f t="array" ref="Z1980">IFERROR(IF(_xlfn._xlws.FILTER(game_rosters!$J:$J,(game_rosters!$G:$G=events!$AN1980)*(game_rosters!$J:$J=events!$X1980))&gt;0,1,""),"")</f>
        <v>1</v>
      </c>
      <c r="AA1980">
        <f t="shared" si="1993"/>
        <v>2042</v>
      </c>
      <c r="AB1980" t="str">
        <f t="shared" si="1994"/>
        <v/>
      </c>
      <c r="AC1980">
        <f t="shared" si="1942"/>
        <v>2042</v>
      </c>
      <c r="AD1980" s="6">
        <v>3</v>
      </c>
      <c r="AE1980" t="s">
        <v>754</v>
      </c>
      <c r="AF1980" t="s">
        <v>915</v>
      </c>
      <c r="AG1980" t="s">
        <v>754</v>
      </c>
      <c r="AH1980" t="s">
        <v>916</v>
      </c>
      <c r="AI1980" t="s">
        <v>367</v>
      </c>
      <c r="AJ1980" t="str">
        <f t="shared" ref="AJ1980:AK1980" si="2026">IF($J1980&lt;&gt;"",$J1980,IF($AC1980=$AC1979,AJ1979,""))</f>
        <v>o</v>
      </c>
      <c r="AK1980" t="str">
        <f t="shared" si="2026"/>
        <v>o</v>
      </c>
      <c r="AL1980" t="str">
        <f t="shared" si="1947"/>
        <v>o</v>
      </c>
      <c r="AN1980" t="s">
        <v>861</v>
      </c>
      <c r="AO1980" t="str">
        <f t="shared" si="1948"/>
        <v>h</v>
      </c>
      <c r="AP1980" t="str">
        <f t="shared" si="1956"/>
        <v>o</v>
      </c>
      <c r="AQ1980" t="str">
        <f t="shared" si="1957"/>
        <v/>
      </c>
      <c r="AR1980" t="str">
        <f t="shared" si="1958"/>
        <v>Home</v>
      </c>
      <c r="AS1980" t="str">
        <f t="shared" si="1959"/>
        <v>h</v>
      </c>
      <c r="AT1980" t="str">
        <f t="shared" si="1960"/>
        <v>Offensive</v>
      </c>
      <c r="BA1980" s="6">
        <f t="shared" si="1949"/>
        <v>452</v>
      </c>
      <c r="BB1980">
        <f t="shared" si="1950"/>
        <v>18981</v>
      </c>
      <c r="BC1980" t="str">
        <f t="shared" si="1951"/>
        <v>Nelson</v>
      </c>
      <c r="BD1980" t="str">
        <f t="shared" si="1952"/>
        <v>Velodrome</v>
      </c>
      <c r="BE1980" t="s">
        <v>238</v>
      </c>
      <c r="BF1980" t="s">
        <v>174</v>
      </c>
      <c r="BG1980" t="s">
        <v>85</v>
      </c>
      <c r="BI1980" cm="1">
        <f t="array" aca="1" ref="BI1980" ca="1">IFERROR(_xlfn._xlws.FILTER(shifts!A:A,(shifts!B:B=events!AD1980)*(shifts!AG:AG&gt;=events!BK1980)*(shifts!AH:AH&lt;=events!BL1980)),BI1979)</f>
        <v>85</v>
      </c>
      <c r="BJ1980" s="15">
        <f t="shared" si="1953"/>
        <v>3</v>
      </c>
      <c r="BK1980">
        <f t="shared" si="1961"/>
        <v>690</v>
      </c>
      <c r="BL1980">
        <f t="shared" si="1962"/>
        <v>687</v>
      </c>
      <c r="BM1980" s="15">
        <f>SUMIFS(BJ$2:BJ1980,K$2:K1980,"=Intermission")+SUMIFS(BJ$2:BJ1980,K$2:K1980,"=Timeout")</f>
        <v>142</v>
      </c>
      <c r="BN1980">
        <f t="shared" si="1963"/>
        <v>2302</v>
      </c>
      <c r="BO1980" s="19">
        <f t="shared" si="1964"/>
        <v>2692</v>
      </c>
      <c r="BP1980">
        <f t="shared" si="1965"/>
        <v>2687</v>
      </c>
      <c r="BQ1980" s="17">
        <f t="shared" si="1966"/>
        <v>2695</v>
      </c>
      <c r="BR1980" t="str">
        <f t="shared" si="1967"/>
        <v>event_team_player_2</v>
      </c>
      <c r="BS1980">
        <f>COUNTIFS(S$3:S1980,"="&amp;S1980,AI$3:AI1980,"="&amp;AI1980)</f>
        <v>2</v>
      </c>
      <c r="BT1980" t="str">
        <f>IFERROR(VLOOKUP(BB1980&amp;BU1980&amp;X1980,game_rosters!U:W,3,FALSE),"")</f>
        <v>P100164</v>
      </c>
      <c r="BU1980" t="str">
        <f t="shared" si="1968"/>
        <v>Nelson</v>
      </c>
    </row>
    <row r="1981" spans="1:73" x14ac:dyDescent="0.2">
      <c r="A1981">
        <f t="shared" si="1954"/>
        <v>1</v>
      </c>
      <c r="J1981" s="44" t="str">
        <f t="shared" si="1969"/>
        <v>o</v>
      </c>
      <c r="K1981" t="s">
        <v>238</v>
      </c>
      <c r="L1981" t="s">
        <v>174</v>
      </c>
      <c r="M1981" t="s">
        <v>85</v>
      </c>
      <c r="S1981">
        <v>1042</v>
      </c>
      <c r="W1981" t="str">
        <f t="shared" si="1945"/>
        <v>h</v>
      </c>
      <c r="X1981">
        <v>93</v>
      </c>
      <c r="Y1981" t="e">
        <f>IF(X1981&lt;&gt;"",VLOOKUP(X1981,game_rosters!$C$43:$E$64,3,FALSE))</f>
        <v>#N/A</v>
      </c>
      <c r="Z1981" t="str" cm="1">
        <f t="array" ref="Z1981">IFERROR(IF(_xlfn._xlws.FILTER(game_rosters!$J:$J,(game_rosters!$G:$G=events!$AN1981)*(game_rosters!$J:$J=events!$X1981))&gt;0,1,""),"")</f>
        <v/>
      </c>
      <c r="AA1981">
        <f t="shared" si="1993"/>
        <v>2042</v>
      </c>
      <c r="AB1981" t="str">
        <f t="shared" si="1994"/>
        <v/>
      </c>
      <c r="AC1981">
        <f t="shared" si="1942"/>
        <v>2042</v>
      </c>
      <c r="AD1981" s="6">
        <v>3</v>
      </c>
      <c r="AE1981" t="s">
        <v>754</v>
      </c>
      <c r="AF1981" t="s">
        <v>915</v>
      </c>
      <c r="AG1981" t="s">
        <v>754</v>
      </c>
      <c r="AH1981" t="s">
        <v>916</v>
      </c>
      <c r="AI1981" t="s">
        <v>368</v>
      </c>
      <c r="AJ1981" t="str">
        <f t="shared" ref="AJ1981:AK1981" si="2027">IF($J1981&lt;&gt;"",$J1981,IF($AC1981=$AC1980,AJ1980,""))</f>
        <v>o</v>
      </c>
      <c r="AK1981" t="str">
        <f t="shared" si="2027"/>
        <v>o</v>
      </c>
      <c r="AL1981" t="str">
        <f t="shared" si="1947"/>
        <v>o</v>
      </c>
      <c r="AN1981" t="s">
        <v>861</v>
      </c>
      <c r="AO1981" t="str">
        <f t="shared" si="1948"/>
        <v>h</v>
      </c>
      <c r="AP1981" t="str">
        <f t="shared" si="1956"/>
        <v>o</v>
      </c>
      <c r="AQ1981" t="str">
        <f t="shared" si="1957"/>
        <v/>
      </c>
      <c r="AR1981" t="str">
        <f t="shared" si="1958"/>
        <v>Home</v>
      </c>
      <c r="AS1981" t="str">
        <f t="shared" si="1959"/>
        <v>h</v>
      </c>
      <c r="AT1981" t="str">
        <f t="shared" si="1960"/>
        <v>Defensive</v>
      </c>
      <c r="BA1981" s="6">
        <f t="shared" si="1949"/>
        <v>453</v>
      </c>
      <c r="BB1981">
        <f t="shared" si="1950"/>
        <v>18981</v>
      </c>
      <c r="BC1981" t="str">
        <f t="shared" si="1951"/>
        <v>Nelson</v>
      </c>
      <c r="BD1981" t="str">
        <f t="shared" si="1952"/>
        <v>Velodrome</v>
      </c>
      <c r="BE1981" t="s">
        <v>238</v>
      </c>
      <c r="BF1981" t="s">
        <v>174</v>
      </c>
      <c r="BG1981" t="s">
        <v>85</v>
      </c>
      <c r="BI1981" cm="1">
        <f t="array" aca="1" ref="BI1981" ca="1">IFERROR(_xlfn._xlws.FILTER(shifts!A:A,(shifts!B:B=events!AD1981)*(shifts!AG:AG&gt;=events!BK1981)*(shifts!AH:AH&lt;=events!BL1981)),BI1980)</f>
        <v>85</v>
      </c>
      <c r="BJ1981" s="15">
        <f t="shared" si="1953"/>
        <v>3</v>
      </c>
      <c r="BK1981">
        <f t="shared" si="1961"/>
        <v>690</v>
      </c>
      <c r="BL1981">
        <f t="shared" si="1962"/>
        <v>687</v>
      </c>
      <c r="BM1981" s="15">
        <f>SUMIFS(BJ$2:BJ1981,K$2:K1981,"=Intermission")+SUMIFS(BJ$2:BJ1981,K$2:K1981,"=Timeout")</f>
        <v>142</v>
      </c>
      <c r="BN1981">
        <f t="shared" si="1963"/>
        <v>2302</v>
      </c>
      <c r="BO1981" s="19">
        <f t="shared" si="1964"/>
        <v>2692</v>
      </c>
      <c r="BP1981">
        <f t="shared" si="1965"/>
        <v>2687</v>
      </c>
      <c r="BQ1981" s="17">
        <f t="shared" si="1966"/>
        <v>2695</v>
      </c>
      <c r="BR1981" t="str">
        <f t="shared" si="1967"/>
        <v>opp_team_player_1</v>
      </c>
      <c r="BS1981">
        <f>COUNTIFS(S$3:S1981,"="&amp;S1981,AI$3:AI1981,"="&amp;AI1981)</f>
        <v>1</v>
      </c>
      <c r="BT1981" t="str">
        <f>IFERROR(VLOOKUP(BB1981&amp;BU1981&amp;X1981,game_rosters!U:W,3,FALSE),"")</f>
        <v>P100093</v>
      </c>
      <c r="BU1981" t="str">
        <f t="shared" si="1968"/>
        <v>Velodrome</v>
      </c>
    </row>
    <row r="1982" spans="1:73" x14ac:dyDescent="0.2">
      <c r="A1982">
        <f t="shared" si="1954"/>
        <v>1</v>
      </c>
      <c r="J1982" s="44" t="str">
        <f t="shared" si="1969"/>
        <v>o</v>
      </c>
      <c r="K1982" t="s">
        <v>238</v>
      </c>
      <c r="L1982" t="s">
        <v>174</v>
      </c>
      <c r="M1982" t="s">
        <v>85</v>
      </c>
      <c r="S1982">
        <v>1042</v>
      </c>
      <c r="W1982" t="str">
        <f t="shared" si="1945"/>
        <v>h</v>
      </c>
      <c r="X1982">
        <v>84</v>
      </c>
      <c r="Y1982" t="e">
        <f>IF(X1982&lt;&gt;"",VLOOKUP(X1982,game_rosters!$C$43:$E$64,3,FALSE))</f>
        <v>#N/A</v>
      </c>
      <c r="Z1982" t="str" cm="1">
        <f t="array" ref="Z1982">IFERROR(IF(_xlfn._xlws.FILTER(game_rosters!$J:$J,(game_rosters!$G:$G=events!$AN1982)*(game_rosters!$J:$J=events!$X1982))&gt;0,1,""),"")</f>
        <v/>
      </c>
      <c r="AA1982">
        <f t="shared" si="1993"/>
        <v>2042</v>
      </c>
      <c r="AB1982" t="str">
        <f t="shared" si="1994"/>
        <v/>
      </c>
      <c r="AC1982">
        <f t="shared" si="1942"/>
        <v>2042</v>
      </c>
      <c r="AD1982" s="6">
        <v>3</v>
      </c>
      <c r="AE1982" t="s">
        <v>754</v>
      </c>
      <c r="AF1982" t="s">
        <v>915</v>
      </c>
      <c r="AG1982" t="s">
        <v>754</v>
      </c>
      <c r="AH1982" t="s">
        <v>916</v>
      </c>
      <c r="AI1982" t="s">
        <v>368</v>
      </c>
      <c r="AJ1982" t="str">
        <f t="shared" ref="AJ1982:AK1982" si="2028">IF($J1982&lt;&gt;"",$J1982,IF($AC1982=$AC1981,AJ1981,""))</f>
        <v>o</v>
      </c>
      <c r="AK1982" t="str">
        <f t="shared" si="2028"/>
        <v>o</v>
      </c>
      <c r="AL1982" t="str">
        <f t="shared" si="1947"/>
        <v>o</v>
      </c>
      <c r="AN1982" t="s">
        <v>861</v>
      </c>
      <c r="AO1982" t="str">
        <f t="shared" si="1948"/>
        <v>h</v>
      </c>
      <c r="AP1982" t="str">
        <f t="shared" si="1956"/>
        <v>o</v>
      </c>
      <c r="AQ1982" t="str">
        <f t="shared" si="1957"/>
        <v/>
      </c>
      <c r="AR1982" t="str">
        <f t="shared" si="1958"/>
        <v>Home</v>
      </c>
      <c r="AS1982" t="str">
        <f t="shared" si="1959"/>
        <v>h</v>
      </c>
      <c r="AT1982" t="str">
        <f t="shared" si="1960"/>
        <v>Defensive</v>
      </c>
      <c r="BA1982" s="6">
        <f t="shared" si="1949"/>
        <v>454</v>
      </c>
      <c r="BB1982">
        <f t="shared" si="1950"/>
        <v>18981</v>
      </c>
      <c r="BC1982" t="str">
        <f t="shared" si="1951"/>
        <v>Nelson</v>
      </c>
      <c r="BD1982" t="str">
        <f t="shared" si="1952"/>
        <v>Velodrome</v>
      </c>
      <c r="BE1982" t="s">
        <v>238</v>
      </c>
      <c r="BF1982" t="s">
        <v>174</v>
      </c>
      <c r="BG1982" t="s">
        <v>85</v>
      </c>
      <c r="BI1982" cm="1">
        <f t="array" aca="1" ref="BI1982" ca="1">IFERROR(_xlfn._xlws.FILTER(shifts!A:A,(shifts!B:B=events!AD1982)*(shifts!AG:AG&gt;=events!BK1982)*(shifts!AH:AH&lt;=events!BL1982)),BI1981)</f>
        <v>85</v>
      </c>
      <c r="BJ1982" s="15">
        <f t="shared" si="1953"/>
        <v>3</v>
      </c>
      <c r="BK1982">
        <f t="shared" si="1961"/>
        <v>690</v>
      </c>
      <c r="BL1982">
        <f t="shared" si="1962"/>
        <v>687</v>
      </c>
      <c r="BM1982" s="15">
        <f>SUMIFS(BJ$2:BJ1982,K$2:K1982,"=Intermission")+SUMIFS(BJ$2:BJ1982,K$2:K1982,"=Timeout")</f>
        <v>142</v>
      </c>
      <c r="BN1982">
        <f t="shared" si="1963"/>
        <v>2302</v>
      </c>
      <c r="BO1982" s="19">
        <f t="shared" si="1964"/>
        <v>2692</v>
      </c>
      <c r="BP1982">
        <f t="shared" si="1965"/>
        <v>2687</v>
      </c>
      <c r="BQ1982" s="17">
        <f t="shared" si="1966"/>
        <v>2695</v>
      </c>
      <c r="BR1982" t="str">
        <f t="shared" si="1967"/>
        <v>opp_team_player_2</v>
      </c>
      <c r="BS1982">
        <f>COUNTIFS(S$3:S1982,"="&amp;S1982,AI$3:AI1982,"="&amp;AI1982)</f>
        <v>2</v>
      </c>
      <c r="BT1982" t="str">
        <f>IFERROR(VLOOKUP(BB1982&amp;BU1982&amp;X1982,game_rosters!U:W,3,FALSE),"")</f>
        <v>P100198</v>
      </c>
      <c r="BU1982" t="str">
        <f t="shared" si="1968"/>
        <v>Velodrome</v>
      </c>
    </row>
    <row r="1983" spans="1:73" x14ac:dyDescent="0.2">
      <c r="A1983">
        <f t="shared" si="1954"/>
        <v>1</v>
      </c>
      <c r="J1983" s="44" t="str">
        <f t="shared" si="1969"/>
        <v/>
      </c>
      <c r="K1983" t="s">
        <v>230</v>
      </c>
      <c r="L1983" t="s">
        <v>389</v>
      </c>
      <c r="M1983" t="s">
        <v>432</v>
      </c>
      <c r="S1983">
        <v>1043</v>
      </c>
      <c r="W1983" t="str">
        <f t="shared" si="1945"/>
        <v>a</v>
      </c>
      <c r="X1983">
        <v>39</v>
      </c>
      <c r="Y1983" t="e">
        <f>IF(X1983&lt;&gt;"",VLOOKUP(X1983,game_rosters!$C$43:$E$64,3,FALSE))</f>
        <v>#N/A</v>
      </c>
      <c r="Z1983" cm="1">
        <f t="array" ref="Z1983">IFERROR(IF(_xlfn._xlws.FILTER(game_rosters!$J:$J,(game_rosters!$G:$G=events!$AN1983)*(game_rosters!$J:$J=events!$X1983))&gt;0,1,""),"")</f>
        <v>1</v>
      </c>
      <c r="AA1983">
        <f t="shared" si="1993"/>
        <v>2043</v>
      </c>
      <c r="AB1983" t="str">
        <f t="shared" si="1994"/>
        <v/>
      </c>
      <c r="AC1983">
        <f t="shared" si="1942"/>
        <v>2043</v>
      </c>
      <c r="AD1983" s="6">
        <v>3</v>
      </c>
      <c r="AE1983" t="s">
        <v>754</v>
      </c>
      <c r="AF1983" t="s">
        <v>916</v>
      </c>
      <c r="AG1983" t="s">
        <v>756</v>
      </c>
      <c r="AH1983" t="s">
        <v>756</v>
      </c>
      <c r="AI1983" t="s">
        <v>367</v>
      </c>
      <c r="AJ1983" t="str">
        <f t="shared" ref="AJ1983:AK1983" si="2029">IF($J1983&lt;&gt;"",$J1983,IF($AC1983=$AC1982,AJ1982,""))</f>
        <v/>
      </c>
      <c r="AK1983" t="str">
        <f t="shared" si="2029"/>
        <v/>
      </c>
      <c r="AL1983" t="str">
        <f t="shared" si="1947"/>
        <v/>
      </c>
      <c r="AN1983" t="s">
        <v>862</v>
      </c>
      <c r="AO1983" t="str">
        <f t="shared" si="1948"/>
        <v>a</v>
      </c>
      <c r="AP1983" t="str">
        <f t="shared" si="1956"/>
        <v/>
      </c>
      <c r="AQ1983" t="str">
        <f t="shared" si="1957"/>
        <v/>
      </c>
      <c r="AR1983" t="str">
        <f t="shared" si="1958"/>
        <v>Away</v>
      </c>
      <c r="AS1983" t="str">
        <f t="shared" si="1959"/>
        <v>a</v>
      </c>
      <c r="AT1983" t="str">
        <f t="shared" si="1960"/>
        <v>Defensive</v>
      </c>
      <c r="BA1983" s="6">
        <f t="shared" si="1949"/>
        <v>454</v>
      </c>
      <c r="BB1983">
        <f t="shared" si="1950"/>
        <v>18981</v>
      </c>
      <c r="BC1983" t="str">
        <f t="shared" si="1951"/>
        <v>Nelson</v>
      </c>
      <c r="BD1983" t="str">
        <f t="shared" si="1952"/>
        <v>Velodrome</v>
      </c>
      <c r="BE1983" t="s">
        <v>230</v>
      </c>
      <c r="BF1983" t="s">
        <v>389</v>
      </c>
      <c r="BG1983" t="s">
        <v>432</v>
      </c>
      <c r="BI1983" cm="1">
        <f t="array" aca="1" ref="BI1983" ca="1">IFERROR(_xlfn._xlws.FILTER(shifts!A:A,(shifts!B:B=events!AD1983)*(shifts!AG:AG&gt;=events!BK1983)*(shifts!AH:AH&lt;=events!BL1983)),BI1982)</f>
        <v>85</v>
      </c>
      <c r="BJ1983" s="15">
        <f t="shared" si="1953"/>
        <v>0</v>
      </c>
      <c r="BK1983">
        <f t="shared" si="1961"/>
        <v>687</v>
      </c>
      <c r="BL1983">
        <f t="shared" si="1962"/>
        <v>687</v>
      </c>
      <c r="BM1983" s="15">
        <f>SUMIFS(BJ$2:BJ1983,K$2:K1983,"=Intermission")+SUMIFS(BJ$2:BJ1983,K$2:K1983,"=Timeout")</f>
        <v>142</v>
      </c>
      <c r="BN1983">
        <f t="shared" si="1963"/>
        <v>2302</v>
      </c>
      <c r="BO1983" s="19">
        <f t="shared" si="1964"/>
        <v>2695</v>
      </c>
      <c r="BP1983">
        <f t="shared" si="1965"/>
        <v>2690</v>
      </c>
      <c r="BQ1983" s="17">
        <f t="shared" si="1966"/>
        <v>2695</v>
      </c>
      <c r="BR1983" t="str">
        <f t="shared" si="1967"/>
        <v>event_team_player_1</v>
      </c>
      <c r="BS1983">
        <f>COUNTIFS(S$3:S1983,"="&amp;S1983,AI$3:AI1983,"="&amp;AI1983)</f>
        <v>1</v>
      </c>
      <c r="BT1983" t="str">
        <f>IFERROR(VLOOKUP(BB1983&amp;BU1983&amp;X1983,game_rosters!U:W,3,FALSE),"")</f>
        <v>P100016</v>
      </c>
      <c r="BU1983" t="str">
        <f t="shared" si="1968"/>
        <v>Velodrome</v>
      </c>
    </row>
    <row r="1984" spans="1:73" x14ac:dyDescent="0.2">
      <c r="A1984">
        <f t="shared" si="1954"/>
        <v>1</v>
      </c>
      <c r="J1984" s="44" t="str">
        <f t="shared" si="1969"/>
        <v/>
      </c>
      <c r="K1984" t="s">
        <v>230</v>
      </c>
      <c r="L1984" t="s">
        <v>389</v>
      </c>
      <c r="M1984" t="s">
        <v>432</v>
      </c>
      <c r="S1984">
        <v>1043</v>
      </c>
      <c r="W1984" t="str">
        <f t="shared" si="1945"/>
        <v>a</v>
      </c>
      <c r="X1984">
        <v>79</v>
      </c>
      <c r="Y1984" t="b">
        <f>IF(X1984&lt;&gt;"",VLOOKUP(X1984,game_rosters!$C$43:$E$64,3,FALSE))</f>
        <v>0</v>
      </c>
      <c r="Z1984" t="str" cm="1">
        <f t="array" ref="Z1984">IFERROR(IF(_xlfn._xlws.FILTER(game_rosters!$J:$J,(game_rosters!$G:$G=events!$AN1984)*(game_rosters!$J:$J=events!$X1984))&gt;0,1,""),"")</f>
        <v/>
      </c>
      <c r="AA1984">
        <f t="shared" si="1993"/>
        <v>2043</v>
      </c>
      <c r="AB1984" t="str">
        <f t="shared" si="1994"/>
        <v/>
      </c>
      <c r="AC1984">
        <f t="shared" si="1942"/>
        <v>2043</v>
      </c>
      <c r="AD1984" s="6">
        <v>3</v>
      </c>
      <c r="AE1984" t="s">
        <v>754</v>
      </c>
      <c r="AF1984" t="s">
        <v>916</v>
      </c>
      <c r="AG1984" t="s">
        <v>756</v>
      </c>
      <c r="AH1984" t="s">
        <v>756</v>
      </c>
      <c r="AI1984" t="s">
        <v>368</v>
      </c>
      <c r="AJ1984" t="str">
        <f t="shared" ref="AJ1984:AK1984" si="2030">IF($J1984&lt;&gt;"",$J1984,IF($AC1984=$AC1983,AJ1983,""))</f>
        <v/>
      </c>
      <c r="AK1984" t="str">
        <f t="shared" si="2030"/>
        <v/>
      </c>
      <c r="AL1984" t="str">
        <f t="shared" si="1947"/>
        <v/>
      </c>
      <c r="AN1984" t="s">
        <v>862</v>
      </c>
      <c r="AO1984" t="str">
        <f t="shared" si="1948"/>
        <v>a</v>
      </c>
      <c r="AP1984" t="str">
        <f t="shared" si="1956"/>
        <v/>
      </c>
      <c r="AQ1984" t="str">
        <f t="shared" si="1957"/>
        <v/>
      </c>
      <c r="AR1984" t="str">
        <f t="shared" si="1958"/>
        <v>Away</v>
      </c>
      <c r="AS1984" t="str">
        <f t="shared" si="1959"/>
        <v>a</v>
      </c>
      <c r="AT1984" t="str">
        <f t="shared" si="1960"/>
        <v>Offensive</v>
      </c>
      <c r="BA1984" s="6">
        <f t="shared" si="1949"/>
        <v>454</v>
      </c>
      <c r="BB1984">
        <f t="shared" si="1950"/>
        <v>18981</v>
      </c>
      <c r="BC1984" t="str">
        <f t="shared" si="1951"/>
        <v>Nelson</v>
      </c>
      <c r="BD1984" t="str">
        <f t="shared" si="1952"/>
        <v>Velodrome</v>
      </c>
      <c r="BE1984" t="s">
        <v>230</v>
      </c>
      <c r="BF1984" t="s">
        <v>389</v>
      </c>
      <c r="BG1984" t="s">
        <v>432</v>
      </c>
      <c r="BI1984" cm="1">
        <f t="array" aca="1" ref="BI1984" ca="1">IFERROR(_xlfn._xlws.FILTER(shifts!A:A,(shifts!B:B=events!AD1984)*(shifts!AG:AG&gt;=events!BK1984)*(shifts!AH:AH&lt;=events!BL1984)),BI1983)</f>
        <v>85</v>
      </c>
      <c r="BJ1984" s="15">
        <f t="shared" si="1953"/>
        <v>0</v>
      </c>
      <c r="BK1984">
        <f t="shared" si="1961"/>
        <v>687</v>
      </c>
      <c r="BL1984">
        <f t="shared" si="1962"/>
        <v>687</v>
      </c>
      <c r="BM1984" s="15">
        <f>SUMIFS(BJ$2:BJ1984,K$2:K1984,"=Intermission")+SUMIFS(BJ$2:BJ1984,K$2:K1984,"=Timeout")</f>
        <v>142</v>
      </c>
      <c r="BN1984">
        <f t="shared" si="1963"/>
        <v>2302</v>
      </c>
      <c r="BO1984" s="19">
        <f t="shared" si="1964"/>
        <v>2695</v>
      </c>
      <c r="BP1984">
        <f t="shared" si="1965"/>
        <v>2690</v>
      </c>
      <c r="BQ1984" s="17">
        <f t="shared" si="1966"/>
        <v>2695</v>
      </c>
      <c r="BR1984" t="str">
        <f t="shared" si="1967"/>
        <v>opp_team_player_1</v>
      </c>
      <c r="BS1984">
        <f>COUNTIFS(S$3:S1984,"="&amp;S1984,AI$3:AI1984,"="&amp;AI1984)</f>
        <v>1</v>
      </c>
      <c r="BT1984" t="str">
        <f>IFERROR(VLOOKUP(BB1984&amp;BU1984&amp;X1984,game_rosters!U:W,3,FALSE),"")</f>
        <v>P100066</v>
      </c>
      <c r="BU1984" t="str">
        <f t="shared" si="1968"/>
        <v>Nelson</v>
      </c>
    </row>
    <row r="1985" spans="1:73" x14ac:dyDescent="0.2">
      <c r="A1985">
        <f t="shared" si="1954"/>
        <v>1</v>
      </c>
      <c r="J1985" s="44" t="str">
        <f t="shared" si="1969"/>
        <v>d</v>
      </c>
      <c r="K1985" t="s">
        <v>238</v>
      </c>
      <c r="L1985" t="s">
        <v>184</v>
      </c>
      <c r="M1985" t="s">
        <v>378</v>
      </c>
      <c r="S1985">
        <v>1044</v>
      </c>
      <c r="W1985" t="str">
        <f t="shared" si="1945"/>
        <v>a</v>
      </c>
      <c r="X1985">
        <v>39</v>
      </c>
      <c r="Y1985" t="e">
        <f>IF(X1985&lt;&gt;"",VLOOKUP(X1985,game_rosters!$C$43:$E$64,3,FALSE))</f>
        <v>#N/A</v>
      </c>
      <c r="Z1985" cm="1">
        <f t="array" ref="Z1985">IFERROR(IF(_xlfn._xlws.FILTER(game_rosters!$J:$J,(game_rosters!$G:$G=events!$AN1985)*(game_rosters!$J:$J=events!$X1985))&gt;0,1,""),"")</f>
        <v>1</v>
      </c>
      <c r="AA1985">
        <f t="shared" si="1993"/>
        <v>2044</v>
      </c>
      <c r="AB1985" t="str">
        <f t="shared" si="1994"/>
        <v/>
      </c>
      <c r="AC1985">
        <f t="shared" si="1942"/>
        <v>2044</v>
      </c>
      <c r="AD1985" s="6">
        <v>3</v>
      </c>
      <c r="AE1985" t="s">
        <v>754</v>
      </c>
      <c r="AF1985" t="s">
        <v>739</v>
      </c>
      <c r="AG1985" t="s">
        <v>756</v>
      </c>
      <c r="AH1985" t="s">
        <v>756</v>
      </c>
      <c r="AI1985" t="s">
        <v>367</v>
      </c>
      <c r="AJ1985" t="str">
        <f t="shared" ref="AJ1985:AK1985" si="2031">IF($J1985&lt;&gt;"",$J1985,IF($AC1985=$AC1984,AJ1984,""))</f>
        <v>d</v>
      </c>
      <c r="AK1985" t="str">
        <f t="shared" si="2031"/>
        <v>d</v>
      </c>
      <c r="AL1985" t="str">
        <f t="shared" si="1947"/>
        <v>o</v>
      </c>
      <c r="AN1985" t="s">
        <v>862</v>
      </c>
      <c r="AO1985" t="str">
        <f t="shared" si="1948"/>
        <v>a</v>
      </c>
      <c r="AP1985" t="str">
        <f t="shared" si="1956"/>
        <v>o</v>
      </c>
      <c r="AQ1985" t="str">
        <f t="shared" si="1957"/>
        <v/>
      </c>
      <c r="AR1985" t="str">
        <f t="shared" si="1958"/>
        <v>Away</v>
      </c>
      <c r="AS1985" t="str">
        <f t="shared" si="1959"/>
        <v>a</v>
      </c>
      <c r="AT1985" t="str">
        <f t="shared" si="1960"/>
        <v>Offensive</v>
      </c>
      <c r="BA1985" s="6">
        <f t="shared" si="1949"/>
        <v>455</v>
      </c>
      <c r="BB1985">
        <f t="shared" si="1950"/>
        <v>18981</v>
      </c>
      <c r="BC1985" t="str">
        <f t="shared" si="1951"/>
        <v>Nelson</v>
      </c>
      <c r="BD1985" t="str">
        <f t="shared" si="1952"/>
        <v>Velodrome</v>
      </c>
      <c r="BE1985" t="s">
        <v>238</v>
      </c>
      <c r="BF1985" t="s">
        <v>184</v>
      </c>
      <c r="BG1985" t="s">
        <v>378</v>
      </c>
      <c r="BI1985" cm="1">
        <f t="array" aca="1" ref="BI1985" ca="1">IFERROR(_xlfn._xlws.FILTER(shifts!A:A,(shifts!B:B=events!AD1985)*(shifts!AG:AG&gt;=events!BK1985)*(shifts!AH:AH&lt;=events!BL1985)),BI1984)</f>
        <v>85</v>
      </c>
      <c r="BJ1985" s="15">
        <f t="shared" si="1953"/>
        <v>0</v>
      </c>
      <c r="BK1985">
        <f t="shared" si="1961"/>
        <v>686</v>
      </c>
      <c r="BL1985">
        <f t="shared" si="1962"/>
        <v>686</v>
      </c>
      <c r="BM1985" s="15">
        <f>SUMIFS(BJ$2:BJ1985,K$2:K1985,"=Intermission")+SUMIFS(BJ$2:BJ1985,K$2:K1985,"=Timeout")</f>
        <v>142</v>
      </c>
      <c r="BN1985">
        <f t="shared" si="1963"/>
        <v>2302</v>
      </c>
      <c r="BO1985" s="19">
        <f t="shared" si="1964"/>
        <v>2696</v>
      </c>
      <c r="BP1985">
        <f t="shared" si="1965"/>
        <v>2691</v>
      </c>
      <c r="BQ1985" s="17">
        <f t="shared" si="1966"/>
        <v>2696</v>
      </c>
      <c r="BR1985" t="str">
        <f t="shared" si="1967"/>
        <v>event_team_player_1</v>
      </c>
      <c r="BS1985">
        <f>COUNTIFS(S$3:S1985,"="&amp;S1985,AI$3:AI1985,"="&amp;AI1985)</f>
        <v>1</v>
      </c>
      <c r="BT1985" t="str">
        <f>IFERROR(VLOOKUP(BB1985&amp;BU1985&amp;X1985,game_rosters!U:W,3,FALSE),"")</f>
        <v>P100016</v>
      </c>
      <c r="BU1985" t="str">
        <f t="shared" si="1968"/>
        <v>Velodrome</v>
      </c>
    </row>
    <row r="1986" spans="1:73" x14ac:dyDescent="0.2">
      <c r="A1986">
        <f t="shared" si="1954"/>
        <v>1</v>
      </c>
      <c r="J1986" s="44" t="str">
        <f t="shared" si="1969"/>
        <v>d</v>
      </c>
      <c r="K1986" t="s">
        <v>238</v>
      </c>
      <c r="L1986" t="s">
        <v>184</v>
      </c>
      <c r="M1986" t="s">
        <v>378</v>
      </c>
      <c r="S1986">
        <v>1044</v>
      </c>
      <c r="W1986" t="str">
        <f t="shared" si="1945"/>
        <v>a</v>
      </c>
      <c r="X1986">
        <v>79</v>
      </c>
      <c r="Y1986" t="b">
        <f>IF(X1986&lt;&gt;"",VLOOKUP(X1986,game_rosters!$C$43:$E$64,3,FALSE))</f>
        <v>0</v>
      </c>
      <c r="Z1986" t="str" cm="1">
        <f t="array" ref="Z1986">IFERROR(IF(_xlfn._xlws.FILTER(game_rosters!$J:$J,(game_rosters!$G:$G=events!$AN1986)*(game_rosters!$J:$J=events!$X1986))&gt;0,1,""),"")</f>
        <v/>
      </c>
      <c r="AA1986">
        <f t="shared" si="1993"/>
        <v>2044</v>
      </c>
      <c r="AB1986" t="str">
        <f t="shared" si="1994"/>
        <v/>
      </c>
      <c r="AC1986">
        <f t="shared" ref="AC1986:AC2049" si="2032">IF(AB1986&lt;&gt;"",AB1986,S1986+1000)</f>
        <v>2044</v>
      </c>
      <c r="AD1986" s="6">
        <v>3</v>
      </c>
      <c r="AE1986" t="s">
        <v>754</v>
      </c>
      <c r="AF1986" t="s">
        <v>739</v>
      </c>
      <c r="AG1986" t="s">
        <v>756</v>
      </c>
      <c r="AH1986" t="s">
        <v>756</v>
      </c>
      <c r="AI1986" t="s">
        <v>368</v>
      </c>
      <c r="AJ1986" t="str">
        <f t="shared" ref="AJ1986:AK1986" si="2033">IF($J1986&lt;&gt;"",$J1986,IF($AC1986=$AC1985,AJ1985,""))</f>
        <v>d</v>
      </c>
      <c r="AK1986" t="str">
        <f t="shared" si="2033"/>
        <v>d</v>
      </c>
      <c r="AL1986" t="str">
        <f t="shared" si="1947"/>
        <v>o</v>
      </c>
      <c r="AN1986" t="s">
        <v>862</v>
      </c>
      <c r="AO1986" t="str">
        <f t="shared" si="1948"/>
        <v>a</v>
      </c>
      <c r="AP1986" t="str">
        <f t="shared" si="1956"/>
        <v>o</v>
      </c>
      <c r="AQ1986" t="str">
        <f t="shared" si="1957"/>
        <v/>
      </c>
      <c r="AR1986" t="str">
        <f t="shared" si="1958"/>
        <v>Away</v>
      </c>
      <c r="AS1986" t="str">
        <f t="shared" si="1959"/>
        <v>a</v>
      </c>
      <c r="AT1986" t="str">
        <f t="shared" si="1960"/>
        <v>Defensive</v>
      </c>
      <c r="BA1986" s="6">
        <f t="shared" si="1949"/>
        <v>456</v>
      </c>
      <c r="BB1986">
        <f t="shared" si="1950"/>
        <v>18981</v>
      </c>
      <c r="BC1986" t="str">
        <f t="shared" si="1951"/>
        <v>Nelson</v>
      </c>
      <c r="BD1986" t="str">
        <f t="shared" si="1952"/>
        <v>Velodrome</v>
      </c>
      <c r="BE1986" t="s">
        <v>238</v>
      </c>
      <c r="BF1986" t="s">
        <v>184</v>
      </c>
      <c r="BG1986" t="s">
        <v>378</v>
      </c>
      <c r="BI1986" cm="1">
        <f t="array" aca="1" ref="BI1986" ca="1">IFERROR(_xlfn._xlws.FILTER(shifts!A:A,(shifts!B:B=events!AD1986)*(shifts!AG:AG&gt;=events!BK1986)*(shifts!AH:AH&lt;=events!BL1986)),BI1985)</f>
        <v>85</v>
      </c>
      <c r="BJ1986" s="15">
        <f t="shared" si="1953"/>
        <v>0</v>
      </c>
      <c r="BK1986">
        <f t="shared" si="1961"/>
        <v>686</v>
      </c>
      <c r="BL1986">
        <f t="shared" si="1962"/>
        <v>686</v>
      </c>
      <c r="BM1986" s="15">
        <f>SUMIFS(BJ$2:BJ1986,K$2:K1986,"=Intermission")+SUMIFS(BJ$2:BJ1986,K$2:K1986,"=Timeout")</f>
        <v>142</v>
      </c>
      <c r="BN1986">
        <f t="shared" si="1963"/>
        <v>2302</v>
      </c>
      <c r="BO1986" s="19">
        <f t="shared" si="1964"/>
        <v>2696</v>
      </c>
      <c r="BP1986">
        <f t="shared" si="1965"/>
        <v>2691</v>
      </c>
      <c r="BQ1986" s="17">
        <f t="shared" si="1966"/>
        <v>2696</v>
      </c>
      <c r="BR1986" t="str">
        <f t="shared" si="1967"/>
        <v>opp_team_player_1</v>
      </c>
      <c r="BS1986">
        <f>COUNTIFS(S$3:S1986,"="&amp;S1986,AI$3:AI1986,"="&amp;AI1986)</f>
        <v>1</v>
      </c>
      <c r="BT1986" t="str">
        <f>IFERROR(VLOOKUP(BB1986&amp;BU1986&amp;X1986,game_rosters!U:W,3,FALSE),"")</f>
        <v>P100066</v>
      </c>
      <c r="BU1986" t="str">
        <f t="shared" si="1968"/>
        <v>Nelson</v>
      </c>
    </row>
    <row r="1987" spans="1:73" x14ac:dyDescent="0.2">
      <c r="A1987">
        <f t="shared" si="1954"/>
        <v>1</v>
      </c>
      <c r="J1987" s="44" t="str">
        <f t="shared" si="1969"/>
        <v>o</v>
      </c>
      <c r="K1987" t="s">
        <v>238</v>
      </c>
      <c r="L1987" t="s">
        <v>174</v>
      </c>
      <c r="M1987" t="s">
        <v>87</v>
      </c>
      <c r="S1987">
        <v>1045</v>
      </c>
      <c r="W1987" t="str">
        <f t="shared" si="1945"/>
        <v>h</v>
      </c>
      <c r="X1987">
        <v>8</v>
      </c>
      <c r="Y1987" t="b">
        <f>IF(X1987&lt;&gt;"",VLOOKUP(X1987,game_rosters!$C$43:$E$64,3,FALSE))</f>
        <v>0</v>
      </c>
      <c r="Z1987" cm="1">
        <f t="array" ref="Z1987">IFERROR(IF(_xlfn._xlws.FILTER(game_rosters!$J:$J,(game_rosters!$G:$G=events!$AN1987)*(game_rosters!$J:$J=events!$X1987))&gt;0,1,""),"")</f>
        <v>1</v>
      </c>
      <c r="AA1987">
        <f t="shared" si="1993"/>
        <v>2045</v>
      </c>
      <c r="AB1987" t="str">
        <f t="shared" si="1994"/>
        <v/>
      </c>
      <c r="AC1987">
        <f t="shared" si="2032"/>
        <v>2045</v>
      </c>
      <c r="AD1987" s="6">
        <v>3</v>
      </c>
      <c r="AE1987" t="s">
        <v>754</v>
      </c>
      <c r="AF1987" t="s">
        <v>919</v>
      </c>
      <c r="AG1987" t="s">
        <v>756</v>
      </c>
      <c r="AH1987" t="s">
        <v>756</v>
      </c>
      <c r="AI1987" t="s">
        <v>367</v>
      </c>
      <c r="AJ1987" t="str">
        <f t="shared" ref="AJ1987:AK1987" si="2034">IF($J1987&lt;&gt;"",$J1987,IF($AC1987=$AC1986,AJ1986,""))</f>
        <v>o</v>
      </c>
      <c r="AK1987" t="str">
        <f t="shared" si="2034"/>
        <v>o</v>
      </c>
      <c r="AL1987" t="str">
        <f t="shared" si="1947"/>
        <v>o</v>
      </c>
      <c r="AN1987" t="s">
        <v>861</v>
      </c>
      <c r="AO1987" t="str">
        <f t="shared" si="1948"/>
        <v>h</v>
      </c>
      <c r="AP1987" t="str">
        <f t="shared" si="1956"/>
        <v>o</v>
      </c>
      <c r="AQ1987" t="str">
        <f t="shared" si="1957"/>
        <v/>
      </c>
      <c r="AR1987" t="str">
        <f t="shared" si="1958"/>
        <v>Home</v>
      </c>
      <c r="AS1987" t="str">
        <f t="shared" si="1959"/>
        <v>h</v>
      </c>
      <c r="AT1987" t="str">
        <f t="shared" si="1960"/>
        <v>Offensive</v>
      </c>
      <c r="BA1987" s="6">
        <f t="shared" si="1949"/>
        <v>457</v>
      </c>
      <c r="BB1987">
        <f t="shared" si="1950"/>
        <v>18981</v>
      </c>
      <c r="BC1987" t="str">
        <f t="shared" si="1951"/>
        <v>Nelson</v>
      </c>
      <c r="BD1987" t="str">
        <f t="shared" si="1952"/>
        <v>Velodrome</v>
      </c>
      <c r="BE1987" t="s">
        <v>238</v>
      </c>
      <c r="BF1987" t="s">
        <v>174</v>
      </c>
      <c r="BG1987" t="s">
        <v>87</v>
      </c>
      <c r="BI1987" cm="1">
        <f t="array" aca="1" ref="BI1987" ca="1">IFERROR(_xlfn._xlws.FILTER(shifts!A:A,(shifts!B:B=events!AD1987)*(shifts!AG:AG&gt;=events!BK1987)*(shifts!AH:AH&lt;=events!BL1987)),BI1986)</f>
        <v>85</v>
      </c>
      <c r="BJ1987" s="15">
        <f t="shared" si="1953"/>
        <v>0</v>
      </c>
      <c r="BK1987">
        <f t="shared" si="1961"/>
        <v>680</v>
      </c>
      <c r="BL1987">
        <f t="shared" si="1962"/>
        <v>680</v>
      </c>
      <c r="BM1987" s="15">
        <f>SUMIFS(BJ$2:BJ1987,K$2:K1987,"=Intermission")+SUMIFS(BJ$2:BJ1987,K$2:K1987,"=Timeout")</f>
        <v>142</v>
      </c>
      <c r="BN1987">
        <f t="shared" si="1963"/>
        <v>2302</v>
      </c>
      <c r="BO1987" s="19">
        <f t="shared" si="1964"/>
        <v>2702</v>
      </c>
      <c r="BP1987">
        <f t="shared" si="1965"/>
        <v>2697</v>
      </c>
      <c r="BQ1987" s="17">
        <f t="shared" si="1966"/>
        <v>2702</v>
      </c>
      <c r="BR1987" t="str">
        <f t="shared" si="1967"/>
        <v>event_team_player_1</v>
      </c>
      <c r="BS1987">
        <f>COUNTIFS(S$3:S1987,"="&amp;S1987,AI$3:AI1987,"="&amp;AI1987)</f>
        <v>1</v>
      </c>
      <c r="BT1987" t="str">
        <f>IFERROR(VLOOKUP(BB1987&amp;BU1987&amp;X1987,game_rosters!U:W,3,FALSE),"")</f>
        <v>P100074</v>
      </c>
      <c r="BU1987" t="str">
        <f t="shared" si="1968"/>
        <v>Nelson</v>
      </c>
    </row>
    <row r="1988" spans="1:73" x14ac:dyDescent="0.2">
      <c r="A1988">
        <f t="shared" si="1954"/>
        <v>1</v>
      </c>
      <c r="J1988" s="44" t="str">
        <f t="shared" si="1969"/>
        <v/>
      </c>
      <c r="K1988" t="s">
        <v>9</v>
      </c>
      <c r="L1988" t="s">
        <v>173</v>
      </c>
      <c r="M1988" t="s">
        <v>354</v>
      </c>
      <c r="S1988">
        <v>1046</v>
      </c>
      <c r="W1988" t="str">
        <f t="shared" ref="W1988:W2051" si="2035">IF(AN1988="Away","a",IF(AN1988="Home","h",""))</f>
        <v>h</v>
      </c>
      <c r="X1988">
        <v>8</v>
      </c>
      <c r="Y1988" t="b">
        <f>IF(X1988&lt;&gt;"",VLOOKUP(X1988,game_rosters!$C$43:$E$64,3,FALSE))</f>
        <v>0</v>
      </c>
      <c r="Z1988" cm="1">
        <f t="array" ref="Z1988">IFERROR(IF(_xlfn._xlws.FILTER(game_rosters!$J:$J,(game_rosters!$G:$G=events!$AN1988)*(game_rosters!$J:$J=events!$X1988))&gt;0,1,""),"")</f>
        <v>1</v>
      </c>
      <c r="AA1988">
        <f t="shared" si="1993"/>
        <v>2046</v>
      </c>
      <c r="AB1988" t="str">
        <f t="shared" si="1994"/>
        <v/>
      </c>
      <c r="AC1988">
        <f t="shared" si="2032"/>
        <v>2046</v>
      </c>
      <c r="AD1988" s="6">
        <v>3</v>
      </c>
      <c r="AE1988" t="s">
        <v>754</v>
      </c>
      <c r="AF1988" t="s">
        <v>919</v>
      </c>
      <c r="AG1988" t="s">
        <v>756</v>
      </c>
      <c r="AH1988" t="s">
        <v>756</v>
      </c>
      <c r="AI1988" t="s">
        <v>367</v>
      </c>
      <c r="AJ1988" t="str">
        <f t="shared" ref="AJ1988:AK1988" si="2036">IF($J1988&lt;&gt;"",$J1988,IF($AC1988=$AC1987,AJ1987,""))</f>
        <v/>
      </c>
      <c r="AK1988" t="str">
        <f t="shared" si="2036"/>
        <v/>
      </c>
      <c r="AL1988" t="str">
        <f t="shared" ref="AL1988:AL2051" si="2037">IF($W1988="","",IF($AJ1988="","",IF($W1988="h",$AJ1988,IF($AJ1988="n","n",IF(AND($W1988="a",$AJ1988="d"),"o",IF(AND($W1988="a",$AJ1988="o"),"d"))))))</f>
        <v/>
      </c>
      <c r="AN1988" t="s">
        <v>861</v>
      </c>
      <c r="AO1988" t="str">
        <f t="shared" ref="AO1988:AO2051" si="2038">IF($W1988&lt;&gt;"",$W1988,IF($AC1988=$AC1987,AO1987,""))</f>
        <v>h</v>
      </c>
      <c r="AP1988" t="str">
        <f t="shared" si="1956"/>
        <v/>
      </c>
      <c r="AQ1988" t="str">
        <f t="shared" si="1957"/>
        <v/>
      </c>
      <c r="AR1988" t="str">
        <f t="shared" si="1958"/>
        <v>Home</v>
      </c>
      <c r="AS1988" t="str">
        <f t="shared" si="1959"/>
        <v>h</v>
      </c>
      <c r="AT1988" t="str">
        <f t="shared" si="1960"/>
        <v>Offensive</v>
      </c>
      <c r="BA1988" s="6">
        <f t="shared" ref="BA1988:BA2051" si="2039">IF(OR(L1988="Zone_Entry",L1988="Zone_Exit"),BA1987+1,BA1987)</f>
        <v>457</v>
      </c>
      <c r="BB1988">
        <f t="shared" ref="BB1988:BB2051" si="2040">BB1987</f>
        <v>18981</v>
      </c>
      <c r="BC1988" t="str">
        <f t="shared" ref="BC1988:BC2051" si="2041">BC1987</f>
        <v>Nelson</v>
      </c>
      <c r="BD1988" t="str">
        <f t="shared" ref="BD1988:BD2051" si="2042">BD1987</f>
        <v>Velodrome</v>
      </c>
      <c r="BE1988" t="s">
        <v>9</v>
      </c>
      <c r="BF1988" t="s">
        <v>173</v>
      </c>
      <c r="BG1988" t="s">
        <v>354</v>
      </c>
      <c r="BI1988" cm="1">
        <f t="array" aca="1" ref="BI1988" ca="1">IFERROR(_xlfn._xlws.FILTER(shifts!A:A,(shifts!B:B=events!AD1988)*(shifts!AG:AG&gt;=events!BK1988)*(shifts!AH:AH&lt;=events!BL1988)),BI1987)</f>
        <v>85</v>
      </c>
      <c r="BJ1988" s="15">
        <f t="shared" ref="BJ1988:BJ2051" si="2043">IF(AND(AG1988="",AH1988=""),0,((AE1988*60)+AF1988)-((AG1988*60)+AH1988))</f>
        <v>0</v>
      </c>
      <c r="BK1988">
        <f t="shared" si="1961"/>
        <v>680</v>
      </c>
      <c r="BL1988">
        <f t="shared" si="1962"/>
        <v>680</v>
      </c>
      <c r="BM1988" s="15">
        <f>SUMIFS(BJ$2:BJ1988,K$2:K1988,"=Intermission")+SUMIFS(BJ$2:BJ1988,K$2:K1988,"=Timeout")</f>
        <v>142</v>
      </c>
      <c r="BN1988">
        <f t="shared" si="1963"/>
        <v>2302</v>
      </c>
      <c r="BO1988" s="19">
        <f t="shared" si="1964"/>
        <v>2702</v>
      </c>
      <c r="BP1988">
        <f t="shared" si="1965"/>
        <v>2697</v>
      </c>
      <c r="BQ1988" s="17">
        <f t="shared" si="1966"/>
        <v>2702</v>
      </c>
      <c r="BR1988" t="str">
        <f t="shared" si="1967"/>
        <v>event_team_player_1</v>
      </c>
      <c r="BS1988">
        <f>COUNTIFS(S$3:S1988,"="&amp;S1988,AI$3:AI1988,"="&amp;AI1988)</f>
        <v>1</v>
      </c>
      <c r="BT1988" t="str">
        <f>IFERROR(VLOOKUP(BB1988&amp;BU1988&amp;X1988,game_rosters!U:W,3,FALSE),"")</f>
        <v>P100074</v>
      </c>
      <c r="BU1988" t="str">
        <f t="shared" si="1968"/>
        <v>Nelson</v>
      </c>
    </row>
    <row r="1989" spans="1:73" x14ac:dyDescent="0.2">
      <c r="A1989">
        <f t="shared" ref="A1989:A2052" si="2044">IF(K1989&lt;&gt;"",1,IF(D1989="x","x",""))</f>
        <v>1</v>
      </c>
      <c r="J1989" s="44" t="str">
        <f t="shared" si="1969"/>
        <v>d</v>
      </c>
      <c r="K1989" t="s">
        <v>238</v>
      </c>
      <c r="L1989" t="s">
        <v>184</v>
      </c>
      <c r="M1989" t="s">
        <v>88</v>
      </c>
      <c r="S1989">
        <v>1047</v>
      </c>
      <c r="W1989" t="str">
        <f t="shared" si="2035"/>
        <v>a</v>
      </c>
      <c r="X1989">
        <v>84</v>
      </c>
      <c r="Y1989" t="e">
        <f>IF(X1989&lt;&gt;"",VLOOKUP(X1989,game_rosters!$C$43:$E$64,3,FALSE))</f>
        <v>#N/A</v>
      </c>
      <c r="Z1989" cm="1">
        <f t="array" ref="Z1989">IFERROR(IF(_xlfn._xlws.FILTER(game_rosters!$J:$J,(game_rosters!$G:$G=events!$AN1989)*(game_rosters!$J:$J=events!$X1989))&gt;0,1,""),"")</f>
        <v>1</v>
      </c>
      <c r="AA1989">
        <f t="shared" si="1993"/>
        <v>2047</v>
      </c>
      <c r="AB1989" t="str">
        <f t="shared" si="1994"/>
        <v/>
      </c>
      <c r="AC1989">
        <f t="shared" si="2032"/>
        <v>2047</v>
      </c>
      <c r="AD1989" s="6">
        <v>3</v>
      </c>
      <c r="AE1989" t="s">
        <v>754</v>
      </c>
      <c r="AF1989" t="s">
        <v>909</v>
      </c>
      <c r="AG1989" t="s">
        <v>754</v>
      </c>
      <c r="AH1989" t="s">
        <v>746</v>
      </c>
      <c r="AI1989" t="s">
        <v>367</v>
      </c>
      <c r="AJ1989" t="str">
        <f t="shared" ref="AJ1989:AK1989" si="2045">IF($J1989&lt;&gt;"",$J1989,IF($AC1989=$AC1988,AJ1988,""))</f>
        <v>d</v>
      </c>
      <c r="AK1989" t="str">
        <f t="shared" si="2045"/>
        <v>d</v>
      </c>
      <c r="AL1989" t="str">
        <f t="shared" si="2037"/>
        <v>o</v>
      </c>
      <c r="AN1989" t="s">
        <v>862</v>
      </c>
      <c r="AO1989" t="str">
        <f t="shared" si="2038"/>
        <v>a</v>
      </c>
      <c r="AP1989" t="str">
        <f t="shared" ref="AP1989:AP2052" si="2046">IF(AL1989&lt;&gt;"",AL1989,IF($AC1989=$AC1988,AP1988,""))</f>
        <v>o</v>
      </c>
      <c r="AQ1989" t="str">
        <f t="shared" ref="AQ1989:AQ2052" si="2047">IF(AM1989&lt;&gt;"",AM1989,IF($AC1989=$AC1988,AQ1988,""))</f>
        <v/>
      </c>
      <c r="AR1989" t="str">
        <f t="shared" ref="AR1989:AR2052" si="2048">IF(AN1989&lt;&gt;"",AN1989,IF($AC1989=$AC1988,AR1988,""))</f>
        <v>Away</v>
      </c>
      <c r="AS1989" t="str">
        <f t="shared" ref="AS1989:AS2052" si="2049">IF(AO1989&lt;&gt;"",AO1989,IF($AC1989=$AC1988,AS1988,""))</f>
        <v>a</v>
      </c>
      <c r="AT1989" t="str">
        <f t="shared" ref="AT1989:AT2052" si="2050">IF(AND(AI1989="e",OR(BE1989="Save",BF1989="Turnover_Takeaway",BF1989="Play_Defensive")),"Defensive",IF(AND(AI1989="o",OR(BE1989="Save",BF1989="Turnover_Takeaway",BF1989="Play_Defensive")),"Offensive",IF(OR(BE1989="Deadice",BE1989="Stoppage",BE1989="Intermission"),"",IF(AI1989="e","Offensive",IF(AI1989="o","Defensive","")))))</f>
        <v>Offensive</v>
      </c>
      <c r="BA1989" s="6">
        <f t="shared" si="2039"/>
        <v>458</v>
      </c>
      <c r="BB1989">
        <f t="shared" si="2040"/>
        <v>18981</v>
      </c>
      <c r="BC1989" t="str">
        <f t="shared" si="2041"/>
        <v>Nelson</v>
      </c>
      <c r="BD1989" t="str">
        <f t="shared" si="2042"/>
        <v>Velodrome</v>
      </c>
      <c r="BE1989" t="s">
        <v>238</v>
      </c>
      <c r="BF1989" t="s">
        <v>184</v>
      </c>
      <c r="BG1989" t="s">
        <v>88</v>
      </c>
      <c r="BI1989" cm="1">
        <f t="array" aca="1" ref="BI1989" ca="1">IFERROR(_xlfn._xlws.FILTER(shifts!A:A,(shifts!B:B=events!AD1989)*(shifts!AG:AG&gt;=events!BK1989)*(shifts!AH:AH&lt;=events!BL1989)),BI1988)</f>
        <v>85</v>
      </c>
      <c r="BJ1989" s="15">
        <f t="shared" si="2043"/>
        <v>4</v>
      </c>
      <c r="BK1989">
        <f t="shared" ref="BK1989:BK2052" si="2051">(AE1989*60)+AF1989</f>
        <v>676</v>
      </c>
      <c r="BL1989">
        <f t="shared" ref="BL1989:BL2052" si="2052">IF(AND(AG1989="",AH1989=""),BK1989,((AG1989*60)+AH1989))</f>
        <v>672</v>
      </c>
      <c r="BM1989" s="15">
        <f>SUMIFS(BJ$2:BJ1989,K$2:K1989,"=Intermission")+SUMIFS(BJ$2:BJ1989,K$2:K1989,"=Timeout")</f>
        <v>142</v>
      </c>
      <c r="BN1989">
        <f t="shared" ref="BN1989:BN2052" si="2053">IF(AD1989=1,0,IF(AD1989=2,1080+BM1989,IF(AD1989=3,(1080*2)+BM1989,0)))</f>
        <v>2302</v>
      </c>
      <c r="BO1989" s="19">
        <f t="shared" ref="BO1989:BO2052" si="2054">IF(K1989="Intermission",BO1988,((1080)-((AE1989*60)+AF1989))+BN1989)</f>
        <v>2706</v>
      </c>
      <c r="BP1989">
        <f t="shared" ref="BP1989:BP2052" si="2055">IF(BO1989&lt;5,0,BO1989-5)</f>
        <v>2701</v>
      </c>
      <c r="BQ1989" s="17">
        <f t="shared" ref="BQ1989:BQ2052" si="2056">BP1989+BJ1989+5</f>
        <v>2710</v>
      </c>
      <c r="BR1989" t="str">
        <f t="shared" ref="BR1989:BR2052" si="2057">IF(AI1989="e","event_team_player_"&amp;BS1989,IF(AI1989="o","opp_team_player_"&amp;BS1989,""))</f>
        <v>event_team_player_1</v>
      </c>
      <c r="BS1989">
        <f>COUNTIFS(S$3:S1989,"="&amp;S1989,AI$3:AI1989,"="&amp;AI1989)</f>
        <v>1</v>
      </c>
      <c r="BT1989" t="str">
        <f>IFERROR(VLOOKUP(BB1989&amp;BU1989&amp;X1989,game_rosters!U:W,3,FALSE),"")</f>
        <v>P100198</v>
      </c>
      <c r="BU1989" t="str">
        <f t="shared" ref="BU1989:BU2052" si="2058">IF(AR1989="","",IF(AND(AR1989="Away",AI1989="e"),BD1989,IF(AND(AR1989="Home",AI1989="e"),BC1989,IF(AND(AR1989="Away",AI1989="o"),BC1989,IF(AND(AR1989="Home",AI1989="o"),BD1989)))))</f>
        <v>Velodrome</v>
      </c>
    </row>
    <row r="1990" spans="1:73" x14ac:dyDescent="0.2">
      <c r="A1990">
        <f t="shared" si="2044"/>
        <v>1</v>
      </c>
      <c r="J1990" s="44" t="str">
        <f t="shared" ref="J1990:J2053" si="2059">IF(OR(K1990="Goal",K1990="Shot",L1990="Zone_Entry",M1990="Stoppage-Goal",M1989="Stoppage-Goal"),"o",IF(OR(K1990="Save",K1990="Rebound",L1990="Zone_Exit",M1990="Stoppage-GoalieStoppage",M1989="Stoppage-GoalieStoppage"),"d",IF(OR(L1990="Faceoff_AfterGoal",L1990="Faceoff_PeriodStart",698="Faceoff_GameStart",M1989="Stoppage-Goal"),"n","")))</f>
        <v>d</v>
      </c>
      <c r="K1990" t="s">
        <v>238</v>
      </c>
      <c r="L1990" t="s">
        <v>184</v>
      </c>
      <c r="M1990" t="s">
        <v>88</v>
      </c>
      <c r="S1990">
        <v>1047</v>
      </c>
      <c r="W1990" t="str">
        <f t="shared" si="2035"/>
        <v>a</v>
      </c>
      <c r="X1990">
        <v>16</v>
      </c>
      <c r="Y1990" t="b">
        <f>IF(X1990&lt;&gt;"",VLOOKUP(X1990,game_rosters!$C$43:$E$64,3,FALSE))</f>
        <v>0</v>
      </c>
      <c r="Z1990" t="str" cm="1">
        <f t="array" ref="Z1990">IFERROR(IF(_xlfn._xlws.FILTER(game_rosters!$J:$J,(game_rosters!$G:$G=events!$AN1990)*(game_rosters!$J:$J=events!$X1990))&gt;0,1,""),"")</f>
        <v/>
      </c>
      <c r="AA1990">
        <f t="shared" si="1993"/>
        <v>2047</v>
      </c>
      <c r="AB1990" t="str">
        <f t="shared" si="1994"/>
        <v/>
      </c>
      <c r="AC1990">
        <f t="shared" si="2032"/>
        <v>2047</v>
      </c>
      <c r="AD1990" s="6">
        <v>3</v>
      </c>
      <c r="AE1990" t="s">
        <v>754</v>
      </c>
      <c r="AF1990" t="s">
        <v>909</v>
      </c>
      <c r="AG1990" t="s">
        <v>754</v>
      </c>
      <c r="AH1990" t="s">
        <v>746</v>
      </c>
      <c r="AI1990" t="s">
        <v>368</v>
      </c>
      <c r="AJ1990" t="str">
        <f t="shared" ref="AJ1990:AK1990" si="2060">IF($J1990&lt;&gt;"",$J1990,IF($AC1990=$AC1989,AJ1989,""))</f>
        <v>d</v>
      </c>
      <c r="AK1990" t="str">
        <f t="shared" si="2060"/>
        <v>d</v>
      </c>
      <c r="AL1990" t="str">
        <f t="shared" si="2037"/>
        <v>o</v>
      </c>
      <c r="AN1990" t="s">
        <v>862</v>
      </c>
      <c r="AO1990" t="str">
        <f t="shared" si="2038"/>
        <v>a</v>
      </c>
      <c r="AP1990" t="str">
        <f t="shared" si="2046"/>
        <v>o</v>
      </c>
      <c r="AQ1990" t="str">
        <f t="shared" si="2047"/>
        <v/>
      </c>
      <c r="AR1990" t="str">
        <f t="shared" si="2048"/>
        <v>Away</v>
      </c>
      <c r="AS1990" t="str">
        <f t="shared" si="2049"/>
        <v>a</v>
      </c>
      <c r="AT1990" t="str">
        <f t="shared" si="2050"/>
        <v>Defensive</v>
      </c>
      <c r="BA1990" s="6">
        <f t="shared" si="2039"/>
        <v>459</v>
      </c>
      <c r="BB1990">
        <f t="shared" si="2040"/>
        <v>18981</v>
      </c>
      <c r="BC1990" t="str">
        <f t="shared" si="2041"/>
        <v>Nelson</v>
      </c>
      <c r="BD1990" t="str">
        <f t="shared" si="2042"/>
        <v>Velodrome</v>
      </c>
      <c r="BE1990" t="s">
        <v>238</v>
      </c>
      <c r="BF1990" t="s">
        <v>184</v>
      </c>
      <c r="BG1990" t="s">
        <v>88</v>
      </c>
      <c r="BI1990" cm="1">
        <f t="array" aca="1" ref="BI1990" ca="1">IFERROR(_xlfn._xlws.FILTER(shifts!A:A,(shifts!B:B=events!AD1990)*(shifts!AG:AG&gt;=events!BK1990)*(shifts!AH:AH&lt;=events!BL1990)),BI1989)</f>
        <v>85</v>
      </c>
      <c r="BJ1990" s="15">
        <f t="shared" si="2043"/>
        <v>4</v>
      </c>
      <c r="BK1990">
        <f t="shared" si="2051"/>
        <v>676</v>
      </c>
      <c r="BL1990">
        <f t="shared" si="2052"/>
        <v>672</v>
      </c>
      <c r="BM1990" s="15">
        <f>SUMIFS(BJ$2:BJ1990,K$2:K1990,"=Intermission")+SUMIFS(BJ$2:BJ1990,K$2:K1990,"=Timeout")</f>
        <v>142</v>
      </c>
      <c r="BN1990">
        <f t="shared" si="2053"/>
        <v>2302</v>
      </c>
      <c r="BO1990" s="19">
        <f t="shared" si="2054"/>
        <v>2706</v>
      </c>
      <c r="BP1990">
        <f t="shared" si="2055"/>
        <v>2701</v>
      </c>
      <c r="BQ1990" s="17">
        <f t="shared" si="2056"/>
        <v>2710</v>
      </c>
      <c r="BR1990" t="str">
        <f t="shared" si="2057"/>
        <v>opp_team_player_1</v>
      </c>
      <c r="BS1990">
        <f>COUNTIFS(S$3:S1990,"="&amp;S1990,AI$3:AI1990,"="&amp;AI1990)</f>
        <v>1</v>
      </c>
      <c r="BT1990" t="str">
        <f>IFERROR(VLOOKUP(BB1990&amp;BU1990&amp;X1990,game_rosters!U:W,3,FALSE),"")</f>
        <v>P100164</v>
      </c>
      <c r="BU1990" t="str">
        <f t="shared" si="2058"/>
        <v>Nelson</v>
      </c>
    </row>
    <row r="1991" spans="1:73" x14ac:dyDescent="0.2">
      <c r="A1991">
        <f t="shared" si="2044"/>
        <v>1</v>
      </c>
      <c r="J1991" s="44" t="str">
        <f t="shared" si="2059"/>
        <v/>
      </c>
      <c r="K1991" t="s">
        <v>9</v>
      </c>
      <c r="L1991" t="s">
        <v>173</v>
      </c>
      <c r="M1991" t="s">
        <v>72</v>
      </c>
      <c r="S1991">
        <v>1048</v>
      </c>
      <c r="W1991" t="str">
        <f t="shared" si="2035"/>
        <v>h</v>
      </c>
      <c r="X1991">
        <v>79</v>
      </c>
      <c r="Y1991" t="b">
        <f>IF(X1991&lt;&gt;"",VLOOKUP(X1991,game_rosters!$C$43:$E$64,3,FALSE))</f>
        <v>0</v>
      </c>
      <c r="Z1991" cm="1">
        <f t="array" ref="Z1991">IFERROR(IF(_xlfn._xlws.FILTER(game_rosters!$J:$J,(game_rosters!$G:$G=events!$AN1991)*(game_rosters!$J:$J=events!$X1991))&gt;0,1,""),"")</f>
        <v>1</v>
      </c>
      <c r="AA1991">
        <f t="shared" si="1993"/>
        <v>2048</v>
      </c>
      <c r="AB1991" t="str">
        <f t="shared" si="1994"/>
        <v/>
      </c>
      <c r="AC1991">
        <f t="shared" si="2032"/>
        <v>2048</v>
      </c>
      <c r="AD1991" s="6">
        <v>3</v>
      </c>
      <c r="AE1991" t="s">
        <v>754</v>
      </c>
      <c r="AF1991" t="s">
        <v>754</v>
      </c>
      <c r="AG1991" t="s">
        <v>756</v>
      </c>
      <c r="AH1991" t="s">
        <v>756</v>
      </c>
      <c r="AI1991" t="s">
        <v>367</v>
      </c>
      <c r="AJ1991" t="str">
        <f t="shared" ref="AJ1991:AK1991" si="2061">IF($J1991&lt;&gt;"",$J1991,IF($AC1991=$AC1990,AJ1990,""))</f>
        <v/>
      </c>
      <c r="AK1991" t="str">
        <f t="shared" si="2061"/>
        <v/>
      </c>
      <c r="AL1991" t="str">
        <f t="shared" si="2037"/>
        <v/>
      </c>
      <c r="AN1991" t="s">
        <v>861</v>
      </c>
      <c r="AO1991" t="str">
        <f t="shared" si="2038"/>
        <v>h</v>
      </c>
      <c r="AP1991" t="str">
        <f t="shared" si="2046"/>
        <v/>
      </c>
      <c r="AQ1991" t="str">
        <f t="shared" si="2047"/>
        <v/>
      </c>
      <c r="AR1991" t="str">
        <f t="shared" si="2048"/>
        <v>Home</v>
      </c>
      <c r="AS1991" t="str">
        <f t="shared" si="2049"/>
        <v>h</v>
      </c>
      <c r="AT1991" t="str">
        <f t="shared" si="2050"/>
        <v>Offensive</v>
      </c>
      <c r="BA1991" s="6">
        <f t="shared" si="2039"/>
        <v>459</v>
      </c>
      <c r="BB1991">
        <f t="shared" si="2040"/>
        <v>18981</v>
      </c>
      <c r="BC1991" t="str">
        <f t="shared" si="2041"/>
        <v>Nelson</v>
      </c>
      <c r="BD1991" t="str">
        <f t="shared" si="2042"/>
        <v>Velodrome</v>
      </c>
      <c r="BE1991" t="s">
        <v>9</v>
      </c>
      <c r="BF1991" t="s">
        <v>173</v>
      </c>
      <c r="BG1991" t="s">
        <v>72</v>
      </c>
      <c r="BI1991" cm="1">
        <f t="array" aca="1" ref="BI1991" ca="1">IFERROR(_xlfn._xlws.FILTER(shifts!A:A,(shifts!B:B=events!AD1991)*(shifts!AG:AG&gt;=events!BK1991)*(shifts!AH:AH&lt;=events!BL1991)),BI1990)</f>
        <v>85</v>
      </c>
      <c r="BJ1991" s="15">
        <f t="shared" si="2043"/>
        <v>0</v>
      </c>
      <c r="BK1991">
        <f t="shared" si="2051"/>
        <v>671</v>
      </c>
      <c r="BL1991">
        <f t="shared" si="2052"/>
        <v>671</v>
      </c>
      <c r="BM1991" s="15">
        <f>SUMIFS(BJ$2:BJ1991,K$2:K1991,"=Intermission")+SUMIFS(BJ$2:BJ1991,K$2:K1991,"=Timeout")</f>
        <v>142</v>
      </c>
      <c r="BN1991">
        <f t="shared" si="2053"/>
        <v>2302</v>
      </c>
      <c r="BO1991" s="19">
        <f t="shared" si="2054"/>
        <v>2711</v>
      </c>
      <c r="BP1991">
        <f t="shared" si="2055"/>
        <v>2706</v>
      </c>
      <c r="BQ1991" s="17">
        <f t="shared" si="2056"/>
        <v>2711</v>
      </c>
      <c r="BR1991" t="str">
        <f t="shared" si="2057"/>
        <v>event_team_player_1</v>
      </c>
      <c r="BS1991">
        <f>COUNTIFS(S$3:S1991,"="&amp;S1991,AI$3:AI1991,"="&amp;AI1991)</f>
        <v>1</v>
      </c>
      <c r="BT1991" t="str">
        <f>IFERROR(VLOOKUP(BB1991&amp;BU1991&amp;X1991,game_rosters!U:W,3,FALSE),"")</f>
        <v>P100066</v>
      </c>
      <c r="BU1991" t="str">
        <f t="shared" si="2058"/>
        <v>Nelson</v>
      </c>
    </row>
    <row r="1992" spans="1:73" x14ac:dyDescent="0.2">
      <c r="A1992">
        <f t="shared" si="2044"/>
        <v>1</v>
      </c>
      <c r="J1992" s="44" t="str">
        <f t="shared" si="2059"/>
        <v/>
      </c>
      <c r="K1992" t="s">
        <v>9</v>
      </c>
      <c r="L1992" t="s">
        <v>173</v>
      </c>
      <c r="M1992" t="s">
        <v>72</v>
      </c>
      <c r="S1992">
        <v>1048</v>
      </c>
      <c r="W1992" t="str">
        <f t="shared" si="2035"/>
        <v>h</v>
      </c>
      <c r="X1992">
        <v>84</v>
      </c>
      <c r="Y1992" t="e">
        <f>IF(X1992&lt;&gt;"",VLOOKUP(X1992,game_rosters!$C$43:$E$64,3,FALSE))</f>
        <v>#N/A</v>
      </c>
      <c r="Z1992" t="str" cm="1">
        <f t="array" ref="Z1992">IFERROR(IF(_xlfn._xlws.FILTER(game_rosters!$J:$J,(game_rosters!$G:$G=events!$AN1992)*(game_rosters!$J:$J=events!$X1992))&gt;0,1,""),"")</f>
        <v/>
      </c>
      <c r="AA1992">
        <f t="shared" si="1993"/>
        <v>2048</v>
      </c>
      <c r="AB1992" t="str">
        <f t="shared" si="1994"/>
        <v/>
      </c>
      <c r="AC1992">
        <f t="shared" si="2032"/>
        <v>2048</v>
      </c>
      <c r="AD1992" s="6">
        <v>3</v>
      </c>
      <c r="AE1992" t="s">
        <v>754</v>
      </c>
      <c r="AF1992" t="s">
        <v>754</v>
      </c>
      <c r="AG1992" t="s">
        <v>756</v>
      </c>
      <c r="AH1992" t="s">
        <v>756</v>
      </c>
      <c r="AI1992" t="s">
        <v>368</v>
      </c>
      <c r="AJ1992" t="str">
        <f t="shared" ref="AJ1992:AK1992" si="2062">IF($J1992&lt;&gt;"",$J1992,IF($AC1992=$AC1991,AJ1991,""))</f>
        <v/>
      </c>
      <c r="AK1992" t="str">
        <f t="shared" si="2062"/>
        <v/>
      </c>
      <c r="AL1992" t="str">
        <f t="shared" si="2037"/>
        <v/>
      </c>
      <c r="AN1992" t="s">
        <v>861</v>
      </c>
      <c r="AO1992" t="str">
        <f t="shared" si="2038"/>
        <v>h</v>
      </c>
      <c r="AP1992" t="str">
        <f t="shared" si="2046"/>
        <v/>
      </c>
      <c r="AQ1992" t="str">
        <f t="shared" si="2047"/>
        <v/>
      </c>
      <c r="AR1992" t="str">
        <f t="shared" si="2048"/>
        <v>Home</v>
      </c>
      <c r="AS1992" t="str">
        <f t="shared" si="2049"/>
        <v>h</v>
      </c>
      <c r="AT1992" t="str">
        <f t="shared" si="2050"/>
        <v>Defensive</v>
      </c>
      <c r="BA1992" s="6">
        <f t="shared" si="2039"/>
        <v>459</v>
      </c>
      <c r="BB1992">
        <f t="shared" si="2040"/>
        <v>18981</v>
      </c>
      <c r="BC1992" t="str">
        <f t="shared" si="2041"/>
        <v>Nelson</v>
      </c>
      <c r="BD1992" t="str">
        <f t="shared" si="2042"/>
        <v>Velodrome</v>
      </c>
      <c r="BE1992" t="s">
        <v>9</v>
      </c>
      <c r="BF1992" t="s">
        <v>173</v>
      </c>
      <c r="BG1992" t="s">
        <v>72</v>
      </c>
      <c r="BI1992" cm="1">
        <f t="array" aca="1" ref="BI1992" ca="1">IFERROR(_xlfn._xlws.FILTER(shifts!A:A,(shifts!B:B=events!AD1992)*(shifts!AG:AG&gt;=events!BK1992)*(shifts!AH:AH&lt;=events!BL1992)),BI1991)</f>
        <v>85</v>
      </c>
      <c r="BJ1992" s="15">
        <f t="shared" si="2043"/>
        <v>0</v>
      </c>
      <c r="BK1992">
        <f t="shared" si="2051"/>
        <v>671</v>
      </c>
      <c r="BL1992">
        <f t="shared" si="2052"/>
        <v>671</v>
      </c>
      <c r="BM1992" s="15">
        <f>SUMIFS(BJ$2:BJ1992,K$2:K1992,"=Intermission")+SUMIFS(BJ$2:BJ1992,K$2:K1992,"=Timeout")</f>
        <v>142</v>
      </c>
      <c r="BN1992">
        <f t="shared" si="2053"/>
        <v>2302</v>
      </c>
      <c r="BO1992" s="19">
        <f t="shared" si="2054"/>
        <v>2711</v>
      </c>
      <c r="BP1992">
        <f t="shared" si="2055"/>
        <v>2706</v>
      </c>
      <c r="BQ1992" s="17">
        <f t="shared" si="2056"/>
        <v>2711</v>
      </c>
      <c r="BR1992" t="str">
        <f t="shared" si="2057"/>
        <v>opp_team_player_1</v>
      </c>
      <c r="BS1992">
        <f>COUNTIFS(S$3:S1992,"="&amp;S1992,AI$3:AI1992,"="&amp;AI1992)</f>
        <v>1</v>
      </c>
      <c r="BT1992" t="str">
        <f>IFERROR(VLOOKUP(BB1992&amp;BU1992&amp;X1992,game_rosters!U:W,3,FALSE),"")</f>
        <v>P100198</v>
      </c>
      <c r="BU1992" t="str">
        <f t="shared" si="2058"/>
        <v>Velodrome</v>
      </c>
    </row>
    <row r="1993" spans="1:73" x14ac:dyDescent="0.2">
      <c r="A1993">
        <f t="shared" si="2044"/>
        <v>1</v>
      </c>
      <c r="J1993" s="44" t="str">
        <f t="shared" si="2059"/>
        <v/>
      </c>
      <c r="K1993" t="s">
        <v>9</v>
      </c>
      <c r="L1993" t="s">
        <v>173</v>
      </c>
      <c r="M1993" t="s">
        <v>72</v>
      </c>
      <c r="S1993">
        <v>1049</v>
      </c>
      <c r="W1993" t="str">
        <f t="shared" si="2035"/>
        <v>a</v>
      </c>
      <c r="X1993">
        <v>84</v>
      </c>
      <c r="Y1993" t="e">
        <f>IF(X1993&lt;&gt;"",VLOOKUP(X1993,game_rosters!$C$43:$E$64,3,FALSE))</f>
        <v>#N/A</v>
      </c>
      <c r="Z1993" cm="1">
        <f t="array" ref="Z1993">IFERROR(IF(_xlfn._xlws.FILTER(game_rosters!$J:$J,(game_rosters!$G:$G=events!$AN1993)*(game_rosters!$J:$J=events!$X1993))&gt;0,1,""),"")</f>
        <v>1</v>
      </c>
      <c r="AA1993">
        <f t="shared" si="1993"/>
        <v>2049</v>
      </c>
      <c r="AB1993" t="str">
        <f t="shared" si="1994"/>
        <v/>
      </c>
      <c r="AC1993">
        <f t="shared" si="2032"/>
        <v>2049</v>
      </c>
      <c r="AD1993" s="6">
        <v>3</v>
      </c>
      <c r="AE1993" t="s">
        <v>754</v>
      </c>
      <c r="AF1993" t="s">
        <v>920</v>
      </c>
      <c r="AG1993" t="s">
        <v>756</v>
      </c>
      <c r="AH1993" t="s">
        <v>756</v>
      </c>
      <c r="AI1993" t="s">
        <v>367</v>
      </c>
      <c r="AJ1993" t="str">
        <f t="shared" ref="AJ1993:AK1993" si="2063">IF($J1993&lt;&gt;"",$J1993,IF($AC1993=$AC1992,AJ1992,""))</f>
        <v/>
      </c>
      <c r="AK1993" t="str">
        <f t="shared" si="2063"/>
        <v/>
      </c>
      <c r="AL1993" t="str">
        <f t="shared" si="2037"/>
        <v/>
      </c>
      <c r="AN1993" t="s">
        <v>862</v>
      </c>
      <c r="AO1993" t="str">
        <f t="shared" si="2038"/>
        <v>a</v>
      </c>
      <c r="AP1993" t="str">
        <f t="shared" si="2046"/>
        <v/>
      </c>
      <c r="AQ1993" t="str">
        <f t="shared" si="2047"/>
        <v/>
      </c>
      <c r="AR1993" t="str">
        <f t="shared" si="2048"/>
        <v>Away</v>
      </c>
      <c r="AS1993" t="str">
        <f t="shared" si="2049"/>
        <v>a</v>
      </c>
      <c r="AT1993" t="str">
        <f t="shared" si="2050"/>
        <v>Offensive</v>
      </c>
      <c r="BA1993" s="6">
        <f t="shared" si="2039"/>
        <v>459</v>
      </c>
      <c r="BB1993">
        <f t="shared" si="2040"/>
        <v>18981</v>
      </c>
      <c r="BC1993" t="str">
        <f t="shared" si="2041"/>
        <v>Nelson</v>
      </c>
      <c r="BD1993" t="str">
        <f t="shared" si="2042"/>
        <v>Velodrome</v>
      </c>
      <c r="BE1993" t="s">
        <v>9</v>
      </c>
      <c r="BF1993" t="s">
        <v>173</v>
      </c>
      <c r="BG1993" t="s">
        <v>72</v>
      </c>
      <c r="BI1993" cm="1">
        <f t="array" aca="1" ref="BI1993" ca="1">IFERROR(_xlfn._xlws.FILTER(shifts!A:A,(shifts!B:B=events!AD1993)*(shifts!AG:AG&gt;=events!BK1993)*(shifts!AH:AH&lt;=events!BL1993)),BI1992)</f>
        <v>85</v>
      </c>
      <c r="BJ1993" s="15">
        <f t="shared" si="2043"/>
        <v>0</v>
      </c>
      <c r="BK1993">
        <f t="shared" si="2051"/>
        <v>669</v>
      </c>
      <c r="BL1993">
        <f t="shared" si="2052"/>
        <v>669</v>
      </c>
      <c r="BM1993" s="15">
        <f>SUMIFS(BJ$2:BJ1993,K$2:K1993,"=Intermission")+SUMIFS(BJ$2:BJ1993,K$2:K1993,"=Timeout")</f>
        <v>142</v>
      </c>
      <c r="BN1993">
        <f t="shared" si="2053"/>
        <v>2302</v>
      </c>
      <c r="BO1993" s="19">
        <f t="shared" si="2054"/>
        <v>2713</v>
      </c>
      <c r="BP1993">
        <f t="shared" si="2055"/>
        <v>2708</v>
      </c>
      <c r="BQ1993" s="17">
        <f t="shared" si="2056"/>
        <v>2713</v>
      </c>
      <c r="BR1993" t="str">
        <f t="shared" si="2057"/>
        <v>event_team_player_1</v>
      </c>
      <c r="BS1993">
        <f>COUNTIFS(S$3:S1993,"="&amp;S1993,AI$3:AI1993,"="&amp;AI1993)</f>
        <v>1</v>
      </c>
      <c r="BT1993" t="str">
        <f>IFERROR(VLOOKUP(BB1993&amp;BU1993&amp;X1993,game_rosters!U:W,3,FALSE),"")</f>
        <v>P100198</v>
      </c>
      <c r="BU1993" t="str">
        <f t="shared" si="2058"/>
        <v>Velodrome</v>
      </c>
    </row>
    <row r="1994" spans="1:73" x14ac:dyDescent="0.2">
      <c r="A1994">
        <f t="shared" si="2044"/>
        <v>1</v>
      </c>
      <c r="J1994" s="44" t="str">
        <f t="shared" si="2059"/>
        <v/>
      </c>
      <c r="K1994" t="s">
        <v>9</v>
      </c>
      <c r="L1994" t="s">
        <v>173</v>
      </c>
      <c r="M1994" t="s">
        <v>72</v>
      </c>
      <c r="S1994">
        <v>1049</v>
      </c>
      <c r="W1994" t="str">
        <f t="shared" si="2035"/>
        <v>a</v>
      </c>
      <c r="X1994">
        <v>80</v>
      </c>
      <c r="Y1994" t="b">
        <f>IF(X1994&lt;&gt;"",VLOOKUP(X1994,game_rosters!$C$43:$E$64,3,FALSE))</f>
        <v>0</v>
      </c>
      <c r="Z1994" t="str" cm="1">
        <f t="array" ref="Z1994">IFERROR(IF(_xlfn._xlws.FILTER(game_rosters!$J:$J,(game_rosters!$G:$G=events!$AN1994)*(game_rosters!$J:$J=events!$X1994))&gt;0,1,""),"")</f>
        <v/>
      </c>
      <c r="AA1994">
        <f t="shared" si="1993"/>
        <v>2049</v>
      </c>
      <c r="AB1994" t="str">
        <f t="shared" si="1994"/>
        <v/>
      </c>
      <c r="AC1994">
        <f t="shared" si="2032"/>
        <v>2049</v>
      </c>
      <c r="AD1994" s="6">
        <v>3</v>
      </c>
      <c r="AE1994" t="s">
        <v>754</v>
      </c>
      <c r="AF1994" t="s">
        <v>920</v>
      </c>
      <c r="AG1994" t="s">
        <v>756</v>
      </c>
      <c r="AH1994" t="s">
        <v>756</v>
      </c>
      <c r="AI1994" t="s">
        <v>368</v>
      </c>
      <c r="AJ1994" t="str">
        <f t="shared" ref="AJ1994:AK1994" si="2064">IF($J1994&lt;&gt;"",$J1994,IF($AC1994=$AC1993,AJ1993,""))</f>
        <v/>
      </c>
      <c r="AK1994" t="str">
        <f t="shared" si="2064"/>
        <v/>
      </c>
      <c r="AL1994" t="str">
        <f t="shared" si="2037"/>
        <v/>
      </c>
      <c r="AN1994" t="s">
        <v>862</v>
      </c>
      <c r="AO1994" t="str">
        <f t="shared" si="2038"/>
        <v>a</v>
      </c>
      <c r="AP1994" t="str">
        <f t="shared" si="2046"/>
        <v/>
      </c>
      <c r="AQ1994" t="str">
        <f t="shared" si="2047"/>
        <v/>
      </c>
      <c r="AR1994" t="str">
        <f t="shared" si="2048"/>
        <v>Away</v>
      </c>
      <c r="AS1994" t="str">
        <f t="shared" si="2049"/>
        <v>a</v>
      </c>
      <c r="AT1994" t="str">
        <f t="shared" si="2050"/>
        <v>Defensive</v>
      </c>
      <c r="BA1994" s="6">
        <f t="shared" si="2039"/>
        <v>459</v>
      </c>
      <c r="BB1994">
        <f t="shared" si="2040"/>
        <v>18981</v>
      </c>
      <c r="BC1994" t="str">
        <f t="shared" si="2041"/>
        <v>Nelson</v>
      </c>
      <c r="BD1994" t="str">
        <f t="shared" si="2042"/>
        <v>Velodrome</v>
      </c>
      <c r="BE1994" t="s">
        <v>9</v>
      </c>
      <c r="BF1994" t="s">
        <v>173</v>
      </c>
      <c r="BG1994" t="s">
        <v>72</v>
      </c>
      <c r="BI1994" cm="1">
        <f t="array" aca="1" ref="BI1994" ca="1">IFERROR(_xlfn._xlws.FILTER(shifts!A:A,(shifts!B:B=events!AD1994)*(shifts!AG:AG&gt;=events!BK1994)*(shifts!AH:AH&lt;=events!BL1994)),BI1993)</f>
        <v>85</v>
      </c>
      <c r="BJ1994" s="15">
        <f t="shared" si="2043"/>
        <v>0</v>
      </c>
      <c r="BK1994">
        <f t="shared" si="2051"/>
        <v>669</v>
      </c>
      <c r="BL1994">
        <f t="shared" si="2052"/>
        <v>669</v>
      </c>
      <c r="BM1994" s="15">
        <f>SUMIFS(BJ$2:BJ1994,K$2:K1994,"=Intermission")+SUMIFS(BJ$2:BJ1994,K$2:K1994,"=Timeout")</f>
        <v>142</v>
      </c>
      <c r="BN1994">
        <f t="shared" si="2053"/>
        <v>2302</v>
      </c>
      <c r="BO1994" s="19">
        <f t="shared" si="2054"/>
        <v>2713</v>
      </c>
      <c r="BP1994">
        <f t="shared" si="2055"/>
        <v>2708</v>
      </c>
      <c r="BQ1994" s="17">
        <f t="shared" si="2056"/>
        <v>2713</v>
      </c>
      <c r="BR1994" t="str">
        <f t="shared" si="2057"/>
        <v>opp_team_player_1</v>
      </c>
      <c r="BS1994">
        <f>COUNTIFS(S$3:S1994,"="&amp;S1994,AI$3:AI1994,"="&amp;AI1994)</f>
        <v>1</v>
      </c>
      <c r="BT1994" t="str">
        <f>IFERROR(VLOOKUP(BB1994&amp;BU1994&amp;X1994,game_rosters!U:W,3,FALSE),"")</f>
        <v>P100197</v>
      </c>
      <c r="BU1994" t="str">
        <f t="shared" si="2058"/>
        <v>Nelson</v>
      </c>
    </row>
    <row r="1995" spans="1:73" x14ac:dyDescent="0.2">
      <c r="A1995">
        <f t="shared" si="2044"/>
        <v>1</v>
      </c>
      <c r="J1995" s="44" t="str">
        <f t="shared" si="2059"/>
        <v>o</v>
      </c>
      <c r="K1995" t="s">
        <v>238</v>
      </c>
      <c r="L1995" t="s">
        <v>174</v>
      </c>
      <c r="M1995" t="s">
        <v>414</v>
      </c>
      <c r="S1995">
        <v>1050</v>
      </c>
      <c r="W1995" t="str">
        <f t="shared" si="2035"/>
        <v>a</v>
      </c>
      <c r="X1995">
        <v>49</v>
      </c>
      <c r="Y1995" t="e">
        <f>IF(X1995&lt;&gt;"",VLOOKUP(X1995,game_rosters!$C$43:$E$64,3,FALSE))</f>
        <v>#N/A</v>
      </c>
      <c r="Z1995" cm="1">
        <f t="array" ref="Z1995">IFERROR(IF(_xlfn._xlws.FILTER(game_rosters!$J:$J,(game_rosters!$G:$G=events!$AN1995)*(game_rosters!$J:$J=events!$X1995))&gt;0,1,""),"")</f>
        <v>1</v>
      </c>
      <c r="AA1995">
        <f t="shared" si="1993"/>
        <v>2050</v>
      </c>
      <c r="AB1995" t="str">
        <f t="shared" si="1994"/>
        <v/>
      </c>
      <c r="AC1995">
        <f t="shared" si="2032"/>
        <v>2050</v>
      </c>
      <c r="AD1995" s="6">
        <v>3</v>
      </c>
      <c r="AE1995" t="s">
        <v>754</v>
      </c>
      <c r="AF1995" t="s">
        <v>939</v>
      </c>
      <c r="AG1995" t="s">
        <v>754</v>
      </c>
      <c r="AH1995" t="s">
        <v>747</v>
      </c>
      <c r="AI1995" t="s">
        <v>367</v>
      </c>
      <c r="AJ1995" t="str">
        <f t="shared" ref="AJ1995:AK1995" si="2065">IF($J1995&lt;&gt;"",$J1995,IF($AC1995=$AC1994,AJ1994,""))</f>
        <v>o</v>
      </c>
      <c r="AK1995" t="str">
        <f t="shared" si="2065"/>
        <v>o</v>
      </c>
      <c r="AL1995" t="str">
        <f t="shared" si="2037"/>
        <v>d</v>
      </c>
      <c r="AN1995" t="s">
        <v>862</v>
      </c>
      <c r="AO1995" t="str">
        <f t="shared" si="2038"/>
        <v>a</v>
      </c>
      <c r="AP1995" t="str">
        <f t="shared" si="2046"/>
        <v>d</v>
      </c>
      <c r="AQ1995" t="str">
        <f t="shared" si="2047"/>
        <v/>
      </c>
      <c r="AR1995" t="str">
        <f t="shared" si="2048"/>
        <v>Away</v>
      </c>
      <c r="AS1995" t="str">
        <f t="shared" si="2049"/>
        <v>a</v>
      </c>
      <c r="AT1995" t="str">
        <f t="shared" si="2050"/>
        <v>Offensive</v>
      </c>
      <c r="BA1995" s="6">
        <f t="shared" si="2039"/>
        <v>460</v>
      </c>
      <c r="BB1995">
        <f t="shared" si="2040"/>
        <v>18981</v>
      </c>
      <c r="BC1995" t="str">
        <f t="shared" si="2041"/>
        <v>Nelson</v>
      </c>
      <c r="BD1995" t="str">
        <f t="shared" si="2042"/>
        <v>Velodrome</v>
      </c>
      <c r="BE1995" t="s">
        <v>238</v>
      </c>
      <c r="BF1995" t="s">
        <v>174</v>
      </c>
      <c r="BG1995" t="s">
        <v>414</v>
      </c>
      <c r="BI1995" cm="1">
        <f t="array" aca="1" ref="BI1995" ca="1">IFERROR(_xlfn._xlws.FILTER(shifts!A:A,(shifts!B:B=events!AD1995)*(shifts!AG:AG&gt;=events!BK1995)*(shifts!AH:AH&lt;=events!BL1995)),BI1994)</f>
        <v>85</v>
      </c>
      <c r="BJ1995" s="15">
        <f t="shared" si="2043"/>
        <v>1</v>
      </c>
      <c r="BK1995">
        <f t="shared" si="2051"/>
        <v>668</v>
      </c>
      <c r="BL1995">
        <f t="shared" si="2052"/>
        <v>667</v>
      </c>
      <c r="BM1995" s="15">
        <f>SUMIFS(BJ$2:BJ1995,K$2:K1995,"=Intermission")+SUMIFS(BJ$2:BJ1995,K$2:K1995,"=Timeout")</f>
        <v>142</v>
      </c>
      <c r="BN1995">
        <f t="shared" si="2053"/>
        <v>2302</v>
      </c>
      <c r="BO1995" s="19">
        <f t="shared" si="2054"/>
        <v>2714</v>
      </c>
      <c r="BP1995">
        <f t="shared" si="2055"/>
        <v>2709</v>
      </c>
      <c r="BQ1995" s="17">
        <f t="shared" si="2056"/>
        <v>2715</v>
      </c>
      <c r="BR1995" t="str">
        <f t="shared" si="2057"/>
        <v>event_team_player_1</v>
      </c>
      <c r="BS1995">
        <f>COUNTIFS(S$3:S1995,"="&amp;S1995,AI$3:AI1995,"="&amp;AI1995)</f>
        <v>1</v>
      </c>
      <c r="BT1995" t="str">
        <f>IFERROR(VLOOKUP(BB1995&amp;BU1995&amp;X1995,game_rosters!U:W,3,FALSE),"")</f>
        <v>P100161</v>
      </c>
      <c r="BU1995" t="str">
        <f t="shared" si="2058"/>
        <v>Velodrome</v>
      </c>
    </row>
    <row r="1996" spans="1:73" x14ac:dyDescent="0.2">
      <c r="A1996">
        <f t="shared" si="2044"/>
        <v>1</v>
      </c>
      <c r="J1996" s="44" t="str">
        <f t="shared" si="2059"/>
        <v>o</v>
      </c>
      <c r="K1996" t="s">
        <v>238</v>
      </c>
      <c r="L1996" t="s">
        <v>174</v>
      </c>
      <c r="M1996" t="s">
        <v>414</v>
      </c>
      <c r="S1996">
        <v>1050</v>
      </c>
      <c r="W1996" t="str">
        <f t="shared" si="2035"/>
        <v>a</v>
      </c>
      <c r="X1996">
        <v>80</v>
      </c>
      <c r="Y1996" t="b">
        <f>IF(X1996&lt;&gt;"",VLOOKUP(X1996,game_rosters!$C$43:$E$64,3,FALSE))</f>
        <v>0</v>
      </c>
      <c r="Z1996" t="str" cm="1">
        <f t="array" ref="Z1996">IFERROR(IF(_xlfn._xlws.FILTER(game_rosters!$J:$J,(game_rosters!$G:$G=events!$AN1996)*(game_rosters!$J:$J=events!$X1996))&gt;0,1,""),"")</f>
        <v/>
      </c>
      <c r="AA1996">
        <f t="shared" si="1993"/>
        <v>2050</v>
      </c>
      <c r="AB1996" t="str">
        <f t="shared" si="1994"/>
        <v/>
      </c>
      <c r="AC1996">
        <f t="shared" si="2032"/>
        <v>2050</v>
      </c>
      <c r="AD1996" s="6">
        <v>3</v>
      </c>
      <c r="AE1996" t="s">
        <v>754</v>
      </c>
      <c r="AF1996" t="s">
        <v>939</v>
      </c>
      <c r="AG1996" t="s">
        <v>754</v>
      </c>
      <c r="AH1996" t="s">
        <v>747</v>
      </c>
      <c r="AI1996" t="s">
        <v>368</v>
      </c>
      <c r="AJ1996" t="str">
        <f t="shared" ref="AJ1996:AK1996" si="2066">IF($J1996&lt;&gt;"",$J1996,IF($AC1996=$AC1995,AJ1995,""))</f>
        <v>o</v>
      </c>
      <c r="AK1996" t="str">
        <f t="shared" si="2066"/>
        <v>o</v>
      </c>
      <c r="AL1996" t="str">
        <f t="shared" si="2037"/>
        <v>d</v>
      </c>
      <c r="AN1996" t="s">
        <v>862</v>
      </c>
      <c r="AO1996" t="str">
        <f t="shared" si="2038"/>
        <v>a</v>
      </c>
      <c r="AP1996" t="str">
        <f t="shared" si="2046"/>
        <v>d</v>
      </c>
      <c r="AQ1996" t="str">
        <f t="shared" si="2047"/>
        <v/>
      </c>
      <c r="AR1996" t="str">
        <f t="shared" si="2048"/>
        <v>Away</v>
      </c>
      <c r="AS1996" t="str">
        <f t="shared" si="2049"/>
        <v>a</v>
      </c>
      <c r="AT1996" t="str">
        <f t="shared" si="2050"/>
        <v>Defensive</v>
      </c>
      <c r="BA1996" s="6">
        <f t="shared" si="2039"/>
        <v>461</v>
      </c>
      <c r="BB1996">
        <f t="shared" si="2040"/>
        <v>18981</v>
      </c>
      <c r="BC1996" t="str">
        <f t="shared" si="2041"/>
        <v>Nelson</v>
      </c>
      <c r="BD1996" t="str">
        <f t="shared" si="2042"/>
        <v>Velodrome</v>
      </c>
      <c r="BE1996" t="s">
        <v>238</v>
      </c>
      <c r="BF1996" t="s">
        <v>174</v>
      </c>
      <c r="BG1996" t="s">
        <v>414</v>
      </c>
      <c r="BI1996" cm="1">
        <f t="array" aca="1" ref="BI1996" ca="1">IFERROR(_xlfn._xlws.FILTER(shifts!A:A,(shifts!B:B=events!AD1996)*(shifts!AG:AG&gt;=events!BK1996)*(shifts!AH:AH&lt;=events!BL1996)),BI1995)</f>
        <v>85</v>
      </c>
      <c r="BJ1996" s="15">
        <f t="shared" si="2043"/>
        <v>1</v>
      </c>
      <c r="BK1996">
        <f t="shared" si="2051"/>
        <v>668</v>
      </c>
      <c r="BL1996">
        <f t="shared" si="2052"/>
        <v>667</v>
      </c>
      <c r="BM1996" s="15">
        <f>SUMIFS(BJ$2:BJ1996,K$2:K1996,"=Intermission")+SUMIFS(BJ$2:BJ1996,K$2:K1996,"=Timeout")</f>
        <v>142</v>
      </c>
      <c r="BN1996">
        <f t="shared" si="2053"/>
        <v>2302</v>
      </c>
      <c r="BO1996" s="19">
        <f t="shared" si="2054"/>
        <v>2714</v>
      </c>
      <c r="BP1996">
        <f t="shared" si="2055"/>
        <v>2709</v>
      </c>
      <c r="BQ1996" s="17">
        <f t="shared" si="2056"/>
        <v>2715</v>
      </c>
      <c r="BR1996" t="str">
        <f t="shared" si="2057"/>
        <v>opp_team_player_1</v>
      </c>
      <c r="BS1996">
        <f>COUNTIFS(S$3:S1996,"="&amp;S1996,AI$3:AI1996,"="&amp;AI1996)</f>
        <v>1</v>
      </c>
      <c r="BT1996" t="str">
        <f>IFERROR(VLOOKUP(BB1996&amp;BU1996&amp;X1996,game_rosters!U:W,3,FALSE),"")</f>
        <v>P100197</v>
      </c>
      <c r="BU1996" t="str">
        <f t="shared" si="2058"/>
        <v>Nelson</v>
      </c>
    </row>
    <row r="1997" spans="1:73" x14ac:dyDescent="0.2">
      <c r="A1997">
        <f t="shared" si="2044"/>
        <v>1</v>
      </c>
      <c r="J1997" s="44" t="str">
        <f t="shared" si="2059"/>
        <v/>
      </c>
      <c r="K1997" t="s">
        <v>9</v>
      </c>
      <c r="L1997" t="s">
        <v>183</v>
      </c>
      <c r="M1997" t="s">
        <v>80</v>
      </c>
      <c r="S1997">
        <v>1051</v>
      </c>
      <c r="W1997" t="str">
        <f t="shared" si="2035"/>
        <v>h</v>
      </c>
      <c r="X1997">
        <v>8</v>
      </c>
      <c r="Y1997" t="b">
        <f>IF(X1997&lt;&gt;"",VLOOKUP(X1997,game_rosters!$C$43:$E$64,3,FALSE))</f>
        <v>0</v>
      </c>
      <c r="Z1997" cm="1">
        <f t="array" ref="Z1997">IFERROR(IF(_xlfn._xlws.FILTER(game_rosters!$J:$J,(game_rosters!$G:$G=events!$AN1997)*(game_rosters!$J:$J=events!$X1997))&gt;0,1,""),"")</f>
        <v>1</v>
      </c>
      <c r="AA1997">
        <f t="shared" si="1993"/>
        <v>2051</v>
      </c>
      <c r="AB1997" t="str">
        <f t="shared" si="1994"/>
        <v/>
      </c>
      <c r="AC1997">
        <f t="shared" si="2032"/>
        <v>2051</v>
      </c>
      <c r="AD1997" s="6">
        <v>3</v>
      </c>
      <c r="AE1997" t="s">
        <v>754</v>
      </c>
      <c r="AF1997" t="s">
        <v>747</v>
      </c>
      <c r="AG1997" t="s">
        <v>756</v>
      </c>
      <c r="AH1997" t="s">
        <v>756</v>
      </c>
      <c r="AI1997" t="s">
        <v>367</v>
      </c>
      <c r="AJ1997" t="str">
        <f t="shared" ref="AJ1997:AK1997" si="2067">IF($J1997&lt;&gt;"",$J1997,IF($AC1997=$AC1996,AJ1996,""))</f>
        <v/>
      </c>
      <c r="AK1997" t="str">
        <f t="shared" si="2067"/>
        <v/>
      </c>
      <c r="AL1997" t="str">
        <f t="shared" si="2037"/>
        <v/>
      </c>
      <c r="AN1997" t="s">
        <v>861</v>
      </c>
      <c r="AO1997" t="str">
        <f t="shared" si="2038"/>
        <v>h</v>
      </c>
      <c r="AP1997" t="str">
        <f t="shared" si="2046"/>
        <v/>
      </c>
      <c r="AQ1997" t="str">
        <f t="shared" si="2047"/>
        <v/>
      </c>
      <c r="AR1997" t="str">
        <f t="shared" si="2048"/>
        <v>Home</v>
      </c>
      <c r="AS1997" t="str">
        <f t="shared" si="2049"/>
        <v>h</v>
      </c>
      <c r="AT1997" t="str">
        <f t="shared" si="2050"/>
        <v>Defensive</v>
      </c>
      <c r="BA1997" s="6">
        <f t="shared" si="2039"/>
        <v>461</v>
      </c>
      <c r="BB1997">
        <f t="shared" si="2040"/>
        <v>18981</v>
      </c>
      <c r="BC1997" t="str">
        <f t="shared" si="2041"/>
        <v>Nelson</v>
      </c>
      <c r="BD1997" t="str">
        <f t="shared" si="2042"/>
        <v>Velodrome</v>
      </c>
      <c r="BE1997" t="s">
        <v>9</v>
      </c>
      <c r="BF1997" t="s">
        <v>183</v>
      </c>
      <c r="BG1997" t="s">
        <v>80</v>
      </c>
      <c r="BI1997" cm="1">
        <f t="array" aca="1" ref="BI1997" ca="1">IFERROR(_xlfn._xlws.FILTER(shifts!A:A,(shifts!B:B=events!AD1997)*(shifts!AG:AG&gt;=events!BK1997)*(shifts!AH:AH&lt;=events!BL1997)),BI1996)</f>
        <v>85</v>
      </c>
      <c r="BJ1997" s="15">
        <f t="shared" si="2043"/>
        <v>0</v>
      </c>
      <c r="BK1997">
        <f t="shared" si="2051"/>
        <v>667</v>
      </c>
      <c r="BL1997">
        <f t="shared" si="2052"/>
        <v>667</v>
      </c>
      <c r="BM1997" s="15">
        <f>SUMIFS(BJ$2:BJ1997,K$2:K1997,"=Intermission")+SUMIFS(BJ$2:BJ1997,K$2:K1997,"=Timeout")</f>
        <v>142</v>
      </c>
      <c r="BN1997">
        <f t="shared" si="2053"/>
        <v>2302</v>
      </c>
      <c r="BO1997" s="19">
        <f t="shared" si="2054"/>
        <v>2715</v>
      </c>
      <c r="BP1997">
        <f t="shared" si="2055"/>
        <v>2710</v>
      </c>
      <c r="BQ1997" s="17">
        <f t="shared" si="2056"/>
        <v>2715</v>
      </c>
      <c r="BR1997" t="str">
        <f t="shared" si="2057"/>
        <v>event_team_player_1</v>
      </c>
      <c r="BS1997">
        <f>COUNTIFS(S$3:S1997,"="&amp;S1997,AI$3:AI1997,"="&amp;AI1997)</f>
        <v>1</v>
      </c>
      <c r="BT1997" t="str">
        <f>IFERROR(VLOOKUP(BB1997&amp;BU1997&amp;X1997,game_rosters!U:W,3,FALSE),"")</f>
        <v>P100074</v>
      </c>
      <c r="BU1997" t="str">
        <f t="shared" si="2058"/>
        <v>Nelson</v>
      </c>
    </row>
    <row r="1998" spans="1:73" x14ac:dyDescent="0.2">
      <c r="A1998">
        <f t="shared" si="2044"/>
        <v>1</v>
      </c>
      <c r="J1998" s="44" t="str">
        <f t="shared" si="2059"/>
        <v/>
      </c>
      <c r="K1998" t="s">
        <v>9</v>
      </c>
      <c r="L1998" t="s">
        <v>183</v>
      </c>
      <c r="M1998" t="s">
        <v>80</v>
      </c>
      <c r="S1998">
        <v>1051</v>
      </c>
      <c r="W1998" t="str">
        <f t="shared" si="2035"/>
        <v>h</v>
      </c>
      <c r="X1998">
        <v>49</v>
      </c>
      <c r="Y1998" t="e">
        <f>IF(X1998&lt;&gt;"",VLOOKUP(X1998,game_rosters!$C$43:$E$64,3,FALSE))</f>
        <v>#N/A</v>
      </c>
      <c r="Z1998" t="str" cm="1">
        <f t="array" ref="Z1998">IFERROR(IF(_xlfn._xlws.FILTER(game_rosters!$J:$J,(game_rosters!$G:$G=events!$AN1998)*(game_rosters!$J:$J=events!$X1998))&gt;0,1,""),"")</f>
        <v/>
      </c>
      <c r="AA1998">
        <f t="shared" si="1993"/>
        <v>2051</v>
      </c>
      <c r="AB1998" t="str">
        <f t="shared" si="1994"/>
        <v/>
      </c>
      <c r="AC1998">
        <f t="shared" si="2032"/>
        <v>2051</v>
      </c>
      <c r="AD1998" s="6">
        <v>3</v>
      </c>
      <c r="AE1998" t="s">
        <v>754</v>
      </c>
      <c r="AF1998" t="s">
        <v>747</v>
      </c>
      <c r="AG1998" t="s">
        <v>756</v>
      </c>
      <c r="AH1998" t="s">
        <v>756</v>
      </c>
      <c r="AI1998" t="s">
        <v>368</v>
      </c>
      <c r="AJ1998" t="str">
        <f t="shared" ref="AJ1998:AK1998" si="2068">IF($J1998&lt;&gt;"",$J1998,IF($AC1998=$AC1997,AJ1997,""))</f>
        <v/>
      </c>
      <c r="AK1998" t="str">
        <f t="shared" si="2068"/>
        <v/>
      </c>
      <c r="AL1998" t="str">
        <f t="shared" si="2037"/>
        <v/>
      </c>
      <c r="AN1998" t="s">
        <v>861</v>
      </c>
      <c r="AO1998" t="str">
        <f t="shared" si="2038"/>
        <v>h</v>
      </c>
      <c r="AP1998" t="str">
        <f t="shared" si="2046"/>
        <v/>
      </c>
      <c r="AQ1998" t="str">
        <f t="shared" si="2047"/>
        <v/>
      </c>
      <c r="AR1998" t="str">
        <f t="shared" si="2048"/>
        <v>Home</v>
      </c>
      <c r="AS1998" t="str">
        <f t="shared" si="2049"/>
        <v>h</v>
      </c>
      <c r="AT1998" t="str">
        <f t="shared" si="2050"/>
        <v>Offensive</v>
      </c>
      <c r="BA1998" s="6">
        <f t="shared" si="2039"/>
        <v>461</v>
      </c>
      <c r="BB1998">
        <f t="shared" si="2040"/>
        <v>18981</v>
      </c>
      <c r="BC1998" t="str">
        <f t="shared" si="2041"/>
        <v>Nelson</v>
      </c>
      <c r="BD1998" t="str">
        <f t="shared" si="2042"/>
        <v>Velodrome</v>
      </c>
      <c r="BE1998" t="s">
        <v>9</v>
      </c>
      <c r="BF1998" t="s">
        <v>183</v>
      </c>
      <c r="BG1998" t="s">
        <v>80</v>
      </c>
      <c r="BI1998" cm="1">
        <f t="array" aca="1" ref="BI1998" ca="1">IFERROR(_xlfn._xlws.FILTER(shifts!A:A,(shifts!B:B=events!AD1998)*(shifts!AG:AG&gt;=events!BK1998)*(shifts!AH:AH&lt;=events!BL1998)),BI1997)</f>
        <v>85</v>
      </c>
      <c r="BJ1998" s="15">
        <f t="shared" si="2043"/>
        <v>0</v>
      </c>
      <c r="BK1998">
        <f t="shared" si="2051"/>
        <v>667</v>
      </c>
      <c r="BL1998">
        <f t="shared" si="2052"/>
        <v>667</v>
      </c>
      <c r="BM1998" s="15">
        <f>SUMIFS(BJ$2:BJ1998,K$2:K1998,"=Intermission")+SUMIFS(BJ$2:BJ1998,K$2:K1998,"=Timeout")</f>
        <v>142</v>
      </c>
      <c r="BN1998">
        <f t="shared" si="2053"/>
        <v>2302</v>
      </c>
      <c r="BO1998" s="19">
        <f t="shared" si="2054"/>
        <v>2715</v>
      </c>
      <c r="BP1998">
        <f t="shared" si="2055"/>
        <v>2710</v>
      </c>
      <c r="BQ1998" s="17">
        <f t="shared" si="2056"/>
        <v>2715</v>
      </c>
      <c r="BR1998" t="str">
        <f t="shared" si="2057"/>
        <v>opp_team_player_1</v>
      </c>
      <c r="BS1998">
        <f>COUNTIFS(S$3:S1998,"="&amp;S1998,AI$3:AI1998,"="&amp;AI1998)</f>
        <v>1</v>
      </c>
      <c r="BT1998" t="str">
        <f>IFERROR(VLOOKUP(BB1998&amp;BU1998&amp;X1998,game_rosters!U:W,3,FALSE),"")</f>
        <v>P100161</v>
      </c>
      <c r="BU1998" t="str">
        <f t="shared" si="2058"/>
        <v>Velodrome</v>
      </c>
    </row>
    <row r="1999" spans="1:73" x14ac:dyDescent="0.2">
      <c r="A1999">
        <f t="shared" si="2044"/>
        <v>1</v>
      </c>
      <c r="J1999" s="44" t="str">
        <f t="shared" si="2059"/>
        <v/>
      </c>
      <c r="K1999" t="s">
        <v>7</v>
      </c>
      <c r="L1999" t="s">
        <v>172</v>
      </c>
      <c r="M1999" t="s">
        <v>381</v>
      </c>
      <c r="S1999">
        <v>1052</v>
      </c>
      <c r="W1999" t="str">
        <f t="shared" si="2035"/>
        <v>h</v>
      </c>
      <c r="X1999">
        <v>79</v>
      </c>
      <c r="Y1999" t="b">
        <f>IF(X1999&lt;&gt;"",VLOOKUP(X1999,game_rosters!$C$43:$E$64,3,FALSE))</f>
        <v>0</v>
      </c>
      <c r="Z1999" cm="1">
        <f t="array" ref="Z1999">IFERROR(IF(_xlfn._xlws.FILTER(game_rosters!$J:$J,(game_rosters!$G:$G=events!$AN1999)*(game_rosters!$J:$J=events!$X1999))&gt;0,1,""),"")</f>
        <v>1</v>
      </c>
      <c r="AA1999">
        <f t="shared" si="1993"/>
        <v>2052</v>
      </c>
      <c r="AB1999" t="str">
        <f t="shared" si="1994"/>
        <v/>
      </c>
      <c r="AC1999">
        <f t="shared" si="2032"/>
        <v>2052</v>
      </c>
      <c r="AD1999" s="6">
        <v>3</v>
      </c>
      <c r="AE1999" t="s">
        <v>754</v>
      </c>
      <c r="AF1999" t="s">
        <v>925</v>
      </c>
      <c r="AG1999" t="s">
        <v>756</v>
      </c>
      <c r="AH1999" t="s">
        <v>756</v>
      </c>
      <c r="AI1999" t="s">
        <v>367</v>
      </c>
      <c r="AJ1999" t="str">
        <f t="shared" ref="AJ1999:AK1999" si="2069">IF($J1999&lt;&gt;"",$J1999,IF($AC1999=$AC1998,AJ1998,""))</f>
        <v/>
      </c>
      <c r="AK1999" t="str">
        <f t="shared" si="2069"/>
        <v/>
      </c>
      <c r="AL1999" t="str">
        <f t="shared" si="2037"/>
        <v/>
      </c>
      <c r="AN1999" t="s">
        <v>861</v>
      </c>
      <c r="AO1999" t="str">
        <f t="shared" si="2038"/>
        <v>h</v>
      </c>
      <c r="AP1999" t="str">
        <f t="shared" si="2046"/>
        <v/>
      </c>
      <c r="AQ1999" t="str">
        <f t="shared" si="2047"/>
        <v/>
      </c>
      <c r="AR1999" t="str">
        <f t="shared" si="2048"/>
        <v>Home</v>
      </c>
      <c r="AS1999" t="str">
        <f t="shared" si="2049"/>
        <v>h</v>
      </c>
      <c r="AT1999" t="str">
        <f t="shared" si="2050"/>
        <v>Offensive</v>
      </c>
      <c r="BA1999" s="6">
        <f t="shared" si="2039"/>
        <v>461</v>
      </c>
      <c r="BB1999">
        <f t="shared" si="2040"/>
        <v>18981</v>
      </c>
      <c r="BC1999" t="str">
        <f t="shared" si="2041"/>
        <v>Nelson</v>
      </c>
      <c r="BD1999" t="str">
        <f t="shared" si="2042"/>
        <v>Velodrome</v>
      </c>
      <c r="BE1999" t="s">
        <v>7</v>
      </c>
      <c r="BF1999" t="s">
        <v>172</v>
      </c>
      <c r="BG1999" t="s">
        <v>381</v>
      </c>
      <c r="BI1999" cm="1">
        <f t="array" aca="1" ref="BI1999" ca="1">IFERROR(_xlfn._xlws.FILTER(shifts!A:A,(shifts!B:B=events!AD1999)*(shifts!AG:AG&gt;=events!BK1999)*(shifts!AH:AH&lt;=events!BL1999)),BI1998)</f>
        <v>85</v>
      </c>
      <c r="BJ1999" s="15">
        <f t="shared" si="2043"/>
        <v>0</v>
      </c>
      <c r="BK1999">
        <f t="shared" si="2051"/>
        <v>663</v>
      </c>
      <c r="BL1999">
        <f t="shared" si="2052"/>
        <v>663</v>
      </c>
      <c r="BM1999" s="15">
        <f>SUMIFS(BJ$2:BJ1999,K$2:K1999,"=Intermission")+SUMIFS(BJ$2:BJ1999,K$2:K1999,"=Timeout")</f>
        <v>142</v>
      </c>
      <c r="BN1999">
        <f t="shared" si="2053"/>
        <v>2302</v>
      </c>
      <c r="BO1999" s="19">
        <f t="shared" si="2054"/>
        <v>2719</v>
      </c>
      <c r="BP1999">
        <f t="shared" si="2055"/>
        <v>2714</v>
      </c>
      <c r="BQ1999" s="17">
        <f t="shared" si="2056"/>
        <v>2719</v>
      </c>
      <c r="BR1999" t="str">
        <f t="shared" si="2057"/>
        <v>event_team_player_1</v>
      </c>
      <c r="BS1999">
        <f>COUNTIFS(S$3:S1999,"="&amp;S1999,AI$3:AI1999,"="&amp;AI1999)</f>
        <v>1</v>
      </c>
      <c r="BT1999" t="str">
        <f>IFERROR(VLOOKUP(BB1999&amp;BU1999&amp;X1999,game_rosters!U:W,3,FALSE),"")</f>
        <v>P100066</v>
      </c>
      <c r="BU1999" t="str">
        <f t="shared" si="2058"/>
        <v>Nelson</v>
      </c>
    </row>
    <row r="2000" spans="1:73" x14ac:dyDescent="0.2">
      <c r="A2000">
        <f t="shared" si="2044"/>
        <v>1</v>
      </c>
      <c r="J2000" s="44" t="str">
        <f t="shared" si="2059"/>
        <v/>
      </c>
      <c r="K2000" t="s">
        <v>7</v>
      </c>
      <c r="L2000" t="s">
        <v>172</v>
      </c>
      <c r="M2000" t="s">
        <v>381</v>
      </c>
      <c r="S2000">
        <v>1052</v>
      </c>
      <c r="W2000" t="str">
        <f t="shared" si="2035"/>
        <v>h</v>
      </c>
      <c r="X2000">
        <v>16</v>
      </c>
      <c r="Y2000" t="b">
        <f>IF(X2000&lt;&gt;"",VLOOKUP(X2000,game_rosters!$C$43:$E$64,3,FALSE))</f>
        <v>0</v>
      </c>
      <c r="Z2000" cm="1">
        <f t="array" ref="Z2000">IFERROR(IF(_xlfn._xlws.FILTER(game_rosters!$J:$J,(game_rosters!$G:$G=events!$AN2000)*(game_rosters!$J:$J=events!$X2000))&gt;0,1,""),"")</f>
        <v>1</v>
      </c>
      <c r="AA2000">
        <f t="shared" si="1993"/>
        <v>2052</v>
      </c>
      <c r="AB2000" t="str">
        <f t="shared" si="1994"/>
        <v/>
      </c>
      <c r="AC2000">
        <f t="shared" si="2032"/>
        <v>2052</v>
      </c>
      <c r="AD2000" s="6">
        <v>3</v>
      </c>
      <c r="AE2000" t="s">
        <v>754</v>
      </c>
      <c r="AF2000" t="s">
        <v>925</v>
      </c>
      <c r="AG2000" t="s">
        <v>756</v>
      </c>
      <c r="AH2000" t="s">
        <v>756</v>
      </c>
      <c r="AI2000" t="s">
        <v>367</v>
      </c>
      <c r="AJ2000" t="str">
        <f t="shared" ref="AJ2000:AK2000" si="2070">IF($J2000&lt;&gt;"",$J2000,IF($AC2000=$AC1999,AJ1999,""))</f>
        <v/>
      </c>
      <c r="AK2000" t="str">
        <f t="shared" si="2070"/>
        <v/>
      </c>
      <c r="AL2000" t="str">
        <f t="shared" si="2037"/>
        <v/>
      </c>
      <c r="AN2000" t="s">
        <v>861</v>
      </c>
      <c r="AO2000" t="str">
        <f t="shared" si="2038"/>
        <v>h</v>
      </c>
      <c r="AP2000" t="str">
        <f t="shared" si="2046"/>
        <v/>
      </c>
      <c r="AQ2000" t="str">
        <f t="shared" si="2047"/>
        <v/>
      </c>
      <c r="AR2000" t="str">
        <f t="shared" si="2048"/>
        <v>Home</v>
      </c>
      <c r="AS2000" t="str">
        <f t="shared" si="2049"/>
        <v>h</v>
      </c>
      <c r="AT2000" t="str">
        <f t="shared" si="2050"/>
        <v>Offensive</v>
      </c>
      <c r="BA2000" s="6">
        <f t="shared" si="2039"/>
        <v>461</v>
      </c>
      <c r="BB2000">
        <f t="shared" si="2040"/>
        <v>18981</v>
      </c>
      <c r="BC2000" t="str">
        <f t="shared" si="2041"/>
        <v>Nelson</v>
      </c>
      <c r="BD2000" t="str">
        <f t="shared" si="2042"/>
        <v>Velodrome</v>
      </c>
      <c r="BE2000" t="s">
        <v>7</v>
      </c>
      <c r="BF2000" t="s">
        <v>172</v>
      </c>
      <c r="BG2000" t="s">
        <v>381</v>
      </c>
      <c r="BI2000" cm="1">
        <f t="array" aca="1" ref="BI2000" ca="1">IFERROR(_xlfn._xlws.FILTER(shifts!A:A,(shifts!B:B=events!AD2000)*(shifts!AG:AG&gt;=events!BK2000)*(shifts!AH:AH&lt;=events!BL2000)),BI1999)</f>
        <v>85</v>
      </c>
      <c r="BJ2000" s="15">
        <f t="shared" si="2043"/>
        <v>0</v>
      </c>
      <c r="BK2000">
        <f t="shared" si="2051"/>
        <v>663</v>
      </c>
      <c r="BL2000">
        <f t="shared" si="2052"/>
        <v>663</v>
      </c>
      <c r="BM2000" s="15">
        <f>SUMIFS(BJ$2:BJ2000,K$2:K2000,"=Intermission")+SUMIFS(BJ$2:BJ2000,K$2:K2000,"=Timeout")</f>
        <v>142</v>
      </c>
      <c r="BN2000">
        <f t="shared" si="2053"/>
        <v>2302</v>
      </c>
      <c r="BO2000" s="19">
        <f t="shared" si="2054"/>
        <v>2719</v>
      </c>
      <c r="BP2000">
        <f t="shared" si="2055"/>
        <v>2714</v>
      </c>
      <c r="BQ2000" s="17">
        <f t="shared" si="2056"/>
        <v>2719</v>
      </c>
      <c r="BR2000" t="str">
        <f t="shared" si="2057"/>
        <v>event_team_player_2</v>
      </c>
      <c r="BS2000">
        <f>COUNTIFS(S$3:S2000,"="&amp;S2000,AI$3:AI2000,"="&amp;AI2000)</f>
        <v>2</v>
      </c>
      <c r="BT2000" t="str">
        <f>IFERROR(VLOOKUP(BB2000&amp;BU2000&amp;X2000,game_rosters!U:W,3,FALSE),"")</f>
        <v>P100164</v>
      </c>
      <c r="BU2000" t="str">
        <f t="shared" si="2058"/>
        <v>Nelson</v>
      </c>
    </row>
    <row r="2001" spans="1:73" x14ac:dyDescent="0.2">
      <c r="A2001">
        <f t="shared" si="2044"/>
        <v>1</v>
      </c>
      <c r="J2001" s="44" t="str">
        <f t="shared" si="2059"/>
        <v>d</v>
      </c>
      <c r="K2001" t="s">
        <v>238</v>
      </c>
      <c r="L2001" t="s">
        <v>184</v>
      </c>
      <c r="M2001" t="s">
        <v>380</v>
      </c>
      <c r="S2001">
        <v>1053</v>
      </c>
      <c r="W2001" t="str">
        <f t="shared" si="2035"/>
        <v>h</v>
      </c>
      <c r="X2001">
        <v>79</v>
      </c>
      <c r="Y2001" t="b">
        <f>IF(X2001&lt;&gt;"",VLOOKUP(X2001,game_rosters!$C$43:$E$64,3,FALSE))</f>
        <v>0</v>
      </c>
      <c r="Z2001" cm="1">
        <f t="array" ref="Z2001">IFERROR(IF(_xlfn._xlws.FILTER(game_rosters!$J:$J,(game_rosters!$G:$G=events!$AN2001)*(game_rosters!$J:$J=events!$X2001))&gt;0,1,""),"")</f>
        <v>1</v>
      </c>
      <c r="AA2001">
        <f t="shared" si="1993"/>
        <v>2053</v>
      </c>
      <c r="AB2001" t="str">
        <f t="shared" si="1994"/>
        <v/>
      </c>
      <c r="AC2001">
        <f t="shared" si="2032"/>
        <v>2053</v>
      </c>
      <c r="AD2001" s="6">
        <v>3</v>
      </c>
      <c r="AE2001" t="s">
        <v>754</v>
      </c>
      <c r="AF2001" t="s">
        <v>925</v>
      </c>
      <c r="AG2001" t="s">
        <v>756</v>
      </c>
      <c r="AH2001" t="s">
        <v>756</v>
      </c>
      <c r="AI2001" t="s">
        <v>367</v>
      </c>
      <c r="AJ2001" t="str">
        <f t="shared" ref="AJ2001:AK2001" si="2071">IF($J2001&lt;&gt;"",$J2001,IF($AC2001=$AC2000,AJ2000,""))</f>
        <v>d</v>
      </c>
      <c r="AK2001" t="str">
        <f t="shared" si="2071"/>
        <v>d</v>
      </c>
      <c r="AL2001" t="str">
        <f t="shared" si="2037"/>
        <v>d</v>
      </c>
      <c r="AN2001" t="s">
        <v>861</v>
      </c>
      <c r="AO2001" t="str">
        <f t="shared" si="2038"/>
        <v>h</v>
      </c>
      <c r="AP2001" t="str">
        <f t="shared" si="2046"/>
        <v>d</v>
      </c>
      <c r="AQ2001" t="str">
        <f t="shared" si="2047"/>
        <v/>
      </c>
      <c r="AR2001" t="str">
        <f t="shared" si="2048"/>
        <v>Home</v>
      </c>
      <c r="AS2001" t="str">
        <f t="shared" si="2049"/>
        <v>h</v>
      </c>
      <c r="AT2001" t="str">
        <f t="shared" si="2050"/>
        <v>Offensive</v>
      </c>
      <c r="BA2001" s="6">
        <f t="shared" si="2039"/>
        <v>462</v>
      </c>
      <c r="BB2001">
        <f t="shared" si="2040"/>
        <v>18981</v>
      </c>
      <c r="BC2001" t="str">
        <f t="shared" si="2041"/>
        <v>Nelson</v>
      </c>
      <c r="BD2001" t="str">
        <f t="shared" si="2042"/>
        <v>Velodrome</v>
      </c>
      <c r="BE2001" t="s">
        <v>238</v>
      </c>
      <c r="BF2001" t="s">
        <v>184</v>
      </c>
      <c r="BG2001" t="s">
        <v>380</v>
      </c>
      <c r="BI2001" cm="1">
        <f t="array" aca="1" ref="BI2001" ca="1">IFERROR(_xlfn._xlws.FILTER(shifts!A:A,(shifts!B:B=events!AD2001)*(shifts!AG:AG&gt;=events!BK2001)*(shifts!AH:AH&lt;=events!BL2001)),BI2000)</f>
        <v>85</v>
      </c>
      <c r="BJ2001" s="15">
        <f t="shared" si="2043"/>
        <v>0</v>
      </c>
      <c r="BK2001">
        <f t="shared" si="2051"/>
        <v>663</v>
      </c>
      <c r="BL2001">
        <f t="shared" si="2052"/>
        <v>663</v>
      </c>
      <c r="BM2001" s="15">
        <f>SUMIFS(BJ$2:BJ2001,K$2:K2001,"=Intermission")+SUMIFS(BJ$2:BJ2001,K$2:K2001,"=Timeout")</f>
        <v>142</v>
      </c>
      <c r="BN2001">
        <f t="shared" si="2053"/>
        <v>2302</v>
      </c>
      <c r="BO2001" s="19">
        <f t="shared" si="2054"/>
        <v>2719</v>
      </c>
      <c r="BP2001">
        <f t="shared" si="2055"/>
        <v>2714</v>
      </c>
      <c r="BQ2001" s="17">
        <f t="shared" si="2056"/>
        <v>2719</v>
      </c>
      <c r="BR2001" t="str">
        <f t="shared" si="2057"/>
        <v>event_team_player_1</v>
      </c>
      <c r="BS2001">
        <f>COUNTIFS(S$3:S2001,"="&amp;S2001,AI$3:AI2001,"="&amp;AI2001)</f>
        <v>1</v>
      </c>
      <c r="BT2001" t="str">
        <f>IFERROR(VLOOKUP(BB2001&amp;BU2001&amp;X2001,game_rosters!U:W,3,FALSE),"")</f>
        <v>P100066</v>
      </c>
      <c r="BU2001" t="str">
        <f t="shared" si="2058"/>
        <v>Nelson</v>
      </c>
    </row>
    <row r="2002" spans="1:73" x14ac:dyDescent="0.2">
      <c r="A2002">
        <f t="shared" si="2044"/>
        <v>1</v>
      </c>
      <c r="J2002" s="44" t="str">
        <f t="shared" si="2059"/>
        <v>d</v>
      </c>
      <c r="K2002" t="s">
        <v>238</v>
      </c>
      <c r="L2002" t="s">
        <v>184</v>
      </c>
      <c r="M2002" t="s">
        <v>380</v>
      </c>
      <c r="S2002">
        <v>1053</v>
      </c>
      <c r="W2002" t="str">
        <f t="shared" si="2035"/>
        <v>h</v>
      </c>
      <c r="X2002">
        <v>16</v>
      </c>
      <c r="Y2002" t="b">
        <f>IF(X2002&lt;&gt;"",VLOOKUP(X2002,game_rosters!$C$43:$E$64,3,FALSE))</f>
        <v>0</v>
      </c>
      <c r="Z2002" cm="1">
        <f t="array" ref="Z2002">IFERROR(IF(_xlfn._xlws.FILTER(game_rosters!$J:$J,(game_rosters!$G:$G=events!$AN2002)*(game_rosters!$J:$J=events!$X2002))&gt;0,1,""),"")</f>
        <v>1</v>
      </c>
      <c r="AA2002">
        <f t="shared" si="1993"/>
        <v>2053</v>
      </c>
      <c r="AB2002" t="str">
        <f t="shared" si="1994"/>
        <v/>
      </c>
      <c r="AC2002">
        <f t="shared" si="2032"/>
        <v>2053</v>
      </c>
      <c r="AD2002" s="6">
        <v>3</v>
      </c>
      <c r="AE2002" t="s">
        <v>754</v>
      </c>
      <c r="AF2002" t="s">
        <v>925</v>
      </c>
      <c r="AG2002" t="s">
        <v>756</v>
      </c>
      <c r="AH2002" t="s">
        <v>756</v>
      </c>
      <c r="AI2002" t="s">
        <v>367</v>
      </c>
      <c r="AJ2002" t="str">
        <f t="shared" ref="AJ2002:AK2002" si="2072">IF($J2002&lt;&gt;"",$J2002,IF($AC2002=$AC2001,AJ2001,""))</f>
        <v>d</v>
      </c>
      <c r="AK2002" t="str">
        <f t="shared" si="2072"/>
        <v>d</v>
      </c>
      <c r="AL2002" t="str">
        <f t="shared" si="2037"/>
        <v>d</v>
      </c>
      <c r="AN2002" t="s">
        <v>861</v>
      </c>
      <c r="AO2002" t="str">
        <f t="shared" si="2038"/>
        <v>h</v>
      </c>
      <c r="AP2002" t="str">
        <f t="shared" si="2046"/>
        <v>d</v>
      </c>
      <c r="AQ2002" t="str">
        <f t="shared" si="2047"/>
        <v/>
      </c>
      <c r="AR2002" t="str">
        <f t="shared" si="2048"/>
        <v>Home</v>
      </c>
      <c r="AS2002" t="str">
        <f t="shared" si="2049"/>
        <v>h</v>
      </c>
      <c r="AT2002" t="str">
        <f t="shared" si="2050"/>
        <v>Offensive</v>
      </c>
      <c r="BA2002" s="6">
        <f t="shared" si="2039"/>
        <v>463</v>
      </c>
      <c r="BB2002">
        <f t="shared" si="2040"/>
        <v>18981</v>
      </c>
      <c r="BC2002" t="str">
        <f t="shared" si="2041"/>
        <v>Nelson</v>
      </c>
      <c r="BD2002" t="str">
        <f t="shared" si="2042"/>
        <v>Velodrome</v>
      </c>
      <c r="BE2002" t="s">
        <v>238</v>
      </c>
      <c r="BF2002" t="s">
        <v>184</v>
      </c>
      <c r="BG2002" t="s">
        <v>380</v>
      </c>
      <c r="BI2002" cm="1">
        <f t="array" aca="1" ref="BI2002" ca="1">IFERROR(_xlfn._xlws.FILTER(shifts!A:A,(shifts!B:B=events!AD2002)*(shifts!AG:AG&gt;=events!BK2002)*(shifts!AH:AH&lt;=events!BL2002)),BI2001)</f>
        <v>85</v>
      </c>
      <c r="BJ2002" s="15">
        <f t="shared" si="2043"/>
        <v>0</v>
      </c>
      <c r="BK2002">
        <f t="shared" si="2051"/>
        <v>663</v>
      </c>
      <c r="BL2002">
        <f t="shared" si="2052"/>
        <v>663</v>
      </c>
      <c r="BM2002" s="15">
        <f>SUMIFS(BJ$2:BJ2002,K$2:K2002,"=Intermission")+SUMIFS(BJ$2:BJ2002,K$2:K2002,"=Timeout")</f>
        <v>142</v>
      </c>
      <c r="BN2002">
        <f t="shared" si="2053"/>
        <v>2302</v>
      </c>
      <c r="BO2002" s="19">
        <f t="shared" si="2054"/>
        <v>2719</v>
      </c>
      <c r="BP2002">
        <f t="shared" si="2055"/>
        <v>2714</v>
      </c>
      <c r="BQ2002" s="17">
        <f t="shared" si="2056"/>
        <v>2719</v>
      </c>
      <c r="BR2002" t="str">
        <f t="shared" si="2057"/>
        <v>event_team_player_2</v>
      </c>
      <c r="BS2002">
        <f>COUNTIFS(S$3:S2002,"="&amp;S2002,AI$3:AI2002,"="&amp;AI2002)</f>
        <v>2</v>
      </c>
      <c r="BT2002" t="str">
        <f>IFERROR(VLOOKUP(BB2002&amp;BU2002&amp;X2002,game_rosters!U:W,3,FALSE),"")</f>
        <v>P100164</v>
      </c>
      <c r="BU2002" t="str">
        <f t="shared" si="2058"/>
        <v>Nelson</v>
      </c>
    </row>
    <row r="2003" spans="1:73" x14ac:dyDescent="0.2">
      <c r="A2003">
        <f t="shared" si="2044"/>
        <v>1</v>
      </c>
      <c r="J2003" s="44" t="str">
        <f t="shared" si="2059"/>
        <v>o</v>
      </c>
      <c r="K2003" t="s">
        <v>238</v>
      </c>
      <c r="L2003" t="s">
        <v>174</v>
      </c>
      <c r="M2003" t="s">
        <v>375</v>
      </c>
      <c r="S2003">
        <v>1054</v>
      </c>
      <c r="W2003" t="str">
        <f t="shared" si="2035"/>
        <v>h</v>
      </c>
      <c r="X2003">
        <v>79</v>
      </c>
      <c r="Y2003" t="b">
        <f>IF(X2003&lt;&gt;"",VLOOKUP(X2003,game_rosters!$C$43:$E$64,3,FALSE))</f>
        <v>0</v>
      </c>
      <c r="Z2003" cm="1">
        <f t="array" ref="Z2003">IFERROR(IF(_xlfn._xlws.FILTER(game_rosters!$J:$J,(game_rosters!$G:$G=events!$AN2003)*(game_rosters!$J:$J=events!$X2003))&gt;0,1,""),"")</f>
        <v>1</v>
      </c>
      <c r="AA2003">
        <f t="shared" si="1993"/>
        <v>2054</v>
      </c>
      <c r="AB2003" t="str">
        <f t="shared" si="1994"/>
        <v/>
      </c>
      <c r="AC2003">
        <f t="shared" si="2032"/>
        <v>2054</v>
      </c>
      <c r="AD2003" s="6">
        <v>3</v>
      </c>
      <c r="AE2003" t="s">
        <v>754</v>
      </c>
      <c r="AF2003" t="s">
        <v>925</v>
      </c>
      <c r="AG2003" t="s">
        <v>756</v>
      </c>
      <c r="AH2003" t="s">
        <v>756</v>
      </c>
      <c r="AI2003" t="s">
        <v>367</v>
      </c>
      <c r="AJ2003" t="str">
        <f t="shared" ref="AJ2003:AK2003" si="2073">IF($J2003&lt;&gt;"",$J2003,IF($AC2003=$AC2002,AJ2002,""))</f>
        <v>o</v>
      </c>
      <c r="AK2003" t="str">
        <f t="shared" si="2073"/>
        <v>o</v>
      </c>
      <c r="AL2003" t="str">
        <f t="shared" si="2037"/>
        <v>o</v>
      </c>
      <c r="AN2003" t="s">
        <v>861</v>
      </c>
      <c r="AO2003" t="str">
        <f t="shared" si="2038"/>
        <v>h</v>
      </c>
      <c r="AP2003" t="str">
        <f t="shared" si="2046"/>
        <v>o</v>
      </c>
      <c r="AQ2003" t="str">
        <f t="shared" si="2047"/>
        <v/>
      </c>
      <c r="AR2003" t="str">
        <f t="shared" si="2048"/>
        <v>Home</v>
      </c>
      <c r="AS2003" t="str">
        <f t="shared" si="2049"/>
        <v>h</v>
      </c>
      <c r="AT2003" t="str">
        <f t="shared" si="2050"/>
        <v>Offensive</v>
      </c>
      <c r="BA2003" s="6">
        <f t="shared" si="2039"/>
        <v>464</v>
      </c>
      <c r="BB2003">
        <f t="shared" si="2040"/>
        <v>18981</v>
      </c>
      <c r="BC2003" t="str">
        <f t="shared" si="2041"/>
        <v>Nelson</v>
      </c>
      <c r="BD2003" t="str">
        <f t="shared" si="2042"/>
        <v>Velodrome</v>
      </c>
      <c r="BE2003" t="s">
        <v>238</v>
      </c>
      <c r="BF2003" t="s">
        <v>174</v>
      </c>
      <c r="BG2003" t="s">
        <v>375</v>
      </c>
      <c r="BI2003" cm="1">
        <f t="array" aca="1" ref="BI2003" ca="1">IFERROR(_xlfn._xlws.FILTER(shifts!A:A,(shifts!B:B=events!AD2003)*(shifts!AG:AG&gt;=events!BK2003)*(shifts!AH:AH&lt;=events!BL2003)),BI2002)</f>
        <v>85</v>
      </c>
      <c r="BJ2003" s="15">
        <f t="shared" si="2043"/>
        <v>0</v>
      </c>
      <c r="BK2003">
        <f t="shared" si="2051"/>
        <v>663</v>
      </c>
      <c r="BL2003">
        <f t="shared" si="2052"/>
        <v>663</v>
      </c>
      <c r="BM2003" s="15">
        <f>SUMIFS(BJ$2:BJ2003,K$2:K2003,"=Intermission")+SUMIFS(BJ$2:BJ2003,K$2:K2003,"=Timeout")</f>
        <v>142</v>
      </c>
      <c r="BN2003">
        <f t="shared" si="2053"/>
        <v>2302</v>
      </c>
      <c r="BO2003" s="19">
        <f t="shared" si="2054"/>
        <v>2719</v>
      </c>
      <c r="BP2003">
        <f t="shared" si="2055"/>
        <v>2714</v>
      </c>
      <c r="BQ2003" s="17">
        <f t="shared" si="2056"/>
        <v>2719</v>
      </c>
      <c r="BR2003" t="str">
        <f t="shared" si="2057"/>
        <v>event_team_player_1</v>
      </c>
      <c r="BS2003">
        <f>COUNTIFS(S$3:S2003,"="&amp;S2003,AI$3:AI2003,"="&amp;AI2003)</f>
        <v>1</v>
      </c>
      <c r="BT2003" t="str">
        <f>IFERROR(VLOOKUP(BB2003&amp;BU2003&amp;X2003,game_rosters!U:W,3,FALSE),"")</f>
        <v>P100066</v>
      </c>
      <c r="BU2003" t="str">
        <f t="shared" si="2058"/>
        <v>Nelson</v>
      </c>
    </row>
    <row r="2004" spans="1:73" x14ac:dyDescent="0.2">
      <c r="A2004">
        <f t="shared" si="2044"/>
        <v>1</v>
      </c>
      <c r="J2004" s="44" t="str">
        <f t="shared" si="2059"/>
        <v/>
      </c>
      <c r="K2004" t="s">
        <v>13</v>
      </c>
      <c r="L2004" t="s">
        <v>418</v>
      </c>
      <c r="M2004" t="s">
        <v>756</v>
      </c>
      <c r="S2004">
        <v>1055</v>
      </c>
      <c r="W2004" t="str">
        <f t="shared" si="2035"/>
        <v>h</v>
      </c>
      <c r="X2004">
        <v>16</v>
      </c>
      <c r="Y2004" t="b">
        <f>IF(X2004&lt;&gt;"",VLOOKUP(X2004,game_rosters!$C$43:$E$64,3,FALSE))</f>
        <v>0</v>
      </c>
      <c r="Z2004" cm="1">
        <f t="array" ref="Z2004">IFERROR(IF(_xlfn._xlws.FILTER(game_rosters!$J:$J,(game_rosters!$G:$G=events!$AN2004)*(game_rosters!$J:$J=events!$X2004))&gt;0,1,""),"")</f>
        <v>1</v>
      </c>
      <c r="AA2004">
        <f t="shared" si="1993"/>
        <v>2055</v>
      </c>
      <c r="AB2004" t="str">
        <f t="shared" si="1994"/>
        <v/>
      </c>
      <c r="AC2004">
        <f t="shared" si="2032"/>
        <v>2055</v>
      </c>
      <c r="AD2004" s="6">
        <v>3</v>
      </c>
      <c r="AE2004" t="s">
        <v>910</v>
      </c>
      <c r="AF2004" t="s">
        <v>932</v>
      </c>
      <c r="AG2004" t="s">
        <v>910</v>
      </c>
      <c r="AH2004" t="s">
        <v>733</v>
      </c>
      <c r="AI2004" t="s">
        <v>367</v>
      </c>
      <c r="AJ2004" t="str">
        <f t="shared" ref="AJ2004:AK2004" si="2074">IF($J2004&lt;&gt;"",$J2004,IF($AC2004=$AC2003,AJ2003,""))</f>
        <v/>
      </c>
      <c r="AK2004" t="str">
        <f t="shared" si="2074"/>
        <v/>
      </c>
      <c r="AL2004" t="str">
        <f t="shared" si="2037"/>
        <v/>
      </c>
      <c r="AN2004" t="s">
        <v>861</v>
      </c>
      <c r="AO2004" t="str">
        <f t="shared" si="2038"/>
        <v>h</v>
      </c>
      <c r="AP2004" t="str">
        <f t="shared" si="2046"/>
        <v/>
      </c>
      <c r="AQ2004" t="str">
        <f t="shared" si="2047"/>
        <v/>
      </c>
      <c r="AR2004" t="str">
        <f t="shared" si="2048"/>
        <v>Home</v>
      </c>
      <c r="AS2004" t="str">
        <f t="shared" si="2049"/>
        <v>h</v>
      </c>
      <c r="AT2004" t="str">
        <f t="shared" si="2050"/>
        <v>Offensive</v>
      </c>
      <c r="BA2004" s="6">
        <f t="shared" si="2039"/>
        <v>464</v>
      </c>
      <c r="BB2004">
        <f t="shared" si="2040"/>
        <v>18981</v>
      </c>
      <c r="BC2004" t="str">
        <f t="shared" si="2041"/>
        <v>Nelson</v>
      </c>
      <c r="BD2004" t="str">
        <f t="shared" si="2042"/>
        <v>Velodrome</v>
      </c>
      <c r="BE2004" t="s">
        <v>13</v>
      </c>
      <c r="BF2004" t="s">
        <v>418</v>
      </c>
      <c r="BG2004" t="s">
        <v>756</v>
      </c>
      <c r="BI2004" cm="1">
        <f t="array" aca="1" ref="BI2004" ca="1">IFERROR(_xlfn._xlws.FILTER(shifts!A:A,(shifts!B:B=events!AD2004)*(shifts!AG:AG&gt;=events!BK2004)*(shifts!AH:AH&lt;=events!BL2004)),BI2003)</f>
        <v>85</v>
      </c>
      <c r="BJ2004" s="15">
        <f t="shared" si="2043"/>
        <v>2</v>
      </c>
      <c r="BK2004">
        <f t="shared" si="2051"/>
        <v>658</v>
      </c>
      <c r="BL2004">
        <f t="shared" si="2052"/>
        <v>656</v>
      </c>
      <c r="BM2004" s="15">
        <f>SUMIFS(BJ$2:BJ2004,K$2:K2004,"=Intermission")+SUMIFS(BJ$2:BJ2004,K$2:K2004,"=Timeout")</f>
        <v>142</v>
      </c>
      <c r="BN2004">
        <f t="shared" si="2053"/>
        <v>2302</v>
      </c>
      <c r="BO2004" s="19">
        <f t="shared" si="2054"/>
        <v>2724</v>
      </c>
      <c r="BP2004">
        <f t="shared" si="2055"/>
        <v>2719</v>
      </c>
      <c r="BQ2004" s="17">
        <f t="shared" si="2056"/>
        <v>2726</v>
      </c>
      <c r="BR2004" t="str">
        <f t="shared" si="2057"/>
        <v>event_team_player_1</v>
      </c>
      <c r="BS2004">
        <f>COUNTIFS(S$3:S2004,"="&amp;S2004,AI$3:AI2004,"="&amp;AI2004)</f>
        <v>1</v>
      </c>
      <c r="BT2004" t="str">
        <f>IFERROR(VLOOKUP(BB2004&amp;BU2004&amp;X2004,game_rosters!U:W,3,FALSE),"")</f>
        <v>P100164</v>
      </c>
      <c r="BU2004" t="str">
        <f t="shared" si="2058"/>
        <v>Nelson</v>
      </c>
    </row>
    <row r="2005" spans="1:73" x14ac:dyDescent="0.2">
      <c r="A2005">
        <f t="shared" si="2044"/>
        <v>1</v>
      </c>
      <c r="J2005" s="44" t="str">
        <f t="shared" si="2059"/>
        <v/>
      </c>
      <c r="K2005" t="s">
        <v>230</v>
      </c>
      <c r="L2005" t="s">
        <v>388</v>
      </c>
      <c r="M2005" t="s">
        <v>447</v>
      </c>
      <c r="S2005">
        <v>1056</v>
      </c>
      <c r="W2005" t="str">
        <f t="shared" si="2035"/>
        <v>h</v>
      </c>
      <c r="X2005">
        <v>16</v>
      </c>
      <c r="Y2005" t="b">
        <f>IF(X2005&lt;&gt;"",VLOOKUP(X2005,game_rosters!$C$43:$E$64,3,FALSE))</f>
        <v>0</v>
      </c>
      <c r="Z2005" cm="1">
        <f t="array" ref="Z2005">IFERROR(IF(_xlfn._xlws.FILTER(game_rosters!$J:$J,(game_rosters!$G:$G=events!$AN2005)*(game_rosters!$J:$J=events!$X2005))&gt;0,1,""),"")</f>
        <v>1</v>
      </c>
      <c r="AA2005">
        <f t="shared" si="1993"/>
        <v>2056</v>
      </c>
      <c r="AB2005" t="str">
        <f t="shared" si="1994"/>
        <v/>
      </c>
      <c r="AC2005">
        <f t="shared" si="2032"/>
        <v>2056</v>
      </c>
      <c r="AD2005" s="6">
        <v>3</v>
      </c>
      <c r="AE2005" t="s">
        <v>910</v>
      </c>
      <c r="AF2005" t="s">
        <v>733</v>
      </c>
      <c r="AG2005" t="s">
        <v>756</v>
      </c>
      <c r="AH2005" t="s">
        <v>756</v>
      </c>
      <c r="AI2005" t="s">
        <v>367</v>
      </c>
      <c r="AJ2005" t="str">
        <f t="shared" ref="AJ2005:AK2005" si="2075">IF($J2005&lt;&gt;"",$J2005,IF($AC2005=$AC2004,AJ2004,""))</f>
        <v/>
      </c>
      <c r="AK2005" t="str">
        <f t="shared" si="2075"/>
        <v/>
      </c>
      <c r="AL2005" t="str">
        <f t="shared" si="2037"/>
        <v/>
      </c>
      <c r="AN2005" t="s">
        <v>861</v>
      </c>
      <c r="AO2005" t="str">
        <f t="shared" si="2038"/>
        <v>h</v>
      </c>
      <c r="AP2005" t="str">
        <f t="shared" si="2046"/>
        <v/>
      </c>
      <c r="AQ2005" t="str">
        <f t="shared" si="2047"/>
        <v/>
      </c>
      <c r="AR2005" t="str">
        <f t="shared" si="2048"/>
        <v>Home</v>
      </c>
      <c r="AS2005" t="str">
        <f t="shared" si="2049"/>
        <v>h</v>
      </c>
      <c r="AT2005" t="str">
        <f t="shared" si="2050"/>
        <v>Offensive</v>
      </c>
      <c r="BA2005" s="6">
        <f t="shared" si="2039"/>
        <v>464</v>
      </c>
      <c r="BB2005">
        <f t="shared" si="2040"/>
        <v>18981</v>
      </c>
      <c r="BC2005" t="str">
        <f t="shared" si="2041"/>
        <v>Nelson</v>
      </c>
      <c r="BD2005" t="str">
        <f t="shared" si="2042"/>
        <v>Velodrome</v>
      </c>
      <c r="BE2005" t="s">
        <v>230</v>
      </c>
      <c r="BF2005" t="s">
        <v>388</v>
      </c>
      <c r="BG2005" t="s">
        <v>447</v>
      </c>
      <c r="BI2005">
        <v>85</v>
      </c>
      <c r="BJ2005" s="15">
        <f t="shared" si="2043"/>
        <v>0</v>
      </c>
      <c r="BK2005">
        <f t="shared" si="2051"/>
        <v>656</v>
      </c>
      <c r="BL2005">
        <f t="shared" si="2052"/>
        <v>656</v>
      </c>
      <c r="BM2005" s="15">
        <f>SUMIFS(BJ$2:BJ2005,K$2:K2005,"=Intermission")+SUMIFS(BJ$2:BJ2005,K$2:K2005,"=Timeout")</f>
        <v>142</v>
      </c>
      <c r="BN2005">
        <f t="shared" si="2053"/>
        <v>2302</v>
      </c>
      <c r="BO2005" s="19">
        <f t="shared" si="2054"/>
        <v>2726</v>
      </c>
      <c r="BP2005">
        <f t="shared" si="2055"/>
        <v>2721</v>
      </c>
      <c r="BQ2005" s="17">
        <f t="shared" si="2056"/>
        <v>2726</v>
      </c>
      <c r="BR2005" t="str">
        <f t="shared" si="2057"/>
        <v>event_team_player_1</v>
      </c>
      <c r="BS2005">
        <f>COUNTIFS(S$3:S2005,"="&amp;S2005,AI$3:AI2005,"="&amp;AI2005)</f>
        <v>1</v>
      </c>
      <c r="BT2005" t="str">
        <f>IFERROR(VLOOKUP(BB2005&amp;BU2005&amp;X2005,game_rosters!U:W,3,FALSE),"")</f>
        <v>P100164</v>
      </c>
      <c r="BU2005" t="str">
        <f t="shared" si="2058"/>
        <v>Nelson</v>
      </c>
    </row>
    <row r="2006" spans="1:73" x14ac:dyDescent="0.2">
      <c r="A2006">
        <f t="shared" si="2044"/>
        <v>1</v>
      </c>
      <c r="J2006" s="44" t="str">
        <f t="shared" si="2059"/>
        <v>o</v>
      </c>
      <c r="K2006" t="s">
        <v>6</v>
      </c>
      <c r="L2006" t="s">
        <v>205</v>
      </c>
      <c r="M2006" t="s">
        <v>59</v>
      </c>
      <c r="S2006">
        <v>1057</v>
      </c>
      <c r="W2006" t="str">
        <f t="shared" si="2035"/>
        <v>h</v>
      </c>
      <c r="X2006">
        <v>16</v>
      </c>
      <c r="Y2006" t="b">
        <f>IF(X2006&lt;&gt;"",VLOOKUP(X2006,game_rosters!$C$43:$E$64,3,FALSE))</f>
        <v>0</v>
      </c>
      <c r="Z2006" cm="1">
        <f t="array" ref="Z2006">IFERROR(IF(_xlfn._xlws.FILTER(game_rosters!$J:$J,(game_rosters!$G:$G=events!$AN2006)*(game_rosters!$J:$J=events!$X2006))&gt;0,1,""),"")</f>
        <v>1</v>
      </c>
      <c r="AA2006">
        <f t="shared" si="1993"/>
        <v>2057</v>
      </c>
      <c r="AB2006" t="str">
        <f t="shared" si="1994"/>
        <v/>
      </c>
      <c r="AC2006">
        <f t="shared" si="2032"/>
        <v>2057</v>
      </c>
      <c r="AD2006" s="6">
        <v>3</v>
      </c>
      <c r="AE2006" t="s">
        <v>910</v>
      </c>
      <c r="AF2006" t="s">
        <v>733</v>
      </c>
      <c r="AG2006" t="s">
        <v>756</v>
      </c>
      <c r="AH2006" t="s">
        <v>756</v>
      </c>
      <c r="AI2006" t="s">
        <v>367</v>
      </c>
      <c r="AJ2006" t="str">
        <f t="shared" ref="AJ2006:AK2006" si="2076">IF($J2006&lt;&gt;"",$J2006,IF($AC2006=$AC2005,AJ2005,""))</f>
        <v>o</v>
      </c>
      <c r="AK2006" t="str">
        <f t="shared" si="2076"/>
        <v>o</v>
      </c>
      <c r="AL2006" t="str">
        <f t="shared" si="2037"/>
        <v>o</v>
      </c>
      <c r="AN2006" t="s">
        <v>861</v>
      </c>
      <c r="AO2006" t="str">
        <f t="shared" si="2038"/>
        <v>h</v>
      </c>
      <c r="AP2006" t="str">
        <f t="shared" si="2046"/>
        <v>o</v>
      </c>
      <c r="AQ2006" t="str">
        <f t="shared" si="2047"/>
        <v/>
      </c>
      <c r="AR2006" t="str">
        <f t="shared" si="2048"/>
        <v>Home</v>
      </c>
      <c r="AS2006" t="str">
        <f t="shared" si="2049"/>
        <v>h</v>
      </c>
      <c r="AT2006" t="str">
        <f t="shared" si="2050"/>
        <v>Offensive</v>
      </c>
      <c r="BA2006" s="6">
        <f t="shared" si="2039"/>
        <v>464</v>
      </c>
      <c r="BB2006">
        <f t="shared" si="2040"/>
        <v>18981</v>
      </c>
      <c r="BC2006" t="str">
        <f t="shared" si="2041"/>
        <v>Nelson</v>
      </c>
      <c r="BD2006" t="str">
        <f t="shared" si="2042"/>
        <v>Velodrome</v>
      </c>
      <c r="BE2006" t="s">
        <v>6</v>
      </c>
      <c r="BF2006" t="s">
        <v>205</v>
      </c>
      <c r="BG2006" t="s">
        <v>59</v>
      </c>
      <c r="BI2006">
        <v>85</v>
      </c>
      <c r="BJ2006" s="15">
        <f t="shared" si="2043"/>
        <v>0</v>
      </c>
      <c r="BK2006">
        <f t="shared" si="2051"/>
        <v>656</v>
      </c>
      <c r="BL2006">
        <f t="shared" si="2052"/>
        <v>656</v>
      </c>
      <c r="BM2006" s="15">
        <f>SUMIFS(BJ$2:BJ2006,K$2:K2006,"=Intermission")+SUMIFS(BJ$2:BJ2006,K$2:K2006,"=Timeout")</f>
        <v>142</v>
      </c>
      <c r="BN2006">
        <f t="shared" si="2053"/>
        <v>2302</v>
      </c>
      <c r="BO2006" s="19">
        <f t="shared" si="2054"/>
        <v>2726</v>
      </c>
      <c r="BP2006">
        <f t="shared" si="2055"/>
        <v>2721</v>
      </c>
      <c r="BQ2006" s="17">
        <f t="shared" si="2056"/>
        <v>2726</v>
      </c>
      <c r="BR2006" t="str">
        <f t="shared" si="2057"/>
        <v>event_team_player_1</v>
      </c>
      <c r="BS2006">
        <f>COUNTIFS(S$3:S2006,"="&amp;S2006,AI$3:AI2006,"="&amp;AI2006)</f>
        <v>1</v>
      </c>
      <c r="BT2006" t="str">
        <f>IFERROR(VLOOKUP(BB2006&amp;BU2006&amp;X2006,game_rosters!U:W,3,FALSE),"")</f>
        <v>P100164</v>
      </c>
      <c r="BU2006" t="str">
        <f t="shared" si="2058"/>
        <v>Nelson</v>
      </c>
    </row>
    <row r="2007" spans="1:73" x14ac:dyDescent="0.2">
      <c r="A2007">
        <f t="shared" si="2044"/>
        <v>1</v>
      </c>
      <c r="J2007" s="44" t="str">
        <f t="shared" si="2059"/>
        <v>o</v>
      </c>
      <c r="K2007" t="s">
        <v>6</v>
      </c>
      <c r="L2007" t="s">
        <v>205</v>
      </c>
      <c r="M2007" t="s">
        <v>59</v>
      </c>
      <c r="S2007">
        <v>1057</v>
      </c>
      <c r="W2007" t="str">
        <f t="shared" si="2035"/>
        <v>h</v>
      </c>
      <c r="X2007">
        <v>39</v>
      </c>
      <c r="Y2007" t="e">
        <f>IF(X2007&lt;&gt;"",VLOOKUP(X2007,game_rosters!$C$43:$E$64,3,FALSE))</f>
        <v>#N/A</v>
      </c>
      <c r="Z2007" t="str" cm="1">
        <f t="array" ref="Z2007">IFERROR(IF(_xlfn._xlws.FILTER(game_rosters!$J:$J,(game_rosters!$G:$G=events!$AN2007)*(game_rosters!$J:$J=events!$X2007))&gt;0,1,""),"")</f>
        <v/>
      </c>
      <c r="AA2007">
        <f t="shared" si="1993"/>
        <v>2057</v>
      </c>
      <c r="AB2007" t="str">
        <f t="shared" si="1994"/>
        <v/>
      </c>
      <c r="AC2007">
        <f t="shared" si="2032"/>
        <v>2057</v>
      </c>
      <c r="AD2007" s="6">
        <v>3</v>
      </c>
      <c r="AE2007" t="s">
        <v>910</v>
      </c>
      <c r="AF2007" t="s">
        <v>733</v>
      </c>
      <c r="AG2007" t="s">
        <v>756</v>
      </c>
      <c r="AH2007" t="s">
        <v>756</v>
      </c>
      <c r="AI2007" t="s">
        <v>368</v>
      </c>
      <c r="AJ2007" t="str">
        <f t="shared" ref="AJ2007:AK2007" si="2077">IF($J2007&lt;&gt;"",$J2007,IF($AC2007=$AC2006,AJ2006,""))</f>
        <v>o</v>
      </c>
      <c r="AK2007" t="str">
        <f t="shared" si="2077"/>
        <v>o</v>
      </c>
      <c r="AL2007" t="str">
        <f t="shared" si="2037"/>
        <v>o</v>
      </c>
      <c r="AN2007" t="s">
        <v>861</v>
      </c>
      <c r="AO2007" t="str">
        <f t="shared" si="2038"/>
        <v>h</v>
      </c>
      <c r="AP2007" t="str">
        <f t="shared" si="2046"/>
        <v>o</v>
      </c>
      <c r="AQ2007" t="str">
        <f t="shared" si="2047"/>
        <v/>
      </c>
      <c r="AR2007" t="str">
        <f t="shared" si="2048"/>
        <v>Home</v>
      </c>
      <c r="AS2007" t="str">
        <f t="shared" si="2049"/>
        <v>h</v>
      </c>
      <c r="AT2007" t="str">
        <f t="shared" si="2050"/>
        <v>Defensive</v>
      </c>
      <c r="BA2007" s="6">
        <f t="shared" si="2039"/>
        <v>464</v>
      </c>
      <c r="BB2007">
        <f t="shared" si="2040"/>
        <v>18981</v>
      </c>
      <c r="BC2007" t="str">
        <f t="shared" si="2041"/>
        <v>Nelson</v>
      </c>
      <c r="BD2007" t="str">
        <f t="shared" si="2042"/>
        <v>Velodrome</v>
      </c>
      <c r="BE2007" t="s">
        <v>6</v>
      </c>
      <c r="BF2007" t="s">
        <v>205</v>
      </c>
      <c r="BG2007" t="s">
        <v>59</v>
      </c>
      <c r="BI2007">
        <v>85</v>
      </c>
      <c r="BJ2007" s="15">
        <f t="shared" si="2043"/>
        <v>0</v>
      </c>
      <c r="BK2007">
        <f t="shared" si="2051"/>
        <v>656</v>
      </c>
      <c r="BL2007">
        <f t="shared" si="2052"/>
        <v>656</v>
      </c>
      <c r="BM2007" s="15">
        <f>SUMIFS(BJ$2:BJ2007,K$2:K2007,"=Intermission")+SUMIFS(BJ$2:BJ2007,K$2:K2007,"=Timeout")</f>
        <v>142</v>
      </c>
      <c r="BN2007">
        <f t="shared" si="2053"/>
        <v>2302</v>
      </c>
      <c r="BO2007" s="19">
        <f t="shared" si="2054"/>
        <v>2726</v>
      </c>
      <c r="BP2007">
        <f t="shared" si="2055"/>
        <v>2721</v>
      </c>
      <c r="BQ2007" s="17">
        <f t="shared" si="2056"/>
        <v>2726</v>
      </c>
      <c r="BR2007" t="str">
        <f t="shared" si="2057"/>
        <v>opp_team_player_1</v>
      </c>
      <c r="BS2007">
        <f>COUNTIFS(S$3:S2007,"="&amp;S2007,AI$3:AI2007,"="&amp;AI2007)</f>
        <v>1</v>
      </c>
      <c r="BT2007" t="str">
        <f>IFERROR(VLOOKUP(BB2007&amp;BU2007&amp;X2007,game_rosters!U:W,3,FALSE),"")</f>
        <v>P100016</v>
      </c>
      <c r="BU2007" t="str">
        <f t="shared" si="2058"/>
        <v>Velodrome</v>
      </c>
    </row>
    <row r="2008" spans="1:73" x14ac:dyDescent="0.2">
      <c r="A2008">
        <f t="shared" si="2044"/>
        <v>1</v>
      </c>
      <c r="J2008" s="44" t="str">
        <f t="shared" si="2059"/>
        <v>d</v>
      </c>
      <c r="K2008" t="s">
        <v>15</v>
      </c>
      <c r="L2008" t="s">
        <v>179</v>
      </c>
      <c r="M2008" t="s">
        <v>96</v>
      </c>
      <c r="S2008">
        <v>1058</v>
      </c>
      <c r="W2008" t="str">
        <f t="shared" si="2035"/>
        <v>a</v>
      </c>
      <c r="X2008">
        <v>39</v>
      </c>
      <c r="Y2008" t="e">
        <f>IF(X2008&lt;&gt;"",VLOOKUP(X2008,game_rosters!$C$43:$E$64,3,FALSE))</f>
        <v>#N/A</v>
      </c>
      <c r="Z2008" cm="1">
        <f t="array" ref="Z2008">IFERROR(IF(_xlfn._xlws.FILTER(game_rosters!$J:$J,(game_rosters!$G:$G=events!$AN2008)*(game_rosters!$J:$J=events!$X2008))&gt;0,1,""),"")</f>
        <v>1</v>
      </c>
      <c r="AA2008">
        <f t="shared" si="1993"/>
        <v>2058</v>
      </c>
      <c r="AB2008" t="str">
        <f t="shared" si="1994"/>
        <v/>
      </c>
      <c r="AC2008">
        <f t="shared" si="2032"/>
        <v>2058</v>
      </c>
      <c r="AD2008" s="6">
        <v>3</v>
      </c>
      <c r="AE2008" t="s">
        <v>910</v>
      </c>
      <c r="AF2008" t="s">
        <v>733</v>
      </c>
      <c r="AG2008" t="s">
        <v>756</v>
      </c>
      <c r="AH2008" t="s">
        <v>756</v>
      </c>
      <c r="AI2008" t="s">
        <v>367</v>
      </c>
      <c r="AJ2008" t="str">
        <f t="shared" ref="AJ2008:AK2008" si="2078">IF($J2008&lt;&gt;"",$J2008,IF($AC2008=$AC2007,AJ2007,""))</f>
        <v>d</v>
      </c>
      <c r="AK2008" t="str">
        <f t="shared" si="2078"/>
        <v>d</v>
      </c>
      <c r="AL2008" t="str">
        <f t="shared" si="2037"/>
        <v>o</v>
      </c>
      <c r="AN2008" t="s">
        <v>862</v>
      </c>
      <c r="AO2008" t="str">
        <f t="shared" si="2038"/>
        <v>a</v>
      </c>
      <c r="AP2008" t="str">
        <f t="shared" si="2046"/>
        <v>o</v>
      </c>
      <c r="AQ2008" t="str">
        <f t="shared" si="2047"/>
        <v/>
      </c>
      <c r="AR2008" t="str">
        <f t="shared" si="2048"/>
        <v>Away</v>
      </c>
      <c r="AS2008" t="str">
        <f t="shared" si="2049"/>
        <v>a</v>
      </c>
      <c r="AT2008" t="str">
        <f t="shared" si="2050"/>
        <v>Defensive</v>
      </c>
      <c r="BA2008" s="6">
        <f t="shared" si="2039"/>
        <v>464</v>
      </c>
      <c r="BB2008">
        <f t="shared" si="2040"/>
        <v>18981</v>
      </c>
      <c r="BC2008" t="str">
        <f t="shared" si="2041"/>
        <v>Nelson</v>
      </c>
      <c r="BD2008" t="str">
        <f t="shared" si="2042"/>
        <v>Velodrome</v>
      </c>
      <c r="BE2008" t="s">
        <v>15</v>
      </c>
      <c r="BF2008" t="s">
        <v>179</v>
      </c>
      <c r="BG2008" t="s">
        <v>96</v>
      </c>
      <c r="BI2008">
        <v>85</v>
      </c>
      <c r="BJ2008" s="15">
        <f t="shared" si="2043"/>
        <v>0</v>
      </c>
      <c r="BK2008">
        <f t="shared" si="2051"/>
        <v>656</v>
      </c>
      <c r="BL2008">
        <f t="shared" si="2052"/>
        <v>656</v>
      </c>
      <c r="BM2008" s="15">
        <f>SUMIFS(BJ$2:BJ2008,K$2:K2008,"=Intermission")+SUMIFS(BJ$2:BJ2008,K$2:K2008,"=Timeout")</f>
        <v>142</v>
      </c>
      <c r="BN2008">
        <f t="shared" si="2053"/>
        <v>2302</v>
      </c>
      <c r="BO2008" s="19">
        <f t="shared" si="2054"/>
        <v>2726</v>
      </c>
      <c r="BP2008">
        <f t="shared" si="2055"/>
        <v>2721</v>
      </c>
      <c r="BQ2008" s="17">
        <f t="shared" si="2056"/>
        <v>2726</v>
      </c>
      <c r="BR2008" t="str">
        <f t="shared" si="2057"/>
        <v>event_team_player_1</v>
      </c>
      <c r="BS2008">
        <f>COUNTIFS(S$3:S2008,"="&amp;S2008,AI$3:AI2008,"="&amp;AI2008)</f>
        <v>1</v>
      </c>
      <c r="BT2008" t="str">
        <f>IFERROR(VLOOKUP(BB2008&amp;BU2008&amp;X2008,game_rosters!U:W,3,FALSE),"")</f>
        <v>P100016</v>
      </c>
      <c r="BU2008" t="str">
        <f t="shared" si="2058"/>
        <v>Velodrome</v>
      </c>
    </row>
    <row r="2009" spans="1:73" x14ac:dyDescent="0.2">
      <c r="A2009">
        <f t="shared" si="2044"/>
        <v>1</v>
      </c>
      <c r="J2009" s="44" t="str">
        <f t="shared" si="2059"/>
        <v>d</v>
      </c>
      <c r="K2009" t="s">
        <v>15</v>
      </c>
      <c r="L2009" t="s">
        <v>179</v>
      </c>
      <c r="M2009" t="s">
        <v>96</v>
      </c>
      <c r="S2009">
        <v>1058</v>
      </c>
      <c r="W2009" t="str">
        <f t="shared" si="2035"/>
        <v>a</v>
      </c>
      <c r="X2009">
        <v>16</v>
      </c>
      <c r="Y2009" t="b">
        <f>IF(X2009&lt;&gt;"",VLOOKUP(X2009,game_rosters!$C$43:$E$64,3,FALSE))</f>
        <v>0</v>
      </c>
      <c r="Z2009" t="str" cm="1">
        <f t="array" ref="Z2009">IFERROR(IF(_xlfn._xlws.FILTER(game_rosters!$J:$J,(game_rosters!$G:$G=events!$AN2009)*(game_rosters!$J:$J=events!$X2009))&gt;0,1,""),"")</f>
        <v/>
      </c>
      <c r="AA2009">
        <f t="shared" si="1993"/>
        <v>2058</v>
      </c>
      <c r="AB2009" t="str">
        <f t="shared" si="1994"/>
        <v/>
      </c>
      <c r="AC2009">
        <f t="shared" si="2032"/>
        <v>2058</v>
      </c>
      <c r="AD2009" s="6">
        <v>3</v>
      </c>
      <c r="AE2009" t="s">
        <v>910</v>
      </c>
      <c r="AF2009" t="s">
        <v>733</v>
      </c>
      <c r="AG2009" t="s">
        <v>756</v>
      </c>
      <c r="AH2009" t="s">
        <v>756</v>
      </c>
      <c r="AI2009" t="s">
        <v>368</v>
      </c>
      <c r="AJ2009" t="str">
        <f t="shared" ref="AJ2009:AK2009" si="2079">IF($J2009&lt;&gt;"",$J2009,IF($AC2009=$AC2008,AJ2008,""))</f>
        <v>d</v>
      </c>
      <c r="AK2009" t="str">
        <f t="shared" si="2079"/>
        <v>d</v>
      </c>
      <c r="AL2009" t="str">
        <f t="shared" si="2037"/>
        <v>o</v>
      </c>
      <c r="AN2009" t="s">
        <v>862</v>
      </c>
      <c r="AO2009" t="str">
        <f t="shared" si="2038"/>
        <v>a</v>
      </c>
      <c r="AP2009" t="str">
        <f t="shared" si="2046"/>
        <v>o</v>
      </c>
      <c r="AQ2009" t="str">
        <f t="shared" si="2047"/>
        <v/>
      </c>
      <c r="AR2009" t="str">
        <f t="shared" si="2048"/>
        <v>Away</v>
      </c>
      <c r="AS2009" t="str">
        <f t="shared" si="2049"/>
        <v>a</v>
      </c>
      <c r="AT2009" t="str">
        <f t="shared" si="2050"/>
        <v>Offensive</v>
      </c>
      <c r="BA2009" s="6">
        <f t="shared" si="2039"/>
        <v>464</v>
      </c>
      <c r="BB2009">
        <f t="shared" si="2040"/>
        <v>18981</v>
      </c>
      <c r="BC2009" t="str">
        <f t="shared" si="2041"/>
        <v>Nelson</v>
      </c>
      <c r="BD2009" t="str">
        <f t="shared" si="2042"/>
        <v>Velodrome</v>
      </c>
      <c r="BE2009" t="s">
        <v>15</v>
      </c>
      <c r="BF2009" t="s">
        <v>179</v>
      </c>
      <c r="BG2009" t="s">
        <v>96</v>
      </c>
      <c r="BI2009">
        <v>85</v>
      </c>
      <c r="BJ2009" s="15">
        <f t="shared" si="2043"/>
        <v>0</v>
      </c>
      <c r="BK2009">
        <f t="shared" si="2051"/>
        <v>656</v>
      </c>
      <c r="BL2009">
        <f t="shared" si="2052"/>
        <v>656</v>
      </c>
      <c r="BM2009" s="15">
        <f>SUMIFS(BJ$2:BJ2009,K$2:K2009,"=Intermission")+SUMIFS(BJ$2:BJ2009,K$2:K2009,"=Timeout")</f>
        <v>142</v>
      </c>
      <c r="BN2009">
        <f t="shared" si="2053"/>
        <v>2302</v>
      </c>
      <c r="BO2009" s="19">
        <f t="shared" si="2054"/>
        <v>2726</v>
      </c>
      <c r="BP2009">
        <f t="shared" si="2055"/>
        <v>2721</v>
      </c>
      <c r="BQ2009" s="17">
        <f t="shared" si="2056"/>
        <v>2726</v>
      </c>
      <c r="BR2009" t="str">
        <f t="shared" si="2057"/>
        <v>opp_team_player_1</v>
      </c>
      <c r="BS2009">
        <f>COUNTIFS(S$3:S2009,"="&amp;S2009,AI$3:AI2009,"="&amp;AI2009)</f>
        <v>1</v>
      </c>
      <c r="BT2009" t="str">
        <f>IFERROR(VLOOKUP(BB2009&amp;BU2009&amp;X2009,game_rosters!U:W,3,FALSE),"")</f>
        <v>P100164</v>
      </c>
      <c r="BU2009" t="str">
        <f t="shared" si="2058"/>
        <v>Nelson</v>
      </c>
    </row>
    <row r="2010" spans="1:73" x14ac:dyDescent="0.2">
      <c r="A2010">
        <f t="shared" si="2044"/>
        <v>1</v>
      </c>
      <c r="J2010" s="44" t="str">
        <f t="shared" si="2059"/>
        <v>d</v>
      </c>
      <c r="K2010" t="s">
        <v>231</v>
      </c>
      <c r="L2010" t="s">
        <v>233</v>
      </c>
      <c r="M2010" t="s">
        <v>756</v>
      </c>
      <c r="S2010">
        <v>1059</v>
      </c>
      <c r="W2010" t="str">
        <f t="shared" si="2035"/>
        <v>a</v>
      </c>
      <c r="X2010">
        <v>39</v>
      </c>
      <c r="Y2010" t="e">
        <f>IF(X2010&lt;&gt;"",VLOOKUP(X2010,game_rosters!$C$43:$E$64,3,FALSE))</f>
        <v>#N/A</v>
      </c>
      <c r="Z2010" cm="1">
        <f t="array" ref="Z2010">IFERROR(IF(_xlfn._xlws.FILTER(game_rosters!$J:$J,(game_rosters!$G:$G=events!$AN2010)*(game_rosters!$J:$J=events!$X2010))&gt;0,1,""),"")</f>
        <v>1</v>
      </c>
      <c r="AA2010">
        <f t="shared" si="1993"/>
        <v>2059</v>
      </c>
      <c r="AB2010" t="str">
        <f t="shared" si="1994"/>
        <v/>
      </c>
      <c r="AC2010">
        <f t="shared" si="2032"/>
        <v>2059</v>
      </c>
      <c r="AD2010" s="6">
        <v>3</v>
      </c>
      <c r="AE2010" t="s">
        <v>910</v>
      </c>
      <c r="AF2010" t="s">
        <v>733</v>
      </c>
      <c r="AG2010" t="s">
        <v>756</v>
      </c>
      <c r="AH2010" t="s">
        <v>756</v>
      </c>
      <c r="AI2010" t="s">
        <v>367</v>
      </c>
      <c r="AJ2010" t="str">
        <f t="shared" ref="AJ2010:AK2010" si="2080">IF($J2010&lt;&gt;"",$J2010,IF($AC2010=$AC2009,AJ2009,""))</f>
        <v>d</v>
      </c>
      <c r="AK2010" t="str">
        <f t="shared" si="2080"/>
        <v>d</v>
      </c>
      <c r="AL2010" t="str">
        <f t="shared" si="2037"/>
        <v>o</v>
      </c>
      <c r="AN2010" t="s">
        <v>862</v>
      </c>
      <c r="AO2010" t="str">
        <f t="shared" si="2038"/>
        <v>a</v>
      </c>
      <c r="AP2010" t="str">
        <f t="shared" si="2046"/>
        <v>o</v>
      </c>
      <c r="AQ2010" t="str">
        <f t="shared" si="2047"/>
        <v/>
      </c>
      <c r="AR2010" t="str">
        <f t="shared" si="2048"/>
        <v>Away</v>
      </c>
      <c r="AS2010" t="str">
        <f t="shared" si="2049"/>
        <v>a</v>
      </c>
      <c r="AT2010" t="str">
        <f t="shared" si="2050"/>
        <v>Offensive</v>
      </c>
      <c r="BA2010" s="6">
        <f t="shared" si="2039"/>
        <v>464</v>
      </c>
      <c r="BB2010">
        <f t="shared" si="2040"/>
        <v>18981</v>
      </c>
      <c r="BC2010" t="str">
        <f t="shared" si="2041"/>
        <v>Nelson</v>
      </c>
      <c r="BD2010" t="str">
        <f t="shared" si="2042"/>
        <v>Velodrome</v>
      </c>
      <c r="BE2010" t="s">
        <v>231</v>
      </c>
      <c r="BF2010" t="s">
        <v>233</v>
      </c>
      <c r="BG2010" t="s">
        <v>756</v>
      </c>
      <c r="BI2010">
        <v>85</v>
      </c>
      <c r="BJ2010" s="15">
        <f t="shared" si="2043"/>
        <v>0</v>
      </c>
      <c r="BK2010">
        <f t="shared" si="2051"/>
        <v>656</v>
      </c>
      <c r="BL2010">
        <f t="shared" si="2052"/>
        <v>656</v>
      </c>
      <c r="BM2010" s="15">
        <f>SUMIFS(BJ$2:BJ2010,K$2:K2010,"=Intermission")+SUMIFS(BJ$2:BJ2010,K$2:K2010,"=Timeout")</f>
        <v>142</v>
      </c>
      <c r="BN2010">
        <f t="shared" si="2053"/>
        <v>2302</v>
      </c>
      <c r="BO2010" s="19">
        <f t="shared" si="2054"/>
        <v>2726</v>
      </c>
      <c r="BP2010">
        <f t="shared" si="2055"/>
        <v>2721</v>
      </c>
      <c r="BQ2010" s="17">
        <f t="shared" si="2056"/>
        <v>2726</v>
      </c>
      <c r="BR2010" t="str">
        <f t="shared" si="2057"/>
        <v>event_team_player_1</v>
      </c>
      <c r="BS2010">
        <f>COUNTIFS(S$3:S2010,"="&amp;S2010,AI$3:AI2010,"="&amp;AI2010)</f>
        <v>1</v>
      </c>
      <c r="BT2010" t="str">
        <f>IFERROR(VLOOKUP(BB2010&amp;BU2010&amp;X2010,game_rosters!U:W,3,FALSE),"")</f>
        <v>P100016</v>
      </c>
      <c r="BU2010" t="str">
        <f t="shared" si="2058"/>
        <v>Velodrome</v>
      </c>
    </row>
    <row r="2011" spans="1:73" x14ac:dyDescent="0.2">
      <c r="A2011">
        <f t="shared" si="2044"/>
        <v>1</v>
      </c>
      <c r="J2011" s="44" t="str">
        <f t="shared" si="2059"/>
        <v/>
      </c>
      <c r="K2011" t="s">
        <v>13</v>
      </c>
      <c r="L2011" t="s">
        <v>756</v>
      </c>
      <c r="M2011" t="s">
        <v>756</v>
      </c>
      <c r="S2011">
        <v>1060</v>
      </c>
      <c r="W2011" t="str">
        <f t="shared" si="2035"/>
        <v>h</v>
      </c>
      <c r="X2011">
        <v>80</v>
      </c>
      <c r="Y2011" t="b">
        <f>IF(X2011&lt;&gt;"",VLOOKUP(X2011,game_rosters!$C$43:$E$64,3,FALSE))</f>
        <v>0</v>
      </c>
      <c r="Z2011" cm="1">
        <f t="array" ref="Z2011">IFERROR(IF(_xlfn._xlws.FILTER(game_rosters!$J:$J,(game_rosters!$G:$G=events!$AN2011)*(game_rosters!$J:$J=events!$X2011))&gt;0,1,""),"")</f>
        <v>1</v>
      </c>
      <c r="AA2011">
        <f t="shared" si="1993"/>
        <v>2060</v>
      </c>
      <c r="AB2011" t="str">
        <f t="shared" si="1994"/>
        <v/>
      </c>
      <c r="AC2011">
        <f t="shared" si="2032"/>
        <v>2060</v>
      </c>
      <c r="AD2011" s="6">
        <v>3</v>
      </c>
      <c r="AE2011" t="s">
        <v>910</v>
      </c>
      <c r="AF2011" t="s">
        <v>934</v>
      </c>
      <c r="AG2011" t="s">
        <v>910</v>
      </c>
      <c r="AH2011" t="s">
        <v>922</v>
      </c>
      <c r="AI2011" t="s">
        <v>367</v>
      </c>
      <c r="AJ2011" t="str">
        <f t="shared" ref="AJ2011:AK2011" si="2081">IF($J2011&lt;&gt;"",$J2011,IF($AC2011=$AC2010,AJ2010,""))</f>
        <v/>
      </c>
      <c r="AK2011" t="str">
        <f t="shared" si="2081"/>
        <v/>
      </c>
      <c r="AL2011" t="str">
        <f t="shared" si="2037"/>
        <v/>
      </c>
      <c r="AN2011" t="s">
        <v>861</v>
      </c>
      <c r="AO2011" t="str">
        <f t="shared" si="2038"/>
        <v>h</v>
      </c>
      <c r="AP2011" t="str">
        <f t="shared" si="2046"/>
        <v/>
      </c>
      <c r="AQ2011" t="str">
        <f t="shared" si="2047"/>
        <v/>
      </c>
      <c r="AR2011" t="str">
        <f t="shared" si="2048"/>
        <v>Home</v>
      </c>
      <c r="AS2011" t="str">
        <f t="shared" si="2049"/>
        <v>h</v>
      </c>
      <c r="AT2011" t="str">
        <f t="shared" si="2050"/>
        <v>Offensive</v>
      </c>
      <c r="BA2011" s="6">
        <f t="shared" si="2039"/>
        <v>464</v>
      </c>
      <c r="BB2011">
        <f t="shared" si="2040"/>
        <v>18981</v>
      </c>
      <c r="BC2011" t="str">
        <f t="shared" si="2041"/>
        <v>Nelson</v>
      </c>
      <c r="BD2011" t="str">
        <f t="shared" si="2042"/>
        <v>Velodrome</v>
      </c>
      <c r="BE2011" t="s">
        <v>13</v>
      </c>
      <c r="BF2011" t="s">
        <v>756</v>
      </c>
      <c r="BG2011" t="s">
        <v>756</v>
      </c>
      <c r="BI2011" cm="1">
        <f t="array" ref="BI2011">IFERROR(_xlfn._xlws.FILTER(shifts!A:A,(shifts!B:B=events!AD2011)*(shifts!AG:AG&gt;=events!BK2011)*(shifts!AH:AH&lt;=events!BL2011)),BI2010)</f>
        <v>86</v>
      </c>
      <c r="BJ2011" s="15">
        <f t="shared" si="2043"/>
        <v>4</v>
      </c>
      <c r="BK2011">
        <f t="shared" si="2051"/>
        <v>654</v>
      </c>
      <c r="BL2011">
        <f t="shared" si="2052"/>
        <v>650</v>
      </c>
      <c r="BM2011" s="15">
        <f>SUMIFS(BJ$2:BJ2011,K$2:K2011,"=Intermission")+SUMIFS(BJ$2:BJ2011,K$2:K2011,"=Timeout")</f>
        <v>142</v>
      </c>
      <c r="BN2011">
        <f t="shared" si="2053"/>
        <v>2302</v>
      </c>
      <c r="BO2011" s="19">
        <f t="shared" si="2054"/>
        <v>2728</v>
      </c>
      <c r="BP2011">
        <f t="shared" si="2055"/>
        <v>2723</v>
      </c>
      <c r="BQ2011" s="17">
        <f t="shared" si="2056"/>
        <v>2732</v>
      </c>
      <c r="BR2011" t="str">
        <f t="shared" si="2057"/>
        <v>event_team_player_1</v>
      </c>
      <c r="BS2011">
        <f>COUNTIFS(S$3:S2011,"="&amp;S2011,AI$3:AI2011,"="&amp;AI2011)</f>
        <v>1</v>
      </c>
      <c r="BT2011" t="str">
        <f>IFERROR(VLOOKUP(BB2011&amp;BU2011&amp;X2011,game_rosters!U:W,3,FALSE),"")</f>
        <v>P100197</v>
      </c>
      <c r="BU2011" t="str">
        <f t="shared" si="2058"/>
        <v>Nelson</v>
      </c>
    </row>
    <row r="2012" spans="1:73" x14ac:dyDescent="0.2">
      <c r="A2012">
        <f t="shared" si="2044"/>
        <v>1</v>
      </c>
      <c r="J2012" s="44" t="str">
        <f t="shared" si="2059"/>
        <v/>
      </c>
      <c r="K2012" t="s">
        <v>13</v>
      </c>
      <c r="L2012" t="s">
        <v>756</v>
      </c>
      <c r="M2012" t="s">
        <v>756</v>
      </c>
      <c r="S2012">
        <v>1060</v>
      </c>
      <c r="W2012" t="str">
        <f t="shared" si="2035"/>
        <v>h</v>
      </c>
      <c r="X2012">
        <v>84</v>
      </c>
      <c r="Y2012" t="e">
        <f>IF(X2012&lt;&gt;"",VLOOKUP(X2012,game_rosters!$C$43:$E$64,3,FALSE))</f>
        <v>#N/A</v>
      </c>
      <c r="Z2012" t="str" cm="1">
        <f t="array" ref="Z2012">IFERROR(IF(_xlfn._xlws.FILTER(game_rosters!$J:$J,(game_rosters!$G:$G=events!$AN2012)*(game_rosters!$J:$J=events!$X2012))&gt;0,1,""),"")</f>
        <v/>
      </c>
      <c r="AA2012">
        <f t="shared" si="1993"/>
        <v>2060</v>
      </c>
      <c r="AB2012" t="str">
        <f t="shared" si="1994"/>
        <v/>
      </c>
      <c r="AC2012">
        <f t="shared" si="2032"/>
        <v>2060</v>
      </c>
      <c r="AD2012" s="6">
        <v>3</v>
      </c>
      <c r="AE2012" t="s">
        <v>910</v>
      </c>
      <c r="AF2012" t="s">
        <v>934</v>
      </c>
      <c r="AG2012" t="s">
        <v>910</v>
      </c>
      <c r="AH2012" t="s">
        <v>922</v>
      </c>
      <c r="AI2012" t="s">
        <v>368</v>
      </c>
      <c r="AJ2012" t="str">
        <f t="shared" ref="AJ2012:AK2012" si="2082">IF($J2012&lt;&gt;"",$J2012,IF($AC2012=$AC2011,AJ2011,""))</f>
        <v/>
      </c>
      <c r="AK2012" t="str">
        <f t="shared" si="2082"/>
        <v/>
      </c>
      <c r="AL2012" t="str">
        <f t="shared" si="2037"/>
        <v/>
      </c>
      <c r="AN2012" t="s">
        <v>861</v>
      </c>
      <c r="AO2012" t="str">
        <f t="shared" si="2038"/>
        <v>h</v>
      </c>
      <c r="AP2012" t="str">
        <f t="shared" si="2046"/>
        <v/>
      </c>
      <c r="AQ2012" t="str">
        <f t="shared" si="2047"/>
        <v/>
      </c>
      <c r="AR2012" t="str">
        <f t="shared" si="2048"/>
        <v>Home</v>
      </c>
      <c r="AS2012" t="str">
        <f t="shared" si="2049"/>
        <v>h</v>
      </c>
      <c r="AT2012" t="str">
        <f t="shared" si="2050"/>
        <v>Defensive</v>
      </c>
      <c r="BA2012" s="6">
        <f t="shared" si="2039"/>
        <v>464</v>
      </c>
      <c r="BB2012">
        <f t="shared" si="2040"/>
        <v>18981</v>
      </c>
      <c r="BC2012" t="str">
        <f t="shared" si="2041"/>
        <v>Nelson</v>
      </c>
      <c r="BD2012" t="str">
        <f t="shared" si="2042"/>
        <v>Velodrome</v>
      </c>
      <c r="BE2012" t="s">
        <v>13</v>
      </c>
      <c r="BF2012" t="s">
        <v>756</v>
      </c>
      <c r="BG2012" t="s">
        <v>756</v>
      </c>
      <c r="BI2012" cm="1">
        <f t="array" ref="BI2012">IFERROR(_xlfn._xlws.FILTER(shifts!A:A,(shifts!B:B=events!AD2012)*(shifts!AG:AG&gt;=events!BK2012)*(shifts!AH:AH&lt;=events!BL2012)),BI2011)</f>
        <v>86</v>
      </c>
      <c r="BJ2012" s="15">
        <f t="shared" si="2043"/>
        <v>4</v>
      </c>
      <c r="BK2012">
        <f t="shared" si="2051"/>
        <v>654</v>
      </c>
      <c r="BL2012">
        <f t="shared" si="2052"/>
        <v>650</v>
      </c>
      <c r="BM2012" s="15">
        <f>SUMIFS(BJ$2:BJ2012,K$2:K2012,"=Intermission")+SUMIFS(BJ$2:BJ2012,K$2:K2012,"=Timeout")</f>
        <v>142</v>
      </c>
      <c r="BN2012">
        <f t="shared" si="2053"/>
        <v>2302</v>
      </c>
      <c r="BO2012" s="19">
        <f t="shared" si="2054"/>
        <v>2728</v>
      </c>
      <c r="BP2012">
        <f t="shared" si="2055"/>
        <v>2723</v>
      </c>
      <c r="BQ2012" s="17">
        <f t="shared" si="2056"/>
        <v>2732</v>
      </c>
      <c r="BR2012" t="str">
        <f t="shared" si="2057"/>
        <v>opp_team_player_1</v>
      </c>
      <c r="BS2012">
        <f>COUNTIFS(S$3:S2012,"="&amp;S2012,AI$3:AI2012,"="&amp;AI2012)</f>
        <v>1</v>
      </c>
      <c r="BT2012" t="str">
        <f>IFERROR(VLOOKUP(BB2012&amp;BU2012&amp;X2012,game_rosters!U:W,3,FALSE),"")</f>
        <v>P100198</v>
      </c>
      <c r="BU2012" t="str">
        <f t="shared" si="2058"/>
        <v>Velodrome</v>
      </c>
    </row>
    <row r="2013" spans="1:73" x14ac:dyDescent="0.2">
      <c r="A2013">
        <f t="shared" si="2044"/>
        <v>1</v>
      </c>
      <c r="J2013" s="44" t="str">
        <f t="shared" si="2059"/>
        <v/>
      </c>
      <c r="K2013" t="s">
        <v>13</v>
      </c>
      <c r="L2013" t="s">
        <v>756</v>
      </c>
      <c r="M2013" t="s">
        <v>756</v>
      </c>
      <c r="S2013">
        <v>1060</v>
      </c>
      <c r="W2013" t="str">
        <f t="shared" si="2035"/>
        <v>h</v>
      </c>
      <c r="X2013">
        <v>49</v>
      </c>
      <c r="Y2013" t="e">
        <f>IF(X2013&lt;&gt;"",VLOOKUP(X2013,game_rosters!$C$43:$E$64,3,FALSE))</f>
        <v>#N/A</v>
      </c>
      <c r="Z2013" t="str" cm="1">
        <f t="array" ref="Z2013">IFERROR(IF(_xlfn._xlws.FILTER(game_rosters!$J:$J,(game_rosters!$G:$G=events!$AN2013)*(game_rosters!$J:$J=events!$X2013))&gt;0,1,""),"")</f>
        <v/>
      </c>
      <c r="AA2013">
        <f t="shared" ref="AA2013:AA2076" si="2083">S2013+1000</f>
        <v>2060</v>
      </c>
      <c r="AB2013" t="str">
        <f t="shared" ref="AB2013:AB2076" si="2084">IF(T2013&lt;&gt;"",9000+T2013,"")</f>
        <v/>
      </c>
      <c r="AC2013">
        <f t="shared" si="2032"/>
        <v>2060</v>
      </c>
      <c r="AD2013" s="6">
        <v>3</v>
      </c>
      <c r="AE2013" t="s">
        <v>910</v>
      </c>
      <c r="AF2013" t="s">
        <v>934</v>
      </c>
      <c r="AG2013" t="s">
        <v>910</v>
      </c>
      <c r="AH2013" t="s">
        <v>922</v>
      </c>
      <c r="AI2013" t="s">
        <v>368</v>
      </c>
      <c r="AJ2013" t="str">
        <f t="shared" ref="AJ2013:AK2013" si="2085">IF($J2013&lt;&gt;"",$J2013,IF($AC2013=$AC2012,AJ2012,""))</f>
        <v/>
      </c>
      <c r="AK2013" t="str">
        <f t="shared" si="2085"/>
        <v/>
      </c>
      <c r="AL2013" t="str">
        <f t="shared" si="2037"/>
        <v/>
      </c>
      <c r="AN2013" t="s">
        <v>861</v>
      </c>
      <c r="AO2013" t="str">
        <f t="shared" si="2038"/>
        <v>h</v>
      </c>
      <c r="AP2013" t="str">
        <f t="shared" si="2046"/>
        <v/>
      </c>
      <c r="AQ2013" t="str">
        <f t="shared" si="2047"/>
        <v/>
      </c>
      <c r="AR2013" t="str">
        <f t="shared" si="2048"/>
        <v>Home</v>
      </c>
      <c r="AS2013" t="str">
        <f t="shared" si="2049"/>
        <v>h</v>
      </c>
      <c r="AT2013" t="str">
        <f t="shared" si="2050"/>
        <v>Defensive</v>
      </c>
      <c r="BA2013" s="6">
        <f t="shared" si="2039"/>
        <v>464</v>
      </c>
      <c r="BB2013">
        <f t="shared" si="2040"/>
        <v>18981</v>
      </c>
      <c r="BC2013" t="str">
        <f t="shared" si="2041"/>
        <v>Nelson</v>
      </c>
      <c r="BD2013" t="str">
        <f t="shared" si="2042"/>
        <v>Velodrome</v>
      </c>
      <c r="BE2013" t="s">
        <v>13</v>
      </c>
      <c r="BF2013" t="s">
        <v>756</v>
      </c>
      <c r="BG2013" t="s">
        <v>756</v>
      </c>
      <c r="BI2013" cm="1">
        <f t="array" ref="BI2013">IFERROR(_xlfn._xlws.FILTER(shifts!A:A,(shifts!B:B=events!AD2013)*(shifts!AG:AG&gt;=events!BK2013)*(shifts!AH:AH&lt;=events!BL2013)),BI2012)</f>
        <v>86</v>
      </c>
      <c r="BJ2013" s="15">
        <f t="shared" si="2043"/>
        <v>4</v>
      </c>
      <c r="BK2013">
        <f t="shared" si="2051"/>
        <v>654</v>
      </c>
      <c r="BL2013">
        <f t="shared" si="2052"/>
        <v>650</v>
      </c>
      <c r="BM2013" s="15">
        <f>SUMIFS(BJ$2:BJ2013,K$2:K2013,"=Intermission")+SUMIFS(BJ$2:BJ2013,K$2:K2013,"=Timeout")</f>
        <v>142</v>
      </c>
      <c r="BN2013">
        <f t="shared" si="2053"/>
        <v>2302</v>
      </c>
      <c r="BO2013" s="19">
        <f t="shared" si="2054"/>
        <v>2728</v>
      </c>
      <c r="BP2013">
        <f t="shared" si="2055"/>
        <v>2723</v>
      </c>
      <c r="BQ2013" s="17">
        <f t="shared" si="2056"/>
        <v>2732</v>
      </c>
      <c r="BR2013" t="str">
        <f t="shared" si="2057"/>
        <v>opp_team_player_2</v>
      </c>
      <c r="BS2013">
        <f>COUNTIFS(S$3:S2013,"="&amp;S2013,AI$3:AI2013,"="&amp;AI2013)</f>
        <v>2</v>
      </c>
      <c r="BT2013" t="str">
        <f>IFERROR(VLOOKUP(BB2013&amp;BU2013&amp;X2013,game_rosters!U:W,3,FALSE),"")</f>
        <v>P100161</v>
      </c>
      <c r="BU2013" t="str">
        <f t="shared" si="2058"/>
        <v>Velodrome</v>
      </c>
    </row>
    <row r="2014" spans="1:73" x14ac:dyDescent="0.2">
      <c r="A2014">
        <f t="shared" si="2044"/>
        <v>1</v>
      </c>
      <c r="J2014" s="44" t="str">
        <f t="shared" si="2059"/>
        <v/>
      </c>
      <c r="K2014" t="s">
        <v>230</v>
      </c>
      <c r="L2014" t="s">
        <v>388</v>
      </c>
      <c r="M2014" t="s">
        <v>431</v>
      </c>
      <c r="S2014">
        <v>1061</v>
      </c>
      <c r="W2014" t="str">
        <f t="shared" si="2035"/>
        <v>h</v>
      </c>
      <c r="X2014">
        <v>80</v>
      </c>
      <c r="Y2014" t="b">
        <f>IF(X2014&lt;&gt;"",VLOOKUP(X2014,game_rosters!$C$43:$E$64,3,FALSE))</f>
        <v>0</v>
      </c>
      <c r="Z2014" cm="1">
        <f t="array" ref="Z2014">IFERROR(IF(_xlfn._xlws.FILTER(game_rosters!$J:$J,(game_rosters!$G:$G=events!$AN2014)*(game_rosters!$J:$J=events!$X2014))&gt;0,1,""),"")</f>
        <v>1</v>
      </c>
      <c r="AA2014">
        <f t="shared" si="2083"/>
        <v>2061</v>
      </c>
      <c r="AB2014" t="str">
        <f t="shared" si="2084"/>
        <v/>
      </c>
      <c r="AC2014">
        <f t="shared" si="2032"/>
        <v>2061</v>
      </c>
      <c r="AD2014" s="6">
        <v>3</v>
      </c>
      <c r="AE2014" t="s">
        <v>910</v>
      </c>
      <c r="AF2014" t="s">
        <v>923</v>
      </c>
      <c r="AG2014" t="s">
        <v>756</v>
      </c>
      <c r="AH2014" t="s">
        <v>756</v>
      </c>
      <c r="AI2014" t="s">
        <v>367</v>
      </c>
      <c r="AJ2014" t="str">
        <f t="shared" ref="AJ2014:AK2014" si="2086">IF($J2014&lt;&gt;"",$J2014,IF($AC2014=$AC2013,AJ2013,""))</f>
        <v/>
      </c>
      <c r="AK2014" t="str">
        <f t="shared" si="2086"/>
        <v/>
      </c>
      <c r="AL2014" t="str">
        <f t="shared" si="2037"/>
        <v/>
      </c>
      <c r="AN2014" t="s">
        <v>861</v>
      </c>
      <c r="AO2014" t="str">
        <f t="shared" si="2038"/>
        <v>h</v>
      </c>
      <c r="AP2014" t="str">
        <f t="shared" si="2046"/>
        <v/>
      </c>
      <c r="AQ2014" t="str">
        <f t="shared" si="2047"/>
        <v/>
      </c>
      <c r="AR2014" t="str">
        <f t="shared" si="2048"/>
        <v>Home</v>
      </c>
      <c r="AS2014" t="str">
        <f t="shared" si="2049"/>
        <v>h</v>
      </c>
      <c r="AT2014" t="str">
        <f t="shared" si="2050"/>
        <v>Offensive</v>
      </c>
      <c r="BA2014" s="6">
        <f t="shared" si="2039"/>
        <v>464</v>
      </c>
      <c r="BB2014">
        <f t="shared" si="2040"/>
        <v>18981</v>
      </c>
      <c r="BC2014" t="str">
        <f t="shared" si="2041"/>
        <v>Nelson</v>
      </c>
      <c r="BD2014" t="str">
        <f t="shared" si="2042"/>
        <v>Velodrome</v>
      </c>
      <c r="BE2014" t="s">
        <v>230</v>
      </c>
      <c r="BF2014" t="s">
        <v>388</v>
      </c>
      <c r="BG2014" t="s">
        <v>431</v>
      </c>
      <c r="BI2014" cm="1">
        <f t="array" ref="BI2014">IFERROR(_xlfn._xlws.FILTER(shifts!A:A,(shifts!B:B=events!AD2014)*(shifts!AG:AG&gt;=events!BK2014)*(shifts!AH:AH&lt;=events!BL2014)),BI2013)</f>
        <v>86</v>
      </c>
      <c r="BJ2014" s="15">
        <f t="shared" si="2043"/>
        <v>0</v>
      </c>
      <c r="BK2014">
        <f t="shared" si="2051"/>
        <v>644</v>
      </c>
      <c r="BL2014">
        <f t="shared" si="2052"/>
        <v>644</v>
      </c>
      <c r="BM2014" s="15">
        <f>SUMIFS(BJ$2:BJ2014,K$2:K2014,"=Intermission")+SUMIFS(BJ$2:BJ2014,K$2:K2014,"=Timeout")</f>
        <v>142</v>
      </c>
      <c r="BN2014">
        <f t="shared" si="2053"/>
        <v>2302</v>
      </c>
      <c r="BO2014" s="19">
        <f t="shared" si="2054"/>
        <v>2738</v>
      </c>
      <c r="BP2014">
        <f t="shared" si="2055"/>
        <v>2733</v>
      </c>
      <c r="BQ2014" s="17">
        <f t="shared" si="2056"/>
        <v>2738</v>
      </c>
      <c r="BR2014" t="str">
        <f t="shared" si="2057"/>
        <v>event_team_player_1</v>
      </c>
      <c r="BS2014">
        <f>COUNTIFS(S$3:S2014,"="&amp;S2014,AI$3:AI2014,"="&amp;AI2014)</f>
        <v>1</v>
      </c>
      <c r="BT2014" t="str">
        <f>IFERROR(VLOOKUP(BB2014&amp;BU2014&amp;X2014,game_rosters!U:W,3,FALSE),"")</f>
        <v>P100197</v>
      </c>
      <c r="BU2014" t="str">
        <f t="shared" si="2058"/>
        <v>Nelson</v>
      </c>
    </row>
    <row r="2015" spans="1:73" x14ac:dyDescent="0.2">
      <c r="A2015">
        <f t="shared" si="2044"/>
        <v>1</v>
      </c>
      <c r="J2015" s="44" t="str">
        <f t="shared" si="2059"/>
        <v/>
      </c>
      <c r="K2015" t="s">
        <v>9</v>
      </c>
      <c r="L2015" t="s">
        <v>173</v>
      </c>
      <c r="M2015" t="s">
        <v>391</v>
      </c>
      <c r="S2015">
        <v>1062</v>
      </c>
      <c r="W2015" t="str">
        <f t="shared" si="2035"/>
        <v>h</v>
      </c>
      <c r="X2015">
        <v>80</v>
      </c>
      <c r="Y2015" t="b">
        <f>IF(X2015&lt;&gt;"",VLOOKUP(X2015,game_rosters!$C$43:$E$64,3,FALSE))</f>
        <v>0</v>
      </c>
      <c r="Z2015" cm="1">
        <f t="array" ref="Z2015">IFERROR(IF(_xlfn._xlws.FILTER(game_rosters!$J:$J,(game_rosters!$G:$G=events!$AN2015)*(game_rosters!$J:$J=events!$X2015))&gt;0,1,""),"")</f>
        <v>1</v>
      </c>
      <c r="AA2015">
        <f t="shared" si="2083"/>
        <v>2062</v>
      </c>
      <c r="AB2015" t="str">
        <f t="shared" si="2084"/>
        <v/>
      </c>
      <c r="AC2015">
        <f t="shared" si="2032"/>
        <v>2062</v>
      </c>
      <c r="AD2015" s="6">
        <v>3</v>
      </c>
      <c r="AE2015" t="s">
        <v>910</v>
      </c>
      <c r="AF2015" t="s">
        <v>923</v>
      </c>
      <c r="AG2015" t="s">
        <v>756</v>
      </c>
      <c r="AH2015" t="s">
        <v>756</v>
      </c>
      <c r="AI2015" t="s">
        <v>367</v>
      </c>
      <c r="AJ2015" t="str">
        <f t="shared" ref="AJ2015:AK2015" si="2087">IF($J2015&lt;&gt;"",$J2015,IF($AC2015=$AC2014,AJ2014,""))</f>
        <v/>
      </c>
      <c r="AK2015" t="str">
        <f t="shared" si="2087"/>
        <v/>
      </c>
      <c r="AL2015" t="str">
        <f t="shared" si="2037"/>
        <v/>
      </c>
      <c r="AN2015" t="s">
        <v>861</v>
      </c>
      <c r="AO2015" t="str">
        <f t="shared" si="2038"/>
        <v>h</v>
      </c>
      <c r="AP2015" t="str">
        <f t="shared" si="2046"/>
        <v/>
      </c>
      <c r="AQ2015" t="str">
        <f t="shared" si="2047"/>
        <v/>
      </c>
      <c r="AR2015" t="str">
        <f t="shared" si="2048"/>
        <v>Home</v>
      </c>
      <c r="AS2015" t="str">
        <f t="shared" si="2049"/>
        <v>h</v>
      </c>
      <c r="AT2015" t="str">
        <f t="shared" si="2050"/>
        <v>Offensive</v>
      </c>
      <c r="BA2015" s="6">
        <f t="shared" si="2039"/>
        <v>464</v>
      </c>
      <c r="BB2015">
        <f t="shared" si="2040"/>
        <v>18981</v>
      </c>
      <c r="BC2015" t="str">
        <f t="shared" si="2041"/>
        <v>Nelson</v>
      </c>
      <c r="BD2015" t="str">
        <f t="shared" si="2042"/>
        <v>Velodrome</v>
      </c>
      <c r="BE2015" t="s">
        <v>9</v>
      </c>
      <c r="BF2015" t="s">
        <v>173</v>
      </c>
      <c r="BG2015" t="s">
        <v>391</v>
      </c>
      <c r="BI2015" cm="1">
        <f t="array" ref="BI2015">IFERROR(_xlfn._xlws.FILTER(shifts!A:A,(shifts!B:B=events!AD2015)*(shifts!AG:AG&gt;=events!BK2015)*(shifts!AH:AH&lt;=events!BL2015)),BI2014)</f>
        <v>86</v>
      </c>
      <c r="BJ2015" s="15">
        <f t="shared" si="2043"/>
        <v>0</v>
      </c>
      <c r="BK2015">
        <f t="shared" si="2051"/>
        <v>644</v>
      </c>
      <c r="BL2015">
        <f t="shared" si="2052"/>
        <v>644</v>
      </c>
      <c r="BM2015" s="15">
        <f>SUMIFS(BJ$2:BJ2015,K$2:K2015,"=Intermission")+SUMIFS(BJ$2:BJ2015,K$2:K2015,"=Timeout")</f>
        <v>142</v>
      </c>
      <c r="BN2015">
        <f t="shared" si="2053"/>
        <v>2302</v>
      </c>
      <c r="BO2015" s="19">
        <f t="shared" si="2054"/>
        <v>2738</v>
      </c>
      <c r="BP2015">
        <f t="shared" si="2055"/>
        <v>2733</v>
      </c>
      <c r="BQ2015" s="17">
        <f t="shared" si="2056"/>
        <v>2738</v>
      </c>
      <c r="BR2015" t="str">
        <f t="shared" si="2057"/>
        <v>event_team_player_1</v>
      </c>
      <c r="BS2015">
        <f>COUNTIFS(S$3:S2015,"="&amp;S2015,AI$3:AI2015,"="&amp;AI2015)</f>
        <v>1</v>
      </c>
      <c r="BT2015" t="str">
        <f>IFERROR(VLOOKUP(BB2015&amp;BU2015&amp;X2015,game_rosters!U:W,3,FALSE),"")</f>
        <v>P100197</v>
      </c>
      <c r="BU2015" t="str">
        <f t="shared" si="2058"/>
        <v>Nelson</v>
      </c>
    </row>
    <row r="2016" spans="1:73" x14ac:dyDescent="0.2">
      <c r="A2016">
        <f t="shared" si="2044"/>
        <v>1</v>
      </c>
      <c r="J2016" s="44" t="str">
        <f t="shared" si="2059"/>
        <v/>
      </c>
      <c r="K2016" t="s">
        <v>13</v>
      </c>
      <c r="L2016" t="s">
        <v>756</v>
      </c>
      <c r="M2016" t="s">
        <v>756</v>
      </c>
      <c r="S2016">
        <v>1063</v>
      </c>
      <c r="W2016" t="str">
        <f t="shared" si="2035"/>
        <v>a</v>
      </c>
      <c r="X2016">
        <v>93</v>
      </c>
      <c r="Y2016" t="e">
        <f>IF(X2016&lt;&gt;"",VLOOKUP(X2016,game_rosters!$C$43:$E$64,3,FALSE))</f>
        <v>#N/A</v>
      </c>
      <c r="Z2016" cm="1">
        <f t="array" ref="Z2016">IFERROR(IF(_xlfn._xlws.FILTER(game_rosters!$J:$J,(game_rosters!$G:$G=events!$AN2016)*(game_rosters!$J:$J=events!$X2016))&gt;0,1,""),"")</f>
        <v>1</v>
      </c>
      <c r="AA2016">
        <f t="shared" si="2083"/>
        <v>2063</v>
      </c>
      <c r="AB2016" t="str">
        <f t="shared" si="2084"/>
        <v/>
      </c>
      <c r="AC2016">
        <f t="shared" si="2032"/>
        <v>2063</v>
      </c>
      <c r="AD2016" s="6">
        <v>3</v>
      </c>
      <c r="AE2016" t="s">
        <v>910</v>
      </c>
      <c r="AF2016" t="s">
        <v>935</v>
      </c>
      <c r="AG2016" t="s">
        <v>910</v>
      </c>
      <c r="AH2016" t="s">
        <v>749</v>
      </c>
      <c r="AI2016" t="s">
        <v>367</v>
      </c>
      <c r="AJ2016" t="str">
        <f t="shared" ref="AJ2016:AK2016" si="2088">IF($J2016&lt;&gt;"",$J2016,IF($AC2016=$AC2015,AJ2015,""))</f>
        <v/>
      </c>
      <c r="AK2016" t="str">
        <f t="shared" si="2088"/>
        <v/>
      </c>
      <c r="AL2016" t="str">
        <f t="shared" si="2037"/>
        <v/>
      </c>
      <c r="AN2016" t="s">
        <v>862</v>
      </c>
      <c r="AO2016" t="str">
        <f t="shared" si="2038"/>
        <v>a</v>
      </c>
      <c r="AP2016" t="str">
        <f t="shared" si="2046"/>
        <v/>
      </c>
      <c r="AQ2016" t="str">
        <f t="shared" si="2047"/>
        <v/>
      </c>
      <c r="AR2016" t="str">
        <f t="shared" si="2048"/>
        <v>Away</v>
      </c>
      <c r="AS2016" t="str">
        <f t="shared" si="2049"/>
        <v>a</v>
      </c>
      <c r="AT2016" t="str">
        <f t="shared" si="2050"/>
        <v>Offensive</v>
      </c>
      <c r="BA2016" s="6">
        <f t="shared" si="2039"/>
        <v>464</v>
      </c>
      <c r="BB2016">
        <f t="shared" si="2040"/>
        <v>18981</v>
      </c>
      <c r="BC2016" t="str">
        <f t="shared" si="2041"/>
        <v>Nelson</v>
      </c>
      <c r="BD2016" t="str">
        <f t="shared" si="2042"/>
        <v>Velodrome</v>
      </c>
      <c r="BE2016" t="s">
        <v>13</v>
      </c>
      <c r="BF2016" t="s">
        <v>756</v>
      </c>
      <c r="BG2016" t="s">
        <v>756</v>
      </c>
      <c r="BI2016" cm="1">
        <f t="array" ref="BI2016">IFERROR(_xlfn._xlws.FILTER(shifts!A:A,(shifts!B:B=events!AD2016)*(shifts!AG:AG&gt;=events!BK2016)*(shifts!AH:AH&lt;=events!BL2016)),BI2015)</f>
        <v>86</v>
      </c>
      <c r="BJ2016" s="15">
        <f t="shared" si="2043"/>
        <v>6</v>
      </c>
      <c r="BK2016">
        <f t="shared" si="2051"/>
        <v>645</v>
      </c>
      <c r="BL2016">
        <f t="shared" si="2052"/>
        <v>639</v>
      </c>
      <c r="BM2016" s="15">
        <f>SUMIFS(BJ$2:BJ2016,K$2:K2016,"=Intermission")+SUMIFS(BJ$2:BJ2016,K$2:K2016,"=Timeout")</f>
        <v>142</v>
      </c>
      <c r="BN2016">
        <f t="shared" si="2053"/>
        <v>2302</v>
      </c>
      <c r="BO2016" s="19">
        <f t="shared" si="2054"/>
        <v>2737</v>
      </c>
      <c r="BP2016">
        <f t="shared" si="2055"/>
        <v>2732</v>
      </c>
      <c r="BQ2016" s="17">
        <f t="shared" si="2056"/>
        <v>2743</v>
      </c>
      <c r="BR2016" t="str">
        <f t="shared" si="2057"/>
        <v>event_team_player_1</v>
      </c>
      <c r="BS2016">
        <f>COUNTIFS(S$3:S2016,"="&amp;S2016,AI$3:AI2016,"="&amp;AI2016)</f>
        <v>1</v>
      </c>
      <c r="BT2016" t="str">
        <f>IFERROR(VLOOKUP(BB2016&amp;BU2016&amp;X2016,game_rosters!U:W,3,FALSE),"")</f>
        <v>P100093</v>
      </c>
      <c r="BU2016" t="str">
        <f t="shared" si="2058"/>
        <v>Velodrome</v>
      </c>
    </row>
    <row r="2017" spans="1:73" x14ac:dyDescent="0.2">
      <c r="A2017">
        <f t="shared" si="2044"/>
        <v>1</v>
      </c>
      <c r="J2017" s="44" t="str">
        <f t="shared" si="2059"/>
        <v/>
      </c>
      <c r="K2017" t="s">
        <v>7</v>
      </c>
      <c r="L2017" t="s">
        <v>172</v>
      </c>
      <c r="M2017" t="s">
        <v>68</v>
      </c>
      <c r="S2017">
        <v>1064</v>
      </c>
      <c r="W2017" t="str">
        <f t="shared" si="2035"/>
        <v>a</v>
      </c>
      <c r="X2017">
        <v>93</v>
      </c>
      <c r="Y2017" t="e">
        <f>IF(X2017&lt;&gt;"",VLOOKUP(X2017,game_rosters!$C$43:$E$64,3,FALSE))</f>
        <v>#N/A</v>
      </c>
      <c r="Z2017" cm="1">
        <f t="array" ref="Z2017">IFERROR(IF(_xlfn._xlws.FILTER(game_rosters!$J:$J,(game_rosters!$G:$G=events!$AN2017)*(game_rosters!$J:$J=events!$X2017))&gt;0,1,""),"")</f>
        <v>1</v>
      </c>
      <c r="AA2017">
        <f t="shared" si="2083"/>
        <v>2064</v>
      </c>
      <c r="AB2017" t="str">
        <f t="shared" si="2084"/>
        <v/>
      </c>
      <c r="AC2017">
        <f t="shared" si="2032"/>
        <v>2064</v>
      </c>
      <c r="AD2017" s="6">
        <v>3</v>
      </c>
      <c r="AE2017" t="s">
        <v>910</v>
      </c>
      <c r="AF2017" t="s">
        <v>749</v>
      </c>
      <c r="AG2017" t="s">
        <v>756</v>
      </c>
      <c r="AH2017" t="s">
        <v>756</v>
      </c>
      <c r="AI2017" t="s">
        <v>367</v>
      </c>
      <c r="AJ2017" t="str">
        <f t="shared" ref="AJ2017:AK2017" si="2089">IF($J2017&lt;&gt;"",$J2017,IF($AC2017=$AC2016,AJ2016,""))</f>
        <v/>
      </c>
      <c r="AK2017" t="str">
        <f t="shared" si="2089"/>
        <v/>
      </c>
      <c r="AL2017" t="str">
        <f t="shared" si="2037"/>
        <v/>
      </c>
      <c r="AN2017" t="s">
        <v>862</v>
      </c>
      <c r="AO2017" t="str">
        <f t="shared" si="2038"/>
        <v>a</v>
      </c>
      <c r="AP2017" t="str">
        <f t="shared" si="2046"/>
        <v/>
      </c>
      <c r="AQ2017" t="str">
        <f t="shared" si="2047"/>
        <v/>
      </c>
      <c r="AR2017" t="str">
        <f t="shared" si="2048"/>
        <v>Away</v>
      </c>
      <c r="AS2017" t="str">
        <f t="shared" si="2049"/>
        <v>a</v>
      </c>
      <c r="AT2017" t="str">
        <f t="shared" si="2050"/>
        <v>Offensive</v>
      </c>
      <c r="BA2017" s="6">
        <f t="shared" si="2039"/>
        <v>464</v>
      </c>
      <c r="BB2017">
        <f t="shared" si="2040"/>
        <v>18981</v>
      </c>
      <c r="BC2017" t="str">
        <f t="shared" si="2041"/>
        <v>Nelson</v>
      </c>
      <c r="BD2017" t="str">
        <f t="shared" si="2042"/>
        <v>Velodrome</v>
      </c>
      <c r="BE2017" t="s">
        <v>7</v>
      </c>
      <c r="BF2017" t="s">
        <v>172</v>
      </c>
      <c r="BG2017" t="s">
        <v>68</v>
      </c>
      <c r="BI2017" cm="1">
        <f t="array" ref="BI2017">IFERROR(_xlfn._xlws.FILTER(shifts!A:A,(shifts!B:B=events!AD2017)*(shifts!AG:AG&gt;=events!BK2017)*(shifts!AH:AH&lt;=events!BL2017)),BI2016)</f>
        <v>86</v>
      </c>
      <c r="BJ2017" s="15">
        <f t="shared" si="2043"/>
        <v>0</v>
      </c>
      <c r="BK2017">
        <f t="shared" si="2051"/>
        <v>639</v>
      </c>
      <c r="BL2017">
        <f t="shared" si="2052"/>
        <v>639</v>
      </c>
      <c r="BM2017" s="15">
        <f>SUMIFS(BJ$2:BJ2017,K$2:K2017,"=Intermission")+SUMIFS(BJ$2:BJ2017,K$2:K2017,"=Timeout")</f>
        <v>142</v>
      </c>
      <c r="BN2017">
        <f t="shared" si="2053"/>
        <v>2302</v>
      </c>
      <c r="BO2017" s="19">
        <f t="shared" si="2054"/>
        <v>2743</v>
      </c>
      <c r="BP2017">
        <f t="shared" si="2055"/>
        <v>2738</v>
      </c>
      <c r="BQ2017" s="17">
        <f t="shared" si="2056"/>
        <v>2743</v>
      </c>
      <c r="BR2017" t="str">
        <f t="shared" si="2057"/>
        <v>event_team_player_1</v>
      </c>
      <c r="BS2017">
        <f>COUNTIFS(S$3:S2017,"="&amp;S2017,AI$3:AI2017,"="&amp;AI2017)</f>
        <v>1</v>
      </c>
      <c r="BT2017" t="str">
        <f>IFERROR(VLOOKUP(BB2017&amp;BU2017&amp;X2017,game_rosters!U:W,3,FALSE),"")</f>
        <v>P100093</v>
      </c>
      <c r="BU2017" t="str">
        <f t="shared" si="2058"/>
        <v>Velodrome</v>
      </c>
    </row>
    <row r="2018" spans="1:73" x14ac:dyDescent="0.2">
      <c r="A2018">
        <f t="shared" si="2044"/>
        <v>1</v>
      </c>
      <c r="J2018" s="44" t="str">
        <f t="shared" si="2059"/>
        <v/>
      </c>
      <c r="K2018" t="s">
        <v>7</v>
      </c>
      <c r="L2018" t="s">
        <v>172</v>
      </c>
      <c r="M2018" t="s">
        <v>68</v>
      </c>
      <c r="S2018">
        <v>1064</v>
      </c>
      <c r="W2018" t="str">
        <f t="shared" si="2035"/>
        <v>a</v>
      </c>
      <c r="X2018">
        <v>14</v>
      </c>
      <c r="Y2018" t="e">
        <f>IF(X2018&lt;&gt;"",VLOOKUP(X2018,game_rosters!$C$43:$E$64,3,FALSE))</f>
        <v>#N/A</v>
      </c>
      <c r="Z2018" cm="1">
        <f t="array" ref="Z2018">IFERROR(IF(_xlfn._xlws.FILTER(game_rosters!$J:$J,(game_rosters!$G:$G=events!$AN2018)*(game_rosters!$J:$J=events!$X2018))&gt;0,1,""),"")</f>
        <v>1</v>
      </c>
      <c r="AA2018">
        <f t="shared" si="2083"/>
        <v>2064</v>
      </c>
      <c r="AB2018" t="str">
        <f t="shared" si="2084"/>
        <v/>
      </c>
      <c r="AC2018">
        <f t="shared" si="2032"/>
        <v>2064</v>
      </c>
      <c r="AD2018" s="6">
        <v>3</v>
      </c>
      <c r="AE2018" t="s">
        <v>910</v>
      </c>
      <c r="AF2018" t="s">
        <v>749</v>
      </c>
      <c r="AG2018" t="s">
        <v>756</v>
      </c>
      <c r="AH2018" t="s">
        <v>756</v>
      </c>
      <c r="AI2018" t="s">
        <v>367</v>
      </c>
      <c r="AJ2018" t="str">
        <f t="shared" ref="AJ2018:AK2018" si="2090">IF($J2018&lt;&gt;"",$J2018,IF($AC2018=$AC2017,AJ2017,""))</f>
        <v/>
      </c>
      <c r="AK2018" t="str">
        <f t="shared" si="2090"/>
        <v/>
      </c>
      <c r="AL2018" t="str">
        <f t="shared" si="2037"/>
        <v/>
      </c>
      <c r="AN2018" t="s">
        <v>862</v>
      </c>
      <c r="AO2018" t="str">
        <f t="shared" si="2038"/>
        <v>a</v>
      </c>
      <c r="AP2018" t="str">
        <f t="shared" si="2046"/>
        <v/>
      </c>
      <c r="AQ2018" t="str">
        <f t="shared" si="2047"/>
        <v/>
      </c>
      <c r="AR2018" t="str">
        <f t="shared" si="2048"/>
        <v>Away</v>
      </c>
      <c r="AS2018" t="str">
        <f t="shared" si="2049"/>
        <v>a</v>
      </c>
      <c r="AT2018" t="str">
        <f t="shared" si="2050"/>
        <v>Offensive</v>
      </c>
      <c r="BA2018" s="6">
        <f t="shared" si="2039"/>
        <v>464</v>
      </c>
      <c r="BB2018">
        <f t="shared" si="2040"/>
        <v>18981</v>
      </c>
      <c r="BC2018" t="str">
        <f t="shared" si="2041"/>
        <v>Nelson</v>
      </c>
      <c r="BD2018" t="str">
        <f t="shared" si="2042"/>
        <v>Velodrome</v>
      </c>
      <c r="BE2018" t="s">
        <v>7</v>
      </c>
      <c r="BF2018" t="s">
        <v>172</v>
      </c>
      <c r="BG2018" t="s">
        <v>68</v>
      </c>
      <c r="BI2018" cm="1">
        <f t="array" ref="BI2018">IFERROR(_xlfn._xlws.FILTER(shifts!A:A,(shifts!B:B=events!AD2018)*(shifts!AG:AG&gt;=events!BK2018)*(shifts!AH:AH&lt;=events!BL2018)),BI2017)</f>
        <v>86</v>
      </c>
      <c r="BJ2018" s="15">
        <f t="shared" si="2043"/>
        <v>0</v>
      </c>
      <c r="BK2018">
        <f t="shared" si="2051"/>
        <v>639</v>
      </c>
      <c r="BL2018">
        <f t="shared" si="2052"/>
        <v>639</v>
      </c>
      <c r="BM2018" s="15">
        <f>SUMIFS(BJ$2:BJ2018,K$2:K2018,"=Intermission")+SUMIFS(BJ$2:BJ2018,K$2:K2018,"=Timeout")</f>
        <v>142</v>
      </c>
      <c r="BN2018">
        <f t="shared" si="2053"/>
        <v>2302</v>
      </c>
      <c r="BO2018" s="19">
        <f t="shared" si="2054"/>
        <v>2743</v>
      </c>
      <c r="BP2018">
        <f t="shared" si="2055"/>
        <v>2738</v>
      </c>
      <c r="BQ2018" s="17">
        <f t="shared" si="2056"/>
        <v>2743</v>
      </c>
      <c r="BR2018" t="str">
        <f t="shared" si="2057"/>
        <v>event_team_player_2</v>
      </c>
      <c r="BS2018">
        <f>COUNTIFS(S$3:S2018,"="&amp;S2018,AI$3:AI2018,"="&amp;AI2018)</f>
        <v>2</v>
      </c>
      <c r="BT2018" t="str">
        <f>IFERROR(VLOOKUP(BB2018&amp;BU2018&amp;X2018,game_rosters!U:W,3,FALSE),"")</f>
        <v>P100132</v>
      </c>
      <c r="BU2018" t="str">
        <f t="shared" si="2058"/>
        <v>Velodrome</v>
      </c>
    </row>
    <row r="2019" spans="1:73" x14ac:dyDescent="0.2">
      <c r="A2019">
        <f t="shared" si="2044"/>
        <v>1</v>
      </c>
      <c r="J2019" s="44" t="str">
        <f t="shared" si="2059"/>
        <v>d</v>
      </c>
      <c r="K2019" t="s">
        <v>238</v>
      </c>
      <c r="L2019" t="s">
        <v>184</v>
      </c>
      <c r="M2019" t="s">
        <v>88</v>
      </c>
      <c r="S2019">
        <v>1065</v>
      </c>
      <c r="W2019" t="str">
        <f t="shared" si="2035"/>
        <v>a</v>
      </c>
      <c r="X2019">
        <v>14</v>
      </c>
      <c r="Y2019" t="e">
        <f>IF(X2019&lt;&gt;"",VLOOKUP(X2019,game_rosters!$C$43:$E$64,3,FALSE))</f>
        <v>#N/A</v>
      </c>
      <c r="Z2019" cm="1">
        <f t="array" ref="Z2019">IFERROR(IF(_xlfn._xlws.FILTER(game_rosters!$J:$J,(game_rosters!$G:$G=events!$AN2019)*(game_rosters!$J:$J=events!$X2019))&gt;0,1,""),"")</f>
        <v>1</v>
      </c>
      <c r="AA2019">
        <f t="shared" si="2083"/>
        <v>2065</v>
      </c>
      <c r="AB2019" t="str">
        <f t="shared" si="2084"/>
        <v/>
      </c>
      <c r="AC2019">
        <f t="shared" si="2032"/>
        <v>2065</v>
      </c>
      <c r="AD2019" s="6">
        <v>3</v>
      </c>
      <c r="AE2019" t="s">
        <v>910</v>
      </c>
      <c r="AF2019" t="s">
        <v>749</v>
      </c>
      <c r="AG2019" t="s">
        <v>910</v>
      </c>
      <c r="AH2019" t="s">
        <v>865</v>
      </c>
      <c r="AI2019" t="s">
        <v>367</v>
      </c>
      <c r="AJ2019" t="str">
        <f t="shared" ref="AJ2019:AK2019" si="2091">IF($J2019&lt;&gt;"",$J2019,IF($AC2019=$AC2018,AJ2018,""))</f>
        <v>d</v>
      </c>
      <c r="AK2019" t="str">
        <f t="shared" si="2091"/>
        <v>d</v>
      </c>
      <c r="AL2019" t="str">
        <f t="shared" si="2037"/>
        <v>o</v>
      </c>
      <c r="AN2019" t="s">
        <v>862</v>
      </c>
      <c r="AO2019" t="str">
        <f t="shared" si="2038"/>
        <v>a</v>
      </c>
      <c r="AP2019" t="str">
        <f t="shared" si="2046"/>
        <v>o</v>
      </c>
      <c r="AQ2019" t="str">
        <f t="shared" si="2047"/>
        <v/>
      </c>
      <c r="AR2019" t="str">
        <f t="shared" si="2048"/>
        <v>Away</v>
      </c>
      <c r="AS2019" t="str">
        <f t="shared" si="2049"/>
        <v>a</v>
      </c>
      <c r="AT2019" t="str">
        <f t="shared" si="2050"/>
        <v>Offensive</v>
      </c>
      <c r="BA2019" s="6">
        <f t="shared" si="2039"/>
        <v>465</v>
      </c>
      <c r="BB2019">
        <f t="shared" si="2040"/>
        <v>18981</v>
      </c>
      <c r="BC2019" t="str">
        <f t="shared" si="2041"/>
        <v>Nelson</v>
      </c>
      <c r="BD2019" t="str">
        <f t="shared" si="2042"/>
        <v>Velodrome</v>
      </c>
      <c r="BE2019" t="s">
        <v>238</v>
      </c>
      <c r="BF2019" t="s">
        <v>184</v>
      </c>
      <c r="BG2019" t="s">
        <v>88</v>
      </c>
      <c r="BI2019" cm="1">
        <f t="array" ref="BI2019">IFERROR(_xlfn._xlws.FILTER(shifts!A:A,(shifts!B:B=events!AD2019)*(shifts!AG:AG&gt;=events!BK2019)*(shifts!AH:AH&lt;=events!BL2019)),BI2018)</f>
        <v>86</v>
      </c>
      <c r="BJ2019" s="15">
        <f t="shared" si="2043"/>
        <v>1</v>
      </c>
      <c r="BK2019">
        <f t="shared" si="2051"/>
        <v>639</v>
      </c>
      <c r="BL2019">
        <f t="shared" si="2052"/>
        <v>638</v>
      </c>
      <c r="BM2019" s="15">
        <f>SUMIFS(BJ$2:BJ2019,K$2:K2019,"=Intermission")+SUMIFS(BJ$2:BJ2019,K$2:K2019,"=Timeout")</f>
        <v>142</v>
      </c>
      <c r="BN2019">
        <f t="shared" si="2053"/>
        <v>2302</v>
      </c>
      <c r="BO2019" s="19">
        <f t="shared" si="2054"/>
        <v>2743</v>
      </c>
      <c r="BP2019">
        <f t="shared" si="2055"/>
        <v>2738</v>
      </c>
      <c r="BQ2019" s="17">
        <f t="shared" si="2056"/>
        <v>2744</v>
      </c>
      <c r="BR2019" t="str">
        <f t="shared" si="2057"/>
        <v>event_team_player_1</v>
      </c>
      <c r="BS2019">
        <f>COUNTIFS(S$3:S2019,"="&amp;S2019,AI$3:AI2019,"="&amp;AI2019)</f>
        <v>1</v>
      </c>
      <c r="BT2019" t="str">
        <f>IFERROR(VLOOKUP(BB2019&amp;BU2019&amp;X2019,game_rosters!U:W,3,FALSE),"")</f>
        <v>P100132</v>
      </c>
      <c r="BU2019" t="str">
        <f t="shared" si="2058"/>
        <v>Velodrome</v>
      </c>
    </row>
    <row r="2020" spans="1:73" x14ac:dyDescent="0.2">
      <c r="A2020">
        <f t="shared" si="2044"/>
        <v>1</v>
      </c>
      <c r="J2020" s="44" t="str">
        <f t="shared" si="2059"/>
        <v/>
      </c>
      <c r="K2020" t="s">
        <v>13</v>
      </c>
      <c r="L2020" t="s">
        <v>756</v>
      </c>
      <c r="M2020" t="s">
        <v>756</v>
      </c>
      <c r="S2020">
        <v>1066</v>
      </c>
      <c r="W2020" t="str">
        <f t="shared" si="2035"/>
        <v>a</v>
      </c>
      <c r="X2020">
        <v>14</v>
      </c>
      <c r="Y2020" t="e">
        <f>IF(X2020&lt;&gt;"",VLOOKUP(X2020,game_rosters!$C$43:$E$64,3,FALSE))</f>
        <v>#N/A</v>
      </c>
      <c r="Z2020" cm="1">
        <f t="array" ref="Z2020">IFERROR(IF(_xlfn._xlws.FILTER(game_rosters!$J:$J,(game_rosters!$G:$G=events!$AN2020)*(game_rosters!$J:$J=events!$X2020))&gt;0,1,""),"")</f>
        <v>1</v>
      </c>
      <c r="AA2020">
        <f t="shared" si="2083"/>
        <v>2066</v>
      </c>
      <c r="AB2020" t="str">
        <f t="shared" si="2084"/>
        <v/>
      </c>
      <c r="AC2020">
        <f t="shared" si="2032"/>
        <v>2066</v>
      </c>
      <c r="AD2020" s="6">
        <v>3</v>
      </c>
      <c r="AE2020" t="s">
        <v>910</v>
      </c>
      <c r="AF2020" t="s">
        <v>865</v>
      </c>
      <c r="AG2020" t="s">
        <v>910</v>
      </c>
      <c r="AH2020" t="s">
        <v>929</v>
      </c>
      <c r="AI2020" t="s">
        <v>367</v>
      </c>
      <c r="AJ2020" t="str">
        <f t="shared" ref="AJ2020:AK2020" si="2092">IF($J2020&lt;&gt;"",$J2020,IF($AC2020=$AC2019,AJ2019,""))</f>
        <v/>
      </c>
      <c r="AK2020" t="str">
        <f t="shared" si="2092"/>
        <v/>
      </c>
      <c r="AL2020" t="str">
        <f t="shared" si="2037"/>
        <v/>
      </c>
      <c r="AN2020" t="s">
        <v>862</v>
      </c>
      <c r="AO2020" t="str">
        <f t="shared" si="2038"/>
        <v>a</v>
      </c>
      <c r="AP2020" t="str">
        <f t="shared" si="2046"/>
        <v/>
      </c>
      <c r="AQ2020" t="str">
        <f t="shared" si="2047"/>
        <v/>
      </c>
      <c r="AR2020" t="str">
        <f t="shared" si="2048"/>
        <v>Away</v>
      </c>
      <c r="AS2020" t="str">
        <f t="shared" si="2049"/>
        <v>a</v>
      </c>
      <c r="AT2020" t="str">
        <f t="shared" si="2050"/>
        <v>Offensive</v>
      </c>
      <c r="BA2020" s="6">
        <f t="shared" si="2039"/>
        <v>465</v>
      </c>
      <c r="BB2020">
        <f t="shared" si="2040"/>
        <v>18981</v>
      </c>
      <c r="BC2020" t="str">
        <f t="shared" si="2041"/>
        <v>Nelson</v>
      </c>
      <c r="BD2020" t="str">
        <f t="shared" si="2042"/>
        <v>Velodrome</v>
      </c>
      <c r="BE2020" t="s">
        <v>13</v>
      </c>
      <c r="BF2020" t="s">
        <v>756</v>
      </c>
      <c r="BG2020" t="s">
        <v>756</v>
      </c>
      <c r="BI2020" cm="1">
        <f t="array" ref="BI2020">IFERROR(_xlfn._xlws.FILTER(shifts!A:A,(shifts!B:B=events!AD2020)*(shifts!AG:AG&gt;=events!BK2020)*(shifts!AH:AH&lt;=events!BL2020)),BI2019)</f>
        <v>86</v>
      </c>
      <c r="BJ2020" s="15">
        <f t="shared" si="2043"/>
        <v>4</v>
      </c>
      <c r="BK2020">
        <f t="shared" si="2051"/>
        <v>638</v>
      </c>
      <c r="BL2020">
        <f t="shared" si="2052"/>
        <v>634</v>
      </c>
      <c r="BM2020" s="15">
        <f>SUMIFS(BJ$2:BJ2020,K$2:K2020,"=Intermission")+SUMIFS(BJ$2:BJ2020,K$2:K2020,"=Timeout")</f>
        <v>142</v>
      </c>
      <c r="BN2020">
        <f t="shared" si="2053"/>
        <v>2302</v>
      </c>
      <c r="BO2020" s="19">
        <f t="shared" si="2054"/>
        <v>2744</v>
      </c>
      <c r="BP2020">
        <f t="shared" si="2055"/>
        <v>2739</v>
      </c>
      <c r="BQ2020" s="17">
        <f t="shared" si="2056"/>
        <v>2748</v>
      </c>
      <c r="BR2020" t="str">
        <f t="shared" si="2057"/>
        <v>event_team_player_1</v>
      </c>
      <c r="BS2020">
        <f>COUNTIFS(S$3:S2020,"="&amp;S2020,AI$3:AI2020,"="&amp;AI2020)</f>
        <v>1</v>
      </c>
      <c r="BT2020" t="str">
        <f>IFERROR(VLOOKUP(BB2020&amp;BU2020&amp;X2020,game_rosters!U:W,3,FALSE),"")</f>
        <v>P100132</v>
      </c>
      <c r="BU2020" t="str">
        <f t="shared" si="2058"/>
        <v>Velodrome</v>
      </c>
    </row>
    <row r="2021" spans="1:73" x14ac:dyDescent="0.2">
      <c r="A2021">
        <f t="shared" si="2044"/>
        <v>1</v>
      </c>
      <c r="J2021" s="44" t="str">
        <f t="shared" si="2059"/>
        <v>o</v>
      </c>
      <c r="K2021" t="s">
        <v>238</v>
      </c>
      <c r="L2021" t="s">
        <v>174</v>
      </c>
      <c r="M2021" t="s">
        <v>85</v>
      </c>
      <c r="S2021">
        <v>1067</v>
      </c>
      <c r="W2021" t="str">
        <f t="shared" si="2035"/>
        <v>a</v>
      </c>
      <c r="X2021">
        <v>14</v>
      </c>
      <c r="Y2021" t="e">
        <f>IF(X2021&lt;&gt;"",VLOOKUP(X2021,game_rosters!$C$43:$E$64,3,FALSE))</f>
        <v>#N/A</v>
      </c>
      <c r="Z2021" cm="1">
        <f t="array" ref="Z2021">IFERROR(IF(_xlfn._xlws.FILTER(game_rosters!$J:$J,(game_rosters!$G:$G=events!$AN2021)*(game_rosters!$J:$J=events!$X2021))&gt;0,1,""),"")</f>
        <v>1</v>
      </c>
      <c r="AA2021">
        <f t="shared" si="2083"/>
        <v>2067</v>
      </c>
      <c r="AB2021" t="str">
        <f t="shared" si="2084"/>
        <v/>
      </c>
      <c r="AC2021">
        <f t="shared" si="2032"/>
        <v>2067</v>
      </c>
      <c r="AD2021" s="6">
        <v>3</v>
      </c>
      <c r="AE2021" t="s">
        <v>910</v>
      </c>
      <c r="AF2021" t="s">
        <v>929</v>
      </c>
      <c r="AG2021" t="s">
        <v>910</v>
      </c>
      <c r="AH2021" t="s">
        <v>914</v>
      </c>
      <c r="AI2021" t="s">
        <v>367</v>
      </c>
      <c r="AJ2021" t="str">
        <f t="shared" ref="AJ2021:AK2021" si="2093">IF($J2021&lt;&gt;"",$J2021,IF($AC2021=$AC2020,AJ2020,""))</f>
        <v>o</v>
      </c>
      <c r="AK2021" t="str">
        <f t="shared" si="2093"/>
        <v>o</v>
      </c>
      <c r="AL2021" t="str">
        <f t="shared" si="2037"/>
        <v>d</v>
      </c>
      <c r="AN2021" t="s">
        <v>862</v>
      </c>
      <c r="AO2021" t="str">
        <f t="shared" si="2038"/>
        <v>a</v>
      </c>
      <c r="AP2021" t="str">
        <f t="shared" si="2046"/>
        <v>d</v>
      </c>
      <c r="AQ2021" t="str">
        <f t="shared" si="2047"/>
        <v/>
      </c>
      <c r="AR2021" t="str">
        <f t="shared" si="2048"/>
        <v>Away</v>
      </c>
      <c r="AS2021" t="str">
        <f t="shared" si="2049"/>
        <v>a</v>
      </c>
      <c r="AT2021" t="str">
        <f t="shared" si="2050"/>
        <v>Offensive</v>
      </c>
      <c r="BA2021" s="6">
        <f t="shared" si="2039"/>
        <v>466</v>
      </c>
      <c r="BB2021">
        <f t="shared" si="2040"/>
        <v>18981</v>
      </c>
      <c r="BC2021" t="str">
        <f t="shared" si="2041"/>
        <v>Nelson</v>
      </c>
      <c r="BD2021" t="str">
        <f t="shared" si="2042"/>
        <v>Velodrome</v>
      </c>
      <c r="BE2021" t="s">
        <v>238</v>
      </c>
      <c r="BF2021" t="s">
        <v>174</v>
      </c>
      <c r="BG2021" t="s">
        <v>85</v>
      </c>
      <c r="BI2021" cm="1">
        <f t="array" ref="BI2021">IFERROR(_xlfn._xlws.FILTER(shifts!A:A,(shifts!B:B=events!AD2021)*(shifts!AG:AG&gt;=events!BK2021)*(shifts!AH:AH&lt;=events!BL2021)),BI2020)</f>
        <v>87</v>
      </c>
      <c r="BJ2021" s="15">
        <f t="shared" si="2043"/>
        <v>1</v>
      </c>
      <c r="BK2021">
        <f t="shared" si="2051"/>
        <v>634</v>
      </c>
      <c r="BL2021">
        <f t="shared" si="2052"/>
        <v>633</v>
      </c>
      <c r="BM2021" s="15">
        <f>SUMIFS(BJ$2:BJ2021,K$2:K2021,"=Intermission")+SUMIFS(BJ$2:BJ2021,K$2:K2021,"=Timeout")</f>
        <v>142</v>
      </c>
      <c r="BN2021">
        <f t="shared" si="2053"/>
        <v>2302</v>
      </c>
      <c r="BO2021" s="19">
        <f t="shared" si="2054"/>
        <v>2748</v>
      </c>
      <c r="BP2021">
        <f t="shared" si="2055"/>
        <v>2743</v>
      </c>
      <c r="BQ2021" s="17">
        <f t="shared" si="2056"/>
        <v>2749</v>
      </c>
      <c r="BR2021" t="str">
        <f t="shared" si="2057"/>
        <v>event_team_player_1</v>
      </c>
      <c r="BS2021">
        <f>COUNTIFS(S$3:S2021,"="&amp;S2021,AI$3:AI2021,"="&amp;AI2021)</f>
        <v>1</v>
      </c>
      <c r="BT2021" t="str">
        <f>IFERROR(VLOOKUP(BB2021&amp;BU2021&amp;X2021,game_rosters!U:W,3,FALSE),"")</f>
        <v>P100132</v>
      </c>
      <c r="BU2021" t="str">
        <f t="shared" si="2058"/>
        <v>Velodrome</v>
      </c>
    </row>
    <row r="2022" spans="1:73" x14ac:dyDescent="0.2">
      <c r="A2022">
        <f t="shared" si="2044"/>
        <v>1</v>
      </c>
      <c r="J2022" s="44" t="str">
        <f t="shared" si="2059"/>
        <v>o</v>
      </c>
      <c r="K2022" t="s">
        <v>238</v>
      </c>
      <c r="L2022" t="s">
        <v>174</v>
      </c>
      <c r="M2022" t="s">
        <v>85</v>
      </c>
      <c r="S2022">
        <v>1067</v>
      </c>
      <c r="W2022" t="str">
        <f t="shared" si="2035"/>
        <v>a</v>
      </c>
      <c r="X2022">
        <v>44</v>
      </c>
      <c r="Y2022" t="b">
        <f>IF(X2022&lt;&gt;"",VLOOKUP(X2022,game_rosters!$C$43:$E$64,3,FALSE))</f>
        <v>0</v>
      </c>
      <c r="Z2022" t="str" cm="1">
        <f t="array" ref="Z2022">IFERROR(IF(_xlfn._xlws.FILTER(game_rosters!$J:$J,(game_rosters!$G:$G=events!$AN2022)*(game_rosters!$J:$J=events!$X2022))&gt;0,1,""),"")</f>
        <v/>
      </c>
      <c r="AA2022">
        <f t="shared" si="2083"/>
        <v>2067</v>
      </c>
      <c r="AB2022" t="str">
        <f t="shared" si="2084"/>
        <v/>
      </c>
      <c r="AC2022">
        <f t="shared" si="2032"/>
        <v>2067</v>
      </c>
      <c r="AD2022" s="6">
        <v>3</v>
      </c>
      <c r="AE2022" t="s">
        <v>910</v>
      </c>
      <c r="AF2022" t="s">
        <v>929</v>
      </c>
      <c r="AG2022" t="s">
        <v>910</v>
      </c>
      <c r="AH2022" t="s">
        <v>914</v>
      </c>
      <c r="AI2022" t="s">
        <v>368</v>
      </c>
      <c r="AJ2022" t="str">
        <f t="shared" ref="AJ2022:AK2022" si="2094">IF($J2022&lt;&gt;"",$J2022,IF($AC2022=$AC2021,AJ2021,""))</f>
        <v>o</v>
      </c>
      <c r="AK2022" t="str">
        <f t="shared" si="2094"/>
        <v>o</v>
      </c>
      <c r="AL2022" t="str">
        <f t="shared" si="2037"/>
        <v>d</v>
      </c>
      <c r="AN2022" t="s">
        <v>862</v>
      </c>
      <c r="AO2022" t="str">
        <f t="shared" si="2038"/>
        <v>a</v>
      </c>
      <c r="AP2022" t="str">
        <f t="shared" si="2046"/>
        <v>d</v>
      </c>
      <c r="AQ2022" t="str">
        <f t="shared" si="2047"/>
        <v/>
      </c>
      <c r="AR2022" t="str">
        <f t="shared" si="2048"/>
        <v>Away</v>
      </c>
      <c r="AS2022" t="str">
        <f t="shared" si="2049"/>
        <v>a</v>
      </c>
      <c r="AT2022" t="str">
        <f t="shared" si="2050"/>
        <v>Defensive</v>
      </c>
      <c r="BA2022" s="6">
        <f t="shared" si="2039"/>
        <v>467</v>
      </c>
      <c r="BB2022">
        <f t="shared" si="2040"/>
        <v>18981</v>
      </c>
      <c r="BC2022" t="str">
        <f t="shared" si="2041"/>
        <v>Nelson</v>
      </c>
      <c r="BD2022" t="str">
        <f t="shared" si="2042"/>
        <v>Velodrome</v>
      </c>
      <c r="BE2022" t="s">
        <v>238</v>
      </c>
      <c r="BF2022" t="s">
        <v>174</v>
      </c>
      <c r="BG2022" t="s">
        <v>85</v>
      </c>
      <c r="BI2022" cm="1">
        <f t="array" ref="BI2022">IFERROR(_xlfn._xlws.FILTER(shifts!A:A,(shifts!B:B=events!AD2022)*(shifts!AG:AG&gt;=events!BK2022)*(shifts!AH:AH&lt;=events!BL2022)),BI2021)</f>
        <v>87</v>
      </c>
      <c r="BJ2022" s="15">
        <f t="shared" si="2043"/>
        <v>1</v>
      </c>
      <c r="BK2022">
        <f t="shared" si="2051"/>
        <v>634</v>
      </c>
      <c r="BL2022">
        <f t="shared" si="2052"/>
        <v>633</v>
      </c>
      <c r="BM2022" s="15">
        <f>SUMIFS(BJ$2:BJ2022,K$2:K2022,"=Intermission")+SUMIFS(BJ$2:BJ2022,K$2:K2022,"=Timeout")</f>
        <v>142</v>
      </c>
      <c r="BN2022">
        <f t="shared" si="2053"/>
        <v>2302</v>
      </c>
      <c r="BO2022" s="19">
        <f t="shared" si="2054"/>
        <v>2748</v>
      </c>
      <c r="BP2022">
        <f t="shared" si="2055"/>
        <v>2743</v>
      </c>
      <c r="BQ2022" s="17">
        <f t="shared" si="2056"/>
        <v>2749</v>
      </c>
      <c r="BR2022" t="str">
        <f t="shared" si="2057"/>
        <v>opp_team_player_1</v>
      </c>
      <c r="BS2022">
        <f>COUNTIFS(S$3:S2022,"="&amp;S2022,AI$3:AI2022,"="&amp;AI2022)</f>
        <v>1</v>
      </c>
      <c r="BT2022" t="str">
        <f>IFERROR(VLOOKUP(BB2022&amp;BU2022&amp;X2022,game_rosters!U:W,3,FALSE),"")</f>
        <v>P100079</v>
      </c>
      <c r="BU2022" t="str">
        <f t="shared" si="2058"/>
        <v>Nelson</v>
      </c>
    </row>
    <row r="2023" spans="1:73" x14ac:dyDescent="0.2">
      <c r="A2023">
        <f t="shared" si="2044"/>
        <v>1</v>
      </c>
      <c r="J2023" s="44" t="str">
        <f t="shared" si="2059"/>
        <v>o</v>
      </c>
      <c r="K2023" t="s">
        <v>238</v>
      </c>
      <c r="L2023" t="s">
        <v>174</v>
      </c>
      <c r="M2023" t="s">
        <v>85</v>
      </c>
      <c r="S2023">
        <v>1067</v>
      </c>
      <c r="W2023" t="str">
        <f t="shared" si="2035"/>
        <v>a</v>
      </c>
      <c r="X2023">
        <v>8</v>
      </c>
      <c r="Y2023" t="b">
        <f>IF(X2023&lt;&gt;"",VLOOKUP(X2023,game_rosters!$C$43:$E$64,3,FALSE))</f>
        <v>0</v>
      </c>
      <c r="Z2023" t="str" cm="1">
        <f t="array" ref="Z2023">IFERROR(IF(_xlfn._xlws.FILTER(game_rosters!$J:$J,(game_rosters!$G:$G=events!$AN2023)*(game_rosters!$J:$J=events!$X2023))&gt;0,1,""),"")</f>
        <v/>
      </c>
      <c r="AA2023">
        <f t="shared" si="2083"/>
        <v>2067</v>
      </c>
      <c r="AB2023" t="str">
        <f t="shared" si="2084"/>
        <v/>
      </c>
      <c r="AC2023">
        <f t="shared" si="2032"/>
        <v>2067</v>
      </c>
      <c r="AD2023" s="6">
        <v>3</v>
      </c>
      <c r="AE2023" t="s">
        <v>910</v>
      </c>
      <c r="AF2023" t="s">
        <v>929</v>
      </c>
      <c r="AG2023" t="s">
        <v>910</v>
      </c>
      <c r="AH2023" t="s">
        <v>914</v>
      </c>
      <c r="AI2023" t="s">
        <v>368</v>
      </c>
      <c r="AJ2023" t="str">
        <f t="shared" ref="AJ2023:AK2023" si="2095">IF($J2023&lt;&gt;"",$J2023,IF($AC2023=$AC2022,AJ2022,""))</f>
        <v>o</v>
      </c>
      <c r="AK2023" t="str">
        <f t="shared" si="2095"/>
        <v>o</v>
      </c>
      <c r="AL2023" t="str">
        <f t="shared" si="2037"/>
        <v>d</v>
      </c>
      <c r="AN2023" t="s">
        <v>862</v>
      </c>
      <c r="AO2023" t="str">
        <f t="shared" si="2038"/>
        <v>a</v>
      </c>
      <c r="AP2023" t="str">
        <f t="shared" si="2046"/>
        <v>d</v>
      </c>
      <c r="AQ2023" t="str">
        <f t="shared" si="2047"/>
        <v/>
      </c>
      <c r="AR2023" t="str">
        <f t="shared" si="2048"/>
        <v>Away</v>
      </c>
      <c r="AS2023" t="str">
        <f t="shared" si="2049"/>
        <v>a</v>
      </c>
      <c r="AT2023" t="str">
        <f t="shared" si="2050"/>
        <v>Defensive</v>
      </c>
      <c r="BA2023" s="6">
        <f t="shared" si="2039"/>
        <v>468</v>
      </c>
      <c r="BB2023">
        <f t="shared" si="2040"/>
        <v>18981</v>
      </c>
      <c r="BC2023" t="str">
        <f t="shared" si="2041"/>
        <v>Nelson</v>
      </c>
      <c r="BD2023" t="str">
        <f t="shared" si="2042"/>
        <v>Velodrome</v>
      </c>
      <c r="BE2023" t="s">
        <v>238</v>
      </c>
      <c r="BF2023" t="s">
        <v>174</v>
      </c>
      <c r="BG2023" t="s">
        <v>85</v>
      </c>
      <c r="BI2023" cm="1">
        <f t="array" ref="BI2023">IFERROR(_xlfn._xlws.FILTER(shifts!A:A,(shifts!B:B=events!AD2023)*(shifts!AG:AG&gt;=events!BK2023)*(shifts!AH:AH&lt;=events!BL2023)),BI2022)</f>
        <v>87</v>
      </c>
      <c r="BJ2023" s="15">
        <f t="shared" si="2043"/>
        <v>1</v>
      </c>
      <c r="BK2023">
        <f t="shared" si="2051"/>
        <v>634</v>
      </c>
      <c r="BL2023">
        <f t="shared" si="2052"/>
        <v>633</v>
      </c>
      <c r="BM2023" s="15">
        <f>SUMIFS(BJ$2:BJ2023,K$2:K2023,"=Intermission")+SUMIFS(BJ$2:BJ2023,K$2:K2023,"=Timeout")</f>
        <v>142</v>
      </c>
      <c r="BN2023">
        <f t="shared" si="2053"/>
        <v>2302</v>
      </c>
      <c r="BO2023" s="19">
        <f t="shared" si="2054"/>
        <v>2748</v>
      </c>
      <c r="BP2023">
        <f t="shared" si="2055"/>
        <v>2743</v>
      </c>
      <c r="BQ2023" s="17">
        <f t="shared" si="2056"/>
        <v>2749</v>
      </c>
      <c r="BR2023" t="str">
        <f t="shared" si="2057"/>
        <v>opp_team_player_2</v>
      </c>
      <c r="BS2023">
        <f>COUNTIFS(S$3:S2023,"="&amp;S2023,AI$3:AI2023,"="&amp;AI2023)</f>
        <v>2</v>
      </c>
      <c r="BT2023" t="str">
        <f>IFERROR(VLOOKUP(BB2023&amp;BU2023&amp;X2023,game_rosters!U:W,3,FALSE),"")</f>
        <v>P100074</v>
      </c>
      <c r="BU2023" t="str">
        <f t="shared" si="2058"/>
        <v>Nelson</v>
      </c>
    </row>
    <row r="2024" spans="1:73" x14ac:dyDescent="0.2">
      <c r="A2024">
        <f t="shared" si="2044"/>
        <v>1</v>
      </c>
      <c r="J2024" s="44" t="str">
        <f t="shared" si="2059"/>
        <v>o</v>
      </c>
      <c r="K2024" t="s">
        <v>238</v>
      </c>
      <c r="L2024" t="s">
        <v>174</v>
      </c>
      <c r="M2024" t="s">
        <v>85</v>
      </c>
      <c r="S2024">
        <v>1067</v>
      </c>
      <c r="W2024" t="str">
        <f t="shared" si="2035"/>
        <v>a</v>
      </c>
      <c r="X2024">
        <v>10</v>
      </c>
      <c r="Y2024" t="b">
        <f>IF(X2024&lt;&gt;"",VLOOKUP(X2024,game_rosters!$C$43:$E$64,3,FALSE))</f>
        <v>0</v>
      </c>
      <c r="Z2024" t="str" cm="1">
        <f t="array" ref="Z2024">IFERROR(IF(_xlfn._xlws.FILTER(game_rosters!$J:$J,(game_rosters!$G:$G=events!$AN2024)*(game_rosters!$J:$J=events!$X2024))&gt;0,1,""),"")</f>
        <v/>
      </c>
      <c r="AA2024">
        <f t="shared" si="2083"/>
        <v>2067</v>
      </c>
      <c r="AB2024" t="str">
        <f t="shared" si="2084"/>
        <v/>
      </c>
      <c r="AC2024">
        <f t="shared" si="2032"/>
        <v>2067</v>
      </c>
      <c r="AD2024" s="6">
        <v>3</v>
      </c>
      <c r="AE2024" t="s">
        <v>910</v>
      </c>
      <c r="AF2024" t="s">
        <v>929</v>
      </c>
      <c r="AG2024" t="s">
        <v>910</v>
      </c>
      <c r="AH2024" t="s">
        <v>914</v>
      </c>
      <c r="AI2024" t="s">
        <v>368</v>
      </c>
      <c r="AJ2024" t="str">
        <f t="shared" ref="AJ2024:AK2024" si="2096">IF($J2024&lt;&gt;"",$J2024,IF($AC2024=$AC2023,AJ2023,""))</f>
        <v>o</v>
      </c>
      <c r="AK2024" t="str">
        <f t="shared" si="2096"/>
        <v>o</v>
      </c>
      <c r="AL2024" t="str">
        <f t="shared" si="2037"/>
        <v>d</v>
      </c>
      <c r="AN2024" t="s">
        <v>862</v>
      </c>
      <c r="AO2024" t="str">
        <f t="shared" si="2038"/>
        <v>a</v>
      </c>
      <c r="AP2024" t="str">
        <f t="shared" si="2046"/>
        <v>d</v>
      </c>
      <c r="AQ2024" t="str">
        <f t="shared" si="2047"/>
        <v/>
      </c>
      <c r="AR2024" t="str">
        <f t="shared" si="2048"/>
        <v>Away</v>
      </c>
      <c r="AS2024" t="str">
        <f t="shared" si="2049"/>
        <v>a</v>
      </c>
      <c r="AT2024" t="str">
        <f t="shared" si="2050"/>
        <v>Defensive</v>
      </c>
      <c r="BA2024" s="6">
        <f t="shared" si="2039"/>
        <v>469</v>
      </c>
      <c r="BB2024">
        <f t="shared" si="2040"/>
        <v>18981</v>
      </c>
      <c r="BC2024" t="str">
        <f t="shared" si="2041"/>
        <v>Nelson</v>
      </c>
      <c r="BD2024" t="str">
        <f t="shared" si="2042"/>
        <v>Velodrome</v>
      </c>
      <c r="BE2024" t="s">
        <v>238</v>
      </c>
      <c r="BF2024" t="s">
        <v>174</v>
      </c>
      <c r="BG2024" t="s">
        <v>85</v>
      </c>
      <c r="BI2024" cm="1">
        <f t="array" ref="BI2024">IFERROR(_xlfn._xlws.FILTER(shifts!A:A,(shifts!B:B=events!AD2024)*(shifts!AG:AG&gt;=events!BK2024)*(shifts!AH:AH&lt;=events!BL2024)),BI2023)</f>
        <v>87</v>
      </c>
      <c r="BJ2024" s="15">
        <f t="shared" si="2043"/>
        <v>1</v>
      </c>
      <c r="BK2024">
        <f t="shared" si="2051"/>
        <v>634</v>
      </c>
      <c r="BL2024">
        <f t="shared" si="2052"/>
        <v>633</v>
      </c>
      <c r="BM2024" s="15">
        <f>SUMIFS(BJ$2:BJ2024,K$2:K2024,"=Intermission")+SUMIFS(BJ$2:BJ2024,K$2:K2024,"=Timeout")</f>
        <v>142</v>
      </c>
      <c r="BN2024">
        <f t="shared" si="2053"/>
        <v>2302</v>
      </c>
      <c r="BO2024" s="19">
        <f t="shared" si="2054"/>
        <v>2748</v>
      </c>
      <c r="BP2024">
        <f t="shared" si="2055"/>
        <v>2743</v>
      </c>
      <c r="BQ2024" s="17">
        <f t="shared" si="2056"/>
        <v>2749</v>
      </c>
      <c r="BR2024" t="str">
        <f t="shared" si="2057"/>
        <v>opp_team_player_3</v>
      </c>
      <c r="BS2024">
        <f>COUNTIFS(S$3:S2024,"="&amp;S2024,AI$3:AI2024,"="&amp;AI2024)</f>
        <v>3</v>
      </c>
      <c r="BT2024" t="str">
        <f>IFERROR(VLOOKUP(BB2024&amp;BU2024&amp;X2024,game_rosters!U:W,3,FALSE),"")</f>
        <v>P100078</v>
      </c>
      <c r="BU2024" t="str">
        <f t="shared" si="2058"/>
        <v>Nelson</v>
      </c>
    </row>
    <row r="2025" spans="1:73" x14ac:dyDescent="0.2">
      <c r="A2025">
        <f t="shared" si="2044"/>
        <v>1</v>
      </c>
      <c r="J2025" s="44" t="str">
        <f t="shared" si="2059"/>
        <v>o</v>
      </c>
      <c r="K2025" t="s">
        <v>6</v>
      </c>
      <c r="L2025" t="s">
        <v>191</v>
      </c>
      <c r="M2025" t="s">
        <v>51</v>
      </c>
      <c r="S2025">
        <v>1068</v>
      </c>
      <c r="W2025" t="str">
        <f t="shared" si="2035"/>
        <v>a</v>
      </c>
      <c r="X2025">
        <v>14</v>
      </c>
      <c r="Y2025" t="e">
        <f>IF(X2025&lt;&gt;"",VLOOKUP(X2025,game_rosters!$C$43:$E$64,3,FALSE))</f>
        <v>#N/A</v>
      </c>
      <c r="Z2025" cm="1">
        <f t="array" ref="Z2025">IFERROR(IF(_xlfn._xlws.FILTER(game_rosters!$J:$J,(game_rosters!$G:$G=events!$AN2025)*(game_rosters!$J:$J=events!$X2025))&gt;0,1,""),"")</f>
        <v>1</v>
      </c>
      <c r="AA2025">
        <f t="shared" si="2083"/>
        <v>2068</v>
      </c>
      <c r="AB2025" t="str">
        <f t="shared" si="2084"/>
        <v/>
      </c>
      <c r="AC2025">
        <f t="shared" si="2032"/>
        <v>2068</v>
      </c>
      <c r="AD2025" s="6">
        <v>3</v>
      </c>
      <c r="AE2025" t="s">
        <v>910</v>
      </c>
      <c r="AF2025" t="s">
        <v>914</v>
      </c>
      <c r="AG2025" t="s">
        <v>756</v>
      </c>
      <c r="AH2025" t="s">
        <v>756</v>
      </c>
      <c r="AI2025" t="s">
        <v>367</v>
      </c>
      <c r="AJ2025" t="str">
        <f t="shared" ref="AJ2025:AK2025" si="2097">IF($J2025&lt;&gt;"",$J2025,IF($AC2025=$AC2024,AJ2024,""))</f>
        <v>o</v>
      </c>
      <c r="AK2025" t="str">
        <f t="shared" si="2097"/>
        <v>o</v>
      </c>
      <c r="AL2025" t="str">
        <f t="shared" si="2037"/>
        <v>d</v>
      </c>
      <c r="AN2025" t="s">
        <v>862</v>
      </c>
      <c r="AO2025" t="str">
        <f t="shared" si="2038"/>
        <v>a</v>
      </c>
      <c r="AP2025" t="str">
        <f t="shared" si="2046"/>
        <v>d</v>
      </c>
      <c r="AQ2025" t="str">
        <f t="shared" si="2047"/>
        <v/>
      </c>
      <c r="AR2025" t="str">
        <f t="shared" si="2048"/>
        <v>Away</v>
      </c>
      <c r="AS2025" t="str">
        <f t="shared" si="2049"/>
        <v>a</v>
      </c>
      <c r="AT2025" t="str">
        <f t="shared" si="2050"/>
        <v>Offensive</v>
      </c>
      <c r="BA2025" s="6">
        <f t="shared" si="2039"/>
        <v>469</v>
      </c>
      <c r="BB2025">
        <f t="shared" si="2040"/>
        <v>18981</v>
      </c>
      <c r="BC2025" t="str">
        <f t="shared" si="2041"/>
        <v>Nelson</v>
      </c>
      <c r="BD2025" t="str">
        <f t="shared" si="2042"/>
        <v>Velodrome</v>
      </c>
      <c r="BE2025" t="s">
        <v>6</v>
      </c>
      <c r="BF2025" t="s">
        <v>191</v>
      </c>
      <c r="BG2025" t="s">
        <v>51</v>
      </c>
      <c r="BI2025" cm="1">
        <f t="array" ref="BI2025">IFERROR(_xlfn._xlws.FILTER(shifts!A:A,(shifts!B:B=events!AD2025)*(shifts!AG:AG&gt;=events!BK2025)*(shifts!AH:AH&lt;=events!BL2025)),BI2024)</f>
        <v>87</v>
      </c>
      <c r="BJ2025" s="15">
        <f t="shared" si="2043"/>
        <v>0</v>
      </c>
      <c r="BK2025">
        <f t="shared" si="2051"/>
        <v>633</v>
      </c>
      <c r="BL2025">
        <f t="shared" si="2052"/>
        <v>633</v>
      </c>
      <c r="BM2025" s="15">
        <f>SUMIFS(BJ$2:BJ2025,K$2:K2025,"=Intermission")+SUMIFS(BJ$2:BJ2025,K$2:K2025,"=Timeout")</f>
        <v>142</v>
      </c>
      <c r="BN2025">
        <f t="shared" si="2053"/>
        <v>2302</v>
      </c>
      <c r="BO2025" s="19">
        <f t="shared" si="2054"/>
        <v>2749</v>
      </c>
      <c r="BP2025">
        <f t="shared" si="2055"/>
        <v>2744</v>
      </c>
      <c r="BQ2025" s="17">
        <f t="shared" si="2056"/>
        <v>2749</v>
      </c>
      <c r="BR2025" t="str">
        <f t="shared" si="2057"/>
        <v>event_team_player_1</v>
      </c>
      <c r="BS2025">
        <f>COUNTIFS(S$3:S2025,"="&amp;S2025,AI$3:AI2025,"="&amp;AI2025)</f>
        <v>1</v>
      </c>
      <c r="BT2025" t="str">
        <f>IFERROR(VLOOKUP(BB2025&amp;BU2025&amp;X2025,game_rosters!U:W,3,FALSE),"")</f>
        <v>P100132</v>
      </c>
      <c r="BU2025" t="str">
        <f t="shared" si="2058"/>
        <v>Velodrome</v>
      </c>
    </row>
    <row r="2026" spans="1:73" x14ac:dyDescent="0.2">
      <c r="A2026">
        <f t="shared" si="2044"/>
        <v>1</v>
      </c>
      <c r="J2026" s="44" t="str">
        <f t="shared" si="2059"/>
        <v>o</v>
      </c>
      <c r="K2026" t="s">
        <v>6</v>
      </c>
      <c r="L2026" t="s">
        <v>191</v>
      </c>
      <c r="M2026" t="s">
        <v>51</v>
      </c>
      <c r="S2026">
        <v>1068</v>
      </c>
      <c r="W2026" t="str">
        <f t="shared" si="2035"/>
        <v>a</v>
      </c>
      <c r="X2026">
        <v>8</v>
      </c>
      <c r="Y2026" t="b">
        <f>IF(X2026&lt;&gt;"",VLOOKUP(X2026,game_rosters!$C$43:$E$64,3,FALSE))</f>
        <v>0</v>
      </c>
      <c r="Z2026" t="str" cm="1">
        <f t="array" ref="Z2026">IFERROR(IF(_xlfn._xlws.FILTER(game_rosters!$J:$J,(game_rosters!$G:$G=events!$AN2026)*(game_rosters!$J:$J=events!$X2026))&gt;0,1,""),"")</f>
        <v/>
      </c>
      <c r="AA2026">
        <f t="shared" si="2083"/>
        <v>2068</v>
      </c>
      <c r="AB2026" t="str">
        <f t="shared" si="2084"/>
        <v/>
      </c>
      <c r="AC2026">
        <f t="shared" si="2032"/>
        <v>2068</v>
      </c>
      <c r="AD2026" s="6">
        <v>3</v>
      </c>
      <c r="AE2026" t="s">
        <v>910</v>
      </c>
      <c r="AF2026" t="s">
        <v>914</v>
      </c>
      <c r="AG2026" t="s">
        <v>756</v>
      </c>
      <c r="AH2026" t="s">
        <v>756</v>
      </c>
      <c r="AI2026" t="s">
        <v>368</v>
      </c>
      <c r="AJ2026" t="str">
        <f t="shared" ref="AJ2026:AK2026" si="2098">IF($J2026&lt;&gt;"",$J2026,IF($AC2026=$AC2025,AJ2025,""))</f>
        <v>o</v>
      </c>
      <c r="AK2026" t="str">
        <f t="shared" si="2098"/>
        <v>o</v>
      </c>
      <c r="AL2026" t="str">
        <f t="shared" si="2037"/>
        <v>d</v>
      </c>
      <c r="AN2026" t="s">
        <v>862</v>
      </c>
      <c r="AO2026" t="str">
        <f t="shared" si="2038"/>
        <v>a</v>
      </c>
      <c r="AP2026" t="str">
        <f t="shared" si="2046"/>
        <v>d</v>
      </c>
      <c r="AQ2026" t="str">
        <f t="shared" si="2047"/>
        <v/>
      </c>
      <c r="AR2026" t="str">
        <f t="shared" si="2048"/>
        <v>Away</v>
      </c>
      <c r="AS2026" t="str">
        <f t="shared" si="2049"/>
        <v>a</v>
      </c>
      <c r="AT2026" t="str">
        <f t="shared" si="2050"/>
        <v>Defensive</v>
      </c>
      <c r="BA2026" s="6">
        <f t="shared" si="2039"/>
        <v>469</v>
      </c>
      <c r="BB2026">
        <f t="shared" si="2040"/>
        <v>18981</v>
      </c>
      <c r="BC2026" t="str">
        <f t="shared" si="2041"/>
        <v>Nelson</v>
      </c>
      <c r="BD2026" t="str">
        <f t="shared" si="2042"/>
        <v>Velodrome</v>
      </c>
      <c r="BE2026" t="s">
        <v>6</v>
      </c>
      <c r="BF2026" t="s">
        <v>191</v>
      </c>
      <c r="BG2026" t="s">
        <v>51</v>
      </c>
      <c r="BI2026" cm="1">
        <f t="array" ref="BI2026">IFERROR(_xlfn._xlws.FILTER(shifts!A:A,(shifts!B:B=events!AD2026)*(shifts!AG:AG&gt;=events!BK2026)*(shifts!AH:AH&lt;=events!BL2026)),BI2025)</f>
        <v>87</v>
      </c>
      <c r="BJ2026" s="15">
        <f t="shared" si="2043"/>
        <v>0</v>
      </c>
      <c r="BK2026">
        <f t="shared" si="2051"/>
        <v>633</v>
      </c>
      <c r="BL2026">
        <f t="shared" si="2052"/>
        <v>633</v>
      </c>
      <c r="BM2026" s="15">
        <f>SUMIFS(BJ$2:BJ2026,K$2:K2026,"=Intermission")+SUMIFS(BJ$2:BJ2026,K$2:K2026,"=Timeout")</f>
        <v>142</v>
      </c>
      <c r="BN2026">
        <f t="shared" si="2053"/>
        <v>2302</v>
      </c>
      <c r="BO2026" s="19">
        <f t="shared" si="2054"/>
        <v>2749</v>
      </c>
      <c r="BP2026">
        <f t="shared" si="2055"/>
        <v>2744</v>
      </c>
      <c r="BQ2026" s="17">
        <f t="shared" si="2056"/>
        <v>2749</v>
      </c>
      <c r="BR2026" t="str">
        <f t="shared" si="2057"/>
        <v>opp_team_player_1</v>
      </c>
      <c r="BS2026">
        <f>COUNTIFS(S$3:S2026,"="&amp;S2026,AI$3:AI2026,"="&amp;AI2026)</f>
        <v>1</v>
      </c>
      <c r="BT2026" t="str">
        <f>IFERROR(VLOOKUP(BB2026&amp;BU2026&amp;X2026,game_rosters!U:W,3,FALSE),"")</f>
        <v>P100074</v>
      </c>
      <c r="BU2026" t="str">
        <f t="shared" si="2058"/>
        <v>Nelson</v>
      </c>
    </row>
    <row r="2027" spans="1:73" x14ac:dyDescent="0.2">
      <c r="A2027">
        <f t="shared" si="2044"/>
        <v>1</v>
      </c>
      <c r="J2027" s="44" t="str">
        <f t="shared" si="2059"/>
        <v>o</v>
      </c>
      <c r="K2027" t="s">
        <v>6</v>
      </c>
      <c r="L2027" t="s">
        <v>191</v>
      </c>
      <c r="M2027" t="s">
        <v>51</v>
      </c>
      <c r="S2027">
        <v>1068</v>
      </c>
      <c r="W2027" t="str">
        <f t="shared" si="2035"/>
        <v>a</v>
      </c>
      <c r="X2027">
        <v>44</v>
      </c>
      <c r="Y2027" t="b">
        <f>IF(X2027&lt;&gt;"",VLOOKUP(X2027,game_rosters!$C$43:$E$64,3,FALSE))</f>
        <v>0</v>
      </c>
      <c r="Z2027" t="str" cm="1">
        <f t="array" ref="Z2027">IFERROR(IF(_xlfn._xlws.FILTER(game_rosters!$J:$J,(game_rosters!$G:$G=events!$AN2027)*(game_rosters!$J:$J=events!$X2027))&gt;0,1,""),"")</f>
        <v/>
      </c>
      <c r="AA2027">
        <f t="shared" si="2083"/>
        <v>2068</v>
      </c>
      <c r="AB2027" t="str">
        <f t="shared" si="2084"/>
        <v/>
      </c>
      <c r="AC2027">
        <f t="shared" si="2032"/>
        <v>2068</v>
      </c>
      <c r="AD2027" s="6">
        <v>3</v>
      </c>
      <c r="AE2027" t="s">
        <v>910</v>
      </c>
      <c r="AF2027" t="s">
        <v>914</v>
      </c>
      <c r="AG2027" t="s">
        <v>756</v>
      </c>
      <c r="AH2027" t="s">
        <v>756</v>
      </c>
      <c r="AI2027" t="s">
        <v>368</v>
      </c>
      <c r="AJ2027" t="str">
        <f t="shared" ref="AJ2027:AK2027" si="2099">IF($J2027&lt;&gt;"",$J2027,IF($AC2027=$AC2026,AJ2026,""))</f>
        <v>o</v>
      </c>
      <c r="AK2027" t="str">
        <f t="shared" si="2099"/>
        <v>o</v>
      </c>
      <c r="AL2027" t="str">
        <f t="shared" si="2037"/>
        <v>d</v>
      </c>
      <c r="AN2027" t="s">
        <v>862</v>
      </c>
      <c r="AO2027" t="str">
        <f t="shared" si="2038"/>
        <v>a</v>
      </c>
      <c r="AP2027" t="str">
        <f t="shared" si="2046"/>
        <v>d</v>
      </c>
      <c r="AQ2027" t="str">
        <f t="shared" si="2047"/>
        <v/>
      </c>
      <c r="AR2027" t="str">
        <f t="shared" si="2048"/>
        <v>Away</v>
      </c>
      <c r="AS2027" t="str">
        <f t="shared" si="2049"/>
        <v>a</v>
      </c>
      <c r="AT2027" t="str">
        <f t="shared" si="2050"/>
        <v>Defensive</v>
      </c>
      <c r="BA2027" s="6">
        <f t="shared" si="2039"/>
        <v>469</v>
      </c>
      <c r="BB2027">
        <f t="shared" si="2040"/>
        <v>18981</v>
      </c>
      <c r="BC2027" t="str">
        <f t="shared" si="2041"/>
        <v>Nelson</v>
      </c>
      <c r="BD2027" t="str">
        <f t="shared" si="2042"/>
        <v>Velodrome</v>
      </c>
      <c r="BE2027" t="s">
        <v>6</v>
      </c>
      <c r="BF2027" t="s">
        <v>191</v>
      </c>
      <c r="BG2027" t="s">
        <v>51</v>
      </c>
      <c r="BI2027" cm="1">
        <f t="array" ref="BI2027">IFERROR(_xlfn._xlws.FILTER(shifts!A:A,(shifts!B:B=events!AD2027)*(shifts!AG:AG&gt;=events!BK2027)*(shifts!AH:AH&lt;=events!BL2027)),BI2026)</f>
        <v>87</v>
      </c>
      <c r="BJ2027" s="15">
        <f t="shared" si="2043"/>
        <v>0</v>
      </c>
      <c r="BK2027">
        <f t="shared" si="2051"/>
        <v>633</v>
      </c>
      <c r="BL2027">
        <f t="shared" si="2052"/>
        <v>633</v>
      </c>
      <c r="BM2027" s="15">
        <f>SUMIFS(BJ$2:BJ2027,K$2:K2027,"=Intermission")+SUMIFS(BJ$2:BJ2027,K$2:K2027,"=Timeout")</f>
        <v>142</v>
      </c>
      <c r="BN2027">
        <f t="shared" si="2053"/>
        <v>2302</v>
      </c>
      <c r="BO2027" s="19">
        <f t="shared" si="2054"/>
        <v>2749</v>
      </c>
      <c r="BP2027">
        <f t="shared" si="2055"/>
        <v>2744</v>
      </c>
      <c r="BQ2027" s="17">
        <f t="shared" si="2056"/>
        <v>2749</v>
      </c>
      <c r="BR2027" t="str">
        <f t="shared" si="2057"/>
        <v>opp_team_player_2</v>
      </c>
      <c r="BS2027">
        <f>COUNTIFS(S$3:S2027,"="&amp;S2027,AI$3:AI2027,"="&amp;AI2027)</f>
        <v>2</v>
      </c>
      <c r="BT2027" t="str">
        <f>IFERROR(VLOOKUP(BB2027&amp;BU2027&amp;X2027,game_rosters!U:W,3,FALSE),"")</f>
        <v>P100079</v>
      </c>
      <c r="BU2027" t="str">
        <f t="shared" si="2058"/>
        <v>Nelson</v>
      </c>
    </row>
    <row r="2028" spans="1:73" x14ac:dyDescent="0.2">
      <c r="A2028">
        <f t="shared" si="2044"/>
        <v>1</v>
      </c>
      <c r="J2028" s="44" t="str">
        <f t="shared" si="2059"/>
        <v>d</v>
      </c>
      <c r="K2028" t="s">
        <v>11</v>
      </c>
      <c r="L2028" t="s">
        <v>187</v>
      </c>
      <c r="M2028" t="s">
        <v>108</v>
      </c>
      <c r="S2028">
        <v>1069</v>
      </c>
      <c r="W2028" t="str">
        <f t="shared" si="2035"/>
        <v>h</v>
      </c>
      <c r="X2028">
        <v>31</v>
      </c>
      <c r="Y2028" t="b">
        <f>IF(X2028&lt;&gt;"",VLOOKUP(X2028,game_rosters!$C$43:$E$64,3,FALSE))</f>
        <v>0</v>
      </c>
      <c r="Z2028" cm="1">
        <f t="array" ref="Z2028">IFERROR(IF(_xlfn._xlws.FILTER(game_rosters!$J:$J,(game_rosters!$G:$G=events!$AN2028)*(game_rosters!$J:$J=events!$X2028))&gt;0,1,""),"")</f>
        <v>1</v>
      </c>
      <c r="AA2028">
        <f t="shared" si="2083"/>
        <v>2069</v>
      </c>
      <c r="AB2028" t="str">
        <f t="shared" si="2084"/>
        <v/>
      </c>
      <c r="AC2028">
        <f t="shared" si="2032"/>
        <v>2069</v>
      </c>
      <c r="AD2028" s="6">
        <v>3</v>
      </c>
      <c r="AE2028" t="s">
        <v>910</v>
      </c>
      <c r="AF2028" t="s">
        <v>915</v>
      </c>
      <c r="AG2028" t="s">
        <v>756</v>
      </c>
      <c r="AH2028" t="s">
        <v>756</v>
      </c>
      <c r="AI2028" t="s">
        <v>367</v>
      </c>
      <c r="AJ2028" t="str">
        <f t="shared" ref="AJ2028:AK2028" si="2100">IF($J2028&lt;&gt;"",$J2028,IF($AC2028=$AC2027,AJ2027,""))</f>
        <v>d</v>
      </c>
      <c r="AK2028" t="str">
        <f t="shared" si="2100"/>
        <v>d</v>
      </c>
      <c r="AL2028" t="str">
        <f t="shared" si="2037"/>
        <v>d</v>
      </c>
      <c r="AN2028" t="s">
        <v>861</v>
      </c>
      <c r="AO2028" t="str">
        <f t="shared" si="2038"/>
        <v>h</v>
      </c>
      <c r="AP2028" t="str">
        <f t="shared" si="2046"/>
        <v>d</v>
      </c>
      <c r="AQ2028" t="str">
        <f t="shared" si="2047"/>
        <v/>
      </c>
      <c r="AR2028" t="str">
        <f t="shared" si="2048"/>
        <v>Home</v>
      </c>
      <c r="AS2028" t="str">
        <f t="shared" si="2049"/>
        <v>h</v>
      </c>
      <c r="AT2028" t="str">
        <f t="shared" si="2050"/>
        <v/>
      </c>
      <c r="BA2028" s="6">
        <f t="shared" si="2039"/>
        <v>469</v>
      </c>
      <c r="BB2028">
        <f t="shared" si="2040"/>
        <v>18981</v>
      </c>
      <c r="BC2028" t="str">
        <f t="shared" si="2041"/>
        <v>Nelson</v>
      </c>
      <c r="BD2028" t="str">
        <f t="shared" si="2042"/>
        <v>Velodrome</v>
      </c>
      <c r="BE2028" t="s">
        <v>11</v>
      </c>
      <c r="BF2028" t="s">
        <v>187</v>
      </c>
      <c r="BG2028" t="s">
        <v>108</v>
      </c>
      <c r="BI2028" cm="1">
        <f t="array" ref="BI2028">IFERROR(_xlfn._xlws.FILTER(shifts!A:A,(shifts!B:B=events!AD2028)*(shifts!AG:AG&gt;=events!BK2028)*(shifts!AH:AH&lt;=events!BL2028)),BI2027)</f>
        <v>88</v>
      </c>
      <c r="BJ2028" s="15">
        <f t="shared" si="2043"/>
        <v>0</v>
      </c>
      <c r="BK2028">
        <f t="shared" si="2051"/>
        <v>630</v>
      </c>
      <c r="BL2028">
        <f t="shared" si="2052"/>
        <v>630</v>
      </c>
      <c r="BM2028" s="15">
        <f>SUMIFS(BJ$2:BJ2028,K$2:K2028,"=Intermission")+SUMIFS(BJ$2:BJ2028,K$2:K2028,"=Timeout")</f>
        <v>142</v>
      </c>
      <c r="BN2028">
        <f t="shared" si="2053"/>
        <v>2302</v>
      </c>
      <c r="BO2028" s="19">
        <f t="shared" si="2054"/>
        <v>2752</v>
      </c>
      <c r="BP2028">
        <f t="shared" si="2055"/>
        <v>2747</v>
      </c>
      <c r="BQ2028" s="17">
        <f t="shared" si="2056"/>
        <v>2752</v>
      </c>
      <c r="BR2028" t="str">
        <f t="shared" si="2057"/>
        <v>event_team_player_1</v>
      </c>
      <c r="BS2028">
        <f>COUNTIFS(S$3:S2028,"="&amp;S2028,AI$3:AI2028,"="&amp;AI2028)</f>
        <v>1</v>
      </c>
      <c r="BT2028" t="str">
        <f>IFERROR(VLOOKUP(BB2028&amp;BU2028&amp;X2028,game_rosters!U:W,3,FALSE),"")</f>
        <v>P100138</v>
      </c>
      <c r="BU2028" t="str">
        <f t="shared" si="2058"/>
        <v>Nelson</v>
      </c>
    </row>
    <row r="2029" spans="1:73" x14ac:dyDescent="0.2">
      <c r="A2029">
        <f t="shared" si="2044"/>
        <v>1</v>
      </c>
      <c r="J2029" s="44" t="str">
        <f t="shared" si="2059"/>
        <v>d</v>
      </c>
      <c r="K2029" t="s">
        <v>241</v>
      </c>
      <c r="L2029" t="s">
        <v>756</v>
      </c>
      <c r="M2029" t="s">
        <v>756</v>
      </c>
      <c r="S2029">
        <v>1070</v>
      </c>
      <c r="W2029" t="str">
        <f t="shared" si="2035"/>
        <v>h</v>
      </c>
      <c r="X2029">
        <v>31</v>
      </c>
      <c r="Y2029" t="b">
        <f>IF(X2029&lt;&gt;"",VLOOKUP(X2029,game_rosters!$C$43:$E$64,3,FALSE))</f>
        <v>0</v>
      </c>
      <c r="Z2029" cm="1">
        <f t="array" ref="Z2029">IFERROR(IF(_xlfn._xlws.FILTER(game_rosters!$J:$J,(game_rosters!$G:$G=events!$AN2029)*(game_rosters!$J:$J=events!$X2029))&gt;0,1,""),"")</f>
        <v>1</v>
      </c>
      <c r="AA2029">
        <f t="shared" si="2083"/>
        <v>2070</v>
      </c>
      <c r="AB2029" t="str">
        <f t="shared" si="2084"/>
        <v/>
      </c>
      <c r="AC2029">
        <f t="shared" si="2032"/>
        <v>2070</v>
      </c>
      <c r="AD2029" s="6">
        <v>3</v>
      </c>
      <c r="AE2029" t="s">
        <v>910</v>
      </c>
      <c r="AF2029" t="s">
        <v>915</v>
      </c>
      <c r="AG2029" t="s">
        <v>910</v>
      </c>
      <c r="AH2029" t="s">
        <v>920</v>
      </c>
      <c r="AI2029" t="s">
        <v>367</v>
      </c>
      <c r="AJ2029" t="str">
        <f t="shared" ref="AJ2029:AK2029" si="2101">IF($J2029&lt;&gt;"",$J2029,IF($AC2029=$AC2028,AJ2028,""))</f>
        <v>d</v>
      </c>
      <c r="AK2029" t="str">
        <f t="shared" si="2101"/>
        <v>d</v>
      </c>
      <c r="AL2029" t="str">
        <f t="shared" si="2037"/>
        <v>d</v>
      </c>
      <c r="AN2029" t="s">
        <v>861</v>
      </c>
      <c r="AO2029" t="str">
        <f t="shared" si="2038"/>
        <v>h</v>
      </c>
      <c r="AP2029" t="str">
        <f t="shared" si="2046"/>
        <v>d</v>
      </c>
      <c r="AQ2029" t="str">
        <f t="shared" si="2047"/>
        <v/>
      </c>
      <c r="AR2029" t="str">
        <f t="shared" si="2048"/>
        <v>Home</v>
      </c>
      <c r="AS2029" t="str">
        <f t="shared" si="2049"/>
        <v>h</v>
      </c>
      <c r="AT2029" t="str">
        <f t="shared" si="2050"/>
        <v/>
      </c>
      <c r="BA2029" s="6">
        <f t="shared" si="2039"/>
        <v>469</v>
      </c>
      <c r="BB2029">
        <f t="shared" si="2040"/>
        <v>18981</v>
      </c>
      <c r="BC2029" t="str">
        <f t="shared" si="2041"/>
        <v>Nelson</v>
      </c>
      <c r="BD2029" t="str">
        <f t="shared" si="2042"/>
        <v>Velodrome</v>
      </c>
      <c r="BE2029" t="s">
        <v>241</v>
      </c>
      <c r="BF2029" t="s">
        <v>756</v>
      </c>
      <c r="BG2029" t="s">
        <v>756</v>
      </c>
      <c r="BI2029" cm="1">
        <f t="array" ref="BI2029">IFERROR(_xlfn._xlws.FILTER(shifts!A:A,(shifts!B:B=events!AD2029)*(shifts!AG:AG&gt;=events!BK2029)*(shifts!AH:AH&lt;=events!BL2029)),BI2028)</f>
        <v>88</v>
      </c>
      <c r="BJ2029" s="15">
        <f t="shared" si="2043"/>
        <v>21</v>
      </c>
      <c r="BK2029">
        <f t="shared" si="2051"/>
        <v>630</v>
      </c>
      <c r="BL2029">
        <f t="shared" si="2052"/>
        <v>609</v>
      </c>
      <c r="BM2029" s="15">
        <f>SUMIFS(BJ$2:BJ2029,K$2:K2029,"=Intermission")+SUMIFS(BJ$2:BJ2029,K$2:K2029,"=Timeout")</f>
        <v>142</v>
      </c>
      <c r="BN2029">
        <f t="shared" si="2053"/>
        <v>2302</v>
      </c>
      <c r="BO2029" s="19">
        <f t="shared" si="2054"/>
        <v>2752</v>
      </c>
      <c r="BP2029">
        <f t="shared" si="2055"/>
        <v>2747</v>
      </c>
      <c r="BQ2029" s="17">
        <f t="shared" si="2056"/>
        <v>2773</v>
      </c>
      <c r="BR2029" t="str">
        <f t="shared" si="2057"/>
        <v>event_team_player_1</v>
      </c>
      <c r="BS2029">
        <f>COUNTIFS(S$3:S2029,"="&amp;S2029,AI$3:AI2029,"="&amp;AI2029)</f>
        <v>1</v>
      </c>
      <c r="BT2029" t="str">
        <f>IFERROR(VLOOKUP(BB2029&amp;BU2029&amp;X2029,game_rosters!U:W,3,FALSE),"")</f>
        <v>P100138</v>
      </c>
      <c r="BU2029" t="str">
        <f t="shared" si="2058"/>
        <v>Nelson</v>
      </c>
    </row>
    <row r="2030" spans="1:73" x14ac:dyDescent="0.2">
      <c r="A2030">
        <f t="shared" si="2044"/>
        <v>1</v>
      </c>
      <c r="J2030" s="44" t="str">
        <f t="shared" si="2059"/>
        <v/>
      </c>
      <c r="K2030" t="s">
        <v>5</v>
      </c>
      <c r="L2030" t="s">
        <v>236</v>
      </c>
      <c r="M2030" t="s">
        <v>756</v>
      </c>
      <c r="S2030">
        <v>1071</v>
      </c>
      <c r="W2030" t="str">
        <f t="shared" si="2035"/>
        <v>a</v>
      </c>
      <c r="X2030">
        <v>70</v>
      </c>
      <c r="Y2030" t="e">
        <f>IF(X2030&lt;&gt;"",VLOOKUP(X2030,game_rosters!$C$43:$E$64,3,FALSE))</f>
        <v>#N/A</v>
      </c>
      <c r="Z2030" cm="1">
        <f t="array" ref="Z2030">IFERROR(IF(_xlfn._xlws.FILTER(game_rosters!$J:$J,(game_rosters!$G:$G=events!$AN2030)*(game_rosters!$J:$J=events!$X2030))&gt;0,1,""),"")</f>
        <v>1</v>
      </c>
      <c r="AA2030">
        <f t="shared" si="2083"/>
        <v>2071</v>
      </c>
      <c r="AB2030" t="str">
        <f t="shared" si="2084"/>
        <v/>
      </c>
      <c r="AC2030">
        <f t="shared" si="2032"/>
        <v>2071</v>
      </c>
      <c r="AD2030" s="6">
        <v>3</v>
      </c>
      <c r="AE2030" t="s">
        <v>910</v>
      </c>
      <c r="AF2030" t="s">
        <v>920</v>
      </c>
      <c r="AG2030" t="s">
        <v>756</v>
      </c>
      <c r="AH2030" t="s">
        <v>756</v>
      </c>
      <c r="AI2030" t="s">
        <v>367</v>
      </c>
      <c r="AJ2030" t="str">
        <f t="shared" ref="AJ2030:AK2030" si="2102">IF($J2030&lt;&gt;"",$J2030,IF($AC2030=$AC2029,AJ2029,""))</f>
        <v/>
      </c>
      <c r="AK2030" t="str">
        <f t="shared" si="2102"/>
        <v/>
      </c>
      <c r="AL2030" t="str">
        <f t="shared" si="2037"/>
        <v/>
      </c>
      <c r="AN2030" t="s">
        <v>862</v>
      </c>
      <c r="AO2030" t="str">
        <f t="shared" si="2038"/>
        <v>a</v>
      </c>
      <c r="AP2030" t="str">
        <f t="shared" si="2046"/>
        <v/>
      </c>
      <c r="AQ2030" t="str">
        <f t="shared" si="2047"/>
        <v/>
      </c>
      <c r="AR2030" t="str">
        <f t="shared" si="2048"/>
        <v>Away</v>
      </c>
      <c r="AS2030" t="str">
        <f t="shared" si="2049"/>
        <v>a</v>
      </c>
      <c r="AT2030" t="str">
        <f t="shared" si="2050"/>
        <v>Offensive</v>
      </c>
      <c r="BA2030" s="6">
        <f t="shared" si="2039"/>
        <v>469</v>
      </c>
      <c r="BB2030">
        <f t="shared" si="2040"/>
        <v>18981</v>
      </c>
      <c r="BC2030" t="str">
        <f t="shared" si="2041"/>
        <v>Nelson</v>
      </c>
      <c r="BD2030" t="str">
        <f t="shared" si="2042"/>
        <v>Velodrome</v>
      </c>
      <c r="BE2030" t="s">
        <v>5</v>
      </c>
      <c r="BF2030" t="s">
        <v>236</v>
      </c>
      <c r="BG2030" t="s">
        <v>756</v>
      </c>
      <c r="BI2030" cm="1">
        <f t="array" ref="BI2030">IFERROR(_xlfn._xlws.FILTER(shifts!A:A,(shifts!B:B=events!AD2030)*(shifts!AG:AG&gt;=events!BK2030)*(shifts!AH:AH&lt;=events!BL2030)),BI2029)</f>
        <v>89</v>
      </c>
      <c r="BJ2030" s="15">
        <f t="shared" si="2043"/>
        <v>0</v>
      </c>
      <c r="BK2030">
        <f t="shared" si="2051"/>
        <v>609</v>
      </c>
      <c r="BL2030">
        <f t="shared" si="2052"/>
        <v>609</v>
      </c>
      <c r="BM2030" s="15">
        <f>SUMIFS(BJ$2:BJ2030,K$2:K2030,"=Intermission")+SUMIFS(BJ$2:BJ2030,K$2:K2030,"=Timeout")</f>
        <v>142</v>
      </c>
      <c r="BN2030">
        <f t="shared" si="2053"/>
        <v>2302</v>
      </c>
      <c r="BO2030" s="19">
        <f t="shared" si="2054"/>
        <v>2773</v>
      </c>
      <c r="BP2030">
        <f t="shared" si="2055"/>
        <v>2768</v>
      </c>
      <c r="BQ2030" s="17">
        <f t="shared" si="2056"/>
        <v>2773</v>
      </c>
      <c r="BR2030" t="str">
        <f t="shared" si="2057"/>
        <v>event_team_player_1</v>
      </c>
      <c r="BS2030">
        <f>COUNTIFS(S$3:S2030,"="&amp;S2030,AI$3:AI2030,"="&amp;AI2030)</f>
        <v>1</v>
      </c>
      <c r="BT2030" t="str">
        <f>IFERROR(VLOOKUP(BB2030&amp;BU2030&amp;X2030,game_rosters!U:W,3,FALSE),"")</f>
        <v>P100001</v>
      </c>
      <c r="BU2030" t="str">
        <f t="shared" si="2058"/>
        <v>Velodrome</v>
      </c>
    </row>
    <row r="2031" spans="1:73" x14ac:dyDescent="0.2">
      <c r="A2031">
        <f t="shared" si="2044"/>
        <v>1</v>
      </c>
      <c r="J2031" s="44" t="str">
        <f t="shared" si="2059"/>
        <v/>
      </c>
      <c r="K2031" t="s">
        <v>5</v>
      </c>
      <c r="L2031" t="s">
        <v>236</v>
      </c>
      <c r="M2031" t="s">
        <v>756</v>
      </c>
      <c r="S2031">
        <v>1071</v>
      </c>
      <c r="W2031" t="str">
        <f t="shared" si="2035"/>
        <v>a</v>
      </c>
      <c r="X2031">
        <v>10</v>
      </c>
      <c r="Y2031" t="b">
        <f>IF(X2031&lt;&gt;"",VLOOKUP(X2031,game_rosters!$C$43:$E$64,3,FALSE))</f>
        <v>0</v>
      </c>
      <c r="Z2031" t="str" cm="1">
        <f t="array" ref="Z2031">IFERROR(IF(_xlfn._xlws.FILTER(game_rosters!$J:$J,(game_rosters!$G:$G=events!$AN2031)*(game_rosters!$J:$J=events!$X2031))&gt;0,1,""),"")</f>
        <v/>
      </c>
      <c r="AA2031">
        <f t="shared" si="2083"/>
        <v>2071</v>
      </c>
      <c r="AB2031" t="str">
        <f t="shared" si="2084"/>
        <v/>
      </c>
      <c r="AC2031">
        <f t="shared" si="2032"/>
        <v>2071</v>
      </c>
      <c r="AD2031" s="6">
        <v>3</v>
      </c>
      <c r="AE2031" t="s">
        <v>910</v>
      </c>
      <c r="AF2031" t="s">
        <v>920</v>
      </c>
      <c r="AG2031" t="s">
        <v>756</v>
      </c>
      <c r="AH2031" t="s">
        <v>756</v>
      </c>
      <c r="AI2031" t="s">
        <v>368</v>
      </c>
      <c r="AJ2031" t="str">
        <f t="shared" ref="AJ2031:AK2031" si="2103">IF($J2031&lt;&gt;"",$J2031,IF($AC2031=$AC2030,AJ2030,""))</f>
        <v/>
      </c>
      <c r="AK2031" t="str">
        <f t="shared" si="2103"/>
        <v/>
      </c>
      <c r="AL2031" t="str">
        <f t="shared" si="2037"/>
        <v/>
      </c>
      <c r="AN2031" t="s">
        <v>862</v>
      </c>
      <c r="AO2031" t="str">
        <f t="shared" si="2038"/>
        <v>a</v>
      </c>
      <c r="AP2031" t="str">
        <f t="shared" si="2046"/>
        <v/>
      </c>
      <c r="AQ2031" t="str">
        <f t="shared" si="2047"/>
        <v/>
      </c>
      <c r="AR2031" t="str">
        <f t="shared" si="2048"/>
        <v>Away</v>
      </c>
      <c r="AS2031" t="str">
        <f t="shared" si="2049"/>
        <v>a</v>
      </c>
      <c r="AT2031" t="str">
        <f t="shared" si="2050"/>
        <v>Defensive</v>
      </c>
      <c r="BA2031" s="6">
        <f t="shared" si="2039"/>
        <v>469</v>
      </c>
      <c r="BB2031">
        <f t="shared" si="2040"/>
        <v>18981</v>
      </c>
      <c r="BC2031" t="str">
        <f t="shared" si="2041"/>
        <v>Nelson</v>
      </c>
      <c r="BD2031" t="str">
        <f t="shared" si="2042"/>
        <v>Velodrome</v>
      </c>
      <c r="BE2031" t="s">
        <v>5</v>
      </c>
      <c r="BF2031" t="s">
        <v>236</v>
      </c>
      <c r="BG2031" t="s">
        <v>756</v>
      </c>
      <c r="BI2031" cm="1">
        <f t="array" ref="BI2031">IFERROR(_xlfn._xlws.FILTER(shifts!A:A,(shifts!B:B=events!AD2031)*(shifts!AG:AG&gt;=events!BK2031)*(shifts!AH:AH&lt;=events!BL2031)),BI2030)</f>
        <v>89</v>
      </c>
      <c r="BJ2031" s="15">
        <f t="shared" si="2043"/>
        <v>0</v>
      </c>
      <c r="BK2031">
        <f t="shared" si="2051"/>
        <v>609</v>
      </c>
      <c r="BL2031">
        <f t="shared" si="2052"/>
        <v>609</v>
      </c>
      <c r="BM2031" s="15">
        <f>SUMIFS(BJ$2:BJ2031,K$2:K2031,"=Intermission")+SUMIFS(BJ$2:BJ2031,K$2:K2031,"=Timeout")</f>
        <v>142</v>
      </c>
      <c r="BN2031">
        <f t="shared" si="2053"/>
        <v>2302</v>
      </c>
      <c r="BO2031" s="19">
        <f t="shared" si="2054"/>
        <v>2773</v>
      </c>
      <c r="BP2031">
        <f t="shared" si="2055"/>
        <v>2768</v>
      </c>
      <c r="BQ2031" s="17">
        <f t="shared" si="2056"/>
        <v>2773</v>
      </c>
      <c r="BR2031" t="str">
        <f t="shared" si="2057"/>
        <v>opp_team_player_1</v>
      </c>
      <c r="BS2031">
        <f>COUNTIFS(S$3:S2031,"="&amp;S2031,AI$3:AI2031,"="&amp;AI2031)</f>
        <v>1</v>
      </c>
      <c r="BT2031" t="str">
        <f>IFERROR(VLOOKUP(BB2031&amp;BU2031&amp;X2031,game_rosters!U:W,3,FALSE),"")</f>
        <v>P100078</v>
      </c>
      <c r="BU2031" t="str">
        <f t="shared" si="2058"/>
        <v>Nelson</v>
      </c>
    </row>
    <row r="2032" spans="1:73" x14ac:dyDescent="0.2">
      <c r="A2032">
        <f t="shared" si="2044"/>
        <v>1</v>
      </c>
      <c r="J2032" s="44" t="str">
        <f t="shared" si="2059"/>
        <v/>
      </c>
      <c r="K2032" t="s">
        <v>11</v>
      </c>
      <c r="L2032" t="s">
        <v>187</v>
      </c>
      <c r="M2032" t="s">
        <v>106</v>
      </c>
      <c r="S2032">
        <v>1072</v>
      </c>
      <c r="W2032" t="str">
        <f t="shared" si="2035"/>
        <v>h</v>
      </c>
      <c r="X2032">
        <v>23</v>
      </c>
      <c r="Y2032" t="b">
        <f>IF(X2032&lt;&gt;"",VLOOKUP(X2032,game_rosters!$C$43:$E$64,3,FALSE))</f>
        <v>0</v>
      </c>
      <c r="Z2032" cm="1">
        <f t="array" ref="Z2032">IFERROR(IF(_xlfn._xlws.FILTER(game_rosters!$J:$J,(game_rosters!$G:$G=events!$AN2032)*(game_rosters!$J:$J=events!$X2032))&gt;0,1,""),"")</f>
        <v>1</v>
      </c>
      <c r="AA2032">
        <f t="shared" si="2083"/>
        <v>2072</v>
      </c>
      <c r="AB2032" t="str">
        <f t="shared" si="2084"/>
        <v/>
      </c>
      <c r="AC2032">
        <f t="shared" si="2032"/>
        <v>2072</v>
      </c>
      <c r="AD2032" s="6">
        <v>3</v>
      </c>
      <c r="AE2032" t="s">
        <v>910</v>
      </c>
      <c r="AF2032" t="s">
        <v>413</v>
      </c>
      <c r="AG2032" t="s">
        <v>756</v>
      </c>
      <c r="AH2032" t="s">
        <v>756</v>
      </c>
      <c r="AI2032" t="s">
        <v>367</v>
      </c>
      <c r="AJ2032" t="str">
        <f t="shared" ref="AJ2032:AK2032" si="2104">IF($J2032&lt;&gt;"",$J2032,IF($AC2032=$AC2031,AJ2031,""))</f>
        <v/>
      </c>
      <c r="AK2032" t="str">
        <f t="shared" si="2104"/>
        <v/>
      </c>
      <c r="AL2032" t="str">
        <f t="shared" si="2037"/>
        <v/>
      </c>
      <c r="AN2032" t="s">
        <v>861</v>
      </c>
      <c r="AO2032" t="str">
        <f t="shared" si="2038"/>
        <v>h</v>
      </c>
      <c r="AP2032" t="str">
        <f t="shared" si="2046"/>
        <v/>
      </c>
      <c r="AQ2032" t="str">
        <f t="shared" si="2047"/>
        <v/>
      </c>
      <c r="AR2032" t="str">
        <f t="shared" si="2048"/>
        <v>Home</v>
      </c>
      <c r="AS2032" t="str">
        <f t="shared" si="2049"/>
        <v>h</v>
      </c>
      <c r="AT2032" t="str">
        <f t="shared" si="2050"/>
        <v/>
      </c>
      <c r="BA2032" s="6">
        <f t="shared" si="2039"/>
        <v>469</v>
      </c>
      <c r="BB2032">
        <f t="shared" si="2040"/>
        <v>18981</v>
      </c>
      <c r="BC2032" t="str">
        <f t="shared" si="2041"/>
        <v>Nelson</v>
      </c>
      <c r="BD2032" t="str">
        <f t="shared" si="2042"/>
        <v>Velodrome</v>
      </c>
      <c r="BE2032" t="s">
        <v>11</v>
      </c>
      <c r="BF2032" t="s">
        <v>187</v>
      </c>
      <c r="BG2032" t="s">
        <v>106</v>
      </c>
      <c r="BI2032" cm="1">
        <f t="array" ref="BI2032">IFERROR(_xlfn._xlws.FILTER(shifts!A:A,(shifts!B:B=events!AD2032)*(shifts!AG:AG&gt;=events!BK2032)*(shifts!AH:AH&lt;=events!BL2032)),BI2031)</f>
        <v>89</v>
      </c>
      <c r="BJ2032" s="15">
        <f t="shared" si="2043"/>
        <v>0</v>
      </c>
      <c r="BK2032">
        <f t="shared" si="2051"/>
        <v>600</v>
      </c>
      <c r="BL2032">
        <f t="shared" si="2052"/>
        <v>600</v>
      </c>
      <c r="BM2032" s="15">
        <f>SUMIFS(BJ$2:BJ2032,K$2:K2032,"=Intermission")+SUMIFS(BJ$2:BJ2032,K$2:K2032,"=Timeout")</f>
        <v>142</v>
      </c>
      <c r="BN2032">
        <f t="shared" si="2053"/>
        <v>2302</v>
      </c>
      <c r="BO2032" s="19">
        <f t="shared" si="2054"/>
        <v>2782</v>
      </c>
      <c r="BP2032">
        <f t="shared" si="2055"/>
        <v>2777</v>
      </c>
      <c r="BQ2032" s="17">
        <f t="shared" si="2056"/>
        <v>2782</v>
      </c>
      <c r="BR2032" t="str">
        <f t="shared" si="2057"/>
        <v>event_team_player_1</v>
      </c>
      <c r="BS2032">
        <f>COUNTIFS(S$3:S2032,"="&amp;S2032,AI$3:AI2032,"="&amp;AI2032)</f>
        <v>1</v>
      </c>
      <c r="BT2032" t="str">
        <f>IFERROR(VLOOKUP(BB2032&amp;BU2032&amp;X2032,game_rosters!U:W,3,FALSE),"")</f>
        <v>P100061</v>
      </c>
      <c r="BU2032" t="str">
        <f t="shared" si="2058"/>
        <v>Nelson</v>
      </c>
    </row>
    <row r="2033" spans="1:73" x14ac:dyDescent="0.2">
      <c r="A2033">
        <f t="shared" si="2044"/>
        <v>1</v>
      </c>
      <c r="J2033" s="44" t="str">
        <f t="shared" si="2059"/>
        <v/>
      </c>
      <c r="K2033" t="s">
        <v>241</v>
      </c>
      <c r="L2033" t="s">
        <v>756</v>
      </c>
      <c r="M2033" t="s">
        <v>756</v>
      </c>
      <c r="S2033">
        <v>1073</v>
      </c>
      <c r="W2033" t="str">
        <f t="shared" si="2035"/>
        <v>h</v>
      </c>
      <c r="X2033">
        <v>23</v>
      </c>
      <c r="Y2033" t="b">
        <f>IF(X2033&lt;&gt;"",VLOOKUP(X2033,game_rosters!$C$43:$E$64,3,FALSE))</f>
        <v>0</v>
      </c>
      <c r="Z2033" cm="1">
        <f t="array" ref="Z2033">IFERROR(IF(_xlfn._xlws.FILTER(game_rosters!$J:$J,(game_rosters!$G:$G=events!$AN2033)*(game_rosters!$J:$J=events!$X2033))&gt;0,1,""),"")</f>
        <v>1</v>
      </c>
      <c r="AA2033">
        <f t="shared" si="2083"/>
        <v>2073</v>
      </c>
      <c r="AB2033" t="str">
        <f t="shared" si="2084"/>
        <v/>
      </c>
      <c r="AC2033">
        <f t="shared" si="2032"/>
        <v>2073</v>
      </c>
      <c r="AD2033" s="6">
        <v>3</v>
      </c>
      <c r="AE2033" t="s">
        <v>910</v>
      </c>
      <c r="AF2033" t="s">
        <v>413</v>
      </c>
      <c r="AG2033" t="s">
        <v>933</v>
      </c>
      <c r="AH2033" t="s">
        <v>903</v>
      </c>
      <c r="AI2033" t="s">
        <v>367</v>
      </c>
      <c r="AJ2033" t="str">
        <f t="shared" ref="AJ2033:AK2033" si="2105">IF($J2033&lt;&gt;"",$J2033,IF($AC2033=$AC2032,AJ2032,""))</f>
        <v/>
      </c>
      <c r="AK2033" t="str">
        <f t="shared" si="2105"/>
        <v/>
      </c>
      <c r="AL2033" t="str">
        <f t="shared" si="2037"/>
        <v/>
      </c>
      <c r="AN2033" t="s">
        <v>861</v>
      </c>
      <c r="AO2033" t="str">
        <f t="shared" si="2038"/>
        <v>h</v>
      </c>
      <c r="AP2033" t="str">
        <f t="shared" si="2046"/>
        <v/>
      </c>
      <c r="AQ2033" t="str">
        <f t="shared" si="2047"/>
        <v/>
      </c>
      <c r="AR2033" t="str">
        <f t="shared" si="2048"/>
        <v>Home</v>
      </c>
      <c r="AS2033" t="str">
        <f t="shared" si="2049"/>
        <v>h</v>
      </c>
      <c r="AT2033" t="str">
        <f t="shared" si="2050"/>
        <v/>
      </c>
      <c r="BA2033" s="6">
        <f t="shared" si="2039"/>
        <v>469</v>
      </c>
      <c r="BB2033">
        <f t="shared" si="2040"/>
        <v>18981</v>
      </c>
      <c r="BC2033" t="str">
        <f t="shared" si="2041"/>
        <v>Nelson</v>
      </c>
      <c r="BD2033" t="str">
        <f t="shared" si="2042"/>
        <v>Velodrome</v>
      </c>
      <c r="BE2033" t="s">
        <v>241</v>
      </c>
      <c r="BF2033" t="s">
        <v>756</v>
      </c>
      <c r="BG2033" t="s">
        <v>756</v>
      </c>
      <c r="BI2033" cm="1">
        <f t="array" ref="BI2033">IFERROR(_xlfn._xlws.FILTER(shifts!A:A,(shifts!B:B=events!AD2033)*(shifts!AG:AG&gt;=events!BK2033)*(shifts!AH:AH&lt;=events!BL2033)),BI2032)</f>
        <v>89</v>
      </c>
      <c r="BJ2033" s="15">
        <f t="shared" si="2043"/>
        <v>20</v>
      </c>
      <c r="BK2033">
        <f t="shared" si="2051"/>
        <v>600</v>
      </c>
      <c r="BL2033">
        <f t="shared" si="2052"/>
        <v>580</v>
      </c>
      <c r="BM2033" s="15">
        <f>SUMIFS(BJ$2:BJ2033,K$2:K2033,"=Intermission")+SUMIFS(BJ$2:BJ2033,K$2:K2033,"=Timeout")</f>
        <v>142</v>
      </c>
      <c r="BN2033">
        <f t="shared" si="2053"/>
        <v>2302</v>
      </c>
      <c r="BO2033" s="19">
        <f t="shared" si="2054"/>
        <v>2782</v>
      </c>
      <c r="BP2033">
        <f t="shared" si="2055"/>
        <v>2777</v>
      </c>
      <c r="BQ2033" s="17">
        <f t="shared" si="2056"/>
        <v>2802</v>
      </c>
      <c r="BR2033" t="str">
        <f t="shared" si="2057"/>
        <v>event_team_player_1</v>
      </c>
      <c r="BS2033">
        <f>COUNTIFS(S$3:S2033,"="&amp;S2033,AI$3:AI2033,"="&amp;AI2033)</f>
        <v>1</v>
      </c>
      <c r="BT2033" t="str">
        <f>IFERROR(VLOOKUP(BB2033&amp;BU2033&amp;X2033,game_rosters!U:W,3,FALSE),"")</f>
        <v>P100061</v>
      </c>
      <c r="BU2033" t="str">
        <f t="shared" si="2058"/>
        <v>Nelson</v>
      </c>
    </row>
    <row r="2034" spans="1:73" x14ac:dyDescent="0.2">
      <c r="A2034">
        <f t="shared" si="2044"/>
        <v>1</v>
      </c>
      <c r="J2034" s="44" t="str">
        <f t="shared" si="2059"/>
        <v/>
      </c>
      <c r="K2034" t="s">
        <v>5</v>
      </c>
      <c r="L2034" t="s">
        <v>236</v>
      </c>
      <c r="M2034" t="s">
        <v>756</v>
      </c>
      <c r="S2034">
        <v>1074</v>
      </c>
      <c r="W2034" t="str">
        <f t="shared" si="2035"/>
        <v>a</v>
      </c>
      <c r="X2034">
        <v>70</v>
      </c>
      <c r="Y2034" t="e">
        <f>IF(X2034&lt;&gt;"",VLOOKUP(X2034,game_rosters!$C$43:$E$64,3,FALSE))</f>
        <v>#N/A</v>
      </c>
      <c r="Z2034" cm="1">
        <f t="array" ref="Z2034">IFERROR(IF(_xlfn._xlws.FILTER(game_rosters!$J:$J,(game_rosters!$G:$G=events!$AN2034)*(game_rosters!$J:$J=events!$X2034))&gt;0,1,""),"")</f>
        <v>1</v>
      </c>
      <c r="AA2034">
        <f t="shared" si="2083"/>
        <v>2074</v>
      </c>
      <c r="AB2034" t="str">
        <f t="shared" si="2084"/>
        <v/>
      </c>
      <c r="AC2034">
        <f t="shared" si="2032"/>
        <v>2074</v>
      </c>
      <c r="AD2034" s="6">
        <v>3</v>
      </c>
      <c r="AE2034" t="s">
        <v>933</v>
      </c>
      <c r="AF2034" t="s">
        <v>903</v>
      </c>
      <c r="AG2034" t="s">
        <v>756</v>
      </c>
      <c r="AH2034" t="s">
        <v>756</v>
      </c>
      <c r="AI2034" t="s">
        <v>367</v>
      </c>
      <c r="AJ2034" t="str">
        <f t="shared" ref="AJ2034:AK2034" si="2106">IF($J2034&lt;&gt;"",$J2034,IF($AC2034=$AC2033,AJ2033,""))</f>
        <v/>
      </c>
      <c r="AK2034" t="str">
        <f t="shared" si="2106"/>
        <v/>
      </c>
      <c r="AL2034" t="str">
        <f t="shared" si="2037"/>
        <v/>
      </c>
      <c r="AN2034" t="s">
        <v>862</v>
      </c>
      <c r="AO2034" t="str">
        <f t="shared" si="2038"/>
        <v>a</v>
      </c>
      <c r="AP2034" t="str">
        <f t="shared" si="2046"/>
        <v/>
      </c>
      <c r="AQ2034" t="str">
        <f t="shared" si="2047"/>
        <v/>
      </c>
      <c r="AR2034" t="str">
        <f t="shared" si="2048"/>
        <v>Away</v>
      </c>
      <c r="AS2034" t="str">
        <f t="shared" si="2049"/>
        <v>a</v>
      </c>
      <c r="AT2034" t="str">
        <f t="shared" si="2050"/>
        <v>Offensive</v>
      </c>
      <c r="BA2034" s="6">
        <f t="shared" si="2039"/>
        <v>469</v>
      </c>
      <c r="BB2034">
        <f t="shared" si="2040"/>
        <v>18981</v>
      </c>
      <c r="BC2034" t="str">
        <f t="shared" si="2041"/>
        <v>Nelson</v>
      </c>
      <c r="BD2034" t="str">
        <f t="shared" si="2042"/>
        <v>Velodrome</v>
      </c>
      <c r="BE2034" t="s">
        <v>5</v>
      </c>
      <c r="BF2034" t="s">
        <v>236</v>
      </c>
      <c r="BG2034" t="s">
        <v>756</v>
      </c>
      <c r="BI2034" cm="1">
        <f t="array" ref="BI2034">IFERROR(_xlfn._xlws.FILTER(shifts!A:A,(shifts!B:B=events!AD2034)*(shifts!AG:AG&gt;=events!BK2034)*(shifts!AH:AH&lt;=events!BL2034)),BI2033)</f>
        <v>89</v>
      </c>
      <c r="BJ2034" s="15">
        <f t="shared" si="2043"/>
        <v>0</v>
      </c>
      <c r="BK2034">
        <f t="shared" si="2051"/>
        <v>580</v>
      </c>
      <c r="BL2034">
        <f t="shared" si="2052"/>
        <v>580</v>
      </c>
      <c r="BM2034" s="15">
        <f>SUMIFS(BJ$2:BJ2034,K$2:K2034,"=Intermission")+SUMIFS(BJ$2:BJ2034,K$2:K2034,"=Timeout")</f>
        <v>142</v>
      </c>
      <c r="BN2034">
        <f t="shared" si="2053"/>
        <v>2302</v>
      </c>
      <c r="BO2034" s="19">
        <f t="shared" si="2054"/>
        <v>2802</v>
      </c>
      <c r="BP2034">
        <f t="shared" si="2055"/>
        <v>2797</v>
      </c>
      <c r="BQ2034" s="17">
        <f t="shared" si="2056"/>
        <v>2802</v>
      </c>
      <c r="BR2034" t="str">
        <f t="shared" si="2057"/>
        <v>event_team_player_1</v>
      </c>
      <c r="BS2034">
        <f>COUNTIFS(S$3:S2034,"="&amp;S2034,AI$3:AI2034,"="&amp;AI2034)</f>
        <v>1</v>
      </c>
      <c r="BT2034" t="str">
        <f>IFERROR(VLOOKUP(BB2034&amp;BU2034&amp;X2034,game_rosters!U:W,3,FALSE),"")</f>
        <v>P100001</v>
      </c>
      <c r="BU2034" t="str">
        <f t="shared" si="2058"/>
        <v>Velodrome</v>
      </c>
    </row>
    <row r="2035" spans="1:73" x14ac:dyDescent="0.2">
      <c r="A2035">
        <f t="shared" si="2044"/>
        <v>1</v>
      </c>
      <c r="J2035" s="44" t="str">
        <f t="shared" si="2059"/>
        <v/>
      </c>
      <c r="K2035" t="s">
        <v>5</v>
      </c>
      <c r="L2035" t="s">
        <v>236</v>
      </c>
      <c r="M2035" t="s">
        <v>756</v>
      </c>
      <c r="S2035">
        <v>1074</v>
      </c>
      <c r="W2035" t="str">
        <f t="shared" si="2035"/>
        <v>a</v>
      </c>
      <c r="X2035">
        <v>52</v>
      </c>
      <c r="Y2035" t="e">
        <f>IF(X2035&lt;&gt;"",VLOOKUP(X2035,game_rosters!$C$43:$E$64,3,FALSE))</f>
        <v>#N/A</v>
      </c>
      <c r="Z2035" cm="1">
        <f t="array" ref="Z2035">IFERROR(IF(_xlfn._xlws.FILTER(game_rosters!$J:$J,(game_rosters!$G:$G=events!$AN2035)*(game_rosters!$J:$J=events!$X2035))&gt;0,1,""),"")</f>
        <v>1</v>
      </c>
      <c r="AA2035">
        <f t="shared" si="2083"/>
        <v>2074</v>
      </c>
      <c r="AB2035" t="str">
        <f t="shared" si="2084"/>
        <v/>
      </c>
      <c r="AC2035">
        <f t="shared" si="2032"/>
        <v>2074</v>
      </c>
      <c r="AD2035" s="6">
        <v>3</v>
      </c>
      <c r="AE2035" t="s">
        <v>933</v>
      </c>
      <c r="AF2035" t="s">
        <v>903</v>
      </c>
      <c r="AG2035" t="s">
        <v>756</v>
      </c>
      <c r="AH2035" t="s">
        <v>756</v>
      </c>
      <c r="AI2035" t="s">
        <v>367</v>
      </c>
      <c r="AJ2035" t="str">
        <f t="shared" ref="AJ2035:AK2035" si="2107">IF($J2035&lt;&gt;"",$J2035,IF($AC2035=$AC2034,AJ2034,""))</f>
        <v/>
      </c>
      <c r="AK2035" t="str">
        <f t="shared" si="2107"/>
        <v/>
      </c>
      <c r="AL2035" t="str">
        <f t="shared" si="2037"/>
        <v/>
      </c>
      <c r="AN2035" t="s">
        <v>862</v>
      </c>
      <c r="AO2035" t="str">
        <f t="shared" si="2038"/>
        <v>a</v>
      </c>
      <c r="AP2035" t="str">
        <f t="shared" si="2046"/>
        <v/>
      </c>
      <c r="AQ2035" t="str">
        <f t="shared" si="2047"/>
        <v/>
      </c>
      <c r="AR2035" t="str">
        <f t="shared" si="2048"/>
        <v>Away</v>
      </c>
      <c r="AS2035" t="str">
        <f t="shared" si="2049"/>
        <v>a</v>
      </c>
      <c r="AT2035" t="str">
        <f t="shared" si="2050"/>
        <v>Offensive</v>
      </c>
      <c r="BA2035" s="6">
        <f t="shared" si="2039"/>
        <v>469</v>
      </c>
      <c r="BB2035">
        <f t="shared" si="2040"/>
        <v>18981</v>
      </c>
      <c r="BC2035" t="str">
        <f t="shared" si="2041"/>
        <v>Nelson</v>
      </c>
      <c r="BD2035" t="str">
        <f t="shared" si="2042"/>
        <v>Velodrome</v>
      </c>
      <c r="BE2035" t="s">
        <v>5</v>
      </c>
      <c r="BF2035" t="s">
        <v>236</v>
      </c>
      <c r="BG2035" t="s">
        <v>756</v>
      </c>
      <c r="BI2035" cm="1">
        <f t="array" ref="BI2035">IFERROR(_xlfn._xlws.FILTER(shifts!A:A,(shifts!B:B=events!AD2035)*(shifts!AG:AG&gt;=events!BK2035)*(shifts!AH:AH&lt;=events!BL2035)),BI2034)</f>
        <v>89</v>
      </c>
      <c r="BJ2035" s="15">
        <f t="shared" si="2043"/>
        <v>0</v>
      </c>
      <c r="BK2035">
        <f t="shared" si="2051"/>
        <v>580</v>
      </c>
      <c r="BL2035">
        <f t="shared" si="2052"/>
        <v>580</v>
      </c>
      <c r="BM2035" s="15">
        <f>SUMIFS(BJ$2:BJ2035,K$2:K2035,"=Intermission")+SUMIFS(BJ$2:BJ2035,K$2:K2035,"=Timeout")</f>
        <v>142</v>
      </c>
      <c r="BN2035">
        <f t="shared" si="2053"/>
        <v>2302</v>
      </c>
      <c r="BO2035" s="19">
        <f t="shared" si="2054"/>
        <v>2802</v>
      </c>
      <c r="BP2035">
        <f t="shared" si="2055"/>
        <v>2797</v>
      </c>
      <c r="BQ2035" s="17">
        <f t="shared" si="2056"/>
        <v>2802</v>
      </c>
      <c r="BR2035" t="str">
        <f t="shared" si="2057"/>
        <v>event_team_player_2</v>
      </c>
      <c r="BS2035">
        <f>COUNTIFS(S$3:S2035,"="&amp;S2035,AI$3:AI2035,"="&amp;AI2035)</f>
        <v>2</v>
      </c>
      <c r="BT2035" t="str">
        <f>IFERROR(VLOOKUP(BB2035&amp;BU2035&amp;X2035,game_rosters!U:W,3,FALSE),"")</f>
        <v>P100070</v>
      </c>
      <c r="BU2035" t="str">
        <f t="shared" si="2058"/>
        <v>Velodrome</v>
      </c>
    </row>
    <row r="2036" spans="1:73" x14ac:dyDescent="0.2">
      <c r="A2036">
        <f t="shared" si="2044"/>
        <v>1</v>
      </c>
      <c r="J2036" s="44" t="str">
        <f t="shared" si="2059"/>
        <v/>
      </c>
      <c r="K2036" t="s">
        <v>5</v>
      </c>
      <c r="L2036" t="s">
        <v>236</v>
      </c>
      <c r="M2036" t="s">
        <v>756</v>
      </c>
      <c r="S2036">
        <v>1074</v>
      </c>
      <c r="W2036" t="str">
        <f t="shared" si="2035"/>
        <v>a</v>
      </c>
      <c r="X2036">
        <v>10</v>
      </c>
      <c r="Y2036" t="b">
        <f>IF(X2036&lt;&gt;"",VLOOKUP(X2036,game_rosters!$C$43:$E$64,3,FALSE))</f>
        <v>0</v>
      </c>
      <c r="Z2036" t="str" cm="1">
        <f t="array" ref="Z2036">IFERROR(IF(_xlfn._xlws.FILTER(game_rosters!$J:$J,(game_rosters!$G:$G=events!$AN2036)*(game_rosters!$J:$J=events!$X2036))&gt;0,1,""),"")</f>
        <v/>
      </c>
      <c r="AA2036">
        <f t="shared" si="2083"/>
        <v>2074</v>
      </c>
      <c r="AB2036" t="str">
        <f t="shared" si="2084"/>
        <v/>
      </c>
      <c r="AC2036">
        <f t="shared" si="2032"/>
        <v>2074</v>
      </c>
      <c r="AD2036" s="6">
        <v>3</v>
      </c>
      <c r="AE2036" t="s">
        <v>933</v>
      </c>
      <c r="AF2036" t="s">
        <v>903</v>
      </c>
      <c r="AG2036" t="s">
        <v>756</v>
      </c>
      <c r="AH2036" t="s">
        <v>756</v>
      </c>
      <c r="AI2036" t="s">
        <v>368</v>
      </c>
      <c r="AJ2036" t="str">
        <f t="shared" ref="AJ2036:AK2036" si="2108">IF($J2036&lt;&gt;"",$J2036,IF($AC2036=$AC2035,AJ2035,""))</f>
        <v/>
      </c>
      <c r="AK2036" t="str">
        <f t="shared" si="2108"/>
        <v/>
      </c>
      <c r="AL2036" t="str">
        <f t="shared" si="2037"/>
        <v/>
      </c>
      <c r="AN2036" t="s">
        <v>862</v>
      </c>
      <c r="AO2036" t="str">
        <f t="shared" si="2038"/>
        <v>a</v>
      </c>
      <c r="AP2036" t="str">
        <f t="shared" si="2046"/>
        <v/>
      </c>
      <c r="AQ2036" t="str">
        <f t="shared" si="2047"/>
        <v/>
      </c>
      <c r="AR2036" t="str">
        <f t="shared" si="2048"/>
        <v>Away</v>
      </c>
      <c r="AS2036" t="str">
        <f t="shared" si="2049"/>
        <v>a</v>
      </c>
      <c r="AT2036" t="str">
        <f t="shared" si="2050"/>
        <v>Defensive</v>
      </c>
      <c r="BA2036" s="6">
        <f t="shared" si="2039"/>
        <v>469</v>
      </c>
      <c r="BB2036">
        <f t="shared" si="2040"/>
        <v>18981</v>
      </c>
      <c r="BC2036" t="str">
        <f t="shared" si="2041"/>
        <v>Nelson</v>
      </c>
      <c r="BD2036" t="str">
        <f t="shared" si="2042"/>
        <v>Velodrome</v>
      </c>
      <c r="BE2036" t="s">
        <v>5</v>
      </c>
      <c r="BF2036" t="s">
        <v>236</v>
      </c>
      <c r="BG2036" t="s">
        <v>756</v>
      </c>
      <c r="BI2036" cm="1">
        <f t="array" ref="BI2036">IFERROR(_xlfn._xlws.FILTER(shifts!A:A,(shifts!B:B=events!AD2036)*(shifts!AG:AG&gt;=events!BK2036)*(shifts!AH:AH&lt;=events!BL2036)),BI2035)</f>
        <v>89</v>
      </c>
      <c r="BJ2036" s="15">
        <f t="shared" si="2043"/>
        <v>0</v>
      </c>
      <c r="BK2036">
        <f t="shared" si="2051"/>
        <v>580</v>
      </c>
      <c r="BL2036">
        <f t="shared" si="2052"/>
        <v>580</v>
      </c>
      <c r="BM2036" s="15">
        <f>SUMIFS(BJ$2:BJ2036,K$2:K2036,"=Intermission")+SUMIFS(BJ$2:BJ2036,K$2:K2036,"=Timeout")</f>
        <v>142</v>
      </c>
      <c r="BN2036">
        <f t="shared" si="2053"/>
        <v>2302</v>
      </c>
      <c r="BO2036" s="19">
        <f t="shared" si="2054"/>
        <v>2802</v>
      </c>
      <c r="BP2036">
        <f t="shared" si="2055"/>
        <v>2797</v>
      </c>
      <c r="BQ2036" s="17">
        <f t="shared" si="2056"/>
        <v>2802</v>
      </c>
      <c r="BR2036" t="str">
        <f t="shared" si="2057"/>
        <v>opp_team_player_1</v>
      </c>
      <c r="BS2036">
        <f>COUNTIFS(S$3:S2036,"="&amp;S2036,AI$3:AI2036,"="&amp;AI2036)</f>
        <v>1</v>
      </c>
      <c r="BT2036" t="str">
        <f>IFERROR(VLOOKUP(BB2036&amp;BU2036&amp;X2036,game_rosters!U:W,3,FALSE),"")</f>
        <v>P100078</v>
      </c>
      <c r="BU2036" t="str">
        <f t="shared" si="2058"/>
        <v>Nelson</v>
      </c>
    </row>
    <row r="2037" spans="1:73" x14ac:dyDescent="0.2">
      <c r="A2037">
        <f t="shared" si="2044"/>
        <v>1</v>
      </c>
      <c r="J2037" s="44" t="str">
        <f t="shared" si="2059"/>
        <v>o</v>
      </c>
      <c r="K2037" t="s">
        <v>6</v>
      </c>
      <c r="L2037" t="s">
        <v>191</v>
      </c>
      <c r="M2037" t="s">
        <v>51</v>
      </c>
      <c r="S2037">
        <v>1075</v>
      </c>
      <c r="W2037" t="str">
        <f t="shared" si="2035"/>
        <v>a</v>
      </c>
      <c r="X2037">
        <v>52</v>
      </c>
      <c r="Y2037" t="e">
        <f>IF(X2037&lt;&gt;"",VLOOKUP(X2037,game_rosters!$C$43:$E$64,3,FALSE))</f>
        <v>#N/A</v>
      </c>
      <c r="Z2037" cm="1">
        <f t="array" ref="Z2037">IFERROR(IF(_xlfn._xlws.FILTER(game_rosters!$J:$J,(game_rosters!$G:$G=events!$AN2037)*(game_rosters!$J:$J=events!$X2037))&gt;0,1,""),"")</f>
        <v>1</v>
      </c>
      <c r="AA2037">
        <f t="shared" si="2083"/>
        <v>2075</v>
      </c>
      <c r="AB2037" t="str">
        <f t="shared" si="2084"/>
        <v/>
      </c>
      <c r="AC2037">
        <f t="shared" si="2032"/>
        <v>2075</v>
      </c>
      <c r="AD2037" s="6">
        <v>3</v>
      </c>
      <c r="AE2037" t="s">
        <v>933</v>
      </c>
      <c r="AF2037" t="s">
        <v>865</v>
      </c>
      <c r="AG2037" t="s">
        <v>756</v>
      </c>
      <c r="AH2037" t="s">
        <v>756</v>
      </c>
      <c r="AI2037" t="s">
        <v>367</v>
      </c>
      <c r="AJ2037" t="str">
        <f t="shared" ref="AJ2037:AK2037" si="2109">IF($J2037&lt;&gt;"",$J2037,IF($AC2037=$AC2036,AJ2036,""))</f>
        <v>o</v>
      </c>
      <c r="AK2037" t="str">
        <f t="shared" si="2109"/>
        <v>o</v>
      </c>
      <c r="AL2037" t="str">
        <f t="shared" si="2037"/>
        <v>d</v>
      </c>
      <c r="AN2037" t="s">
        <v>862</v>
      </c>
      <c r="AO2037" t="str">
        <f t="shared" si="2038"/>
        <v>a</v>
      </c>
      <c r="AP2037" t="str">
        <f t="shared" si="2046"/>
        <v>d</v>
      </c>
      <c r="AQ2037" t="str">
        <f t="shared" si="2047"/>
        <v/>
      </c>
      <c r="AR2037" t="str">
        <f t="shared" si="2048"/>
        <v>Away</v>
      </c>
      <c r="AS2037" t="str">
        <f t="shared" si="2049"/>
        <v>a</v>
      </c>
      <c r="AT2037" t="str">
        <f t="shared" si="2050"/>
        <v>Offensive</v>
      </c>
      <c r="BA2037" s="6">
        <f t="shared" si="2039"/>
        <v>469</v>
      </c>
      <c r="BB2037">
        <f t="shared" si="2040"/>
        <v>18981</v>
      </c>
      <c r="BC2037" t="str">
        <f t="shared" si="2041"/>
        <v>Nelson</v>
      </c>
      <c r="BD2037" t="str">
        <f t="shared" si="2042"/>
        <v>Velodrome</v>
      </c>
      <c r="BE2037" t="s">
        <v>6</v>
      </c>
      <c r="BF2037" t="s">
        <v>191</v>
      </c>
      <c r="BG2037" t="s">
        <v>51</v>
      </c>
      <c r="BI2037" cm="1">
        <f t="array" ref="BI2037">IFERROR(_xlfn._xlws.FILTER(shifts!A:A,(shifts!B:B=events!AD2037)*(shifts!AG:AG&gt;=events!BK2037)*(shifts!AH:AH&lt;=events!BL2037)),BI2036)</f>
        <v>89</v>
      </c>
      <c r="BJ2037" s="15">
        <f t="shared" si="2043"/>
        <v>0</v>
      </c>
      <c r="BK2037">
        <f t="shared" si="2051"/>
        <v>578</v>
      </c>
      <c r="BL2037">
        <f t="shared" si="2052"/>
        <v>578</v>
      </c>
      <c r="BM2037" s="15">
        <f>SUMIFS(BJ$2:BJ2037,K$2:K2037,"=Intermission")+SUMIFS(BJ$2:BJ2037,K$2:K2037,"=Timeout")</f>
        <v>142</v>
      </c>
      <c r="BN2037">
        <f t="shared" si="2053"/>
        <v>2302</v>
      </c>
      <c r="BO2037" s="19">
        <f t="shared" si="2054"/>
        <v>2804</v>
      </c>
      <c r="BP2037">
        <f t="shared" si="2055"/>
        <v>2799</v>
      </c>
      <c r="BQ2037" s="17">
        <f t="shared" si="2056"/>
        <v>2804</v>
      </c>
      <c r="BR2037" t="str">
        <f t="shared" si="2057"/>
        <v>event_team_player_1</v>
      </c>
      <c r="BS2037">
        <f>COUNTIFS(S$3:S2037,"="&amp;S2037,AI$3:AI2037,"="&amp;AI2037)</f>
        <v>1</v>
      </c>
      <c r="BT2037" t="str">
        <f>IFERROR(VLOOKUP(BB2037&amp;BU2037&amp;X2037,game_rosters!U:W,3,FALSE),"")</f>
        <v>P100070</v>
      </c>
      <c r="BU2037" t="str">
        <f t="shared" si="2058"/>
        <v>Velodrome</v>
      </c>
    </row>
    <row r="2038" spans="1:73" x14ac:dyDescent="0.2">
      <c r="A2038">
        <f t="shared" si="2044"/>
        <v>1</v>
      </c>
      <c r="J2038" s="44" t="str">
        <f t="shared" si="2059"/>
        <v>o</v>
      </c>
      <c r="K2038" t="s">
        <v>6</v>
      </c>
      <c r="L2038" t="s">
        <v>191</v>
      </c>
      <c r="M2038" t="s">
        <v>51</v>
      </c>
      <c r="S2038">
        <v>1075</v>
      </c>
      <c r="W2038" t="str">
        <f t="shared" si="2035"/>
        <v>a</v>
      </c>
      <c r="X2038">
        <v>23</v>
      </c>
      <c r="Y2038" t="b">
        <f>IF(X2038&lt;&gt;"",VLOOKUP(X2038,game_rosters!$C$43:$E$64,3,FALSE))</f>
        <v>0</v>
      </c>
      <c r="Z2038" t="str" cm="1">
        <f t="array" ref="Z2038">IFERROR(IF(_xlfn._xlws.FILTER(game_rosters!$J:$J,(game_rosters!$G:$G=events!$AN2038)*(game_rosters!$J:$J=events!$X2038))&gt;0,1,""),"")</f>
        <v/>
      </c>
      <c r="AA2038">
        <f t="shared" si="2083"/>
        <v>2075</v>
      </c>
      <c r="AB2038" t="str">
        <f t="shared" si="2084"/>
        <v/>
      </c>
      <c r="AC2038">
        <f t="shared" si="2032"/>
        <v>2075</v>
      </c>
      <c r="AD2038" s="6">
        <v>3</v>
      </c>
      <c r="AE2038" t="s">
        <v>933</v>
      </c>
      <c r="AF2038" t="s">
        <v>865</v>
      </c>
      <c r="AG2038" t="s">
        <v>756</v>
      </c>
      <c r="AH2038" t="s">
        <v>756</v>
      </c>
      <c r="AI2038" t="s">
        <v>368</v>
      </c>
      <c r="AJ2038" t="str">
        <f t="shared" ref="AJ2038:AK2038" si="2110">IF($J2038&lt;&gt;"",$J2038,IF($AC2038=$AC2037,AJ2037,""))</f>
        <v>o</v>
      </c>
      <c r="AK2038" t="str">
        <f t="shared" si="2110"/>
        <v>o</v>
      </c>
      <c r="AL2038" t="str">
        <f t="shared" si="2037"/>
        <v>d</v>
      </c>
      <c r="AN2038" t="s">
        <v>862</v>
      </c>
      <c r="AO2038" t="str">
        <f t="shared" si="2038"/>
        <v>a</v>
      </c>
      <c r="AP2038" t="str">
        <f t="shared" si="2046"/>
        <v>d</v>
      </c>
      <c r="AQ2038" t="str">
        <f t="shared" si="2047"/>
        <v/>
      </c>
      <c r="AR2038" t="str">
        <f t="shared" si="2048"/>
        <v>Away</v>
      </c>
      <c r="AS2038" t="str">
        <f t="shared" si="2049"/>
        <v>a</v>
      </c>
      <c r="AT2038" t="str">
        <f t="shared" si="2050"/>
        <v>Defensive</v>
      </c>
      <c r="BA2038" s="6">
        <f t="shared" si="2039"/>
        <v>469</v>
      </c>
      <c r="BB2038">
        <f t="shared" si="2040"/>
        <v>18981</v>
      </c>
      <c r="BC2038" t="str">
        <f t="shared" si="2041"/>
        <v>Nelson</v>
      </c>
      <c r="BD2038" t="str">
        <f t="shared" si="2042"/>
        <v>Velodrome</v>
      </c>
      <c r="BE2038" t="s">
        <v>6</v>
      </c>
      <c r="BF2038" t="s">
        <v>191</v>
      </c>
      <c r="BG2038" t="s">
        <v>51</v>
      </c>
      <c r="BI2038" cm="1">
        <f t="array" ref="BI2038">IFERROR(_xlfn._xlws.FILTER(shifts!A:A,(shifts!B:B=events!AD2038)*(shifts!AG:AG&gt;=events!BK2038)*(shifts!AH:AH&lt;=events!BL2038)),BI2037)</f>
        <v>89</v>
      </c>
      <c r="BJ2038" s="15">
        <f t="shared" si="2043"/>
        <v>0</v>
      </c>
      <c r="BK2038">
        <f t="shared" si="2051"/>
        <v>578</v>
      </c>
      <c r="BL2038">
        <f t="shared" si="2052"/>
        <v>578</v>
      </c>
      <c r="BM2038" s="15">
        <f>SUMIFS(BJ$2:BJ2038,K$2:K2038,"=Intermission")+SUMIFS(BJ$2:BJ2038,K$2:K2038,"=Timeout")</f>
        <v>142</v>
      </c>
      <c r="BN2038">
        <f t="shared" si="2053"/>
        <v>2302</v>
      </c>
      <c r="BO2038" s="19">
        <f t="shared" si="2054"/>
        <v>2804</v>
      </c>
      <c r="BP2038">
        <f t="shared" si="2055"/>
        <v>2799</v>
      </c>
      <c r="BQ2038" s="17">
        <f t="shared" si="2056"/>
        <v>2804</v>
      </c>
      <c r="BR2038" t="str">
        <f t="shared" si="2057"/>
        <v>opp_team_player_1</v>
      </c>
      <c r="BS2038">
        <f>COUNTIFS(S$3:S2038,"="&amp;S2038,AI$3:AI2038,"="&amp;AI2038)</f>
        <v>1</v>
      </c>
      <c r="BT2038" t="str">
        <f>IFERROR(VLOOKUP(BB2038&amp;BU2038&amp;X2038,game_rosters!U:W,3,FALSE),"")</f>
        <v>P100061</v>
      </c>
      <c r="BU2038" t="str">
        <f t="shared" si="2058"/>
        <v>Nelson</v>
      </c>
    </row>
    <row r="2039" spans="1:73" x14ac:dyDescent="0.2">
      <c r="A2039">
        <f t="shared" si="2044"/>
        <v>1</v>
      </c>
      <c r="J2039" s="44" t="str">
        <f t="shared" si="2059"/>
        <v/>
      </c>
      <c r="K2039" t="s">
        <v>238</v>
      </c>
      <c r="L2039" t="s">
        <v>193</v>
      </c>
      <c r="M2039" t="s">
        <v>91</v>
      </c>
      <c r="S2039">
        <v>1076</v>
      </c>
      <c r="W2039" t="str">
        <f t="shared" si="2035"/>
        <v>a</v>
      </c>
      <c r="X2039">
        <v>22</v>
      </c>
      <c r="Y2039" t="e">
        <f>IF(X2039&lt;&gt;"",VLOOKUP(X2039,game_rosters!$C$43:$E$64,3,FALSE))</f>
        <v>#N/A</v>
      </c>
      <c r="Z2039" cm="1">
        <f t="array" ref="Z2039">IFERROR(IF(_xlfn._xlws.FILTER(game_rosters!$J:$J,(game_rosters!$G:$G=events!$AN2039)*(game_rosters!$J:$J=events!$X2039))&gt;0,1,""),"")</f>
        <v>1</v>
      </c>
      <c r="AA2039">
        <f t="shared" si="2083"/>
        <v>2076</v>
      </c>
      <c r="AB2039" t="str">
        <f t="shared" si="2084"/>
        <v/>
      </c>
      <c r="AC2039">
        <f t="shared" si="2032"/>
        <v>2076</v>
      </c>
      <c r="AD2039" s="6">
        <v>3</v>
      </c>
      <c r="AE2039" t="s">
        <v>933</v>
      </c>
      <c r="AF2039" t="s">
        <v>914</v>
      </c>
      <c r="AG2039" t="s">
        <v>756</v>
      </c>
      <c r="AH2039" t="s">
        <v>756</v>
      </c>
      <c r="AI2039" t="s">
        <v>367</v>
      </c>
      <c r="AJ2039" t="str">
        <f t="shared" ref="AJ2039:AK2039" si="2111">IF($J2039&lt;&gt;"",$J2039,IF($AC2039=$AC2038,AJ2038,""))</f>
        <v/>
      </c>
      <c r="AK2039" t="str">
        <f t="shared" si="2111"/>
        <v/>
      </c>
      <c r="AL2039" t="str">
        <f t="shared" si="2037"/>
        <v/>
      </c>
      <c r="AN2039" t="s">
        <v>862</v>
      </c>
      <c r="AO2039" t="str">
        <f t="shared" si="2038"/>
        <v>a</v>
      </c>
      <c r="AP2039" t="str">
        <f t="shared" si="2046"/>
        <v/>
      </c>
      <c r="AQ2039" t="str">
        <f t="shared" si="2047"/>
        <v/>
      </c>
      <c r="AR2039" t="str">
        <f t="shared" si="2048"/>
        <v>Away</v>
      </c>
      <c r="AS2039" t="str">
        <f t="shared" si="2049"/>
        <v>a</v>
      </c>
      <c r="AT2039" t="str">
        <f t="shared" si="2050"/>
        <v>Offensive</v>
      </c>
      <c r="BA2039" s="6">
        <f t="shared" si="2039"/>
        <v>469</v>
      </c>
      <c r="BB2039">
        <f t="shared" si="2040"/>
        <v>18981</v>
      </c>
      <c r="BC2039" t="str">
        <f t="shared" si="2041"/>
        <v>Nelson</v>
      </c>
      <c r="BD2039" t="str">
        <f t="shared" si="2042"/>
        <v>Velodrome</v>
      </c>
      <c r="BE2039" t="s">
        <v>238</v>
      </c>
      <c r="BF2039" t="s">
        <v>193</v>
      </c>
      <c r="BG2039" t="s">
        <v>91</v>
      </c>
      <c r="BI2039" cm="1">
        <f t="array" ref="BI2039">IFERROR(_xlfn._xlws.FILTER(shifts!A:A,(shifts!B:B=events!AD2039)*(shifts!AG:AG&gt;=events!BK2039)*(shifts!AH:AH&lt;=events!BL2039)),BI2038)</f>
        <v>89</v>
      </c>
      <c r="BJ2039" s="15">
        <f t="shared" si="2043"/>
        <v>0</v>
      </c>
      <c r="BK2039">
        <f t="shared" si="2051"/>
        <v>573</v>
      </c>
      <c r="BL2039">
        <f t="shared" si="2052"/>
        <v>573</v>
      </c>
      <c r="BM2039" s="15">
        <f>SUMIFS(BJ$2:BJ2039,K$2:K2039,"=Intermission")+SUMIFS(BJ$2:BJ2039,K$2:K2039,"=Timeout")</f>
        <v>142</v>
      </c>
      <c r="BN2039">
        <f t="shared" si="2053"/>
        <v>2302</v>
      </c>
      <c r="BO2039" s="19">
        <f t="shared" si="2054"/>
        <v>2809</v>
      </c>
      <c r="BP2039">
        <f t="shared" si="2055"/>
        <v>2804</v>
      </c>
      <c r="BQ2039" s="17">
        <f t="shared" si="2056"/>
        <v>2809</v>
      </c>
      <c r="BR2039" t="str">
        <f t="shared" si="2057"/>
        <v>event_team_player_1</v>
      </c>
      <c r="BS2039">
        <f>COUNTIFS(S$3:S2039,"="&amp;S2039,AI$3:AI2039,"="&amp;AI2039)</f>
        <v>1</v>
      </c>
      <c r="BT2039" t="str">
        <f>IFERROR(VLOOKUP(BB2039&amp;BU2039&amp;X2039,game_rosters!U:W,3,FALSE),"")</f>
        <v>P100108</v>
      </c>
      <c r="BU2039" t="str">
        <f t="shared" si="2058"/>
        <v>Velodrome</v>
      </c>
    </row>
    <row r="2040" spans="1:73" x14ac:dyDescent="0.2">
      <c r="A2040">
        <f t="shared" si="2044"/>
        <v>1</v>
      </c>
      <c r="J2040" s="44" t="str">
        <f t="shared" si="2059"/>
        <v/>
      </c>
      <c r="K2040" t="s">
        <v>238</v>
      </c>
      <c r="L2040" t="s">
        <v>193</v>
      </c>
      <c r="M2040" t="s">
        <v>91</v>
      </c>
      <c r="S2040">
        <v>1076</v>
      </c>
      <c r="W2040" t="str">
        <f t="shared" si="2035"/>
        <v>a</v>
      </c>
      <c r="X2040">
        <v>23</v>
      </c>
      <c r="Y2040" t="b">
        <f>IF(X2040&lt;&gt;"",VLOOKUP(X2040,game_rosters!$C$43:$E$64,3,FALSE))</f>
        <v>0</v>
      </c>
      <c r="Z2040" t="str" cm="1">
        <f t="array" ref="Z2040">IFERROR(IF(_xlfn._xlws.FILTER(game_rosters!$J:$J,(game_rosters!$G:$G=events!$AN2040)*(game_rosters!$J:$J=events!$X2040))&gt;0,1,""),"")</f>
        <v/>
      </c>
      <c r="AA2040">
        <f t="shared" si="2083"/>
        <v>2076</v>
      </c>
      <c r="AB2040" t="str">
        <f t="shared" si="2084"/>
        <v/>
      </c>
      <c r="AC2040">
        <f t="shared" si="2032"/>
        <v>2076</v>
      </c>
      <c r="AD2040" s="6">
        <v>3</v>
      </c>
      <c r="AE2040" t="s">
        <v>933</v>
      </c>
      <c r="AF2040" t="s">
        <v>914</v>
      </c>
      <c r="AG2040" t="s">
        <v>756</v>
      </c>
      <c r="AH2040" t="s">
        <v>756</v>
      </c>
      <c r="AI2040" t="s">
        <v>368</v>
      </c>
      <c r="AJ2040" t="str">
        <f t="shared" ref="AJ2040:AK2040" si="2112">IF($J2040&lt;&gt;"",$J2040,IF($AC2040=$AC2039,AJ2039,""))</f>
        <v/>
      </c>
      <c r="AK2040" t="str">
        <f t="shared" si="2112"/>
        <v/>
      </c>
      <c r="AL2040" t="str">
        <f t="shared" si="2037"/>
        <v/>
      </c>
      <c r="AN2040" t="s">
        <v>862</v>
      </c>
      <c r="AO2040" t="str">
        <f t="shared" si="2038"/>
        <v>a</v>
      </c>
      <c r="AP2040" t="str">
        <f t="shared" si="2046"/>
        <v/>
      </c>
      <c r="AQ2040" t="str">
        <f t="shared" si="2047"/>
        <v/>
      </c>
      <c r="AR2040" t="str">
        <f t="shared" si="2048"/>
        <v>Away</v>
      </c>
      <c r="AS2040" t="str">
        <f t="shared" si="2049"/>
        <v>a</v>
      </c>
      <c r="AT2040" t="str">
        <f t="shared" si="2050"/>
        <v>Defensive</v>
      </c>
      <c r="BA2040" s="6">
        <f t="shared" si="2039"/>
        <v>469</v>
      </c>
      <c r="BB2040">
        <f t="shared" si="2040"/>
        <v>18981</v>
      </c>
      <c r="BC2040" t="str">
        <f t="shared" si="2041"/>
        <v>Nelson</v>
      </c>
      <c r="BD2040" t="str">
        <f t="shared" si="2042"/>
        <v>Velodrome</v>
      </c>
      <c r="BE2040" t="s">
        <v>238</v>
      </c>
      <c r="BF2040" t="s">
        <v>193</v>
      </c>
      <c r="BG2040" t="s">
        <v>91</v>
      </c>
      <c r="BI2040" cm="1">
        <f t="array" ref="BI2040">IFERROR(_xlfn._xlws.FILTER(shifts!A:A,(shifts!B:B=events!AD2040)*(shifts!AG:AG&gt;=events!BK2040)*(shifts!AH:AH&lt;=events!BL2040)),BI2039)</f>
        <v>89</v>
      </c>
      <c r="BJ2040" s="15">
        <f t="shared" si="2043"/>
        <v>0</v>
      </c>
      <c r="BK2040">
        <f t="shared" si="2051"/>
        <v>573</v>
      </c>
      <c r="BL2040">
        <f t="shared" si="2052"/>
        <v>573</v>
      </c>
      <c r="BM2040" s="15">
        <f>SUMIFS(BJ$2:BJ2040,K$2:K2040,"=Intermission")+SUMIFS(BJ$2:BJ2040,K$2:K2040,"=Timeout")</f>
        <v>142</v>
      </c>
      <c r="BN2040">
        <f t="shared" si="2053"/>
        <v>2302</v>
      </c>
      <c r="BO2040" s="19">
        <f t="shared" si="2054"/>
        <v>2809</v>
      </c>
      <c r="BP2040">
        <f t="shared" si="2055"/>
        <v>2804</v>
      </c>
      <c r="BQ2040" s="17">
        <f t="shared" si="2056"/>
        <v>2809</v>
      </c>
      <c r="BR2040" t="str">
        <f t="shared" si="2057"/>
        <v>opp_team_player_1</v>
      </c>
      <c r="BS2040">
        <f>COUNTIFS(S$3:S2040,"="&amp;S2040,AI$3:AI2040,"="&amp;AI2040)</f>
        <v>1</v>
      </c>
      <c r="BT2040" t="str">
        <f>IFERROR(VLOOKUP(BB2040&amp;BU2040&amp;X2040,game_rosters!U:W,3,FALSE),"")</f>
        <v>P100061</v>
      </c>
      <c r="BU2040" t="str">
        <f t="shared" si="2058"/>
        <v>Nelson</v>
      </c>
    </row>
    <row r="2041" spans="1:73" x14ac:dyDescent="0.2">
      <c r="A2041">
        <f t="shared" si="2044"/>
        <v>1</v>
      </c>
      <c r="J2041" s="44" t="str">
        <f t="shared" si="2059"/>
        <v/>
      </c>
      <c r="K2041" t="s">
        <v>13</v>
      </c>
      <c r="L2041" t="s">
        <v>756</v>
      </c>
      <c r="M2041" t="s">
        <v>756</v>
      </c>
      <c r="S2041">
        <v>1077</v>
      </c>
      <c r="W2041" t="str">
        <f t="shared" si="2035"/>
        <v>a</v>
      </c>
      <c r="X2041">
        <v>22</v>
      </c>
      <c r="Y2041" t="e">
        <f>IF(X2041&lt;&gt;"",VLOOKUP(X2041,game_rosters!$C$43:$E$64,3,FALSE))</f>
        <v>#N/A</v>
      </c>
      <c r="Z2041" cm="1">
        <f t="array" ref="Z2041">IFERROR(IF(_xlfn._xlws.FILTER(game_rosters!$J:$J,(game_rosters!$G:$G=events!$AN2041)*(game_rosters!$J:$J=events!$X2041))&gt;0,1,""),"")</f>
        <v>1</v>
      </c>
      <c r="AA2041">
        <f t="shared" si="2083"/>
        <v>2077</v>
      </c>
      <c r="AB2041" t="str">
        <f t="shared" si="2084"/>
        <v/>
      </c>
      <c r="AC2041">
        <f t="shared" si="2032"/>
        <v>2077</v>
      </c>
      <c r="AD2041" s="6">
        <v>3</v>
      </c>
      <c r="AE2041" t="s">
        <v>933</v>
      </c>
      <c r="AF2041" t="s">
        <v>914</v>
      </c>
      <c r="AG2041" t="s">
        <v>933</v>
      </c>
      <c r="AH2041" t="s">
        <v>738</v>
      </c>
      <c r="AI2041" t="s">
        <v>367</v>
      </c>
      <c r="AJ2041" t="str">
        <f t="shared" ref="AJ2041:AK2041" si="2113">IF($J2041&lt;&gt;"",$J2041,IF($AC2041=$AC2040,AJ2040,""))</f>
        <v/>
      </c>
      <c r="AK2041" t="str">
        <f t="shared" si="2113"/>
        <v/>
      </c>
      <c r="AL2041" t="str">
        <f t="shared" si="2037"/>
        <v/>
      </c>
      <c r="AN2041" t="s">
        <v>862</v>
      </c>
      <c r="AO2041" t="str">
        <f t="shared" si="2038"/>
        <v>a</v>
      </c>
      <c r="AP2041" t="str">
        <f t="shared" si="2046"/>
        <v/>
      </c>
      <c r="AQ2041" t="str">
        <f t="shared" si="2047"/>
        <v/>
      </c>
      <c r="AR2041" t="str">
        <f t="shared" si="2048"/>
        <v>Away</v>
      </c>
      <c r="AS2041" t="str">
        <f t="shared" si="2049"/>
        <v>a</v>
      </c>
      <c r="AT2041" t="str">
        <f t="shared" si="2050"/>
        <v>Offensive</v>
      </c>
      <c r="BA2041" s="6">
        <f t="shared" si="2039"/>
        <v>469</v>
      </c>
      <c r="BB2041">
        <f t="shared" si="2040"/>
        <v>18981</v>
      </c>
      <c r="BC2041" t="str">
        <f t="shared" si="2041"/>
        <v>Nelson</v>
      </c>
      <c r="BD2041" t="str">
        <f t="shared" si="2042"/>
        <v>Velodrome</v>
      </c>
      <c r="BE2041" t="s">
        <v>13</v>
      </c>
      <c r="BF2041" t="s">
        <v>756</v>
      </c>
      <c r="BG2041" t="s">
        <v>756</v>
      </c>
      <c r="BI2041" cm="1">
        <f t="array" ref="BI2041">IFERROR(_xlfn._xlws.FILTER(shifts!A:A,(shifts!B:B=events!AD2041)*(shifts!AG:AG&gt;=events!BK2041)*(shifts!AH:AH&lt;=events!BL2041)),BI2040)</f>
        <v>89</v>
      </c>
      <c r="BJ2041" s="15">
        <f t="shared" si="2043"/>
        <v>2</v>
      </c>
      <c r="BK2041">
        <f t="shared" si="2051"/>
        <v>573</v>
      </c>
      <c r="BL2041">
        <f t="shared" si="2052"/>
        <v>571</v>
      </c>
      <c r="BM2041" s="15">
        <f>SUMIFS(BJ$2:BJ2041,K$2:K2041,"=Intermission")+SUMIFS(BJ$2:BJ2041,K$2:K2041,"=Timeout")</f>
        <v>142</v>
      </c>
      <c r="BN2041">
        <f t="shared" si="2053"/>
        <v>2302</v>
      </c>
      <c r="BO2041" s="19">
        <f t="shared" si="2054"/>
        <v>2809</v>
      </c>
      <c r="BP2041">
        <f t="shared" si="2055"/>
        <v>2804</v>
      </c>
      <c r="BQ2041" s="17">
        <f t="shared" si="2056"/>
        <v>2811</v>
      </c>
      <c r="BR2041" t="str">
        <f t="shared" si="2057"/>
        <v>event_team_player_1</v>
      </c>
      <c r="BS2041">
        <f>COUNTIFS(S$3:S2041,"="&amp;S2041,AI$3:AI2041,"="&amp;AI2041)</f>
        <v>1</v>
      </c>
      <c r="BT2041" t="str">
        <f>IFERROR(VLOOKUP(BB2041&amp;BU2041&amp;X2041,game_rosters!U:W,3,FALSE),"")</f>
        <v>P100108</v>
      </c>
      <c r="BU2041" t="str">
        <f t="shared" si="2058"/>
        <v>Velodrome</v>
      </c>
    </row>
    <row r="2042" spans="1:73" x14ac:dyDescent="0.2">
      <c r="A2042">
        <f t="shared" si="2044"/>
        <v>1</v>
      </c>
      <c r="J2042" s="44" t="str">
        <f t="shared" si="2059"/>
        <v/>
      </c>
      <c r="K2042" t="s">
        <v>13</v>
      </c>
      <c r="L2042" t="s">
        <v>756</v>
      </c>
      <c r="M2042" t="s">
        <v>756</v>
      </c>
      <c r="S2042">
        <v>1077</v>
      </c>
      <c r="W2042" t="str">
        <f t="shared" si="2035"/>
        <v>a</v>
      </c>
      <c r="X2042">
        <v>23</v>
      </c>
      <c r="Y2042" t="b">
        <f>IF(X2042&lt;&gt;"",VLOOKUP(X2042,game_rosters!$C$43:$E$64,3,FALSE))</f>
        <v>0</v>
      </c>
      <c r="Z2042" t="str" cm="1">
        <f t="array" ref="Z2042">IFERROR(IF(_xlfn._xlws.FILTER(game_rosters!$J:$J,(game_rosters!$G:$G=events!$AN2042)*(game_rosters!$J:$J=events!$X2042))&gt;0,1,""),"")</f>
        <v/>
      </c>
      <c r="AA2042">
        <f t="shared" si="2083"/>
        <v>2077</v>
      </c>
      <c r="AB2042" t="str">
        <f t="shared" si="2084"/>
        <v/>
      </c>
      <c r="AC2042">
        <f t="shared" si="2032"/>
        <v>2077</v>
      </c>
      <c r="AD2042" s="6">
        <v>3</v>
      </c>
      <c r="AE2042" t="s">
        <v>933</v>
      </c>
      <c r="AF2042" t="s">
        <v>914</v>
      </c>
      <c r="AG2042" t="s">
        <v>933</v>
      </c>
      <c r="AH2042" t="s">
        <v>738</v>
      </c>
      <c r="AI2042" t="s">
        <v>368</v>
      </c>
      <c r="AJ2042" t="str">
        <f t="shared" ref="AJ2042:AK2042" si="2114">IF($J2042&lt;&gt;"",$J2042,IF($AC2042=$AC2041,AJ2041,""))</f>
        <v/>
      </c>
      <c r="AK2042" t="str">
        <f t="shared" si="2114"/>
        <v/>
      </c>
      <c r="AL2042" t="str">
        <f t="shared" si="2037"/>
        <v/>
      </c>
      <c r="AN2042" t="s">
        <v>862</v>
      </c>
      <c r="AO2042" t="str">
        <f t="shared" si="2038"/>
        <v>a</v>
      </c>
      <c r="AP2042" t="str">
        <f t="shared" si="2046"/>
        <v/>
      </c>
      <c r="AQ2042" t="str">
        <f t="shared" si="2047"/>
        <v/>
      </c>
      <c r="AR2042" t="str">
        <f t="shared" si="2048"/>
        <v>Away</v>
      </c>
      <c r="AS2042" t="str">
        <f t="shared" si="2049"/>
        <v>a</v>
      </c>
      <c r="AT2042" t="str">
        <f t="shared" si="2050"/>
        <v>Defensive</v>
      </c>
      <c r="BA2042" s="6">
        <f t="shared" si="2039"/>
        <v>469</v>
      </c>
      <c r="BB2042">
        <f t="shared" si="2040"/>
        <v>18981</v>
      </c>
      <c r="BC2042" t="str">
        <f t="shared" si="2041"/>
        <v>Nelson</v>
      </c>
      <c r="BD2042" t="str">
        <f t="shared" si="2042"/>
        <v>Velodrome</v>
      </c>
      <c r="BE2042" t="s">
        <v>13</v>
      </c>
      <c r="BF2042" t="s">
        <v>756</v>
      </c>
      <c r="BG2042" t="s">
        <v>756</v>
      </c>
      <c r="BI2042" cm="1">
        <f t="array" ref="BI2042">IFERROR(_xlfn._xlws.FILTER(shifts!A:A,(shifts!B:B=events!AD2042)*(shifts!AG:AG&gt;=events!BK2042)*(shifts!AH:AH&lt;=events!BL2042)),BI2041)</f>
        <v>89</v>
      </c>
      <c r="BJ2042" s="15">
        <f t="shared" si="2043"/>
        <v>2</v>
      </c>
      <c r="BK2042">
        <f t="shared" si="2051"/>
        <v>573</v>
      </c>
      <c r="BL2042">
        <f t="shared" si="2052"/>
        <v>571</v>
      </c>
      <c r="BM2042" s="15">
        <f>SUMIFS(BJ$2:BJ2042,K$2:K2042,"=Intermission")+SUMIFS(BJ$2:BJ2042,K$2:K2042,"=Timeout")</f>
        <v>142</v>
      </c>
      <c r="BN2042">
        <f t="shared" si="2053"/>
        <v>2302</v>
      </c>
      <c r="BO2042" s="19">
        <f t="shared" si="2054"/>
        <v>2809</v>
      </c>
      <c r="BP2042">
        <f t="shared" si="2055"/>
        <v>2804</v>
      </c>
      <c r="BQ2042" s="17">
        <f t="shared" si="2056"/>
        <v>2811</v>
      </c>
      <c r="BR2042" t="str">
        <f t="shared" si="2057"/>
        <v>opp_team_player_1</v>
      </c>
      <c r="BS2042">
        <f>COUNTIFS(S$3:S2042,"="&amp;S2042,AI$3:AI2042,"="&amp;AI2042)</f>
        <v>1</v>
      </c>
      <c r="BT2042" t="str">
        <f>IFERROR(VLOOKUP(BB2042&amp;BU2042&amp;X2042,game_rosters!U:W,3,FALSE),"")</f>
        <v>P100061</v>
      </c>
      <c r="BU2042" t="str">
        <f t="shared" si="2058"/>
        <v>Nelson</v>
      </c>
    </row>
    <row r="2043" spans="1:73" x14ac:dyDescent="0.2">
      <c r="A2043">
        <f t="shared" si="2044"/>
        <v>1</v>
      </c>
      <c r="J2043" s="44" t="str">
        <f t="shared" si="2059"/>
        <v>o</v>
      </c>
      <c r="K2043" t="s">
        <v>6</v>
      </c>
      <c r="L2043" t="s">
        <v>181</v>
      </c>
      <c r="M2043" t="s">
        <v>51</v>
      </c>
      <c r="S2043">
        <v>1078</v>
      </c>
      <c r="W2043" t="str">
        <f t="shared" si="2035"/>
        <v>a</v>
      </c>
      <c r="X2043">
        <v>22</v>
      </c>
      <c r="Y2043" t="e">
        <f>IF(X2043&lt;&gt;"",VLOOKUP(X2043,game_rosters!$C$43:$E$64,3,FALSE))</f>
        <v>#N/A</v>
      </c>
      <c r="Z2043" cm="1">
        <f t="array" ref="Z2043">IFERROR(IF(_xlfn._xlws.FILTER(game_rosters!$J:$J,(game_rosters!$G:$G=events!$AN2043)*(game_rosters!$J:$J=events!$X2043))&gt;0,1,""),"")</f>
        <v>1</v>
      </c>
      <c r="AA2043">
        <f t="shared" si="2083"/>
        <v>2078</v>
      </c>
      <c r="AB2043" t="str">
        <f t="shared" si="2084"/>
        <v/>
      </c>
      <c r="AC2043">
        <f t="shared" si="2032"/>
        <v>2078</v>
      </c>
      <c r="AD2043" s="6">
        <v>3</v>
      </c>
      <c r="AE2043" t="s">
        <v>933</v>
      </c>
      <c r="AF2043" t="s">
        <v>738</v>
      </c>
      <c r="AG2043" t="s">
        <v>756</v>
      </c>
      <c r="AH2043" t="s">
        <v>756</v>
      </c>
      <c r="AI2043" t="s">
        <v>367</v>
      </c>
      <c r="AJ2043" t="str">
        <f t="shared" ref="AJ2043:AK2043" si="2115">IF($J2043&lt;&gt;"",$J2043,IF($AC2043=$AC2042,AJ2042,""))</f>
        <v>o</v>
      </c>
      <c r="AK2043" t="str">
        <f t="shared" si="2115"/>
        <v>o</v>
      </c>
      <c r="AL2043" t="str">
        <f t="shared" si="2037"/>
        <v>d</v>
      </c>
      <c r="AN2043" t="s">
        <v>862</v>
      </c>
      <c r="AO2043" t="str">
        <f t="shared" si="2038"/>
        <v>a</v>
      </c>
      <c r="AP2043" t="str">
        <f t="shared" si="2046"/>
        <v>d</v>
      </c>
      <c r="AQ2043" t="str">
        <f t="shared" si="2047"/>
        <v/>
      </c>
      <c r="AR2043" t="str">
        <f t="shared" si="2048"/>
        <v>Away</v>
      </c>
      <c r="AS2043" t="str">
        <f t="shared" si="2049"/>
        <v>a</v>
      </c>
      <c r="AT2043" t="str">
        <f t="shared" si="2050"/>
        <v>Offensive</v>
      </c>
      <c r="BA2043" s="6">
        <f t="shared" si="2039"/>
        <v>469</v>
      </c>
      <c r="BB2043">
        <f t="shared" si="2040"/>
        <v>18981</v>
      </c>
      <c r="BC2043" t="str">
        <f t="shared" si="2041"/>
        <v>Nelson</v>
      </c>
      <c r="BD2043" t="str">
        <f t="shared" si="2042"/>
        <v>Velodrome</v>
      </c>
      <c r="BE2043" t="s">
        <v>6</v>
      </c>
      <c r="BF2043" t="s">
        <v>181</v>
      </c>
      <c r="BG2043" t="s">
        <v>51</v>
      </c>
      <c r="BI2043" cm="1">
        <f t="array" ref="BI2043">IFERROR(_xlfn._xlws.FILTER(shifts!A:A,(shifts!B:B=events!AD2043)*(shifts!AG:AG&gt;=events!BK2043)*(shifts!AH:AH&lt;=events!BL2043)),BI2042)</f>
        <v>89</v>
      </c>
      <c r="BJ2043" s="15">
        <f t="shared" si="2043"/>
        <v>0</v>
      </c>
      <c r="BK2043">
        <f t="shared" si="2051"/>
        <v>571</v>
      </c>
      <c r="BL2043">
        <f t="shared" si="2052"/>
        <v>571</v>
      </c>
      <c r="BM2043" s="15">
        <f>SUMIFS(BJ$2:BJ2043,K$2:K2043,"=Intermission")+SUMIFS(BJ$2:BJ2043,K$2:K2043,"=Timeout")</f>
        <v>142</v>
      </c>
      <c r="BN2043">
        <f t="shared" si="2053"/>
        <v>2302</v>
      </c>
      <c r="BO2043" s="19">
        <f t="shared" si="2054"/>
        <v>2811</v>
      </c>
      <c r="BP2043">
        <f t="shared" si="2055"/>
        <v>2806</v>
      </c>
      <c r="BQ2043" s="17">
        <f t="shared" si="2056"/>
        <v>2811</v>
      </c>
      <c r="BR2043" t="str">
        <f t="shared" si="2057"/>
        <v>event_team_player_1</v>
      </c>
      <c r="BS2043">
        <f>COUNTIFS(S$3:S2043,"="&amp;S2043,AI$3:AI2043,"="&amp;AI2043)</f>
        <v>1</v>
      </c>
      <c r="BT2043" t="str">
        <f>IFERROR(VLOOKUP(BB2043&amp;BU2043&amp;X2043,game_rosters!U:W,3,FALSE),"")</f>
        <v>P100108</v>
      </c>
      <c r="BU2043" t="str">
        <f t="shared" si="2058"/>
        <v>Velodrome</v>
      </c>
    </row>
    <row r="2044" spans="1:73" x14ac:dyDescent="0.2">
      <c r="A2044">
        <f t="shared" si="2044"/>
        <v>1</v>
      </c>
      <c r="J2044" s="44" t="str">
        <f t="shared" si="2059"/>
        <v/>
      </c>
      <c r="K2044" t="s">
        <v>238</v>
      </c>
      <c r="L2044" t="s">
        <v>193</v>
      </c>
      <c r="M2044" t="s">
        <v>91</v>
      </c>
      <c r="S2044">
        <v>1079</v>
      </c>
      <c r="W2044" t="str">
        <f t="shared" si="2035"/>
        <v>a</v>
      </c>
      <c r="X2044">
        <v>52</v>
      </c>
      <c r="Y2044" t="e">
        <f>IF(X2044&lt;&gt;"",VLOOKUP(X2044,game_rosters!$C$43:$E$64,3,FALSE))</f>
        <v>#N/A</v>
      </c>
      <c r="Z2044" cm="1">
        <f t="array" ref="Z2044">IFERROR(IF(_xlfn._xlws.FILTER(game_rosters!$J:$J,(game_rosters!$G:$G=events!$AN2044)*(game_rosters!$J:$J=events!$X2044))&gt;0,1,""),"")</f>
        <v>1</v>
      </c>
      <c r="AA2044">
        <f t="shared" si="2083"/>
        <v>2079</v>
      </c>
      <c r="AB2044" t="str">
        <f t="shared" si="2084"/>
        <v/>
      </c>
      <c r="AC2044">
        <f t="shared" si="2032"/>
        <v>2079</v>
      </c>
      <c r="AD2044" s="6">
        <v>3</v>
      </c>
      <c r="AE2044" t="s">
        <v>933</v>
      </c>
      <c r="AF2044" t="s">
        <v>930</v>
      </c>
      <c r="AG2044" t="s">
        <v>756</v>
      </c>
      <c r="AH2044" t="s">
        <v>756</v>
      </c>
      <c r="AI2044" t="s">
        <v>367</v>
      </c>
      <c r="AJ2044" t="str">
        <f t="shared" ref="AJ2044:AK2044" si="2116">IF($J2044&lt;&gt;"",$J2044,IF($AC2044=$AC2043,AJ2043,""))</f>
        <v/>
      </c>
      <c r="AK2044" t="str">
        <f t="shared" si="2116"/>
        <v/>
      </c>
      <c r="AL2044" t="str">
        <f t="shared" si="2037"/>
        <v/>
      </c>
      <c r="AN2044" t="s">
        <v>862</v>
      </c>
      <c r="AO2044" t="str">
        <f t="shared" si="2038"/>
        <v>a</v>
      </c>
      <c r="AP2044" t="str">
        <f t="shared" si="2046"/>
        <v/>
      </c>
      <c r="AQ2044" t="str">
        <f t="shared" si="2047"/>
        <v/>
      </c>
      <c r="AR2044" t="str">
        <f t="shared" si="2048"/>
        <v>Away</v>
      </c>
      <c r="AS2044" t="str">
        <f t="shared" si="2049"/>
        <v>a</v>
      </c>
      <c r="AT2044" t="str">
        <f t="shared" si="2050"/>
        <v>Offensive</v>
      </c>
      <c r="BA2044" s="6">
        <f t="shared" si="2039"/>
        <v>469</v>
      </c>
      <c r="BB2044">
        <f t="shared" si="2040"/>
        <v>18981</v>
      </c>
      <c r="BC2044" t="str">
        <f t="shared" si="2041"/>
        <v>Nelson</v>
      </c>
      <c r="BD2044" t="str">
        <f t="shared" si="2042"/>
        <v>Velodrome</v>
      </c>
      <c r="BE2044" t="s">
        <v>238</v>
      </c>
      <c r="BF2044" t="s">
        <v>193</v>
      </c>
      <c r="BG2044" t="s">
        <v>91</v>
      </c>
      <c r="BI2044" cm="1">
        <f t="array" ref="BI2044">IFERROR(_xlfn._xlws.FILTER(shifts!A:A,(shifts!B:B=events!AD2044)*(shifts!AG:AG&gt;=events!BK2044)*(shifts!AH:AH&lt;=events!BL2044)),BI2043)</f>
        <v>89</v>
      </c>
      <c r="BJ2044" s="15">
        <f t="shared" si="2043"/>
        <v>0</v>
      </c>
      <c r="BK2044">
        <f t="shared" si="2051"/>
        <v>568</v>
      </c>
      <c r="BL2044">
        <f t="shared" si="2052"/>
        <v>568</v>
      </c>
      <c r="BM2044" s="15">
        <f>SUMIFS(BJ$2:BJ2044,K$2:K2044,"=Intermission")+SUMIFS(BJ$2:BJ2044,K$2:K2044,"=Timeout")</f>
        <v>142</v>
      </c>
      <c r="BN2044">
        <f t="shared" si="2053"/>
        <v>2302</v>
      </c>
      <c r="BO2044" s="19">
        <f t="shared" si="2054"/>
        <v>2814</v>
      </c>
      <c r="BP2044">
        <f t="shared" si="2055"/>
        <v>2809</v>
      </c>
      <c r="BQ2044" s="17">
        <f t="shared" si="2056"/>
        <v>2814</v>
      </c>
      <c r="BR2044" t="str">
        <f t="shared" si="2057"/>
        <v>event_team_player_1</v>
      </c>
      <c r="BS2044">
        <f>COUNTIFS(S$3:S2044,"="&amp;S2044,AI$3:AI2044,"="&amp;AI2044)</f>
        <v>1</v>
      </c>
      <c r="BT2044" t="str">
        <f>IFERROR(VLOOKUP(BB2044&amp;BU2044&amp;X2044,game_rosters!U:W,3,FALSE),"")</f>
        <v>P100070</v>
      </c>
      <c r="BU2044" t="str">
        <f t="shared" si="2058"/>
        <v>Velodrome</v>
      </c>
    </row>
    <row r="2045" spans="1:73" x14ac:dyDescent="0.2">
      <c r="A2045">
        <f t="shared" si="2044"/>
        <v>1</v>
      </c>
      <c r="J2045" s="44" t="str">
        <f t="shared" si="2059"/>
        <v>o</v>
      </c>
      <c r="K2045" t="s">
        <v>6</v>
      </c>
      <c r="L2045" t="s">
        <v>181</v>
      </c>
      <c r="M2045" t="s">
        <v>51</v>
      </c>
      <c r="S2045">
        <v>1080</v>
      </c>
      <c r="W2045" t="str">
        <f t="shared" si="2035"/>
        <v>a</v>
      </c>
      <c r="X2045">
        <v>52</v>
      </c>
      <c r="Y2045" t="e">
        <f>IF(X2045&lt;&gt;"",VLOOKUP(X2045,game_rosters!$C$43:$E$64,3,FALSE))</f>
        <v>#N/A</v>
      </c>
      <c r="Z2045" cm="1">
        <f t="array" ref="Z2045">IFERROR(IF(_xlfn._xlws.FILTER(game_rosters!$J:$J,(game_rosters!$G:$G=events!$AN2045)*(game_rosters!$J:$J=events!$X2045))&gt;0,1,""),"")</f>
        <v>1</v>
      </c>
      <c r="AA2045">
        <f t="shared" si="2083"/>
        <v>2080</v>
      </c>
      <c r="AB2045" t="str">
        <f t="shared" si="2084"/>
        <v/>
      </c>
      <c r="AC2045">
        <f t="shared" si="2032"/>
        <v>2080</v>
      </c>
      <c r="AD2045" s="6">
        <v>3</v>
      </c>
      <c r="AE2045" t="s">
        <v>933</v>
      </c>
      <c r="AF2045" t="s">
        <v>916</v>
      </c>
      <c r="AG2045" t="s">
        <v>756</v>
      </c>
      <c r="AH2045" t="s">
        <v>756</v>
      </c>
      <c r="AI2045" t="s">
        <v>367</v>
      </c>
      <c r="AJ2045" t="str">
        <f t="shared" ref="AJ2045:AK2045" si="2117">IF($J2045&lt;&gt;"",$J2045,IF($AC2045=$AC2044,AJ2044,""))</f>
        <v>o</v>
      </c>
      <c r="AK2045" t="str">
        <f t="shared" si="2117"/>
        <v>o</v>
      </c>
      <c r="AL2045" t="str">
        <f t="shared" si="2037"/>
        <v>d</v>
      </c>
      <c r="AN2045" t="s">
        <v>862</v>
      </c>
      <c r="AO2045" t="str">
        <f t="shared" si="2038"/>
        <v>a</v>
      </c>
      <c r="AP2045" t="str">
        <f t="shared" si="2046"/>
        <v>d</v>
      </c>
      <c r="AQ2045" t="str">
        <f t="shared" si="2047"/>
        <v/>
      </c>
      <c r="AR2045" t="str">
        <f t="shared" si="2048"/>
        <v>Away</v>
      </c>
      <c r="AS2045" t="str">
        <f t="shared" si="2049"/>
        <v>a</v>
      </c>
      <c r="AT2045" t="str">
        <f t="shared" si="2050"/>
        <v>Offensive</v>
      </c>
      <c r="BA2045" s="6">
        <f t="shared" si="2039"/>
        <v>469</v>
      </c>
      <c r="BB2045">
        <f t="shared" si="2040"/>
        <v>18981</v>
      </c>
      <c r="BC2045" t="str">
        <f t="shared" si="2041"/>
        <v>Nelson</v>
      </c>
      <c r="BD2045" t="str">
        <f t="shared" si="2042"/>
        <v>Velodrome</v>
      </c>
      <c r="BE2045" t="s">
        <v>6</v>
      </c>
      <c r="BF2045" t="s">
        <v>181</v>
      </c>
      <c r="BG2045" t="s">
        <v>51</v>
      </c>
      <c r="BI2045" cm="1">
        <f t="array" ref="BI2045">IFERROR(_xlfn._xlws.FILTER(shifts!A:A,(shifts!B:B=events!AD2045)*(shifts!AG:AG&gt;=events!BK2045)*(shifts!AH:AH&lt;=events!BL2045)),BI2044)</f>
        <v>89</v>
      </c>
      <c r="BJ2045" s="15">
        <f t="shared" si="2043"/>
        <v>0</v>
      </c>
      <c r="BK2045">
        <f t="shared" si="2051"/>
        <v>567</v>
      </c>
      <c r="BL2045">
        <f t="shared" si="2052"/>
        <v>567</v>
      </c>
      <c r="BM2045" s="15">
        <f>SUMIFS(BJ$2:BJ2045,K$2:K2045,"=Intermission")+SUMIFS(BJ$2:BJ2045,K$2:K2045,"=Timeout")</f>
        <v>142</v>
      </c>
      <c r="BN2045">
        <f t="shared" si="2053"/>
        <v>2302</v>
      </c>
      <c r="BO2045" s="19">
        <f t="shared" si="2054"/>
        <v>2815</v>
      </c>
      <c r="BP2045">
        <f t="shared" si="2055"/>
        <v>2810</v>
      </c>
      <c r="BQ2045" s="17">
        <f t="shared" si="2056"/>
        <v>2815</v>
      </c>
      <c r="BR2045" t="str">
        <f t="shared" si="2057"/>
        <v>event_team_player_1</v>
      </c>
      <c r="BS2045">
        <f>COUNTIFS(S$3:S2045,"="&amp;S2045,AI$3:AI2045,"="&amp;AI2045)</f>
        <v>1</v>
      </c>
      <c r="BT2045" t="str">
        <f>IFERROR(VLOOKUP(BB2045&amp;BU2045&amp;X2045,game_rosters!U:W,3,FALSE),"")</f>
        <v>P100070</v>
      </c>
      <c r="BU2045" t="str">
        <f t="shared" si="2058"/>
        <v>Velodrome</v>
      </c>
    </row>
    <row r="2046" spans="1:73" x14ac:dyDescent="0.2">
      <c r="A2046">
        <f t="shared" si="2044"/>
        <v>1</v>
      </c>
      <c r="J2046" s="44" t="str">
        <f t="shared" si="2059"/>
        <v>o</v>
      </c>
      <c r="K2046" t="s">
        <v>6</v>
      </c>
      <c r="L2046" t="s">
        <v>181</v>
      </c>
      <c r="M2046" t="s">
        <v>51</v>
      </c>
      <c r="S2046">
        <v>1080</v>
      </c>
      <c r="W2046" t="str">
        <f t="shared" si="2035"/>
        <v>a</v>
      </c>
      <c r="X2046">
        <v>44</v>
      </c>
      <c r="Y2046" t="b">
        <f>IF(X2046&lt;&gt;"",VLOOKUP(X2046,game_rosters!$C$43:$E$64,3,FALSE))</f>
        <v>0</v>
      </c>
      <c r="Z2046" t="str" cm="1">
        <f t="array" ref="Z2046">IFERROR(IF(_xlfn._xlws.FILTER(game_rosters!$J:$J,(game_rosters!$G:$G=events!$AN2046)*(game_rosters!$J:$J=events!$X2046))&gt;0,1,""),"")</f>
        <v/>
      </c>
      <c r="AA2046">
        <f t="shared" si="2083"/>
        <v>2080</v>
      </c>
      <c r="AB2046" t="str">
        <f t="shared" si="2084"/>
        <v/>
      </c>
      <c r="AC2046">
        <f t="shared" si="2032"/>
        <v>2080</v>
      </c>
      <c r="AD2046" s="6">
        <v>3</v>
      </c>
      <c r="AE2046" t="s">
        <v>933</v>
      </c>
      <c r="AF2046" t="s">
        <v>916</v>
      </c>
      <c r="AG2046" t="s">
        <v>756</v>
      </c>
      <c r="AH2046" t="s">
        <v>756</v>
      </c>
      <c r="AI2046" t="s">
        <v>368</v>
      </c>
      <c r="AJ2046" t="str">
        <f t="shared" ref="AJ2046:AK2046" si="2118">IF($J2046&lt;&gt;"",$J2046,IF($AC2046=$AC2045,AJ2045,""))</f>
        <v>o</v>
      </c>
      <c r="AK2046" t="str">
        <f t="shared" si="2118"/>
        <v>o</v>
      </c>
      <c r="AL2046" t="str">
        <f t="shared" si="2037"/>
        <v>d</v>
      </c>
      <c r="AN2046" t="s">
        <v>862</v>
      </c>
      <c r="AO2046" t="str">
        <f t="shared" si="2038"/>
        <v>a</v>
      </c>
      <c r="AP2046" t="str">
        <f t="shared" si="2046"/>
        <v>d</v>
      </c>
      <c r="AQ2046" t="str">
        <f t="shared" si="2047"/>
        <v/>
      </c>
      <c r="AR2046" t="str">
        <f t="shared" si="2048"/>
        <v>Away</v>
      </c>
      <c r="AS2046" t="str">
        <f t="shared" si="2049"/>
        <v>a</v>
      </c>
      <c r="AT2046" t="str">
        <f t="shared" si="2050"/>
        <v>Defensive</v>
      </c>
      <c r="BA2046" s="6">
        <f t="shared" si="2039"/>
        <v>469</v>
      </c>
      <c r="BB2046">
        <f t="shared" si="2040"/>
        <v>18981</v>
      </c>
      <c r="BC2046" t="str">
        <f t="shared" si="2041"/>
        <v>Nelson</v>
      </c>
      <c r="BD2046" t="str">
        <f t="shared" si="2042"/>
        <v>Velodrome</v>
      </c>
      <c r="BE2046" t="s">
        <v>6</v>
      </c>
      <c r="BF2046" t="s">
        <v>181</v>
      </c>
      <c r="BG2046" t="s">
        <v>51</v>
      </c>
      <c r="BI2046" cm="1">
        <f t="array" ref="BI2046">IFERROR(_xlfn._xlws.FILTER(shifts!A:A,(shifts!B:B=events!AD2046)*(shifts!AG:AG&gt;=events!BK2046)*(shifts!AH:AH&lt;=events!BL2046)),BI2045)</f>
        <v>89</v>
      </c>
      <c r="BJ2046" s="15">
        <f t="shared" si="2043"/>
        <v>0</v>
      </c>
      <c r="BK2046">
        <f t="shared" si="2051"/>
        <v>567</v>
      </c>
      <c r="BL2046">
        <f t="shared" si="2052"/>
        <v>567</v>
      </c>
      <c r="BM2046" s="15">
        <f>SUMIFS(BJ$2:BJ2046,K$2:K2046,"=Intermission")+SUMIFS(BJ$2:BJ2046,K$2:K2046,"=Timeout")</f>
        <v>142</v>
      </c>
      <c r="BN2046">
        <f t="shared" si="2053"/>
        <v>2302</v>
      </c>
      <c r="BO2046" s="19">
        <f t="shared" si="2054"/>
        <v>2815</v>
      </c>
      <c r="BP2046">
        <f t="shared" si="2055"/>
        <v>2810</v>
      </c>
      <c r="BQ2046" s="17">
        <f t="shared" si="2056"/>
        <v>2815</v>
      </c>
      <c r="BR2046" t="str">
        <f t="shared" si="2057"/>
        <v>opp_team_player_1</v>
      </c>
      <c r="BS2046">
        <f>COUNTIFS(S$3:S2046,"="&amp;S2046,AI$3:AI2046,"="&amp;AI2046)</f>
        <v>1</v>
      </c>
      <c r="BT2046" t="str">
        <f>IFERROR(VLOOKUP(BB2046&amp;BU2046&amp;X2046,game_rosters!U:W,3,FALSE),"")</f>
        <v>P100079</v>
      </c>
      <c r="BU2046" t="str">
        <f t="shared" si="2058"/>
        <v>Nelson</v>
      </c>
    </row>
    <row r="2047" spans="1:73" x14ac:dyDescent="0.2">
      <c r="A2047">
        <f t="shared" si="2044"/>
        <v>1</v>
      </c>
      <c r="J2047" s="44" t="str">
        <f t="shared" si="2059"/>
        <v/>
      </c>
      <c r="K2047" t="s">
        <v>13</v>
      </c>
      <c r="L2047" t="s">
        <v>756</v>
      </c>
      <c r="M2047" t="s">
        <v>756</v>
      </c>
      <c r="S2047">
        <v>1081</v>
      </c>
      <c r="W2047" t="str">
        <f t="shared" si="2035"/>
        <v>a</v>
      </c>
      <c r="X2047">
        <v>87</v>
      </c>
      <c r="Y2047" t="e">
        <f>IF(X2047&lt;&gt;"",VLOOKUP(X2047,game_rosters!$C$43:$E$64,3,FALSE))</f>
        <v>#N/A</v>
      </c>
      <c r="Z2047" cm="1">
        <f t="array" ref="Z2047">IFERROR(IF(_xlfn._xlws.FILTER(game_rosters!$J:$J,(game_rosters!$G:$G=events!$AN2047)*(game_rosters!$J:$J=events!$X2047))&gt;0,1,""),"")</f>
        <v>1</v>
      </c>
      <c r="AA2047">
        <f t="shared" si="2083"/>
        <v>2081</v>
      </c>
      <c r="AB2047" t="str">
        <f t="shared" si="2084"/>
        <v/>
      </c>
      <c r="AC2047">
        <f t="shared" si="2032"/>
        <v>2081</v>
      </c>
      <c r="AD2047" s="6">
        <v>3</v>
      </c>
      <c r="AE2047" t="s">
        <v>933</v>
      </c>
      <c r="AF2047" t="s">
        <v>739</v>
      </c>
      <c r="AG2047" t="s">
        <v>933</v>
      </c>
      <c r="AH2047" t="s">
        <v>743</v>
      </c>
      <c r="AI2047" t="s">
        <v>367</v>
      </c>
      <c r="AJ2047" t="str">
        <f t="shared" ref="AJ2047:AK2047" si="2119">IF($J2047&lt;&gt;"",$J2047,IF($AC2047=$AC2046,AJ2046,""))</f>
        <v/>
      </c>
      <c r="AK2047" t="str">
        <f t="shared" si="2119"/>
        <v/>
      </c>
      <c r="AL2047" t="str">
        <f t="shared" si="2037"/>
        <v/>
      </c>
      <c r="AN2047" t="s">
        <v>862</v>
      </c>
      <c r="AO2047" t="str">
        <f t="shared" si="2038"/>
        <v>a</v>
      </c>
      <c r="AP2047" t="str">
        <f t="shared" si="2046"/>
        <v/>
      </c>
      <c r="AQ2047" t="str">
        <f t="shared" si="2047"/>
        <v/>
      </c>
      <c r="AR2047" t="str">
        <f t="shared" si="2048"/>
        <v>Away</v>
      </c>
      <c r="AS2047" t="str">
        <f t="shared" si="2049"/>
        <v>a</v>
      </c>
      <c r="AT2047" t="str">
        <f t="shared" si="2050"/>
        <v>Offensive</v>
      </c>
      <c r="BA2047" s="6">
        <f t="shared" si="2039"/>
        <v>469</v>
      </c>
      <c r="BB2047">
        <f t="shared" si="2040"/>
        <v>18981</v>
      </c>
      <c r="BC2047" t="str">
        <f t="shared" si="2041"/>
        <v>Nelson</v>
      </c>
      <c r="BD2047" t="str">
        <f t="shared" si="2042"/>
        <v>Velodrome</v>
      </c>
      <c r="BE2047" t="s">
        <v>13</v>
      </c>
      <c r="BF2047" t="s">
        <v>756</v>
      </c>
      <c r="BG2047" t="s">
        <v>756</v>
      </c>
      <c r="BI2047" cm="1">
        <f t="array" ref="BI2047">IFERROR(_xlfn._xlws.FILTER(shifts!A:A,(shifts!B:B=events!AD2047)*(shifts!AG:AG&gt;=events!BK2047)*(shifts!AH:AH&lt;=events!BL2047)),BI2046)</f>
        <v>89</v>
      </c>
      <c r="BJ2047" s="15">
        <f t="shared" si="2043"/>
        <v>8</v>
      </c>
      <c r="BK2047">
        <f t="shared" si="2051"/>
        <v>566</v>
      </c>
      <c r="BL2047">
        <f t="shared" si="2052"/>
        <v>558</v>
      </c>
      <c r="BM2047" s="15">
        <f>SUMIFS(BJ$2:BJ2047,K$2:K2047,"=Intermission")+SUMIFS(BJ$2:BJ2047,K$2:K2047,"=Timeout")</f>
        <v>142</v>
      </c>
      <c r="BN2047">
        <f t="shared" si="2053"/>
        <v>2302</v>
      </c>
      <c r="BO2047" s="19">
        <f t="shared" si="2054"/>
        <v>2816</v>
      </c>
      <c r="BP2047">
        <f t="shared" si="2055"/>
        <v>2811</v>
      </c>
      <c r="BQ2047" s="17">
        <f t="shared" si="2056"/>
        <v>2824</v>
      </c>
      <c r="BR2047" t="str">
        <f t="shared" si="2057"/>
        <v>event_team_player_1</v>
      </c>
      <c r="BS2047">
        <f>COUNTIFS(S$3:S2047,"="&amp;S2047,AI$3:AI2047,"="&amp;AI2047)</f>
        <v>1</v>
      </c>
      <c r="BT2047" t="str">
        <f>IFERROR(VLOOKUP(BB2047&amp;BU2047&amp;X2047,game_rosters!U:W,3,FALSE),"")</f>
        <v>P100159</v>
      </c>
      <c r="BU2047" t="str">
        <f t="shared" si="2058"/>
        <v>Velodrome</v>
      </c>
    </row>
    <row r="2048" spans="1:73" x14ac:dyDescent="0.2">
      <c r="A2048">
        <f t="shared" si="2044"/>
        <v>1</v>
      </c>
      <c r="J2048" s="44" t="str">
        <f t="shared" si="2059"/>
        <v/>
      </c>
      <c r="K2048" t="s">
        <v>13</v>
      </c>
      <c r="L2048" t="s">
        <v>756</v>
      </c>
      <c r="M2048" t="s">
        <v>756</v>
      </c>
      <c r="S2048">
        <v>1081</v>
      </c>
      <c r="W2048" t="str">
        <f t="shared" si="2035"/>
        <v>a</v>
      </c>
      <c r="X2048">
        <v>37</v>
      </c>
      <c r="Y2048" t="b">
        <f>IF(X2048&lt;&gt;"",VLOOKUP(X2048,game_rosters!$C$43:$E$64,3,FALSE))</f>
        <v>0</v>
      </c>
      <c r="Z2048" t="str" cm="1">
        <f t="array" ref="Z2048">IFERROR(IF(_xlfn._xlws.FILTER(game_rosters!$J:$J,(game_rosters!$G:$G=events!$AN2048)*(game_rosters!$J:$J=events!$X2048))&gt;0,1,""),"")</f>
        <v/>
      </c>
      <c r="AA2048">
        <f t="shared" si="2083"/>
        <v>2081</v>
      </c>
      <c r="AB2048" t="str">
        <f t="shared" si="2084"/>
        <v/>
      </c>
      <c r="AC2048">
        <f t="shared" si="2032"/>
        <v>2081</v>
      </c>
      <c r="AD2048" s="6">
        <v>3</v>
      </c>
      <c r="AE2048" t="s">
        <v>933</v>
      </c>
      <c r="AF2048" t="s">
        <v>739</v>
      </c>
      <c r="AG2048" t="s">
        <v>933</v>
      </c>
      <c r="AH2048" t="s">
        <v>743</v>
      </c>
      <c r="AI2048" t="s">
        <v>368</v>
      </c>
      <c r="AJ2048" t="str">
        <f t="shared" ref="AJ2048:AK2048" si="2120">IF($J2048&lt;&gt;"",$J2048,IF($AC2048=$AC2047,AJ2047,""))</f>
        <v/>
      </c>
      <c r="AK2048" t="str">
        <f t="shared" si="2120"/>
        <v/>
      </c>
      <c r="AL2048" t="str">
        <f t="shared" si="2037"/>
        <v/>
      </c>
      <c r="AN2048" t="s">
        <v>862</v>
      </c>
      <c r="AO2048" t="str">
        <f t="shared" si="2038"/>
        <v>a</v>
      </c>
      <c r="AP2048" t="str">
        <f t="shared" si="2046"/>
        <v/>
      </c>
      <c r="AQ2048" t="str">
        <f t="shared" si="2047"/>
        <v/>
      </c>
      <c r="AR2048" t="str">
        <f t="shared" si="2048"/>
        <v>Away</v>
      </c>
      <c r="AS2048" t="str">
        <f t="shared" si="2049"/>
        <v>a</v>
      </c>
      <c r="AT2048" t="str">
        <f t="shared" si="2050"/>
        <v>Defensive</v>
      </c>
      <c r="BA2048" s="6">
        <f t="shared" si="2039"/>
        <v>469</v>
      </c>
      <c r="BB2048">
        <f t="shared" si="2040"/>
        <v>18981</v>
      </c>
      <c r="BC2048" t="str">
        <f t="shared" si="2041"/>
        <v>Nelson</v>
      </c>
      <c r="BD2048" t="str">
        <f t="shared" si="2042"/>
        <v>Velodrome</v>
      </c>
      <c r="BE2048" t="s">
        <v>13</v>
      </c>
      <c r="BF2048" t="s">
        <v>756</v>
      </c>
      <c r="BG2048" t="s">
        <v>756</v>
      </c>
      <c r="BI2048" cm="1">
        <f t="array" ref="BI2048">IFERROR(_xlfn._xlws.FILTER(shifts!A:A,(shifts!B:B=events!AD2048)*(shifts!AG:AG&gt;=events!BK2048)*(shifts!AH:AH&lt;=events!BL2048)),BI2047)</f>
        <v>89</v>
      </c>
      <c r="BJ2048" s="15">
        <f t="shared" si="2043"/>
        <v>8</v>
      </c>
      <c r="BK2048">
        <f t="shared" si="2051"/>
        <v>566</v>
      </c>
      <c r="BL2048">
        <f t="shared" si="2052"/>
        <v>558</v>
      </c>
      <c r="BM2048" s="15">
        <f>SUMIFS(BJ$2:BJ2048,K$2:K2048,"=Intermission")+SUMIFS(BJ$2:BJ2048,K$2:K2048,"=Timeout")</f>
        <v>142</v>
      </c>
      <c r="BN2048">
        <f t="shared" si="2053"/>
        <v>2302</v>
      </c>
      <c r="BO2048" s="19">
        <f t="shared" si="2054"/>
        <v>2816</v>
      </c>
      <c r="BP2048">
        <f t="shared" si="2055"/>
        <v>2811</v>
      </c>
      <c r="BQ2048" s="17">
        <f t="shared" si="2056"/>
        <v>2824</v>
      </c>
      <c r="BR2048" t="str">
        <f t="shared" si="2057"/>
        <v>opp_team_player_1</v>
      </c>
      <c r="BS2048">
        <f>COUNTIFS(S$3:S2048,"="&amp;S2048,AI$3:AI2048,"="&amp;AI2048)</f>
        <v>1</v>
      </c>
      <c r="BT2048" t="str">
        <f>IFERROR(VLOOKUP(BB2048&amp;BU2048&amp;X2048,game_rosters!U:W,3,FALSE),"")</f>
        <v>P100119</v>
      </c>
      <c r="BU2048" t="str">
        <f t="shared" si="2058"/>
        <v>Nelson</v>
      </c>
    </row>
    <row r="2049" spans="1:73" x14ac:dyDescent="0.2">
      <c r="A2049">
        <f t="shared" si="2044"/>
        <v>1</v>
      </c>
      <c r="J2049" s="44" t="str">
        <f t="shared" si="2059"/>
        <v/>
      </c>
      <c r="K2049" t="s">
        <v>230</v>
      </c>
      <c r="L2049" t="s">
        <v>389</v>
      </c>
      <c r="M2049" t="s">
        <v>432</v>
      </c>
      <c r="S2049">
        <v>1082</v>
      </c>
      <c r="W2049" t="str">
        <f t="shared" si="2035"/>
        <v>h</v>
      </c>
      <c r="X2049">
        <v>37</v>
      </c>
      <c r="Y2049" t="b">
        <f>IF(X2049&lt;&gt;"",VLOOKUP(X2049,game_rosters!$C$43:$E$64,3,FALSE))</f>
        <v>0</v>
      </c>
      <c r="Z2049" cm="1">
        <f t="array" ref="Z2049">IFERROR(IF(_xlfn._xlws.FILTER(game_rosters!$J:$J,(game_rosters!$G:$G=events!$AN2049)*(game_rosters!$J:$J=events!$X2049))&gt;0,1,""),"")</f>
        <v>1</v>
      </c>
      <c r="AA2049">
        <f t="shared" si="2083"/>
        <v>2082</v>
      </c>
      <c r="AB2049" t="str">
        <f t="shared" si="2084"/>
        <v/>
      </c>
      <c r="AC2049">
        <f t="shared" si="2032"/>
        <v>2082</v>
      </c>
      <c r="AD2049" s="6">
        <v>3</v>
      </c>
      <c r="AE2049" t="s">
        <v>933</v>
      </c>
      <c r="AF2049" t="s">
        <v>743</v>
      </c>
      <c r="AG2049" t="s">
        <v>756</v>
      </c>
      <c r="AH2049" t="s">
        <v>756</v>
      </c>
      <c r="AI2049" t="s">
        <v>367</v>
      </c>
      <c r="AJ2049" t="str">
        <f t="shared" ref="AJ2049:AK2049" si="2121">IF($J2049&lt;&gt;"",$J2049,IF($AC2049=$AC2048,AJ2048,""))</f>
        <v/>
      </c>
      <c r="AK2049" t="str">
        <f t="shared" si="2121"/>
        <v/>
      </c>
      <c r="AL2049" t="str">
        <f t="shared" si="2037"/>
        <v/>
      </c>
      <c r="AN2049" t="s">
        <v>861</v>
      </c>
      <c r="AO2049" t="str">
        <f t="shared" si="2038"/>
        <v>h</v>
      </c>
      <c r="AP2049" t="str">
        <f t="shared" si="2046"/>
        <v/>
      </c>
      <c r="AQ2049" t="str">
        <f t="shared" si="2047"/>
        <v/>
      </c>
      <c r="AR2049" t="str">
        <f t="shared" si="2048"/>
        <v>Home</v>
      </c>
      <c r="AS2049" t="str">
        <f t="shared" si="2049"/>
        <v>h</v>
      </c>
      <c r="AT2049" t="str">
        <f t="shared" si="2050"/>
        <v>Defensive</v>
      </c>
      <c r="BA2049" s="6">
        <f t="shared" si="2039"/>
        <v>469</v>
      </c>
      <c r="BB2049">
        <f t="shared" si="2040"/>
        <v>18981</v>
      </c>
      <c r="BC2049" t="str">
        <f t="shared" si="2041"/>
        <v>Nelson</v>
      </c>
      <c r="BD2049" t="str">
        <f t="shared" si="2042"/>
        <v>Velodrome</v>
      </c>
      <c r="BE2049" t="s">
        <v>230</v>
      </c>
      <c r="BF2049" t="s">
        <v>389</v>
      </c>
      <c r="BG2049" t="s">
        <v>432</v>
      </c>
      <c r="BI2049" cm="1">
        <f t="array" ref="BI2049">IFERROR(_xlfn._xlws.FILTER(shifts!A:A,(shifts!B:B=events!AD2049)*(shifts!AG:AG&gt;=events!BK2049)*(shifts!AH:AH&lt;=events!BL2049)),BI2048)</f>
        <v>89</v>
      </c>
      <c r="BJ2049" s="15">
        <f t="shared" si="2043"/>
        <v>0</v>
      </c>
      <c r="BK2049">
        <f t="shared" si="2051"/>
        <v>558</v>
      </c>
      <c r="BL2049">
        <f t="shared" si="2052"/>
        <v>558</v>
      </c>
      <c r="BM2049" s="15">
        <f>SUMIFS(BJ$2:BJ2049,K$2:K2049,"=Intermission")+SUMIFS(BJ$2:BJ2049,K$2:K2049,"=Timeout")</f>
        <v>142</v>
      </c>
      <c r="BN2049">
        <f t="shared" si="2053"/>
        <v>2302</v>
      </c>
      <c r="BO2049" s="19">
        <f t="shared" si="2054"/>
        <v>2824</v>
      </c>
      <c r="BP2049">
        <f t="shared" si="2055"/>
        <v>2819</v>
      </c>
      <c r="BQ2049" s="17">
        <f t="shared" si="2056"/>
        <v>2824</v>
      </c>
      <c r="BR2049" t="str">
        <f t="shared" si="2057"/>
        <v>event_team_player_1</v>
      </c>
      <c r="BS2049">
        <f>COUNTIFS(S$3:S2049,"="&amp;S2049,AI$3:AI2049,"="&amp;AI2049)</f>
        <v>1</v>
      </c>
      <c r="BT2049" t="str">
        <f>IFERROR(VLOOKUP(BB2049&amp;BU2049&amp;X2049,game_rosters!U:W,3,FALSE),"")</f>
        <v>P100119</v>
      </c>
      <c r="BU2049" t="str">
        <f t="shared" si="2058"/>
        <v>Nelson</v>
      </c>
    </row>
    <row r="2050" spans="1:73" x14ac:dyDescent="0.2">
      <c r="A2050">
        <f t="shared" si="2044"/>
        <v>1</v>
      </c>
      <c r="J2050" s="44" t="str">
        <f t="shared" si="2059"/>
        <v/>
      </c>
      <c r="K2050" t="s">
        <v>230</v>
      </c>
      <c r="L2050" t="s">
        <v>389</v>
      </c>
      <c r="M2050" t="s">
        <v>432</v>
      </c>
      <c r="S2050">
        <v>1082</v>
      </c>
      <c r="W2050" t="str">
        <f t="shared" si="2035"/>
        <v>h</v>
      </c>
      <c r="X2050">
        <v>87</v>
      </c>
      <c r="Y2050" t="e">
        <f>IF(X2050&lt;&gt;"",VLOOKUP(X2050,game_rosters!$C$43:$E$64,3,FALSE))</f>
        <v>#N/A</v>
      </c>
      <c r="Z2050" t="str" cm="1">
        <f t="array" ref="Z2050">IFERROR(IF(_xlfn._xlws.FILTER(game_rosters!$J:$J,(game_rosters!$G:$G=events!$AN2050)*(game_rosters!$J:$J=events!$X2050))&gt;0,1,""),"")</f>
        <v/>
      </c>
      <c r="AA2050">
        <f t="shared" si="2083"/>
        <v>2082</v>
      </c>
      <c r="AB2050" t="str">
        <f t="shared" si="2084"/>
        <v/>
      </c>
      <c r="AC2050">
        <f t="shared" ref="AC2050:AC2113" si="2122">IF(AB2050&lt;&gt;"",AB2050,S2050+1000)</f>
        <v>2082</v>
      </c>
      <c r="AD2050" s="6">
        <v>3</v>
      </c>
      <c r="AE2050" t="s">
        <v>933</v>
      </c>
      <c r="AF2050" t="s">
        <v>743</v>
      </c>
      <c r="AG2050" t="s">
        <v>756</v>
      </c>
      <c r="AH2050" t="s">
        <v>756</v>
      </c>
      <c r="AI2050" t="s">
        <v>368</v>
      </c>
      <c r="AJ2050" t="str">
        <f t="shared" ref="AJ2050:AK2050" si="2123">IF($J2050&lt;&gt;"",$J2050,IF($AC2050=$AC2049,AJ2049,""))</f>
        <v/>
      </c>
      <c r="AK2050" t="str">
        <f t="shared" si="2123"/>
        <v/>
      </c>
      <c r="AL2050" t="str">
        <f t="shared" si="2037"/>
        <v/>
      </c>
      <c r="AN2050" t="s">
        <v>861</v>
      </c>
      <c r="AO2050" t="str">
        <f t="shared" si="2038"/>
        <v>h</v>
      </c>
      <c r="AP2050" t="str">
        <f t="shared" si="2046"/>
        <v/>
      </c>
      <c r="AQ2050" t="str">
        <f t="shared" si="2047"/>
        <v/>
      </c>
      <c r="AR2050" t="str">
        <f t="shared" si="2048"/>
        <v>Home</v>
      </c>
      <c r="AS2050" t="str">
        <f t="shared" si="2049"/>
        <v>h</v>
      </c>
      <c r="AT2050" t="str">
        <f t="shared" si="2050"/>
        <v>Offensive</v>
      </c>
      <c r="BA2050" s="6">
        <f t="shared" si="2039"/>
        <v>469</v>
      </c>
      <c r="BB2050">
        <f t="shared" si="2040"/>
        <v>18981</v>
      </c>
      <c r="BC2050" t="str">
        <f t="shared" si="2041"/>
        <v>Nelson</v>
      </c>
      <c r="BD2050" t="str">
        <f t="shared" si="2042"/>
        <v>Velodrome</v>
      </c>
      <c r="BE2050" t="s">
        <v>230</v>
      </c>
      <c r="BF2050" t="s">
        <v>389</v>
      </c>
      <c r="BG2050" t="s">
        <v>432</v>
      </c>
      <c r="BI2050" cm="1">
        <f t="array" ref="BI2050">IFERROR(_xlfn._xlws.FILTER(shifts!A:A,(shifts!B:B=events!AD2050)*(shifts!AG:AG&gt;=events!BK2050)*(shifts!AH:AH&lt;=events!BL2050)),BI2049)</f>
        <v>89</v>
      </c>
      <c r="BJ2050" s="15">
        <f t="shared" si="2043"/>
        <v>0</v>
      </c>
      <c r="BK2050">
        <f t="shared" si="2051"/>
        <v>558</v>
      </c>
      <c r="BL2050">
        <f t="shared" si="2052"/>
        <v>558</v>
      </c>
      <c r="BM2050" s="15">
        <f>SUMIFS(BJ$2:BJ2050,K$2:K2050,"=Intermission")+SUMIFS(BJ$2:BJ2050,K$2:K2050,"=Timeout")</f>
        <v>142</v>
      </c>
      <c r="BN2050">
        <f t="shared" si="2053"/>
        <v>2302</v>
      </c>
      <c r="BO2050" s="19">
        <f t="shared" si="2054"/>
        <v>2824</v>
      </c>
      <c r="BP2050">
        <f t="shared" si="2055"/>
        <v>2819</v>
      </c>
      <c r="BQ2050" s="17">
        <f t="shared" si="2056"/>
        <v>2824</v>
      </c>
      <c r="BR2050" t="str">
        <f t="shared" si="2057"/>
        <v>opp_team_player_1</v>
      </c>
      <c r="BS2050">
        <f>COUNTIFS(S$3:S2050,"="&amp;S2050,AI$3:AI2050,"="&amp;AI2050)</f>
        <v>1</v>
      </c>
      <c r="BT2050" t="str">
        <f>IFERROR(VLOOKUP(BB2050&amp;BU2050&amp;X2050,game_rosters!U:W,3,FALSE),"")</f>
        <v>P100159</v>
      </c>
      <c r="BU2050" t="str">
        <f t="shared" si="2058"/>
        <v>Velodrome</v>
      </c>
    </row>
    <row r="2051" spans="1:73" x14ac:dyDescent="0.2">
      <c r="A2051">
        <f t="shared" si="2044"/>
        <v>1</v>
      </c>
      <c r="J2051" s="44" t="str">
        <f t="shared" si="2059"/>
        <v/>
      </c>
      <c r="K2051" t="s">
        <v>238</v>
      </c>
      <c r="L2051" t="s">
        <v>193</v>
      </c>
      <c r="M2051" t="s">
        <v>91</v>
      </c>
      <c r="S2051">
        <v>1083</v>
      </c>
      <c r="W2051" t="str">
        <f t="shared" si="2035"/>
        <v>a</v>
      </c>
      <c r="X2051">
        <v>52</v>
      </c>
      <c r="Y2051" t="e">
        <f>IF(X2051&lt;&gt;"",VLOOKUP(X2051,game_rosters!$C$43:$E$64,3,FALSE))</f>
        <v>#N/A</v>
      </c>
      <c r="Z2051" cm="1">
        <f t="array" ref="Z2051">IFERROR(IF(_xlfn._xlws.FILTER(game_rosters!$J:$J,(game_rosters!$G:$G=events!$AN2051)*(game_rosters!$J:$J=events!$X2051))&gt;0,1,""),"")</f>
        <v>1</v>
      </c>
      <c r="AA2051">
        <f t="shared" si="2083"/>
        <v>2083</v>
      </c>
      <c r="AB2051" t="str">
        <f t="shared" si="2084"/>
        <v/>
      </c>
      <c r="AC2051">
        <f t="shared" si="2122"/>
        <v>2083</v>
      </c>
      <c r="AD2051" s="6">
        <v>3</v>
      </c>
      <c r="AE2051" t="s">
        <v>933</v>
      </c>
      <c r="AF2051" t="s">
        <v>732</v>
      </c>
      <c r="AG2051" t="s">
        <v>756</v>
      </c>
      <c r="AH2051" t="s">
        <v>756</v>
      </c>
      <c r="AI2051" t="s">
        <v>367</v>
      </c>
      <c r="AJ2051" t="str">
        <f t="shared" ref="AJ2051:AK2051" si="2124">IF($J2051&lt;&gt;"",$J2051,IF($AC2051=$AC2050,AJ2050,""))</f>
        <v/>
      </c>
      <c r="AK2051" t="str">
        <f t="shared" si="2124"/>
        <v/>
      </c>
      <c r="AL2051" t="str">
        <f t="shared" si="2037"/>
        <v/>
      </c>
      <c r="AN2051" t="s">
        <v>862</v>
      </c>
      <c r="AO2051" t="str">
        <f t="shared" si="2038"/>
        <v>a</v>
      </c>
      <c r="AP2051" t="str">
        <f t="shared" si="2046"/>
        <v/>
      </c>
      <c r="AQ2051" t="str">
        <f t="shared" si="2047"/>
        <v/>
      </c>
      <c r="AR2051" t="str">
        <f t="shared" si="2048"/>
        <v>Away</v>
      </c>
      <c r="AS2051" t="str">
        <f t="shared" si="2049"/>
        <v>a</v>
      </c>
      <c r="AT2051" t="str">
        <f t="shared" si="2050"/>
        <v>Offensive</v>
      </c>
      <c r="BA2051" s="6">
        <f t="shared" si="2039"/>
        <v>469</v>
      </c>
      <c r="BB2051">
        <f t="shared" si="2040"/>
        <v>18981</v>
      </c>
      <c r="BC2051" t="str">
        <f t="shared" si="2041"/>
        <v>Nelson</v>
      </c>
      <c r="BD2051" t="str">
        <f t="shared" si="2042"/>
        <v>Velodrome</v>
      </c>
      <c r="BE2051" t="s">
        <v>238</v>
      </c>
      <c r="BF2051" t="s">
        <v>193</v>
      </c>
      <c r="BG2051" t="s">
        <v>91</v>
      </c>
      <c r="BI2051" cm="1">
        <f t="array" ref="BI2051">IFERROR(_xlfn._xlws.FILTER(shifts!A:A,(shifts!B:B=events!AD2051)*(shifts!AG:AG&gt;=events!BK2051)*(shifts!AH:AH&lt;=events!BL2051)),BI2050)</f>
        <v>89</v>
      </c>
      <c r="BJ2051" s="15">
        <f t="shared" si="2043"/>
        <v>0</v>
      </c>
      <c r="BK2051">
        <f t="shared" si="2051"/>
        <v>557</v>
      </c>
      <c r="BL2051">
        <f t="shared" si="2052"/>
        <v>557</v>
      </c>
      <c r="BM2051" s="15">
        <f>SUMIFS(BJ$2:BJ2051,K$2:K2051,"=Intermission")+SUMIFS(BJ$2:BJ2051,K$2:K2051,"=Timeout")</f>
        <v>142</v>
      </c>
      <c r="BN2051">
        <f t="shared" si="2053"/>
        <v>2302</v>
      </c>
      <c r="BO2051" s="19">
        <f t="shared" si="2054"/>
        <v>2825</v>
      </c>
      <c r="BP2051">
        <f t="shared" si="2055"/>
        <v>2820</v>
      </c>
      <c r="BQ2051" s="17">
        <f t="shared" si="2056"/>
        <v>2825</v>
      </c>
      <c r="BR2051" t="str">
        <f t="shared" si="2057"/>
        <v>event_team_player_1</v>
      </c>
      <c r="BS2051">
        <f>COUNTIFS(S$3:S2051,"="&amp;S2051,AI$3:AI2051,"="&amp;AI2051)</f>
        <v>1</v>
      </c>
      <c r="BT2051" t="str">
        <f>IFERROR(VLOOKUP(BB2051&amp;BU2051&amp;X2051,game_rosters!U:W,3,FALSE),"")</f>
        <v>P100070</v>
      </c>
      <c r="BU2051" t="str">
        <f t="shared" si="2058"/>
        <v>Velodrome</v>
      </c>
    </row>
    <row r="2052" spans="1:73" x14ac:dyDescent="0.2">
      <c r="A2052">
        <f t="shared" si="2044"/>
        <v>1</v>
      </c>
      <c r="J2052" s="44" t="str">
        <f t="shared" si="2059"/>
        <v/>
      </c>
      <c r="K2052" t="s">
        <v>7</v>
      </c>
      <c r="L2052" t="s">
        <v>172</v>
      </c>
      <c r="M2052" t="s">
        <v>68</v>
      </c>
      <c r="S2052">
        <v>1084</v>
      </c>
      <c r="W2052" t="str">
        <f t="shared" ref="W2052:W2115" si="2125">IF(AN2052="Away","a",IF(AN2052="Home","h",""))</f>
        <v>a</v>
      </c>
      <c r="X2052">
        <v>52</v>
      </c>
      <c r="Y2052" t="e">
        <f>IF(X2052&lt;&gt;"",VLOOKUP(X2052,game_rosters!$C$43:$E$64,3,FALSE))</f>
        <v>#N/A</v>
      </c>
      <c r="Z2052" cm="1">
        <f t="array" ref="Z2052">IFERROR(IF(_xlfn._xlws.FILTER(game_rosters!$J:$J,(game_rosters!$G:$G=events!$AN2052)*(game_rosters!$J:$J=events!$X2052))&gt;0,1,""),"")</f>
        <v>1</v>
      </c>
      <c r="AA2052">
        <f t="shared" si="2083"/>
        <v>2084</v>
      </c>
      <c r="AB2052" t="str">
        <f t="shared" si="2084"/>
        <v/>
      </c>
      <c r="AC2052">
        <f t="shared" si="2122"/>
        <v>2084</v>
      </c>
      <c r="AD2052" s="6">
        <v>3</v>
      </c>
      <c r="AE2052" t="s">
        <v>933</v>
      </c>
      <c r="AF2052" t="s">
        <v>732</v>
      </c>
      <c r="AG2052" t="s">
        <v>756</v>
      </c>
      <c r="AH2052" t="s">
        <v>756</v>
      </c>
      <c r="AI2052" t="s">
        <v>367</v>
      </c>
      <c r="AJ2052" t="str">
        <f t="shared" ref="AJ2052:AK2052" si="2126">IF($J2052&lt;&gt;"",$J2052,IF($AC2052=$AC2051,AJ2051,""))</f>
        <v/>
      </c>
      <c r="AK2052" t="str">
        <f t="shared" si="2126"/>
        <v/>
      </c>
      <c r="AL2052" t="str">
        <f t="shared" ref="AL2052:AL2115" si="2127">IF($W2052="","",IF($AJ2052="","",IF($W2052="h",$AJ2052,IF($AJ2052="n","n",IF(AND($W2052="a",$AJ2052="d"),"o",IF(AND($W2052="a",$AJ2052="o"),"d"))))))</f>
        <v/>
      </c>
      <c r="AN2052" t="s">
        <v>862</v>
      </c>
      <c r="AO2052" t="str">
        <f t="shared" ref="AO2052:AO2115" si="2128">IF($W2052&lt;&gt;"",$W2052,IF($AC2052=$AC2051,AO2051,""))</f>
        <v>a</v>
      </c>
      <c r="AP2052" t="str">
        <f t="shared" si="2046"/>
        <v/>
      </c>
      <c r="AQ2052" t="str">
        <f t="shared" si="2047"/>
        <v/>
      </c>
      <c r="AR2052" t="str">
        <f t="shared" si="2048"/>
        <v>Away</v>
      </c>
      <c r="AS2052" t="str">
        <f t="shared" si="2049"/>
        <v>a</v>
      </c>
      <c r="AT2052" t="str">
        <f t="shared" si="2050"/>
        <v>Offensive</v>
      </c>
      <c r="BA2052" s="6">
        <f t="shared" ref="BA2052:BA2115" si="2129">IF(OR(L2052="Zone_Entry",L2052="Zone_Exit"),BA2051+1,BA2051)</f>
        <v>469</v>
      </c>
      <c r="BB2052">
        <f t="shared" ref="BB2052:BB2115" si="2130">BB2051</f>
        <v>18981</v>
      </c>
      <c r="BC2052" t="str">
        <f t="shared" ref="BC2052:BC2115" si="2131">BC2051</f>
        <v>Nelson</v>
      </c>
      <c r="BD2052" t="str">
        <f t="shared" ref="BD2052:BD2115" si="2132">BD2051</f>
        <v>Velodrome</v>
      </c>
      <c r="BE2052" t="s">
        <v>7</v>
      </c>
      <c r="BF2052" t="s">
        <v>172</v>
      </c>
      <c r="BG2052" t="s">
        <v>68</v>
      </c>
      <c r="BI2052" cm="1">
        <f t="array" ref="BI2052">IFERROR(_xlfn._xlws.FILTER(shifts!A:A,(shifts!B:B=events!AD2052)*(shifts!AG:AG&gt;=events!BK2052)*(shifts!AH:AH&lt;=events!BL2052)),BI2051)</f>
        <v>89</v>
      </c>
      <c r="BJ2052" s="15">
        <f t="shared" ref="BJ2052:BJ2115" si="2133">IF(AND(AG2052="",AH2052=""),0,((AE2052*60)+AF2052)-((AG2052*60)+AH2052))</f>
        <v>0</v>
      </c>
      <c r="BK2052">
        <f t="shared" si="2051"/>
        <v>557</v>
      </c>
      <c r="BL2052">
        <f t="shared" si="2052"/>
        <v>557</v>
      </c>
      <c r="BM2052" s="15">
        <f>SUMIFS(BJ$2:BJ2052,K$2:K2052,"=Intermission")+SUMIFS(BJ$2:BJ2052,K$2:K2052,"=Timeout")</f>
        <v>142</v>
      </c>
      <c r="BN2052">
        <f t="shared" si="2053"/>
        <v>2302</v>
      </c>
      <c r="BO2052" s="19">
        <f t="shared" si="2054"/>
        <v>2825</v>
      </c>
      <c r="BP2052">
        <f t="shared" si="2055"/>
        <v>2820</v>
      </c>
      <c r="BQ2052" s="17">
        <f t="shared" si="2056"/>
        <v>2825</v>
      </c>
      <c r="BR2052" t="str">
        <f t="shared" si="2057"/>
        <v>event_team_player_1</v>
      </c>
      <c r="BS2052">
        <f>COUNTIFS(S$3:S2052,"="&amp;S2052,AI$3:AI2052,"="&amp;AI2052)</f>
        <v>1</v>
      </c>
      <c r="BT2052" t="str">
        <f>IFERROR(VLOOKUP(BB2052&amp;BU2052&amp;X2052,game_rosters!U:W,3,FALSE),"")</f>
        <v>P100070</v>
      </c>
      <c r="BU2052" t="str">
        <f t="shared" si="2058"/>
        <v>Velodrome</v>
      </c>
    </row>
    <row r="2053" spans="1:73" x14ac:dyDescent="0.2">
      <c r="A2053">
        <f t="shared" ref="A2053:A2116" si="2134">IF(K2053&lt;&gt;"",1,IF(D2053="x","x",""))</f>
        <v>1</v>
      </c>
      <c r="J2053" s="44" t="str">
        <f t="shared" si="2059"/>
        <v/>
      </c>
      <c r="K2053" t="s">
        <v>7</v>
      </c>
      <c r="L2053" t="s">
        <v>172</v>
      </c>
      <c r="M2053" t="s">
        <v>68</v>
      </c>
      <c r="S2053">
        <v>1084</v>
      </c>
      <c r="W2053" t="str">
        <f t="shared" si="2125"/>
        <v>a</v>
      </c>
      <c r="X2053">
        <v>87</v>
      </c>
      <c r="Y2053" t="e">
        <f>IF(X2053&lt;&gt;"",VLOOKUP(X2053,game_rosters!$C$43:$E$64,3,FALSE))</f>
        <v>#N/A</v>
      </c>
      <c r="Z2053" cm="1">
        <f t="array" ref="Z2053">IFERROR(IF(_xlfn._xlws.FILTER(game_rosters!$J:$J,(game_rosters!$G:$G=events!$AN2053)*(game_rosters!$J:$J=events!$X2053))&gt;0,1,""),"")</f>
        <v>1</v>
      </c>
      <c r="AA2053">
        <f t="shared" si="2083"/>
        <v>2084</v>
      </c>
      <c r="AB2053" t="str">
        <f t="shared" si="2084"/>
        <v/>
      </c>
      <c r="AC2053">
        <f t="shared" si="2122"/>
        <v>2084</v>
      </c>
      <c r="AD2053" s="6">
        <v>3</v>
      </c>
      <c r="AE2053" t="s">
        <v>933</v>
      </c>
      <c r="AF2053" t="s">
        <v>732</v>
      </c>
      <c r="AG2053" t="s">
        <v>756</v>
      </c>
      <c r="AH2053" t="s">
        <v>756</v>
      </c>
      <c r="AI2053" t="s">
        <v>367</v>
      </c>
      <c r="AJ2053" t="str">
        <f t="shared" ref="AJ2053:AK2053" si="2135">IF($J2053&lt;&gt;"",$J2053,IF($AC2053=$AC2052,AJ2052,""))</f>
        <v/>
      </c>
      <c r="AK2053" t="str">
        <f t="shared" si="2135"/>
        <v/>
      </c>
      <c r="AL2053" t="str">
        <f t="shared" si="2127"/>
        <v/>
      </c>
      <c r="AN2053" t="s">
        <v>862</v>
      </c>
      <c r="AO2053" t="str">
        <f t="shared" si="2128"/>
        <v>a</v>
      </c>
      <c r="AP2053" t="str">
        <f t="shared" ref="AP2053:AP2116" si="2136">IF(AL2053&lt;&gt;"",AL2053,IF($AC2053=$AC2052,AP2052,""))</f>
        <v/>
      </c>
      <c r="AQ2053" t="str">
        <f t="shared" ref="AQ2053:AQ2116" si="2137">IF(AM2053&lt;&gt;"",AM2053,IF($AC2053=$AC2052,AQ2052,""))</f>
        <v/>
      </c>
      <c r="AR2053" t="str">
        <f t="shared" ref="AR2053:AR2116" si="2138">IF(AN2053&lt;&gt;"",AN2053,IF($AC2053=$AC2052,AR2052,""))</f>
        <v>Away</v>
      </c>
      <c r="AS2053" t="str">
        <f t="shared" ref="AS2053:AS2116" si="2139">IF(AO2053&lt;&gt;"",AO2053,IF($AC2053=$AC2052,AS2052,""))</f>
        <v>a</v>
      </c>
      <c r="AT2053" t="str">
        <f t="shared" ref="AT2053:AT2116" si="2140">IF(AND(AI2053="e",OR(BE2053="Save",BF2053="Turnover_Takeaway",BF2053="Play_Defensive")),"Defensive",IF(AND(AI2053="o",OR(BE2053="Save",BF2053="Turnover_Takeaway",BF2053="Play_Defensive")),"Offensive",IF(OR(BE2053="Deadice",BE2053="Stoppage",BE2053="Intermission"),"",IF(AI2053="e","Offensive",IF(AI2053="o","Defensive","")))))</f>
        <v>Offensive</v>
      </c>
      <c r="BA2053" s="6">
        <f t="shared" si="2129"/>
        <v>469</v>
      </c>
      <c r="BB2053">
        <f t="shared" si="2130"/>
        <v>18981</v>
      </c>
      <c r="BC2053" t="str">
        <f t="shared" si="2131"/>
        <v>Nelson</v>
      </c>
      <c r="BD2053" t="str">
        <f t="shared" si="2132"/>
        <v>Velodrome</v>
      </c>
      <c r="BE2053" t="s">
        <v>7</v>
      </c>
      <c r="BF2053" t="s">
        <v>172</v>
      </c>
      <c r="BG2053" t="s">
        <v>68</v>
      </c>
      <c r="BI2053" cm="1">
        <f t="array" ref="BI2053">IFERROR(_xlfn._xlws.FILTER(shifts!A:A,(shifts!B:B=events!AD2053)*(shifts!AG:AG&gt;=events!BK2053)*(shifts!AH:AH&lt;=events!BL2053)),BI2052)</f>
        <v>89</v>
      </c>
      <c r="BJ2053" s="15">
        <f t="shared" si="2133"/>
        <v>0</v>
      </c>
      <c r="BK2053">
        <f t="shared" ref="BK2053:BK2116" si="2141">(AE2053*60)+AF2053</f>
        <v>557</v>
      </c>
      <c r="BL2053">
        <f t="shared" ref="BL2053:BL2116" si="2142">IF(AND(AG2053="",AH2053=""),BK2053,((AG2053*60)+AH2053))</f>
        <v>557</v>
      </c>
      <c r="BM2053" s="15">
        <f>SUMIFS(BJ$2:BJ2053,K$2:K2053,"=Intermission")+SUMIFS(BJ$2:BJ2053,K$2:K2053,"=Timeout")</f>
        <v>142</v>
      </c>
      <c r="BN2053">
        <f t="shared" ref="BN2053:BN2116" si="2143">IF(AD2053=1,0,IF(AD2053=2,1080+BM2053,IF(AD2053=3,(1080*2)+BM2053,0)))</f>
        <v>2302</v>
      </c>
      <c r="BO2053" s="19">
        <f t="shared" ref="BO2053:BO2116" si="2144">IF(K2053="Intermission",BO2052,((1080)-((AE2053*60)+AF2053))+BN2053)</f>
        <v>2825</v>
      </c>
      <c r="BP2053">
        <f t="shared" ref="BP2053:BP2116" si="2145">IF(BO2053&lt;5,0,BO2053-5)</f>
        <v>2820</v>
      </c>
      <c r="BQ2053" s="17">
        <f t="shared" ref="BQ2053:BQ2116" si="2146">BP2053+BJ2053+5</f>
        <v>2825</v>
      </c>
      <c r="BR2053" t="str">
        <f t="shared" ref="BR2053:BR2116" si="2147">IF(AI2053="e","event_team_player_"&amp;BS2053,IF(AI2053="o","opp_team_player_"&amp;BS2053,""))</f>
        <v>event_team_player_2</v>
      </c>
      <c r="BS2053">
        <f>COUNTIFS(S$3:S2053,"="&amp;S2053,AI$3:AI2053,"="&amp;AI2053)</f>
        <v>2</v>
      </c>
      <c r="BT2053" t="str">
        <f>IFERROR(VLOOKUP(BB2053&amp;BU2053&amp;X2053,game_rosters!U:W,3,FALSE),"")</f>
        <v>P100159</v>
      </c>
      <c r="BU2053" t="str">
        <f t="shared" ref="BU2053:BU2116" si="2148">IF(AR2053="","",IF(AND(AR2053="Away",AI2053="e"),BD2053,IF(AND(AR2053="Home",AI2053="e"),BC2053,IF(AND(AR2053="Away",AI2053="o"),BC2053,IF(AND(AR2053="Home",AI2053="o"),BD2053)))))</f>
        <v>Velodrome</v>
      </c>
    </row>
    <row r="2054" spans="1:73" x14ac:dyDescent="0.2">
      <c r="A2054">
        <f t="shared" si="2134"/>
        <v>1</v>
      </c>
      <c r="J2054" s="44" t="str">
        <f t="shared" ref="J2054:J2117" si="2149">IF(OR(K2054="Goal",K2054="Shot",L2054="Zone_Entry",M2054="Stoppage-Goal",M2053="Stoppage-Goal"),"o",IF(OR(K2054="Save",K2054="Rebound",L2054="Zone_Exit",M2054="Stoppage-GoalieStoppage",M2053="Stoppage-GoalieStoppage"),"d",IF(OR(L2054="Faceoff_AfterGoal",L2054="Faceoff_PeriodStart",698="Faceoff_GameStart",M2053="Stoppage-Goal"),"n","")))</f>
        <v>o</v>
      </c>
      <c r="K2054" t="s">
        <v>6</v>
      </c>
      <c r="L2054" t="s">
        <v>191</v>
      </c>
      <c r="M2054" t="s">
        <v>204</v>
      </c>
      <c r="S2054">
        <v>1085</v>
      </c>
      <c r="W2054" t="str">
        <f t="shared" si="2125"/>
        <v>a</v>
      </c>
      <c r="X2054">
        <v>87</v>
      </c>
      <c r="Y2054" t="e">
        <f>IF(X2054&lt;&gt;"",VLOOKUP(X2054,game_rosters!$C$43:$E$64,3,FALSE))</f>
        <v>#N/A</v>
      </c>
      <c r="Z2054" cm="1">
        <f t="array" ref="Z2054">IFERROR(IF(_xlfn._xlws.FILTER(game_rosters!$J:$J,(game_rosters!$G:$G=events!$AN2054)*(game_rosters!$J:$J=events!$X2054))&gt;0,1,""),"")</f>
        <v>1</v>
      </c>
      <c r="AA2054">
        <f t="shared" si="2083"/>
        <v>2085</v>
      </c>
      <c r="AB2054" t="str">
        <f t="shared" si="2084"/>
        <v/>
      </c>
      <c r="AC2054">
        <f t="shared" si="2122"/>
        <v>2085</v>
      </c>
      <c r="AD2054" s="6">
        <v>3</v>
      </c>
      <c r="AE2054" t="s">
        <v>933</v>
      </c>
      <c r="AF2054" t="s">
        <v>909</v>
      </c>
      <c r="AG2054" t="s">
        <v>756</v>
      </c>
      <c r="AH2054" t="s">
        <v>756</v>
      </c>
      <c r="AI2054" t="s">
        <v>367</v>
      </c>
      <c r="AJ2054" t="str">
        <f t="shared" ref="AJ2054:AK2054" si="2150">IF($J2054&lt;&gt;"",$J2054,IF($AC2054=$AC2053,AJ2053,""))</f>
        <v>o</v>
      </c>
      <c r="AK2054" t="str">
        <f t="shared" si="2150"/>
        <v>o</v>
      </c>
      <c r="AL2054" t="str">
        <f t="shared" si="2127"/>
        <v>d</v>
      </c>
      <c r="AN2054" t="s">
        <v>862</v>
      </c>
      <c r="AO2054" t="str">
        <f t="shared" si="2128"/>
        <v>a</v>
      </c>
      <c r="AP2054" t="str">
        <f t="shared" si="2136"/>
        <v>d</v>
      </c>
      <c r="AQ2054" t="str">
        <f t="shared" si="2137"/>
        <v/>
      </c>
      <c r="AR2054" t="str">
        <f t="shared" si="2138"/>
        <v>Away</v>
      </c>
      <c r="AS2054" t="str">
        <f t="shared" si="2139"/>
        <v>a</v>
      </c>
      <c r="AT2054" t="str">
        <f t="shared" si="2140"/>
        <v>Offensive</v>
      </c>
      <c r="BA2054" s="6">
        <f t="shared" si="2129"/>
        <v>469</v>
      </c>
      <c r="BB2054">
        <f t="shared" si="2130"/>
        <v>18981</v>
      </c>
      <c r="BC2054" t="str">
        <f t="shared" si="2131"/>
        <v>Nelson</v>
      </c>
      <c r="BD2054" t="str">
        <f t="shared" si="2132"/>
        <v>Velodrome</v>
      </c>
      <c r="BE2054" t="s">
        <v>6</v>
      </c>
      <c r="BF2054" t="s">
        <v>191</v>
      </c>
      <c r="BG2054" t="s">
        <v>204</v>
      </c>
      <c r="BI2054" cm="1">
        <f t="array" ref="BI2054">IFERROR(_xlfn._xlws.FILTER(shifts!A:A,(shifts!B:B=events!AD2054)*(shifts!AG:AG&gt;=events!BK2054)*(shifts!AH:AH&lt;=events!BL2054)),BI2053)</f>
        <v>89</v>
      </c>
      <c r="BJ2054" s="15">
        <f t="shared" si="2133"/>
        <v>0</v>
      </c>
      <c r="BK2054">
        <f t="shared" si="2141"/>
        <v>556</v>
      </c>
      <c r="BL2054">
        <f t="shared" si="2142"/>
        <v>556</v>
      </c>
      <c r="BM2054" s="15">
        <f>SUMIFS(BJ$2:BJ2054,K$2:K2054,"=Intermission")+SUMIFS(BJ$2:BJ2054,K$2:K2054,"=Timeout")</f>
        <v>142</v>
      </c>
      <c r="BN2054">
        <f t="shared" si="2143"/>
        <v>2302</v>
      </c>
      <c r="BO2054" s="19">
        <f t="shared" si="2144"/>
        <v>2826</v>
      </c>
      <c r="BP2054">
        <f t="shared" si="2145"/>
        <v>2821</v>
      </c>
      <c r="BQ2054" s="17">
        <f t="shared" si="2146"/>
        <v>2826</v>
      </c>
      <c r="BR2054" t="str">
        <f t="shared" si="2147"/>
        <v>event_team_player_1</v>
      </c>
      <c r="BS2054">
        <f>COUNTIFS(S$3:S2054,"="&amp;S2054,AI$3:AI2054,"="&amp;AI2054)</f>
        <v>1</v>
      </c>
      <c r="BT2054" t="str">
        <f>IFERROR(VLOOKUP(BB2054&amp;BU2054&amp;X2054,game_rosters!U:W,3,FALSE),"")</f>
        <v>P100159</v>
      </c>
      <c r="BU2054" t="str">
        <f t="shared" si="2148"/>
        <v>Velodrome</v>
      </c>
    </row>
    <row r="2055" spans="1:73" x14ac:dyDescent="0.2">
      <c r="A2055">
        <f t="shared" si="2134"/>
        <v>1</v>
      </c>
      <c r="J2055" s="44" t="str">
        <f t="shared" si="2149"/>
        <v>o</v>
      </c>
      <c r="K2055" t="s">
        <v>6</v>
      </c>
      <c r="L2055" t="s">
        <v>191</v>
      </c>
      <c r="M2055" t="s">
        <v>204</v>
      </c>
      <c r="S2055">
        <v>1085</v>
      </c>
      <c r="W2055" t="str">
        <f t="shared" si="2125"/>
        <v>a</v>
      </c>
      <c r="X2055">
        <v>37</v>
      </c>
      <c r="Y2055" t="b">
        <f>IF(X2055&lt;&gt;"",VLOOKUP(X2055,game_rosters!$C$43:$E$64,3,FALSE))</f>
        <v>0</v>
      </c>
      <c r="Z2055" t="str" cm="1">
        <f t="array" ref="Z2055">IFERROR(IF(_xlfn._xlws.FILTER(game_rosters!$J:$J,(game_rosters!$G:$G=events!$AN2055)*(game_rosters!$J:$J=events!$X2055))&gt;0,1,""),"")</f>
        <v/>
      </c>
      <c r="AA2055">
        <f t="shared" si="2083"/>
        <v>2085</v>
      </c>
      <c r="AB2055" t="str">
        <f t="shared" si="2084"/>
        <v/>
      </c>
      <c r="AC2055">
        <f t="shared" si="2122"/>
        <v>2085</v>
      </c>
      <c r="AD2055" s="6">
        <v>3</v>
      </c>
      <c r="AE2055" t="s">
        <v>933</v>
      </c>
      <c r="AF2055" t="s">
        <v>909</v>
      </c>
      <c r="AG2055" t="s">
        <v>756</v>
      </c>
      <c r="AH2055" t="s">
        <v>756</v>
      </c>
      <c r="AI2055" t="s">
        <v>367</v>
      </c>
      <c r="AJ2055" t="str">
        <f t="shared" ref="AJ2055:AK2055" si="2151">IF($J2055&lt;&gt;"",$J2055,IF($AC2055=$AC2054,AJ2054,""))</f>
        <v>o</v>
      </c>
      <c r="AK2055" t="str">
        <f t="shared" si="2151"/>
        <v>o</v>
      </c>
      <c r="AL2055" t="str">
        <f t="shared" si="2127"/>
        <v>d</v>
      </c>
      <c r="AN2055" t="s">
        <v>862</v>
      </c>
      <c r="AO2055" t="str">
        <f t="shared" si="2128"/>
        <v>a</v>
      </c>
      <c r="AP2055" t="str">
        <f t="shared" si="2136"/>
        <v>d</v>
      </c>
      <c r="AQ2055" t="str">
        <f t="shared" si="2137"/>
        <v/>
      </c>
      <c r="AR2055" t="str">
        <f t="shared" si="2138"/>
        <v>Away</v>
      </c>
      <c r="AS2055" t="str">
        <f t="shared" si="2139"/>
        <v>a</v>
      </c>
      <c r="AT2055" t="str">
        <f t="shared" si="2140"/>
        <v>Offensive</v>
      </c>
      <c r="BA2055" s="6">
        <f t="shared" si="2129"/>
        <v>469</v>
      </c>
      <c r="BB2055">
        <f t="shared" si="2130"/>
        <v>18981</v>
      </c>
      <c r="BC2055" t="str">
        <f t="shared" si="2131"/>
        <v>Nelson</v>
      </c>
      <c r="BD2055" t="str">
        <f t="shared" si="2132"/>
        <v>Velodrome</v>
      </c>
      <c r="BE2055" t="s">
        <v>6</v>
      </c>
      <c r="BF2055" t="s">
        <v>191</v>
      </c>
      <c r="BG2055" t="s">
        <v>204</v>
      </c>
      <c r="BI2055" cm="1">
        <f t="array" ref="BI2055">IFERROR(_xlfn._xlws.FILTER(shifts!A:A,(shifts!B:B=events!AD2055)*(shifts!AG:AG&gt;=events!BK2055)*(shifts!AH:AH&lt;=events!BL2055)),BI2054)</f>
        <v>89</v>
      </c>
      <c r="BJ2055" s="15">
        <f t="shared" si="2133"/>
        <v>0</v>
      </c>
      <c r="BK2055">
        <f t="shared" si="2141"/>
        <v>556</v>
      </c>
      <c r="BL2055">
        <f t="shared" si="2142"/>
        <v>556</v>
      </c>
      <c r="BM2055" s="15">
        <f>SUMIFS(BJ$2:BJ2055,K$2:K2055,"=Intermission")+SUMIFS(BJ$2:BJ2055,K$2:K2055,"=Timeout")</f>
        <v>142</v>
      </c>
      <c r="BN2055">
        <f t="shared" si="2143"/>
        <v>2302</v>
      </c>
      <c r="BO2055" s="19">
        <f t="shared" si="2144"/>
        <v>2826</v>
      </c>
      <c r="BP2055">
        <f t="shared" si="2145"/>
        <v>2821</v>
      </c>
      <c r="BQ2055" s="17">
        <f t="shared" si="2146"/>
        <v>2826</v>
      </c>
      <c r="BR2055" t="str">
        <f t="shared" si="2147"/>
        <v>event_team_player_2</v>
      </c>
      <c r="BS2055">
        <f>COUNTIFS(S$3:S2055,"="&amp;S2055,AI$3:AI2055,"="&amp;AI2055)</f>
        <v>2</v>
      </c>
      <c r="BT2055" t="str">
        <f>IFERROR(VLOOKUP(BB2055&amp;BU2055&amp;X2055,game_rosters!U:W,3,FALSE),"")</f>
        <v>P100119</v>
      </c>
      <c r="BU2055" t="s">
        <v>944</v>
      </c>
    </row>
    <row r="2056" spans="1:73" x14ac:dyDescent="0.2">
      <c r="A2056">
        <f t="shared" si="2134"/>
        <v>1</v>
      </c>
      <c r="J2056" s="44" t="str">
        <f t="shared" si="2149"/>
        <v/>
      </c>
      <c r="K2056" t="s">
        <v>9</v>
      </c>
      <c r="L2056" t="s">
        <v>173</v>
      </c>
      <c r="M2056" t="s">
        <v>76</v>
      </c>
      <c r="S2056">
        <v>1086</v>
      </c>
      <c r="W2056" t="str">
        <f t="shared" si="2125"/>
        <v>a</v>
      </c>
      <c r="X2056">
        <v>87</v>
      </c>
      <c r="Y2056" t="e">
        <f>IF(X2056&lt;&gt;"",VLOOKUP(X2056,game_rosters!$C$43:$E$64,3,FALSE))</f>
        <v>#N/A</v>
      </c>
      <c r="Z2056" cm="1">
        <f t="array" ref="Z2056">IFERROR(IF(_xlfn._xlws.FILTER(game_rosters!$J:$J,(game_rosters!$G:$G=events!$AN2056)*(game_rosters!$J:$J=events!$X2056))&gt;0,1,""),"")</f>
        <v>1</v>
      </c>
      <c r="AA2056">
        <f t="shared" si="2083"/>
        <v>2086</v>
      </c>
      <c r="AB2056" t="str">
        <f t="shared" si="2084"/>
        <v/>
      </c>
      <c r="AC2056">
        <f t="shared" si="2122"/>
        <v>2086</v>
      </c>
      <c r="AD2056" s="6">
        <v>3</v>
      </c>
      <c r="AE2056" t="s">
        <v>933</v>
      </c>
      <c r="AF2056" t="s">
        <v>909</v>
      </c>
      <c r="AG2056" t="s">
        <v>756</v>
      </c>
      <c r="AH2056" t="s">
        <v>756</v>
      </c>
      <c r="AI2056" t="s">
        <v>367</v>
      </c>
      <c r="AJ2056" t="str">
        <f t="shared" ref="AJ2056:AK2056" si="2152">IF($J2056&lt;&gt;"",$J2056,IF($AC2056=$AC2055,AJ2055,""))</f>
        <v/>
      </c>
      <c r="AK2056" t="str">
        <f t="shared" si="2152"/>
        <v/>
      </c>
      <c r="AL2056" t="str">
        <f t="shared" si="2127"/>
        <v/>
      </c>
      <c r="AN2056" t="s">
        <v>862</v>
      </c>
      <c r="AO2056" t="str">
        <f t="shared" si="2128"/>
        <v>a</v>
      </c>
      <c r="AP2056" t="str">
        <f t="shared" si="2136"/>
        <v/>
      </c>
      <c r="AQ2056" t="str">
        <f t="shared" si="2137"/>
        <v/>
      </c>
      <c r="AR2056" t="str">
        <f t="shared" si="2138"/>
        <v>Away</v>
      </c>
      <c r="AS2056" t="str">
        <f t="shared" si="2139"/>
        <v>a</v>
      </c>
      <c r="AT2056" t="str">
        <f t="shared" si="2140"/>
        <v>Offensive</v>
      </c>
      <c r="BA2056" s="6">
        <f t="shared" si="2129"/>
        <v>469</v>
      </c>
      <c r="BB2056">
        <f t="shared" si="2130"/>
        <v>18981</v>
      </c>
      <c r="BC2056" t="str">
        <f t="shared" si="2131"/>
        <v>Nelson</v>
      </c>
      <c r="BD2056" t="str">
        <f t="shared" si="2132"/>
        <v>Velodrome</v>
      </c>
      <c r="BE2056" t="s">
        <v>9</v>
      </c>
      <c r="BF2056" t="s">
        <v>173</v>
      </c>
      <c r="BG2056" t="s">
        <v>76</v>
      </c>
      <c r="BI2056" cm="1">
        <f t="array" ref="BI2056">IFERROR(_xlfn._xlws.FILTER(shifts!A:A,(shifts!B:B=events!AD2056)*(shifts!AG:AG&gt;=events!BK2056)*(shifts!AH:AH&lt;=events!BL2056)),BI2055)</f>
        <v>89</v>
      </c>
      <c r="BJ2056" s="15">
        <f t="shared" si="2133"/>
        <v>0</v>
      </c>
      <c r="BK2056">
        <f t="shared" si="2141"/>
        <v>556</v>
      </c>
      <c r="BL2056">
        <f t="shared" si="2142"/>
        <v>556</v>
      </c>
      <c r="BM2056" s="15">
        <f>SUMIFS(BJ$2:BJ2056,K$2:K2056,"=Intermission")+SUMIFS(BJ$2:BJ2056,K$2:K2056,"=Timeout")</f>
        <v>142</v>
      </c>
      <c r="BN2056">
        <f t="shared" si="2143"/>
        <v>2302</v>
      </c>
      <c r="BO2056" s="19">
        <f t="shared" si="2144"/>
        <v>2826</v>
      </c>
      <c r="BP2056">
        <f t="shared" si="2145"/>
        <v>2821</v>
      </c>
      <c r="BQ2056" s="17">
        <f t="shared" si="2146"/>
        <v>2826</v>
      </c>
      <c r="BR2056" t="str">
        <f t="shared" si="2147"/>
        <v>event_team_player_1</v>
      </c>
      <c r="BS2056">
        <f>COUNTIFS(S$3:S2056,"="&amp;S2056,AI$3:AI2056,"="&amp;AI2056)</f>
        <v>1</v>
      </c>
      <c r="BT2056" t="str">
        <f>IFERROR(VLOOKUP(BB2056&amp;BU2056&amp;X2056,game_rosters!U:W,3,FALSE),"")</f>
        <v>P100159</v>
      </c>
      <c r="BU2056" t="str">
        <f t="shared" si="2148"/>
        <v>Velodrome</v>
      </c>
    </row>
    <row r="2057" spans="1:73" x14ac:dyDescent="0.2">
      <c r="A2057">
        <f t="shared" si="2134"/>
        <v>1</v>
      </c>
      <c r="J2057" s="44" t="str">
        <f t="shared" si="2149"/>
        <v/>
      </c>
      <c r="K2057" t="s">
        <v>11</v>
      </c>
      <c r="L2057" t="s">
        <v>187</v>
      </c>
      <c r="M2057" t="s">
        <v>106</v>
      </c>
      <c r="S2057">
        <v>1087</v>
      </c>
      <c r="W2057" t="str">
        <f t="shared" si="2125"/>
        <v>h</v>
      </c>
      <c r="X2057">
        <v>37</v>
      </c>
      <c r="Y2057" t="b">
        <f>IF(X2057&lt;&gt;"",VLOOKUP(X2057,game_rosters!$C$43:$E$64,3,FALSE))</f>
        <v>0</v>
      </c>
      <c r="Z2057" cm="1">
        <f t="array" ref="Z2057">IFERROR(IF(_xlfn._xlws.FILTER(game_rosters!$J:$J,(game_rosters!$G:$G=events!$AN2057)*(game_rosters!$J:$J=events!$X2057))&gt;0,1,""),"")</f>
        <v>1</v>
      </c>
      <c r="AA2057">
        <f t="shared" si="2083"/>
        <v>2087</v>
      </c>
      <c r="AB2057" t="str">
        <f t="shared" si="2084"/>
        <v/>
      </c>
      <c r="AC2057">
        <f t="shared" si="2122"/>
        <v>2087</v>
      </c>
      <c r="AD2057" s="6">
        <v>3</v>
      </c>
      <c r="AE2057" t="s">
        <v>933</v>
      </c>
      <c r="AF2057" t="s">
        <v>912</v>
      </c>
      <c r="AG2057" t="s">
        <v>756</v>
      </c>
      <c r="AH2057" t="s">
        <v>756</v>
      </c>
      <c r="AI2057" t="s">
        <v>367</v>
      </c>
      <c r="AJ2057" t="str">
        <f t="shared" ref="AJ2057:AK2057" si="2153">IF($J2057&lt;&gt;"",$J2057,IF($AC2057=$AC2056,AJ2056,""))</f>
        <v/>
      </c>
      <c r="AK2057" t="str">
        <f t="shared" si="2153"/>
        <v/>
      </c>
      <c r="AL2057" t="str">
        <f t="shared" si="2127"/>
        <v/>
      </c>
      <c r="AN2057" t="s">
        <v>861</v>
      </c>
      <c r="AO2057" t="str">
        <f t="shared" si="2128"/>
        <v>h</v>
      </c>
      <c r="AP2057" t="str">
        <f t="shared" si="2136"/>
        <v/>
      </c>
      <c r="AQ2057" t="str">
        <f t="shared" si="2137"/>
        <v/>
      </c>
      <c r="AR2057" t="str">
        <f t="shared" si="2138"/>
        <v>Home</v>
      </c>
      <c r="AS2057" t="str">
        <f t="shared" si="2139"/>
        <v>h</v>
      </c>
      <c r="AT2057" t="str">
        <f t="shared" si="2140"/>
        <v/>
      </c>
      <c r="BA2057" s="6">
        <f t="shared" si="2129"/>
        <v>469</v>
      </c>
      <c r="BB2057">
        <f t="shared" si="2130"/>
        <v>18981</v>
      </c>
      <c r="BC2057" t="str">
        <f t="shared" si="2131"/>
        <v>Nelson</v>
      </c>
      <c r="BD2057" t="str">
        <f t="shared" si="2132"/>
        <v>Velodrome</v>
      </c>
      <c r="BE2057" t="s">
        <v>11</v>
      </c>
      <c r="BF2057" t="s">
        <v>187</v>
      </c>
      <c r="BG2057" t="s">
        <v>106</v>
      </c>
      <c r="BI2057" cm="1">
        <f t="array" ref="BI2057">IFERROR(_xlfn._xlws.FILTER(shifts!A:A,(shifts!B:B=events!AD2057)*(shifts!AG:AG&gt;=events!BK2057)*(shifts!AH:AH&lt;=events!BL2057)),BI2056)</f>
        <v>89</v>
      </c>
      <c r="BJ2057" s="15">
        <f t="shared" si="2133"/>
        <v>0</v>
      </c>
      <c r="BK2057">
        <f t="shared" si="2141"/>
        <v>545</v>
      </c>
      <c r="BL2057">
        <f t="shared" si="2142"/>
        <v>545</v>
      </c>
      <c r="BM2057" s="15">
        <f>SUMIFS(BJ$2:BJ2057,K$2:K2057,"=Intermission")+SUMIFS(BJ$2:BJ2057,K$2:K2057,"=Timeout")</f>
        <v>142</v>
      </c>
      <c r="BN2057">
        <f t="shared" si="2143"/>
        <v>2302</v>
      </c>
      <c r="BO2057" s="19">
        <f t="shared" si="2144"/>
        <v>2837</v>
      </c>
      <c r="BP2057">
        <f t="shared" si="2145"/>
        <v>2832</v>
      </c>
      <c r="BQ2057" s="17">
        <f t="shared" si="2146"/>
        <v>2837</v>
      </c>
      <c r="BR2057" t="str">
        <f t="shared" si="2147"/>
        <v>event_team_player_1</v>
      </c>
      <c r="BS2057">
        <f>COUNTIFS(S$3:S2057,"="&amp;S2057,AI$3:AI2057,"="&amp;AI2057)</f>
        <v>1</v>
      </c>
      <c r="BT2057" t="str">
        <f>IFERROR(VLOOKUP(BB2057&amp;BU2057&amp;X2057,game_rosters!U:W,3,FALSE),"")</f>
        <v>P100119</v>
      </c>
      <c r="BU2057" t="str">
        <f t="shared" si="2148"/>
        <v>Nelson</v>
      </c>
    </row>
    <row r="2058" spans="1:73" x14ac:dyDescent="0.2">
      <c r="A2058">
        <f t="shared" si="2134"/>
        <v>1</v>
      </c>
      <c r="J2058" s="44" t="str">
        <f t="shared" si="2149"/>
        <v/>
      </c>
      <c r="K2058" t="s">
        <v>241</v>
      </c>
      <c r="L2058" t="s">
        <v>756</v>
      </c>
      <c r="M2058" t="s">
        <v>756</v>
      </c>
      <c r="S2058">
        <v>1088</v>
      </c>
      <c r="W2058" t="str">
        <f t="shared" si="2125"/>
        <v>h</v>
      </c>
      <c r="X2058">
        <v>37</v>
      </c>
      <c r="Y2058" t="b">
        <f>IF(X2058&lt;&gt;"",VLOOKUP(X2058,game_rosters!$C$43:$E$64,3,FALSE))</f>
        <v>0</v>
      </c>
      <c r="Z2058" cm="1">
        <f t="array" ref="Z2058">IFERROR(IF(_xlfn._xlws.FILTER(game_rosters!$J:$J,(game_rosters!$G:$G=events!$AN2058)*(game_rosters!$J:$J=events!$X2058))&gt;0,1,""),"")</f>
        <v>1</v>
      </c>
      <c r="AA2058">
        <f t="shared" si="2083"/>
        <v>2088</v>
      </c>
      <c r="AB2058" t="str">
        <f t="shared" si="2084"/>
        <v/>
      </c>
      <c r="AC2058">
        <f t="shared" si="2122"/>
        <v>2088</v>
      </c>
      <c r="AD2058" s="6">
        <v>3</v>
      </c>
      <c r="AE2058" t="s">
        <v>933</v>
      </c>
      <c r="AF2058" t="s">
        <v>912</v>
      </c>
      <c r="AG2058" t="s">
        <v>936</v>
      </c>
      <c r="AH2058" t="s">
        <v>903</v>
      </c>
      <c r="AI2058" t="s">
        <v>367</v>
      </c>
      <c r="AJ2058" t="str">
        <f t="shared" ref="AJ2058:AK2058" si="2154">IF($J2058&lt;&gt;"",$J2058,IF($AC2058=$AC2057,AJ2057,""))</f>
        <v/>
      </c>
      <c r="AK2058" t="str">
        <f t="shared" si="2154"/>
        <v/>
      </c>
      <c r="AL2058" t="str">
        <f t="shared" si="2127"/>
        <v/>
      </c>
      <c r="AN2058" t="s">
        <v>861</v>
      </c>
      <c r="AO2058" t="str">
        <f t="shared" si="2128"/>
        <v>h</v>
      </c>
      <c r="AP2058" t="str">
        <f t="shared" si="2136"/>
        <v/>
      </c>
      <c r="AQ2058" t="str">
        <f t="shared" si="2137"/>
        <v/>
      </c>
      <c r="AR2058" t="str">
        <f t="shared" si="2138"/>
        <v>Home</v>
      </c>
      <c r="AS2058" t="str">
        <f t="shared" si="2139"/>
        <v>h</v>
      </c>
      <c r="AT2058" t="str">
        <f t="shared" si="2140"/>
        <v/>
      </c>
      <c r="BA2058" s="6">
        <f t="shared" si="2129"/>
        <v>469</v>
      </c>
      <c r="BB2058">
        <f t="shared" si="2130"/>
        <v>18981</v>
      </c>
      <c r="BC2058" t="str">
        <f t="shared" si="2131"/>
        <v>Nelson</v>
      </c>
      <c r="BD2058" t="str">
        <f t="shared" si="2132"/>
        <v>Velodrome</v>
      </c>
      <c r="BE2058" t="s">
        <v>241</v>
      </c>
      <c r="BF2058" t="s">
        <v>756</v>
      </c>
      <c r="BG2058" t="s">
        <v>756</v>
      </c>
      <c r="BI2058" cm="1">
        <f t="array" ref="BI2058">IFERROR(_xlfn._xlws.FILTER(shifts!A:A,(shifts!B:B=events!AD2058)*(shifts!AG:AG&gt;=events!BK2058)*(shifts!AH:AH&lt;=events!BL2058)),BI2057)</f>
        <v>89</v>
      </c>
      <c r="BJ2058" s="15">
        <f t="shared" si="2133"/>
        <v>25</v>
      </c>
      <c r="BK2058">
        <f t="shared" si="2141"/>
        <v>545</v>
      </c>
      <c r="BL2058">
        <f t="shared" si="2142"/>
        <v>520</v>
      </c>
      <c r="BM2058" s="15">
        <f>SUMIFS(BJ$2:BJ2058,K$2:K2058,"=Intermission")+SUMIFS(BJ$2:BJ2058,K$2:K2058,"=Timeout")</f>
        <v>142</v>
      </c>
      <c r="BN2058">
        <f t="shared" si="2143"/>
        <v>2302</v>
      </c>
      <c r="BO2058" s="19">
        <f t="shared" si="2144"/>
        <v>2837</v>
      </c>
      <c r="BP2058">
        <f t="shared" si="2145"/>
        <v>2832</v>
      </c>
      <c r="BQ2058" s="17">
        <f t="shared" si="2146"/>
        <v>2862</v>
      </c>
      <c r="BR2058" t="str">
        <f t="shared" si="2147"/>
        <v>event_team_player_1</v>
      </c>
      <c r="BS2058">
        <f>COUNTIFS(S$3:S2058,"="&amp;S2058,AI$3:AI2058,"="&amp;AI2058)</f>
        <v>1</v>
      </c>
      <c r="BT2058" t="str">
        <f>IFERROR(VLOOKUP(BB2058&amp;BU2058&amp;X2058,game_rosters!U:W,3,FALSE),"")</f>
        <v>P100119</v>
      </c>
      <c r="BU2058" t="str">
        <f t="shared" si="2148"/>
        <v>Nelson</v>
      </c>
    </row>
    <row r="2059" spans="1:73" x14ac:dyDescent="0.2">
      <c r="A2059">
        <f t="shared" si="2134"/>
        <v>1</v>
      </c>
      <c r="J2059" s="44" t="str">
        <f t="shared" si="2149"/>
        <v/>
      </c>
      <c r="K2059" t="s">
        <v>5</v>
      </c>
      <c r="L2059" t="s">
        <v>236</v>
      </c>
      <c r="M2059" t="s">
        <v>756</v>
      </c>
      <c r="S2059">
        <v>1089</v>
      </c>
      <c r="W2059" t="str">
        <f t="shared" si="2125"/>
        <v>a</v>
      </c>
      <c r="X2059">
        <v>70</v>
      </c>
      <c r="Y2059" t="e">
        <f>IF(X2059&lt;&gt;"",VLOOKUP(X2059,game_rosters!$C$43:$E$64,3,FALSE))</f>
        <v>#N/A</v>
      </c>
      <c r="Z2059" cm="1">
        <f t="array" ref="Z2059">IFERROR(IF(_xlfn._xlws.FILTER(game_rosters!$J:$J,(game_rosters!$G:$G=events!$AN2059)*(game_rosters!$J:$J=events!$X2059))&gt;0,1,""),"")</f>
        <v>1</v>
      </c>
      <c r="AA2059">
        <f t="shared" si="2083"/>
        <v>2089</v>
      </c>
      <c r="AB2059" t="str">
        <f t="shared" si="2084"/>
        <v/>
      </c>
      <c r="AC2059">
        <f t="shared" si="2122"/>
        <v>2089</v>
      </c>
      <c r="AD2059" s="6">
        <v>3</v>
      </c>
      <c r="AE2059" t="s">
        <v>936</v>
      </c>
      <c r="AF2059" t="s">
        <v>903</v>
      </c>
      <c r="AG2059" t="s">
        <v>756</v>
      </c>
      <c r="AH2059" t="s">
        <v>756</v>
      </c>
      <c r="AI2059" t="s">
        <v>367</v>
      </c>
      <c r="AJ2059" t="str">
        <f t="shared" ref="AJ2059:AK2059" si="2155">IF($J2059&lt;&gt;"",$J2059,IF($AC2059=$AC2058,AJ2058,""))</f>
        <v/>
      </c>
      <c r="AK2059" t="str">
        <f t="shared" si="2155"/>
        <v/>
      </c>
      <c r="AL2059" t="str">
        <f t="shared" si="2127"/>
        <v/>
      </c>
      <c r="AN2059" t="s">
        <v>862</v>
      </c>
      <c r="AO2059" t="str">
        <f t="shared" si="2128"/>
        <v>a</v>
      </c>
      <c r="AP2059" t="str">
        <f t="shared" si="2136"/>
        <v/>
      </c>
      <c r="AQ2059" t="str">
        <f t="shared" si="2137"/>
        <v/>
      </c>
      <c r="AR2059" t="str">
        <f t="shared" si="2138"/>
        <v>Away</v>
      </c>
      <c r="AS2059" t="str">
        <f t="shared" si="2139"/>
        <v>a</v>
      </c>
      <c r="AT2059" t="str">
        <f t="shared" si="2140"/>
        <v>Offensive</v>
      </c>
      <c r="BA2059" s="6">
        <f t="shared" si="2129"/>
        <v>469</v>
      </c>
      <c r="BB2059">
        <f t="shared" si="2130"/>
        <v>18981</v>
      </c>
      <c r="BC2059" t="str">
        <f t="shared" si="2131"/>
        <v>Nelson</v>
      </c>
      <c r="BD2059" t="str">
        <f t="shared" si="2132"/>
        <v>Velodrome</v>
      </c>
      <c r="BE2059" t="s">
        <v>5</v>
      </c>
      <c r="BF2059" t="s">
        <v>236</v>
      </c>
      <c r="BG2059" t="s">
        <v>756</v>
      </c>
      <c r="BI2059" cm="1">
        <f t="array" ref="BI2059">IFERROR(_xlfn._xlws.FILTER(shifts!A:A,(shifts!B:B=events!AD2059)*(shifts!AG:AG&gt;=events!BK2059)*(shifts!AH:AH&lt;=events!BL2059)),BI2058)</f>
        <v>89</v>
      </c>
      <c r="BJ2059" s="15">
        <f t="shared" si="2133"/>
        <v>0</v>
      </c>
      <c r="BK2059">
        <f t="shared" si="2141"/>
        <v>520</v>
      </c>
      <c r="BL2059">
        <f t="shared" si="2142"/>
        <v>520</v>
      </c>
      <c r="BM2059" s="15">
        <f>SUMIFS(BJ$2:BJ2059,K$2:K2059,"=Intermission")+SUMIFS(BJ$2:BJ2059,K$2:K2059,"=Timeout")</f>
        <v>142</v>
      </c>
      <c r="BN2059">
        <f t="shared" si="2143"/>
        <v>2302</v>
      </c>
      <c r="BO2059" s="19">
        <f t="shared" si="2144"/>
        <v>2862</v>
      </c>
      <c r="BP2059">
        <f t="shared" si="2145"/>
        <v>2857</v>
      </c>
      <c r="BQ2059" s="17">
        <f t="shared" si="2146"/>
        <v>2862</v>
      </c>
      <c r="BR2059" t="str">
        <f t="shared" si="2147"/>
        <v>event_team_player_1</v>
      </c>
      <c r="BS2059">
        <f>COUNTIFS(S$3:S2059,"="&amp;S2059,AI$3:AI2059,"="&amp;AI2059)</f>
        <v>1</v>
      </c>
      <c r="BT2059" t="str">
        <f>IFERROR(VLOOKUP(BB2059&amp;BU2059&amp;X2059,game_rosters!U:W,3,FALSE),"")</f>
        <v>P100001</v>
      </c>
      <c r="BU2059" t="str">
        <f t="shared" si="2148"/>
        <v>Velodrome</v>
      </c>
    </row>
    <row r="2060" spans="1:73" x14ac:dyDescent="0.2">
      <c r="A2060">
        <f t="shared" si="2134"/>
        <v>1</v>
      </c>
      <c r="J2060" s="44" t="str">
        <f t="shared" si="2149"/>
        <v/>
      </c>
      <c r="K2060" t="s">
        <v>5</v>
      </c>
      <c r="L2060" t="s">
        <v>236</v>
      </c>
      <c r="M2060" t="s">
        <v>756</v>
      </c>
      <c r="S2060">
        <v>1089</v>
      </c>
      <c r="W2060" t="str">
        <f t="shared" si="2125"/>
        <v>a</v>
      </c>
      <c r="X2060">
        <v>75</v>
      </c>
      <c r="Y2060" t="e">
        <f>IF(X2060&lt;&gt;"",VLOOKUP(X2060,game_rosters!$C$43:$E$64,3,FALSE))</f>
        <v>#N/A</v>
      </c>
      <c r="Z2060" cm="1">
        <f t="array" ref="Z2060">IFERROR(IF(_xlfn._xlws.FILTER(game_rosters!$J:$J,(game_rosters!$G:$G=events!$AN2060)*(game_rosters!$J:$J=events!$X2060))&gt;0,1,""),"")</f>
        <v>1</v>
      </c>
      <c r="AA2060">
        <f t="shared" si="2083"/>
        <v>2089</v>
      </c>
      <c r="AB2060" t="str">
        <f t="shared" si="2084"/>
        <v/>
      </c>
      <c r="AC2060">
        <f t="shared" si="2122"/>
        <v>2089</v>
      </c>
      <c r="AD2060" s="6">
        <v>3</v>
      </c>
      <c r="AE2060" t="s">
        <v>936</v>
      </c>
      <c r="AF2060" t="s">
        <v>903</v>
      </c>
      <c r="AG2060" t="s">
        <v>756</v>
      </c>
      <c r="AH2060" t="s">
        <v>756</v>
      </c>
      <c r="AI2060" t="s">
        <v>367</v>
      </c>
      <c r="AJ2060" t="str">
        <f t="shared" ref="AJ2060:AK2060" si="2156">IF($J2060&lt;&gt;"",$J2060,IF($AC2060=$AC2059,AJ2059,""))</f>
        <v/>
      </c>
      <c r="AK2060" t="str">
        <f t="shared" si="2156"/>
        <v/>
      </c>
      <c r="AL2060" t="str">
        <f t="shared" si="2127"/>
        <v/>
      </c>
      <c r="AN2060" t="s">
        <v>862</v>
      </c>
      <c r="AO2060" t="str">
        <f t="shared" si="2128"/>
        <v>a</v>
      </c>
      <c r="AP2060" t="str">
        <f t="shared" si="2136"/>
        <v/>
      </c>
      <c r="AQ2060" t="str">
        <f t="shared" si="2137"/>
        <v/>
      </c>
      <c r="AR2060" t="str">
        <f t="shared" si="2138"/>
        <v>Away</v>
      </c>
      <c r="AS2060" t="str">
        <f t="shared" si="2139"/>
        <v>a</v>
      </c>
      <c r="AT2060" t="str">
        <f t="shared" si="2140"/>
        <v>Offensive</v>
      </c>
      <c r="BA2060" s="6">
        <f t="shared" si="2129"/>
        <v>469</v>
      </c>
      <c r="BB2060">
        <f t="shared" si="2130"/>
        <v>18981</v>
      </c>
      <c r="BC2060" t="str">
        <f t="shared" si="2131"/>
        <v>Nelson</v>
      </c>
      <c r="BD2060" t="str">
        <f t="shared" si="2132"/>
        <v>Velodrome</v>
      </c>
      <c r="BE2060" t="s">
        <v>5</v>
      </c>
      <c r="BF2060" t="s">
        <v>236</v>
      </c>
      <c r="BG2060" t="s">
        <v>756</v>
      </c>
      <c r="BI2060" cm="1">
        <f t="array" ref="BI2060">IFERROR(_xlfn._xlws.FILTER(shifts!A:A,(shifts!B:B=events!AD2060)*(shifts!AG:AG&gt;=events!BK2060)*(shifts!AH:AH&lt;=events!BL2060)),BI2059)</f>
        <v>89</v>
      </c>
      <c r="BJ2060" s="15">
        <f t="shared" si="2133"/>
        <v>0</v>
      </c>
      <c r="BK2060">
        <f t="shared" si="2141"/>
        <v>520</v>
      </c>
      <c r="BL2060">
        <f t="shared" si="2142"/>
        <v>520</v>
      </c>
      <c r="BM2060" s="15">
        <f>SUMIFS(BJ$2:BJ2060,K$2:K2060,"=Intermission")+SUMIFS(BJ$2:BJ2060,K$2:K2060,"=Timeout")</f>
        <v>142</v>
      </c>
      <c r="BN2060">
        <f t="shared" si="2143"/>
        <v>2302</v>
      </c>
      <c r="BO2060" s="19">
        <f t="shared" si="2144"/>
        <v>2862</v>
      </c>
      <c r="BP2060">
        <f t="shared" si="2145"/>
        <v>2857</v>
      </c>
      <c r="BQ2060" s="17">
        <f t="shared" si="2146"/>
        <v>2862</v>
      </c>
      <c r="BR2060" t="str">
        <f t="shared" si="2147"/>
        <v>event_team_player_2</v>
      </c>
      <c r="BS2060">
        <f>COUNTIFS(S$3:S2060,"="&amp;S2060,AI$3:AI2060,"="&amp;AI2060)</f>
        <v>2</v>
      </c>
      <c r="BT2060" t="str">
        <f>IFERROR(VLOOKUP(BB2060&amp;BU2060&amp;X2060,game_rosters!U:W,3,FALSE),"")</f>
        <v>P100039</v>
      </c>
      <c r="BU2060" t="str">
        <f t="shared" si="2148"/>
        <v>Velodrome</v>
      </c>
    </row>
    <row r="2061" spans="1:73" x14ac:dyDescent="0.2">
      <c r="A2061">
        <f t="shared" si="2134"/>
        <v>1</v>
      </c>
      <c r="J2061" s="44" t="str">
        <f t="shared" si="2149"/>
        <v/>
      </c>
      <c r="K2061" t="s">
        <v>5</v>
      </c>
      <c r="L2061" t="s">
        <v>236</v>
      </c>
      <c r="M2061" t="s">
        <v>756</v>
      </c>
      <c r="S2061">
        <v>1089</v>
      </c>
      <c r="W2061" t="str">
        <f t="shared" si="2125"/>
        <v>a</v>
      </c>
      <c r="X2061">
        <v>10</v>
      </c>
      <c r="Y2061" t="b">
        <f>IF(X2061&lt;&gt;"",VLOOKUP(X2061,game_rosters!$C$43:$E$64,3,FALSE))</f>
        <v>0</v>
      </c>
      <c r="Z2061" t="str" cm="1">
        <f t="array" ref="Z2061">IFERROR(IF(_xlfn._xlws.FILTER(game_rosters!$J:$J,(game_rosters!$G:$G=events!$AN2061)*(game_rosters!$J:$J=events!$X2061))&gt;0,1,""),"")</f>
        <v/>
      </c>
      <c r="AA2061">
        <f t="shared" si="2083"/>
        <v>2089</v>
      </c>
      <c r="AB2061" t="str">
        <f t="shared" si="2084"/>
        <v/>
      </c>
      <c r="AC2061">
        <f t="shared" si="2122"/>
        <v>2089</v>
      </c>
      <c r="AD2061" s="6">
        <v>3</v>
      </c>
      <c r="AE2061" t="s">
        <v>936</v>
      </c>
      <c r="AF2061" t="s">
        <v>903</v>
      </c>
      <c r="AG2061" t="s">
        <v>756</v>
      </c>
      <c r="AH2061" t="s">
        <v>756</v>
      </c>
      <c r="AI2061" t="s">
        <v>368</v>
      </c>
      <c r="AJ2061" t="str">
        <f t="shared" ref="AJ2061:AK2061" si="2157">IF($J2061&lt;&gt;"",$J2061,IF($AC2061=$AC2060,AJ2060,""))</f>
        <v/>
      </c>
      <c r="AK2061" t="str">
        <f t="shared" si="2157"/>
        <v/>
      </c>
      <c r="AL2061" t="str">
        <f t="shared" si="2127"/>
        <v/>
      </c>
      <c r="AN2061" t="s">
        <v>862</v>
      </c>
      <c r="AO2061" t="str">
        <f t="shared" si="2128"/>
        <v>a</v>
      </c>
      <c r="AP2061" t="str">
        <f t="shared" si="2136"/>
        <v/>
      </c>
      <c r="AQ2061" t="str">
        <f t="shared" si="2137"/>
        <v/>
      </c>
      <c r="AR2061" t="str">
        <f t="shared" si="2138"/>
        <v>Away</v>
      </c>
      <c r="AS2061" t="str">
        <f t="shared" si="2139"/>
        <v>a</v>
      </c>
      <c r="AT2061" t="str">
        <f t="shared" si="2140"/>
        <v>Defensive</v>
      </c>
      <c r="BA2061" s="6">
        <f t="shared" si="2129"/>
        <v>469</v>
      </c>
      <c r="BB2061">
        <f t="shared" si="2130"/>
        <v>18981</v>
      </c>
      <c r="BC2061" t="str">
        <f t="shared" si="2131"/>
        <v>Nelson</v>
      </c>
      <c r="BD2061" t="str">
        <f t="shared" si="2132"/>
        <v>Velodrome</v>
      </c>
      <c r="BE2061" t="s">
        <v>5</v>
      </c>
      <c r="BF2061" t="s">
        <v>236</v>
      </c>
      <c r="BG2061" t="s">
        <v>756</v>
      </c>
      <c r="BI2061" cm="1">
        <f t="array" ref="BI2061">IFERROR(_xlfn._xlws.FILTER(shifts!A:A,(shifts!B:B=events!AD2061)*(shifts!AG:AG&gt;=events!BK2061)*(shifts!AH:AH&lt;=events!BL2061)),BI2060)</f>
        <v>89</v>
      </c>
      <c r="BJ2061" s="15">
        <f t="shared" si="2133"/>
        <v>0</v>
      </c>
      <c r="BK2061">
        <f t="shared" si="2141"/>
        <v>520</v>
      </c>
      <c r="BL2061">
        <f t="shared" si="2142"/>
        <v>520</v>
      </c>
      <c r="BM2061" s="15">
        <f>SUMIFS(BJ$2:BJ2061,K$2:K2061,"=Intermission")+SUMIFS(BJ$2:BJ2061,K$2:K2061,"=Timeout")</f>
        <v>142</v>
      </c>
      <c r="BN2061">
        <f t="shared" si="2143"/>
        <v>2302</v>
      </c>
      <c r="BO2061" s="19">
        <f t="shared" si="2144"/>
        <v>2862</v>
      </c>
      <c r="BP2061">
        <f t="shared" si="2145"/>
        <v>2857</v>
      </c>
      <c r="BQ2061" s="17">
        <f t="shared" si="2146"/>
        <v>2862</v>
      </c>
      <c r="BR2061" t="str">
        <f t="shared" si="2147"/>
        <v>opp_team_player_1</v>
      </c>
      <c r="BS2061">
        <f>COUNTIFS(S$3:S2061,"="&amp;S2061,AI$3:AI2061,"="&amp;AI2061)</f>
        <v>1</v>
      </c>
      <c r="BT2061" t="str">
        <f>IFERROR(VLOOKUP(BB2061&amp;BU2061&amp;X2061,game_rosters!U:W,3,FALSE),"")</f>
        <v>P100078</v>
      </c>
      <c r="BU2061" t="str">
        <f t="shared" si="2148"/>
        <v>Nelson</v>
      </c>
    </row>
    <row r="2062" spans="1:73" x14ac:dyDescent="0.2">
      <c r="A2062">
        <f t="shared" si="2134"/>
        <v>1</v>
      </c>
      <c r="J2062" s="44" t="str">
        <f t="shared" si="2149"/>
        <v/>
      </c>
      <c r="K2062" t="s">
        <v>7</v>
      </c>
      <c r="L2062" t="s">
        <v>182</v>
      </c>
      <c r="M2062" t="s">
        <v>68</v>
      </c>
      <c r="S2062">
        <v>1090</v>
      </c>
      <c r="W2062" t="str">
        <f t="shared" si="2125"/>
        <v>a</v>
      </c>
      <c r="X2062">
        <v>75</v>
      </c>
      <c r="Y2062" t="e">
        <f>IF(X2062&lt;&gt;"",VLOOKUP(X2062,game_rosters!$C$43:$E$64,3,FALSE))</f>
        <v>#N/A</v>
      </c>
      <c r="Z2062" cm="1">
        <f t="array" ref="Z2062">IFERROR(IF(_xlfn._xlws.FILTER(game_rosters!$J:$J,(game_rosters!$G:$G=events!$AN2062)*(game_rosters!$J:$J=events!$X2062))&gt;0,1,""),"")</f>
        <v>1</v>
      </c>
      <c r="AA2062">
        <f t="shared" si="2083"/>
        <v>2090</v>
      </c>
      <c r="AB2062" t="str">
        <f t="shared" si="2084"/>
        <v/>
      </c>
      <c r="AC2062">
        <f t="shared" si="2122"/>
        <v>2090</v>
      </c>
      <c r="AD2062" s="6">
        <v>3</v>
      </c>
      <c r="AE2062" t="s">
        <v>936</v>
      </c>
      <c r="AF2062" t="s">
        <v>903</v>
      </c>
      <c r="AG2062" t="s">
        <v>756</v>
      </c>
      <c r="AH2062" t="s">
        <v>756</v>
      </c>
      <c r="AI2062" t="s">
        <v>367</v>
      </c>
      <c r="AJ2062" t="str">
        <f t="shared" ref="AJ2062:AK2062" si="2158">IF($J2062&lt;&gt;"",$J2062,IF($AC2062=$AC2061,AJ2061,""))</f>
        <v/>
      </c>
      <c r="AK2062" t="str">
        <f t="shared" si="2158"/>
        <v/>
      </c>
      <c r="AL2062" t="str">
        <f t="shared" si="2127"/>
        <v/>
      </c>
      <c r="AN2062" t="s">
        <v>862</v>
      </c>
      <c r="AO2062" t="str">
        <f t="shared" si="2128"/>
        <v>a</v>
      </c>
      <c r="AP2062" t="str">
        <f t="shared" si="2136"/>
        <v/>
      </c>
      <c r="AQ2062" t="str">
        <f t="shared" si="2137"/>
        <v/>
      </c>
      <c r="AR2062" t="str">
        <f t="shared" si="2138"/>
        <v>Away</v>
      </c>
      <c r="AS2062" t="str">
        <f t="shared" si="2139"/>
        <v>a</v>
      </c>
      <c r="AT2062" t="str">
        <f t="shared" si="2140"/>
        <v>Offensive</v>
      </c>
      <c r="BA2062" s="6">
        <f t="shared" si="2129"/>
        <v>469</v>
      </c>
      <c r="BB2062">
        <f t="shared" si="2130"/>
        <v>18981</v>
      </c>
      <c r="BC2062" t="str">
        <f t="shared" si="2131"/>
        <v>Nelson</v>
      </c>
      <c r="BD2062" t="str">
        <f t="shared" si="2132"/>
        <v>Velodrome</v>
      </c>
      <c r="BE2062" t="s">
        <v>7</v>
      </c>
      <c r="BF2062" t="s">
        <v>182</v>
      </c>
      <c r="BG2062" t="s">
        <v>68</v>
      </c>
      <c r="BI2062" cm="1">
        <f t="array" ref="BI2062">IFERROR(_xlfn._xlws.FILTER(shifts!A:A,(shifts!B:B=events!AD2062)*(shifts!AG:AG&gt;=events!BK2062)*(shifts!AH:AH&lt;=events!BL2062)),BI2061)</f>
        <v>89</v>
      </c>
      <c r="BJ2062" s="15">
        <f t="shared" si="2133"/>
        <v>0</v>
      </c>
      <c r="BK2062">
        <f t="shared" si="2141"/>
        <v>520</v>
      </c>
      <c r="BL2062">
        <f t="shared" si="2142"/>
        <v>520</v>
      </c>
      <c r="BM2062" s="15">
        <f>SUMIFS(BJ$2:BJ2062,K$2:K2062,"=Intermission")+SUMIFS(BJ$2:BJ2062,K$2:K2062,"=Timeout")</f>
        <v>142</v>
      </c>
      <c r="BN2062">
        <f t="shared" si="2143"/>
        <v>2302</v>
      </c>
      <c r="BO2062" s="19">
        <f t="shared" si="2144"/>
        <v>2862</v>
      </c>
      <c r="BP2062">
        <f t="shared" si="2145"/>
        <v>2857</v>
      </c>
      <c r="BQ2062" s="17">
        <f t="shared" si="2146"/>
        <v>2862</v>
      </c>
      <c r="BR2062" t="str">
        <f t="shared" si="2147"/>
        <v>event_team_player_1</v>
      </c>
      <c r="BS2062">
        <f>COUNTIFS(S$3:S2062,"="&amp;S2062,AI$3:AI2062,"="&amp;AI2062)</f>
        <v>1</v>
      </c>
      <c r="BT2062" t="str">
        <f>IFERROR(VLOOKUP(BB2062&amp;BU2062&amp;X2062,game_rosters!U:W,3,FALSE),"")</f>
        <v>P100039</v>
      </c>
      <c r="BU2062" t="str">
        <f t="shared" si="2148"/>
        <v>Velodrome</v>
      </c>
    </row>
    <row r="2063" spans="1:73" x14ac:dyDescent="0.2">
      <c r="A2063">
        <f t="shared" si="2134"/>
        <v>1</v>
      </c>
      <c r="J2063" s="44" t="str">
        <f t="shared" si="2149"/>
        <v/>
      </c>
      <c r="K2063" t="s">
        <v>7</v>
      </c>
      <c r="L2063" t="s">
        <v>182</v>
      </c>
      <c r="M2063" t="s">
        <v>68</v>
      </c>
      <c r="S2063">
        <v>1090</v>
      </c>
      <c r="W2063" t="str">
        <f t="shared" si="2125"/>
        <v>a</v>
      </c>
      <c r="X2063">
        <v>87</v>
      </c>
      <c r="Y2063" t="e">
        <f>IF(X2063&lt;&gt;"",VLOOKUP(X2063,game_rosters!$C$43:$E$64,3,FALSE))</f>
        <v>#N/A</v>
      </c>
      <c r="Z2063" cm="1">
        <f t="array" ref="Z2063">IFERROR(IF(_xlfn._xlws.FILTER(game_rosters!$J:$J,(game_rosters!$G:$G=events!$AN2063)*(game_rosters!$J:$J=events!$X2063))&gt;0,1,""),"")</f>
        <v>1</v>
      </c>
      <c r="AA2063">
        <f t="shared" si="2083"/>
        <v>2090</v>
      </c>
      <c r="AB2063" t="str">
        <f t="shared" si="2084"/>
        <v/>
      </c>
      <c r="AC2063">
        <f t="shared" si="2122"/>
        <v>2090</v>
      </c>
      <c r="AD2063" s="6">
        <v>3</v>
      </c>
      <c r="AE2063" t="s">
        <v>936</v>
      </c>
      <c r="AF2063" t="s">
        <v>903</v>
      </c>
      <c r="AG2063" t="s">
        <v>756</v>
      </c>
      <c r="AH2063" t="s">
        <v>756</v>
      </c>
      <c r="AI2063" t="s">
        <v>367</v>
      </c>
      <c r="AJ2063" t="str">
        <f t="shared" ref="AJ2063:AK2063" si="2159">IF($J2063&lt;&gt;"",$J2063,IF($AC2063=$AC2062,AJ2062,""))</f>
        <v/>
      </c>
      <c r="AK2063" t="str">
        <f t="shared" si="2159"/>
        <v/>
      </c>
      <c r="AL2063" t="str">
        <f t="shared" si="2127"/>
        <v/>
      </c>
      <c r="AN2063" t="s">
        <v>862</v>
      </c>
      <c r="AO2063" t="str">
        <f t="shared" si="2128"/>
        <v>a</v>
      </c>
      <c r="AP2063" t="str">
        <f t="shared" si="2136"/>
        <v/>
      </c>
      <c r="AQ2063" t="str">
        <f t="shared" si="2137"/>
        <v/>
      </c>
      <c r="AR2063" t="str">
        <f t="shared" si="2138"/>
        <v>Away</v>
      </c>
      <c r="AS2063" t="str">
        <f t="shared" si="2139"/>
        <v>a</v>
      </c>
      <c r="AT2063" t="str">
        <f t="shared" si="2140"/>
        <v>Offensive</v>
      </c>
      <c r="BA2063" s="6">
        <f t="shared" si="2129"/>
        <v>469</v>
      </c>
      <c r="BB2063">
        <f t="shared" si="2130"/>
        <v>18981</v>
      </c>
      <c r="BC2063" t="str">
        <f t="shared" si="2131"/>
        <v>Nelson</v>
      </c>
      <c r="BD2063" t="str">
        <f t="shared" si="2132"/>
        <v>Velodrome</v>
      </c>
      <c r="BE2063" t="s">
        <v>7</v>
      </c>
      <c r="BF2063" t="s">
        <v>182</v>
      </c>
      <c r="BG2063" t="s">
        <v>68</v>
      </c>
      <c r="BI2063" cm="1">
        <f t="array" ref="BI2063">IFERROR(_xlfn._xlws.FILTER(shifts!A:A,(shifts!B:B=events!AD2063)*(shifts!AG:AG&gt;=events!BK2063)*(shifts!AH:AH&lt;=events!BL2063)),BI2062)</f>
        <v>89</v>
      </c>
      <c r="BJ2063" s="15">
        <f t="shared" si="2133"/>
        <v>0</v>
      </c>
      <c r="BK2063">
        <f t="shared" si="2141"/>
        <v>520</v>
      </c>
      <c r="BL2063">
        <f t="shared" si="2142"/>
        <v>520</v>
      </c>
      <c r="BM2063" s="15">
        <f>SUMIFS(BJ$2:BJ2063,K$2:K2063,"=Intermission")+SUMIFS(BJ$2:BJ2063,K$2:K2063,"=Timeout")</f>
        <v>142</v>
      </c>
      <c r="BN2063">
        <f t="shared" si="2143"/>
        <v>2302</v>
      </c>
      <c r="BO2063" s="19">
        <f t="shared" si="2144"/>
        <v>2862</v>
      </c>
      <c r="BP2063">
        <f t="shared" si="2145"/>
        <v>2857</v>
      </c>
      <c r="BQ2063" s="17">
        <f t="shared" si="2146"/>
        <v>2862</v>
      </c>
      <c r="BR2063" t="str">
        <f t="shared" si="2147"/>
        <v>event_team_player_2</v>
      </c>
      <c r="BS2063">
        <f>COUNTIFS(S$3:S2063,"="&amp;S2063,AI$3:AI2063,"="&amp;AI2063)</f>
        <v>2</v>
      </c>
      <c r="BT2063" t="str">
        <f>IFERROR(VLOOKUP(BB2063&amp;BU2063&amp;X2063,game_rosters!U:W,3,FALSE),"")</f>
        <v>P100159</v>
      </c>
      <c r="BU2063" t="str">
        <f t="shared" si="2148"/>
        <v>Velodrome</v>
      </c>
    </row>
    <row r="2064" spans="1:73" x14ac:dyDescent="0.2">
      <c r="A2064">
        <f t="shared" si="2134"/>
        <v>1</v>
      </c>
      <c r="J2064" s="44" t="str">
        <f t="shared" si="2149"/>
        <v/>
      </c>
      <c r="K2064" t="s">
        <v>7</v>
      </c>
      <c r="L2064" t="s">
        <v>182</v>
      </c>
      <c r="M2064" t="s">
        <v>68</v>
      </c>
      <c r="S2064">
        <v>1091</v>
      </c>
      <c r="W2064" t="str">
        <f t="shared" si="2125"/>
        <v>a</v>
      </c>
      <c r="X2064">
        <v>87</v>
      </c>
      <c r="Y2064" t="e">
        <f>IF(X2064&lt;&gt;"",VLOOKUP(X2064,game_rosters!$C$43:$E$64,3,FALSE))</f>
        <v>#N/A</v>
      </c>
      <c r="Z2064" cm="1">
        <f t="array" ref="Z2064">IFERROR(IF(_xlfn._xlws.FILTER(game_rosters!$J:$J,(game_rosters!$G:$G=events!$AN2064)*(game_rosters!$J:$J=events!$X2064))&gt;0,1,""),"")</f>
        <v>1</v>
      </c>
      <c r="AA2064">
        <f t="shared" si="2083"/>
        <v>2091</v>
      </c>
      <c r="AB2064" t="str">
        <f t="shared" si="2084"/>
        <v/>
      </c>
      <c r="AC2064">
        <f t="shared" si="2122"/>
        <v>2091</v>
      </c>
      <c r="AD2064" s="6">
        <v>3</v>
      </c>
      <c r="AE2064" t="s">
        <v>936</v>
      </c>
      <c r="AF2064" t="s">
        <v>904</v>
      </c>
      <c r="AG2064" t="s">
        <v>756</v>
      </c>
      <c r="AH2064" t="s">
        <v>756</v>
      </c>
      <c r="AI2064" t="s">
        <v>367</v>
      </c>
      <c r="AJ2064" t="str">
        <f t="shared" ref="AJ2064:AK2064" si="2160">IF($J2064&lt;&gt;"",$J2064,IF($AC2064=$AC2063,AJ2063,""))</f>
        <v/>
      </c>
      <c r="AK2064" t="str">
        <f t="shared" si="2160"/>
        <v/>
      </c>
      <c r="AL2064" t="str">
        <f t="shared" si="2127"/>
        <v/>
      </c>
      <c r="AN2064" t="s">
        <v>862</v>
      </c>
      <c r="AO2064" t="str">
        <f t="shared" si="2128"/>
        <v>a</v>
      </c>
      <c r="AP2064" t="str">
        <f t="shared" si="2136"/>
        <v/>
      </c>
      <c r="AQ2064" t="str">
        <f t="shared" si="2137"/>
        <v/>
      </c>
      <c r="AR2064" t="str">
        <f t="shared" si="2138"/>
        <v>Away</v>
      </c>
      <c r="AS2064" t="str">
        <f t="shared" si="2139"/>
        <v>a</v>
      </c>
      <c r="AT2064" t="str">
        <f t="shared" si="2140"/>
        <v>Offensive</v>
      </c>
      <c r="BA2064" s="6">
        <f t="shared" si="2129"/>
        <v>469</v>
      </c>
      <c r="BB2064">
        <f t="shared" si="2130"/>
        <v>18981</v>
      </c>
      <c r="BC2064" t="str">
        <f t="shared" si="2131"/>
        <v>Nelson</v>
      </c>
      <c r="BD2064" t="str">
        <f t="shared" si="2132"/>
        <v>Velodrome</v>
      </c>
      <c r="BE2064" t="s">
        <v>7</v>
      </c>
      <c r="BF2064" t="s">
        <v>182</v>
      </c>
      <c r="BG2064" t="s">
        <v>68</v>
      </c>
      <c r="BI2064" cm="1">
        <f t="array" ref="BI2064">IFERROR(_xlfn._xlws.FILTER(shifts!A:A,(shifts!B:B=events!AD2064)*(shifts!AG:AG&gt;=events!BK2064)*(shifts!AH:AH&lt;=events!BL2064)),BI2063)</f>
        <v>89</v>
      </c>
      <c r="BJ2064" s="15">
        <f t="shared" si="2133"/>
        <v>0</v>
      </c>
      <c r="BK2064">
        <f t="shared" si="2141"/>
        <v>516</v>
      </c>
      <c r="BL2064">
        <f t="shared" si="2142"/>
        <v>516</v>
      </c>
      <c r="BM2064" s="15">
        <f>SUMIFS(BJ$2:BJ2064,K$2:K2064,"=Intermission")+SUMIFS(BJ$2:BJ2064,K$2:K2064,"=Timeout")</f>
        <v>142</v>
      </c>
      <c r="BN2064">
        <f t="shared" si="2143"/>
        <v>2302</v>
      </c>
      <c r="BO2064" s="19">
        <f t="shared" si="2144"/>
        <v>2866</v>
      </c>
      <c r="BP2064">
        <f t="shared" si="2145"/>
        <v>2861</v>
      </c>
      <c r="BQ2064" s="17">
        <f t="shared" si="2146"/>
        <v>2866</v>
      </c>
      <c r="BR2064" t="str">
        <f t="shared" si="2147"/>
        <v>event_team_player_1</v>
      </c>
      <c r="BS2064">
        <f>COUNTIFS(S$3:S2064,"="&amp;S2064,AI$3:AI2064,"="&amp;AI2064)</f>
        <v>1</v>
      </c>
      <c r="BT2064" t="str">
        <f>IFERROR(VLOOKUP(BB2064&amp;BU2064&amp;X2064,game_rosters!U:W,3,FALSE),"")</f>
        <v>P100159</v>
      </c>
      <c r="BU2064" t="str">
        <f t="shared" si="2148"/>
        <v>Velodrome</v>
      </c>
    </row>
    <row r="2065" spans="1:73" x14ac:dyDescent="0.2">
      <c r="A2065">
        <f t="shared" si="2134"/>
        <v>1</v>
      </c>
      <c r="J2065" s="44" t="str">
        <f t="shared" si="2149"/>
        <v/>
      </c>
      <c r="K2065" t="s">
        <v>7</v>
      </c>
      <c r="L2065" t="s">
        <v>182</v>
      </c>
      <c r="M2065" t="s">
        <v>68</v>
      </c>
      <c r="S2065">
        <v>1091</v>
      </c>
      <c r="W2065" t="str">
        <f t="shared" si="2125"/>
        <v>a</v>
      </c>
      <c r="X2065">
        <v>75</v>
      </c>
      <c r="Y2065" t="e">
        <f>IF(X2065&lt;&gt;"",VLOOKUP(X2065,game_rosters!$C$43:$E$64,3,FALSE))</f>
        <v>#N/A</v>
      </c>
      <c r="Z2065" cm="1">
        <f t="array" ref="Z2065">IFERROR(IF(_xlfn._xlws.FILTER(game_rosters!$J:$J,(game_rosters!$G:$G=events!$AN2065)*(game_rosters!$J:$J=events!$X2065))&gt;0,1,""),"")</f>
        <v>1</v>
      </c>
      <c r="AA2065">
        <f t="shared" si="2083"/>
        <v>2091</v>
      </c>
      <c r="AB2065" t="str">
        <f t="shared" si="2084"/>
        <v/>
      </c>
      <c r="AC2065">
        <f t="shared" si="2122"/>
        <v>2091</v>
      </c>
      <c r="AD2065" s="6">
        <v>3</v>
      </c>
      <c r="AE2065" t="s">
        <v>936</v>
      </c>
      <c r="AF2065" t="s">
        <v>904</v>
      </c>
      <c r="AG2065" t="s">
        <v>756</v>
      </c>
      <c r="AH2065" t="s">
        <v>756</v>
      </c>
      <c r="AI2065" t="s">
        <v>367</v>
      </c>
      <c r="AJ2065" t="str">
        <f t="shared" ref="AJ2065:AK2065" si="2161">IF($J2065&lt;&gt;"",$J2065,IF($AC2065=$AC2064,AJ2064,""))</f>
        <v/>
      </c>
      <c r="AK2065" t="str">
        <f t="shared" si="2161"/>
        <v/>
      </c>
      <c r="AL2065" t="str">
        <f t="shared" si="2127"/>
        <v/>
      </c>
      <c r="AN2065" t="s">
        <v>862</v>
      </c>
      <c r="AO2065" t="str">
        <f t="shared" si="2128"/>
        <v>a</v>
      </c>
      <c r="AP2065" t="str">
        <f t="shared" si="2136"/>
        <v/>
      </c>
      <c r="AQ2065" t="str">
        <f t="shared" si="2137"/>
        <v/>
      </c>
      <c r="AR2065" t="str">
        <f t="shared" si="2138"/>
        <v>Away</v>
      </c>
      <c r="AS2065" t="str">
        <f t="shared" si="2139"/>
        <v>a</v>
      </c>
      <c r="AT2065" t="str">
        <f t="shared" si="2140"/>
        <v>Offensive</v>
      </c>
      <c r="BA2065" s="6">
        <f t="shared" si="2129"/>
        <v>469</v>
      </c>
      <c r="BB2065">
        <f t="shared" si="2130"/>
        <v>18981</v>
      </c>
      <c r="BC2065" t="str">
        <f t="shared" si="2131"/>
        <v>Nelson</v>
      </c>
      <c r="BD2065" t="str">
        <f t="shared" si="2132"/>
        <v>Velodrome</v>
      </c>
      <c r="BE2065" t="s">
        <v>7</v>
      </c>
      <c r="BF2065" t="s">
        <v>182</v>
      </c>
      <c r="BG2065" t="s">
        <v>68</v>
      </c>
      <c r="BI2065" cm="1">
        <f t="array" ref="BI2065">IFERROR(_xlfn._xlws.FILTER(shifts!A:A,(shifts!B:B=events!AD2065)*(shifts!AG:AG&gt;=events!BK2065)*(shifts!AH:AH&lt;=events!BL2065)),BI2064)</f>
        <v>89</v>
      </c>
      <c r="BJ2065" s="15">
        <f t="shared" si="2133"/>
        <v>0</v>
      </c>
      <c r="BK2065">
        <f t="shared" si="2141"/>
        <v>516</v>
      </c>
      <c r="BL2065">
        <f t="shared" si="2142"/>
        <v>516</v>
      </c>
      <c r="BM2065" s="15">
        <f>SUMIFS(BJ$2:BJ2065,K$2:K2065,"=Intermission")+SUMIFS(BJ$2:BJ2065,K$2:K2065,"=Timeout")</f>
        <v>142</v>
      </c>
      <c r="BN2065">
        <f t="shared" si="2143"/>
        <v>2302</v>
      </c>
      <c r="BO2065" s="19">
        <f t="shared" si="2144"/>
        <v>2866</v>
      </c>
      <c r="BP2065">
        <f t="shared" si="2145"/>
        <v>2861</v>
      </c>
      <c r="BQ2065" s="17">
        <f t="shared" si="2146"/>
        <v>2866</v>
      </c>
      <c r="BR2065" t="str">
        <f t="shared" si="2147"/>
        <v>event_team_player_2</v>
      </c>
      <c r="BS2065">
        <f>COUNTIFS(S$3:S2065,"="&amp;S2065,AI$3:AI2065,"="&amp;AI2065)</f>
        <v>2</v>
      </c>
      <c r="BT2065" t="str">
        <f>IFERROR(VLOOKUP(BB2065&amp;BU2065&amp;X2065,game_rosters!U:W,3,FALSE),"")</f>
        <v>P100039</v>
      </c>
      <c r="BU2065" t="str">
        <f t="shared" si="2148"/>
        <v>Velodrome</v>
      </c>
    </row>
    <row r="2066" spans="1:73" x14ac:dyDescent="0.2">
      <c r="A2066">
        <f t="shared" si="2134"/>
        <v>1</v>
      </c>
      <c r="J2066" s="44" t="str">
        <f t="shared" si="2149"/>
        <v/>
      </c>
      <c r="K2066" t="s">
        <v>9</v>
      </c>
      <c r="L2066" t="s">
        <v>173</v>
      </c>
      <c r="M2066" t="s">
        <v>74</v>
      </c>
      <c r="S2066">
        <v>1092</v>
      </c>
      <c r="W2066" t="str">
        <f t="shared" si="2125"/>
        <v>a</v>
      </c>
      <c r="X2066">
        <v>87</v>
      </c>
      <c r="Y2066" t="e">
        <f>IF(X2066&lt;&gt;"",VLOOKUP(X2066,game_rosters!$C$43:$E$64,3,FALSE))</f>
        <v>#N/A</v>
      </c>
      <c r="Z2066" cm="1">
        <f t="array" ref="Z2066">IFERROR(IF(_xlfn._xlws.FILTER(game_rosters!$J:$J,(game_rosters!$G:$G=events!$AN2066)*(game_rosters!$J:$J=events!$X2066))&gt;0,1,""),"")</f>
        <v>1</v>
      </c>
      <c r="AA2066">
        <f t="shared" si="2083"/>
        <v>2092</v>
      </c>
      <c r="AB2066" t="str">
        <f t="shared" si="2084"/>
        <v/>
      </c>
      <c r="AC2066">
        <f t="shared" si="2122"/>
        <v>2092</v>
      </c>
      <c r="AD2066" s="6">
        <v>3</v>
      </c>
      <c r="AE2066" t="s">
        <v>936</v>
      </c>
      <c r="AF2066" t="s">
        <v>904</v>
      </c>
      <c r="AG2066" t="s">
        <v>756</v>
      </c>
      <c r="AH2066" t="s">
        <v>756</v>
      </c>
      <c r="AI2066" t="s">
        <v>367</v>
      </c>
      <c r="AJ2066" t="str">
        <f t="shared" ref="AJ2066:AK2066" si="2162">IF($J2066&lt;&gt;"",$J2066,IF($AC2066=$AC2065,AJ2065,""))</f>
        <v/>
      </c>
      <c r="AK2066" t="str">
        <f t="shared" si="2162"/>
        <v/>
      </c>
      <c r="AL2066" t="str">
        <f t="shared" si="2127"/>
        <v/>
      </c>
      <c r="AN2066" t="s">
        <v>862</v>
      </c>
      <c r="AO2066" t="str">
        <f t="shared" si="2128"/>
        <v>a</v>
      </c>
      <c r="AP2066" t="str">
        <f t="shared" si="2136"/>
        <v/>
      </c>
      <c r="AQ2066" t="str">
        <f t="shared" si="2137"/>
        <v/>
      </c>
      <c r="AR2066" t="str">
        <f t="shared" si="2138"/>
        <v>Away</v>
      </c>
      <c r="AS2066" t="str">
        <f t="shared" si="2139"/>
        <v>a</v>
      </c>
      <c r="AT2066" t="str">
        <f t="shared" si="2140"/>
        <v>Offensive</v>
      </c>
      <c r="BA2066" s="6">
        <f t="shared" si="2129"/>
        <v>469</v>
      </c>
      <c r="BB2066">
        <f t="shared" si="2130"/>
        <v>18981</v>
      </c>
      <c r="BC2066" t="str">
        <f t="shared" si="2131"/>
        <v>Nelson</v>
      </c>
      <c r="BD2066" t="str">
        <f t="shared" si="2132"/>
        <v>Velodrome</v>
      </c>
      <c r="BE2066" t="s">
        <v>9</v>
      </c>
      <c r="BF2066" t="s">
        <v>173</v>
      </c>
      <c r="BG2066" t="s">
        <v>74</v>
      </c>
      <c r="BI2066" cm="1">
        <f t="array" ref="BI2066">IFERROR(_xlfn._xlws.FILTER(shifts!A:A,(shifts!B:B=events!AD2066)*(shifts!AG:AG&gt;=events!BK2066)*(shifts!AH:AH&lt;=events!BL2066)),BI2065)</f>
        <v>89</v>
      </c>
      <c r="BJ2066" s="15">
        <f t="shared" si="2133"/>
        <v>0</v>
      </c>
      <c r="BK2066">
        <f t="shared" si="2141"/>
        <v>516</v>
      </c>
      <c r="BL2066">
        <f t="shared" si="2142"/>
        <v>516</v>
      </c>
      <c r="BM2066" s="15">
        <f>SUMIFS(BJ$2:BJ2066,K$2:K2066,"=Intermission")+SUMIFS(BJ$2:BJ2066,K$2:K2066,"=Timeout")</f>
        <v>142</v>
      </c>
      <c r="BN2066">
        <f t="shared" si="2143"/>
        <v>2302</v>
      </c>
      <c r="BO2066" s="19">
        <f t="shared" si="2144"/>
        <v>2866</v>
      </c>
      <c r="BP2066">
        <f t="shared" si="2145"/>
        <v>2861</v>
      </c>
      <c r="BQ2066" s="17">
        <f t="shared" si="2146"/>
        <v>2866</v>
      </c>
      <c r="BR2066" t="str">
        <f t="shared" si="2147"/>
        <v>event_team_player_1</v>
      </c>
      <c r="BS2066">
        <f>COUNTIFS(S$3:S2066,"="&amp;S2066,AI$3:AI2066,"="&amp;AI2066)</f>
        <v>1</v>
      </c>
      <c r="BT2066" t="str">
        <f>IFERROR(VLOOKUP(BB2066&amp;BU2066&amp;X2066,game_rosters!U:W,3,FALSE),"")</f>
        <v>P100159</v>
      </c>
      <c r="BU2066" t="str">
        <f t="shared" si="2148"/>
        <v>Velodrome</v>
      </c>
    </row>
    <row r="2067" spans="1:73" x14ac:dyDescent="0.2">
      <c r="A2067">
        <f t="shared" si="2134"/>
        <v>1</v>
      </c>
      <c r="J2067" s="44" t="str">
        <f t="shared" si="2149"/>
        <v>d</v>
      </c>
      <c r="K2067" t="s">
        <v>238</v>
      </c>
      <c r="L2067" t="s">
        <v>184</v>
      </c>
      <c r="M2067" t="s">
        <v>374</v>
      </c>
      <c r="S2067">
        <v>1093</v>
      </c>
      <c r="W2067" t="str">
        <f t="shared" si="2125"/>
        <v>h</v>
      </c>
      <c r="X2067">
        <v>44</v>
      </c>
      <c r="Y2067" t="b">
        <f>IF(X2067&lt;&gt;"",VLOOKUP(X2067,game_rosters!$C$43:$E$64,3,FALSE))</f>
        <v>0</v>
      </c>
      <c r="Z2067" cm="1">
        <f t="array" ref="Z2067">IFERROR(IF(_xlfn._xlws.FILTER(game_rosters!$J:$J,(game_rosters!$G:$G=events!$AN2067)*(game_rosters!$J:$J=events!$X2067))&gt;0,1,""),"")</f>
        <v>1</v>
      </c>
      <c r="AA2067">
        <f t="shared" si="2083"/>
        <v>2093</v>
      </c>
      <c r="AB2067" t="str">
        <f t="shared" si="2084"/>
        <v/>
      </c>
      <c r="AC2067">
        <f t="shared" si="2122"/>
        <v>2093</v>
      </c>
      <c r="AD2067" s="6">
        <v>3</v>
      </c>
      <c r="AE2067" t="s">
        <v>936</v>
      </c>
      <c r="AF2067" t="s">
        <v>914</v>
      </c>
      <c r="AG2067" t="s">
        <v>756</v>
      </c>
      <c r="AH2067" t="s">
        <v>756</v>
      </c>
      <c r="AI2067" t="s">
        <v>367</v>
      </c>
      <c r="AJ2067" t="str">
        <f t="shared" ref="AJ2067:AK2067" si="2163">IF($J2067&lt;&gt;"",$J2067,IF($AC2067=$AC2066,AJ2066,""))</f>
        <v>d</v>
      </c>
      <c r="AK2067" t="str">
        <f t="shared" si="2163"/>
        <v>d</v>
      </c>
      <c r="AL2067" t="str">
        <f t="shared" si="2127"/>
        <v>d</v>
      </c>
      <c r="AN2067" t="s">
        <v>861</v>
      </c>
      <c r="AO2067" t="str">
        <f t="shared" si="2128"/>
        <v>h</v>
      </c>
      <c r="AP2067" t="str">
        <f t="shared" si="2136"/>
        <v>d</v>
      </c>
      <c r="AQ2067" t="str">
        <f t="shared" si="2137"/>
        <v/>
      </c>
      <c r="AR2067" t="str">
        <f t="shared" si="2138"/>
        <v>Home</v>
      </c>
      <c r="AS2067" t="str">
        <f t="shared" si="2139"/>
        <v>h</v>
      </c>
      <c r="AT2067" t="str">
        <f t="shared" si="2140"/>
        <v>Offensive</v>
      </c>
      <c r="BA2067" s="6">
        <f t="shared" si="2129"/>
        <v>470</v>
      </c>
      <c r="BB2067">
        <f t="shared" si="2130"/>
        <v>18981</v>
      </c>
      <c r="BC2067" t="str">
        <f t="shared" si="2131"/>
        <v>Nelson</v>
      </c>
      <c r="BD2067" t="str">
        <f t="shared" si="2132"/>
        <v>Velodrome</v>
      </c>
      <c r="BE2067" t="s">
        <v>238</v>
      </c>
      <c r="BF2067" t="s">
        <v>184</v>
      </c>
      <c r="BG2067" t="s">
        <v>374</v>
      </c>
      <c r="BI2067" cm="1">
        <f t="array" ref="BI2067">IFERROR(_xlfn._xlws.FILTER(shifts!A:A,(shifts!B:B=events!AD2067)*(shifts!AG:AG&gt;=events!BK2067)*(shifts!AH:AH&lt;=events!BL2067)),BI2066)</f>
        <v>89</v>
      </c>
      <c r="BJ2067" s="15">
        <f t="shared" si="2133"/>
        <v>0</v>
      </c>
      <c r="BK2067">
        <f t="shared" si="2141"/>
        <v>513</v>
      </c>
      <c r="BL2067">
        <f t="shared" si="2142"/>
        <v>513</v>
      </c>
      <c r="BM2067" s="15">
        <f>SUMIFS(BJ$2:BJ2067,K$2:K2067,"=Intermission")+SUMIFS(BJ$2:BJ2067,K$2:K2067,"=Timeout")</f>
        <v>142</v>
      </c>
      <c r="BN2067">
        <f t="shared" si="2143"/>
        <v>2302</v>
      </c>
      <c r="BO2067" s="19">
        <f t="shared" si="2144"/>
        <v>2869</v>
      </c>
      <c r="BP2067">
        <f t="shared" si="2145"/>
        <v>2864</v>
      </c>
      <c r="BQ2067" s="17">
        <f t="shared" si="2146"/>
        <v>2869</v>
      </c>
      <c r="BR2067" t="str">
        <f t="shared" si="2147"/>
        <v>event_team_player_1</v>
      </c>
      <c r="BS2067">
        <f>COUNTIFS(S$3:S2067,"="&amp;S2067,AI$3:AI2067,"="&amp;AI2067)</f>
        <v>1</v>
      </c>
      <c r="BT2067" t="str">
        <f>IFERROR(VLOOKUP(BB2067&amp;BU2067&amp;X2067,game_rosters!U:W,3,FALSE),"")</f>
        <v>P100079</v>
      </c>
      <c r="BU2067" t="str">
        <f t="shared" si="2148"/>
        <v>Nelson</v>
      </c>
    </row>
    <row r="2068" spans="1:73" x14ac:dyDescent="0.2">
      <c r="A2068">
        <f t="shared" si="2134"/>
        <v>1</v>
      </c>
      <c r="J2068" s="44" t="str">
        <f t="shared" si="2149"/>
        <v>d</v>
      </c>
      <c r="K2068" t="s">
        <v>238</v>
      </c>
      <c r="L2068" t="s">
        <v>184</v>
      </c>
      <c r="M2068" t="s">
        <v>374</v>
      </c>
      <c r="S2068">
        <v>1093</v>
      </c>
      <c r="W2068" t="str">
        <f t="shared" si="2125"/>
        <v>h</v>
      </c>
      <c r="X2068">
        <v>52</v>
      </c>
      <c r="Y2068" t="e">
        <f>IF(X2068&lt;&gt;"",VLOOKUP(X2068,game_rosters!$C$43:$E$64,3,FALSE))</f>
        <v>#N/A</v>
      </c>
      <c r="Z2068" t="str" cm="1">
        <f t="array" ref="Z2068">IFERROR(IF(_xlfn._xlws.FILTER(game_rosters!$J:$J,(game_rosters!$G:$G=events!$AN2068)*(game_rosters!$J:$J=events!$X2068))&gt;0,1,""),"")</f>
        <v/>
      </c>
      <c r="AA2068">
        <f t="shared" si="2083"/>
        <v>2093</v>
      </c>
      <c r="AB2068" t="str">
        <f t="shared" si="2084"/>
        <v/>
      </c>
      <c r="AC2068">
        <f t="shared" si="2122"/>
        <v>2093</v>
      </c>
      <c r="AD2068" s="6">
        <v>3</v>
      </c>
      <c r="AE2068" t="s">
        <v>936</v>
      </c>
      <c r="AF2068" t="s">
        <v>914</v>
      </c>
      <c r="AG2068" t="s">
        <v>756</v>
      </c>
      <c r="AH2068" t="s">
        <v>756</v>
      </c>
      <c r="AI2068" t="s">
        <v>368</v>
      </c>
      <c r="AJ2068" t="str">
        <f t="shared" ref="AJ2068:AK2068" si="2164">IF($J2068&lt;&gt;"",$J2068,IF($AC2068=$AC2067,AJ2067,""))</f>
        <v>d</v>
      </c>
      <c r="AK2068" t="str">
        <f t="shared" si="2164"/>
        <v>d</v>
      </c>
      <c r="AL2068" t="str">
        <f t="shared" si="2127"/>
        <v>d</v>
      </c>
      <c r="AN2068" t="s">
        <v>861</v>
      </c>
      <c r="AO2068" t="str">
        <f t="shared" si="2128"/>
        <v>h</v>
      </c>
      <c r="AP2068" t="str">
        <f t="shared" si="2136"/>
        <v>d</v>
      </c>
      <c r="AQ2068" t="str">
        <f t="shared" si="2137"/>
        <v/>
      </c>
      <c r="AR2068" t="str">
        <f t="shared" si="2138"/>
        <v>Home</v>
      </c>
      <c r="AS2068" t="str">
        <f t="shared" si="2139"/>
        <v>h</v>
      </c>
      <c r="AT2068" t="str">
        <f t="shared" si="2140"/>
        <v>Defensive</v>
      </c>
      <c r="BA2068" s="6">
        <f t="shared" si="2129"/>
        <v>471</v>
      </c>
      <c r="BB2068">
        <f t="shared" si="2130"/>
        <v>18981</v>
      </c>
      <c r="BC2068" t="str">
        <f t="shared" si="2131"/>
        <v>Nelson</v>
      </c>
      <c r="BD2068" t="str">
        <f t="shared" si="2132"/>
        <v>Velodrome</v>
      </c>
      <c r="BE2068" t="s">
        <v>238</v>
      </c>
      <c r="BF2068" t="s">
        <v>184</v>
      </c>
      <c r="BG2068" t="s">
        <v>374</v>
      </c>
      <c r="BI2068" cm="1">
        <f t="array" ref="BI2068">IFERROR(_xlfn._xlws.FILTER(shifts!A:A,(shifts!B:B=events!AD2068)*(shifts!AG:AG&gt;=events!BK2068)*(shifts!AH:AH&lt;=events!BL2068)),BI2067)</f>
        <v>89</v>
      </c>
      <c r="BJ2068" s="15">
        <f t="shared" si="2133"/>
        <v>0</v>
      </c>
      <c r="BK2068">
        <f t="shared" si="2141"/>
        <v>513</v>
      </c>
      <c r="BL2068">
        <f t="shared" si="2142"/>
        <v>513</v>
      </c>
      <c r="BM2068" s="15">
        <f>SUMIFS(BJ$2:BJ2068,K$2:K2068,"=Intermission")+SUMIFS(BJ$2:BJ2068,K$2:K2068,"=Timeout")</f>
        <v>142</v>
      </c>
      <c r="BN2068">
        <f t="shared" si="2143"/>
        <v>2302</v>
      </c>
      <c r="BO2068" s="19">
        <f t="shared" si="2144"/>
        <v>2869</v>
      </c>
      <c r="BP2068">
        <f t="shared" si="2145"/>
        <v>2864</v>
      </c>
      <c r="BQ2068" s="17">
        <f t="shared" si="2146"/>
        <v>2869</v>
      </c>
      <c r="BR2068" t="str">
        <f t="shared" si="2147"/>
        <v>opp_team_player_1</v>
      </c>
      <c r="BS2068">
        <f>COUNTIFS(S$3:S2068,"="&amp;S2068,AI$3:AI2068,"="&amp;AI2068)</f>
        <v>1</v>
      </c>
      <c r="BT2068" t="str">
        <f>IFERROR(VLOOKUP(BB2068&amp;BU2068&amp;X2068,game_rosters!U:W,3,FALSE),"")</f>
        <v>P100070</v>
      </c>
      <c r="BU2068" t="str">
        <f t="shared" si="2148"/>
        <v>Velodrome</v>
      </c>
    </row>
    <row r="2069" spans="1:73" x14ac:dyDescent="0.2">
      <c r="A2069">
        <f t="shared" si="2134"/>
        <v>1</v>
      </c>
      <c r="J2069" s="44" t="str">
        <f t="shared" si="2149"/>
        <v/>
      </c>
      <c r="K2069" t="s">
        <v>13</v>
      </c>
      <c r="L2069" t="s">
        <v>756</v>
      </c>
      <c r="M2069" t="s">
        <v>756</v>
      </c>
      <c r="S2069">
        <v>1094</v>
      </c>
      <c r="W2069" t="str">
        <f t="shared" si="2125"/>
        <v>h</v>
      </c>
      <c r="X2069">
        <v>44</v>
      </c>
      <c r="Y2069" t="b">
        <f>IF(X2069&lt;&gt;"",VLOOKUP(X2069,game_rosters!$C$43:$E$64,3,FALSE))</f>
        <v>0</v>
      </c>
      <c r="Z2069" cm="1">
        <f t="array" ref="Z2069">IFERROR(IF(_xlfn._xlws.FILTER(game_rosters!$J:$J,(game_rosters!$G:$G=events!$AN2069)*(game_rosters!$J:$J=events!$X2069))&gt;0,1,""),"")</f>
        <v>1</v>
      </c>
      <c r="AA2069">
        <f t="shared" si="2083"/>
        <v>2094</v>
      </c>
      <c r="AB2069" t="str">
        <f t="shared" si="2084"/>
        <v/>
      </c>
      <c r="AC2069">
        <f t="shared" si="2122"/>
        <v>2094</v>
      </c>
      <c r="AD2069" s="6">
        <v>3</v>
      </c>
      <c r="AE2069" t="s">
        <v>936</v>
      </c>
      <c r="AF2069" t="s">
        <v>738</v>
      </c>
      <c r="AG2069" t="s">
        <v>936</v>
      </c>
      <c r="AH2069" t="s">
        <v>906</v>
      </c>
      <c r="AI2069" t="s">
        <v>367</v>
      </c>
      <c r="AJ2069" t="str">
        <f t="shared" ref="AJ2069:AK2069" si="2165">IF($J2069&lt;&gt;"",$J2069,IF($AC2069=$AC2068,AJ2068,""))</f>
        <v/>
      </c>
      <c r="AK2069" t="str">
        <f t="shared" si="2165"/>
        <v/>
      </c>
      <c r="AL2069" t="str">
        <f t="shared" si="2127"/>
        <v/>
      </c>
      <c r="AN2069" t="s">
        <v>861</v>
      </c>
      <c r="AO2069" t="str">
        <f t="shared" si="2128"/>
        <v>h</v>
      </c>
      <c r="AP2069" t="str">
        <f t="shared" si="2136"/>
        <v/>
      </c>
      <c r="AQ2069" t="str">
        <f t="shared" si="2137"/>
        <v/>
      </c>
      <c r="AR2069" t="str">
        <f t="shared" si="2138"/>
        <v>Home</v>
      </c>
      <c r="AS2069" t="str">
        <f t="shared" si="2139"/>
        <v>h</v>
      </c>
      <c r="AT2069" t="str">
        <f t="shared" si="2140"/>
        <v>Offensive</v>
      </c>
      <c r="BA2069" s="6">
        <f t="shared" si="2129"/>
        <v>471</v>
      </c>
      <c r="BB2069">
        <f t="shared" si="2130"/>
        <v>18981</v>
      </c>
      <c r="BC2069" t="str">
        <f t="shared" si="2131"/>
        <v>Nelson</v>
      </c>
      <c r="BD2069" t="str">
        <f t="shared" si="2132"/>
        <v>Velodrome</v>
      </c>
      <c r="BE2069" t="s">
        <v>13</v>
      </c>
      <c r="BF2069" t="s">
        <v>756</v>
      </c>
      <c r="BG2069" t="s">
        <v>756</v>
      </c>
      <c r="BI2069" cm="1">
        <f t="array" ref="BI2069">IFERROR(_xlfn._xlws.FILTER(shifts!A:A,(shifts!B:B=events!AD2069)*(shifts!AG:AG&gt;=events!BK2069)*(shifts!AH:AH&lt;=events!BL2069)),BI2068)</f>
        <v>89</v>
      </c>
      <c r="BJ2069" s="15">
        <f t="shared" si="2133"/>
        <v>2</v>
      </c>
      <c r="BK2069">
        <f t="shared" si="2141"/>
        <v>511</v>
      </c>
      <c r="BL2069">
        <f t="shared" si="2142"/>
        <v>509</v>
      </c>
      <c r="BM2069" s="15">
        <f>SUMIFS(BJ$2:BJ2069,K$2:K2069,"=Intermission")+SUMIFS(BJ$2:BJ2069,K$2:K2069,"=Timeout")</f>
        <v>142</v>
      </c>
      <c r="BN2069">
        <f t="shared" si="2143"/>
        <v>2302</v>
      </c>
      <c r="BO2069" s="19">
        <f t="shared" si="2144"/>
        <v>2871</v>
      </c>
      <c r="BP2069">
        <f t="shared" si="2145"/>
        <v>2866</v>
      </c>
      <c r="BQ2069" s="17">
        <f t="shared" si="2146"/>
        <v>2873</v>
      </c>
      <c r="BR2069" t="str">
        <f t="shared" si="2147"/>
        <v>event_team_player_1</v>
      </c>
      <c r="BS2069">
        <f>COUNTIFS(S$3:S2069,"="&amp;S2069,AI$3:AI2069,"="&amp;AI2069)</f>
        <v>1</v>
      </c>
      <c r="BT2069" t="str">
        <f>IFERROR(VLOOKUP(BB2069&amp;BU2069&amp;X2069,game_rosters!U:W,3,FALSE),"")</f>
        <v>P100079</v>
      </c>
      <c r="BU2069" t="str">
        <f t="shared" si="2148"/>
        <v>Nelson</v>
      </c>
    </row>
    <row r="2070" spans="1:73" x14ac:dyDescent="0.2">
      <c r="A2070">
        <f t="shared" si="2134"/>
        <v>1</v>
      </c>
      <c r="J2070" s="44" t="str">
        <f t="shared" si="2149"/>
        <v>o</v>
      </c>
      <c r="K2070" t="s">
        <v>238</v>
      </c>
      <c r="L2070" t="s">
        <v>174</v>
      </c>
      <c r="M2070" t="s">
        <v>85</v>
      </c>
      <c r="S2070">
        <v>1095</v>
      </c>
      <c r="W2070" t="str">
        <f t="shared" si="2125"/>
        <v>h</v>
      </c>
      <c r="X2070">
        <v>44</v>
      </c>
      <c r="Y2070" t="b">
        <f>IF(X2070&lt;&gt;"",VLOOKUP(X2070,game_rosters!$C$43:$E$64,3,FALSE))</f>
        <v>0</v>
      </c>
      <c r="Z2070" cm="1">
        <f t="array" ref="Z2070">IFERROR(IF(_xlfn._xlws.FILTER(game_rosters!$J:$J,(game_rosters!$G:$G=events!$AN2070)*(game_rosters!$J:$J=events!$X2070))&gt;0,1,""),"")</f>
        <v>1</v>
      </c>
      <c r="AA2070">
        <f t="shared" si="2083"/>
        <v>2095</v>
      </c>
      <c r="AB2070" t="str">
        <f t="shared" si="2084"/>
        <v/>
      </c>
      <c r="AC2070">
        <f t="shared" si="2122"/>
        <v>2095</v>
      </c>
      <c r="AD2070" s="6">
        <v>3</v>
      </c>
      <c r="AE2070" t="s">
        <v>936</v>
      </c>
      <c r="AF2070" t="s">
        <v>906</v>
      </c>
      <c r="AG2070" t="s">
        <v>936</v>
      </c>
      <c r="AH2070" t="s">
        <v>930</v>
      </c>
      <c r="AI2070" t="s">
        <v>367</v>
      </c>
      <c r="AJ2070" t="str">
        <f t="shared" ref="AJ2070:AK2070" si="2166">IF($J2070&lt;&gt;"",$J2070,IF($AC2070=$AC2069,AJ2069,""))</f>
        <v>o</v>
      </c>
      <c r="AK2070" t="str">
        <f t="shared" si="2166"/>
        <v>o</v>
      </c>
      <c r="AL2070" t="str">
        <f t="shared" si="2127"/>
        <v>o</v>
      </c>
      <c r="AN2070" t="s">
        <v>861</v>
      </c>
      <c r="AO2070" t="str">
        <f t="shared" si="2128"/>
        <v>h</v>
      </c>
      <c r="AP2070" t="str">
        <f t="shared" si="2136"/>
        <v>o</v>
      </c>
      <c r="AQ2070" t="str">
        <f t="shared" si="2137"/>
        <v/>
      </c>
      <c r="AR2070" t="str">
        <f t="shared" si="2138"/>
        <v>Home</v>
      </c>
      <c r="AS2070" t="str">
        <f t="shared" si="2139"/>
        <v>h</v>
      </c>
      <c r="AT2070" t="str">
        <f t="shared" si="2140"/>
        <v>Offensive</v>
      </c>
      <c r="BA2070" s="6">
        <f t="shared" si="2129"/>
        <v>472</v>
      </c>
      <c r="BB2070">
        <f t="shared" si="2130"/>
        <v>18981</v>
      </c>
      <c r="BC2070" t="str">
        <f t="shared" si="2131"/>
        <v>Nelson</v>
      </c>
      <c r="BD2070" t="str">
        <f t="shared" si="2132"/>
        <v>Velodrome</v>
      </c>
      <c r="BE2070" t="s">
        <v>238</v>
      </c>
      <c r="BF2070" t="s">
        <v>174</v>
      </c>
      <c r="BG2070" t="s">
        <v>85</v>
      </c>
      <c r="BI2070" cm="1">
        <f t="array" ref="BI2070">IFERROR(_xlfn._xlws.FILTER(shifts!A:A,(shifts!B:B=events!AD2070)*(shifts!AG:AG&gt;=events!BK2070)*(shifts!AH:AH&lt;=events!BL2070)),BI2069)</f>
        <v>90</v>
      </c>
      <c r="BJ2070" s="15">
        <f t="shared" si="2133"/>
        <v>1</v>
      </c>
      <c r="BK2070">
        <f t="shared" si="2141"/>
        <v>509</v>
      </c>
      <c r="BL2070">
        <f t="shared" si="2142"/>
        <v>508</v>
      </c>
      <c r="BM2070" s="15">
        <f>SUMIFS(BJ$2:BJ2070,K$2:K2070,"=Intermission")+SUMIFS(BJ$2:BJ2070,K$2:K2070,"=Timeout")</f>
        <v>142</v>
      </c>
      <c r="BN2070">
        <f t="shared" si="2143"/>
        <v>2302</v>
      </c>
      <c r="BO2070" s="19">
        <f t="shared" si="2144"/>
        <v>2873</v>
      </c>
      <c r="BP2070">
        <f t="shared" si="2145"/>
        <v>2868</v>
      </c>
      <c r="BQ2070" s="17">
        <f t="shared" si="2146"/>
        <v>2874</v>
      </c>
      <c r="BR2070" t="str">
        <f t="shared" si="2147"/>
        <v>event_team_player_1</v>
      </c>
      <c r="BS2070">
        <f>COUNTIFS(S$3:S2070,"="&amp;S2070,AI$3:AI2070,"="&amp;AI2070)</f>
        <v>1</v>
      </c>
      <c r="BT2070" t="str">
        <f>IFERROR(VLOOKUP(BB2070&amp;BU2070&amp;X2070,game_rosters!U:W,3,FALSE),"")</f>
        <v>P100079</v>
      </c>
      <c r="BU2070" t="str">
        <f t="shared" si="2148"/>
        <v>Nelson</v>
      </c>
    </row>
    <row r="2071" spans="1:73" x14ac:dyDescent="0.2">
      <c r="A2071">
        <f t="shared" si="2134"/>
        <v>1</v>
      </c>
      <c r="J2071" s="44" t="str">
        <f t="shared" si="2149"/>
        <v>o</v>
      </c>
      <c r="K2071" t="s">
        <v>238</v>
      </c>
      <c r="L2071" t="s">
        <v>174</v>
      </c>
      <c r="M2071" t="s">
        <v>85</v>
      </c>
      <c r="S2071">
        <v>1095</v>
      </c>
      <c r="W2071" t="str">
        <f t="shared" si="2125"/>
        <v>h</v>
      </c>
      <c r="X2071">
        <v>10</v>
      </c>
      <c r="Y2071" t="b">
        <f>IF(X2071&lt;&gt;"",VLOOKUP(X2071,game_rosters!$C$43:$E$64,3,FALSE))</f>
        <v>0</v>
      </c>
      <c r="Z2071" cm="1">
        <f t="array" ref="Z2071">IFERROR(IF(_xlfn._xlws.FILTER(game_rosters!$J:$J,(game_rosters!$G:$G=events!$AN2071)*(game_rosters!$J:$J=events!$X2071))&gt;0,1,""),"")</f>
        <v>1</v>
      </c>
      <c r="AA2071">
        <f t="shared" si="2083"/>
        <v>2095</v>
      </c>
      <c r="AB2071" t="str">
        <f t="shared" si="2084"/>
        <v/>
      </c>
      <c r="AC2071">
        <f t="shared" si="2122"/>
        <v>2095</v>
      </c>
      <c r="AD2071" s="6">
        <v>3</v>
      </c>
      <c r="AE2071" t="s">
        <v>936</v>
      </c>
      <c r="AF2071" t="s">
        <v>906</v>
      </c>
      <c r="AG2071" t="s">
        <v>936</v>
      </c>
      <c r="AH2071" t="s">
        <v>930</v>
      </c>
      <c r="AI2071" t="s">
        <v>367</v>
      </c>
      <c r="AJ2071" t="str">
        <f t="shared" ref="AJ2071:AK2071" si="2167">IF($J2071&lt;&gt;"",$J2071,IF($AC2071=$AC2070,AJ2070,""))</f>
        <v>o</v>
      </c>
      <c r="AK2071" t="str">
        <f t="shared" si="2167"/>
        <v>o</v>
      </c>
      <c r="AL2071" t="str">
        <f t="shared" si="2127"/>
        <v>o</v>
      </c>
      <c r="AN2071" t="s">
        <v>861</v>
      </c>
      <c r="AO2071" t="str">
        <f t="shared" si="2128"/>
        <v>h</v>
      </c>
      <c r="AP2071" t="str">
        <f t="shared" si="2136"/>
        <v>o</v>
      </c>
      <c r="AQ2071" t="str">
        <f t="shared" si="2137"/>
        <v/>
      </c>
      <c r="AR2071" t="str">
        <f t="shared" si="2138"/>
        <v>Home</v>
      </c>
      <c r="AS2071" t="str">
        <f t="shared" si="2139"/>
        <v>h</v>
      </c>
      <c r="AT2071" t="str">
        <f t="shared" si="2140"/>
        <v>Offensive</v>
      </c>
      <c r="BA2071" s="6">
        <f t="shared" si="2129"/>
        <v>473</v>
      </c>
      <c r="BB2071">
        <f t="shared" si="2130"/>
        <v>18981</v>
      </c>
      <c r="BC2071" t="str">
        <f t="shared" si="2131"/>
        <v>Nelson</v>
      </c>
      <c r="BD2071" t="str">
        <f t="shared" si="2132"/>
        <v>Velodrome</v>
      </c>
      <c r="BE2071" t="s">
        <v>238</v>
      </c>
      <c r="BF2071" t="s">
        <v>174</v>
      </c>
      <c r="BG2071" t="s">
        <v>85</v>
      </c>
      <c r="BI2071" cm="1">
        <f t="array" ref="BI2071">IFERROR(_xlfn._xlws.FILTER(shifts!A:A,(shifts!B:B=events!AD2071)*(shifts!AG:AG&gt;=events!BK2071)*(shifts!AH:AH&lt;=events!BL2071)),BI2070)</f>
        <v>90</v>
      </c>
      <c r="BJ2071" s="15">
        <f t="shared" si="2133"/>
        <v>1</v>
      </c>
      <c r="BK2071">
        <f t="shared" si="2141"/>
        <v>509</v>
      </c>
      <c r="BL2071">
        <f t="shared" si="2142"/>
        <v>508</v>
      </c>
      <c r="BM2071" s="15">
        <f>SUMIFS(BJ$2:BJ2071,K$2:K2071,"=Intermission")+SUMIFS(BJ$2:BJ2071,K$2:K2071,"=Timeout")</f>
        <v>142</v>
      </c>
      <c r="BN2071">
        <f t="shared" si="2143"/>
        <v>2302</v>
      </c>
      <c r="BO2071" s="19">
        <f t="shared" si="2144"/>
        <v>2873</v>
      </c>
      <c r="BP2071">
        <f t="shared" si="2145"/>
        <v>2868</v>
      </c>
      <c r="BQ2071" s="17">
        <f t="shared" si="2146"/>
        <v>2874</v>
      </c>
      <c r="BR2071" t="str">
        <f t="shared" si="2147"/>
        <v>event_team_player_2</v>
      </c>
      <c r="BS2071">
        <f>COUNTIFS(S$3:S2071,"="&amp;S2071,AI$3:AI2071,"="&amp;AI2071)</f>
        <v>2</v>
      </c>
      <c r="BT2071" t="str">
        <f>IFERROR(VLOOKUP(BB2071&amp;BU2071&amp;X2071,game_rosters!U:W,3,FALSE),"")</f>
        <v>P100078</v>
      </c>
      <c r="BU2071" t="str">
        <f t="shared" si="2148"/>
        <v>Nelson</v>
      </c>
    </row>
    <row r="2072" spans="1:73" x14ac:dyDescent="0.2">
      <c r="A2072">
        <f t="shared" si="2134"/>
        <v>1</v>
      </c>
      <c r="J2072" s="44" t="str">
        <f t="shared" si="2149"/>
        <v>o</v>
      </c>
      <c r="K2072" t="s">
        <v>238</v>
      </c>
      <c r="L2072" t="s">
        <v>174</v>
      </c>
      <c r="M2072" t="s">
        <v>85</v>
      </c>
      <c r="S2072">
        <v>1095</v>
      </c>
      <c r="W2072" t="str">
        <f t="shared" si="2125"/>
        <v>h</v>
      </c>
      <c r="X2072">
        <v>22</v>
      </c>
      <c r="Y2072" t="e">
        <f>IF(X2072&lt;&gt;"",VLOOKUP(X2072,game_rosters!$C$43:$E$64,3,FALSE))</f>
        <v>#N/A</v>
      </c>
      <c r="Z2072" t="str" cm="1">
        <f t="array" ref="Z2072">IFERROR(IF(_xlfn._xlws.FILTER(game_rosters!$J:$J,(game_rosters!$G:$G=events!$AN2072)*(game_rosters!$J:$J=events!$X2072))&gt;0,1,""),"")</f>
        <v/>
      </c>
      <c r="AA2072">
        <f t="shared" si="2083"/>
        <v>2095</v>
      </c>
      <c r="AB2072" t="str">
        <f t="shared" si="2084"/>
        <v/>
      </c>
      <c r="AC2072">
        <f t="shared" si="2122"/>
        <v>2095</v>
      </c>
      <c r="AD2072" s="6">
        <v>3</v>
      </c>
      <c r="AE2072" t="s">
        <v>936</v>
      </c>
      <c r="AF2072" t="s">
        <v>906</v>
      </c>
      <c r="AG2072" t="s">
        <v>936</v>
      </c>
      <c r="AH2072" t="s">
        <v>930</v>
      </c>
      <c r="AI2072" t="s">
        <v>368</v>
      </c>
      <c r="AJ2072" t="str">
        <f t="shared" ref="AJ2072:AK2072" si="2168">IF($J2072&lt;&gt;"",$J2072,IF($AC2072=$AC2071,AJ2071,""))</f>
        <v>o</v>
      </c>
      <c r="AK2072" t="str">
        <f t="shared" si="2168"/>
        <v>o</v>
      </c>
      <c r="AL2072" t="str">
        <f t="shared" si="2127"/>
        <v>o</v>
      </c>
      <c r="AN2072" t="s">
        <v>861</v>
      </c>
      <c r="AO2072" t="str">
        <f t="shared" si="2128"/>
        <v>h</v>
      </c>
      <c r="AP2072" t="str">
        <f t="shared" si="2136"/>
        <v>o</v>
      </c>
      <c r="AQ2072" t="str">
        <f t="shared" si="2137"/>
        <v/>
      </c>
      <c r="AR2072" t="str">
        <f t="shared" si="2138"/>
        <v>Home</v>
      </c>
      <c r="AS2072" t="str">
        <f t="shared" si="2139"/>
        <v>h</v>
      </c>
      <c r="AT2072" t="str">
        <f t="shared" si="2140"/>
        <v>Defensive</v>
      </c>
      <c r="BA2072" s="6">
        <f t="shared" si="2129"/>
        <v>474</v>
      </c>
      <c r="BB2072">
        <f t="shared" si="2130"/>
        <v>18981</v>
      </c>
      <c r="BC2072" t="str">
        <f t="shared" si="2131"/>
        <v>Nelson</v>
      </c>
      <c r="BD2072" t="str">
        <f t="shared" si="2132"/>
        <v>Velodrome</v>
      </c>
      <c r="BE2072" t="s">
        <v>238</v>
      </c>
      <c r="BF2072" t="s">
        <v>174</v>
      </c>
      <c r="BG2072" t="s">
        <v>85</v>
      </c>
      <c r="BI2072" cm="1">
        <f t="array" ref="BI2072">IFERROR(_xlfn._xlws.FILTER(shifts!A:A,(shifts!B:B=events!AD2072)*(shifts!AG:AG&gt;=events!BK2072)*(shifts!AH:AH&lt;=events!BL2072)),BI2071)</f>
        <v>90</v>
      </c>
      <c r="BJ2072" s="15">
        <f t="shared" si="2133"/>
        <v>1</v>
      </c>
      <c r="BK2072">
        <f t="shared" si="2141"/>
        <v>509</v>
      </c>
      <c r="BL2072">
        <f t="shared" si="2142"/>
        <v>508</v>
      </c>
      <c r="BM2072" s="15">
        <f>SUMIFS(BJ$2:BJ2072,K$2:K2072,"=Intermission")+SUMIFS(BJ$2:BJ2072,K$2:K2072,"=Timeout")</f>
        <v>142</v>
      </c>
      <c r="BN2072">
        <f t="shared" si="2143"/>
        <v>2302</v>
      </c>
      <c r="BO2072" s="19">
        <f t="shared" si="2144"/>
        <v>2873</v>
      </c>
      <c r="BP2072">
        <f t="shared" si="2145"/>
        <v>2868</v>
      </c>
      <c r="BQ2072" s="17">
        <f t="shared" si="2146"/>
        <v>2874</v>
      </c>
      <c r="BR2072" t="str">
        <f t="shared" si="2147"/>
        <v>opp_team_player_1</v>
      </c>
      <c r="BS2072">
        <f>COUNTIFS(S$3:S2072,"="&amp;S2072,AI$3:AI2072,"="&amp;AI2072)</f>
        <v>1</v>
      </c>
      <c r="BT2072" t="str">
        <f>IFERROR(VLOOKUP(BB2072&amp;BU2072&amp;X2072,game_rosters!U:W,3,FALSE),"")</f>
        <v>P100108</v>
      </c>
      <c r="BU2072" t="str">
        <f t="shared" si="2148"/>
        <v>Velodrome</v>
      </c>
    </row>
    <row r="2073" spans="1:73" x14ac:dyDescent="0.2">
      <c r="A2073">
        <f t="shared" si="2134"/>
        <v>1</v>
      </c>
      <c r="J2073" s="44" t="str">
        <f t="shared" si="2149"/>
        <v>o</v>
      </c>
      <c r="K2073" t="s">
        <v>238</v>
      </c>
      <c r="L2073" t="s">
        <v>174</v>
      </c>
      <c r="M2073" t="s">
        <v>85</v>
      </c>
      <c r="S2073">
        <v>1095</v>
      </c>
      <c r="W2073" t="str">
        <f t="shared" si="2125"/>
        <v>h</v>
      </c>
      <c r="X2073">
        <v>70</v>
      </c>
      <c r="Y2073" t="e">
        <f>IF(X2073&lt;&gt;"",VLOOKUP(X2073,game_rosters!$C$43:$E$64,3,FALSE))</f>
        <v>#N/A</v>
      </c>
      <c r="Z2073" t="str" cm="1">
        <f t="array" ref="Z2073">IFERROR(IF(_xlfn._xlws.FILTER(game_rosters!$J:$J,(game_rosters!$G:$G=events!$AN2073)*(game_rosters!$J:$J=events!$X2073))&gt;0,1,""),"")</f>
        <v/>
      </c>
      <c r="AA2073">
        <f t="shared" si="2083"/>
        <v>2095</v>
      </c>
      <c r="AB2073" t="str">
        <f t="shared" si="2084"/>
        <v/>
      </c>
      <c r="AC2073">
        <f t="shared" si="2122"/>
        <v>2095</v>
      </c>
      <c r="AD2073" s="6">
        <v>3</v>
      </c>
      <c r="AE2073" t="s">
        <v>936</v>
      </c>
      <c r="AF2073" t="s">
        <v>906</v>
      </c>
      <c r="AG2073" t="s">
        <v>936</v>
      </c>
      <c r="AH2073" t="s">
        <v>930</v>
      </c>
      <c r="AI2073" t="s">
        <v>368</v>
      </c>
      <c r="AJ2073" t="str">
        <f t="shared" ref="AJ2073:AK2073" si="2169">IF($J2073&lt;&gt;"",$J2073,IF($AC2073=$AC2072,AJ2072,""))</f>
        <v>o</v>
      </c>
      <c r="AK2073" t="str">
        <f t="shared" si="2169"/>
        <v>o</v>
      </c>
      <c r="AL2073" t="str">
        <f t="shared" si="2127"/>
        <v>o</v>
      </c>
      <c r="AN2073" t="s">
        <v>861</v>
      </c>
      <c r="AO2073" t="str">
        <f t="shared" si="2128"/>
        <v>h</v>
      </c>
      <c r="AP2073" t="str">
        <f t="shared" si="2136"/>
        <v>o</v>
      </c>
      <c r="AQ2073" t="str">
        <f t="shared" si="2137"/>
        <v/>
      </c>
      <c r="AR2073" t="str">
        <f t="shared" si="2138"/>
        <v>Home</v>
      </c>
      <c r="AS2073" t="str">
        <f t="shared" si="2139"/>
        <v>h</v>
      </c>
      <c r="AT2073" t="str">
        <f t="shared" si="2140"/>
        <v>Defensive</v>
      </c>
      <c r="BA2073" s="6">
        <f t="shared" si="2129"/>
        <v>475</v>
      </c>
      <c r="BB2073">
        <f t="shared" si="2130"/>
        <v>18981</v>
      </c>
      <c r="BC2073" t="str">
        <f t="shared" si="2131"/>
        <v>Nelson</v>
      </c>
      <c r="BD2073" t="str">
        <f t="shared" si="2132"/>
        <v>Velodrome</v>
      </c>
      <c r="BE2073" t="s">
        <v>238</v>
      </c>
      <c r="BF2073" t="s">
        <v>174</v>
      </c>
      <c r="BG2073" t="s">
        <v>85</v>
      </c>
      <c r="BI2073" cm="1">
        <f t="array" ref="BI2073">IFERROR(_xlfn._xlws.FILTER(shifts!A:A,(shifts!B:B=events!AD2073)*(shifts!AG:AG&gt;=events!BK2073)*(shifts!AH:AH&lt;=events!BL2073)),BI2072)</f>
        <v>90</v>
      </c>
      <c r="BJ2073" s="15">
        <f t="shared" si="2133"/>
        <v>1</v>
      </c>
      <c r="BK2073">
        <f t="shared" si="2141"/>
        <v>509</v>
      </c>
      <c r="BL2073">
        <f t="shared" si="2142"/>
        <v>508</v>
      </c>
      <c r="BM2073" s="15">
        <f>SUMIFS(BJ$2:BJ2073,K$2:K2073,"=Intermission")+SUMIFS(BJ$2:BJ2073,K$2:K2073,"=Timeout")</f>
        <v>142</v>
      </c>
      <c r="BN2073">
        <f t="shared" si="2143"/>
        <v>2302</v>
      </c>
      <c r="BO2073" s="19">
        <f t="shared" si="2144"/>
        <v>2873</v>
      </c>
      <c r="BP2073">
        <f t="shared" si="2145"/>
        <v>2868</v>
      </c>
      <c r="BQ2073" s="17">
        <f t="shared" si="2146"/>
        <v>2874</v>
      </c>
      <c r="BR2073" t="str">
        <f t="shared" si="2147"/>
        <v>opp_team_player_2</v>
      </c>
      <c r="BS2073">
        <f>COUNTIFS(S$3:S2073,"="&amp;S2073,AI$3:AI2073,"="&amp;AI2073)</f>
        <v>2</v>
      </c>
      <c r="BT2073" t="str">
        <f>IFERROR(VLOOKUP(BB2073&amp;BU2073&amp;X2073,game_rosters!U:W,3,FALSE),"")</f>
        <v>P100001</v>
      </c>
      <c r="BU2073" t="str">
        <f t="shared" si="2148"/>
        <v>Velodrome</v>
      </c>
    </row>
    <row r="2074" spans="1:73" x14ac:dyDescent="0.2">
      <c r="A2074">
        <f t="shared" si="2134"/>
        <v>1</v>
      </c>
      <c r="J2074" s="44" t="str">
        <f t="shared" si="2149"/>
        <v/>
      </c>
      <c r="K2074" t="s">
        <v>230</v>
      </c>
      <c r="L2074" t="s">
        <v>389</v>
      </c>
      <c r="M2074" t="s">
        <v>432</v>
      </c>
      <c r="S2074">
        <v>1096</v>
      </c>
      <c r="W2074" t="str">
        <f t="shared" si="2125"/>
        <v>a</v>
      </c>
      <c r="X2074">
        <v>22</v>
      </c>
      <c r="Y2074" t="e">
        <f>IF(X2074&lt;&gt;"",VLOOKUP(X2074,game_rosters!$C$43:$E$64,3,FALSE))</f>
        <v>#N/A</v>
      </c>
      <c r="Z2074" cm="1">
        <f t="array" ref="Z2074">IFERROR(IF(_xlfn._xlws.FILTER(game_rosters!$J:$J,(game_rosters!$G:$G=events!$AN2074)*(game_rosters!$J:$J=events!$X2074))&gt;0,1,""),"")</f>
        <v>1</v>
      </c>
      <c r="AA2074">
        <f t="shared" si="2083"/>
        <v>2096</v>
      </c>
      <c r="AB2074" t="str">
        <f t="shared" si="2084"/>
        <v/>
      </c>
      <c r="AC2074">
        <f t="shared" si="2122"/>
        <v>2096</v>
      </c>
      <c r="AD2074" s="6">
        <v>3</v>
      </c>
      <c r="AE2074" t="s">
        <v>936</v>
      </c>
      <c r="AF2074" t="s">
        <v>930</v>
      </c>
      <c r="AG2074" t="s">
        <v>756</v>
      </c>
      <c r="AH2074" t="s">
        <v>756</v>
      </c>
      <c r="AI2074" t="s">
        <v>367</v>
      </c>
      <c r="AJ2074" t="str">
        <f t="shared" ref="AJ2074:AK2074" si="2170">IF($J2074&lt;&gt;"",$J2074,IF($AC2074=$AC2073,AJ2073,""))</f>
        <v/>
      </c>
      <c r="AK2074" t="str">
        <f t="shared" si="2170"/>
        <v/>
      </c>
      <c r="AL2074" t="str">
        <f t="shared" si="2127"/>
        <v/>
      </c>
      <c r="AN2074" t="s">
        <v>862</v>
      </c>
      <c r="AO2074" t="str">
        <f t="shared" si="2128"/>
        <v>a</v>
      </c>
      <c r="AP2074" t="str">
        <f t="shared" si="2136"/>
        <v/>
      </c>
      <c r="AQ2074" t="str">
        <f t="shared" si="2137"/>
        <v/>
      </c>
      <c r="AR2074" t="str">
        <f t="shared" si="2138"/>
        <v>Away</v>
      </c>
      <c r="AS2074" t="str">
        <f t="shared" si="2139"/>
        <v>a</v>
      </c>
      <c r="AT2074" t="str">
        <f t="shared" si="2140"/>
        <v>Defensive</v>
      </c>
      <c r="BA2074" s="6">
        <f t="shared" si="2129"/>
        <v>475</v>
      </c>
      <c r="BB2074">
        <f t="shared" si="2130"/>
        <v>18981</v>
      </c>
      <c r="BC2074" t="str">
        <f t="shared" si="2131"/>
        <v>Nelson</v>
      </c>
      <c r="BD2074" t="str">
        <f t="shared" si="2132"/>
        <v>Velodrome</v>
      </c>
      <c r="BE2074" t="s">
        <v>230</v>
      </c>
      <c r="BF2074" t="s">
        <v>389</v>
      </c>
      <c r="BG2074" t="s">
        <v>432</v>
      </c>
      <c r="BI2074" cm="1">
        <f t="array" ref="BI2074">IFERROR(_xlfn._xlws.FILTER(shifts!A:A,(shifts!B:B=events!AD2074)*(shifts!AG:AG&gt;=events!BK2074)*(shifts!AH:AH&lt;=events!BL2074)),BI2073)</f>
        <v>90</v>
      </c>
      <c r="BJ2074" s="15">
        <f t="shared" si="2133"/>
        <v>0</v>
      </c>
      <c r="BK2074">
        <f t="shared" si="2141"/>
        <v>508</v>
      </c>
      <c r="BL2074">
        <f t="shared" si="2142"/>
        <v>508</v>
      </c>
      <c r="BM2074" s="15">
        <f>SUMIFS(BJ$2:BJ2074,K$2:K2074,"=Intermission")+SUMIFS(BJ$2:BJ2074,K$2:K2074,"=Timeout")</f>
        <v>142</v>
      </c>
      <c r="BN2074">
        <f t="shared" si="2143"/>
        <v>2302</v>
      </c>
      <c r="BO2074" s="19">
        <f t="shared" si="2144"/>
        <v>2874</v>
      </c>
      <c r="BP2074">
        <f t="shared" si="2145"/>
        <v>2869</v>
      </c>
      <c r="BQ2074" s="17">
        <f t="shared" si="2146"/>
        <v>2874</v>
      </c>
      <c r="BR2074" t="str">
        <f t="shared" si="2147"/>
        <v>event_team_player_1</v>
      </c>
      <c r="BS2074">
        <f>COUNTIFS(S$3:S2074,"="&amp;S2074,AI$3:AI2074,"="&amp;AI2074)</f>
        <v>1</v>
      </c>
      <c r="BT2074" t="str">
        <f>IFERROR(VLOOKUP(BB2074&amp;BU2074&amp;X2074,game_rosters!U:W,3,FALSE),"")</f>
        <v>P100108</v>
      </c>
      <c r="BU2074" t="str">
        <f t="shared" si="2148"/>
        <v>Velodrome</v>
      </c>
    </row>
    <row r="2075" spans="1:73" x14ac:dyDescent="0.2">
      <c r="A2075">
        <f t="shared" si="2134"/>
        <v>1</v>
      </c>
      <c r="J2075" s="44" t="str">
        <f t="shared" si="2149"/>
        <v/>
      </c>
      <c r="K2075" t="s">
        <v>230</v>
      </c>
      <c r="L2075" t="s">
        <v>389</v>
      </c>
      <c r="M2075" t="s">
        <v>432</v>
      </c>
      <c r="S2075">
        <v>1096</v>
      </c>
      <c r="W2075" t="str">
        <f t="shared" si="2125"/>
        <v>a</v>
      </c>
      <c r="X2075">
        <v>44</v>
      </c>
      <c r="Y2075" t="b">
        <f>IF(X2075&lt;&gt;"",VLOOKUP(X2075,game_rosters!$C$43:$E$64,3,FALSE))</f>
        <v>0</v>
      </c>
      <c r="Z2075" t="str" cm="1">
        <f t="array" ref="Z2075">IFERROR(IF(_xlfn._xlws.FILTER(game_rosters!$J:$J,(game_rosters!$G:$G=events!$AN2075)*(game_rosters!$J:$J=events!$X2075))&gt;0,1,""),"")</f>
        <v/>
      </c>
      <c r="AA2075">
        <f t="shared" si="2083"/>
        <v>2096</v>
      </c>
      <c r="AB2075" t="str">
        <f t="shared" si="2084"/>
        <v/>
      </c>
      <c r="AC2075">
        <f t="shared" si="2122"/>
        <v>2096</v>
      </c>
      <c r="AD2075" s="6">
        <v>3</v>
      </c>
      <c r="AE2075" t="s">
        <v>936</v>
      </c>
      <c r="AF2075" t="s">
        <v>930</v>
      </c>
      <c r="AG2075" t="s">
        <v>756</v>
      </c>
      <c r="AH2075" t="s">
        <v>756</v>
      </c>
      <c r="AI2075" t="s">
        <v>368</v>
      </c>
      <c r="AJ2075" t="str">
        <f t="shared" ref="AJ2075:AK2075" si="2171">IF($J2075&lt;&gt;"",$J2075,IF($AC2075=$AC2074,AJ2074,""))</f>
        <v/>
      </c>
      <c r="AK2075" t="str">
        <f t="shared" si="2171"/>
        <v/>
      </c>
      <c r="AL2075" t="str">
        <f t="shared" si="2127"/>
        <v/>
      </c>
      <c r="AN2075" t="s">
        <v>862</v>
      </c>
      <c r="AO2075" t="str">
        <f t="shared" si="2128"/>
        <v>a</v>
      </c>
      <c r="AP2075" t="str">
        <f t="shared" si="2136"/>
        <v/>
      </c>
      <c r="AQ2075" t="str">
        <f t="shared" si="2137"/>
        <v/>
      </c>
      <c r="AR2075" t="str">
        <f t="shared" si="2138"/>
        <v>Away</v>
      </c>
      <c r="AS2075" t="str">
        <f t="shared" si="2139"/>
        <v>a</v>
      </c>
      <c r="AT2075" t="str">
        <f t="shared" si="2140"/>
        <v>Offensive</v>
      </c>
      <c r="BA2075" s="6">
        <f t="shared" si="2129"/>
        <v>475</v>
      </c>
      <c r="BB2075">
        <f t="shared" si="2130"/>
        <v>18981</v>
      </c>
      <c r="BC2075" t="str">
        <f t="shared" si="2131"/>
        <v>Nelson</v>
      </c>
      <c r="BD2075" t="str">
        <f t="shared" si="2132"/>
        <v>Velodrome</v>
      </c>
      <c r="BE2075" t="s">
        <v>230</v>
      </c>
      <c r="BF2075" t="s">
        <v>389</v>
      </c>
      <c r="BG2075" t="s">
        <v>432</v>
      </c>
      <c r="BI2075" cm="1">
        <f t="array" ref="BI2075">IFERROR(_xlfn._xlws.FILTER(shifts!A:A,(shifts!B:B=events!AD2075)*(shifts!AG:AG&gt;=events!BK2075)*(shifts!AH:AH&lt;=events!BL2075)),BI2074)</f>
        <v>90</v>
      </c>
      <c r="BJ2075" s="15">
        <f t="shared" si="2133"/>
        <v>0</v>
      </c>
      <c r="BK2075">
        <f t="shared" si="2141"/>
        <v>508</v>
      </c>
      <c r="BL2075">
        <f t="shared" si="2142"/>
        <v>508</v>
      </c>
      <c r="BM2075" s="15">
        <f>SUMIFS(BJ$2:BJ2075,K$2:K2075,"=Intermission")+SUMIFS(BJ$2:BJ2075,K$2:K2075,"=Timeout")</f>
        <v>142</v>
      </c>
      <c r="BN2075">
        <f t="shared" si="2143"/>
        <v>2302</v>
      </c>
      <c r="BO2075" s="19">
        <f t="shared" si="2144"/>
        <v>2874</v>
      </c>
      <c r="BP2075">
        <f t="shared" si="2145"/>
        <v>2869</v>
      </c>
      <c r="BQ2075" s="17">
        <f t="shared" si="2146"/>
        <v>2874</v>
      </c>
      <c r="BR2075" t="str">
        <f t="shared" si="2147"/>
        <v>opp_team_player_1</v>
      </c>
      <c r="BS2075">
        <f>COUNTIFS(S$3:S2075,"="&amp;S2075,AI$3:AI2075,"="&amp;AI2075)</f>
        <v>1</v>
      </c>
      <c r="BT2075" t="str">
        <f>IFERROR(VLOOKUP(BB2075&amp;BU2075&amp;X2075,game_rosters!U:W,3,FALSE),"")</f>
        <v>P100079</v>
      </c>
      <c r="BU2075" t="str">
        <f t="shared" si="2148"/>
        <v>Nelson</v>
      </c>
    </row>
    <row r="2076" spans="1:73" x14ac:dyDescent="0.2">
      <c r="A2076">
        <f t="shared" si="2134"/>
        <v>1</v>
      </c>
      <c r="J2076" s="44" t="str">
        <f t="shared" si="2149"/>
        <v/>
      </c>
      <c r="K2076" t="s">
        <v>13</v>
      </c>
      <c r="L2076" t="s">
        <v>756</v>
      </c>
      <c r="M2076" t="s">
        <v>756</v>
      </c>
      <c r="S2076">
        <v>1097</v>
      </c>
      <c r="W2076" t="str">
        <f t="shared" si="2125"/>
        <v>h</v>
      </c>
      <c r="X2076">
        <v>44</v>
      </c>
      <c r="Y2076" t="b">
        <f>IF(X2076&lt;&gt;"",VLOOKUP(X2076,game_rosters!$C$43:$E$64,3,FALSE))</f>
        <v>0</v>
      </c>
      <c r="Z2076" cm="1">
        <f t="array" ref="Z2076">IFERROR(IF(_xlfn._xlws.FILTER(game_rosters!$J:$J,(game_rosters!$G:$G=events!$AN2076)*(game_rosters!$J:$J=events!$X2076))&gt;0,1,""),"")</f>
        <v>1</v>
      </c>
      <c r="AA2076">
        <f t="shared" si="2083"/>
        <v>2097</v>
      </c>
      <c r="AB2076" t="str">
        <f t="shared" si="2084"/>
        <v/>
      </c>
      <c r="AC2076">
        <f t="shared" si="2122"/>
        <v>2097</v>
      </c>
      <c r="AD2076" s="6">
        <v>3</v>
      </c>
      <c r="AE2076" t="s">
        <v>936</v>
      </c>
      <c r="AF2076" t="s">
        <v>740</v>
      </c>
      <c r="AG2076" t="s">
        <v>936</v>
      </c>
      <c r="AH2076" t="s">
        <v>917</v>
      </c>
      <c r="AI2076" t="s">
        <v>367</v>
      </c>
      <c r="AJ2076" t="str">
        <f t="shared" ref="AJ2076:AK2076" si="2172">IF($J2076&lt;&gt;"",$J2076,IF($AC2076=$AC2075,AJ2075,""))</f>
        <v/>
      </c>
      <c r="AK2076" t="str">
        <f t="shared" si="2172"/>
        <v/>
      </c>
      <c r="AL2076" t="str">
        <f t="shared" si="2127"/>
        <v/>
      </c>
      <c r="AN2076" t="s">
        <v>861</v>
      </c>
      <c r="AO2076" t="str">
        <f t="shared" si="2128"/>
        <v>h</v>
      </c>
      <c r="AP2076" t="str">
        <f t="shared" si="2136"/>
        <v/>
      </c>
      <c r="AQ2076" t="str">
        <f t="shared" si="2137"/>
        <v/>
      </c>
      <c r="AR2076" t="str">
        <f t="shared" si="2138"/>
        <v>Home</v>
      </c>
      <c r="AS2076" t="str">
        <f t="shared" si="2139"/>
        <v>h</v>
      </c>
      <c r="AT2076" t="str">
        <f t="shared" si="2140"/>
        <v>Offensive</v>
      </c>
      <c r="BA2076" s="6">
        <f t="shared" si="2129"/>
        <v>475</v>
      </c>
      <c r="BB2076">
        <f t="shared" si="2130"/>
        <v>18981</v>
      </c>
      <c r="BC2076" t="str">
        <f t="shared" si="2131"/>
        <v>Nelson</v>
      </c>
      <c r="BD2076" t="str">
        <f t="shared" si="2132"/>
        <v>Velodrome</v>
      </c>
      <c r="BE2076" t="s">
        <v>13</v>
      </c>
      <c r="BF2076" t="s">
        <v>756</v>
      </c>
      <c r="BG2076" t="s">
        <v>756</v>
      </c>
      <c r="BI2076" cm="1">
        <f t="array" ref="BI2076">IFERROR(_xlfn._xlws.FILTER(shifts!A:A,(shifts!B:B=events!AD2076)*(shifts!AG:AG&gt;=events!BK2076)*(shifts!AH:AH&lt;=events!BL2076)),BI2075)</f>
        <v>90</v>
      </c>
      <c r="BJ2076" s="15">
        <f t="shared" si="2133"/>
        <v>2</v>
      </c>
      <c r="BK2076">
        <f t="shared" si="2141"/>
        <v>505</v>
      </c>
      <c r="BL2076">
        <f t="shared" si="2142"/>
        <v>503</v>
      </c>
      <c r="BM2076" s="15">
        <f>SUMIFS(BJ$2:BJ2076,K$2:K2076,"=Intermission")+SUMIFS(BJ$2:BJ2076,K$2:K2076,"=Timeout")</f>
        <v>142</v>
      </c>
      <c r="BN2076">
        <f t="shared" si="2143"/>
        <v>2302</v>
      </c>
      <c r="BO2076" s="19">
        <f t="shared" si="2144"/>
        <v>2877</v>
      </c>
      <c r="BP2076">
        <f t="shared" si="2145"/>
        <v>2872</v>
      </c>
      <c r="BQ2076" s="17">
        <f t="shared" si="2146"/>
        <v>2879</v>
      </c>
      <c r="BR2076" t="str">
        <f t="shared" si="2147"/>
        <v>event_team_player_1</v>
      </c>
      <c r="BS2076">
        <f>COUNTIFS(S$3:S2076,"="&amp;S2076,AI$3:AI2076,"="&amp;AI2076)</f>
        <v>1</v>
      </c>
      <c r="BT2076" t="str">
        <f>IFERROR(VLOOKUP(BB2076&amp;BU2076&amp;X2076,game_rosters!U:W,3,FALSE),"")</f>
        <v>P100079</v>
      </c>
      <c r="BU2076" t="str">
        <f t="shared" si="2148"/>
        <v>Nelson</v>
      </c>
    </row>
    <row r="2077" spans="1:73" x14ac:dyDescent="0.2">
      <c r="A2077">
        <f t="shared" si="2134"/>
        <v>1</v>
      </c>
      <c r="J2077" s="44" t="str">
        <f t="shared" si="2149"/>
        <v/>
      </c>
      <c r="K2077" t="s">
        <v>13</v>
      </c>
      <c r="L2077" t="s">
        <v>756</v>
      </c>
      <c r="M2077" t="s">
        <v>756</v>
      </c>
      <c r="S2077">
        <v>1097</v>
      </c>
      <c r="W2077" t="str">
        <f t="shared" si="2125"/>
        <v>h</v>
      </c>
      <c r="X2077">
        <v>22</v>
      </c>
      <c r="Y2077" t="e">
        <f>IF(X2077&lt;&gt;"",VLOOKUP(X2077,game_rosters!$C$43:$E$64,3,FALSE))</f>
        <v>#N/A</v>
      </c>
      <c r="Z2077" t="str" cm="1">
        <f t="array" ref="Z2077">IFERROR(IF(_xlfn._xlws.FILTER(game_rosters!$J:$J,(game_rosters!$G:$G=events!$AN2077)*(game_rosters!$J:$J=events!$X2077))&gt;0,1,""),"")</f>
        <v/>
      </c>
      <c r="AA2077">
        <f t="shared" ref="AA2077:AA2140" si="2173">S2077+1000</f>
        <v>2097</v>
      </c>
      <c r="AB2077" t="str">
        <f t="shared" ref="AB2077:AB2140" si="2174">IF(T2077&lt;&gt;"",9000+T2077,"")</f>
        <v/>
      </c>
      <c r="AC2077">
        <f t="shared" si="2122"/>
        <v>2097</v>
      </c>
      <c r="AD2077" s="6">
        <v>3</v>
      </c>
      <c r="AE2077" t="s">
        <v>936</v>
      </c>
      <c r="AF2077" t="s">
        <v>740</v>
      </c>
      <c r="AG2077" t="s">
        <v>936</v>
      </c>
      <c r="AH2077" t="s">
        <v>917</v>
      </c>
      <c r="AI2077" t="s">
        <v>368</v>
      </c>
      <c r="AJ2077" t="str">
        <f t="shared" ref="AJ2077:AK2077" si="2175">IF($J2077&lt;&gt;"",$J2077,IF($AC2077=$AC2076,AJ2076,""))</f>
        <v/>
      </c>
      <c r="AK2077" t="str">
        <f t="shared" si="2175"/>
        <v/>
      </c>
      <c r="AL2077" t="str">
        <f t="shared" si="2127"/>
        <v/>
      </c>
      <c r="AN2077" t="s">
        <v>861</v>
      </c>
      <c r="AO2077" t="str">
        <f t="shared" si="2128"/>
        <v>h</v>
      </c>
      <c r="AP2077" t="str">
        <f t="shared" si="2136"/>
        <v/>
      </c>
      <c r="AQ2077" t="str">
        <f t="shared" si="2137"/>
        <v/>
      </c>
      <c r="AR2077" t="str">
        <f t="shared" si="2138"/>
        <v>Home</v>
      </c>
      <c r="AS2077" t="str">
        <f t="shared" si="2139"/>
        <v>h</v>
      </c>
      <c r="AT2077" t="str">
        <f t="shared" si="2140"/>
        <v>Defensive</v>
      </c>
      <c r="BA2077" s="6">
        <f t="shared" si="2129"/>
        <v>475</v>
      </c>
      <c r="BB2077">
        <f t="shared" si="2130"/>
        <v>18981</v>
      </c>
      <c r="BC2077" t="str">
        <f t="shared" si="2131"/>
        <v>Nelson</v>
      </c>
      <c r="BD2077" t="str">
        <f t="shared" si="2132"/>
        <v>Velodrome</v>
      </c>
      <c r="BE2077" t="s">
        <v>13</v>
      </c>
      <c r="BF2077" t="s">
        <v>756</v>
      </c>
      <c r="BG2077" t="s">
        <v>756</v>
      </c>
      <c r="BI2077" cm="1">
        <f t="array" ref="BI2077">IFERROR(_xlfn._xlws.FILTER(shifts!A:A,(shifts!B:B=events!AD2077)*(shifts!AG:AG&gt;=events!BK2077)*(shifts!AH:AH&lt;=events!BL2077)),BI2076)</f>
        <v>90</v>
      </c>
      <c r="BJ2077" s="15">
        <f t="shared" si="2133"/>
        <v>2</v>
      </c>
      <c r="BK2077">
        <f t="shared" si="2141"/>
        <v>505</v>
      </c>
      <c r="BL2077">
        <f t="shared" si="2142"/>
        <v>503</v>
      </c>
      <c r="BM2077" s="15">
        <f>SUMIFS(BJ$2:BJ2077,K$2:K2077,"=Intermission")+SUMIFS(BJ$2:BJ2077,K$2:K2077,"=Timeout")</f>
        <v>142</v>
      </c>
      <c r="BN2077">
        <f t="shared" si="2143"/>
        <v>2302</v>
      </c>
      <c r="BO2077" s="19">
        <f t="shared" si="2144"/>
        <v>2877</v>
      </c>
      <c r="BP2077">
        <f t="shared" si="2145"/>
        <v>2872</v>
      </c>
      <c r="BQ2077" s="17">
        <f t="shared" si="2146"/>
        <v>2879</v>
      </c>
      <c r="BR2077" t="str">
        <f t="shared" si="2147"/>
        <v>opp_team_player_1</v>
      </c>
      <c r="BS2077">
        <f>COUNTIFS(S$3:S2077,"="&amp;S2077,AI$3:AI2077,"="&amp;AI2077)</f>
        <v>1</v>
      </c>
      <c r="BT2077" t="str">
        <f>IFERROR(VLOOKUP(BB2077&amp;BU2077&amp;X2077,game_rosters!U:W,3,FALSE),"")</f>
        <v>P100108</v>
      </c>
      <c r="BU2077" t="str">
        <f t="shared" si="2148"/>
        <v>Velodrome</v>
      </c>
    </row>
    <row r="2078" spans="1:73" x14ac:dyDescent="0.2">
      <c r="A2078">
        <f t="shared" si="2134"/>
        <v>1</v>
      </c>
      <c r="J2078" s="44" t="str">
        <f t="shared" si="2149"/>
        <v/>
      </c>
      <c r="K2078" t="s">
        <v>13</v>
      </c>
      <c r="L2078" t="s">
        <v>756</v>
      </c>
      <c r="M2078" t="s">
        <v>756</v>
      </c>
      <c r="S2078">
        <v>1097</v>
      </c>
      <c r="W2078" t="str">
        <f t="shared" si="2125"/>
        <v>h</v>
      </c>
      <c r="X2078">
        <v>75</v>
      </c>
      <c r="Y2078" t="e">
        <f>IF(X2078&lt;&gt;"",VLOOKUP(X2078,game_rosters!$C$43:$E$64,3,FALSE))</f>
        <v>#N/A</v>
      </c>
      <c r="Z2078" t="str" cm="1">
        <f t="array" ref="Z2078">IFERROR(IF(_xlfn._xlws.FILTER(game_rosters!$J:$J,(game_rosters!$G:$G=events!$AN2078)*(game_rosters!$J:$J=events!$X2078))&gt;0,1,""),"")</f>
        <v/>
      </c>
      <c r="AA2078">
        <f t="shared" si="2173"/>
        <v>2097</v>
      </c>
      <c r="AB2078" t="str">
        <f t="shared" si="2174"/>
        <v/>
      </c>
      <c r="AC2078">
        <f t="shared" si="2122"/>
        <v>2097</v>
      </c>
      <c r="AD2078" s="6">
        <v>3</v>
      </c>
      <c r="AE2078" t="s">
        <v>936</v>
      </c>
      <c r="AF2078" t="s">
        <v>740</v>
      </c>
      <c r="AG2078" t="s">
        <v>936</v>
      </c>
      <c r="AH2078" t="s">
        <v>917</v>
      </c>
      <c r="AI2078" t="s">
        <v>368</v>
      </c>
      <c r="AJ2078" t="str">
        <f t="shared" ref="AJ2078:AK2078" si="2176">IF($J2078&lt;&gt;"",$J2078,IF($AC2078=$AC2077,AJ2077,""))</f>
        <v/>
      </c>
      <c r="AK2078" t="str">
        <f t="shared" si="2176"/>
        <v/>
      </c>
      <c r="AL2078" t="str">
        <f t="shared" si="2127"/>
        <v/>
      </c>
      <c r="AN2078" t="s">
        <v>861</v>
      </c>
      <c r="AO2078" t="str">
        <f t="shared" si="2128"/>
        <v>h</v>
      </c>
      <c r="AP2078" t="str">
        <f t="shared" si="2136"/>
        <v/>
      </c>
      <c r="AQ2078" t="str">
        <f t="shared" si="2137"/>
        <v/>
      </c>
      <c r="AR2078" t="str">
        <f t="shared" si="2138"/>
        <v>Home</v>
      </c>
      <c r="AS2078" t="str">
        <f t="shared" si="2139"/>
        <v>h</v>
      </c>
      <c r="AT2078" t="str">
        <f t="shared" si="2140"/>
        <v>Defensive</v>
      </c>
      <c r="BA2078" s="6">
        <f t="shared" si="2129"/>
        <v>475</v>
      </c>
      <c r="BB2078">
        <f t="shared" si="2130"/>
        <v>18981</v>
      </c>
      <c r="BC2078" t="str">
        <f t="shared" si="2131"/>
        <v>Nelson</v>
      </c>
      <c r="BD2078" t="str">
        <f t="shared" si="2132"/>
        <v>Velodrome</v>
      </c>
      <c r="BE2078" t="s">
        <v>13</v>
      </c>
      <c r="BF2078" t="s">
        <v>756</v>
      </c>
      <c r="BG2078" t="s">
        <v>756</v>
      </c>
      <c r="BI2078" cm="1">
        <f t="array" ref="BI2078">IFERROR(_xlfn._xlws.FILTER(shifts!A:A,(shifts!B:B=events!AD2078)*(shifts!AG:AG&gt;=events!BK2078)*(shifts!AH:AH&lt;=events!BL2078)),BI2077)</f>
        <v>90</v>
      </c>
      <c r="BJ2078" s="15">
        <f t="shared" si="2133"/>
        <v>2</v>
      </c>
      <c r="BK2078">
        <f t="shared" si="2141"/>
        <v>505</v>
      </c>
      <c r="BL2078">
        <f t="shared" si="2142"/>
        <v>503</v>
      </c>
      <c r="BM2078" s="15">
        <f>SUMIFS(BJ$2:BJ2078,K$2:K2078,"=Intermission")+SUMIFS(BJ$2:BJ2078,K$2:K2078,"=Timeout")</f>
        <v>142</v>
      </c>
      <c r="BN2078">
        <f t="shared" si="2143"/>
        <v>2302</v>
      </c>
      <c r="BO2078" s="19">
        <f t="shared" si="2144"/>
        <v>2877</v>
      </c>
      <c r="BP2078">
        <f t="shared" si="2145"/>
        <v>2872</v>
      </c>
      <c r="BQ2078" s="17">
        <f t="shared" si="2146"/>
        <v>2879</v>
      </c>
      <c r="BR2078" t="str">
        <f t="shared" si="2147"/>
        <v>opp_team_player_2</v>
      </c>
      <c r="BS2078">
        <f>COUNTIFS(S$3:S2078,"="&amp;S2078,AI$3:AI2078,"="&amp;AI2078)</f>
        <v>2</v>
      </c>
      <c r="BT2078" t="str">
        <f>IFERROR(VLOOKUP(BB2078&amp;BU2078&amp;X2078,game_rosters!U:W,3,FALSE),"")</f>
        <v>P100039</v>
      </c>
      <c r="BU2078" t="str">
        <f t="shared" si="2148"/>
        <v>Velodrome</v>
      </c>
    </row>
    <row r="2079" spans="1:73" x14ac:dyDescent="0.2">
      <c r="A2079">
        <f t="shared" si="2134"/>
        <v>1</v>
      </c>
      <c r="J2079" s="44" t="str">
        <f t="shared" si="2149"/>
        <v/>
      </c>
      <c r="K2079" t="s">
        <v>7</v>
      </c>
      <c r="L2079" t="s">
        <v>172</v>
      </c>
      <c r="M2079" t="s">
        <v>68</v>
      </c>
      <c r="S2079">
        <v>1098</v>
      </c>
      <c r="W2079" t="str">
        <f t="shared" si="2125"/>
        <v>h</v>
      </c>
      <c r="X2079">
        <v>44</v>
      </c>
      <c r="Y2079" t="b">
        <f>IF(X2079&lt;&gt;"",VLOOKUP(X2079,game_rosters!$C$43:$E$64,3,FALSE))</f>
        <v>0</v>
      </c>
      <c r="Z2079" cm="1">
        <f t="array" ref="Z2079">IFERROR(IF(_xlfn._xlws.FILTER(game_rosters!$J:$J,(game_rosters!$G:$G=events!$AN2079)*(game_rosters!$J:$J=events!$X2079))&gt;0,1,""),"")</f>
        <v>1</v>
      </c>
      <c r="AA2079">
        <f t="shared" si="2173"/>
        <v>2098</v>
      </c>
      <c r="AB2079" t="str">
        <f t="shared" si="2174"/>
        <v/>
      </c>
      <c r="AC2079">
        <f t="shared" si="2122"/>
        <v>2098</v>
      </c>
      <c r="AD2079" s="6">
        <v>3</v>
      </c>
      <c r="AE2079" t="s">
        <v>936</v>
      </c>
      <c r="AF2079" t="s">
        <v>917</v>
      </c>
      <c r="AG2079" t="s">
        <v>756</v>
      </c>
      <c r="AH2079" t="s">
        <v>756</v>
      </c>
      <c r="AI2079" t="s">
        <v>367</v>
      </c>
      <c r="AJ2079" t="str">
        <f t="shared" ref="AJ2079:AK2079" si="2177">IF($J2079&lt;&gt;"",$J2079,IF($AC2079=$AC2078,AJ2078,""))</f>
        <v/>
      </c>
      <c r="AK2079" t="str">
        <f t="shared" si="2177"/>
        <v/>
      </c>
      <c r="AL2079" t="str">
        <f t="shared" si="2127"/>
        <v/>
      </c>
      <c r="AN2079" t="s">
        <v>861</v>
      </c>
      <c r="AO2079" t="str">
        <f t="shared" si="2128"/>
        <v>h</v>
      </c>
      <c r="AP2079" t="str">
        <f t="shared" si="2136"/>
        <v/>
      </c>
      <c r="AQ2079" t="str">
        <f t="shared" si="2137"/>
        <v/>
      </c>
      <c r="AR2079" t="str">
        <f t="shared" si="2138"/>
        <v>Home</v>
      </c>
      <c r="AS2079" t="str">
        <f t="shared" si="2139"/>
        <v>h</v>
      </c>
      <c r="AT2079" t="str">
        <f t="shared" si="2140"/>
        <v>Offensive</v>
      </c>
      <c r="BA2079" s="6">
        <f t="shared" si="2129"/>
        <v>475</v>
      </c>
      <c r="BB2079">
        <f t="shared" si="2130"/>
        <v>18981</v>
      </c>
      <c r="BC2079" t="str">
        <f t="shared" si="2131"/>
        <v>Nelson</v>
      </c>
      <c r="BD2079" t="str">
        <f t="shared" si="2132"/>
        <v>Velodrome</v>
      </c>
      <c r="BE2079" t="s">
        <v>7</v>
      </c>
      <c r="BF2079" t="s">
        <v>172</v>
      </c>
      <c r="BG2079" t="s">
        <v>68</v>
      </c>
      <c r="BI2079" cm="1">
        <f t="array" ref="BI2079">IFERROR(_xlfn._xlws.FILTER(shifts!A:A,(shifts!B:B=events!AD2079)*(shifts!AG:AG&gt;=events!BK2079)*(shifts!AH:AH&lt;=events!BL2079)),BI2078)</f>
        <v>90</v>
      </c>
      <c r="BJ2079" s="15">
        <f t="shared" si="2133"/>
        <v>0</v>
      </c>
      <c r="BK2079">
        <f t="shared" si="2141"/>
        <v>503</v>
      </c>
      <c r="BL2079">
        <f t="shared" si="2142"/>
        <v>503</v>
      </c>
      <c r="BM2079" s="15">
        <f>SUMIFS(BJ$2:BJ2079,K$2:K2079,"=Intermission")+SUMIFS(BJ$2:BJ2079,K$2:K2079,"=Timeout")</f>
        <v>142</v>
      </c>
      <c r="BN2079">
        <f t="shared" si="2143"/>
        <v>2302</v>
      </c>
      <c r="BO2079" s="19">
        <f t="shared" si="2144"/>
        <v>2879</v>
      </c>
      <c r="BP2079">
        <f t="shared" si="2145"/>
        <v>2874</v>
      </c>
      <c r="BQ2079" s="17">
        <f t="shared" si="2146"/>
        <v>2879</v>
      </c>
      <c r="BR2079" t="str">
        <f t="shared" si="2147"/>
        <v>event_team_player_1</v>
      </c>
      <c r="BS2079">
        <f>COUNTIFS(S$3:S2079,"="&amp;S2079,AI$3:AI2079,"="&amp;AI2079)</f>
        <v>1</v>
      </c>
      <c r="BT2079" t="str">
        <f>IFERROR(VLOOKUP(BB2079&amp;BU2079&amp;X2079,game_rosters!U:W,3,FALSE),"")</f>
        <v>P100079</v>
      </c>
      <c r="BU2079" t="str">
        <f t="shared" si="2148"/>
        <v>Nelson</v>
      </c>
    </row>
    <row r="2080" spans="1:73" x14ac:dyDescent="0.2">
      <c r="A2080">
        <f t="shared" si="2134"/>
        <v>1</v>
      </c>
      <c r="J2080" s="44" t="str">
        <f t="shared" si="2149"/>
        <v/>
      </c>
      <c r="K2080" t="s">
        <v>7</v>
      </c>
      <c r="L2080" t="s">
        <v>172</v>
      </c>
      <c r="M2080" t="s">
        <v>68</v>
      </c>
      <c r="S2080">
        <v>1098</v>
      </c>
      <c r="W2080" t="str">
        <f t="shared" si="2125"/>
        <v>h</v>
      </c>
      <c r="X2080">
        <v>15</v>
      </c>
      <c r="Y2080" t="b">
        <f>IF(X2080&lt;&gt;"",VLOOKUP(X2080,game_rosters!$C$43:$E$64,3,FALSE))</f>
        <v>0</v>
      </c>
      <c r="Z2080" cm="1">
        <f t="array" ref="Z2080">IFERROR(IF(_xlfn._xlws.FILTER(game_rosters!$J:$J,(game_rosters!$G:$G=events!$AN2080)*(game_rosters!$J:$J=events!$X2080))&gt;0,1,""),"")</f>
        <v>1</v>
      </c>
      <c r="AA2080">
        <f t="shared" si="2173"/>
        <v>2098</v>
      </c>
      <c r="AB2080" t="str">
        <f t="shared" si="2174"/>
        <v/>
      </c>
      <c r="AC2080">
        <f t="shared" si="2122"/>
        <v>2098</v>
      </c>
      <c r="AD2080" s="6">
        <v>3</v>
      </c>
      <c r="AE2080" t="s">
        <v>936</v>
      </c>
      <c r="AF2080" t="s">
        <v>917</v>
      </c>
      <c r="AG2080" t="s">
        <v>756</v>
      </c>
      <c r="AH2080" t="s">
        <v>756</v>
      </c>
      <c r="AI2080" t="s">
        <v>367</v>
      </c>
      <c r="AJ2080" t="str">
        <f t="shared" ref="AJ2080:AK2080" si="2178">IF($J2080&lt;&gt;"",$J2080,IF($AC2080=$AC2079,AJ2079,""))</f>
        <v/>
      </c>
      <c r="AK2080" t="str">
        <f t="shared" si="2178"/>
        <v/>
      </c>
      <c r="AL2080" t="str">
        <f t="shared" si="2127"/>
        <v/>
      </c>
      <c r="AN2080" t="s">
        <v>861</v>
      </c>
      <c r="AO2080" t="str">
        <f t="shared" si="2128"/>
        <v>h</v>
      </c>
      <c r="AP2080" t="str">
        <f t="shared" si="2136"/>
        <v/>
      </c>
      <c r="AQ2080" t="str">
        <f t="shared" si="2137"/>
        <v/>
      </c>
      <c r="AR2080" t="str">
        <f t="shared" si="2138"/>
        <v>Home</v>
      </c>
      <c r="AS2080" t="str">
        <f t="shared" si="2139"/>
        <v>h</v>
      </c>
      <c r="AT2080" t="str">
        <f t="shared" si="2140"/>
        <v>Offensive</v>
      </c>
      <c r="BA2080" s="6">
        <f t="shared" si="2129"/>
        <v>475</v>
      </c>
      <c r="BB2080">
        <f t="shared" si="2130"/>
        <v>18981</v>
      </c>
      <c r="BC2080" t="str">
        <f t="shared" si="2131"/>
        <v>Nelson</v>
      </c>
      <c r="BD2080" t="str">
        <f t="shared" si="2132"/>
        <v>Velodrome</v>
      </c>
      <c r="BE2080" t="s">
        <v>7</v>
      </c>
      <c r="BF2080" t="s">
        <v>172</v>
      </c>
      <c r="BG2080" t="s">
        <v>68</v>
      </c>
      <c r="BI2080" cm="1">
        <f t="array" ref="BI2080">IFERROR(_xlfn._xlws.FILTER(shifts!A:A,(shifts!B:B=events!AD2080)*(shifts!AG:AG&gt;=events!BK2080)*(shifts!AH:AH&lt;=events!BL2080)),BI2079)</f>
        <v>90</v>
      </c>
      <c r="BJ2080" s="15">
        <f t="shared" si="2133"/>
        <v>0</v>
      </c>
      <c r="BK2080">
        <f t="shared" si="2141"/>
        <v>503</v>
      </c>
      <c r="BL2080">
        <f t="shared" si="2142"/>
        <v>503</v>
      </c>
      <c r="BM2080" s="15">
        <f>SUMIFS(BJ$2:BJ2080,K$2:K2080,"=Intermission")+SUMIFS(BJ$2:BJ2080,K$2:K2080,"=Timeout")</f>
        <v>142</v>
      </c>
      <c r="BN2080">
        <f t="shared" si="2143"/>
        <v>2302</v>
      </c>
      <c r="BO2080" s="19">
        <f t="shared" si="2144"/>
        <v>2879</v>
      </c>
      <c r="BP2080">
        <f t="shared" si="2145"/>
        <v>2874</v>
      </c>
      <c r="BQ2080" s="17">
        <f t="shared" si="2146"/>
        <v>2879</v>
      </c>
      <c r="BR2080" t="str">
        <f t="shared" si="2147"/>
        <v>event_team_player_2</v>
      </c>
      <c r="BS2080">
        <f>COUNTIFS(S$3:S2080,"="&amp;S2080,AI$3:AI2080,"="&amp;AI2080)</f>
        <v>2</v>
      </c>
      <c r="BT2080" t="str">
        <f>IFERROR(VLOOKUP(BB2080&amp;BU2080&amp;X2080,game_rosters!U:W,3,FALSE),"")</f>
        <v>P100071</v>
      </c>
      <c r="BU2080" t="str">
        <f t="shared" si="2148"/>
        <v>Nelson</v>
      </c>
    </row>
    <row r="2081" spans="1:73" x14ac:dyDescent="0.2">
      <c r="A2081">
        <f t="shared" si="2134"/>
        <v>1</v>
      </c>
      <c r="J2081" s="44" t="str">
        <f t="shared" si="2149"/>
        <v/>
      </c>
      <c r="K2081" t="s">
        <v>7</v>
      </c>
      <c r="L2081" t="s">
        <v>172</v>
      </c>
      <c r="M2081" t="s">
        <v>68</v>
      </c>
      <c r="S2081">
        <v>1098</v>
      </c>
      <c r="W2081" t="str">
        <f t="shared" si="2125"/>
        <v>h</v>
      </c>
      <c r="X2081">
        <v>75</v>
      </c>
      <c r="Y2081" t="e">
        <f>IF(X2081&lt;&gt;"",VLOOKUP(X2081,game_rosters!$C$43:$E$64,3,FALSE))</f>
        <v>#N/A</v>
      </c>
      <c r="Z2081" t="str" cm="1">
        <f t="array" ref="Z2081">IFERROR(IF(_xlfn._xlws.FILTER(game_rosters!$J:$J,(game_rosters!$G:$G=events!$AN2081)*(game_rosters!$J:$J=events!$X2081))&gt;0,1,""),"")</f>
        <v/>
      </c>
      <c r="AA2081">
        <f t="shared" si="2173"/>
        <v>2098</v>
      </c>
      <c r="AB2081" t="str">
        <f t="shared" si="2174"/>
        <v/>
      </c>
      <c r="AC2081">
        <f t="shared" si="2122"/>
        <v>2098</v>
      </c>
      <c r="AD2081" s="6">
        <v>3</v>
      </c>
      <c r="AE2081" t="s">
        <v>936</v>
      </c>
      <c r="AF2081" t="s">
        <v>917</v>
      </c>
      <c r="AG2081" t="s">
        <v>756</v>
      </c>
      <c r="AH2081" t="s">
        <v>756</v>
      </c>
      <c r="AI2081" t="s">
        <v>368</v>
      </c>
      <c r="AJ2081" t="str">
        <f t="shared" ref="AJ2081:AK2081" si="2179">IF($J2081&lt;&gt;"",$J2081,IF($AC2081=$AC2080,AJ2080,""))</f>
        <v/>
      </c>
      <c r="AK2081" t="str">
        <f t="shared" si="2179"/>
        <v/>
      </c>
      <c r="AL2081" t="str">
        <f t="shared" si="2127"/>
        <v/>
      </c>
      <c r="AN2081" t="s">
        <v>861</v>
      </c>
      <c r="AO2081" t="str">
        <f t="shared" si="2128"/>
        <v>h</v>
      </c>
      <c r="AP2081" t="str">
        <f t="shared" si="2136"/>
        <v/>
      </c>
      <c r="AQ2081" t="str">
        <f t="shared" si="2137"/>
        <v/>
      </c>
      <c r="AR2081" t="str">
        <f t="shared" si="2138"/>
        <v>Home</v>
      </c>
      <c r="AS2081" t="str">
        <f t="shared" si="2139"/>
        <v>h</v>
      </c>
      <c r="AT2081" t="str">
        <f t="shared" si="2140"/>
        <v>Defensive</v>
      </c>
      <c r="BA2081" s="6">
        <f t="shared" si="2129"/>
        <v>475</v>
      </c>
      <c r="BB2081">
        <f t="shared" si="2130"/>
        <v>18981</v>
      </c>
      <c r="BC2081" t="str">
        <f t="shared" si="2131"/>
        <v>Nelson</v>
      </c>
      <c r="BD2081" t="str">
        <f t="shared" si="2132"/>
        <v>Velodrome</v>
      </c>
      <c r="BE2081" t="s">
        <v>7</v>
      </c>
      <c r="BF2081" t="s">
        <v>172</v>
      </c>
      <c r="BG2081" t="s">
        <v>68</v>
      </c>
      <c r="BI2081" cm="1">
        <f t="array" ref="BI2081">IFERROR(_xlfn._xlws.FILTER(shifts!A:A,(shifts!B:B=events!AD2081)*(shifts!AG:AG&gt;=events!BK2081)*(shifts!AH:AH&lt;=events!BL2081)),BI2080)</f>
        <v>90</v>
      </c>
      <c r="BJ2081" s="15">
        <f t="shared" si="2133"/>
        <v>0</v>
      </c>
      <c r="BK2081">
        <f t="shared" si="2141"/>
        <v>503</v>
      </c>
      <c r="BL2081">
        <f t="shared" si="2142"/>
        <v>503</v>
      </c>
      <c r="BM2081" s="15">
        <f>SUMIFS(BJ$2:BJ2081,K$2:K2081,"=Intermission")+SUMIFS(BJ$2:BJ2081,K$2:K2081,"=Timeout")</f>
        <v>142</v>
      </c>
      <c r="BN2081">
        <f t="shared" si="2143"/>
        <v>2302</v>
      </c>
      <c r="BO2081" s="19">
        <f t="shared" si="2144"/>
        <v>2879</v>
      </c>
      <c r="BP2081">
        <f t="shared" si="2145"/>
        <v>2874</v>
      </c>
      <c r="BQ2081" s="17">
        <f t="shared" si="2146"/>
        <v>2879</v>
      </c>
      <c r="BR2081" t="str">
        <f t="shared" si="2147"/>
        <v>opp_team_player_1</v>
      </c>
      <c r="BS2081">
        <f>COUNTIFS(S$3:S2081,"="&amp;S2081,AI$3:AI2081,"="&amp;AI2081)</f>
        <v>1</v>
      </c>
      <c r="BT2081" t="str">
        <f>IFERROR(VLOOKUP(BB2081&amp;BU2081&amp;X2081,game_rosters!U:W,3,FALSE),"")</f>
        <v>P100039</v>
      </c>
      <c r="BU2081" t="str">
        <f t="shared" si="2148"/>
        <v>Velodrome</v>
      </c>
    </row>
    <row r="2082" spans="1:73" x14ac:dyDescent="0.2">
      <c r="A2082">
        <f t="shared" si="2134"/>
        <v>1</v>
      </c>
      <c r="J2082" s="44" t="str">
        <f t="shared" si="2149"/>
        <v>o</v>
      </c>
      <c r="K2082" t="s">
        <v>6</v>
      </c>
      <c r="L2082" t="s">
        <v>205</v>
      </c>
      <c r="M2082" t="s">
        <v>51</v>
      </c>
      <c r="S2082">
        <v>1099</v>
      </c>
      <c r="W2082" t="str">
        <f t="shared" si="2125"/>
        <v>h</v>
      </c>
      <c r="X2082">
        <v>15</v>
      </c>
      <c r="Y2082" t="b">
        <f>IF(X2082&lt;&gt;"",VLOOKUP(X2082,game_rosters!$C$43:$E$64,3,FALSE))</f>
        <v>0</v>
      </c>
      <c r="Z2082" cm="1">
        <f t="array" ref="Z2082">IFERROR(IF(_xlfn._xlws.FILTER(game_rosters!$J:$J,(game_rosters!$G:$G=events!$AN2082)*(game_rosters!$J:$J=events!$X2082))&gt;0,1,""),"")</f>
        <v>1</v>
      </c>
      <c r="AA2082">
        <f t="shared" si="2173"/>
        <v>2099</v>
      </c>
      <c r="AB2082" t="str">
        <f t="shared" si="2174"/>
        <v/>
      </c>
      <c r="AC2082">
        <f t="shared" si="2122"/>
        <v>2099</v>
      </c>
      <c r="AD2082" s="6">
        <v>3</v>
      </c>
      <c r="AE2082" t="s">
        <v>936</v>
      </c>
      <c r="AF2082" t="s">
        <v>918</v>
      </c>
      <c r="AG2082" t="s">
        <v>756</v>
      </c>
      <c r="AH2082" t="s">
        <v>756</v>
      </c>
      <c r="AI2082" t="s">
        <v>367</v>
      </c>
      <c r="AJ2082" t="str">
        <f t="shared" ref="AJ2082:AK2082" si="2180">IF($J2082&lt;&gt;"",$J2082,IF($AC2082=$AC2081,AJ2081,""))</f>
        <v>o</v>
      </c>
      <c r="AK2082" t="str">
        <f t="shared" si="2180"/>
        <v>o</v>
      </c>
      <c r="AL2082" t="str">
        <f t="shared" si="2127"/>
        <v>o</v>
      </c>
      <c r="AN2082" t="s">
        <v>861</v>
      </c>
      <c r="AO2082" t="str">
        <f t="shared" si="2128"/>
        <v>h</v>
      </c>
      <c r="AP2082" t="str">
        <f t="shared" si="2136"/>
        <v>o</v>
      </c>
      <c r="AQ2082" t="str">
        <f t="shared" si="2137"/>
        <v/>
      </c>
      <c r="AR2082" t="str">
        <f t="shared" si="2138"/>
        <v>Home</v>
      </c>
      <c r="AS2082" t="str">
        <f t="shared" si="2139"/>
        <v>h</v>
      </c>
      <c r="AT2082" t="str">
        <f t="shared" si="2140"/>
        <v>Offensive</v>
      </c>
      <c r="BA2082" s="6">
        <f t="shared" si="2129"/>
        <v>475</v>
      </c>
      <c r="BB2082">
        <f t="shared" si="2130"/>
        <v>18981</v>
      </c>
      <c r="BC2082" t="str">
        <f t="shared" si="2131"/>
        <v>Nelson</v>
      </c>
      <c r="BD2082" t="str">
        <f t="shared" si="2132"/>
        <v>Velodrome</v>
      </c>
      <c r="BE2082" t="s">
        <v>6</v>
      </c>
      <c r="BF2082" t="s">
        <v>205</v>
      </c>
      <c r="BG2082" t="s">
        <v>51</v>
      </c>
      <c r="BI2082" cm="1">
        <f t="array" ref="BI2082">IFERROR(_xlfn._xlws.FILTER(shifts!A:A,(shifts!B:B=events!AD2082)*(shifts!AG:AG&gt;=events!BK2082)*(shifts!AH:AH&lt;=events!BL2082)),BI2081)</f>
        <v>90</v>
      </c>
      <c r="BJ2082" s="15">
        <f t="shared" si="2133"/>
        <v>0</v>
      </c>
      <c r="BK2082">
        <f t="shared" si="2141"/>
        <v>502</v>
      </c>
      <c r="BL2082">
        <f t="shared" si="2142"/>
        <v>502</v>
      </c>
      <c r="BM2082" s="15">
        <f>SUMIFS(BJ$2:BJ2082,K$2:K2082,"=Intermission")+SUMIFS(BJ$2:BJ2082,K$2:K2082,"=Timeout")</f>
        <v>142</v>
      </c>
      <c r="BN2082">
        <f t="shared" si="2143"/>
        <v>2302</v>
      </c>
      <c r="BO2082" s="19">
        <f t="shared" si="2144"/>
        <v>2880</v>
      </c>
      <c r="BP2082">
        <f t="shared" si="2145"/>
        <v>2875</v>
      </c>
      <c r="BQ2082" s="17">
        <f t="shared" si="2146"/>
        <v>2880</v>
      </c>
      <c r="BR2082" t="str">
        <f t="shared" si="2147"/>
        <v>event_team_player_1</v>
      </c>
      <c r="BS2082">
        <f>COUNTIFS(S$3:S2082,"="&amp;S2082,AI$3:AI2082,"="&amp;AI2082)</f>
        <v>1</v>
      </c>
      <c r="BT2082" t="str">
        <f>IFERROR(VLOOKUP(BB2082&amp;BU2082&amp;X2082,game_rosters!U:W,3,FALSE),"")</f>
        <v>P100071</v>
      </c>
      <c r="BU2082" t="str">
        <f t="shared" si="2148"/>
        <v>Nelson</v>
      </c>
    </row>
    <row r="2083" spans="1:73" x14ac:dyDescent="0.2">
      <c r="A2083">
        <f t="shared" si="2134"/>
        <v>1</v>
      </c>
      <c r="J2083" s="44" t="str">
        <f t="shared" si="2149"/>
        <v>o</v>
      </c>
      <c r="K2083" t="s">
        <v>6</v>
      </c>
      <c r="L2083" t="s">
        <v>205</v>
      </c>
      <c r="M2083" t="s">
        <v>51</v>
      </c>
      <c r="S2083">
        <v>1099</v>
      </c>
      <c r="W2083" t="str">
        <f t="shared" si="2125"/>
        <v>h</v>
      </c>
      <c r="X2083">
        <v>10</v>
      </c>
      <c r="Y2083" t="b">
        <f>IF(X2083&lt;&gt;"",VLOOKUP(X2083,game_rosters!$C$43:$E$64,3,FALSE))</f>
        <v>0</v>
      </c>
      <c r="Z2083" cm="1">
        <f t="array" ref="Z2083">IFERROR(IF(_xlfn._xlws.FILTER(game_rosters!$J:$J,(game_rosters!$G:$G=events!$AN2083)*(game_rosters!$J:$J=events!$X2083))&gt;0,1,""),"")</f>
        <v>1</v>
      </c>
      <c r="AA2083">
        <f t="shared" si="2173"/>
        <v>2099</v>
      </c>
      <c r="AB2083" t="str">
        <f t="shared" si="2174"/>
        <v/>
      </c>
      <c r="AC2083">
        <f t="shared" si="2122"/>
        <v>2099</v>
      </c>
      <c r="AD2083" s="6">
        <v>3</v>
      </c>
      <c r="AE2083" t="s">
        <v>936</v>
      </c>
      <c r="AF2083" t="s">
        <v>918</v>
      </c>
      <c r="AG2083" t="s">
        <v>756</v>
      </c>
      <c r="AH2083" t="s">
        <v>756</v>
      </c>
      <c r="AI2083" t="s">
        <v>367</v>
      </c>
      <c r="AJ2083" t="str">
        <f t="shared" ref="AJ2083:AK2083" si="2181">IF($J2083&lt;&gt;"",$J2083,IF($AC2083=$AC2082,AJ2082,""))</f>
        <v>o</v>
      </c>
      <c r="AK2083" t="str">
        <f t="shared" si="2181"/>
        <v>o</v>
      </c>
      <c r="AL2083" t="str">
        <f t="shared" si="2127"/>
        <v>o</v>
      </c>
      <c r="AN2083" t="s">
        <v>861</v>
      </c>
      <c r="AO2083" t="str">
        <f t="shared" si="2128"/>
        <v>h</v>
      </c>
      <c r="AP2083" t="str">
        <f t="shared" si="2136"/>
        <v>o</v>
      </c>
      <c r="AQ2083" t="str">
        <f t="shared" si="2137"/>
        <v/>
      </c>
      <c r="AR2083" t="str">
        <f t="shared" si="2138"/>
        <v>Home</v>
      </c>
      <c r="AS2083" t="str">
        <f t="shared" si="2139"/>
        <v>h</v>
      </c>
      <c r="AT2083" t="str">
        <f t="shared" si="2140"/>
        <v>Offensive</v>
      </c>
      <c r="BA2083" s="6">
        <f t="shared" si="2129"/>
        <v>475</v>
      </c>
      <c r="BB2083">
        <f t="shared" si="2130"/>
        <v>18981</v>
      </c>
      <c r="BC2083" t="str">
        <f t="shared" si="2131"/>
        <v>Nelson</v>
      </c>
      <c r="BD2083" t="str">
        <f t="shared" si="2132"/>
        <v>Velodrome</v>
      </c>
      <c r="BE2083" t="s">
        <v>6</v>
      </c>
      <c r="BF2083" t="s">
        <v>205</v>
      </c>
      <c r="BG2083" t="s">
        <v>51</v>
      </c>
      <c r="BI2083" cm="1">
        <f t="array" ref="BI2083">IFERROR(_xlfn._xlws.FILTER(shifts!A:A,(shifts!B:B=events!AD2083)*(shifts!AG:AG&gt;=events!BK2083)*(shifts!AH:AH&lt;=events!BL2083)),BI2082)</f>
        <v>90</v>
      </c>
      <c r="BJ2083" s="15">
        <f t="shared" si="2133"/>
        <v>0</v>
      </c>
      <c r="BK2083">
        <f t="shared" si="2141"/>
        <v>502</v>
      </c>
      <c r="BL2083">
        <f t="shared" si="2142"/>
        <v>502</v>
      </c>
      <c r="BM2083" s="15">
        <f>SUMIFS(BJ$2:BJ2083,K$2:K2083,"=Intermission")+SUMIFS(BJ$2:BJ2083,K$2:K2083,"=Timeout")</f>
        <v>142</v>
      </c>
      <c r="BN2083">
        <f t="shared" si="2143"/>
        <v>2302</v>
      </c>
      <c r="BO2083" s="19">
        <f t="shared" si="2144"/>
        <v>2880</v>
      </c>
      <c r="BP2083">
        <f t="shared" si="2145"/>
        <v>2875</v>
      </c>
      <c r="BQ2083" s="17">
        <f t="shared" si="2146"/>
        <v>2880</v>
      </c>
      <c r="BR2083" t="str">
        <f t="shared" si="2147"/>
        <v>event_team_player_2</v>
      </c>
      <c r="BS2083">
        <f>COUNTIFS(S$3:S2083,"="&amp;S2083,AI$3:AI2083,"="&amp;AI2083)</f>
        <v>2</v>
      </c>
      <c r="BT2083" t="str">
        <f>IFERROR(VLOOKUP(BB2083&amp;BU2083&amp;X2083,game_rosters!U:W,3,FALSE),"")</f>
        <v>P100078</v>
      </c>
      <c r="BU2083" t="str">
        <f t="shared" si="2148"/>
        <v>Nelson</v>
      </c>
    </row>
    <row r="2084" spans="1:73" x14ac:dyDescent="0.2">
      <c r="A2084">
        <f t="shared" si="2134"/>
        <v>1</v>
      </c>
      <c r="J2084" s="44" t="str">
        <f t="shared" si="2149"/>
        <v>o</v>
      </c>
      <c r="K2084" t="s">
        <v>6</v>
      </c>
      <c r="L2084" t="s">
        <v>205</v>
      </c>
      <c r="M2084" t="s">
        <v>51</v>
      </c>
      <c r="S2084">
        <v>1099</v>
      </c>
      <c r="W2084" t="str">
        <f t="shared" si="2125"/>
        <v>h</v>
      </c>
      <c r="X2084">
        <v>39</v>
      </c>
      <c r="Y2084" t="e">
        <f>IF(X2084&lt;&gt;"",VLOOKUP(X2084,game_rosters!$C$43:$E$64,3,FALSE))</f>
        <v>#N/A</v>
      </c>
      <c r="Z2084" t="str" cm="1">
        <f t="array" ref="Z2084">IFERROR(IF(_xlfn._xlws.FILTER(game_rosters!$J:$J,(game_rosters!$G:$G=events!$AN2084)*(game_rosters!$J:$J=events!$X2084))&gt;0,1,""),"")</f>
        <v/>
      </c>
      <c r="AA2084">
        <f t="shared" si="2173"/>
        <v>2099</v>
      </c>
      <c r="AB2084" t="str">
        <f t="shared" si="2174"/>
        <v/>
      </c>
      <c r="AC2084">
        <f t="shared" si="2122"/>
        <v>2099</v>
      </c>
      <c r="AD2084" s="6">
        <v>3</v>
      </c>
      <c r="AE2084" t="s">
        <v>936</v>
      </c>
      <c r="AF2084" t="s">
        <v>918</v>
      </c>
      <c r="AG2084" t="s">
        <v>756</v>
      </c>
      <c r="AH2084" t="s">
        <v>756</v>
      </c>
      <c r="AI2084" t="s">
        <v>368</v>
      </c>
      <c r="AJ2084" t="str">
        <f t="shared" ref="AJ2084:AK2084" si="2182">IF($J2084&lt;&gt;"",$J2084,IF($AC2084=$AC2083,AJ2083,""))</f>
        <v>o</v>
      </c>
      <c r="AK2084" t="str">
        <f t="shared" si="2182"/>
        <v>o</v>
      </c>
      <c r="AL2084" t="str">
        <f t="shared" si="2127"/>
        <v>o</v>
      </c>
      <c r="AN2084" t="s">
        <v>861</v>
      </c>
      <c r="AO2084" t="str">
        <f t="shared" si="2128"/>
        <v>h</v>
      </c>
      <c r="AP2084" t="str">
        <f t="shared" si="2136"/>
        <v>o</v>
      </c>
      <c r="AQ2084" t="str">
        <f t="shared" si="2137"/>
        <v/>
      </c>
      <c r="AR2084" t="str">
        <f t="shared" si="2138"/>
        <v>Home</v>
      </c>
      <c r="AS2084" t="str">
        <f t="shared" si="2139"/>
        <v>h</v>
      </c>
      <c r="AT2084" t="str">
        <f t="shared" si="2140"/>
        <v>Defensive</v>
      </c>
      <c r="BA2084" s="6">
        <f t="shared" si="2129"/>
        <v>475</v>
      </c>
      <c r="BB2084">
        <f t="shared" si="2130"/>
        <v>18981</v>
      </c>
      <c r="BC2084" t="str">
        <f t="shared" si="2131"/>
        <v>Nelson</v>
      </c>
      <c r="BD2084" t="str">
        <f t="shared" si="2132"/>
        <v>Velodrome</v>
      </c>
      <c r="BE2084" t="s">
        <v>6</v>
      </c>
      <c r="BF2084" t="s">
        <v>205</v>
      </c>
      <c r="BG2084" t="s">
        <v>51</v>
      </c>
      <c r="BI2084" cm="1">
        <f t="array" ref="BI2084">IFERROR(_xlfn._xlws.FILTER(shifts!A:A,(shifts!B:B=events!AD2084)*(shifts!AG:AG&gt;=events!BK2084)*(shifts!AH:AH&lt;=events!BL2084)),BI2083)</f>
        <v>90</v>
      </c>
      <c r="BJ2084" s="15">
        <f t="shared" si="2133"/>
        <v>0</v>
      </c>
      <c r="BK2084">
        <f t="shared" si="2141"/>
        <v>502</v>
      </c>
      <c r="BL2084">
        <f t="shared" si="2142"/>
        <v>502</v>
      </c>
      <c r="BM2084" s="15">
        <f>SUMIFS(BJ$2:BJ2084,K$2:K2084,"=Intermission")+SUMIFS(BJ$2:BJ2084,K$2:K2084,"=Timeout")</f>
        <v>142</v>
      </c>
      <c r="BN2084">
        <f t="shared" si="2143"/>
        <v>2302</v>
      </c>
      <c r="BO2084" s="19">
        <f t="shared" si="2144"/>
        <v>2880</v>
      </c>
      <c r="BP2084">
        <f t="shared" si="2145"/>
        <v>2875</v>
      </c>
      <c r="BQ2084" s="17">
        <f t="shared" si="2146"/>
        <v>2880</v>
      </c>
      <c r="BR2084" t="str">
        <f t="shared" si="2147"/>
        <v>opp_team_player_1</v>
      </c>
      <c r="BS2084">
        <f>COUNTIFS(S$3:S2084,"="&amp;S2084,AI$3:AI2084,"="&amp;AI2084)</f>
        <v>1</v>
      </c>
      <c r="BT2084" t="str">
        <f>IFERROR(VLOOKUP(BB2084&amp;BU2084&amp;X2084,game_rosters!U:W,3,FALSE),"")</f>
        <v>P100016</v>
      </c>
      <c r="BU2084" t="str">
        <f t="shared" si="2148"/>
        <v>Velodrome</v>
      </c>
    </row>
    <row r="2085" spans="1:73" x14ac:dyDescent="0.2">
      <c r="A2085">
        <f t="shared" si="2134"/>
        <v>1</v>
      </c>
      <c r="J2085" s="44" t="str">
        <f t="shared" si="2149"/>
        <v>o</v>
      </c>
      <c r="K2085" t="s">
        <v>6</v>
      </c>
      <c r="L2085" t="s">
        <v>205</v>
      </c>
      <c r="M2085" t="s">
        <v>51</v>
      </c>
      <c r="S2085">
        <v>1099</v>
      </c>
      <c r="W2085" t="str">
        <f t="shared" si="2125"/>
        <v>h</v>
      </c>
      <c r="X2085">
        <v>52</v>
      </c>
      <c r="Y2085" t="e">
        <f>IF(X2085&lt;&gt;"",VLOOKUP(X2085,game_rosters!$C$43:$E$64,3,FALSE))</f>
        <v>#N/A</v>
      </c>
      <c r="Z2085" t="str" cm="1">
        <f t="array" ref="Z2085">IFERROR(IF(_xlfn._xlws.FILTER(game_rosters!$J:$J,(game_rosters!$G:$G=events!$AN2085)*(game_rosters!$J:$J=events!$X2085))&gt;0,1,""),"")</f>
        <v/>
      </c>
      <c r="AA2085">
        <f t="shared" si="2173"/>
        <v>2099</v>
      </c>
      <c r="AB2085" t="str">
        <f t="shared" si="2174"/>
        <v/>
      </c>
      <c r="AC2085">
        <f t="shared" si="2122"/>
        <v>2099</v>
      </c>
      <c r="AD2085" s="6">
        <v>3</v>
      </c>
      <c r="AE2085" t="s">
        <v>936</v>
      </c>
      <c r="AF2085" t="s">
        <v>918</v>
      </c>
      <c r="AG2085" t="s">
        <v>756</v>
      </c>
      <c r="AH2085" t="s">
        <v>756</v>
      </c>
      <c r="AI2085" t="s">
        <v>368</v>
      </c>
      <c r="AJ2085" t="str">
        <f t="shared" ref="AJ2085:AK2085" si="2183">IF($J2085&lt;&gt;"",$J2085,IF($AC2085=$AC2084,AJ2084,""))</f>
        <v>o</v>
      </c>
      <c r="AK2085" t="str">
        <f t="shared" si="2183"/>
        <v>o</v>
      </c>
      <c r="AL2085" t="str">
        <f t="shared" si="2127"/>
        <v>o</v>
      </c>
      <c r="AN2085" t="s">
        <v>861</v>
      </c>
      <c r="AO2085" t="str">
        <f t="shared" si="2128"/>
        <v>h</v>
      </c>
      <c r="AP2085" t="str">
        <f t="shared" si="2136"/>
        <v>o</v>
      </c>
      <c r="AQ2085" t="str">
        <f t="shared" si="2137"/>
        <v/>
      </c>
      <c r="AR2085" t="str">
        <f t="shared" si="2138"/>
        <v>Home</v>
      </c>
      <c r="AS2085" t="str">
        <f t="shared" si="2139"/>
        <v>h</v>
      </c>
      <c r="AT2085" t="str">
        <f t="shared" si="2140"/>
        <v>Defensive</v>
      </c>
      <c r="BA2085" s="6">
        <f t="shared" si="2129"/>
        <v>475</v>
      </c>
      <c r="BB2085">
        <f t="shared" si="2130"/>
        <v>18981</v>
      </c>
      <c r="BC2085" t="str">
        <f t="shared" si="2131"/>
        <v>Nelson</v>
      </c>
      <c r="BD2085" t="str">
        <f t="shared" si="2132"/>
        <v>Velodrome</v>
      </c>
      <c r="BE2085" t="s">
        <v>6</v>
      </c>
      <c r="BF2085" t="s">
        <v>205</v>
      </c>
      <c r="BG2085" t="s">
        <v>51</v>
      </c>
      <c r="BI2085" cm="1">
        <f t="array" ref="BI2085">IFERROR(_xlfn._xlws.FILTER(shifts!A:A,(shifts!B:B=events!AD2085)*(shifts!AG:AG&gt;=events!BK2085)*(shifts!AH:AH&lt;=events!BL2085)),BI2084)</f>
        <v>90</v>
      </c>
      <c r="BJ2085" s="15">
        <f t="shared" si="2133"/>
        <v>0</v>
      </c>
      <c r="BK2085">
        <f t="shared" si="2141"/>
        <v>502</v>
      </c>
      <c r="BL2085">
        <f t="shared" si="2142"/>
        <v>502</v>
      </c>
      <c r="BM2085" s="15">
        <f>SUMIFS(BJ$2:BJ2085,K$2:K2085,"=Intermission")+SUMIFS(BJ$2:BJ2085,K$2:K2085,"=Timeout")</f>
        <v>142</v>
      </c>
      <c r="BN2085">
        <f t="shared" si="2143"/>
        <v>2302</v>
      </c>
      <c r="BO2085" s="19">
        <f t="shared" si="2144"/>
        <v>2880</v>
      </c>
      <c r="BP2085">
        <f t="shared" si="2145"/>
        <v>2875</v>
      </c>
      <c r="BQ2085" s="17">
        <f t="shared" si="2146"/>
        <v>2880</v>
      </c>
      <c r="BR2085" t="str">
        <f t="shared" si="2147"/>
        <v>opp_team_player_2</v>
      </c>
      <c r="BS2085">
        <f>COUNTIFS(S$3:S2085,"="&amp;S2085,AI$3:AI2085,"="&amp;AI2085)</f>
        <v>2</v>
      </c>
      <c r="BT2085" t="str">
        <f>IFERROR(VLOOKUP(BB2085&amp;BU2085&amp;X2085,game_rosters!U:W,3,FALSE),"")</f>
        <v>P100070</v>
      </c>
      <c r="BU2085" t="str">
        <f t="shared" si="2148"/>
        <v>Velodrome</v>
      </c>
    </row>
    <row r="2086" spans="1:73" x14ac:dyDescent="0.2">
      <c r="A2086">
        <f t="shared" si="2134"/>
        <v>1</v>
      </c>
      <c r="J2086" s="44" t="str">
        <f t="shared" si="2149"/>
        <v>d</v>
      </c>
      <c r="K2086" t="s">
        <v>15</v>
      </c>
      <c r="L2086" t="s">
        <v>179</v>
      </c>
      <c r="M2086" t="s">
        <v>96</v>
      </c>
      <c r="S2086">
        <v>1100</v>
      </c>
      <c r="W2086" t="str">
        <f t="shared" si="2125"/>
        <v>a</v>
      </c>
      <c r="X2086">
        <v>39</v>
      </c>
      <c r="Y2086" t="e">
        <f>IF(X2086&lt;&gt;"",VLOOKUP(X2086,game_rosters!$C$43:$E$64,3,FALSE))</f>
        <v>#N/A</v>
      </c>
      <c r="Z2086" cm="1">
        <f t="array" ref="Z2086">IFERROR(IF(_xlfn._xlws.FILTER(game_rosters!$J:$J,(game_rosters!$G:$G=events!$AN2086)*(game_rosters!$J:$J=events!$X2086))&gt;0,1,""),"")</f>
        <v>1</v>
      </c>
      <c r="AA2086">
        <f t="shared" si="2173"/>
        <v>2100</v>
      </c>
      <c r="AB2086" t="str">
        <f t="shared" si="2174"/>
        <v/>
      </c>
      <c r="AC2086">
        <f t="shared" si="2122"/>
        <v>2100</v>
      </c>
      <c r="AD2086" s="6">
        <v>3</v>
      </c>
      <c r="AE2086" t="s">
        <v>936</v>
      </c>
      <c r="AF2086" t="s">
        <v>918</v>
      </c>
      <c r="AG2086" t="s">
        <v>756</v>
      </c>
      <c r="AH2086" t="s">
        <v>756</v>
      </c>
      <c r="AI2086" t="s">
        <v>367</v>
      </c>
      <c r="AJ2086" t="str">
        <f t="shared" ref="AJ2086:AK2086" si="2184">IF($J2086&lt;&gt;"",$J2086,IF($AC2086=$AC2085,AJ2085,""))</f>
        <v>d</v>
      </c>
      <c r="AK2086" t="str">
        <f t="shared" si="2184"/>
        <v>d</v>
      </c>
      <c r="AL2086" t="str">
        <f t="shared" si="2127"/>
        <v>o</v>
      </c>
      <c r="AN2086" t="s">
        <v>862</v>
      </c>
      <c r="AO2086" t="str">
        <f t="shared" si="2128"/>
        <v>a</v>
      </c>
      <c r="AP2086" t="str">
        <f t="shared" si="2136"/>
        <v>o</v>
      </c>
      <c r="AQ2086" t="str">
        <f t="shared" si="2137"/>
        <v/>
      </c>
      <c r="AR2086" t="str">
        <f t="shared" si="2138"/>
        <v>Away</v>
      </c>
      <c r="AS2086" t="str">
        <f t="shared" si="2139"/>
        <v>a</v>
      </c>
      <c r="AT2086" t="str">
        <f t="shared" si="2140"/>
        <v>Defensive</v>
      </c>
      <c r="BA2086" s="6">
        <f t="shared" si="2129"/>
        <v>475</v>
      </c>
      <c r="BB2086">
        <f t="shared" si="2130"/>
        <v>18981</v>
      </c>
      <c r="BC2086" t="str">
        <f t="shared" si="2131"/>
        <v>Nelson</v>
      </c>
      <c r="BD2086" t="str">
        <f t="shared" si="2132"/>
        <v>Velodrome</v>
      </c>
      <c r="BE2086" t="s">
        <v>15</v>
      </c>
      <c r="BF2086" t="s">
        <v>179</v>
      </c>
      <c r="BG2086" t="s">
        <v>96</v>
      </c>
      <c r="BI2086" cm="1">
        <f t="array" ref="BI2086">IFERROR(_xlfn._xlws.FILTER(shifts!A:A,(shifts!B:B=events!AD2086)*(shifts!AG:AG&gt;=events!BK2086)*(shifts!AH:AH&lt;=events!BL2086)),BI2085)</f>
        <v>90</v>
      </c>
      <c r="BJ2086" s="15">
        <f t="shared" si="2133"/>
        <v>0</v>
      </c>
      <c r="BK2086">
        <f t="shared" si="2141"/>
        <v>502</v>
      </c>
      <c r="BL2086">
        <f t="shared" si="2142"/>
        <v>502</v>
      </c>
      <c r="BM2086" s="15">
        <f>SUMIFS(BJ$2:BJ2086,K$2:K2086,"=Intermission")+SUMIFS(BJ$2:BJ2086,K$2:K2086,"=Timeout")</f>
        <v>142</v>
      </c>
      <c r="BN2086">
        <f t="shared" si="2143"/>
        <v>2302</v>
      </c>
      <c r="BO2086" s="19">
        <f t="shared" si="2144"/>
        <v>2880</v>
      </c>
      <c r="BP2086">
        <f t="shared" si="2145"/>
        <v>2875</v>
      </c>
      <c r="BQ2086" s="17">
        <f t="shared" si="2146"/>
        <v>2880</v>
      </c>
      <c r="BR2086" t="str">
        <f t="shared" si="2147"/>
        <v>event_team_player_1</v>
      </c>
      <c r="BS2086">
        <f>COUNTIFS(S$3:S2086,"="&amp;S2086,AI$3:AI2086,"="&amp;AI2086)</f>
        <v>1</v>
      </c>
      <c r="BT2086" t="str">
        <f>IFERROR(VLOOKUP(BB2086&amp;BU2086&amp;X2086,game_rosters!U:W,3,FALSE),"")</f>
        <v>P100016</v>
      </c>
      <c r="BU2086" t="str">
        <f t="shared" si="2148"/>
        <v>Velodrome</v>
      </c>
    </row>
    <row r="2087" spans="1:73" x14ac:dyDescent="0.2">
      <c r="A2087">
        <f t="shared" si="2134"/>
        <v>1</v>
      </c>
      <c r="J2087" s="44" t="str">
        <f t="shared" si="2149"/>
        <v>d</v>
      </c>
      <c r="K2087" t="s">
        <v>15</v>
      </c>
      <c r="L2087" t="s">
        <v>179</v>
      </c>
      <c r="M2087" t="s">
        <v>96</v>
      </c>
      <c r="S2087">
        <v>1100</v>
      </c>
      <c r="W2087" t="str">
        <f t="shared" si="2125"/>
        <v>a</v>
      </c>
      <c r="X2087">
        <v>52</v>
      </c>
      <c r="Y2087" t="e">
        <f>IF(X2087&lt;&gt;"",VLOOKUP(X2087,game_rosters!$C$43:$E$64,3,FALSE))</f>
        <v>#N/A</v>
      </c>
      <c r="Z2087" cm="1">
        <f t="array" ref="Z2087">IFERROR(IF(_xlfn._xlws.FILTER(game_rosters!$J:$J,(game_rosters!$G:$G=events!$AN2087)*(game_rosters!$J:$J=events!$X2087))&gt;0,1,""),"")</f>
        <v>1</v>
      </c>
      <c r="AA2087">
        <f t="shared" si="2173"/>
        <v>2100</v>
      </c>
      <c r="AB2087" t="str">
        <f t="shared" si="2174"/>
        <v/>
      </c>
      <c r="AC2087">
        <f t="shared" si="2122"/>
        <v>2100</v>
      </c>
      <c r="AD2087" s="6">
        <v>3</v>
      </c>
      <c r="AE2087" t="s">
        <v>936</v>
      </c>
      <c r="AF2087" t="s">
        <v>918</v>
      </c>
      <c r="AG2087" t="s">
        <v>756</v>
      </c>
      <c r="AH2087" t="s">
        <v>756</v>
      </c>
      <c r="AI2087" t="s">
        <v>367</v>
      </c>
      <c r="AJ2087" t="str">
        <f t="shared" ref="AJ2087:AK2087" si="2185">IF($J2087&lt;&gt;"",$J2087,IF($AC2087=$AC2086,AJ2086,""))</f>
        <v>d</v>
      </c>
      <c r="AK2087" t="str">
        <f t="shared" si="2185"/>
        <v>d</v>
      </c>
      <c r="AL2087" t="str">
        <f t="shared" si="2127"/>
        <v>o</v>
      </c>
      <c r="AN2087" t="s">
        <v>862</v>
      </c>
      <c r="AO2087" t="str">
        <f t="shared" si="2128"/>
        <v>a</v>
      </c>
      <c r="AP2087" t="str">
        <f t="shared" si="2136"/>
        <v>o</v>
      </c>
      <c r="AQ2087" t="str">
        <f t="shared" si="2137"/>
        <v/>
      </c>
      <c r="AR2087" t="str">
        <f t="shared" si="2138"/>
        <v>Away</v>
      </c>
      <c r="AS2087" t="str">
        <f t="shared" si="2139"/>
        <v>a</v>
      </c>
      <c r="AT2087" t="str">
        <f t="shared" si="2140"/>
        <v>Defensive</v>
      </c>
      <c r="BA2087" s="6">
        <f t="shared" si="2129"/>
        <v>475</v>
      </c>
      <c r="BB2087">
        <f t="shared" si="2130"/>
        <v>18981</v>
      </c>
      <c r="BC2087" t="str">
        <f t="shared" si="2131"/>
        <v>Nelson</v>
      </c>
      <c r="BD2087" t="str">
        <f t="shared" si="2132"/>
        <v>Velodrome</v>
      </c>
      <c r="BE2087" t="s">
        <v>15</v>
      </c>
      <c r="BF2087" t="s">
        <v>179</v>
      </c>
      <c r="BG2087" t="s">
        <v>96</v>
      </c>
      <c r="BI2087" cm="1">
        <f t="array" ref="BI2087">IFERROR(_xlfn._xlws.FILTER(shifts!A:A,(shifts!B:B=events!AD2087)*(shifts!AG:AG&gt;=events!BK2087)*(shifts!AH:AH&lt;=events!BL2087)),BI2086)</f>
        <v>90</v>
      </c>
      <c r="BJ2087" s="15">
        <f t="shared" si="2133"/>
        <v>0</v>
      </c>
      <c r="BK2087">
        <f t="shared" si="2141"/>
        <v>502</v>
      </c>
      <c r="BL2087">
        <f t="shared" si="2142"/>
        <v>502</v>
      </c>
      <c r="BM2087" s="15">
        <f>SUMIFS(BJ$2:BJ2087,K$2:K2087,"=Intermission")+SUMIFS(BJ$2:BJ2087,K$2:K2087,"=Timeout")</f>
        <v>142</v>
      </c>
      <c r="BN2087">
        <f t="shared" si="2143"/>
        <v>2302</v>
      </c>
      <c r="BO2087" s="19">
        <f t="shared" si="2144"/>
        <v>2880</v>
      </c>
      <c r="BP2087">
        <f t="shared" si="2145"/>
        <v>2875</v>
      </c>
      <c r="BQ2087" s="17">
        <f t="shared" si="2146"/>
        <v>2880</v>
      </c>
      <c r="BR2087" t="str">
        <f t="shared" si="2147"/>
        <v>event_team_player_2</v>
      </c>
      <c r="BS2087">
        <f>COUNTIFS(S$3:S2087,"="&amp;S2087,AI$3:AI2087,"="&amp;AI2087)</f>
        <v>2</v>
      </c>
      <c r="BT2087" t="str">
        <f>IFERROR(VLOOKUP(BB2087&amp;BU2087&amp;X2087,game_rosters!U:W,3,FALSE),"")</f>
        <v>P100070</v>
      </c>
      <c r="BU2087" t="str">
        <f t="shared" si="2148"/>
        <v>Velodrome</v>
      </c>
    </row>
    <row r="2088" spans="1:73" x14ac:dyDescent="0.2">
      <c r="A2088">
        <f t="shared" si="2134"/>
        <v>1</v>
      </c>
      <c r="J2088" s="44" t="str">
        <f t="shared" si="2149"/>
        <v>d</v>
      </c>
      <c r="K2088" t="s">
        <v>15</v>
      </c>
      <c r="L2088" t="s">
        <v>179</v>
      </c>
      <c r="M2088" t="s">
        <v>96</v>
      </c>
      <c r="S2088">
        <v>1100</v>
      </c>
      <c r="W2088" t="str">
        <f t="shared" si="2125"/>
        <v>a</v>
      </c>
      <c r="X2088">
        <v>15</v>
      </c>
      <c r="Y2088" t="b">
        <f>IF(X2088&lt;&gt;"",VLOOKUP(X2088,game_rosters!$C$43:$E$64,3,FALSE))</f>
        <v>0</v>
      </c>
      <c r="Z2088" t="str" cm="1">
        <f t="array" ref="Z2088">IFERROR(IF(_xlfn._xlws.FILTER(game_rosters!$J:$J,(game_rosters!$G:$G=events!$AN2088)*(game_rosters!$J:$J=events!$X2088))&gt;0,1,""),"")</f>
        <v/>
      </c>
      <c r="AA2088">
        <f t="shared" si="2173"/>
        <v>2100</v>
      </c>
      <c r="AB2088" t="str">
        <f t="shared" si="2174"/>
        <v/>
      </c>
      <c r="AC2088">
        <f t="shared" si="2122"/>
        <v>2100</v>
      </c>
      <c r="AD2088" s="6">
        <v>3</v>
      </c>
      <c r="AE2088" t="s">
        <v>936</v>
      </c>
      <c r="AF2088" t="s">
        <v>918</v>
      </c>
      <c r="AG2088" t="s">
        <v>756</v>
      </c>
      <c r="AH2088" t="s">
        <v>756</v>
      </c>
      <c r="AI2088" t="s">
        <v>368</v>
      </c>
      <c r="AJ2088" t="str">
        <f t="shared" ref="AJ2088:AK2088" si="2186">IF($J2088&lt;&gt;"",$J2088,IF($AC2088=$AC2087,AJ2087,""))</f>
        <v>d</v>
      </c>
      <c r="AK2088" t="str">
        <f t="shared" si="2186"/>
        <v>d</v>
      </c>
      <c r="AL2088" t="str">
        <f t="shared" si="2127"/>
        <v>o</v>
      </c>
      <c r="AN2088" t="s">
        <v>862</v>
      </c>
      <c r="AO2088" t="str">
        <f t="shared" si="2128"/>
        <v>a</v>
      </c>
      <c r="AP2088" t="str">
        <f t="shared" si="2136"/>
        <v>o</v>
      </c>
      <c r="AQ2088" t="str">
        <f t="shared" si="2137"/>
        <v/>
      </c>
      <c r="AR2088" t="str">
        <f t="shared" si="2138"/>
        <v>Away</v>
      </c>
      <c r="AS2088" t="str">
        <f t="shared" si="2139"/>
        <v>a</v>
      </c>
      <c r="AT2088" t="str">
        <f t="shared" si="2140"/>
        <v>Offensive</v>
      </c>
      <c r="BA2088" s="6">
        <f t="shared" si="2129"/>
        <v>475</v>
      </c>
      <c r="BB2088">
        <f t="shared" si="2130"/>
        <v>18981</v>
      </c>
      <c r="BC2088" t="str">
        <f t="shared" si="2131"/>
        <v>Nelson</v>
      </c>
      <c r="BD2088" t="str">
        <f t="shared" si="2132"/>
        <v>Velodrome</v>
      </c>
      <c r="BE2088" t="s">
        <v>15</v>
      </c>
      <c r="BF2088" t="s">
        <v>179</v>
      </c>
      <c r="BG2088" t="s">
        <v>96</v>
      </c>
      <c r="BI2088" cm="1">
        <f t="array" ref="BI2088">IFERROR(_xlfn._xlws.FILTER(shifts!A:A,(shifts!B:B=events!AD2088)*(shifts!AG:AG&gt;=events!BK2088)*(shifts!AH:AH&lt;=events!BL2088)),BI2087)</f>
        <v>90</v>
      </c>
      <c r="BJ2088" s="15">
        <f t="shared" si="2133"/>
        <v>0</v>
      </c>
      <c r="BK2088">
        <f t="shared" si="2141"/>
        <v>502</v>
      </c>
      <c r="BL2088">
        <f t="shared" si="2142"/>
        <v>502</v>
      </c>
      <c r="BM2088" s="15">
        <f>SUMIFS(BJ$2:BJ2088,K$2:K2088,"=Intermission")+SUMIFS(BJ$2:BJ2088,K$2:K2088,"=Timeout")</f>
        <v>142</v>
      </c>
      <c r="BN2088">
        <f t="shared" si="2143"/>
        <v>2302</v>
      </c>
      <c r="BO2088" s="19">
        <f t="shared" si="2144"/>
        <v>2880</v>
      </c>
      <c r="BP2088">
        <f t="shared" si="2145"/>
        <v>2875</v>
      </c>
      <c r="BQ2088" s="17">
        <f t="shared" si="2146"/>
        <v>2880</v>
      </c>
      <c r="BR2088" t="str">
        <f t="shared" si="2147"/>
        <v>opp_team_player_1</v>
      </c>
      <c r="BS2088">
        <f>COUNTIFS(S$3:S2088,"="&amp;S2088,AI$3:AI2088,"="&amp;AI2088)</f>
        <v>1</v>
      </c>
      <c r="BT2088" t="str">
        <f>IFERROR(VLOOKUP(BB2088&amp;BU2088&amp;X2088,game_rosters!U:W,3,FALSE),"")</f>
        <v>P100071</v>
      </c>
      <c r="BU2088" t="str">
        <f t="shared" si="2148"/>
        <v>Nelson</v>
      </c>
    </row>
    <row r="2089" spans="1:73" x14ac:dyDescent="0.2">
      <c r="A2089">
        <f t="shared" si="2134"/>
        <v>1</v>
      </c>
      <c r="J2089" s="44" t="str">
        <f t="shared" si="2149"/>
        <v>d</v>
      </c>
      <c r="K2089" t="s">
        <v>15</v>
      </c>
      <c r="L2089" t="s">
        <v>179</v>
      </c>
      <c r="M2089" t="s">
        <v>96</v>
      </c>
      <c r="S2089">
        <v>1100</v>
      </c>
      <c r="W2089" t="str">
        <f t="shared" si="2125"/>
        <v>a</v>
      </c>
      <c r="X2089">
        <v>10</v>
      </c>
      <c r="Y2089" t="b">
        <f>IF(X2089&lt;&gt;"",VLOOKUP(X2089,game_rosters!$C$43:$E$64,3,FALSE))</f>
        <v>0</v>
      </c>
      <c r="Z2089" t="str" cm="1">
        <f t="array" ref="Z2089">IFERROR(IF(_xlfn._xlws.FILTER(game_rosters!$J:$J,(game_rosters!$G:$G=events!$AN2089)*(game_rosters!$J:$J=events!$X2089))&gt;0,1,""),"")</f>
        <v/>
      </c>
      <c r="AA2089">
        <f t="shared" si="2173"/>
        <v>2100</v>
      </c>
      <c r="AB2089" t="str">
        <f t="shared" si="2174"/>
        <v/>
      </c>
      <c r="AC2089">
        <f t="shared" si="2122"/>
        <v>2100</v>
      </c>
      <c r="AD2089" s="6">
        <v>3</v>
      </c>
      <c r="AE2089" t="s">
        <v>936</v>
      </c>
      <c r="AF2089" t="s">
        <v>918</v>
      </c>
      <c r="AG2089" t="s">
        <v>756</v>
      </c>
      <c r="AH2089" t="s">
        <v>756</v>
      </c>
      <c r="AI2089" t="s">
        <v>368</v>
      </c>
      <c r="AJ2089" t="str">
        <f t="shared" ref="AJ2089:AK2089" si="2187">IF($J2089&lt;&gt;"",$J2089,IF($AC2089=$AC2088,AJ2088,""))</f>
        <v>d</v>
      </c>
      <c r="AK2089" t="str">
        <f t="shared" si="2187"/>
        <v>d</v>
      </c>
      <c r="AL2089" t="str">
        <f t="shared" si="2127"/>
        <v>o</v>
      </c>
      <c r="AN2089" t="s">
        <v>862</v>
      </c>
      <c r="AO2089" t="str">
        <f t="shared" si="2128"/>
        <v>a</v>
      </c>
      <c r="AP2089" t="str">
        <f t="shared" si="2136"/>
        <v>o</v>
      </c>
      <c r="AQ2089" t="str">
        <f t="shared" si="2137"/>
        <v/>
      </c>
      <c r="AR2089" t="str">
        <f t="shared" si="2138"/>
        <v>Away</v>
      </c>
      <c r="AS2089" t="str">
        <f t="shared" si="2139"/>
        <v>a</v>
      </c>
      <c r="AT2089" t="str">
        <f t="shared" si="2140"/>
        <v>Offensive</v>
      </c>
      <c r="BA2089" s="6">
        <f t="shared" si="2129"/>
        <v>475</v>
      </c>
      <c r="BB2089">
        <f t="shared" si="2130"/>
        <v>18981</v>
      </c>
      <c r="BC2089" t="str">
        <f t="shared" si="2131"/>
        <v>Nelson</v>
      </c>
      <c r="BD2089" t="str">
        <f t="shared" si="2132"/>
        <v>Velodrome</v>
      </c>
      <c r="BE2089" t="s">
        <v>15</v>
      </c>
      <c r="BF2089" t="s">
        <v>179</v>
      </c>
      <c r="BG2089" t="s">
        <v>96</v>
      </c>
      <c r="BI2089" cm="1">
        <f t="array" ref="BI2089">IFERROR(_xlfn._xlws.FILTER(shifts!A:A,(shifts!B:B=events!AD2089)*(shifts!AG:AG&gt;=events!BK2089)*(shifts!AH:AH&lt;=events!BL2089)),BI2088)</f>
        <v>90</v>
      </c>
      <c r="BJ2089" s="15">
        <f t="shared" si="2133"/>
        <v>0</v>
      </c>
      <c r="BK2089">
        <f t="shared" si="2141"/>
        <v>502</v>
      </c>
      <c r="BL2089">
        <f t="shared" si="2142"/>
        <v>502</v>
      </c>
      <c r="BM2089" s="15">
        <f>SUMIFS(BJ$2:BJ2089,K$2:K2089,"=Intermission")+SUMIFS(BJ$2:BJ2089,K$2:K2089,"=Timeout")</f>
        <v>142</v>
      </c>
      <c r="BN2089">
        <f t="shared" si="2143"/>
        <v>2302</v>
      </c>
      <c r="BO2089" s="19">
        <f t="shared" si="2144"/>
        <v>2880</v>
      </c>
      <c r="BP2089">
        <f t="shared" si="2145"/>
        <v>2875</v>
      </c>
      <c r="BQ2089" s="17">
        <f t="shared" si="2146"/>
        <v>2880</v>
      </c>
      <c r="BR2089" t="str">
        <f t="shared" si="2147"/>
        <v>opp_team_player_2</v>
      </c>
      <c r="BS2089">
        <f>COUNTIFS(S$3:S2089,"="&amp;S2089,AI$3:AI2089,"="&amp;AI2089)</f>
        <v>2</v>
      </c>
      <c r="BT2089" t="str">
        <f>IFERROR(VLOOKUP(BB2089&amp;BU2089&amp;X2089,game_rosters!U:W,3,FALSE),"")</f>
        <v>P100078</v>
      </c>
      <c r="BU2089" t="str">
        <f t="shared" si="2148"/>
        <v>Nelson</v>
      </c>
    </row>
    <row r="2090" spans="1:73" x14ac:dyDescent="0.2">
      <c r="A2090">
        <f t="shared" si="2134"/>
        <v>1</v>
      </c>
      <c r="J2090" s="44" t="str">
        <f t="shared" si="2149"/>
        <v>d</v>
      </c>
      <c r="K2090" t="s">
        <v>231</v>
      </c>
      <c r="L2090" t="s">
        <v>232</v>
      </c>
      <c r="M2090" t="s">
        <v>756</v>
      </c>
      <c r="S2090">
        <v>1101</v>
      </c>
      <c r="W2090" t="str">
        <f t="shared" si="2125"/>
        <v>a</v>
      </c>
      <c r="X2090">
        <v>39</v>
      </c>
      <c r="Y2090" t="e">
        <f>IF(X2090&lt;&gt;"",VLOOKUP(X2090,game_rosters!$C$43:$E$64,3,FALSE))</f>
        <v>#N/A</v>
      </c>
      <c r="Z2090" cm="1">
        <f t="array" ref="Z2090">IFERROR(IF(_xlfn._xlws.FILTER(game_rosters!$J:$J,(game_rosters!$G:$G=events!$AN2090)*(game_rosters!$J:$J=events!$X2090))&gt;0,1,""),"")</f>
        <v>1</v>
      </c>
      <c r="AA2090">
        <f t="shared" si="2173"/>
        <v>2101</v>
      </c>
      <c r="AB2090" t="str">
        <f t="shared" si="2174"/>
        <v/>
      </c>
      <c r="AC2090">
        <f t="shared" si="2122"/>
        <v>2101</v>
      </c>
      <c r="AD2090" s="6">
        <v>3</v>
      </c>
      <c r="AE2090" t="s">
        <v>936</v>
      </c>
      <c r="AF2090" t="s">
        <v>918</v>
      </c>
      <c r="AG2090" t="s">
        <v>756</v>
      </c>
      <c r="AH2090" t="s">
        <v>756</v>
      </c>
      <c r="AI2090" t="s">
        <v>367</v>
      </c>
      <c r="AJ2090" t="str">
        <f t="shared" ref="AJ2090:AK2090" si="2188">IF($J2090&lt;&gt;"",$J2090,IF($AC2090=$AC2089,AJ2089,""))</f>
        <v>d</v>
      </c>
      <c r="AK2090" t="str">
        <f t="shared" si="2188"/>
        <v>d</v>
      </c>
      <c r="AL2090" t="str">
        <f t="shared" si="2127"/>
        <v>o</v>
      </c>
      <c r="AN2090" t="s">
        <v>862</v>
      </c>
      <c r="AO2090" t="str">
        <f t="shared" si="2128"/>
        <v>a</v>
      </c>
      <c r="AP2090" t="str">
        <f t="shared" si="2136"/>
        <v>o</v>
      </c>
      <c r="AQ2090" t="str">
        <f t="shared" si="2137"/>
        <v/>
      </c>
      <c r="AR2090" t="str">
        <f t="shared" si="2138"/>
        <v>Away</v>
      </c>
      <c r="AS2090" t="str">
        <f t="shared" si="2139"/>
        <v>a</v>
      </c>
      <c r="AT2090" t="str">
        <f t="shared" si="2140"/>
        <v>Offensive</v>
      </c>
      <c r="BA2090" s="6">
        <f t="shared" si="2129"/>
        <v>475</v>
      </c>
      <c r="BB2090">
        <f t="shared" si="2130"/>
        <v>18981</v>
      </c>
      <c r="BC2090" t="str">
        <f t="shared" si="2131"/>
        <v>Nelson</v>
      </c>
      <c r="BD2090" t="str">
        <f t="shared" si="2132"/>
        <v>Velodrome</v>
      </c>
      <c r="BE2090" t="s">
        <v>231</v>
      </c>
      <c r="BF2090" t="s">
        <v>232</v>
      </c>
      <c r="BG2090" t="s">
        <v>756</v>
      </c>
      <c r="BI2090" cm="1">
        <f t="array" ref="BI2090">IFERROR(_xlfn._xlws.FILTER(shifts!A:A,(shifts!B:B=events!AD2090)*(shifts!AG:AG&gt;=events!BK2090)*(shifts!AH:AH&lt;=events!BL2090)),BI2089)</f>
        <v>90</v>
      </c>
      <c r="BJ2090" s="15">
        <f t="shared" si="2133"/>
        <v>0</v>
      </c>
      <c r="BK2090">
        <f t="shared" si="2141"/>
        <v>502</v>
      </c>
      <c r="BL2090">
        <f t="shared" si="2142"/>
        <v>502</v>
      </c>
      <c r="BM2090" s="15">
        <f>SUMIFS(BJ$2:BJ2090,K$2:K2090,"=Intermission")+SUMIFS(BJ$2:BJ2090,K$2:K2090,"=Timeout")</f>
        <v>142</v>
      </c>
      <c r="BN2090">
        <f t="shared" si="2143"/>
        <v>2302</v>
      </c>
      <c r="BO2090" s="19">
        <f t="shared" si="2144"/>
        <v>2880</v>
      </c>
      <c r="BP2090">
        <f t="shared" si="2145"/>
        <v>2875</v>
      </c>
      <c r="BQ2090" s="17">
        <f t="shared" si="2146"/>
        <v>2880</v>
      </c>
      <c r="BR2090" t="str">
        <f t="shared" si="2147"/>
        <v>event_team_player_1</v>
      </c>
      <c r="BS2090">
        <f>COUNTIFS(S$3:S2090,"="&amp;S2090,AI$3:AI2090,"="&amp;AI2090)</f>
        <v>1</v>
      </c>
      <c r="BT2090" t="str">
        <f>IFERROR(VLOOKUP(BB2090&amp;BU2090&amp;X2090,game_rosters!U:W,3,FALSE),"")</f>
        <v>P100016</v>
      </c>
      <c r="BU2090" t="str">
        <f t="shared" si="2148"/>
        <v>Velodrome</v>
      </c>
    </row>
    <row r="2091" spans="1:73" x14ac:dyDescent="0.2">
      <c r="A2091">
        <f t="shared" si="2134"/>
        <v>1</v>
      </c>
      <c r="J2091" s="44" t="str">
        <f t="shared" si="2149"/>
        <v>d</v>
      </c>
      <c r="K2091" t="s">
        <v>238</v>
      </c>
      <c r="L2091" t="s">
        <v>184</v>
      </c>
      <c r="M2091" t="s">
        <v>88</v>
      </c>
      <c r="S2091">
        <v>1102</v>
      </c>
      <c r="W2091" t="str">
        <f t="shared" si="2125"/>
        <v>a</v>
      </c>
      <c r="X2091">
        <v>22</v>
      </c>
      <c r="Y2091" t="e">
        <f>IF(X2091&lt;&gt;"",VLOOKUP(X2091,game_rosters!$C$43:$E$64,3,FALSE))</f>
        <v>#N/A</v>
      </c>
      <c r="Z2091" cm="1">
        <f t="array" ref="Z2091">IFERROR(IF(_xlfn._xlws.FILTER(game_rosters!$J:$J,(game_rosters!$G:$G=events!$AN2091)*(game_rosters!$J:$J=events!$X2091))&gt;0,1,""),"")</f>
        <v>1</v>
      </c>
      <c r="AA2091">
        <f t="shared" si="2173"/>
        <v>2102</v>
      </c>
      <c r="AB2091" t="str">
        <f t="shared" si="2174"/>
        <v/>
      </c>
      <c r="AC2091">
        <f t="shared" si="2122"/>
        <v>2102</v>
      </c>
      <c r="AD2091" s="6">
        <v>3</v>
      </c>
      <c r="AE2091" t="s">
        <v>936</v>
      </c>
      <c r="AF2091" t="s">
        <v>908</v>
      </c>
      <c r="AG2091" t="s">
        <v>936</v>
      </c>
      <c r="AH2091" t="s">
        <v>732</v>
      </c>
      <c r="AI2091" t="s">
        <v>367</v>
      </c>
      <c r="AJ2091" t="str">
        <f t="shared" ref="AJ2091:AK2091" si="2189">IF($J2091&lt;&gt;"",$J2091,IF($AC2091=$AC2090,AJ2090,""))</f>
        <v>d</v>
      </c>
      <c r="AK2091" t="str">
        <f t="shared" si="2189"/>
        <v>d</v>
      </c>
      <c r="AL2091" t="str">
        <f t="shared" si="2127"/>
        <v>o</v>
      </c>
      <c r="AN2091" t="s">
        <v>862</v>
      </c>
      <c r="AO2091" t="str">
        <f t="shared" si="2128"/>
        <v>a</v>
      </c>
      <c r="AP2091" t="str">
        <f t="shared" si="2136"/>
        <v>o</v>
      </c>
      <c r="AQ2091" t="str">
        <f t="shared" si="2137"/>
        <v/>
      </c>
      <c r="AR2091" t="str">
        <f t="shared" si="2138"/>
        <v>Away</v>
      </c>
      <c r="AS2091" t="str">
        <f t="shared" si="2139"/>
        <v>a</v>
      </c>
      <c r="AT2091" t="str">
        <f t="shared" si="2140"/>
        <v>Offensive</v>
      </c>
      <c r="BA2091" s="6">
        <f t="shared" si="2129"/>
        <v>476</v>
      </c>
      <c r="BB2091">
        <f t="shared" si="2130"/>
        <v>18981</v>
      </c>
      <c r="BC2091" t="str">
        <f t="shared" si="2131"/>
        <v>Nelson</v>
      </c>
      <c r="BD2091" t="str">
        <f t="shared" si="2132"/>
        <v>Velodrome</v>
      </c>
      <c r="BE2091" t="s">
        <v>238</v>
      </c>
      <c r="BF2091" t="s">
        <v>184</v>
      </c>
      <c r="BG2091" t="s">
        <v>88</v>
      </c>
      <c r="BI2091" cm="1">
        <f t="array" ref="BI2091">IFERROR(_xlfn._xlws.FILTER(shifts!A:A,(shifts!B:B=events!AD2091)*(shifts!AG:AG&gt;=events!BK2091)*(shifts!AH:AH&lt;=events!BL2091)),BI2090)</f>
        <v>90</v>
      </c>
      <c r="BJ2091" s="15">
        <f t="shared" si="2133"/>
        <v>2</v>
      </c>
      <c r="BK2091">
        <f t="shared" si="2141"/>
        <v>499</v>
      </c>
      <c r="BL2091">
        <f t="shared" si="2142"/>
        <v>497</v>
      </c>
      <c r="BM2091" s="15">
        <f>SUMIFS(BJ$2:BJ2091,K$2:K2091,"=Intermission")+SUMIFS(BJ$2:BJ2091,K$2:K2091,"=Timeout")</f>
        <v>142</v>
      </c>
      <c r="BN2091">
        <f t="shared" si="2143"/>
        <v>2302</v>
      </c>
      <c r="BO2091" s="19">
        <f t="shared" si="2144"/>
        <v>2883</v>
      </c>
      <c r="BP2091">
        <f t="shared" si="2145"/>
        <v>2878</v>
      </c>
      <c r="BQ2091" s="17">
        <f t="shared" si="2146"/>
        <v>2885</v>
      </c>
      <c r="BR2091" t="str">
        <f t="shared" si="2147"/>
        <v>event_team_player_1</v>
      </c>
      <c r="BS2091">
        <f>COUNTIFS(S$3:S2091,"="&amp;S2091,AI$3:AI2091,"="&amp;AI2091)</f>
        <v>1</v>
      </c>
      <c r="BT2091" t="str">
        <f>IFERROR(VLOOKUP(BB2091&amp;BU2091&amp;X2091,game_rosters!U:W,3,FALSE),"")</f>
        <v>P100108</v>
      </c>
      <c r="BU2091" t="str">
        <f t="shared" si="2148"/>
        <v>Velodrome</v>
      </c>
    </row>
    <row r="2092" spans="1:73" x14ac:dyDescent="0.2">
      <c r="A2092">
        <f t="shared" si="2134"/>
        <v>1</v>
      </c>
      <c r="J2092" s="44" t="str">
        <f t="shared" si="2149"/>
        <v/>
      </c>
      <c r="K2092" t="s">
        <v>13</v>
      </c>
      <c r="L2092" t="s">
        <v>756</v>
      </c>
      <c r="M2092" t="s">
        <v>756</v>
      </c>
      <c r="S2092">
        <v>1103</v>
      </c>
      <c r="W2092" t="str">
        <f t="shared" si="2125"/>
        <v>a</v>
      </c>
      <c r="X2092">
        <v>22</v>
      </c>
      <c r="Y2092" t="e">
        <f>IF(X2092&lt;&gt;"",VLOOKUP(X2092,game_rosters!$C$43:$E$64,3,FALSE))</f>
        <v>#N/A</v>
      </c>
      <c r="Z2092" cm="1">
        <f t="array" ref="Z2092">IFERROR(IF(_xlfn._xlws.FILTER(game_rosters!$J:$J,(game_rosters!$G:$G=events!$AN2092)*(game_rosters!$J:$J=events!$X2092))&gt;0,1,""),"")</f>
        <v>1</v>
      </c>
      <c r="AA2092">
        <f t="shared" si="2173"/>
        <v>2103</v>
      </c>
      <c r="AB2092" t="str">
        <f t="shared" si="2174"/>
        <v/>
      </c>
      <c r="AC2092">
        <f t="shared" si="2122"/>
        <v>2103</v>
      </c>
      <c r="AD2092" s="6">
        <v>3</v>
      </c>
      <c r="AE2092" t="s">
        <v>936</v>
      </c>
      <c r="AF2092" t="s">
        <v>732</v>
      </c>
      <c r="AG2092" t="s">
        <v>936</v>
      </c>
      <c r="AH2092" t="s">
        <v>745</v>
      </c>
      <c r="AI2092" t="s">
        <v>367</v>
      </c>
      <c r="AJ2092" t="str">
        <f t="shared" ref="AJ2092:AK2092" si="2190">IF($J2092&lt;&gt;"",$J2092,IF($AC2092=$AC2091,AJ2091,""))</f>
        <v/>
      </c>
      <c r="AK2092" t="str">
        <f t="shared" si="2190"/>
        <v/>
      </c>
      <c r="AL2092" t="str">
        <f t="shared" si="2127"/>
        <v/>
      </c>
      <c r="AN2092" t="s">
        <v>862</v>
      </c>
      <c r="AO2092" t="str">
        <f t="shared" si="2128"/>
        <v>a</v>
      </c>
      <c r="AP2092" t="str">
        <f t="shared" si="2136"/>
        <v/>
      </c>
      <c r="AQ2092" t="str">
        <f t="shared" si="2137"/>
        <v/>
      </c>
      <c r="AR2092" t="str">
        <f t="shared" si="2138"/>
        <v>Away</v>
      </c>
      <c r="AS2092" t="str">
        <f t="shared" si="2139"/>
        <v>a</v>
      </c>
      <c r="AT2092" t="str">
        <f t="shared" si="2140"/>
        <v>Offensive</v>
      </c>
      <c r="BA2092" s="6">
        <f t="shared" si="2129"/>
        <v>476</v>
      </c>
      <c r="BB2092">
        <f t="shared" si="2130"/>
        <v>18981</v>
      </c>
      <c r="BC2092" t="str">
        <f t="shared" si="2131"/>
        <v>Nelson</v>
      </c>
      <c r="BD2092" t="str">
        <f t="shared" si="2132"/>
        <v>Velodrome</v>
      </c>
      <c r="BE2092" t="s">
        <v>13</v>
      </c>
      <c r="BF2092" t="s">
        <v>756</v>
      </c>
      <c r="BG2092" t="s">
        <v>756</v>
      </c>
      <c r="BI2092" cm="1">
        <f t="array" ref="BI2092">IFERROR(_xlfn._xlws.FILTER(shifts!A:A,(shifts!B:B=events!AD2092)*(shifts!AG:AG&gt;=events!BK2092)*(shifts!AH:AH&lt;=events!BL2092)),BI2091)</f>
        <v>90</v>
      </c>
      <c r="BJ2092" s="15">
        <f t="shared" si="2133"/>
        <v>3</v>
      </c>
      <c r="BK2092">
        <f t="shared" si="2141"/>
        <v>497</v>
      </c>
      <c r="BL2092">
        <f t="shared" si="2142"/>
        <v>494</v>
      </c>
      <c r="BM2092" s="15">
        <f>SUMIFS(BJ$2:BJ2092,K$2:K2092,"=Intermission")+SUMIFS(BJ$2:BJ2092,K$2:K2092,"=Timeout")</f>
        <v>142</v>
      </c>
      <c r="BN2092">
        <f t="shared" si="2143"/>
        <v>2302</v>
      </c>
      <c r="BO2092" s="19">
        <f t="shared" si="2144"/>
        <v>2885</v>
      </c>
      <c r="BP2092">
        <f t="shared" si="2145"/>
        <v>2880</v>
      </c>
      <c r="BQ2092" s="17">
        <f t="shared" si="2146"/>
        <v>2888</v>
      </c>
      <c r="BR2092" t="str">
        <f t="shared" si="2147"/>
        <v>event_team_player_1</v>
      </c>
      <c r="BS2092">
        <f>COUNTIFS(S$3:S2092,"="&amp;S2092,AI$3:AI2092,"="&amp;AI2092)</f>
        <v>1</v>
      </c>
      <c r="BT2092" t="str">
        <f>IFERROR(VLOOKUP(BB2092&amp;BU2092&amp;X2092,game_rosters!U:W,3,FALSE),"")</f>
        <v>P100108</v>
      </c>
      <c r="BU2092" t="str">
        <f t="shared" si="2148"/>
        <v>Velodrome</v>
      </c>
    </row>
    <row r="2093" spans="1:73" x14ac:dyDescent="0.2">
      <c r="A2093">
        <f t="shared" si="2134"/>
        <v>1</v>
      </c>
      <c r="J2093" s="44" t="str">
        <f t="shared" si="2149"/>
        <v>o</v>
      </c>
      <c r="K2093" t="s">
        <v>238</v>
      </c>
      <c r="L2093" t="s">
        <v>174</v>
      </c>
      <c r="M2093" t="s">
        <v>85</v>
      </c>
      <c r="S2093">
        <v>1104</v>
      </c>
      <c r="W2093" t="str">
        <f t="shared" si="2125"/>
        <v>a</v>
      </c>
      <c r="X2093">
        <v>22</v>
      </c>
      <c r="Y2093" t="e">
        <f>IF(X2093&lt;&gt;"",VLOOKUP(X2093,game_rosters!$C$43:$E$64,3,FALSE))</f>
        <v>#N/A</v>
      </c>
      <c r="Z2093" cm="1">
        <f t="array" ref="Z2093">IFERROR(IF(_xlfn._xlws.FILTER(game_rosters!$J:$J,(game_rosters!$G:$G=events!$AN2093)*(game_rosters!$J:$J=events!$X2093))&gt;0,1,""),"")</f>
        <v>1</v>
      </c>
      <c r="AA2093">
        <f t="shared" si="2173"/>
        <v>2104</v>
      </c>
      <c r="AB2093" t="str">
        <f t="shared" si="2174"/>
        <v/>
      </c>
      <c r="AC2093">
        <f t="shared" si="2122"/>
        <v>2104</v>
      </c>
      <c r="AD2093" s="6">
        <v>3</v>
      </c>
      <c r="AE2093" t="s">
        <v>936</v>
      </c>
      <c r="AF2093" t="s">
        <v>745</v>
      </c>
      <c r="AG2093" t="s">
        <v>936</v>
      </c>
      <c r="AH2093" t="s">
        <v>746</v>
      </c>
      <c r="AI2093" t="s">
        <v>367</v>
      </c>
      <c r="AJ2093" t="str">
        <f t="shared" ref="AJ2093:AK2093" si="2191">IF($J2093&lt;&gt;"",$J2093,IF($AC2093=$AC2092,AJ2092,""))</f>
        <v>o</v>
      </c>
      <c r="AK2093" t="str">
        <f t="shared" si="2191"/>
        <v>o</v>
      </c>
      <c r="AL2093" t="str">
        <f t="shared" si="2127"/>
        <v>d</v>
      </c>
      <c r="AN2093" t="s">
        <v>862</v>
      </c>
      <c r="AO2093" t="str">
        <f t="shared" si="2128"/>
        <v>a</v>
      </c>
      <c r="AP2093" t="str">
        <f t="shared" si="2136"/>
        <v>d</v>
      </c>
      <c r="AQ2093" t="str">
        <f t="shared" si="2137"/>
        <v/>
      </c>
      <c r="AR2093" t="str">
        <f t="shared" si="2138"/>
        <v>Away</v>
      </c>
      <c r="AS2093" t="str">
        <f t="shared" si="2139"/>
        <v>a</v>
      </c>
      <c r="AT2093" t="str">
        <f t="shared" si="2140"/>
        <v>Offensive</v>
      </c>
      <c r="BA2093" s="6">
        <f t="shared" si="2129"/>
        <v>477</v>
      </c>
      <c r="BB2093">
        <f t="shared" si="2130"/>
        <v>18981</v>
      </c>
      <c r="BC2093" t="str">
        <f t="shared" si="2131"/>
        <v>Nelson</v>
      </c>
      <c r="BD2093" t="str">
        <f t="shared" si="2132"/>
        <v>Velodrome</v>
      </c>
      <c r="BE2093" t="s">
        <v>238</v>
      </c>
      <c r="BF2093" t="s">
        <v>174</v>
      </c>
      <c r="BG2093" t="s">
        <v>85</v>
      </c>
      <c r="BI2093" cm="1">
        <f t="array" ref="BI2093">IFERROR(_xlfn._xlws.FILTER(shifts!A:A,(shifts!B:B=events!AD2093)*(shifts!AG:AG&gt;=events!BK2093)*(shifts!AH:AH&lt;=events!BL2093)),BI2092)</f>
        <v>90</v>
      </c>
      <c r="BJ2093" s="15">
        <f t="shared" si="2133"/>
        <v>2</v>
      </c>
      <c r="BK2093">
        <f t="shared" si="2141"/>
        <v>494</v>
      </c>
      <c r="BL2093">
        <f t="shared" si="2142"/>
        <v>492</v>
      </c>
      <c r="BM2093" s="15">
        <f>SUMIFS(BJ$2:BJ2093,K$2:K2093,"=Intermission")+SUMIFS(BJ$2:BJ2093,K$2:K2093,"=Timeout")</f>
        <v>142</v>
      </c>
      <c r="BN2093">
        <f t="shared" si="2143"/>
        <v>2302</v>
      </c>
      <c r="BO2093" s="19">
        <f t="shared" si="2144"/>
        <v>2888</v>
      </c>
      <c r="BP2093">
        <f t="shared" si="2145"/>
        <v>2883</v>
      </c>
      <c r="BQ2093" s="17">
        <f t="shared" si="2146"/>
        <v>2890</v>
      </c>
      <c r="BR2093" t="str">
        <f t="shared" si="2147"/>
        <v>event_team_player_1</v>
      </c>
      <c r="BS2093">
        <f>COUNTIFS(S$3:S2093,"="&amp;S2093,AI$3:AI2093,"="&amp;AI2093)</f>
        <v>1</v>
      </c>
      <c r="BT2093" t="str">
        <f>IFERROR(VLOOKUP(BB2093&amp;BU2093&amp;X2093,game_rosters!U:W,3,FALSE),"")</f>
        <v>P100108</v>
      </c>
      <c r="BU2093" t="str">
        <f t="shared" si="2148"/>
        <v>Velodrome</v>
      </c>
    </row>
    <row r="2094" spans="1:73" x14ac:dyDescent="0.2">
      <c r="A2094">
        <f t="shared" si="2134"/>
        <v>1</v>
      </c>
      <c r="J2094" s="44" t="str">
        <f t="shared" si="2149"/>
        <v>o</v>
      </c>
      <c r="K2094" t="s">
        <v>238</v>
      </c>
      <c r="L2094" t="s">
        <v>174</v>
      </c>
      <c r="M2094" t="s">
        <v>85</v>
      </c>
      <c r="S2094">
        <v>1104</v>
      </c>
      <c r="W2094" t="str">
        <f t="shared" si="2125"/>
        <v>a</v>
      </c>
      <c r="X2094">
        <v>70</v>
      </c>
      <c r="Y2094" t="e">
        <f>IF(X2094&lt;&gt;"",VLOOKUP(X2094,game_rosters!$C$43:$E$64,3,FALSE))</f>
        <v>#N/A</v>
      </c>
      <c r="Z2094" cm="1">
        <f t="array" ref="Z2094">IFERROR(IF(_xlfn._xlws.FILTER(game_rosters!$J:$J,(game_rosters!$G:$G=events!$AN2094)*(game_rosters!$J:$J=events!$X2094))&gt;0,1,""),"")</f>
        <v>1</v>
      </c>
      <c r="AA2094">
        <f t="shared" si="2173"/>
        <v>2104</v>
      </c>
      <c r="AB2094" t="str">
        <f t="shared" si="2174"/>
        <v/>
      </c>
      <c r="AC2094">
        <f t="shared" si="2122"/>
        <v>2104</v>
      </c>
      <c r="AD2094" s="6">
        <v>3</v>
      </c>
      <c r="AE2094" t="s">
        <v>936</v>
      </c>
      <c r="AF2094" t="s">
        <v>745</v>
      </c>
      <c r="AG2094" t="s">
        <v>936</v>
      </c>
      <c r="AH2094" t="s">
        <v>746</v>
      </c>
      <c r="AI2094" t="s">
        <v>367</v>
      </c>
      <c r="AJ2094" t="str">
        <f t="shared" ref="AJ2094:AK2094" si="2192">IF($J2094&lt;&gt;"",$J2094,IF($AC2094=$AC2093,AJ2093,""))</f>
        <v>o</v>
      </c>
      <c r="AK2094" t="str">
        <f t="shared" si="2192"/>
        <v>o</v>
      </c>
      <c r="AL2094" t="str">
        <f t="shared" si="2127"/>
        <v>d</v>
      </c>
      <c r="AN2094" t="s">
        <v>862</v>
      </c>
      <c r="AO2094" t="str">
        <f t="shared" si="2128"/>
        <v>a</v>
      </c>
      <c r="AP2094" t="str">
        <f t="shared" si="2136"/>
        <v>d</v>
      </c>
      <c r="AQ2094" t="str">
        <f t="shared" si="2137"/>
        <v/>
      </c>
      <c r="AR2094" t="str">
        <f t="shared" si="2138"/>
        <v>Away</v>
      </c>
      <c r="AS2094" t="str">
        <f t="shared" si="2139"/>
        <v>a</v>
      </c>
      <c r="AT2094" t="str">
        <f t="shared" si="2140"/>
        <v>Offensive</v>
      </c>
      <c r="BA2094" s="6">
        <f t="shared" si="2129"/>
        <v>478</v>
      </c>
      <c r="BB2094">
        <f t="shared" si="2130"/>
        <v>18981</v>
      </c>
      <c r="BC2094" t="str">
        <f t="shared" si="2131"/>
        <v>Nelson</v>
      </c>
      <c r="BD2094" t="str">
        <f t="shared" si="2132"/>
        <v>Velodrome</v>
      </c>
      <c r="BE2094" t="s">
        <v>238</v>
      </c>
      <c r="BF2094" t="s">
        <v>174</v>
      </c>
      <c r="BG2094" t="s">
        <v>85</v>
      </c>
      <c r="BI2094" cm="1">
        <f t="array" ref="BI2094">IFERROR(_xlfn._xlws.FILTER(shifts!A:A,(shifts!B:B=events!AD2094)*(shifts!AG:AG&gt;=events!BK2094)*(shifts!AH:AH&lt;=events!BL2094)),BI2093)</f>
        <v>90</v>
      </c>
      <c r="BJ2094" s="15">
        <f t="shared" si="2133"/>
        <v>2</v>
      </c>
      <c r="BK2094">
        <f t="shared" si="2141"/>
        <v>494</v>
      </c>
      <c r="BL2094">
        <f t="shared" si="2142"/>
        <v>492</v>
      </c>
      <c r="BM2094" s="15">
        <f>SUMIFS(BJ$2:BJ2094,K$2:K2094,"=Intermission")+SUMIFS(BJ$2:BJ2094,K$2:K2094,"=Timeout")</f>
        <v>142</v>
      </c>
      <c r="BN2094">
        <f t="shared" si="2143"/>
        <v>2302</v>
      </c>
      <c r="BO2094" s="19">
        <f t="shared" si="2144"/>
        <v>2888</v>
      </c>
      <c r="BP2094">
        <f t="shared" si="2145"/>
        <v>2883</v>
      </c>
      <c r="BQ2094" s="17">
        <f t="shared" si="2146"/>
        <v>2890</v>
      </c>
      <c r="BR2094" t="str">
        <f t="shared" si="2147"/>
        <v>event_team_player_2</v>
      </c>
      <c r="BS2094">
        <f>COUNTIFS(S$3:S2094,"="&amp;S2094,AI$3:AI2094,"="&amp;AI2094)</f>
        <v>2</v>
      </c>
      <c r="BT2094" t="str">
        <f>IFERROR(VLOOKUP(BB2094&amp;BU2094&amp;X2094,game_rosters!U:W,3,FALSE),"")</f>
        <v>P100001</v>
      </c>
      <c r="BU2094" t="str">
        <f t="shared" si="2148"/>
        <v>Velodrome</v>
      </c>
    </row>
    <row r="2095" spans="1:73" x14ac:dyDescent="0.2">
      <c r="A2095">
        <f t="shared" si="2134"/>
        <v>1</v>
      </c>
      <c r="J2095" s="44" t="str">
        <f t="shared" si="2149"/>
        <v>o</v>
      </c>
      <c r="K2095" t="s">
        <v>238</v>
      </c>
      <c r="L2095" t="s">
        <v>174</v>
      </c>
      <c r="M2095" t="s">
        <v>85</v>
      </c>
      <c r="S2095">
        <v>1104</v>
      </c>
      <c r="W2095" t="str">
        <f t="shared" si="2125"/>
        <v>a</v>
      </c>
      <c r="X2095">
        <v>23</v>
      </c>
      <c r="Y2095" t="b">
        <f>IF(X2095&lt;&gt;"",VLOOKUP(X2095,game_rosters!$C$43:$E$64,3,FALSE))</f>
        <v>0</v>
      </c>
      <c r="Z2095" t="str" cm="1">
        <f t="array" ref="Z2095">IFERROR(IF(_xlfn._xlws.FILTER(game_rosters!$J:$J,(game_rosters!$G:$G=events!$AN2095)*(game_rosters!$J:$J=events!$X2095))&gt;0,1,""),"")</f>
        <v/>
      </c>
      <c r="AA2095">
        <f t="shared" si="2173"/>
        <v>2104</v>
      </c>
      <c r="AB2095" t="str">
        <f t="shared" si="2174"/>
        <v/>
      </c>
      <c r="AC2095">
        <f t="shared" si="2122"/>
        <v>2104</v>
      </c>
      <c r="AD2095" s="6">
        <v>3</v>
      </c>
      <c r="AE2095" t="s">
        <v>936</v>
      </c>
      <c r="AF2095" t="s">
        <v>745</v>
      </c>
      <c r="AG2095" t="s">
        <v>936</v>
      </c>
      <c r="AH2095" t="s">
        <v>746</v>
      </c>
      <c r="AI2095" t="s">
        <v>368</v>
      </c>
      <c r="AJ2095" t="str">
        <f t="shared" ref="AJ2095:AK2095" si="2193">IF($J2095&lt;&gt;"",$J2095,IF($AC2095=$AC2094,AJ2094,""))</f>
        <v>o</v>
      </c>
      <c r="AK2095" t="str">
        <f t="shared" si="2193"/>
        <v>o</v>
      </c>
      <c r="AL2095" t="str">
        <f t="shared" si="2127"/>
        <v>d</v>
      </c>
      <c r="AN2095" t="s">
        <v>862</v>
      </c>
      <c r="AO2095" t="str">
        <f t="shared" si="2128"/>
        <v>a</v>
      </c>
      <c r="AP2095" t="str">
        <f t="shared" si="2136"/>
        <v>d</v>
      </c>
      <c r="AQ2095" t="str">
        <f t="shared" si="2137"/>
        <v/>
      </c>
      <c r="AR2095" t="str">
        <f t="shared" si="2138"/>
        <v>Away</v>
      </c>
      <c r="AS2095" t="str">
        <f t="shared" si="2139"/>
        <v>a</v>
      </c>
      <c r="AT2095" t="str">
        <f t="shared" si="2140"/>
        <v>Defensive</v>
      </c>
      <c r="BA2095" s="6">
        <f t="shared" si="2129"/>
        <v>479</v>
      </c>
      <c r="BB2095">
        <f t="shared" si="2130"/>
        <v>18981</v>
      </c>
      <c r="BC2095" t="str">
        <f t="shared" si="2131"/>
        <v>Nelson</v>
      </c>
      <c r="BD2095" t="str">
        <f t="shared" si="2132"/>
        <v>Velodrome</v>
      </c>
      <c r="BE2095" t="s">
        <v>238</v>
      </c>
      <c r="BF2095" t="s">
        <v>174</v>
      </c>
      <c r="BG2095" t="s">
        <v>85</v>
      </c>
      <c r="BI2095" cm="1">
        <f t="array" ref="BI2095">IFERROR(_xlfn._xlws.FILTER(shifts!A:A,(shifts!B:B=events!AD2095)*(shifts!AG:AG&gt;=events!BK2095)*(shifts!AH:AH&lt;=events!BL2095)),BI2094)</f>
        <v>90</v>
      </c>
      <c r="BJ2095" s="15">
        <f t="shared" si="2133"/>
        <v>2</v>
      </c>
      <c r="BK2095">
        <f t="shared" si="2141"/>
        <v>494</v>
      </c>
      <c r="BL2095">
        <f t="shared" si="2142"/>
        <v>492</v>
      </c>
      <c r="BM2095" s="15">
        <f>SUMIFS(BJ$2:BJ2095,K$2:K2095,"=Intermission")+SUMIFS(BJ$2:BJ2095,K$2:K2095,"=Timeout")</f>
        <v>142</v>
      </c>
      <c r="BN2095">
        <f t="shared" si="2143"/>
        <v>2302</v>
      </c>
      <c r="BO2095" s="19">
        <f t="shared" si="2144"/>
        <v>2888</v>
      </c>
      <c r="BP2095">
        <f t="shared" si="2145"/>
        <v>2883</v>
      </c>
      <c r="BQ2095" s="17">
        <f t="shared" si="2146"/>
        <v>2890</v>
      </c>
      <c r="BR2095" t="str">
        <f t="shared" si="2147"/>
        <v>opp_team_player_1</v>
      </c>
      <c r="BS2095">
        <f>COUNTIFS(S$3:S2095,"="&amp;S2095,AI$3:AI2095,"="&amp;AI2095)</f>
        <v>1</v>
      </c>
      <c r="BT2095" t="str">
        <f>IFERROR(VLOOKUP(BB2095&amp;BU2095&amp;X2095,game_rosters!U:W,3,FALSE),"")</f>
        <v>P100061</v>
      </c>
      <c r="BU2095" t="str">
        <f t="shared" si="2148"/>
        <v>Nelson</v>
      </c>
    </row>
    <row r="2096" spans="1:73" x14ac:dyDescent="0.2">
      <c r="A2096">
        <f t="shared" si="2134"/>
        <v>1</v>
      </c>
      <c r="J2096" s="44" t="str">
        <f t="shared" si="2149"/>
        <v>o</v>
      </c>
      <c r="K2096" t="s">
        <v>238</v>
      </c>
      <c r="L2096" t="s">
        <v>174</v>
      </c>
      <c r="M2096" t="s">
        <v>85</v>
      </c>
      <c r="S2096">
        <v>1104</v>
      </c>
      <c r="W2096" t="str">
        <f t="shared" si="2125"/>
        <v>a</v>
      </c>
      <c r="X2096">
        <v>37</v>
      </c>
      <c r="Y2096" t="b">
        <f>IF(X2096&lt;&gt;"",VLOOKUP(X2096,game_rosters!$C$43:$E$64,3,FALSE))</f>
        <v>0</v>
      </c>
      <c r="Z2096" t="str" cm="1">
        <f t="array" ref="Z2096">IFERROR(IF(_xlfn._xlws.FILTER(game_rosters!$J:$J,(game_rosters!$G:$G=events!$AN2096)*(game_rosters!$J:$J=events!$X2096))&gt;0,1,""),"")</f>
        <v/>
      </c>
      <c r="AA2096">
        <f t="shared" si="2173"/>
        <v>2104</v>
      </c>
      <c r="AB2096" t="str">
        <f t="shared" si="2174"/>
        <v/>
      </c>
      <c r="AC2096">
        <f t="shared" si="2122"/>
        <v>2104</v>
      </c>
      <c r="AD2096" s="6">
        <v>3</v>
      </c>
      <c r="AE2096" t="s">
        <v>936</v>
      </c>
      <c r="AF2096" t="s">
        <v>745</v>
      </c>
      <c r="AG2096" t="s">
        <v>936</v>
      </c>
      <c r="AH2096" t="s">
        <v>746</v>
      </c>
      <c r="AI2096" t="s">
        <v>368</v>
      </c>
      <c r="AJ2096" t="str">
        <f t="shared" ref="AJ2096:AK2096" si="2194">IF($J2096&lt;&gt;"",$J2096,IF($AC2096=$AC2095,AJ2095,""))</f>
        <v>o</v>
      </c>
      <c r="AK2096" t="str">
        <f t="shared" si="2194"/>
        <v>o</v>
      </c>
      <c r="AL2096" t="str">
        <f t="shared" si="2127"/>
        <v>d</v>
      </c>
      <c r="AN2096" t="s">
        <v>862</v>
      </c>
      <c r="AO2096" t="str">
        <f t="shared" si="2128"/>
        <v>a</v>
      </c>
      <c r="AP2096" t="str">
        <f t="shared" si="2136"/>
        <v>d</v>
      </c>
      <c r="AQ2096" t="str">
        <f t="shared" si="2137"/>
        <v/>
      </c>
      <c r="AR2096" t="str">
        <f t="shared" si="2138"/>
        <v>Away</v>
      </c>
      <c r="AS2096" t="str">
        <f t="shared" si="2139"/>
        <v>a</v>
      </c>
      <c r="AT2096" t="str">
        <f t="shared" si="2140"/>
        <v>Defensive</v>
      </c>
      <c r="BA2096" s="6">
        <f t="shared" si="2129"/>
        <v>480</v>
      </c>
      <c r="BB2096">
        <f t="shared" si="2130"/>
        <v>18981</v>
      </c>
      <c r="BC2096" t="str">
        <f t="shared" si="2131"/>
        <v>Nelson</v>
      </c>
      <c r="BD2096" t="str">
        <f t="shared" si="2132"/>
        <v>Velodrome</v>
      </c>
      <c r="BE2096" t="s">
        <v>238</v>
      </c>
      <c r="BF2096" t="s">
        <v>174</v>
      </c>
      <c r="BG2096" t="s">
        <v>85</v>
      </c>
      <c r="BI2096" cm="1">
        <f t="array" ref="BI2096">IFERROR(_xlfn._xlws.FILTER(shifts!A:A,(shifts!B:B=events!AD2096)*(shifts!AG:AG&gt;=events!BK2096)*(shifts!AH:AH&lt;=events!BL2096)),BI2095)</f>
        <v>90</v>
      </c>
      <c r="BJ2096" s="15">
        <f t="shared" si="2133"/>
        <v>2</v>
      </c>
      <c r="BK2096">
        <f t="shared" si="2141"/>
        <v>494</v>
      </c>
      <c r="BL2096">
        <f t="shared" si="2142"/>
        <v>492</v>
      </c>
      <c r="BM2096" s="15">
        <f>SUMIFS(BJ$2:BJ2096,K$2:K2096,"=Intermission")+SUMIFS(BJ$2:BJ2096,K$2:K2096,"=Timeout")</f>
        <v>142</v>
      </c>
      <c r="BN2096">
        <f t="shared" si="2143"/>
        <v>2302</v>
      </c>
      <c r="BO2096" s="19">
        <f t="shared" si="2144"/>
        <v>2888</v>
      </c>
      <c r="BP2096">
        <f t="shared" si="2145"/>
        <v>2883</v>
      </c>
      <c r="BQ2096" s="17">
        <f t="shared" si="2146"/>
        <v>2890</v>
      </c>
      <c r="BR2096" t="str">
        <f t="shared" si="2147"/>
        <v>opp_team_player_2</v>
      </c>
      <c r="BS2096">
        <f>COUNTIFS(S$3:S2096,"="&amp;S2096,AI$3:AI2096,"="&amp;AI2096)</f>
        <v>2</v>
      </c>
      <c r="BT2096" t="str">
        <f>IFERROR(VLOOKUP(BB2096&amp;BU2096&amp;X2096,game_rosters!U:W,3,FALSE),"")</f>
        <v>P100119</v>
      </c>
      <c r="BU2096" t="str">
        <f t="shared" si="2148"/>
        <v>Nelson</v>
      </c>
    </row>
    <row r="2097" spans="1:73" x14ac:dyDescent="0.2">
      <c r="A2097">
        <f t="shared" si="2134"/>
        <v>1</v>
      </c>
      <c r="J2097" s="44" t="str">
        <f t="shared" si="2149"/>
        <v>o</v>
      </c>
      <c r="K2097" t="s">
        <v>6</v>
      </c>
      <c r="L2097" t="s">
        <v>205</v>
      </c>
      <c r="M2097" t="s">
        <v>51</v>
      </c>
      <c r="S2097">
        <v>1105</v>
      </c>
      <c r="W2097" t="str">
        <f t="shared" si="2125"/>
        <v>a</v>
      </c>
      <c r="X2097">
        <v>22</v>
      </c>
      <c r="Y2097" t="e">
        <f>IF(X2097&lt;&gt;"",VLOOKUP(X2097,game_rosters!$C$43:$E$64,3,FALSE))</f>
        <v>#N/A</v>
      </c>
      <c r="Z2097" cm="1">
        <f t="array" ref="Z2097">IFERROR(IF(_xlfn._xlws.FILTER(game_rosters!$J:$J,(game_rosters!$G:$G=events!$AN2097)*(game_rosters!$J:$J=events!$X2097))&gt;0,1,""),"")</f>
        <v>1</v>
      </c>
      <c r="AA2097">
        <f t="shared" si="2173"/>
        <v>2105</v>
      </c>
      <c r="AB2097" t="str">
        <f t="shared" si="2174"/>
        <v/>
      </c>
      <c r="AC2097">
        <f t="shared" si="2122"/>
        <v>2105</v>
      </c>
      <c r="AD2097" s="6">
        <v>3</v>
      </c>
      <c r="AE2097" t="s">
        <v>936</v>
      </c>
      <c r="AF2097" t="s">
        <v>746</v>
      </c>
      <c r="AG2097" t="s">
        <v>756</v>
      </c>
      <c r="AH2097" t="s">
        <v>756</v>
      </c>
      <c r="AI2097" t="s">
        <v>367</v>
      </c>
      <c r="AJ2097" t="str">
        <f t="shared" ref="AJ2097:AK2097" si="2195">IF($J2097&lt;&gt;"",$J2097,IF($AC2097=$AC2096,AJ2096,""))</f>
        <v>o</v>
      </c>
      <c r="AK2097" t="str">
        <f t="shared" si="2195"/>
        <v>o</v>
      </c>
      <c r="AL2097" t="str">
        <f t="shared" si="2127"/>
        <v>d</v>
      </c>
      <c r="AN2097" t="s">
        <v>862</v>
      </c>
      <c r="AO2097" t="str">
        <f t="shared" si="2128"/>
        <v>a</v>
      </c>
      <c r="AP2097" t="str">
        <f t="shared" si="2136"/>
        <v>d</v>
      </c>
      <c r="AQ2097" t="str">
        <f t="shared" si="2137"/>
        <v/>
      </c>
      <c r="AR2097" t="str">
        <f t="shared" si="2138"/>
        <v>Away</v>
      </c>
      <c r="AS2097" t="str">
        <f t="shared" si="2139"/>
        <v>a</v>
      </c>
      <c r="AT2097" t="str">
        <f t="shared" si="2140"/>
        <v>Offensive</v>
      </c>
      <c r="BA2097" s="6">
        <f t="shared" si="2129"/>
        <v>480</v>
      </c>
      <c r="BB2097">
        <f t="shared" si="2130"/>
        <v>18981</v>
      </c>
      <c r="BC2097" t="str">
        <f t="shared" si="2131"/>
        <v>Nelson</v>
      </c>
      <c r="BD2097" t="str">
        <f t="shared" si="2132"/>
        <v>Velodrome</v>
      </c>
      <c r="BE2097" t="s">
        <v>6</v>
      </c>
      <c r="BF2097" t="s">
        <v>205</v>
      </c>
      <c r="BG2097" t="s">
        <v>51</v>
      </c>
      <c r="BI2097">
        <v>90</v>
      </c>
      <c r="BJ2097" s="15">
        <f>IF(AND(AG2097="",AH2097=""),0,((AE2097*60)+AF2097)-((AG2097*60)+AH2097))</f>
        <v>0</v>
      </c>
      <c r="BK2097">
        <f t="shared" si="2141"/>
        <v>492</v>
      </c>
      <c r="BL2097">
        <f t="shared" si="2142"/>
        <v>492</v>
      </c>
      <c r="BM2097" s="15">
        <f>SUMIFS(BJ$2:BJ2097,K$2:K2097,"=Intermission")+SUMIFS(BJ$2:BJ2097,K$2:K2097,"=Timeout")</f>
        <v>142</v>
      </c>
      <c r="BN2097">
        <f t="shared" si="2143"/>
        <v>2302</v>
      </c>
      <c r="BO2097" s="19">
        <f t="shared" si="2144"/>
        <v>2890</v>
      </c>
      <c r="BP2097">
        <f t="shared" si="2145"/>
        <v>2885</v>
      </c>
      <c r="BQ2097" s="17">
        <f t="shared" si="2146"/>
        <v>2890</v>
      </c>
      <c r="BR2097" t="str">
        <f t="shared" si="2147"/>
        <v>event_team_player_1</v>
      </c>
      <c r="BS2097">
        <f>COUNTIFS(S$3:S2097,"="&amp;S2097,AI$3:AI2097,"="&amp;AI2097)</f>
        <v>1</v>
      </c>
      <c r="BT2097" t="str">
        <f>IFERROR(VLOOKUP(BB2097&amp;BU2097&amp;X2097,game_rosters!U:W,3,FALSE),"")</f>
        <v>P100108</v>
      </c>
      <c r="BU2097" t="str">
        <f t="shared" si="2148"/>
        <v>Velodrome</v>
      </c>
    </row>
    <row r="2098" spans="1:73" x14ac:dyDescent="0.2">
      <c r="A2098">
        <f t="shared" si="2134"/>
        <v>1</v>
      </c>
      <c r="J2098" s="44" t="str">
        <f t="shared" si="2149"/>
        <v>o</v>
      </c>
      <c r="K2098" t="s">
        <v>6</v>
      </c>
      <c r="L2098" t="s">
        <v>205</v>
      </c>
      <c r="M2098" t="s">
        <v>51</v>
      </c>
      <c r="S2098">
        <v>1105</v>
      </c>
      <c r="W2098" t="str">
        <f t="shared" si="2125"/>
        <v>a</v>
      </c>
      <c r="X2098">
        <v>31</v>
      </c>
      <c r="Y2098" t="b">
        <f>IF(X2098&lt;&gt;"",VLOOKUP(X2098,game_rosters!$C$43:$E$64,3,FALSE))</f>
        <v>0</v>
      </c>
      <c r="Z2098" t="str" cm="1">
        <f t="array" ref="Z2098">IFERROR(IF(_xlfn._xlws.FILTER(game_rosters!$J:$J,(game_rosters!$G:$G=events!$AN2098)*(game_rosters!$J:$J=events!$X2098))&gt;0,1,""),"")</f>
        <v/>
      </c>
      <c r="AA2098">
        <f t="shared" si="2173"/>
        <v>2105</v>
      </c>
      <c r="AB2098" t="str">
        <f t="shared" si="2174"/>
        <v/>
      </c>
      <c r="AC2098">
        <f t="shared" si="2122"/>
        <v>2105</v>
      </c>
      <c r="AD2098" s="6">
        <v>3</v>
      </c>
      <c r="AE2098" t="s">
        <v>936</v>
      </c>
      <c r="AF2098" t="s">
        <v>746</v>
      </c>
      <c r="AG2098" t="s">
        <v>756</v>
      </c>
      <c r="AH2098" t="s">
        <v>756</v>
      </c>
      <c r="AI2098" t="s">
        <v>368</v>
      </c>
      <c r="AJ2098" t="str">
        <f t="shared" ref="AJ2098:AK2098" si="2196">IF($J2098&lt;&gt;"",$J2098,IF($AC2098=$AC2097,AJ2097,""))</f>
        <v>o</v>
      </c>
      <c r="AK2098" t="str">
        <f t="shared" si="2196"/>
        <v>o</v>
      </c>
      <c r="AL2098" t="str">
        <f t="shared" si="2127"/>
        <v>d</v>
      </c>
      <c r="AN2098" t="s">
        <v>862</v>
      </c>
      <c r="AO2098" t="str">
        <f t="shared" si="2128"/>
        <v>a</v>
      </c>
      <c r="AP2098" t="str">
        <f t="shared" si="2136"/>
        <v>d</v>
      </c>
      <c r="AQ2098" t="str">
        <f t="shared" si="2137"/>
        <v/>
      </c>
      <c r="AR2098" t="str">
        <f t="shared" si="2138"/>
        <v>Away</v>
      </c>
      <c r="AS2098" t="str">
        <f t="shared" si="2139"/>
        <v>a</v>
      </c>
      <c r="AT2098" t="str">
        <f t="shared" si="2140"/>
        <v>Defensive</v>
      </c>
      <c r="BA2098" s="6">
        <f t="shared" si="2129"/>
        <v>480</v>
      </c>
      <c r="BB2098">
        <f t="shared" si="2130"/>
        <v>18981</v>
      </c>
      <c r="BC2098" t="str">
        <f t="shared" si="2131"/>
        <v>Nelson</v>
      </c>
      <c r="BD2098" t="str">
        <f t="shared" si="2132"/>
        <v>Velodrome</v>
      </c>
      <c r="BE2098" t="s">
        <v>6</v>
      </c>
      <c r="BF2098" t="s">
        <v>205</v>
      </c>
      <c r="BG2098" t="s">
        <v>51</v>
      </c>
      <c r="BI2098">
        <v>90</v>
      </c>
      <c r="BJ2098" s="15">
        <f t="shared" si="2133"/>
        <v>0</v>
      </c>
      <c r="BK2098">
        <f t="shared" si="2141"/>
        <v>492</v>
      </c>
      <c r="BL2098">
        <f t="shared" si="2142"/>
        <v>492</v>
      </c>
      <c r="BM2098" s="15">
        <f>SUMIFS(BJ$2:BJ2098,K$2:K2098,"=Intermission")+SUMIFS(BJ$2:BJ2098,K$2:K2098,"=Timeout")</f>
        <v>142</v>
      </c>
      <c r="BN2098">
        <f t="shared" si="2143"/>
        <v>2302</v>
      </c>
      <c r="BO2098" s="19">
        <f t="shared" si="2144"/>
        <v>2890</v>
      </c>
      <c r="BP2098">
        <f t="shared" si="2145"/>
        <v>2885</v>
      </c>
      <c r="BQ2098" s="17">
        <f t="shared" si="2146"/>
        <v>2890</v>
      </c>
      <c r="BR2098" t="str">
        <f t="shared" si="2147"/>
        <v>opp_team_player_1</v>
      </c>
      <c r="BS2098">
        <f>COUNTIFS(S$3:S2098,"="&amp;S2098,AI$3:AI2098,"="&amp;AI2098)</f>
        <v>1</v>
      </c>
      <c r="BT2098" t="str">
        <f>IFERROR(VLOOKUP(BB2098&amp;BU2098&amp;X2098,game_rosters!U:W,3,FALSE),"")</f>
        <v>P100138</v>
      </c>
      <c r="BU2098" t="str">
        <f t="shared" si="2148"/>
        <v>Nelson</v>
      </c>
    </row>
    <row r="2099" spans="1:73" x14ac:dyDescent="0.2">
      <c r="A2099">
        <f t="shared" si="2134"/>
        <v>1</v>
      </c>
      <c r="J2099" s="44" t="str">
        <f t="shared" si="2149"/>
        <v>d</v>
      </c>
      <c r="K2099" t="s">
        <v>15</v>
      </c>
      <c r="L2099" t="s">
        <v>179</v>
      </c>
      <c r="M2099" t="s">
        <v>416</v>
      </c>
      <c r="S2099">
        <v>1106</v>
      </c>
      <c r="W2099" t="str">
        <f t="shared" si="2125"/>
        <v>h</v>
      </c>
      <c r="X2099">
        <v>31</v>
      </c>
      <c r="Y2099" t="b">
        <f>IF(X2099&lt;&gt;"",VLOOKUP(X2099,game_rosters!$C$43:$E$64,3,FALSE))</f>
        <v>0</v>
      </c>
      <c r="Z2099" cm="1">
        <f t="array" ref="Z2099">IFERROR(IF(_xlfn._xlws.FILTER(game_rosters!$J:$J,(game_rosters!$G:$G=events!$AN2099)*(game_rosters!$J:$J=events!$X2099))&gt;0,1,""),"")</f>
        <v>1</v>
      </c>
      <c r="AA2099">
        <f t="shared" si="2173"/>
        <v>2106</v>
      </c>
      <c r="AB2099" t="str">
        <f t="shared" si="2174"/>
        <v/>
      </c>
      <c r="AC2099">
        <f t="shared" si="2122"/>
        <v>2106</v>
      </c>
      <c r="AD2099" s="6">
        <v>3</v>
      </c>
      <c r="AE2099" t="s">
        <v>936</v>
      </c>
      <c r="AF2099" t="s">
        <v>746</v>
      </c>
      <c r="AG2099" t="s">
        <v>756</v>
      </c>
      <c r="AH2099" t="s">
        <v>756</v>
      </c>
      <c r="AI2099" t="s">
        <v>367</v>
      </c>
      <c r="AJ2099" t="str">
        <f t="shared" ref="AJ2099:AK2099" si="2197">IF($J2099&lt;&gt;"",$J2099,IF($AC2099=$AC2098,AJ2098,""))</f>
        <v>d</v>
      </c>
      <c r="AK2099" t="str">
        <f t="shared" si="2197"/>
        <v>d</v>
      </c>
      <c r="AL2099" t="str">
        <f t="shared" si="2127"/>
        <v>d</v>
      </c>
      <c r="AN2099" t="s">
        <v>861</v>
      </c>
      <c r="AO2099" t="str">
        <f t="shared" si="2128"/>
        <v>h</v>
      </c>
      <c r="AP2099" t="str">
        <f t="shared" si="2136"/>
        <v>d</v>
      </c>
      <c r="AQ2099" t="str">
        <f t="shared" si="2137"/>
        <v/>
      </c>
      <c r="AR2099" t="str">
        <f t="shared" si="2138"/>
        <v>Home</v>
      </c>
      <c r="AS2099" t="str">
        <f t="shared" si="2139"/>
        <v>h</v>
      </c>
      <c r="AT2099" t="str">
        <f t="shared" si="2140"/>
        <v>Defensive</v>
      </c>
      <c r="BA2099" s="6">
        <f t="shared" si="2129"/>
        <v>480</v>
      </c>
      <c r="BB2099">
        <f t="shared" si="2130"/>
        <v>18981</v>
      </c>
      <c r="BC2099" t="str">
        <f t="shared" si="2131"/>
        <v>Nelson</v>
      </c>
      <c r="BD2099" t="str">
        <f t="shared" si="2132"/>
        <v>Velodrome</v>
      </c>
      <c r="BE2099" t="s">
        <v>15</v>
      </c>
      <c r="BF2099" t="s">
        <v>179</v>
      </c>
      <c r="BG2099" t="s">
        <v>416</v>
      </c>
      <c r="BI2099">
        <v>90</v>
      </c>
      <c r="BJ2099" s="15">
        <f t="shared" si="2133"/>
        <v>0</v>
      </c>
      <c r="BK2099">
        <f t="shared" si="2141"/>
        <v>492</v>
      </c>
      <c r="BL2099">
        <f t="shared" si="2142"/>
        <v>492</v>
      </c>
      <c r="BM2099" s="15">
        <f>SUMIFS(BJ$2:BJ2099,K$2:K2099,"=Intermission")+SUMIFS(BJ$2:BJ2099,K$2:K2099,"=Timeout")</f>
        <v>142</v>
      </c>
      <c r="BN2099">
        <f t="shared" si="2143"/>
        <v>2302</v>
      </c>
      <c r="BO2099" s="19">
        <f t="shared" si="2144"/>
        <v>2890</v>
      </c>
      <c r="BP2099">
        <f t="shared" si="2145"/>
        <v>2885</v>
      </c>
      <c r="BQ2099" s="17">
        <f t="shared" si="2146"/>
        <v>2890</v>
      </c>
      <c r="BR2099" t="str">
        <f t="shared" si="2147"/>
        <v>event_team_player_1</v>
      </c>
      <c r="BS2099">
        <f>COUNTIFS(S$3:S2099,"="&amp;S2099,AI$3:AI2099,"="&amp;AI2099)</f>
        <v>1</v>
      </c>
      <c r="BT2099" t="str">
        <f>IFERROR(VLOOKUP(BB2099&amp;BU2099&amp;X2099,game_rosters!U:W,3,FALSE),"")</f>
        <v>P100138</v>
      </c>
      <c r="BU2099" t="str">
        <f t="shared" si="2148"/>
        <v>Nelson</v>
      </c>
    </row>
    <row r="2100" spans="1:73" x14ac:dyDescent="0.2">
      <c r="A2100">
        <f t="shared" si="2134"/>
        <v>1</v>
      </c>
      <c r="J2100" s="44" t="str">
        <f t="shared" si="2149"/>
        <v>d</v>
      </c>
      <c r="K2100" t="s">
        <v>15</v>
      </c>
      <c r="L2100" t="s">
        <v>179</v>
      </c>
      <c r="M2100" t="s">
        <v>416</v>
      </c>
      <c r="S2100">
        <v>1106</v>
      </c>
      <c r="W2100" t="str">
        <f t="shared" si="2125"/>
        <v>h</v>
      </c>
      <c r="X2100">
        <v>22</v>
      </c>
      <c r="Y2100" t="e">
        <f>IF(X2100&lt;&gt;"",VLOOKUP(X2100,game_rosters!$C$43:$E$64,3,FALSE))</f>
        <v>#N/A</v>
      </c>
      <c r="Z2100" t="str" cm="1">
        <f t="array" ref="Z2100">IFERROR(IF(_xlfn._xlws.FILTER(game_rosters!$J:$J,(game_rosters!$G:$G=events!$AN2100)*(game_rosters!$J:$J=events!$X2100))&gt;0,1,""),"")</f>
        <v/>
      </c>
      <c r="AA2100">
        <f t="shared" si="2173"/>
        <v>2106</v>
      </c>
      <c r="AB2100" t="str">
        <f t="shared" si="2174"/>
        <v/>
      </c>
      <c r="AC2100">
        <f t="shared" si="2122"/>
        <v>2106</v>
      </c>
      <c r="AD2100" s="6">
        <v>3</v>
      </c>
      <c r="AE2100" t="s">
        <v>936</v>
      </c>
      <c r="AF2100" t="s">
        <v>746</v>
      </c>
      <c r="AG2100" t="s">
        <v>756</v>
      </c>
      <c r="AH2100" t="s">
        <v>756</v>
      </c>
      <c r="AI2100" t="s">
        <v>368</v>
      </c>
      <c r="AJ2100" t="str">
        <f t="shared" ref="AJ2100:AK2100" si="2198">IF($J2100&lt;&gt;"",$J2100,IF($AC2100=$AC2099,AJ2099,""))</f>
        <v>d</v>
      </c>
      <c r="AK2100" t="str">
        <f t="shared" si="2198"/>
        <v>d</v>
      </c>
      <c r="AL2100" t="str">
        <f t="shared" si="2127"/>
        <v>d</v>
      </c>
      <c r="AN2100" t="s">
        <v>861</v>
      </c>
      <c r="AO2100" t="str">
        <f t="shared" si="2128"/>
        <v>h</v>
      </c>
      <c r="AP2100" t="str">
        <f t="shared" si="2136"/>
        <v>d</v>
      </c>
      <c r="AQ2100" t="str">
        <f t="shared" si="2137"/>
        <v/>
      </c>
      <c r="AR2100" t="str">
        <f t="shared" si="2138"/>
        <v>Home</v>
      </c>
      <c r="AS2100" t="str">
        <f t="shared" si="2139"/>
        <v>h</v>
      </c>
      <c r="AT2100" t="str">
        <f t="shared" si="2140"/>
        <v>Offensive</v>
      </c>
      <c r="BA2100" s="6">
        <f t="shared" si="2129"/>
        <v>480</v>
      </c>
      <c r="BB2100">
        <f t="shared" si="2130"/>
        <v>18981</v>
      </c>
      <c r="BC2100" t="str">
        <f t="shared" si="2131"/>
        <v>Nelson</v>
      </c>
      <c r="BD2100" t="str">
        <f t="shared" si="2132"/>
        <v>Velodrome</v>
      </c>
      <c r="BE2100" t="s">
        <v>15</v>
      </c>
      <c r="BF2100" t="s">
        <v>179</v>
      </c>
      <c r="BG2100" t="s">
        <v>416</v>
      </c>
      <c r="BI2100">
        <v>90</v>
      </c>
      <c r="BJ2100" s="15">
        <f t="shared" si="2133"/>
        <v>0</v>
      </c>
      <c r="BK2100">
        <f t="shared" si="2141"/>
        <v>492</v>
      </c>
      <c r="BL2100">
        <f t="shared" si="2142"/>
        <v>492</v>
      </c>
      <c r="BM2100" s="15">
        <f>SUMIFS(BJ$2:BJ2100,K$2:K2100,"=Intermission")+SUMIFS(BJ$2:BJ2100,K$2:K2100,"=Timeout")</f>
        <v>142</v>
      </c>
      <c r="BN2100">
        <f t="shared" si="2143"/>
        <v>2302</v>
      </c>
      <c r="BO2100" s="19">
        <f t="shared" si="2144"/>
        <v>2890</v>
      </c>
      <c r="BP2100">
        <f t="shared" si="2145"/>
        <v>2885</v>
      </c>
      <c r="BQ2100" s="17">
        <f t="shared" si="2146"/>
        <v>2890</v>
      </c>
      <c r="BR2100" t="str">
        <f t="shared" si="2147"/>
        <v>opp_team_player_1</v>
      </c>
      <c r="BS2100">
        <f>COUNTIFS(S$3:S2100,"="&amp;S2100,AI$3:AI2100,"="&amp;AI2100)</f>
        <v>1</v>
      </c>
      <c r="BT2100" t="str">
        <f>IFERROR(VLOOKUP(BB2100&amp;BU2100&amp;X2100,game_rosters!U:W,3,FALSE),"")</f>
        <v>P100108</v>
      </c>
      <c r="BU2100" t="str">
        <f t="shared" si="2148"/>
        <v>Velodrome</v>
      </c>
    </row>
    <row r="2101" spans="1:73" x14ac:dyDescent="0.2">
      <c r="A2101">
        <f t="shared" si="2134"/>
        <v>1</v>
      </c>
      <c r="J2101" s="44" t="str">
        <f t="shared" si="2149"/>
        <v>d</v>
      </c>
      <c r="K2101" t="s">
        <v>231</v>
      </c>
      <c r="L2101" t="s">
        <v>232</v>
      </c>
      <c r="M2101" t="s">
        <v>756</v>
      </c>
      <c r="S2101">
        <v>1107</v>
      </c>
      <c r="W2101" t="str">
        <f t="shared" si="2125"/>
        <v>h</v>
      </c>
      <c r="X2101">
        <v>31</v>
      </c>
      <c r="Y2101" t="b">
        <f>IF(X2101&lt;&gt;"",VLOOKUP(X2101,game_rosters!$C$43:$E$64,3,FALSE))</f>
        <v>0</v>
      </c>
      <c r="Z2101" cm="1">
        <f t="array" ref="Z2101">IFERROR(IF(_xlfn._xlws.FILTER(game_rosters!$J:$J,(game_rosters!$G:$G=events!$AN2101)*(game_rosters!$J:$J=events!$X2101))&gt;0,1,""),"")</f>
        <v>1</v>
      </c>
      <c r="AA2101">
        <f t="shared" si="2173"/>
        <v>2107</v>
      </c>
      <c r="AB2101" t="str">
        <f t="shared" si="2174"/>
        <v/>
      </c>
      <c r="AC2101">
        <f t="shared" si="2122"/>
        <v>2107</v>
      </c>
      <c r="AD2101" s="6">
        <v>3</v>
      </c>
      <c r="AE2101" t="s">
        <v>936</v>
      </c>
      <c r="AF2101" t="s">
        <v>746</v>
      </c>
      <c r="AG2101" t="s">
        <v>756</v>
      </c>
      <c r="AH2101" t="s">
        <v>756</v>
      </c>
      <c r="AI2101" t="s">
        <v>367</v>
      </c>
      <c r="AJ2101" t="str">
        <f t="shared" ref="AJ2101:AK2101" si="2199">IF($J2101&lt;&gt;"",$J2101,IF($AC2101=$AC2100,AJ2100,""))</f>
        <v>d</v>
      </c>
      <c r="AK2101" t="str">
        <f t="shared" si="2199"/>
        <v>d</v>
      </c>
      <c r="AL2101" t="str">
        <f t="shared" si="2127"/>
        <v>d</v>
      </c>
      <c r="AN2101" t="s">
        <v>861</v>
      </c>
      <c r="AO2101" t="str">
        <f t="shared" si="2128"/>
        <v>h</v>
      </c>
      <c r="AP2101" t="str">
        <f t="shared" si="2136"/>
        <v>d</v>
      </c>
      <c r="AQ2101" t="str">
        <f t="shared" si="2137"/>
        <v/>
      </c>
      <c r="AR2101" t="str">
        <f t="shared" si="2138"/>
        <v>Home</v>
      </c>
      <c r="AS2101" t="str">
        <f t="shared" si="2139"/>
        <v>h</v>
      </c>
      <c r="AT2101" t="str">
        <f t="shared" si="2140"/>
        <v>Offensive</v>
      </c>
      <c r="BA2101" s="6">
        <f t="shared" si="2129"/>
        <v>480</v>
      </c>
      <c r="BB2101">
        <f t="shared" si="2130"/>
        <v>18981</v>
      </c>
      <c r="BC2101" t="str">
        <f t="shared" si="2131"/>
        <v>Nelson</v>
      </c>
      <c r="BD2101" t="str">
        <f t="shared" si="2132"/>
        <v>Velodrome</v>
      </c>
      <c r="BE2101" t="s">
        <v>231</v>
      </c>
      <c r="BF2101" t="s">
        <v>232</v>
      </c>
      <c r="BG2101" t="s">
        <v>756</v>
      </c>
      <c r="BI2101">
        <v>90</v>
      </c>
      <c r="BJ2101" s="15">
        <f t="shared" si="2133"/>
        <v>0</v>
      </c>
      <c r="BK2101">
        <f t="shared" si="2141"/>
        <v>492</v>
      </c>
      <c r="BL2101">
        <f t="shared" si="2142"/>
        <v>492</v>
      </c>
      <c r="BM2101" s="15">
        <f>SUMIFS(BJ$2:BJ2101,K$2:K2101,"=Intermission")+SUMIFS(BJ$2:BJ2101,K$2:K2101,"=Timeout")</f>
        <v>142</v>
      </c>
      <c r="BN2101">
        <f t="shared" si="2143"/>
        <v>2302</v>
      </c>
      <c r="BO2101" s="19">
        <f t="shared" si="2144"/>
        <v>2890</v>
      </c>
      <c r="BP2101">
        <f t="shared" si="2145"/>
        <v>2885</v>
      </c>
      <c r="BQ2101" s="17">
        <f t="shared" si="2146"/>
        <v>2890</v>
      </c>
      <c r="BR2101" t="str">
        <f t="shared" si="2147"/>
        <v>event_team_player_1</v>
      </c>
      <c r="BS2101">
        <f>COUNTIFS(S$3:S2101,"="&amp;S2101,AI$3:AI2101,"="&amp;AI2101)</f>
        <v>1</v>
      </c>
      <c r="BT2101" t="str">
        <f>IFERROR(VLOOKUP(BB2101&amp;BU2101&amp;X2101,game_rosters!U:W,3,FALSE),"")</f>
        <v>P100138</v>
      </c>
      <c r="BU2101" t="str">
        <f t="shared" si="2148"/>
        <v>Nelson</v>
      </c>
    </row>
    <row r="2102" spans="1:73" x14ac:dyDescent="0.2">
      <c r="A2102">
        <f t="shared" si="2134"/>
        <v>1</v>
      </c>
      <c r="J2102" s="44" t="str">
        <f t="shared" si="2149"/>
        <v/>
      </c>
      <c r="K2102" t="s">
        <v>13</v>
      </c>
      <c r="L2102" t="s">
        <v>756</v>
      </c>
      <c r="M2102" t="s">
        <v>756</v>
      </c>
      <c r="S2102">
        <v>1108</v>
      </c>
      <c r="W2102" t="str">
        <f t="shared" si="2125"/>
        <v>a</v>
      </c>
      <c r="X2102">
        <v>70</v>
      </c>
      <c r="Y2102" t="e">
        <f>IF(X2102&lt;&gt;"",VLOOKUP(X2102,game_rosters!$C$43:$E$64,3,FALSE))</f>
        <v>#N/A</v>
      </c>
      <c r="Z2102" cm="1">
        <f t="array" ref="Z2102">IFERROR(IF(_xlfn._xlws.FILTER(game_rosters!$J:$J,(game_rosters!$G:$G=events!$AN2102)*(game_rosters!$J:$J=events!$X2102))&gt;0,1,""),"")</f>
        <v>1</v>
      </c>
      <c r="AA2102">
        <f t="shared" si="2173"/>
        <v>2108</v>
      </c>
      <c r="AB2102" t="str">
        <f t="shared" si="2174"/>
        <v/>
      </c>
      <c r="AC2102">
        <f t="shared" si="2122"/>
        <v>2108</v>
      </c>
      <c r="AD2102" s="6">
        <v>3</v>
      </c>
      <c r="AE2102" t="s">
        <v>936</v>
      </c>
      <c r="AF2102" t="s">
        <v>939</v>
      </c>
      <c r="AG2102" t="s">
        <v>936</v>
      </c>
      <c r="AH2102" t="s">
        <v>913</v>
      </c>
      <c r="AI2102" t="s">
        <v>367</v>
      </c>
      <c r="AJ2102" t="str">
        <f t="shared" ref="AJ2102:AK2102" si="2200">IF($J2102&lt;&gt;"",$J2102,IF($AC2102=$AC2101,AJ2101,""))</f>
        <v/>
      </c>
      <c r="AK2102" t="str">
        <f t="shared" si="2200"/>
        <v/>
      </c>
      <c r="AL2102" t="str">
        <f t="shared" si="2127"/>
        <v/>
      </c>
      <c r="AN2102" t="s">
        <v>862</v>
      </c>
      <c r="AO2102" t="str">
        <f t="shared" si="2128"/>
        <v>a</v>
      </c>
      <c r="AP2102" t="str">
        <f t="shared" si="2136"/>
        <v/>
      </c>
      <c r="AQ2102" t="str">
        <f t="shared" si="2137"/>
        <v/>
      </c>
      <c r="AR2102" t="str">
        <f t="shared" si="2138"/>
        <v>Away</v>
      </c>
      <c r="AS2102" t="str">
        <f t="shared" si="2139"/>
        <v>a</v>
      </c>
      <c r="AT2102" t="str">
        <f t="shared" si="2140"/>
        <v>Offensive</v>
      </c>
      <c r="BA2102" s="6">
        <f t="shared" si="2129"/>
        <v>480</v>
      </c>
      <c r="BB2102">
        <f t="shared" si="2130"/>
        <v>18981</v>
      </c>
      <c r="BC2102" t="str">
        <f t="shared" si="2131"/>
        <v>Nelson</v>
      </c>
      <c r="BD2102" t="str">
        <f t="shared" si="2132"/>
        <v>Velodrome</v>
      </c>
      <c r="BE2102" t="s">
        <v>13</v>
      </c>
      <c r="BF2102" t="s">
        <v>756</v>
      </c>
      <c r="BG2102" t="s">
        <v>756</v>
      </c>
      <c r="BI2102" cm="1">
        <f t="array" ref="BI2102">IFERROR(_xlfn._xlws.FILTER(shifts!A:A,(shifts!B:B=events!AD2102)*(shifts!AG:AG&gt;=events!BK2102)*(shifts!AH:AH&lt;=events!BL2102)),BI2101)</f>
        <v>91</v>
      </c>
      <c r="BJ2102" s="15">
        <f t="shared" si="2133"/>
        <v>6</v>
      </c>
      <c r="BK2102">
        <f t="shared" si="2141"/>
        <v>488</v>
      </c>
      <c r="BL2102">
        <f t="shared" si="2142"/>
        <v>482</v>
      </c>
      <c r="BM2102" s="15">
        <f>SUMIFS(BJ$2:BJ2102,K$2:K2102,"=Intermission")+SUMIFS(BJ$2:BJ2102,K$2:K2102,"=Timeout")</f>
        <v>142</v>
      </c>
      <c r="BN2102">
        <f t="shared" si="2143"/>
        <v>2302</v>
      </c>
      <c r="BO2102" s="19">
        <f t="shared" si="2144"/>
        <v>2894</v>
      </c>
      <c r="BP2102">
        <f t="shared" si="2145"/>
        <v>2889</v>
      </c>
      <c r="BQ2102" s="17">
        <f t="shared" si="2146"/>
        <v>2900</v>
      </c>
      <c r="BR2102" t="str">
        <f t="shared" si="2147"/>
        <v>event_team_player_1</v>
      </c>
      <c r="BS2102">
        <f>COUNTIFS(S$3:S2102,"="&amp;S2102,AI$3:AI2102,"="&amp;AI2102)</f>
        <v>1</v>
      </c>
      <c r="BT2102" t="str">
        <f>IFERROR(VLOOKUP(BB2102&amp;BU2102&amp;X2102,game_rosters!U:W,3,FALSE),"")</f>
        <v>P100001</v>
      </c>
      <c r="BU2102" t="str">
        <f t="shared" si="2148"/>
        <v>Velodrome</v>
      </c>
    </row>
    <row r="2103" spans="1:73" x14ac:dyDescent="0.2">
      <c r="A2103">
        <f t="shared" si="2134"/>
        <v>1</v>
      </c>
      <c r="J2103" s="44" t="str">
        <f t="shared" si="2149"/>
        <v/>
      </c>
      <c r="K2103" t="s">
        <v>13</v>
      </c>
      <c r="L2103" t="s">
        <v>756</v>
      </c>
      <c r="M2103" t="s">
        <v>756</v>
      </c>
      <c r="S2103">
        <v>1108</v>
      </c>
      <c r="W2103" t="str">
        <f t="shared" si="2125"/>
        <v>a</v>
      </c>
      <c r="X2103">
        <v>44</v>
      </c>
      <c r="Y2103" t="b">
        <f>IF(X2103&lt;&gt;"",VLOOKUP(X2103,game_rosters!$C$43:$E$64,3,FALSE))</f>
        <v>0</v>
      </c>
      <c r="Z2103" t="str" cm="1">
        <f t="array" ref="Z2103">IFERROR(IF(_xlfn._xlws.FILTER(game_rosters!$J:$J,(game_rosters!$G:$G=events!$AN2103)*(game_rosters!$J:$J=events!$X2103))&gt;0,1,""),"")</f>
        <v/>
      </c>
      <c r="AA2103">
        <f t="shared" si="2173"/>
        <v>2108</v>
      </c>
      <c r="AB2103" t="str">
        <f t="shared" si="2174"/>
        <v/>
      </c>
      <c r="AC2103">
        <f t="shared" si="2122"/>
        <v>2108</v>
      </c>
      <c r="AD2103" s="6">
        <v>3</v>
      </c>
      <c r="AE2103" t="s">
        <v>936</v>
      </c>
      <c r="AF2103" t="s">
        <v>939</v>
      </c>
      <c r="AG2103" t="s">
        <v>936</v>
      </c>
      <c r="AH2103" t="s">
        <v>913</v>
      </c>
      <c r="AI2103" t="s">
        <v>368</v>
      </c>
      <c r="AJ2103" t="str">
        <f t="shared" ref="AJ2103:AK2103" si="2201">IF($J2103&lt;&gt;"",$J2103,IF($AC2103=$AC2102,AJ2102,""))</f>
        <v/>
      </c>
      <c r="AK2103" t="str">
        <f t="shared" si="2201"/>
        <v/>
      </c>
      <c r="AL2103" t="str">
        <f t="shared" si="2127"/>
        <v/>
      </c>
      <c r="AN2103" t="s">
        <v>862</v>
      </c>
      <c r="AO2103" t="str">
        <f t="shared" si="2128"/>
        <v>a</v>
      </c>
      <c r="AP2103" t="str">
        <f t="shared" si="2136"/>
        <v/>
      </c>
      <c r="AQ2103" t="str">
        <f t="shared" si="2137"/>
        <v/>
      </c>
      <c r="AR2103" t="str">
        <f t="shared" si="2138"/>
        <v>Away</v>
      </c>
      <c r="AS2103" t="str">
        <f t="shared" si="2139"/>
        <v>a</v>
      </c>
      <c r="AT2103" t="str">
        <f t="shared" si="2140"/>
        <v>Defensive</v>
      </c>
      <c r="BA2103" s="6">
        <f t="shared" si="2129"/>
        <v>480</v>
      </c>
      <c r="BB2103">
        <f t="shared" si="2130"/>
        <v>18981</v>
      </c>
      <c r="BC2103" t="str">
        <f t="shared" si="2131"/>
        <v>Nelson</v>
      </c>
      <c r="BD2103" t="str">
        <f t="shared" si="2132"/>
        <v>Velodrome</v>
      </c>
      <c r="BE2103" t="s">
        <v>13</v>
      </c>
      <c r="BF2103" t="s">
        <v>756</v>
      </c>
      <c r="BG2103" t="s">
        <v>756</v>
      </c>
      <c r="BI2103" cm="1">
        <f t="array" ref="BI2103">IFERROR(_xlfn._xlws.FILTER(shifts!A:A,(shifts!B:B=events!AD2103)*(shifts!AG:AG&gt;=events!BK2103)*(shifts!AH:AH&lt;=events!BL2103)),BI2102)</f>
        <v>91</v>
      </c>
      <c r="BJ2103" s="15">
        <f t="shared" si="2133"/>
        <v>6</v>
      </c>
      <c r="BK2103">
        <f t="shared" si="2141"/>
        <v>488</v>
      </c>
      <c r="BL2103">
        <f t="shared" si="2142"/>
        <v>482</v>
      </c>
      <c r="BM2103" s="15">
        <f>SUMIFS(BJ$2:BJ2103,K$2:K2103,"=Intermission")+SUMIFS(BJ$2:BJ2103,K$2:K2103,"=Timeout")</f>
        <v>142</v>
      </c>
      <c r="BN2103">
        <f t="shared" si="2143"/>
        <v>2302</v>
      </c>
      <c r="BO2103" s="19">
        <f t="shared" si="2144"/>
        <v>2894</v>
      </c>
      <c r="BP2103">
        <f t="shared" si="2145"/>
        <v>2889</v>
      </c>
      <c r="BQ2103" s="17">
        <f t="shared" si="2146"/>
        <v>2900</v>
      </c>
      <c r="BR2103" t="str">
        <f t="shared" si="2147"/>
        <v>opp_team_player_1</v>
      </c>
      <c r="BS2103">
        <f>COUNTIFS(S$3:S2103,"="&amp;S2103,AI$3:AI2103,"="&amp;AI2103)</f>
        <v>1</v>
      </c>
      <c r="BT2103" t="str">
        <f>IFERROR(VLOOKUP(BB2103&amp;BU2103&amp;X2103,game_rosters!U:W,3,FALSE),"")</f>
        <v>P100079</v>
      </c>
      <c r="BU2103" t="str">
        <f t="shared" si="2148"/>
        <v>Nelson</v>
      </c>
    </row>
    <row r="2104" spans="1:73" x14ac:dyDescent="0.2">
      <c r="A2104">
        <f t="shared" si="2134"/>
        <v>1</v>
      </c>
      <c r="J2104" s="44" t="str">
        <f t="shared" si="2149"/>
        <v/>
      </c>
      <c r="K2104" t="s">
        <v>13</v>
      </c>
      <c r="L2104" t="s">
        <v>756</v>
      </c>
      <c r="M2104" t="s">
        <v>756</v>
      </c>
      <c r="S2104">
        <v>1108</v>
      </c>
      <c r="W2104" t="str">
        <f t="shared" si="2125"/>
        <v>a</v>
      </c>
      <c r="X2104">
        <v>10</v>
      </c>
      <c r="Y2104" t="b">
        <f>IF(X2104&lt;&gt;"",VLOOKUP(X2104,game_rosters!$C$43:$E$64,3,FALSE))</f>
        <v>0</v>
      </c>
      <c r="Z2104" t="str" cm="1">
        <f t="array" ref="Z2104">IFERROR(IF(_xlfn._xlws.FILTER(game_rosters!$J:$J,(game_rosters!$G:$G=events!$AN2104)*(game_rosters!$J:$J=events!$X2104))&gt;0,1,""),"")</f>
        <v/>
      </c>
      <c r="AA2104">
        <f t="shared" si="2173"/>
        <v>2108</v>
      </c>
      <c r="AB2104" t="str">
        <f t="shared" si="2174"/>
        <v/>
      </c>
      <c r="AC2104">
        <f t="shared" si="2122"/>
        <v>2108</v>
      </c>
      <c r="AD2104" s="6">
        <v>3</v>
      </c>
      <c r="AE2104" t="s">
        <v>936</v>
      </c>
      <c r="AF2104" t="s">
        <v>939</v>
      </c>
      <c r="AG2104" t="s">
        <v>936</v>
      </c>
      <c r="AH2104" t="s">
        <v>913</v>
      </c>
      <c r="AI2104" t="s">
        <v>368</v>
      </c>
      <c r="AJ2104" t="str">
        <f t="shared" ref="AJ2104:AK2104" si="2202">IF($J2104&lt;&gt;"",$J2104,IF($AC2104=$AC2103,AJ2103,""))</f>
        <v/>
      </c>
      <c r="AK2104" t="str">
        <f t="shared" si="2202"/>
        <v/>
      </c>
      <c r="AL2104" t="str">
        <f t="shared" si="2127"/>
        <v/>
      </c>
      <c r="AN2104" t="s">
        <v>862</v>
      </c>
      <c r="AO2104" t="str">
        <f t="shared" si="2128"/>
        <v>a</v>
      </c>
      <c r="AP2104" t="str">
        <f t="shared" si="2136"/>
        <v/>
      </c>
      <c r="AQ2104" t="str">
        <f t="shared" si="2137"/>
        <v/>
      </c>
      <c r="AR2104" t="str">
        <f t="shared" si="2138"/>
        <v>Away</v>
      </c>
      <c r="AS2104" t="str">
        <f t="shared" si="2139"/>
        <v>a</v>
      </c>
      <c r="AT2104" t="str">
        <f t="shared" si="2140"/>
        <v>Defensive</v>
      </c>
      <c r="BA2104" s="6">
        <f t="shared" si="2129"/>
        <v>480</v>
      </c>
      <c r="BB2104">
        <f t="shared" si="2130"/>
        <v>18981</v>
      </c>
      <c r="BC2104" t="str">
        <f t="shared" si="2131"/>
        <v>Nelson</v>
      </c>
      <c r="BD2104" t="str">
        <f t="shared" si="2132"/>
        <v>Velodrome</v>
      </c>
      <c r="BE2104" t="s">
        <v>13</v>
      </c>
      <c r="BF2104" t="s">
        <v>756</v>
      </c>
      <c r="BG2104" t="s">
        <v>756</v>
      </c>
      <c r="BI2104" cm="1">
        <f t="array" ref="BI2104">IFERROR(_xlfn._xlws.FILTER(shifts!A:A,(shifts!B:B=events!AD2104)*(shifts!AG:AG&gt;=events!BK2104)*(shifts!AH:AH&lt;=events!BL2104)),BI2103)</f>
        <v>91</v>
      </c>
      <c r="BJ2104" s="15">
        <f t="shared" si="2133"/>
        <v>6</v>
      </c>
      <c r="BK2104">
        <f t="shared" si="2141"/>
        <v>488</v>
      </c>
      <c r="BL2104">
        <f t="shared" si="2142"/>
        <v>482</v>
      </c>
      <c r="BM2104" s="15">
        <f>SUMIFS(BJ$2:BJ2104,K$2:K2104,"=Intermission")+SUMIFS(BJ$2:BJ2104,K$2:K2104,"=Timeout")</f>
        <v>142</v>
      </c>
      <c r="BN2104">
        <f t="shared" si="2143"/>
        <v>2302</v>
      </c>
      <c r="BO2104" s="19">
        <f t="shared" si="2144"/>
        <v>2894</v>
      </c>
      <c r="BP2104">
        <f t="shared" si="2145"/>
        <v>2889</v>
      </c>
      <c r="BQ2104" s="17">
        <f t="shared" si="2146"/>
        <v>2900</v>
      </c>
      <c r="BR2104" t="str">
        <f t="shared" si="2147"/>
        <v>opp_team_player_2</v>
      </c>
      <c r="BS2104">
        <f>COUNTIFS(S$3:S2104,"="&amp;S2104,AI$3:AI2104,"="&amp;AI2104)</f>
        <v>2</v>
      </c>
      <c r="BT2104" t="str">
        <f>IFERROR(VLOOKUP(BB2104&amp;BU2104&amp;X2104,game_rosters!U:W,3,FALSE),"")</f>
        <v>P100078</v>
      </c>
      <c r="BU2104" t="str">
        <f t="shared" si="2148"/>
        <v>Nelson</v>
      </c>
    </row>
    <row r="2105" spans="1:73" x14ac:dyDescent="0.2">
      <c r="A2105">
        <f t="shared" si="2134"/>
        <v>1</v>
      </c>
      <c r="J2105" s="44" t="str">
        <f t="shared" si="2149"/>
        <v>o</v>
      </c>
      <c r="K2105" t="s">
        <v>6</v>
      </c>
      <c r="L2105" t="s">
        <v>205</v>
      </c>
      <c r="M2105" t="s">
        <v>51</v>
      </c>
      <c r="S2105">
        <v>1109</v>
      </c>
      <c r="W2105" t="str">
        <f t="shared" si="2125"/>
        <v>a</v>
      </c>
      <c r="X2105">
        <v>70</v>
      </c>
      <c r="Y2105" t="e">
        <f>IF(X2105&lt;&gt;"",VLOOKUP(X2105,game_rosters!$C$43:$E$64,3,FALSE))</f>
        <v>#N/A</v>
      </c>
      <c r="Z2105" cm="1">
        <f t="array" ref="Z2105">IFERROR(IF(_xlfn._xlws.FILTER(game_rosters!$J:$J,(game_rosters!$G:$G=events!$AN2105)*(game_rosters!$J:$J=events!$X2105))&gt;0,1,""),"")</f>
        <v>1</v>
      </c>
      <c r="AA2105">
        <f t="shared" si="2173"/>
        <v>2109</v>
      </c>
      <c r="AB2105" t="str">
        <f t="shared" si="2174"/>
        <v/>
      </c>
      <c r="AC2105">
        <f t="shared" si="2122"/>
        <v>2109</v>
      </c>
      <c r="AD2105" s="6">
        <v>3</v>
      </c>
      <c r="AE2105" t="s">
        <v>936</v>
      </c>
      <c r="AF2105" t="s">
        <v>913</v>
      </c>
      <c r="AG2105" t="s">
        <v>756</v>
      </c>
      <c r="AH2105" t="s">
        <v>756</v>
      </c>
      <c r="AI2105" t="s">
        <v>367</v>
      </c>
      <c r="AJ2105" t="str">
        <f t="shared" ref="AJ2105:AK2105" si="2203">IF($J2105&lt;&gt;"",$J2105,IF($AC2105=$AC2104,AJ2104,""))</f>
        <v>o</v>
      </c>
      <c r="AK2105" t="str">
        <f t="shared" si="2203"/>
        <v>o</v>
      </c>
      <c r="AL2105" t="str">
        <f t="shared" si="2127"/>
        <v>d</v>
      </c>
      <c r="AN2105" t="s">
        <v>862</v>
      </c>
      <c r="AO2105" t="str">
        <f t="shared" si="2128"/>
        <v>a</v>
      </c>
      <c r="AP2105" t="str">
        <f t="shared" si="2136"/>
        <v>d</v>
      </c>
      <c r="AQ2105" t="str">
        <f t="shared" si="2137"/>
        <v/>
      </c>
      <c r="AR2105" t="str">
        <f t="shared" si="2138"/>
        <v>Away</v>
      </c>
      <c r="AS2105" t="str">
        <f t="shared" si="2139"/>
        <v>a</v>
      </c>
      <c r="AT2105" t="str">
        <f t="shared" si="2140"/>
        <v>Offensive</v>
      </c>
      <c r="BA2105" s="6">
        <f t="shared" si="2129"/>
        <v>480</v>
      </c>
      <c r="BB2105">
        <f t="shared" si="2130"/>
        <v>18981</v>
      </c>
      <c r="BC2105" t="str">
        <f t="shared" si="2131"/>
        <v>Nelson</v>
      </c>
      <c r="BD2105" t="str">
        <f t="shared" si="2132"/>
        <v>Velodrome</v>
      </c>
      <c r="BE2105" t="s">
        <v>6</v>
      </c>
      <c r="BF2105" t="s">
        <v>205</v>
      </c>
      <c r="BG2105" t="s">
        <v>51</v>
      </c>
      <c r="BI2105" cm="1">
        <f t="array" ref="BI2105">IFERROR(_xlfn._xlws.FILTER(shifts!A:A,(shifts!B:B=events!AD2105)*(shifts!AG:AG&gt;=events!BK2105)*(shifts!AH:AH&lt;=events!BL2105)),BI2104)</f>
        <v>91</v>
      </c>
      <c r="BJ2105" s="15">
        <f t="shared" si="2133"/>
        <v>0</v>
      </c>
      <c r="BK2105">
        <f t="shared" si="2141"/>
        <v>482</v>
      </c>
      <c r="BL2105">
        <f t="shared" si="2142"/>
        <v>482</v>
      </c>
      <c r="BM2105" s="15">
        <f>SUMIFS(BJ$2:BJ2105,K$2:K2105,"=Intermission")+SUMIFS(BJ$2:BJ2105,K$2:K2105,"=Timeout")</f>
        <v>142</v>
      </c>
      <c r="BN2105">
        <f t="shared" si="2143"/>
        <v>2302</v>
      </c>
      <c r="BO2105" s="19">
        <f t="shared" si="2144"/>
        <v>2900</v>
      </c>
      <c r="BP2105">
        <f t="shared" si="2145"/>
        <v>2895</v>
      </c>
      <c r="BQ2105" s="17">
        <f t="shared" si="2146"/>
        <v>2900</v>
      </c>
      <c r="BR2105" t="str">
        <f t="shared" si="2147"/>
        <v>event_team_player_1</v>
      </c>
      <c r="BS2105">
        <f>COUNTIFS(S$3:S2105,"="&amp;S2105,AI$3:AI2105,"="&amp;AI2105)</f>
        <v>1</v>
      </c>
      <c r="BT2105" t="str">
        <f>IFERROR(VLOOKUP(BB2105&amp;BU2105&amp;X2105,game_rosters!U:W,3,FALSE),"")</f>
        <v>P100001</v>
      </c>
      <c r="BU2105" t="str">
        <f t="shared" si="2148"/>
        <v>Velodrome</v>
      </c>
    </row>
    <row r="2106" spans="1:73" x14ac:dyDescent="0.2">
      <c r="A2106">
        <f t="shared" si="2134"/>
        <v>1</v>
      </c>
      <c r="J2106" s="44" t="str">
        <f t="shared" si="2149"/>
        <v>o</v>
      </c>
      <c r="K2106" t="s">
        <v>6</v>
      </c>
      <c r="L2106" t="s">
        <v>205</v>
      </c>
      <c r="M2106" t="s">
        <v>51</v>
      </c>
      <c r="S2106">
        <v>1109</v>
      </c>
      <c r="W2106" t="str">
        <f t="shared" si="2125"/>
        <v>a</v>
      </c>
      <c r="X2106">
        <v>31</v>
      </c>
      <c r="Y2106" t="b">
        <f>IF(X2106&lt;&gt;"",VLOOKUP(X2106,game_rosters!$C$43:$E$64,3,FALSE))</f>
        <v>0</v>
      </c>
      <c r="Z2106" t="str" cm="1">
        <f t="array" ref="Z2106">IFERROR(IF(_xlfn._xlws.FILTER(game_rosters!$J:$J,(game_rosters!$G:$G=events!$AN2106)*(game_rosters!$J:$J=events!$X2106))&gt;0,1,""),"")</f>
        <v/>
      </c>
      <c r="AA2106">
        <f t="shared" si="2173"/>
        <v>2109</v>
      </c>
      <c r="AB2106" t="str">
        <f t="shared" si="2174"/>
        <v/>
      </c>
      <c r="AC2106">
        <f t="shared" si="2122"/>
        <v>2109</v>
      </c>
      <c r="AD2106" s="6">
        <v>3</v>
      </c>
      <c r="AE2106" t="s">
        <v>936</v>
      </c>
      <c r="AF2106" t="s">
        <v>913</v>
      </c>
      <c r="AG2106" t="s">
        <v>756</v>
      </c>
      <c r="AH2106" t="s">
        <v>756</v>
      </c>
      <c r="AI2106" t="s">
        <v>368</v>
      </c>
      <c r="AJ2106" t="str">
        <f t="shared" ref="AJ2106:AK2106" si="2204">IF($J2106&lt;&gt;"",$J2106,IF($AC2106=$AC2105,AJ2105,""))</f>
        <v>o</v>
      </c>
      <c r="AK2106" t="str">
        <f t="shared" si="2204"/>
        <v>o</v>
      </c>
      <c r="AL2106" t="str">
        <f t="shared" si="2127"/>
        <v>d</v>
      </c>
      <c r="AN2106" t="s">
        <v>862</v>
      </c>
      <c r="AO2106" t="str">
        <f t="shared" si="2128"/>
        <v>a</v>
      </c>
      <c r="AP2106" t="str">
        <f t="shared" si="2136"/>
        <v>d</v>
      </c>
      <c r="AQ2106" t="str">
        <f t="shared" si="2137"/>
        <v/>
      </c>
      <c r="AR2106" t="str">
        <f t="shared" si="2138"/>
        <v>Away</v>
      </c>
      <c r="AS2106" t="str">
        <f t="shared" si="2139"/>
        <v>a</v>
      </c>
      <c r="AT2106" t="str">
        <f t="shared" si="2140"/>
        <v>Defensive</v>
      </c>
      <c r="BA2106" s="6">
        <f t="shared" si="2129"/>
        <v>480</v>
      </c>
      <c r="BB2106">
        <f t="shared" si="2130"/>
        <v>18981</v>
      </c>
      <c r="BC2106" t="str">
        <f t="shared" si="2131"/>
        <v>Nelson</v>
      </c>
      <c r="BD2106" t="str">
        <f t="shared" si="2132"/>
        <v>Velodrome</v>
      </c>
      <c r="BE2106" t="s">
        <v>6</v>
      </c>
      <c r="BF2106" t="s">
        <v>205</v>
      </c>
      <c r="BG2106" t="s">
        <v>51</v>
      </c>
      <c r="BI2106" cm="1">
        <f t="array" ref="BI2106">IFERROR(_xlfn._xlws.FILTER(shifts!A:A,(shifts!B:B=events!AD2106)*(shifts!AG:AG&gt;=events!BK2106)*(shifts!AH:AH&lt;=events!BL2106)),BI2105)</f>
        <v>91</v>
      </c>
      <c r="BJ2106" s="15">
        <f t="shared" si="2133"/>
        <v>0</v>
      </c>
      <c r="BK2106">
        <f t="shared" si="2141"/>
        <v>482</v>
      </c>
      <c r="BL2106">
        <f t="shared" si="2142"/>
        <v>482</v>
      </c>
      <c r="BM2106" s="15">
        <f>SUMIFS(BJ$2:BJ2106,K$2:K2106,"=Intermission")+SUMIFS(BJ$2:BJ2106,K$2:K2106,"=Timeout")</f>
        <v>142</v>
      </c>
      <c r="BN2106">
        <f t="shared" si="2143"/>
        <v>2302</v>
      </c>
      <c r="BO2106" s="19">
        <f t="shared" si="2144"/>
        <v>2900</v>
      </c>
      <c r="BP2106">
        <f t="shared" si="2145"/>
        <v>2895</v>
      </c>
      <c r="BQ2106" s="17">
        <f t="shared" si="2146"/>
        <v>2900</v>
      </c>
      <c r="BR2106" t="str">
        <f t="shared" si="2147"/>
        <v>opp_team_player_1</v>
      </c>
      <c r="BS2106">
        <f>COUNTIFS(S$3:S2106,"="&amp;S2106,AI$3:AI2106,"="&amp;AI2106)</f>
        <v>1</v>
      </c>
      <c r="BT2106" t="str">
        <f>IFERROR(VLOOKUP(BB2106&amp;BU2106&amp;X2106,game_rosters!U:W,3,FALSE),"")</f>
        <v>P100138</v>
      </c>
      <c r="BU2106" t="str">
        <f t="shared" si="2148"/>
        <v>Nelson</v>
      </c>
    </row>
    <row r="2107" spans="1:73" x14ac:dyDescent="0.2">
      <c r="A2107">
        <f t="shared" si="2134"/>
        <v>1</v>
      </c>
      <c r="J2107" s="44" t="str">
        <f t="shared" si="2149"/>
        <v>d</v>
      </c>
      <c r="K2107" t="s">
        <v>15</v>
      </c>
      <c r="L2107" t="s">
        <v>179</v>
      </c>
      <c r="M2107" t="s">
        <v>416</v>
      </c>
      <c r="S2107">
        <v>1110</v>
      </c>
      <c r="W2107" t="str">
        <f t="shared" si="2125"/>
        <v>h</v>
      </c>
      <c r="X2107">
        <v>31</v>
      </c>
      <c r="Y2107" t="b">
        <f>IF(X2107&lt;&gt;"",VLOOKUP(X2107,game_rosters!$C$43:$E$64,3,FALSE))</f>
        <v>0</v>
      </c>
      <c r="Z2107" cm="1">
        <f t="array" ref="Z2107">IFERROR(IF(_xlfn._xlws.FILTER(game_rosters!$J:$J,(game_rosters!$G:$G=events!$AN2107)*(game_rosters!$J:$J=events!$X2107))&gt;0,1,""),"")</f>
        <v>1</v>
      </c>
      <c r="AA2107">
        <f t="shared" si="2173"/>
        <v>2110</v>
      </c>
      <c r="AB2107" t="str">
        <f t="shared" si="2174"/>
        <v/>
      </c>
      <c r="AC2107">
        <f t="shared" si="2122"/>
        <v>2110</v>
      </c>
      <c r="AD2107" s="6">
        <v>3</v>
      </c>
      <c r="AE2107" t="s">
        <v>936</v>
      </c>
      <c r="AF2107" t="s">
        <v>913</v>
      </c>
      <c r="AG2107" t="s">
        <v>756</v>
      </c>
      <c r="AH2107" t="s">
        <v>756</v>
      </c>
      <c r="AI2107" t="s">
        <v>367</v>
      </c>
      <c r="AJ2107" t="str">
        <f t="shared" ref="AJ2107:AK2107" si="2205">IF($J2107&lt;&gt;"",$J2107,IF($AC2107=$AC2106,AJ2106,""))</f>
        <v>d</v>
      </c>
      <c r="AK2107" t="str">
        <f t="shared" si="2205"/>
        <v>d</v>
      </c>
      <c r="AL2107" t="str">
        <f t="shared" si="2127"/>
        <v>d</v>
      </c>
      <c r="AN2107" t="s">
        <v>861</v>
      </c>
      <c r="AO2107" t="str">
        <f t="shared" si="2128"/>
        <v>h</v>
      </c>
      <c r="AP2107" t="str">
        <f t="shared" si="2136"/>
        <v>d</v>
      </c>
      <c r="AQ2107" t="str">
        <f t="shared" si="2137"/>
        <v/>
      </c>
      <c r="AR2107" t="str">
        <f t="shared" si="2138"/>
        <v>Home</v>
      </c>
      <c r="AS2107" t="str">
        <f t="shared" si="2139"/>
        <v>h</v>
      </c>
      <c r="AT2107" t="str">
        <f t="shared" si="2140"/>
        <v>Defensive</v>
      </c>
      <c r="BA2107" s="6">
        <f t="shared" si="2129"/>
        <v>480</v>
      </c>
      <c r="BB2107">
        <f t="shared" si="2130"/>
        <v>18981</v>
      </c>
      <c r="BC2107" t="str">
        <f t="shared" si="2131"/>
        <v>Nelson</v>
      </c>
      <c r="BD2107" t="str">
        <f t="shared" si="2132"/>
        <v>Velodrome</v>
      </c>
      <c r="BE2107" t="s">
        <v>15</v>
      </c>
      <c r="BF2107" t="s">
        <v>179</v>
      </c>
      <c r="BG2107" t="s">
        <v>416</v>
      </c>
      <c r="BI2107" cm="1">
        <f t="array" ref="BI2107">IFERROR(_xlfn._xlws.FILTER(shifts!A:A,(shifts!B:B=events!AD2107)*(shifts!AG:AG&gt;=events!BK2107)*(shifts!AH:AH&lt;=events!BL2107)),BI2106)</f>
        <v>91</v>
      </c>
      <c r="BJ2107" s="15">
        <f t="shared" si="2133"/>
        <v>0</v>
      </c>
      <c r="BK2107">
        <f t="shared" si="2141"/>
        <v>482</v>
      </c>
      <c r="BL2107">
        <f t="shared" si="2142"/>
        <v>482</v>
      </c>
      <c r="BM2107" s="15">
        <f>SUMIFS(BJ$2:BJ2107,K$2:K2107,"=Intermission")+SUMIFS(BJ$2:BJ2107,K$2:K2107,"=Timeout")</f>
        <v>142</v>
      </c>
      <c r="BN2107">
        <f t="shared" si="2143"/>
        <v>2302</v>
      </c>
      <c r="BO2107" s="19">
        <f t="shared" si="2144"/>
        <v>2900</v>
      </c>
      <c r="BP2107">
        <f t="shared" si="2145"/>
        <v>2895</v>
      </c>
      <c r="BQ2107" s="17">
        <f t="shared" si="2146"/>
        <v>2900</v>
      </c>
      <c r="BR2107" t="str">
        <f t="shared" si="2147"/>
        <v>event_team_player_1</v>
      </c>
      <c r="BS2107">
        <f>COUNTIFS(S$3:S2107,"="&amp;S2107,AI$3:AI2107,"="&amp;AI2107)</f>
        <v>1</v>
      </c>
      <c r="BT2107" t="str">
        <f>IFERROR(VLOOKUP(BB2107&amp;BU2107&amp;X2107,game_rosters!U:W,3,FALSE),"")</f>
        <v>P100138</v>
      </c>
      <c r="BU2107" t="str">
        <f t="shared" si="2148"/>
        <v>Nelson</v>
      </c>
    </row>
    <row r="2108" spans="1:73" x14ac:dyDescent="0.2">
      <c r="A2108">
        <f t="shared" si="2134"/>
        <v>1</v>
      </c>
      <c r="J2108" s="44" t="str">
        <f t="shared" si="2149"/>
        <v>d</v>
      </c>
      <c r="K2108" t="s">
        <v>15</v>
      </c>
      <c r="L2108" t="s">
        <v>179</v>
      </c>
      <c r="M2108" t="s">
        <v>416</v>
      </c>
      <c r="S2108">
        <v>1110</v>
      </c>
      <c r="W2108" t="str">
        <f t="shared" si="2125"/>
        <v>h</v>
      </c>
      <c r="X2108">
        <v>70</v>
      </c>
      <c r="Y2108" t="e">
        <f>IF(X2108&lt;&gt;"",VLOOKUP(X2108,game_rosters!$C$43:$E$64,3,FALSE))</f>
        <v>#N/A</v>
      </c>
      <c r="Z2108" t="str" cm="1">
        <f t="array" ref="Z2108">IFERROR(IF(_xlfn._xlws.FILTER(game_rosters!$J:$J,(game_rosters!$G:$G=events!$AN2108)*(game_rosters!$J:$J=events!$X2108))&gt;0,1,""),"")</f>
        <v/>
      </c>
      <c r="AA2108">
        <f t="shared" si="2173"/>
        <v>2110</v>
      </c>
      <c r="AB2108" t="str">
        <f t="shared" si="2174"/>
        <v/>
      </c>
      <c r="AC2108">
        <f t="shared" si="2122"/>
        <v>2110</v>
      </c>
      <c r="AD2108" s="6">
        <v>3</v>
      </c>
      <c r="AE2108" t="s">
        <v>936</v>
      </c>
      <c r="AF2108" t="s">
        <v>913</v>
      </c>
      <c r="AG2108" t="s">
        <v>756</v>
      </c>
      <c r="AH2108" t="s">
        <v>756</v>
      </c>
      <c r="AI2108" t="s">
        <v>368</v>
      </c>
      <c r="AJ2108" t="str">
        <f t="shared" ref="AJ2108:AK2108" si="2206">IF($J2108&lt;&gt;"",$J2108,IF($AC2108=$AC2107,AJ2107,""))</f>
        <v>d</v>
      </c>
      <c r="AK2108" t="str">
        <f t="shared" si="2206"/>
        <v>d</v>
      </c>
      <c r="AL2108" t="str">
        <f t="shared" si="2127"/>
        <v>d</v>
      </c>
      <c r="AN2108" t="s">
        <v>861</v>
      </c>
      <c r="AO2108" t="str">
        <f t="shared" si="2128"/>
        <v>h</v>
      </c>
      <c r="AP2108" t="str">
        <f t="shared" si="2136"/>
        <v>d</v>
      </c>
      <c r="AQ2108" t="str">
        <f t="shared" si="2137"/>
        <v/>
      </c>
      <c r="AR2108" t="str">
        <f t="shared" si="2138"/>
        <v>Home</v>
      </c>
      <c r="AS2108" t="str">
        <f t="shared" si="2139"/>
        <v>h</v>
      </c>
      <c r="AT2108" t="str">
        <f t="shared" si="2140"/>
        <v>Offensive</v>
      </c>
      <c r="BA2108" s="6">
        <f t="shared" si="2129"/>
        <v>480</v>
      </c>
      <c r="BB2108">
        <f t="shared" si="2130"/>
        <v>18981</v>
      </c>
      <c r="BC2108" t="str">
        <f t="shared" si="2131"/>
        <v>Nelson</v>
      </c>
      <c r="BD2108" t="str">
        <f t="shared" si="2132"/>
        <v>Velodrome</v>
      </c>
      <c r="BE2108" t="s">
        <v>15</v>
      </c>
      <c r="BF2108" t="s">
        <v>179</v>
      </c>
      <c r="BG2108" t="s">
        <v>416</v>
      </c>
      <c r="BI2108" cm="1">
        <f t="array" ref="BI2108">IFERROR(_xlfn._xlws.FILTER(shifts!A:A,(shifts!B:B=events!AD2108)*(shifts!AG:AG&gt;=events!BK2108)*(shifts!AH:AH&lt;=events!BL2108)),BI2107)</f>
        <v>91</v>
      </c>
      <c r="BJ2108" s="15">
        <f t="shared" si="2133"/>
        <v>0</v>
      </c>
      <c r="BK2108">
        <f t="shared" si="2141"/>
        <v>482</v>
      </c>
      <c r="BL2108">
        <f t="shared" si="2142"/>
        <v>482</v>
      </c>
      <c r="BM2108" s="15">
        <f>SUMIFS(BJ$2:BJ2108,K$2:K2108,"=Intermission")+SUMIFS(BJ$2:BJ2108,K$2:K2108,"=Timeout")</f>
        <v>142</v>
      </c>
      <c r="BN2108">
        <f t="shared" si="2143"/>
        <v>2302</v>
      </c>
      <c r="BO2108" s="19">
        <f t="shared" si="2144"/>
        <v>2900</v>
      </c>
      <c r="BP2108">
        <f t="shared" si="2145"/>
        <v>2895</v>
      </c>
      <c r="BQ2108" s="17">
        <f t="shared" si="2146"/>
        <v>2900</v>
      </c>
      <c r="BR2108" t="str">
        <f t="shared" si="2147"/>
        <v>opp_team_player_1</v>
      </c>
      <c r="BS2108">
        <f>COUNTIFS(S$3:S2108,"="&amp;S2108,AI$3:AI2108,"="&amp;AI2108)</f>
        <v>1</v>
      </c>
      <c r="BT2108" t="str">
        <f>IFERROR(VLOOKUP(BB2108&amp;BU2108&amp;X2108,game_rosters!U:W,3,FALSE),"")</f>
        <v>P100001</v>
      </c>
      <c r="BU2108" t="str">
        <f t="shared" si="2148"/>
        <v>Velodrome</v>
      </c>
    </row>
    <row r="2109" spans="1:73" x14ac:dyDescent="0.2">
      <c r="A2109">
        <f t="shared" si="2134"/>
        <v>1</v>
      </c>
      <c r="J2109" s="44" t="str">
        <f t="shared" si="2149"/>
        <v>d</v>
      </c>
      <c r="K2109" t="s">
        <v>231</v>
      </c>
      <c r="L2109" t="s">
        <v>232</v>
      </c>
      <c r="M2109" t="s">
        <v>756</v>
      </c>
      <c r="S2109">
        <v>1111</v>
      </c>
      <c r="W2109" t="str">
        <f t="shared" si="2125"/>
        <v>h</v>
      </c>
      <c r="X2109">
        <v>31</v>
      </c>
      <c r="Y2109" t="b">
        <f>IF(X2109&lt;&gt;"",VLOOKUP(X2109,game_rosters!$C$43:$E$64,3,FALSE))</f>
        <v>0</v>
      </c>
      <c r="Z2109" cm="1">
        <f t="array" ref="Z2109">IFERROR(IF(_xlfn._xlws.FILTER(game_rosters!$J:$J,(game_rosters!$G:$G=events!$AN2109)*(game_rosters!$J:$J=events!$X2109))&gt;0,1,""),"")</f>
        <v>1</v>
      </c>
      <c r="AA2109">
        <f t="shared" si="2173"/>
        <v>2111</v>
      </c>
      <c r="AB2109" t="str">
        <f t="shared" si="2174"/>
        <v/>
      </c>
      <c r="AC2109">
        <f t="shared" si="2122"/>
        <v>2111</v>
      </c>
      <c r="AD2109" s="6">
        <v>3</v>
      </c>
      <c r="AE2109" t="s">
        <v>936</v>
      </c>
      <c r="AF2109" t="s">
        <v>913</v>
      </c>
      <c r="AG2109" t="s">
        <v>756</v>
      </c>
      <c r="AH2109" t="s">
        <v>756</v>
      </c>
      <c r="AI2109" t="s">
        <v>367</v>
      </c>
      <c r="AJ2109" t="str">
        <f t="shared" ref="AJ2109:AK2109" si="2207">IF($J2109&lt;&gt;"",$J2109,IF($AC2109=$AC2108,AJ2108,""))</f>
        <v>d</v>
      </c>
      <c r="AK2109" t="str">
        <f t="shared" si="2207"/>
        <v>d</v>
      </c>
      <c r="AL2109" t="str">
        <f t="shared" si="2127"/>
        <v>d</v>
      </c>
      <c r="AN2109" t="s">
        <v>861</v>
      </c>
      <c r="AO2109" t="str">
        <f t="shared" si="2128"/>
        <v>h</v>
      </c>
      <c r="AP2109" t="str">
        <f t="shared" si="2136"/>
        <v>d</v>
      </c>
      <c r="AQ2109" t="str">
        <f t="shared" si="2137"/>
        <v/>
      </c>
      <c r="AR2109" t="str">
        <f t="shared" si="2138"/>
        <v>Home</v>
      </c>
      <c r="AS2109" t="str">
        <f t="shared" si="2139"/>
        <v>h</v>
      </c>
      <c r="AT2109" t="str">
        <f t="shared" si="2140"/>
        <v>Offensive</v>
      </c>
      <c r="BA2109" s="6">
        <f t="shared" si="2129"/>
        <v>480</v>
      </c>
      <c r="BB2109">
        <f t="shared" si="2130"/>
        <v>18981</v>
      </c>
      <c r="BC2109" t="str">
        <f t="shared" si="2131"/>
        <v>Nelson</v>
      </c>
      <c r="BD2109" t="str">
        <f t="shared" si="2132"/>
        <v>Velodrome</v>
      </c>
      <c r="BE2109" t="s">
        <v>231</v>
      </c>
      <c r="BF2109" t="s">
        <v>232</v>
      </c>
      <c r="BG2109" t="s">
        <v>756</v>
      </c>
      <c r="BI2109" cm="1">
        <f t="array" ref="BI2109">IFERROR(_xlfn._xlws.FILTER(shifts!A:A,(shifts!B:B=events!AD2109)*(shifts!AG:AG&gt;=events!BK2109)*(shifts!AH:AH&lt;=events!BL2109)),BI2108)</f>
        <v>91</v>
      </c>
      <c r="BJ2109" s="15">
        <f t="shared" si="2133"/>
        <v>0</v>
      </c>
      <c r="BK2109">
        <f t="shared" si="2141"/>
        <v>482</v>
      </c>
      <c r="BL2109">
        <f t="shared" si="2142"/>
        <v>482</v>
      </c>
      <c r="BM2109" s="15">
        <f>SUMIFS(BJ$2:BJ2109,K$2:K2109,"=Intermission")+SUMIFS(BJ$2:BJ2109,K$2:K2109,"=Timeout")</f>
        <v>142</v>
      </c>
      <c r="BN2109">
        <f t="shared" si="2143"/>
        <v>2302</v>
      </c>
      <c r="BO2109" s="19">
        <f t="shared" si="2144"/>
        <v>2900</v>
      </c>
      <c r="BP2109">
        <f t="shared" si="2145"/>
        <v>2895</v>
      </c>
      <c r="BQ2109" s="17">
        <f t="shared" si="2146"/>
        <v>2900</v>
      </c>
      <c r="BR2109" t="str">
        <f t="shared" si="2147"/>
        <v>event_team_player_1</v>
      </c>
      <c r="BS2109">
        <f>COUNTIFS(S$3:S2109,"="&amp;S2109,AI$3:AI2109,"="&amp;AI2109)</f>
        <v>1</v>
      </c>
      <c r="BT2109" t="str">
        <f>IFERROR(VLOOKUP(BB2109&amp;BU2109&amp;X2109,game_rosters!U:W,3,FALSE),"")</f>
        <v>P100138</v>
      </c>
      <c r="BU2109" t="str">
        <f t="shared" si="2148"/>
        <v>Nelson</v>
      </c>
    </row>
    <row r="2110" spans="1:73" x14ac:dyDescent="0.2">
      <c r="A2110">
        <f t="shared" si="2134"/>
        <v>1</v>
      </c>
      <c r="J2110" s="44" t="str">
        <f t="shared" si="2149"/>
        <v/>
      </c>
      <c r="K2110" t="s">
        <v>7</v>
      </c>
      <c r="L2110" t="s">
        <v>756</v>
      </c>
      <c r="M2110" t="s">
        <v>756</v>
      </c>
      <c r="S2110">
        <v>1112</v>
      </c>
      <c r="W2110" t="str">
        <f t="shared" si="2125"/>
        <v>h</v>
      </c>
      <c r="X2110">
        <v>15</v>
      </c>
      <c r="Y2110" t="b">
        <f>IF(X2110&lt;&gt;"",VLOOKUP(X2110,game_rosters!$C$43:$E$64,3,FALSE))</f>
        <v>0</v>
      </c>
      <c r="Z2110" cm="1">
        <f t="array" ref="Z2110">IFERROR(IF(_xlfn._xlws.FILTER(game_rosters!$J:$J,(game_rosters!$G:$G=events!$AN2110)*(game_rosters!$J:$J=events!$X2110))&gt;0,1,""),"")</f>
        <v>1</v>
      </c>
      <c r="AA2110">
        <f t="shared" si="2173"/>
        <v>2112</v>
      </c>
      <c r="AB2110" t="str">
        <f t="shared" si="2174"/>
        <v/>
      </c>
      <c r="AC2110">
        <f t="shared" si="2122"/>
        <v>2112</v>
      </c>
      <c r="AD2110" s="6">
        <v>3</v>
      </c>
      <c r="AE2110" t="s">
        <v>937</v>
      </c>
      <c r="AF2110" t="s">
        <v>896</v>
      </c>
      <c r="AG2110" t="s">
        <v>937</v>
      </c>
      <c r="AH2110" t="s">
        <v>927</v>
      </c>
      <c r="AI2110" t="s">
        <v>367</v>
      </c>
      <c r="AJ2110" t="str">
        <f t="shared" ref="AJ2110:AK2110" si="2208">IF($J2110&lt;&gt;"",$J2110,IF($AC2110=$AC2109,AJ2109,""))</f>
        <v/>
      </c>
      <c r="AK2110" t="str">
        <f t="shared" si="2208"/>
        <v/>
      </c>
      <c r="AL2110" t="str">
        <f t="shared" si="2127"/>
        <v/>
      </c>
      <c r="AN2110" t="s">
        <v>861</v>
      </c>
      <c r="AO2110" t="str">
        <f t="shared" si="2128"/>
        <v>h</v>
      </c>
      <c r="AP2110" t="str">
        <f t="shared" si="2136"/>
        <v/>
      </c>
      <c r="AQ2110" t="str">
        <f t="shared" si="2137"/>
        <v/>
      </c>
      <c r="AR2110" t="str">
        <f t="shared" si="2138"/>
        <v>Home</v>
      </c>
      <c r="AS2110" t="str">
        <f t="shared" si="2139"/>
        <v>h</v>
      </c>
      <c r="AT2110" t="str">
        <f t="shared" si="2140"/>
        <v>Offensive</v>
      </c>
      <c r="BA2110" s="6">
        <f t="shared" si="2129"/>
        <v>480</v>
      </c>
      <c r="BB2110">
        <f t="shared" si="2130"/>
        <v>18981</v>
      </c>
      <c r="BC2110" t="str">
        <f t="shared" si="2131"/>
        <v>Nelson</v>
      </c>
      <c r="BD2110" t="str">
        <f t="shared" si="2132"/>
        <v>Velodrome</v>
      </c>
      <c r="BE2110" t="s">
        <v>7</v>
      </c>
      <c r="BF2110" t="s">
        <v>756</v>
      </c>
      <c r="BG2110" t="s">
        <v>756</v>
      </c>
      <c r="BI2110" cm="1">
        <f t="array" ref="BI2110">IFERROR(_xlfn._xlws.FILTER(shifts!A:A,(shifts!B:B=events!AD2110)*(shifts!AG:AG&gt;=events!BK2110)*(shifts!AH:AH&lt;=events!BL2110)),BI2109)</f>
        <v>91</v>
      </c>
      <c r="BJ2110" s="15">
        <f t="shared" si="2133"/>
        <v>2</v>
      </c>
      <c r="BK2110">
        <f t="shared" si="2141"/>
        <v>479</v>
      </c>
      <c r="BL2110">
        <f t="shared" si="2142"/>
        <v>477</v>
      </c>
      <c r="BM2110" s="15">
        <f>SUMIFS(BJ$2:BJ2110,K$2:K2110,"=Intermission")+SUMIFS(BJ$2:BJ2110,K$2:K2110,"=Timeout")</f>
        <v>142</v>
      </c>
      <c r="BN2110">
        <f t="shared" si="2143"/>
        <v>2302</v>
      </c>
      <c r="BO2110" s="19">
        <f t="shared" si="2144"/>
        <v>2903</v>
      </c>
      <c r="BP2110">
        <f t="shared" si="2145"/>
        <v>2898</v>
      </c>
      <c r="BQ2110" s="17">
        <f t="shared" si="2146"/>
        <v>2905</v>
      </c>
      <c r="BR2110" t="str">
        <f t="shared" si="2147"/>
        <v>event_team_player_1</v>
      </c>
      <c r="BS2110">
        <f>COUNTIFS(S$3:S2110,"="&amp;S2110,AI$3:AI2110,"="&amp;AI2110)</f>
        <v>1</v>
      </c>
      <c r="BT2110" t="str">
        <f>IFERROR(VLOOKUP(BB2110&amp;BU2110&amp;X2110,game_rosters!U:W,3,FALSE),"")</f>
        <v>P100071</v>
      </c>
      <c r="BU2110" t="str">
        <f t="shared" si="2148"/>
        <v>Nelson</v>
      </c>
    </row>
    <row r="2111" spans="1:73" x14ac:dyDescent="0.2">
      <c r="A2111">
        <f t="shared" si="2134"/>
        <v>1</v>
      </c>
      <c r="J2111" s="44" t="str">
        <f t="shared" si="2149"/>
        <v/>
      </c>
      <c r="K2111" t="s">
        <v>7</v>
      </c>
      <c r="L2111" t="s">
        <v>756</v>
      </c>
      <c r="M2111" t="s">
        <v>756</v>
      </c>
      <c r="S2111">
        <v>1112</v>
      </c>
      <c r="W2111" t="str">
        <f t="shared" si="2125"/>
        <v>h</v>
      </c>
      <c r="X2111">
        <v>70</v>
      </c>
      <c r="Y2111" t="e">
        <f>IF(X2111&lt;&gt;"",VLOOKUP(X2111,game_rosters!$C$43:$E$64,3,FALSE))</f>
        <v>#N/A</v>
      </c>
      <c r="Z2111" t="str" cm="1">
        <f t="array" ref="Z2111">IFERROR(IF(_xlfn._xlws.FILTER(game_rosters!$J:$J,(game_rosters!$G:$G=events!$AN2111)*(game_rosters!$J:$J=events!$X2111))&gt;0,1,""),"")</f>
        <v/>
      </c>
      <c r="AA2111">
        <f t="shared" si="2173"/>
        <v>2112</v>
      </c>
      <c r="AB2111" t="str">
        <f t="shared" si="2174"/>
        <v/>
      </c>
      <c r="AC2111">
        <f t="shared" si="2122"/>
        <v>2112</v>
      </c>
      <c r="AD2111" s="6">
        <v>3</v>
      </c>
      <c r="AE2111" t="s">
        <v>937</v>
      </c>
      <c r="AF2111" t="s">
        <v>896</v>
      </c>
      <c r="AG2111" t="s">
        <v>937</v>
      </c>
      <c r="AH2111" t="s">
        <v>927</v>
      </c>
      <c r="AI2111" t="s">
        <v>368</v>
      </c>
      <c r="AJ2111" t="str">
        <f t="shared" ref="AJ2111:AK2111" si="2209">IF($J2111&lt;&gt;"",$J2111,IF($AC2111=$AC2110,AJ2110,""))</f>
        <v/>
      </c>
      <c r="AK2111" t="str">
        <f t="shared" si="2209"/>
        <v/>
      </c>
      <c r="AL2111" t="str">
        <f t="shared" si="2127"/>
        <v/>
      </c>
      <c r="AN2111" t="s">
        <v>861</v>
      </c>
      <c r="AO2111" t="str">
        <f t="shared" si="2128"/>
        <v>h</v>
      </c>
      <c r="AP2111" t="str">
        <f t="shared" si="2136"/>
        <v/>
      </c>
      <c r="AQ2111" t="str">
        <f t="shared" si="2137"/>
        <v/>
      </c>
      <c r="AR2111" t="str">
        <f t="shared" si="2138"/>
        <v>Home</v>
      </c>
      <c r="AS2111" t="str">
        <f t="shared" si="2139"/>
        <v>h</v>
      </c>
      <c r="AT2111" t="str">
        <f t="shared" si="2140"/>
        <v>Defensive</v>
      </c>
      <c r="BA2111" s="6">
        <f t="shared" si="2129"/>
        <v>480</v>
      </c>
      <c r="BB2111">
        <f t="shared" si="2130"/>
        <v>18981</v>
      </c>
      <c r="BC2111" t="str">
        <f t="shared" si="2131"/>
        <v>Nelson</v>
      </c>
      <c r="BD2111" t="str">
        <f t="shared" si="2132"/>
        <v>Velodrome</v>
      </c>
      <c r="BE2111" t="s">
        <v>7</v>
      </c>
      <c r="BF2111" t="s">
        <v>756</v>
      </c>
      <c r="BG2111" t="s">
        <v>756</v>
      </c>
      <c r="BI2111" cm="1">
        <f t="array" ref="BI2111">IFERROR(_xlfn._xlws.FILTER(shifts!A:A,(shifts!B:B=events!AD2111)*(shifts!AG:AG&gt;=events!BK2111)*(shifts!AH:AH&lt;=events!BL2111)),BI2110)</f>
        <v>91</v>
      </c>
      <c r="BJ2111" s="15">
        <f t="shared" si="2133"/>
        <v>2</v>
      </c>
      <c r="BK2111">
        <f t="shared" si="2141"/>
        <v>479</v>
      </c>
      <c r="BL2111">
        <f t="shared" si="2142"/>
        <v>477</v>
      </c>
      <c r="BM2111" s="15">
        <f>SUMIFS(BJ$2:BJ2111,K$2:K2111,"=Intermission")+SUMIFS(BJ$2:BJ2111,K$2:K2111,"=Timeout")</f>
        <v>142</v>
      </c>
      <c r="BN2111">
        <f t="shared" si="2143"/>
        <v>2302</v>
      </c>
      <c r="BO2111" s="19">
        <f t="shared" si="2144"/>
        <v>2903</v>
      </c>
      <c r="BP2111">
        <f t="shared" si="2145"/>
        <v>2898</v>
      </c>
      <c r="BQ2111" s="17">
        <f t="shared" si="2146"/>
        <v>2905</v>
      </c>
      <c r="BR2111" t="str">
        <f t="shared" si="2147"/>
        <v>opp_team_player_1</v>
      </c>
      <c r="BS2111">
        <f>COUNTIFS(S$3:S2111,"="&amp;S2111,AI$3:AI2111,"="&amp;AI2111)</f>
        <v>1</v>
      </c>
      <c r="BT2111" t="str">
        <f>IFERROR(VLOOKUP(BB2111&amp;BU2111&amp;X2111,game_rosters!U:W,3,FALSE),"")</f>
        <v>P100001</v>
      </c>
      <c r="BU2111" t="str">
        <f t="shared" si="2148"/>
        <v>Velodrome</v>
      </c>
    </row>
    <row r="2112" spans="1:73" x14ac:dyDescent="0.2">
      <c r="A2112">
        <f t="shared" si="2134"/>
        <v>1</v>
      </c>
      <c r="J2112" s="44" t="str">
        <f t="shared" si="2149"/>
        <v/>
      </c>
      <c r="K2112" t="s">
        <v>9</v>
      </c>
      <c r="L2112" t="s">
        <v>173</v>
      </c>
      <c r="M2112" t="s">
        <v>365</v>
      </c>
      <c r="S2112">
        <v>1113</v>
      </c>
      <c r="W2112" t="str">
        <f t="shared" si="2125"/>
        <v>h</v>
      </c>
      <c r="X2112">
        <v>15</v>
      </c>
      <c r="Y2112" t="b">
        <f>IF(X2112&lt;&gt;"",VLOOKUP(X2112,game_rosters!$C$43:$E$64,3,FALSE))</f>
        <v>0</v>
      </c>
      <c r="Z2112" cm="1">
        <f t="array" ref="Z2112">IFERROR(IF(_xlfn._xlws.FILTER(game_rosters!$J:$J,(game_rosters!$G:$G=events!$AN2112)*(game_rosters!$J:$J=events!$X2112))&gt;0,1,""),"")</f>
        <v>1</v>
      </c>
      <c r="AA2112">
        <f t="shared" si="2173"/>
        <v>2113</v>
      </c>
      <c r="AB2112" t="str">
        <f t="shared" si="2174"/>
        <v/>
      </c>
      <c r="AC2112">
        <f t="shared" si="2122"/>
        <v>2113</v>
      </c>
      <c r="AD2112" s="6">
        <v>3</v>
      </c>
      <c r="AE2112" t="s">
        <v>937</v>
      </c>
      <c r="AF2112" t="s">
        <v>927</v>
      </c>
      <c r="AG2112" t="s">
        <v>756</v>
      </c>
      <c r="AH2112" t="s">
        <v>756</v>
      </c>
      <c r="AI2112" t="s">
        <v>367</v>
      </c>
      <c r="AJ2112" t="str">
        <f t="shared" ref="AJ2112:AK2112" si="2210">IF($J2112&lt;&gt;"",$J2112,IF($AC2112=$AC2111,AJ2111,""))</f>
        <v/>
      </c>
      <c r="AK2112" t="str">
        <f t="shared" si="2210"/>
        <v/>
      </c>
      <c r="AL2112" t="str">
        <f t="shared" si="2127"/>
        <v/>
      </c>
      <c r="AN2112" t="s">
        <v>861</v>
      </c>
      <c r="AO2112" t="str">
        <f t="shared" si="2128"/>
        <v>h</v>
      </c>
      <c r="AP2112" t="str">
        <f t="shared" si="2136"/>
        <v/>
      </c>
      <c r="AQ2112" t="str">
        <f t="shared" si="2137"/>
        <v/>
      </c>
      <c r="AR2112" t="str">
        <f t="shared" si="2138"/>
        <v>Home</v>
      </c>
      <c r="AS2112" t="str">
        <f t="shared" si="2139"/>
        <v>h</v>
      </c>
      <c r="AT2112" t="str">
        <f t="shared" si="2140"/>
        <v>Offensive</v>
      </c>
      <c r="BA2112" s="6">
        <f t="shared" si="2129"/>
        <v>480</v>
      </c>
      <c r="BB2112">
        <f t="shared" si="2130"/>
        <v>18981</v>
      </c>
      <c r="BC2112" t="str">
        <f t="shared" si="2131"/>
        <v>Nelson</v>
      </c>
      <c r="BD2112" t="str">
        <f t="shared" si="2132"/>
        <v>Velodrome</v>
      </c>
      <c r="BE2112" t="s">
        <v>9</v>
      </c>
      <c r="BF2112" t="s">
        <v>173</v>
      </c>
      <c r="BG2112" t="s">
        <v>365</v>
      </c>
      <c r="BI2112" cm="1">
        <f t="array" ref="BI2112">IFERROR(_xlfn._xlws.FILTER(shifts!A:A,(shifts!B:B=events!AD2112)*(shifts!AG:AG&gt;=events!BK2112)*(shifts!AH:AH&lt;=events!BL2112)),BI2111)</f>
        <v>91</v>
      </c>
      <c r="BJ2112" s="15">
        <f t="shared" si="2133"/>
        <v>0</v>
      </c>
      <c r="BK2112">
        <f t="shared" si="2141"/>
        <v>477</v>
      </c>
      <c r="BL2112">
        <f t="shared" si="2142"/>
        <v>477</v>
      </c>
      <c r="BM2112" s="15">
        <f>SUMIFS(BJ$2:BJ2112,K$2:K2112,"=Intermission")+SUMIFS(BJ$2:BJ2112,K$2:K2112,"=Timeout")</f>
        <v>142</v>
      </c>
      <c r="BN2112">
        <f t="shared" si="2143"/>
        <v>2302</v>
      </c>
      <c r="BO2112" s="19">
        <f t="shared" si="2144"/>
        <v>2905</v>
      </c>
      <c r="BP2112">
        <f t="shared" si="2145"/>
        <v>2900</v>
      </c>
      <c r="BQ2112" s="17">
        <f t="shared" si="2146"/>
        <v>2905</v>
      </c>
      <c r="BR2112" t="str">
        <f t="shared" si="2147"/>
        <v>event_team_player_1</v>
      </c>
      <c r="BS2112">
        <f>COUNTIFS(S$3:S2112,"="&amp;S2112,AI$3:AI2112,"="&amp;AI2112)</f>
        <v>1</v>
      </c>
      <c r="BT2112" t="str">
        <f>IFERROR(VLOOKUP(BB2112&amp;BU2112&amp;X2112,game_rosters!U:W,3,FALSE),"")</f>
        <v>P100071</v>
      </c>
      <c r="BU2112" t="str">
        <f t="shared" si="2148"/>
        <v>Nelson</v>
      </c>
    </row>
    <row r="2113" spans="1:73" x14ac:dyDescent="0.2">
      <c r="A2113">
        <f t="shared" si="2134"/>
        <v>1</v>
      </c>
      <c r="J2113" s="44" t="str">
        <f t="shared" si="2149"/>
        <v/>
      </c>
      <c r="K2113" t="s">
        <v>238</v>
      </c>
      <c r="L2113" t="s">
        <v>193</v>
      </c>
      <c r="M2113" t="s">
        <v>91</v>
      </c>
      <c r="S2113">
        <v>1114</v>
      </c>
      <c r="W2113" t="str">
        <f t="shared" si="2125"/>
        <v>a</v>
      </c>
      <c r="X2113">
        <v>9</v>
      </c>
      <c r="Y2113" t="e">
        <f>IF(X2113&lt;&gt;"",VLOOKUP(X2113,game_rosters!$C$43:$E$64,3,FALSE))</f>
        <v>#N/A</v>
      </c>
      <c r="Z2113" cm="1">
        <f t="array" ref="Z2113">IFERROR(IF(_xlfn._xlws.FILTER(game_rosters!$J:$J,(game_rosters!$G:$G=events!$AN2113)*(game_rosters!$J:$J=events!$X2113))&gt;0,1,""),"")</f>
        <v>1</v>
      </c>
      <c r="AA2113">
        <f t="shared" si="2173"/>
        <v>2114</v>
      </c>
      <c r="AB2113" t="str">
        <f t="shared" si="2174"/>
        <v/>
      </c>
      <c r="AC2113">
        <f t="shared" si="2122"/>
        <v>2114</v>
      </c>
      <c r="AD2113" s="6">
        <v>3</v>
      </c>
      <c r="AE2113" t="s">
        <v>937</v>
      </c>
      <c r="AF2113" t="s">
        <v>753</v>
      </c>
      <c r="AG2113" t="s">
        <v>756</v>
      </c>
      <c r="AH2113" t="s">
        <v>756</v>
      </c>
      <c r="AI2113" t="s">
        <v>367</v>
      </c>
      <c r="AJ2113" t="str">
        <f t="shared" ref="AJ2113:AK2113" si="2211">IF($J2113&lt;&gt;"",$J2113,IF($AC2113=$AC2112,AJ2112,""))</f>
        <v/>
      </c>
      <c r="AK2113" t="str">
        <f t="shared" si="2211"/>
        <v/>
      </c>
      <c r="AL2113" t="str">
        <f t="shared" si="2127"/>
        <v/>
      </c>
      <c r="AN2113" t="s">
        <v>862</v>
      </c>
      <c r="AO2113" t="str">
        <f t="shared" si="2128"/>
        <v>a</v>
      </c>
      <c r="AP2113" t="str">
        <f t="shared" si="2136"/>
        <v/>
      </c>
      <c r="AQ2113" t="str">
        <f t="shared" si="2137"/>
        <v/>
      </c>
      <c r="AR2113" t="str">
        <f t="shared" si="2138"/>
        <v>Away</v>
      </c>
      <c r="AS2113" t="str">
        <f t="shared" si="2139"/>
        <v>a</v>
      </c>
      <c r="AT2113" t="str">
        <f t="shared" si="2140"/>
        <v>Offensive</v>
      </c>
      <c r="BA2113" s="6">
        <f t="shared" si="2129"/>
        <v>480</v>
      </c>
      <c r="BB2113">
        <f t="shared" si="2130"/>
        <v>18981</v>
      </c>
      <c r="BC2113" t="str">
        <f t="shared" si="2131"/>
        <v>Nelson</v>
      </c>
      <c r="BD2113" t="str">
        <f t="shared" si="2132"/>
        <v>Velodrome</v>
      </c>
      <c r="BE2113" t="s">
        <v>238</v>
      </c>
      <c r="BF2113" t="s">
        <v>193</v>
      </c>
      <c r="BG2113" t="s">
        <v>91</v>
      </c>
      <c r="BI2113" cm="1">
        <f t="array" ref="BI2113">IFERROR(_xlfn._xlws.FILTER(shifts!A:A,(shifts!B:B=events!AD2113)*(shifts!AG:AG&gt;=events!BK2113)*(shifts!AH:AH&lt;=events!BL2113)),BI2112)</f>
        <v>91</v>
      </c>
      <c r="BJ2113" s="15">
        <f t="shared" si="2133"/>
        <v>0</v>
      </c>
      <c r="BK2113">
        <f t="shared" si="2141"/>
        <v>475</v>
      </c>
      <c r="BL2113">
        <f t="shared" si="2142"/>
        <v>475</v>
      </c>
      <c r="BM2113" s="15">
        <f>SUMIFS(BJ$2:BJ2113,K$2:K2113,"=Intermission")+SUMIFS(BJ$2:BJ2113,K$2:K2113,"=Timeout")</f>
        <v>142</v>
      </c>
      <c r="BN2113">
        <f t="shared" si="2143"/>
        <v>2302</v>
      </c>
      <c r="BO2113" s="19">
        <f t="shared" si="2144"/>
        <v>2907</v>
      </c>
      <c r="BP2113">
        <f t="shared" si="2145"/>
        <v>2902</v>
      </c>
      <c r="BQ2113" s="17">
        <f t="shared" si="2146"/>
        <v>2907</v>
      </c>
      <c r="BR2113" t="str">
        <f t="shared" si="2147"/>
        <v>event_team_player_1</v>
      </c>
      <c r="BS2113">
        <f>COUNTIFS(S$3:S2113,"="&amp;S2113,AI$3:AI2113,"="&amp;AI2113)</f>
        <v>1</v>
      </c>
      <c r="BT2113" t="str">
        <f>IFERROR(VLOOKUP(BB2113&amp;BU2113&amp;X2113,game_rosters!U:W,3,FALSE),"")</f>
        <v>P100105</v>
      </c>
      <c r="BU2113" t="str">
        <f t="shared" si="2148"/>
        <v>Velodrome</v>
      </c>
    </row>
    <row r="2114" spans="1:73" x14ac:dyDescent="0.2">
      <c r="A2114">
        <f t="shared" si="2134"/>
        <v>1</v>
      </c>
      <c r="J2114" s="44" t="str">
        <f t="shared" si="2149"/>
        <v>o</v>
      </c>
      <c r="K2114" t="s">
        <v>6</v>
      </c>
      <c r="L2114" t="s">
        <v>205</v>
      </c>
      <c r="M2114" t="s">
        <v>51</v>
      </c>
      <c r="S2114">
        <v>1115</v>
      </c>
      <c r="W2114" t="str">
        <f t="shared" si="2125"/>
        <v>a</v>
      </c>
      <c r="X2114">
        <v>9</v>
      </c>
      <c r="Y2114" t="e">
        <f>IF(X2114&lt;&gt;"",VLOOKUP(X2114,game_rosters!$C$43:$E$64,3,FALSE))</f>
        <v>#N/A</v>
      </c>
      <c r="Z2114" cm="1">
        <f t="array" ref="Z2114">IFERROR(IF(_xlfn._xlws.FILTER(game_rosters!$J:$J,(game_rosters!$G:$G=events!$AN2114)*(game_rosters!$J:$J=events!$X2114))&gt;0,1,""),"")</f>
        <v>1</v>
      </c>
      <c r="AA2114">
        <f t="shared" si="2173"/>
        <v>2115</v>
      </c>
      <c r="AB2114" t="str">
        <f t="shared" si="2174"/>
        <v/>
      </c>
      <c r="AC2114">
        <f t="shared" ref="AC2114:AC2177" si="2212">IF(AB2114&lt;&gt;"",AB2114,S2114+1000)</f>
        <v>2115</v>
      </c>
      <c r="AD2114" s="6">
        <v>3</v>
      </c>
      <c r="AE2114" t="s">
        <v>937</v>
      </c>
      <c r="AF2114" t="s">
        <v>753</v>
      </c>
      <c r="AG2114" t="s">
        <v>756</v>
      </c>
      <c r="AH2114" t="s">
        <v>756</v>
      </c>
      <c r="AI2114" t="s">
        <v>367</v>
      </c>
      <c r="AJ2114" t="str">
        <f t="shared" ref="AJ2114:AK2114" si="2213">IF($J2114&lt;&gt;"",$J2114,IF($AC2114=$AC2113,AJ2113,""))</f>
        <v>o</v>
      </c>
      <c r="AK2114" t="str">
        <f t="shared" si="2213"/>
        <v>o</v>
      </c>
      <c r="AL2114" t="str">
        <f t="shared" si="2127"/>
        <v>d</v>
      </c>
      <c r="AN2114" t="s">
        <v>862</v>
      </c>
      <c r="AO2114" t="str">
        <f t="shared" si="2128"/>
        <v>a</v>
      </c>
      <c r="AP2114" t="str">
        <f t="shared" si="2136"/>
        <v>d</v>
      </c>
      <c r="AQ2114" t="str">
        <f t="shared" si="2137"/>
        <v/>
      </c>
      <c r="AR2114" t="str">
        <f t="shared" si="2138"/>
        <v>Away</v>
      </c>
      <c r="AS2114" t="str">
        <f t="shared" si="2139"/>
        <v>a</v>
      </c>
      <c r="AT2114" t="str">
        <f t="shared" si="2140"/>
        <v>Offensive</v>
      </c>
      <c r="BA2114" s="6">
        <f t="shared" si="2129"/>
        <v>480</v>
      </c>
      <c r="BB2114">
        <f t="shared" si="2130"/>
        <v>18981</v>
      </c>
      <c r="BC2114" t="str">
        <f t="shared" si="2131"/>
        <v>Nelson</v>
      </c>
      <c r="BD2114" t="str">
        <f t="shared" si="2132"/>
        <v>Velodrome</v>
      </c>
      <c r="BE2114" t="s">
        <v>6</v>
      </c>
      <c r="BF2114" t="s">
        <v>205</v>
      </c>
      <c r="BG2114" t="s">
        <v>51</v>
      </c>
      <c r="BI2114" cm="1">
        <f t="array" ref="BI2114">IFERROR(_xlfn._xlws.FILTER(shifts!A:A,(shifts!B:B=events!AD2114)*(shifts!AG:AG&gt;=events!BK2114)*(shifts!AH:AH&lt;=events!BL2114)),BI2113)</f>
        <v>91</v>
      </c>
      <c r="BJ2114" s="15">
        <f t="shared" si="2133"/>
        <v>0</v>
      </c>
      <c r="BK2114">
        <f t="shared" si="2141"/>
        <v>475</v>
      </c>
      <c r="BL2114">
        <f t="shared" si="2142"/>
        <v>475</v>
      </c>
      <c r="BM2114" s="15">
        <f>SUMIFS(BJ$2:BJ2114,K$2:K2114,"=Intermission")+SUMIFS(BJ$2:BJ2114,K$2:K2114,"=Timeout")</f>
        <v>142</v>
      </c>
      <c r="BN2114">
        <f t="shared" si="2143"/>
        <v>2302</v>
      </c>
      <c r="BO2114" s="19">
        <f t="shared" si="2144"/>
        <v>2907</v>
      </c>
      <c r="BP2114">
        <f t="shared" si="2145"/>
        <v>2902</v>
      </c>
      <c r="BQ2114" s="17">
        <f t="shared" si="2146"/>
        <v>2907</v>
      </c>
      <c r="BR2114" t="str">
        <f t="shared" si="2147"/>
        <v>event_team_player_1</v>
      </c>
      <c r="BS2114">
        <f>COUNTIFS(S$3:S2114,"="&amp;S2114,AI$3:AI2114,"="&amp;AI2114)</f>
        <v>1</v>
      </c>
      <c r="BT2114" t="str">
        <f>IFERROR(VLOOKUP(BB2114&amp;BU2114&amp;X2114,game_rosters!U:W,3,FALSE),"")</f>
        <v>P100105</v>
      </c>
      <c r="BU2114" t="str">
        <f t="shared" si="2148"/>
        <v>Velodrome</v>
      </c>
    </row>
    <row r="2115" spans="1:73" x14ac:dyDescent="0.2">
      <c r="A2115">
        <f t="shared" si="2134"/>
        <v>1</v>
      </c>
      <c r="J2115" s="44" t="str">
        <f t="shared" si="2149"/>
        <v>o</v>
      </c>
      <c r="K2115" t="s">
        <v>6</v>
      </c>
      <c r="L2115" t="s">
        <v>205</v>
      </c>
      <c r="M2115" t="s">
        <v>51</v>
      </c>
      <c r="S2115">
        <v>1115</v>
      </c>
      <c r="W2115" t="str">
        <f t="shared" si="2125"/>
        <v>a</v>
      </c>
      <c r="X2115">
        <v>31</v>
      </c>
      <c r="Y2115" t="b">
        <f>IF(X2115&lt;&gt;"",VLOOKUP(X2115,game_rosters!$C$43:$E$64,3,FALSE))</f>
        <v>0</v>
      </c>
      <c r="Z2115" t="str" cm="1">
        <f t="array" ref="Z2115">IFERROR(IF(_xlfn._xlws.FILTER(game_rosters!$J:$J,(game_rosters!$G:$G=events!$AN2115)*(game_rosters!$J:$J=events!$X2115))&gt;0,1,""),"")</f>
        <v/>
      </c>
      <c r="AA2115">
        <f t="shared" si="2173"/>
        <v>2115</v>
      </c>
      <c r="AB2115" t="str">
        <f t="shared" si="2174"/>
        <v/>
      </c>
      <c r="AC2115">
        <f t="shared" si="2212"/>
        <v>2115</v>
      </c>
      <c r="AD2115" s="6">
        <v>3</v>
      </c>
      <c r="AE2115" t="s">
        <v>937</v>
      </c>
      <c r="AF2115" t="s">
        <v>753</v>
      </c>
      <c r="AG2115" t="s">
        <v>756</v>
      </c>
      <c r="AH2115" t="s">
        <v>756</v>
      </c>
      <c r="AI2115" t="s">
        <v>368</v>
      </c>
      <c r="AJ2115" t="str">
        <f t="shared" ref="AJ2115:AK2115" si="2214">IF($J2115&lt;&gt;"",$J2115,IF($AC2115=$AC2114,AJ2114,""))</f>
        <v>o</v>
      </c>
      <c r="AK2115" t="str">
        <f t="shared" si="2214"/>
        <v>o</v>
      </c>
      <c r="AL2115" t="str">
        <f t="shared" si="2127"/>
        <v>d</v>
      </c>
      <c r="AN2115" t="s">
        <v>862</v>
      </c>
      <c r="AO2115" t="str">
        <f t="shared" si="2128"/>
        <v>a</v>
      </c>
      <c r="AP2115" t="str">
        <f t="shared" si="2136"/>
        <v>d</v>
      </c>
      <c r="AQ2115" t="str">
        <f t="shared" si="2137"/>
        <v/>
      </c>
      <c r="AR2115" t="str">
        <f t="shared" si="2138"/>
        <v>Away</v>
      </c>
      <c r="AS2115" t="str">
        <f t="shared" si="2139"/>
        <v>a</v>
      </c>
      <c r="AT2115" t="str">
        <f t="shared" si="2140"/>
        <v>Defensive</v>
      </c>
      <c r="BA2115" s="6">
        <f t="shared" si="2129"/>
        <v>480</v>
      </c>
      <c r="BB2115">
        <f t="shared" si="2130"/>
        <v>18981</v>
      </c>
      <c r="BC2115" t="str">
        <f t="shared" si="2131"/>
        <v>Nelson</v>
      </c>
      <c r="BD2115" t="str">
        <f t="shared" si="2132"/>
        <v>Velodrome</v>
      </c>
      <c r="BE2115" t="s">
        <v>6</v>
      </c>
      <c r="BF2115" t="s">
        <v>205</v>
      </c>
      <c r="BG2115" t="s">
        <v>51</v>
      </c>
      <c r="BI2115" cm="1">
        <f t="array" ref="BI2115">IFERROR(_xlfn._xlws.FILTER(shifts!A:A,(shifts!B:B=events!AD2115)*(shifts!AG:AG&gt;=events!BK2115)*(shifts!AH:AH&lt;=events!BL2115)),BI2114)</f>
        <v>91</v>
      </c>
      <c r="BJ2115" s="15">
        <f t="shared" si="2133"/>
        <v>0</v>
      </c>
      <c r="BK2115">
        <f t="shared" si="2141"/>
        <v>475</v>
      </c>
      <c r="BL2115">
        <f t="shared" si="2142"/>
        <v>475</v>
      </c>
      <c r="BM2115" s="15">
        <f>SUMIFS(BJ$2:BJ2115,K$2:K2115,"=Intermission")+SUMIFS(BJ$2:BJ2115,K$2:K2115,"=Timeout")</f>
        <v>142</v>
      </c>
      <c r="BN2115">
        <f t="shared" si="2143"/>
        <v>2302</v>
      </c>
      <c r="BO2115" s="19">
        <f t="shared" si="2144"/>
        <v>2907</v>
      </c>
      <c r="BP2115">
        <f t="shared" si="2145"/>
        <v>2902</v>
      </c>
      <c r="BQ2115" s="17">
        <f t="shared" si="2146"/>
        <v>2907</v>
      </c>
      <c r="BR2115" t="str">
        <f t="shared" si="2147"/>
        <v>opp_team_player_1</v>
      </c>
      <c r="BS2115">
        <f>COUNTIFS(S$3:S2115,"="&amp;S2115,AI$3:AI2115,"="&amp;AI2115)</f>
        <v>1</v>
      </c>
      <c r="BT2115" t="str">
        <f>IFERROR(VLOOKUP(BB2115&amp;BU2115&amp;X2115,game_rosters!U:W,3,FALSE),"")</f>
        <v>P100138</v>
      </c>
      <c r="BU2115" t="str">
        <f t="shared" si="2148"/>
        <v>Nelson</v>
      </c>
    </row>
    <row r="2116" spans="1:73" x14ac:dyDescent="0.2">
      <c r="A2116">
        <f t="shared" si="2134"/>
        <v>1</v>
      </c>
      <c r="J2116" s="44" t="str">
        <f t="shared" si="2149"/>
        <v>d</v>
      </c>
      <c r="K2116" t="s">
        <v>15</v>
      </c>
      <c r="L2116" t="s">
        <v>189</v>
      </c>
      <c r="M2116" t="s">
        <v>101</v>
      </c>
      <c r="S2116">
        <v>1116</v>
      </c>
      <c r="W2116" t="str">
        <f t="shared" ref="W2116:W2179" si="2215">IF(AN2116="Away","a",IF(AN2116="Home","h",""))</f>
        <v>h</v>
      </c>
      <c r="X2116">
        <v>31</v>
      </c>
      <c r="Y2116" t="b">
        <f>IF(X2116&lt;&gt;"",VLOOKUP(X2116,game_rosters!$C$43:$E$64,3,FALSE))</f>
        <v>0</v>
      </c>
      <c r="Z2116" cm="1">
        <f t="array" ref="Z2116">IFERROR(IF(_xlfn._xlws.FILTER(game_rosters!$J:$J,(game_rosters!$G:$G=events!$AN2116)*(game_rosters!$J:$J=events!$X2116))&gt;0,1,""),"")</f>
        <v>1</v>
      </c>
      <c r="AA2116">
        <f t="shared" si="2173"/>
        <v>2116</v>
      </c>
      <c r="AB2116" t="str">
        <f t="shared" si="2174"/>
        <v/>
      </c>
      <c r="AC2116">
        <f t="shared" si="2212"/>
        <v>2116</v>
      </c>
      <c r="AD2116" s="6">
        <v>3</v>
      </c>
      <c r="AE2116" t="s">
        <v>937</v>
      </c>
      <c r="AF2116" t="s">
        <v>753</v>
      </c>
      <c r="AG2116" t="s">
        <v>756</v>
      </c>
      <c r="AH2116" t="s">
        <v>756</v>
      </c>
      <c r="AI2116" t="s">
        <v>367</v>
      </c>
      <c r="AJ2116" t="str">
        <f t="shared" ref="AJ2116:AK2116" si="2216">IF($J2116&lt;&gt;"",$J2116,IF($AC2116=$AC2115,AJ2115,""))</f>
        <v>d</v>
      </c>
      <c r="AK2116" t="str">
        <f t="shared" si="2216"/>
        <v>d</v>
      </c>
      <c r="AL2116" t="str">
        <f t="shared" ref="AL2116:AL2179" si="2217">IF($W2116="","",IF($AJ2116="","",IF($W2116="h",$AJ2116,IF($AJ2116="n","n",IF(AND($W2116="a",$AJ2116="d"),"o",IF(AND($W2116="a",$AJ2116="o"),"d"))))))</f>
        <v>d</v>
      </c>
      <c r="AN2116" t="s">
        <v>861</v>
      </c>
      <c r="AO2116" t="str">
        <f t="shared" ref="AO2116:AO2179" si="2218">IF($W2116&lt;&gt;"",$W2116,IF($AC2116=$AC2115,AO2115,""))</f>
        <v>h</v>
      </c>
      <c r="AP2116" t="str">
        <f t="shared" si="2136"/>
        <v>d</v>
      </c>
      <c r="AQ2116" t="str">
        <f t="shared" si="2137"/>
        <v/>
      </c>
      <c r="AR2116" t="str">
        <f t="shared" si="2138"/>
        <v>Home</v>
      </c>
      <c r="AS2116" t="str">
        <f t="shared" si="2139"/>
        <v>h</v>
      </c>
      <c r="AT2116" t="str">
        <f t="shared" si="2140"/>
        <v>Defensive</v>
      </c>
      <c r="BA2116" s="6">
        <f t="shared" ref="BA2116:BA2179" si="2219">IF(OR(L2116="Zone_Entry",L2116="Zone_Exit"),BA2115+1,BA2115)</f>
        <v>480</v>
      </c>
      <c r="BB2116">
        <f t="shared" ref="BB2116:BB2179" si="2220">BB2115</f>
        <v>18981</v>
      </c>
      <c r="BC2116" t="str">
        <f t="shared" ref="BC2116:BC2179" si="2221">BC2115</f>
        <v>Nelson</v>
      </c>
      <c r="BD2116" t="str">
        <f t="shared" ref="BD2116:BD2179" si="2222">BD2115</f>
        <v>Velodrome</v>
      </c>
      <c r="BE2116" t="s">
        <v>15</v>
      </c>
      <c r="BF2116" t="s">
        <v>189</v>
      </c>
      <c r="BG2116" t="s">
        <v>101</v>
      </c>
      <c r="BI2116" cm="1">
        <f t="array" ref="BI2116">IFERROR(_xlfn._xlws.FILTER(shifts!A:A,(shifts!B:B=events!AD2116)*(shifts!AG:AG&gt;=events!BK2116)*(shifts!AH:AH&lt;=events!BL2116)),BI2115)</f>
        <v>91</v>
      </c>
      <c r="BJ2116" s="15">
        <f t="shared" ref="BJ2116:BJ2179" si="2223">IF(AND(AG2116="",AH2116=""),0,((AE2116*60)+AF2116)-((AG2116*60)+AH2116))</f>
        <v>0</v>
      </c>
      <c r="BK2116">
        <f t="shared" si="2141"/>
        <v>475</v>
      </c>
      <c r="BL2116">
        <f t="shared" si="2142"/>
        <v>475</v>
      </c>
      <c r="BM2116" s="15">
        <f>SUMIFS(BJ$2:BJ2116,K$2:K2116,"=Intermission")+SUMIFS(BJ$2:BJ2116,K$2:K2116,"=Timeout")</f>
        <v>142</v>
      </c>
      <c r="BN2116">
        <f t="shared" si="2143"/>
        <v>2302</v>
      </c>
      <c r="BO2116" s="19">
        <f t="shared" si="2144"/>
        <v>2907</v>
      </c>
      <c r="BP2116">
        <f t="shared" si="2145"/>
        <v>2902</v>
      </c>
      <c r="BQ2116" s="17">
        <f t="shared" si="2146"/>
        <v>2907</v>
      </c>
      <c r="BR2116" t="str">
        <f t="shared" si="2147"/>
        <v>event_team_player_1</v>
      </c>
      <c r="BS2116">
        <f>COUNTIFS(S$3:S2116,"="&amp;S2116,AI$3:AI2116,"="&amp;AI2116)</f>
        <v>1</v>
      </c>
      <c r="BT2116" t="str">
        <f>IFERROR(VLOOKUP(BB2116&amp;BU2116&amp;X2116,game_rosters!U:W,3,FALSE),"")</f>
        <v>P100138</v>
      </c>
      <c r="BU2116" t="str">
        <f t="shared" si="2148"/>
        <v>Nelson</v>
      </c>
    </row>
    <row r="2117" spans="1:73" x14ac:dyDescent="0.2">
      <c r="A2117">
        <f t="shared" ref="A2117:A2180" si="2224">IF(K2117&lt;&gt;"",1,IF(D2117="x","x",""))</f>
        <v>1</v>
      </c>
      <c r="J2117" s="44" t="str">
        <f t="shared" si="2149"/>
        <v>d</v>
      </c>
      <c r="K2117" t="s">
        <v>15</v>
      </c>
      <c r="L2117" t="s">
        <v>189</v>
      </c>
      <c r="M2117" t="s">
        <v>101</v>
      </c>
      <c r="S2117">
        <v>1116</v>
      </c>
      <c r="W2117" t="str">
        <f t="shared" si="2215"/>
        <v>h</v>
      </c>
      <c r="X2117">
        <v>9</v>
      </c>
      <c r="Y2117" t="e">
        <f>IF(X2117&lt;&gt;"",VLOOKUP(X2117,game_rosters!$C$43:$E$64,3,FALSE))</f>
        <v>#N/A</v>
      </c>
      <c r="Z2117" t="str" cm="1">
        <f t="array" ref="Z2117">IFERROR(IF(_xlfn._xlws.FILTER(game_rosters!$J:$J,(game_rosters!$G:$G=events!$AN2117)*(game_rosters!$J:$J=events!$X2117))&gt;0,1,""),"")</f>
        <v/>
      </c>
      <c r="AA2117">
        <f t="shared" si="2173"/>
        <v>2116</v>
      </c>
      <c r="AB2117" t="str">
        <f t="shared" si="2174"/>
        <v/>
      </c>
      <c r="AC2117">
        <f t="shared" si="2212"/>
        <v>2116</v>
      </c>
      <c r="AD2117" s="6">
        <v>3</v>
      </c>
      <c r="AE2117" t="s">
        <v>937</v>
      </c>
      <c r="AF2117" t="s">
        <v>753</v>
      </c>
      <c r="AG2117" t="s">
        <v>756</v>
      </c>
      <c r="AH2117" t="s">
        <v>756</v>
      </c>
      <c r="AI2117" t="s">
        <v>368</v>
      </c>
      <c r="AJ2117" t="str">
        <f t="shared" ref="AJ2117:AK2117" si="2225">IF($J2117&lt;&gt;"",$J2117,IF($AC2117=$AC2116,AJ2116,""))</f>
        <v>d</v>
      </c>
      <c r="AK2117" t="str">
        <f t="shared" si="2225"/>
        <v>d</v>
      </c>
      <c r="AL2117" t="str">
        <f t="shared" si="2217"/>
        <v>d</v>
      </c>
      <c r="AN2117" t="s">
        <v>861</v>
      </c>
      <c r="AO2117" t="str">
        <f t="shared" si="2218"/>
        <v>h</v>
      </c>
      <c r="AP2117" t="str">
        <f t="shared" ref="AP2117:AP2180" si="2226">IF(AL2117&lt;&gt;"",AL2117,IF($AC2117=$AC2116,AP2116,""))</f>
        <v>d</v>
      </c>
      <c r="AQ2117" t="str">
        <f t="shared" ref="AQ2117:AQ2180" si="2227">IF(AM2117&lt;&gt;"",AM2117,IF($AC2117=$AC2116,AQ2116,""))</f>
        <v/>
      </c>
      <c r="AR2117" t="str">
        <f t="shared" ref="AR2117:AR2180" si="2228">IF(AN2117&lt;&gt;"",AN2117,IF($AC2117=$AC2116,AR2116,""))</f>
        <v>Home</v>
      </c>
      <c r="AS2117" t="str">
        <f t="shared" ref="AS2117:AS2180" si="2229">IF(AO2117&lt;&gt;"",AO2117,IF($AC2117=$AC2116,AS2116,""))</f>
        <v>h</v>
      </c>
      <c r="AT2117" t="str">
        <f t="shared" ref="AT2117:AT2180" si="2230">IF(AND(AI2117="e",OR(BE2117="Save",BF2117="Turnover_Takeaway",BF2117="Play_Defensive")),"Defensive",IF(AND(AI2117="o",OR(BE2117="Save",BF2117="Turnover_Takeaway",BF2117="Play_Defensive")),"Offensive",IF(OR(BE2117="Deadice",BE2117="Stoppage",BE2117="Intermission"),"",IF(AI2117="e","Offensive",IF(AI2117="o","Defensive","")))))</f>
        <v>Offensive</v>
      </c>
      <c r="BA2117" s="6">
        <f t="shared" si="2219"/>
        <v>480</v>
      </c>
      <c r="BB2117">
        <f t="shared" si="2220"/>
        <v>18981</v>
      </c>
      <c r="BC2117" t="str">
        <f t="shared" si="2221"/>
        <v>Nelson</v>
      </c>
      <c r="BD2117" t="str">
        <f t="shared" si="2222"/>
        <v>Velodrome</v>
      </c>
      <c r="BE2117" t="s">
        <v>15</v>
      </c>
      <c r="BF2117" t="s">
        <v>189</v>
      </c>
      <c r="BG2117" t="s">
        <v>101</v>
      </c>
      <c r="BI2117" cm="1">
        <f t="array" ref="BI2117">IFERROR(_xlfn._xlws.FILTER(shifts!A:A,(shifts!B:B=events!AD2117)*(shifts!AG:AG&gt;=events!BK2117)*(shifts!AH:AH&lt;=events!BL2117)),BI2116)</f>
        <v>91</v>
      </c>
      <c r="BJ2117" s="15">
        <f t="shared" si="2223"/>
        <v>0</v>
      </c>
      <c r="BK2117">
        <f t="shared" ref="BK2117:BK2180" si="2231">(AE2117*60)+AF2117</f>
        <v>475</v>
      </c>
      <c r="BL2117">
        <f t="shared" ref="BL2117:BL2180" si="2232">IF(AND(AG2117="",AH2117=""),BK2117,((AG2117*60)+AH2117))</f>
        <v>475</v>
      </c>
      <c r="BM2117" s="15">
        <f>SUMIFS(BJ$2:BJ2117,K$2:K2117,"=Intermission")+SUMIFS(BJ$2:BJ2117,K$2:K2117,"=Timeout")</f>
        <v>142</v>
      </c>
      <c r="BN2117">
        <f t="shared" ref="BN2117:BN2180" si="2233">IF(AD2117=1,0,IF(AD2117=2,1080+BM2117,IF(AD2117=3,(1080*2)+BM2117,0)))</f>
        <v>2302</v>
      </c>
      <c r="BO2117" s="19">
        <f t="shared" ref="BO2117:BO2180" si="2234">IF(K2117="Intermission",BO2116,((1080)-((AE2117*60)+AF2117))+BN2117)</f>
        <v>2907</v>
      </c>
      <c r="BP2117">
        <f t="shared" ref="BP2117:BP2180" si="2235">IF(BO2117&lt;5,0,BO2117-5)</f>
        <v>2902</v>
      </c>
      <c r="BQ2117" s="17">
        <f t="shared" ref="BQ2117:BQ2180" si="2236">BP2117+BJ2117+5</f>
        <v>2907</v>
      </c>
      <c r="BR2117" t="str">
        <f t="shared" ref="BR2117:BR2180" si="2237">IF(AI2117="e","event_team_player_"&amp;BS2117,IF(AI2117="o","opp_team_player_"&amp;BS2117,""))</f>
        <v>opp_team_player_1</v>
      </c>
      <c r="BS2117">
        <f>COUNTIFS(S$3:S2117,"="&amp;S2117,AI$3:AI2117,"="&amp;AI2117)</f>
        <v>1</v>
      </c>
      <c r="BT2117" t="str">
        <f>IFERROR(VLOOKUP(BB2117&amp;BU2117&amp;X2117,game_rosters!U:W,3,FALSE),"")</f>
        <v>P100105</v>
      </c>
      <c r="BU2117" t="str">
        <f t="shared" ref="BU2117:BU2180" si="2238">IF(AR2117="","",IF(AND(AR2117="Away",AI2117="e"),BD2117,IF(AND(AR2117="Home",AI2117="e"),BC2117,IF(AND(AR2117="Away",AI2117="o"),BC2117,IF(AND(AR2117="Home",AI2117="o"),BD2117)))))</f>
        <v>Velodrome</v>
      </c>
    </row>
    <row r="2118" spans="1:73" x14ac:dyDescent="0.2">
      <c r="A2118">
        <f t="shared" si="2224"/>
        <v>1</v>
      </c>
      <c r="J2118" s="44" t="str">
        <f t="shared" ref="J2118:J2181" si="2239">IF(OR(K2118="Goal",K2118="Shot",L2118="Zone_Entry",M2118="Stoppage-Goal",M2117="Stoppage-Goal"),"o",IF(OR(K2118="Save",K2118="Rebound",L2118="Zone_Exit",M2118="Stoppage-GoalieStoppage",M2117="Stoppage-GoalieStoppage"),"d",IF(OR(L2118="Faceoff_AfterGoal",L2118="Faceoff_PeriodStart",698="Faceoff_GameStart",M2117="Stoppage-Goal"),"n","")))</f>
        <v>d</v>
      </c>
      <c r="K2118" t="s">
        <v>11</v>
      </c>
      <c r="L2118" t="s">
        <v>187</v>
      </c>
      <c r="M2118" t="s">
        <v>108</v>
      </c>
      <c r="S2118">
        <v>1117</v>
      </c>
      <c r="W2118" t="str">
        <f t="shared" si="2215"/>
        <v>h</v>
      </c>
      <c r="X2118">
        <v>31</v>
      </c>
      <c r="Y2118" t="b">
        <f>IF(X2118&lt;&gt;"",VLOOKUP(X2118,game_rosters!$C$43:$E$64,3,FALSE))</f>
        <v>0</v>
      </c>
      <c r="Z2118" cm="1">
        <f t="array" ref="Z2118">IFERROR(IF(_xlfn._xlws.FILTER(game_rosters!$J:$J,(game_rosters!$G:$G=events!$AN2118)*(game_rosters!$J:$J=events!$X2118))&gt;0,1,""),"")</f>
        <v>1</v>
      </c>
      <c r="AA2118">
        <f t="shared" si="2173"/>
        <v>2117</v>
      </c>
      <c r="AB2118" t="str">
        <f t="shared" si="2174"/>
        <v/>
      </c>
      <c r="AC2118">
        <f t="shared" si="2212"/>
        <v>2117</v>
      </c>
      <c r="AD2118" s="6">
        <v>3</v>
      </c>
      <c r="AE2118" t="s">
        <v>937</v>
      </c>
      <c r="AF2118" t="s">
        <v>753</v>
      </c>
      <c r="AG2118" t="s">
        <v>756</v>
      </c>
      <c r="AH2118" t="s">
        <v>756</v>
      </c>
      <c r="AI2118" t="s">
        <v>367</v>
      </c>
      <c r="AJ2118" t="str">
        <f t="shared" ref="AJ2118:AK2118" si="2240">IF($J2118&lt;&gt;"",$J2118,IF($AC2118=$AC2117,AJ2117,""))</f>
        <v>d</v>
      </c>
      <c r="AK2118" t="str">
        <f t="shared" si="2240"/>
        <v>d</v>
      </c>
      <c r="AL2118" t="str">
        <f t="shared" si="2217"/>
        <v>d</v>
      </c>
      <c r="AN2118" t="s">
        <v>861</v>
      </c>
      <c r="AO2118" t="str">
        <f t="shared" si="2218"/>
        <v>h</v>
      </c>
      <c r="AP2118" t="str">
        <f t="shared" si="2226"/>
        <v>d</v>
      </c>
      <c r="AQ2118" t="str">
        <f t="shared" si="2227"/>
        <v/>
      </c>
      <c r="AR2118" t="str">
        <f t="shared" si="2228"/>
        <v>Home</v>
      </c>
      <c r="AS2118" t="str">
        <f t="shared" si="2229"/>
        <v>h</v>
      </c>
      <c r="AT2118" t="str">
        <f t="shared" si="2230"/>
        <v/>
      </c>
      <c r="BA2118" s="6">
        <f t="shared" si="2219"/>
        <v>480</v>
      </c>
      <c r="BB2118">
        <f t="shared" si="2220"/>
        <v>18981</v>
      </c>
      <c r="BC2118" t="str">
        <f t="shared" si="2221"/>
        <v>Nelson</v>
      </c>
      <c r="BD2118" t="str">
        <f t="shared" si="2222"/>
        <v>Velodrome</v>
      </c>
      <c r="BE2118" t="s">
        <v>11</v>
      </c>
      <c r="BF2118" t="s">
        <v>187</v>
      </c>
      <c r="BG2118" t="s">
        <v>108</v>
      </c>
      <c r="BI2118" cm="1">
        <f t="array" ref="BI2118">IFERROR(_xlfn._xlws.FILTER(shifts!A:A,(shifts!B:B=events!AD2118)*(shifts!AG:AG&gt;=events!BK2118)*(shifts!AH:AH&lt;=events!BL2118)),BI2117)</f>
        <v>91</v>
      </c>
      <c r="BJ2118" s="15">
        <f t="shared" si="2223"/>
        <v>0</v>
      </c>
      <c r="BK2118">
        <f t="shared" si="2231"/>
        <v>475</v>
      </c>
      <c r="BL2118">
        <f t="shared" si="2232"/>
        <v>475</v>
      </c>
      <c r="BM2118" s="15">
        <f>SUMIFS(BJ$2:BJ2118,K$2:K2118,"=Intermission")+SUMIFS(BJ$2:BJ2118,K$2:K2118,"=Timeout")</f>
        <v>142</v>
      </c>
      <c r="BN2118">
        <f t="shared" si="2233"/>
        <v>2302</v>
      </c>
      <c r="BO2118" s="19">
        <f t="shared" si="2234"/>
        <v>2907</v>
      </c>
      <c r="BP2118">
        <f t="shared" si="2235"/>
        <v>2902</v>
      </c>
      <c r="BQ2118" s="17">
        <f t="shared" si="2236"/>
        <v>2907</v>
      </c>
      <c r="BR2118" t="str">
        <f t="shared" si="2237"/>
        <v>event_team_player_1</v>
      </c>
      <c r="BS2118">
        <f>COUNTIFS(S$3:S2118,"="&amp;S2118,AI$3:AI2118,"="&amp;AI2118)</f>
        <v>1</v>
      </c>
      <c r="BT2118" t="str">
        <f>IFERROR(VLOOKUP(BB2118&amp;BU2118&amp;X2118,game_rosters!U:W,3,FALSE),"")</f>
        <v>P100138</v>
      </c>
      <c r="BU2118" t="str">
        <f t="shared" si="2238"/>
        <v>Nelson</v>
      </c>
    </row>
    <row r="2119" spans="1:73" x14ac:dyDescent="0.2">
      <c r="A2119">
        <f t="shared" si="2224"/>
        <v>1</v>
      </c>
      <c r="J2119" s="44" t="str">
        <f t="shared" si="2239"/>
        <v>d</v>
      </c>
      <c r="K2119" t="s">
        <v>241</v>
      </c>
      <c r="L2119" t="s">
        <v>756</v>
      </c>
      <c r="M2119" t="s">
        <v>756</v>
      </c>
      <c r="S2119">
        <v>1118</v>
      </c>
      <c r="W2119" t="str">
        <f t="shared" si="2215"/>
        <v>h</v>
      </c>
      <c r="X2119">
        <v>31</v>
      </c>
      <c r="Y2119" t="b">
        <f>IF(X2119&lt;&gt;"",VLOOKUP(X2119,game_rosters!$C$43:$E$64,3,FALSE))</f>
        <v>0</v>
      </c>
      <c r="Z2119" cm="1">
        <f t="array" ref="Z2119">IFERROR(IF(_xlfn._xlws.FILTER(game_rosters!$J:$J,(game_rosters!$G:$G=events!$AN2119)*(game_rosters!$J:$J=events!$X2119))&gt;0,1,""),"")</f>
        <v>1</v>
      </c>
      <c r="AA2119">
        <f t="shared" si="2173"/>
        <v>2118</v>
      </c>
      <c r="AB2119" t="str">
        <f t="shared" si="2174"/>
        <v/>
      </c>
      <c r="AC2119">
        <f t="shared" si="2212"/>
        <v>2118</v>
      </c>
      <c r="AD2119" s="6">
        <v>3</v>
      </c>
      <c r="AE2119" t="s">
        <v>937</v>
      </c>
      <c r="AF2119" t="s">
        <v>753</v>
      </c>
      <c r="AG2119" t="s">
        <v>937</v>
      </c>
      <c r="AH2119" t="s">
        <v>906</v>
      </c>
      <c r="AI2119" t="s">
        <v>367</v>
      </c>
      <c r="AJ2119" t="str">
        <f t="shared" ref="AJ2119:AK2119" si="2241">IF($J2119&lt;&gt;"",$J2119,IF($AC2119=$AC2118,AJ2118,""))</f>
        <v>d</v>
      </c>
      <c r="AK2119" t="str">
        <f t="shared" si="2241"/>
        <v>d</v>
      </c>
      <c r="AL2119" t="str">
        <f t="shared" si="2217"/>
        <v>d</v>
      </c>
      <c r="AN2119" t="s">
        <v>861</v>
      </c>
      <c r="AO2119" t="str">
        <f t="shared" si="2218"/>
        <v>h</v>
      </c>
      <c r="AP2119" t="str">
        <f t="shared" si="2226"/>
        <v>d</v>
      </c>
      <c r="AQ2119" t="str">
        <f t="shared" si="2227"/>
        <v/>
      </c>
      <c r="AR2119" t="str">
        <f t="shared" si="2228"/>
        <v>Home</v>
      </c>
      <c r="AS2119" t="str">
        <f t="shared" si="2229"/>
        <v>h</v>
      </c>
      <c r="AT2119" t="str">
        <f t="shared" si="2230"/>
        <v/>
      </c>
      <c r="BA2119" s="6">
        <f t="shared" si="2219"/>
        <v>480</v>
      </c>
      <c r="BB2119">
        <f t="shared" si="2220"/>
        <v>18981</v>
      </c>
      <c r="BC2119" t="str">
        <f t="shared" si="2221"/>
        <v>Nelson</v>
      </c>
      <c r="BD2119" t="str">
        <f t="shared" si="2222"/>
        <v>Velodrome</v>
      </c>
      <c r="BE2119" t="s">
        <v>241</v>
      </c>
      <c r="BF2119" t="s">
        <v>756</v>
      </c>
      <c r="BG2119" t="s">
        <v>756</v>
      </c>
      <c r="BI2119" cm="1">
        <f t="array" ref="BI2119">IFERROR(_xlfn._xlws.FILTER(shifts!A:A,(shifts!B:B=events!AD2119)*(shifts!AG:AG&gt;=events!BK2119)*(shifts!AH:AH&lt;=events!BL2119)),BI2118)</f>
        <v>91</v>
      </c>
      <c r="BJ2119" s="15">
        <f t="shared" si="2223"/>
        <v>26</v>
      </c>
      <c r="BK2119">
        <f t="shared" si="2231"/>
        <v>475</v>
      </c>
      <c r="BL2119">
        <f t="shared" si="2232"/>
        <v>449</v>
      </c>
      <c r="BM2119" s="15">
        <f>SUMIFS(BJ$2:BJ2119,K$2:K2119,"=Intermission")+SUMIFS(BJ$2:BJ2119,K$2:K2119,"=Timeout")</f>
        <v>142</v>
      </c>
      <c r="BN2119">
        <f t="shared" si="2233"/>
        <v>2302</v>
      </c>
      <c r="BO2119" s="19">
        <f t="shared" si="2234"/>
        <v>2907</v>
      </c>
      <c r="BP2119">
        <f t="shared" si="2235"/>
        <v>2902</v>
      </c>
      <c r="BQ2119" s="17">
        <f t="shared" si="2236"/>
        <v>2933</v>
      </c>
      <c r="BR2119" t="str">
        <f t="shared" si="2237"/>
        <v>event_team_player_1</v>
      </c>
      <c r="BS2119">
        <f>COUNTIFS(S$3:S2119,"="&amp;S2119,AI$3:AI2119,"="&amp;AI2119)</f>
        <v>1</v>
      </c>
      <c r="BT2119" t="str">
        <f>IFERROR(VLOOKUP(BB2119&amp;BU2119&amp;X2119,game_rosters!U:W,3,FALSE),"")</f>
        <v>P100138</v>
      </c>
      <c r="BU2119" t="str">
        <f t="shared" si="2238"/>
        <v>Nelson</v>
      </c>
    </row>
    <row r="2120" spans="1:73" x14ac:dyDescent="0.2">
      <c r="A2120">
        <f t="shared" si="2224"/>
        <v>1</v>
      </c>
      <c r="J2120" s="44" t="str">
        <f t="shared" si="2239"/>
        <v/>
      </c>
      <c r="K2120" t="s">
        <v>5</v>
      </c>
      <c r="L2120" t="s">
        <v>236</v>
      </c>
      <c r="M2120" t="s">
        <v>756</v>
      </c>
      <c r="S2120">
        <v>1119</v>
      </c>
      <c r="W2120" t="str">
        <f t="shared" si="2215"/>
        <v>h</v>
      </c>
      <c r="X2120">
        <v>79</v>
      </c>
      <c r="Y2120" t="b">
        <f>IF(X2120&lt;&gt;"",VLOOKUP(X2120,game_rosters!$C$43:$E$64,3,FALSE))</f>
        <v>0</v>
      </c>
      <c r="Z2120" cm="1">
        <f t="array" ref="Z2120">IFERROR(IF(_xlfn._xlws.FILTER(game_rosters!$J:$J,(game_rosters!$G:$G=events!$AN2120)*(game_rosters!$J:$J=events!$X2120))&gt;0,1,""),"")</f>
        <v>1</v>
      </c>
      <c r="AA2120">
        <f t="shared" si="2173"/>
        <v>2119</v>
      </c>
      <c r="AB2120" t="str">
        <f t="shared" si="2174"/>
        <v/>
      </c>
      <c r="AC2120">
        <f t="shared" si="2212"/>
        <v>2119</v>
      </c>
      <c r="AD2120" s="6">
        <v>3</v>
      </c>
      <c r="AE2120" t="s">
        <v>937</v>
      </c>
      <c r="AF2120" t="s">
        <v>906</v>
      </c>
      <c r="AG2120" t="s">
        <v>756</v>
      </c>
      <c r="AH2120" t="s">
        <v>756</v>
      </c>
      <c r="AI2120" t="s">
        <v>367</v>
      </c>
      <c r="AJ2120" t="str">
        <f t="shared" ref="AJ2120:AK2120" si="2242">IF($J2120&lt;&gt;"",$J2120,IF($AC2120=$AC2119,AJ2119,""))</f>
        <v/>
      </c>
      <c r="AK2120" t="str">
        <f t="shared" si="2242"/>
        <v/>
      </c>
      <c r="AL2120" t="str">
        <f t="shared" si="2217"/>
        <v/>
      </c>
      <c r="AN2120" t="s">
        <v>861</v>
      </c>
      <c r="AO2120" t="str">
        <f t="shared" si="2218"/>
        <v>h</v>
      </c>
      <c r="AP2120" t="str">
        <f t="shared" si="2226"/>
        <v/>
      </c>
      <c r="AQ2120" t="str">
        <f t="shared" si="2227"/>
        <v/>
      </c>
      <c r="AR2120" t="str">
        <f t="shared" si="2228"/>
        <v>Home</v>
      </c>
      <c r="AS2120" t="str">
        <f t="shared" si="2229"/>
        <v>h</v>
      </c>
      <c r="AT2120" t="str">
        <f t="shared" si="2230"/>
        <v>Offensive</v>
      </c>
      <c r="BA2120" s="6">
        <f t="shared" si="2219"/>
        <v>480</v>
      </c>
      <c r="BB2120">
        <f t="shared" si="2220"/>
        <v>18981</v>
      </c>
      <c r="BC2120" t="str">
        <f t="shared" si="2221"/>
        <v>Nelson</v>
      </c>
      <c r="BD2120" t="str">
        <f t="shared" si="2222"/>
        <v>Velodrome</v>
      </c>
      <c r="BE2120" t="s">
        <v>5</v>
      </c>
      <c r="BF2120" t="s">
        <v>236</v>
      </c>
      <c r="BG2120" t="s">
        <v>756</v>
      </c>
      <c r="BI2120" cm="1">
        <f t="array" ref="BI2120">IFERROR(_xlfn._xlws.FILTER(shifts!A:A,(shifts!B:B=events!AD2120)*(shifts!AG:AG&gt;=events!BK2120)*(shifts!AH:AH&lt;=events!BL2120)),BI2119)</f>
        <v>92</v>
      </c>
      <c r="BJ2120" s="15">
        <f t="shared" si="2223"/>
        <v>0</v>
      </c>
      <c r="BK2120">
        <f t="shared" si="2231"/>
        <v>449</v>
      </c>
      <c r="BL2120">
        <f t="shared" si="2232"/>
        <v>449</v>
      </c>
      <c r="BM2120" s="15">
        <f>SUMIFS(BJ$2:BJ2120,K$2:K2120,"=Intermission")+SUMIFS(BJ$2:BJ2120,K$2:K2120,"=Timeout")</f>
        <v>142</v>
      </c>
      <c r="BN2120">
        <f t="shared" si="2233"/>
        <v>2302</v>
      </c>
      <c r="BO2120" s="19">
        <f t="shared" si="2234"/>
        <v>2933</v>
      </c>
      <c r="BP2120">
        <f t="shared" si="2235"/>
        <v>2928</v>
      </c>
      <c r="BQ2120" s="17">
        <f t="shared" si="2236"/>
        <v>2933</v>
      </c>
      <c r="BR2120" t="str">
        <f t="shared" si="2237"/>
        <v>event_team_player_1</v>
      </c>
      <c r="BS2120">
        <f>COUNTIFS(S$3:S2120,"="&amp;S2120,AI$3:AI2120,"="&amp;AI2120)</f>
        <v>1</v>
      </c>
      <c r="BT2120" t="str">
        <f>IFERROR(VLOOKUP(BB2120&amp;BU2120&amp;X2120,game_rosters!U:W,3,FALSE),"")</f>
        <v>P100066</v>
      </c>
      <c r="BU2120" t="str">
        <f t="shared" si="2238"/>
        <v>Nelson</v>
      </c>
    </row>
    <row r="2121" spans="1:73" x14ac:dyDescent="0.2">
      <c r="A2121">
        <f t="shared" si="2224"/>
        <v>1</v>
      </c>
      <c r="J2121" s="44" t="str">
        <f t="shared" si="2239"/>
        <v/>
      </c>
      <c r="K2121" t="s">
        <v>5</v>
      </c>
      <c r="L2121" t="s">
        <v>236</v>
      </c>
      <c r="M2121" t="s">
        <v>756</v>
      </c>
      <c r="S2121">
        <v>1119</v>
      </c>
      <c r="W2121" t="str">
        <f t="shared" si="2215"/>
        <v>h</v>
      </c>
      <c r="X2121">
        <v>70</v>
      </c>
      <c r="Y2121" t="e">
        <f>IF(X2121&lt;&gt;"",VLOOKUP(X2121,game_rosters!$C$43:$E$64,3,FALSE))</f>
        <v>#N/A</v>
      </c>
      <c r="Z2121" t="str" cm="1">
        <f t="array" ref="Z2121">IFERROR(IF(_xlfn._xlws.FILTER(game_rosters!$J:$J,(game_rosters!$G:$G=events!$AN2121)*(game_rosters!$J:$J=events!$X2121))&gt;0,1,""),"")</f>
        <v/>
      </c>
      <c r="AA2121">
        <f t="shared" si="2173"/>
        <v>2119</v>
      </c>
      <c r="AB2121" t="str">
        <f t="shared" si="2174"/>
        <v/>
      </c>
      <c r="AC2121">
        <f t="shared" si="2212"/>
        <v>2119</v>
      </c>
      <c r="AD2121" s="6">
        <v>3</v>
      </c>
      <c r="AE2121" t="s">
        <v>937</v>
      </c>
      <c r="AF2121" t="s">
        <v>906</v>
      </c>
      <c r="AG2121" t="s">
        <v>756</v>
      </c>
      <c r="AH2121" t="s">
        <v>756</v>
      </c>
      <c r="AI2121" t="s">
        <v>368</v>
      </c>
      <c r="AJ2121" t="str">
        <f t="shared" ref="AJ2121:AK2121" si="2243">IF($J2121&lt;&gt;"",$J2121,IF($AC2121=$AC2120,AJ2120,""))</f>
        <v/>
      </c>
      <c r="AK2121" t="str">
        <f t="shared" si="2243"/>
        <v/>
      </c>
      <c r="AL2121" t="str">
        <f t="shared" si="2217"/>
        <v/>
      </c>
      <c r="AN2121" t="s">
        <v>861</v>
      </c>
      <c r="AO2121" t="str">
        <f t="shared" si="2218"/>
        <v>h</v>
      </c>
      <c r="AP2121" t="str">
        <f t="shared" si="2226"/>
        <v/>
      </c>
      <c r="AQ2121" t="str">
        <f t="shared" si="2227"/>
        <v/>
      </c>
      <c r="AR2121" t="str">
        <f t="shared" si="2228"/>
        <v>Home</v>
      </c>
      <c r="AS2121" t="str">
        <f t="shared" si="2229"/>
        <v>h</v>
      </c>
      <c r="AT2121" t="str">
        <f t="shared" si="2230"/>
        <v>Defensive</v>
      </c>
      <c r="BA2121" s="6">
        <f t="shared" si="2219"/>
        <v>480</v>
      </c>
      <c r="BB2121">
        <f t="shared" si="2220"/>
        <v>18981</v>
      </c>
      <c r="BC2121" t="str">
        <f t="shared" si="2221"/>
        <v>Nelson</v>
      </c>
      <c r="BD2121" t="str">
        <f t="shared" si="2222"/>
        <v>Velodrome</v>
      </c>
      <c r="BE2121" t="s">
        <v>5</v>
      </c>
      <c r="BF2121" t="s">
        <v>236</v>
      </c>
      <c r="BG2121" t="s">
        <v>756</v>
      </c>
      <c r="BI2121" cm="1">
        <f t="array" ref="BI2121">IFERROR(_xlfn._xlws.FILTER(shifts!A:A,(shifts!B:B=events!AD2121)*(shifts!AG:AG&gt;=events!BK2121)*(shifts!AH:AH&lt;=events!BL2121)),BI2120)</f>
        <v>92</v>
      </c>
      <c r="BJ2121" s="15">
        <f t="shared" si="2223"/>
        <v>0</v>
      </c>
      <c r="BK2121">
        <f t="shared" si="2231"/>
        <v>449</v>
      </c>
      <c r="BL2121">
        <f t="shared" si="2232"/>
        <v>449</v>
      </c>
      <c r="BM2121" s="15">
        <f>SUMIFS(BJ$2:BJ2121,K$2:K2121,"=Intermission")+SUMIFS(BJ$2:BJ2121,K$2:K2121,"=Timeout")</f>
        <v>142</v>
      </c>
      <c r="BN2121">
        <f t="shared" si="2233"/>
        <v>2302</v>
      </c>
      <c r="BO2121" s="19">
        <f t="shared" si="2234"/>
        <v>2933</v>
      </c>
      <c r="BP2121">
        <f t="shared" si="2235"/>
        <v>2928</v>
      </c>
      <c r="BQ2121" s="17">
        <f t="shared" si="2236"/>
        <v>2933</v>
      </c>
      <c r="BR2121" t="str">
        <f t="shared" si="2237"/>
        <v>opp_team_player_1</v>
      </c>
      <c r="BS2121">
        <f>COUNTIFS(S$3:S2121,"="&amp;S2121,AI$3:AI2121,"="&amp;AI2121)</f>
        <v>1</v>
      </c>
      <c r="BT2121" t="str">
        <f>IFERROR(VLOOKUP(BB2121&amp;BU2121&amp;X2121,game_rosters!U:W,3,FALSE),"")</f>
        <v>P100001</v>
      </c>
      <c r="BU2121" t="str">
        <f t="shared" si="2238"/>
        <v>Velodrome</v>
      </c>
    </row>
    <row r="2122" spans="1:73" x14ac:dyDescent="0.2">
      <c r="A2122">
        <f t="shared" si="2224"/>
        <v>1</v>
      </c>
      <c r="J2122" s="44" t="str">
        <f t="shared" si="2239"/>
        <v/>
      </c>
      <c r="K2122" t="s">
        <v>9</v>
      </c>
      <c r="L2122" t="s">
        <v>173</v>
      </c>
      <c r="M2122" t="s">
        <v>365</v>
      </c>
      <c r="S2122">
        <v>1120</v>
      </c>
      <c r="W2122" t="str">
        <f t="shared" si="2215"/>
        <v>h</v>
      </c>
      <c r="X2122">
        <v>8</v>
      </c>
      <c r="Y2122" t="b">
        <f>IF(X2122&lt;&gt;"",VLOOKUP(X2122,game_rosters!$C$43:$E$64,3,FALSE))</f>
        <v>0</v>
      </c>
      <c r="Z2122" cm="1">
        <f t="array" ref="Z2122">IFERROR(IF(_xlfn._xlws.FILTER(game_rosters!$J:$J,(game_rosters!$G:$G=events!$AN2122)*(game_rosters!$J:$J=events!$X2122))&gt;0,1,""),"")</f>
        <v>1</v>
      </c>
      <c r="AA2122">
        <f t="shared" si="2173"/>
        <v>2120</v>
      </c>
      <c r="AB2122" t="str">
        <f t="shared" si="2174"/>
        <v/>
      </c>
      <c r="AC2122">
        <f t="shared" si="2212"/>
        <v>2120</v>
      </c>
      <c r="AD2122" s="6">
        <v>3</v>
      </c>
      <c r="AE2122" t="s">
        <v>937</v>
      </c>
      <c r="AF2122" t="s">
        <v>907</v>
      </c>
      <c r="AG2122" t="s">
        <v>756</v>
      </c>
      <c r="AH2122" t="s">
        <v>756</v>
      </c>
      <c r="AI2122" t="s">
        <v>367</v>
      </c>
      <c r="AJ2122" t="str">
        <f t="shared" ref="AJ2122:AK2122" si="2244">IF($J2122&lt;&gt;"",$J2122,IF($AC2122=$AC2121,AJ2121,""))</f>
        <v/>
      </c>
      <c r="AK2122" t="str">
        <f t="shared" si="2244"/>
        <v/>
      </c>
      <c r="AL2122" t="str">
        <f t="shared" si="2217"/>
        <v/>
      </c>
      <c r="AN2122" t="s">
        <v>861</v>
      </c>
      <c r="AO2122" t="str">
        <f t="shared" si="2218"/>
        <v>h</v>
      </c>
      <c r="AP2122" t="str">
        <f t="shared" si="2226"/>
        <v/>
      </c>
      <c r="AQ2122" t="str">
        <f t="shared" si="2227"/>
        <v/>
      </c>
      <c r="AR2122" t="str">
        <f t="shared" si="2228"/>
        <v>Home</v>
      </c>
      <c r="AS2122" t="str">
        <f t="shared" si="2229"/>
        <v>h</v>
      </c>
      <c r="AT2122" t="str">
        <f t="shared" si="2230"/>
        <v>Offensive</v>
      </c>
      <c r="BA2122" s="6">
        <f t="shared" si="2219"/>
        <v>480</v>
      </c>
      <c r="BB2122">
        <f t="shared" si="2220"/>
        <v>18981</v>
      </c>
      <c r="BC2122" t="str">
        <f t="shared" si="2221"/>
        <v>Nelson</v>
      </c>
      <c r="BD2122" t="str">
        <f t="shared" si="2222"/>
        <v>Velodrome</v>
      </c>
      <c r="BE2122" t="s">
        <v>9</v>
      </c>
      <c r="BF2122" t="s">
        <v>173</v>
      </c>
      <c r="BG2122" t="s">
        <v>365</v>
      </c>
      <c r="BI2122" cm="1">
        <f t="array" ref="BI2122">IFERROR(_xlfn._xlws.FILTER(shifts!A:A,(shifts!B:B=events!AD2122)*(shifts!AG:AG&gt;=events!BK2122)*(shifts!AH:AH&lt;=events!BL2122)),BI2121)</f>
        <v>92</v>
      </c>
      <c r="BJ2122" s="15">
        <f t="shared" si="2223"/>
        <v>0</v>
      </c>
      <c r="BK2122">
        <f t="shared" si="2231"/>
        <v>444</v>
      </c>
      <c r="BL2122">
        <f t="shared" si="2232"/>
        <v>444</v>
      </c>
      <c r="BM2122" s="15">
        <f>SUMIFS(BJ$2:BJ2122,K$2:K2122,"=Intermission")+SUMIFS(BJ$2:BJ2122,K$2:K2122,"=Timeout")</f>
        <v>142</v>
      </c>
      <c r="BN2122">
        <f t="shared" si="2233"/>
        <v>2302</v>
      </c>
      <c r="BO2122" s="19">
        <f t="shared" si="2234"/>
        <v>2938</v>
      </c>
      <c r="BP2122">
        <f t="shared" si="2235"/>
        <v>2933</v>
      </c>
      <c r="BQ2122" s="17">
        <f t="shared" si="2236"/>
        <v>2938</v>
      </c>
      <c r="BR2122" t="str">
        <f t="shared" si="2237"/>
        <v>event_team_player_1</v>
      </c>
      <c r="BS2122">
        <f>COUNTIFS(S$3:S2122,"="&amp;S2122,AI$3:AI2122,"="&amp;AI2122)</f>
        <v>1</v>
      </c>
      <c r="BT2122" t="str">
        <f>IFERROR(VLOOKUP(BB2122&amp;BU2122&amp;X2122,game_rosters!U:W,3,FALSE),"")</f>
        <v>P100074</v>
      </c>
      <c r="BU2122" t="str">
        <f t="shared" si="2238"/>
        <v>Nelson</v>
      </c>
    </row>
    <row r="2123" spans="1:73" x14ac:dyDescent="0.2">
      <c r="A2123">
        <f t="shared" si="2224"/>
        <v>1</v>
      </c>
      <c r="J2123" s="44" t="str">
        <f t="shared" si="2239"/>
        <v/>
      </c>
      <c r="K2123" t="s">
        <v>238</v>
      </c>
      <c r="L2123" t="s">
        <v>193</v>
      </c>
      <c r="M2123" t="s">
        <v>91</v>
      </c>
      <c r="S2123">
        <v>1121</v>
      </c>
      <c r="W2123" t="str">
        <f t="shared" si="2215"/>
        <v>a</v>
      </c>
      <c r="X2123">
        <v>84</v>
      </c>
      <c r="Y2123" t="e">
        <f>IF(X2123&lt;&gt;"",VLOOKUP(X2123,game_rosters!$C$43:$E$64,3,FALSE))</f>
        <v>#N/A</v>
      </c>
      <c r="Z2123" cm="1">
        <f t="array" ref="Z2123">IFERROR(IF(_xlfn._xlws.FILTER(game_rosters!$J:$J,(game_rosters!$G:$G=events!$AN2123)*(game_rosters!$J:$J=events!$X2123))&gt;0,1,""),"")</f>
        <v>1</v>
      </c>
      <c r="AA2123">
        <f t="shared" si="2173"/>
        <v>2121</v>
      </c>
      <c r="AB2123" t="str">
        <f t="shared" si="2174"/>
        <v/>
      </c>
      <c r="AC2123">
        <f t="shared" si="2212"/>
        <v>2121</v>
      </c>
      <c r="AD2123" s="6">
        <v>3</v>
      </c>
      <c r="AE2123" t="s">
        <v>937</v>
      </c>
      <c r="AF2123" t="s">
        <v>918</v>
      </c>
      <c r="AG2123" t="s">
        <v>756</v>
      </c>
      <c r="AH2123" t="s">
        <v>756</v>
      </c>
      <c r="AI2123" t="s">
        <v>367</v>
      </c>
      <c r="AJ2123" t="str">
        <f t="shared" ref="AJ2123:AK2123" si="2245">IF($J2123&lt;&gt;"",$J2123,IF($AC2123=$AC2122,AJ2122,""))</f>
        <v/>
      </c>
      <c r="AK2123" t="str">
        <f t="shared" si="2245"/>
        <v/>
      </c>
      <c r="AL2123" t="str">
        <f t="shared" si="2217"/>
        <v/>
      </c>
      <c r="AN2123" t="s">
        <v>862</v>
      </c>
      <c r="AO2123" t="str">
        <f t="shared" si="2218"/>
        <v>a</v>
      </c>
      <c r="AP2123" t="str">
        <f t="shared" si="2226"/>
        <v/>
      </c>
      <c r="AQ2123" t="str">
        <f t="shared" si="2227"/>
        <v/>
      </c>
      <c r="AR2123" t="str">
        <f t="shared" si="2228"/>
        <v>Away</v>
      </c>
      <c r="AS2123" t="str">
        <f t="shared" si="2229"/>
        <v>a</v>
      </c>
      <c r="AT2123" t="str">
        <f t="shared" si="2230"/>
        <v>Offensive</v>
      </c>
      <c r="BA2123" s="6">
        <f t="shared" si="2219"/>
        <v>480</v>
      </c>
      <c r="BB2123">
        <f t="shared" si="2220"/>
        <v>18981</v>
      </c>
      <c r="BC2123" t="str">
        <f t="shared" si="2221"/>
        <v>Nelson</v>
      </c>
      <c r="BD2123" t="str">
        <f t="shared" si="2222"/>
        <v>Velodrome</v>
      </c>
      <c r="BE2123" t="s">
        <v>238</v>
      </c>
      <c r="BF2123" t="s">
        <v>193</v>
      </c>
      <c r="BG2123" t="s">
        <v>91</v>
      </c>
      <c r="BI2123" cm="1">
        <f t="array" ref="BI2123">IFERROR(_xlfn._xlws.FILTER(shifts!A:A,(shifts!B:B=events!AD2123)*(shifts!AG:AG&gt;=events!BK2123)*(shifts!AH:AH&lt;=events!BL2123)),BI2122)</f>
        <v>92</v>
      </c>
      <c r="BJ2123" s="15">
        <f t="shared" si="2223"/>
        <v>0</v>
      </c>
      <c r="BK2123">
        <f t="shared" si="2231"/>
        <v>442</v>
      </c>
      <c r="BL2123">
        <f t="shared" si="2232"/>
        <v>442</v>
      </c>
      <c r="BM2123" s="15">
        <f>SUMIFS(BJ$2:BJ2123,K$2:K2123,"=Intermission")+SUMIFS(BJ$2:BJ2123,K$2:K2123,"=Timeout")</f>
        <v>142</v>
      </c>
      <c r="BN2123">
        <f t="shared" si="2233"/>
        <v>2302</v>
      </c>
      <c r="BO2123" s="19">
        <f t="shared" si="2234"/>
        <v>2940</v>
      </c>
      <c r="BP2123">
        <f t="shared" si="2235"/>
        <v>2935</v>
      </c>
      <c r="BQ2123" s="17">
        <f t="shared" si="2236"/>
        <v>2940</v>
      </c>
      <c r="BR2123" t="str">
        <f t="shared" si="2237"/>
        <v>event_team_player_1</v>
      </c>
      <c r="BS2123">
        <f>COUNTIFS(S$3:S2123,"="&amp;S2123,AI$3:AI2123,"="&amp;AI2123)</f>
        <v>1</v>
      </c>
      <c r="BT2123" t="str">
        <f>IFERROR(VLOOKUP(BB2123&amp;BU2123&amp;X2123,game_rosters!U:W,3,FALSE),"")</f>
        <v>P100198</v>
      </c>
      <c r="BU2123" t="str">
        <f t="shared" si="2238"/>
        <v>Velodrome</v>
      </c>
    </row>
    <row r="2124" spans="1:73" x14ac:dyDescent="0.2">
      <c r="A2124">
        <f t="shared" si="2224"/>
        <v>1</v>
      </c>
      <c r="J2124" s="44" t="str">
        <f t="shared" si="2239"/>
        <v/>
      </c>
      <c r="K2124" t="s">
        <v>13</v>
      </c>
      <c r="L2124" t="s">
        <v>756</v>
      </c>
      <c r="M2124" t="s">
        <v>756</v>
      </c>
      <c r="S2124">
        <v>1122</v>
      </c>
      <c r="W2124" t="str">
        <f t="shared" si="2215"/>
        <v>a</v>
      </c>
      <c r="X2124">
        <v>70</v>
      </c>
      <c r="Y2124" t="e">
        <f>IF(X2124&lt;&gt;"",VLOOKUP(X2124,game_rosters!$C$43:$E$64,3,FALSE))</f>
        <v>#N/A</v>
      </c>
      <c r="Z2124" cm="1">
        <f t="array" ref="Z2124">IFERROR(IF(_xlfn._xlws.FILTER(game_rosters!$J:$J,(game_rosters!$G:$G=events!$AN2124)*(game_rosters!$J:$J=events!$X2124))&gt;0,1,""),"")</f>
        <v>1</v>
      </c>
      <c r="AA2124">
        <f t="shared" si="2173"/>
        <v>2122</v>
      </c>
      <c r="AB2124" t="str">
        <f t="shared" si="2174"/>
        <v/>
      </c>
      <c r="AC2124">
        <f t="shared" si="2212"/>
        <v>2122</v>
      </c>
      <c r="AD2124" s="6">
        <v>3</v>
      </c>
      <c r="AE2124" t="s">
        <v>937</v>
      </c>
      <c r="AF2124" t="s">
        <v>919</v>
      </c>
      <c r="AG2124" t="s">
        <v>937</v>
      </c>
      <c r="AH2124" t="s">
        <v>744</v>
      </c>
      <c r="AI2124" t="s">
        <v>367</v>
      </c>
      <c r="AJ2124" t="str">
        <f t="shared" ref="AJ2124:AK2124" si="2246">IF($J2124&lt;&gt;"",$J2124,IF($AC2124=$AC2123,AJ2123,""))</f>
        <v/>
      </c>
      <c r="AK2124" t="str">
        <f t="shared" si="2246"/>
        <v/>
      </c>
      <c r="AL2124" t="str">
        <f t="shared" si="2217"/>
        <v/>
      </c>
      <c r="AN2124" t="s">
        <v>862</v>
      </c>
      <c r="AO2124" t="str">
        <f t="shared" si="2218"/>
        <v>a</v>
      </c>
      <c r="AP2124" t="str">
        <f t="shared" si="2226"/>
        <v/>
      </c>
      <c r="AQ2124" t="str">
        <f t="shared" si="2227"/>
        <v/>
      </c>
      <c r="AR2124" t="str">
        <f t="shared" si="2228"/>
        <v>Away</v>
      </c>
      <c r="AS2124" t="str">
        <f t="shared" si="2229"/>
        <v>a</v>
      </c>
      <c r="AT2124" t="str">
        <f t="shared" si="2230"/>
        <v>Offensive</v>
      </c>
      <c r="BA2124" s="6">
        <f t="shared" si="2219"/>
        <v>480</v>
      </c>
      <c r="BB2124">
        <f t="shared" si="2220"/>
        <v>18981</v>
      </c>
      <c r="BC2124" t="str">
        <f t="shared" si="2221"/>
        <v>Nelson</v>
      </c>
      <c r="BD2124" t="str">
        <f t="shared" si="2222"/>
        <v>Velodrome</v>
      </c>
      <c r="BE2124" t="s">
        <v>13</v>
      </c>
      <c r="BF2124" t="s">
        <v>756</v>
      </c>
      <c r="BG2124" t="s">
        <v>756</v>
      </c>
      <c r="BI2124" cm="1">
        <f t="array" ref="BI2124">IFERROR(_xlfn._xlws.FILTER(shifts!A:A,(shifts!B:B=events!AD2124)*(shifts!AG:AG&gt;=events!BK2124)*(shifts!AH:AH&lt;=events!BL2124)),BI2123)</f>
        <v>92</v>
      </c>
      <c r="BJ2124" s="15">
        <f t="shared" si="2223"/>
        <v>5</v>
      </c>
      <c r="BK2124">
        <f t="shared" si="2231"/>
        <v>440</v>
      </c>
      <c r="BL2124">
        <f t="shared" si="2232"/>
        <v>435</v>
      </c>
      <c r="BM2124" s="15">
        <f>SUMIFS(BJ$2:BJ2124,K$2:K2124,"=Intermission")+SUMIFS(BJ$2:BJ2124,K$2:K2124,"=Timeout")</f>
        <v>142</v>
      </c>
      <c r="BN2124">
        <f t="shared" si="2233"/>
        <v>2302</v>
      </c>
      <c r="BO2124" s="19">
        <f t="shared" si="2234"/>
        <v>2942</v>
      </c>
      <c r="BP2124">
        <f t="shared" si="2235"/>
        <v>2937</v>
      </c>
      <c r="BQ2124" s="17">
        <f t="shared" si="2236"/>
        <v>2947</v>
      </c>
      <c r="BR2124" t="str">
        <f t="shared" si="2237"/>
        <v>event_team_player_1</v>
      </c>
      <c r="BS2124">
        <f>COUNTIFS(S$3:S2124,"="&amp;S2124,AI$3:AI2124,"="&amp;AI2124)</f>
        <v>1</v>
      </c>
      <c r="BT2124" t="str">
        <f>IFERROR(VLOOKUP(BB2124&amp;BU2124&amp;X2124,game_rosters!U:W,3,FALSE),"")</f>
        <v>P100001</v>
      </c>
      <c r="BU2124" t="str">
        <f t="shared" si="2238"/>
        <v>Velodrome</v>
      </c>
    </row>
    <row r="2125" spans="1:73" x14ac:dyDescent="0.2">
      <c r="A2125">
        <f t="shared" si="2224"/>
        <v>1</v>
      </c>
      <c r="J2125" s="44" t="str">
        <f t="shared" si="2239"/>
        <v/>
      </c>
      <c r="K2125" t="s">
        <v>13</v>
      </c>
      <c r="L2125" t="s">
        <v>756</v>
      </c>
      <c r="M2125" t="s">
        <v>756</v>
      </c>
      <c r="S2125">
        <v>1122</v>
      </c>
      <c r="W2125" t="str">
        <f t="shared" si="2215"/>
        <v>a</v>
      </c>
      <c r="X2125">
        <v>15</v>
      </c>
      <c r="Y2125" t="b">
        <f>IF(X2125&lt;&gt;"",VLOOKUP(X2125,game_rosters!$C$43:$E$64,3,FALSE))</f>
        <v>0</v>
      </c>
      <c r="Z2125" t="str" cm="1">
        <f t="array" ref="Z2125">IFERROR(IF(_xlfn._xlws.FILTER(game_rosters!$J:$J,(game_rosters!$G:$G=events!$AN2125)*(game_rosters!$J:$J=events!$X2125))&gt;0,1,""),"")</f>
        <v/>
      </c>
      <c r="AA2125">
        <f t="shared" si="2173"/>
        <v>2122</v>
      </c>
      <c r="AB2125" t="str">
        <f t="shared" si="2174"/>
        <v/>
      </c>
      <c r="AC2125">
        <f t="shared" si="2212"/>
        <v>2122</v>
      </c>
      <c r="AD2125" s="6">
        <v>3</v>
      </c>
      <c r="AE2125" t="s">
        <v>937</v>
      </c>
      <c r="AF2125" t="s">
        <v>919</v>
      </c>
      <c r="AG2125" t="s">
        <v>937</v>
      </c>
      <c r="AH2125" t="s">
        <v>744</v>
      </c>
      <c r="AI2125" t="s">
        <v>368</v>
      </c>
      <c r="AJ2125" t="str">
        <f t="shared" ref="AJ2125:AK2125" si="2247">IF($J2125&lt;&gt;"",$J2125,IF($AC2125=$AC2124,AJ2124,""))</f>
        <v/>
      </c>
      <c r="AK2125" t="str">
        <f t="shared" si="2247"/>
        <v/>
      </c>
      <c r="AL2125" t="str">
        <f t="shared" si="2217"/>
        <v/>
      </c>
      <c r="AN2125" t="s">
        <v>862</v>
      </c>
      <c r="AO2125" t="str">
        <f t="shared" si="2218"/>
        <v>a</v>
      </c>
      <c r="AP2125" t="str">
        <f t="shared" si="2226"/>
        <v/>
      </c>
      <c r="AQ2125" t="str">
        <f t="shared" si="2227"/>
        <v/>
      </c>
      <c r="AR2125" t="str">
        <f t="shared" si="2228"/>
        <v>Away</v>
      </c>
      <c r="AS2125" t="str">
        <f t="shared" si="2229"/>
        <v>a</v>
      </c>
      <c r="AT2125" t="str">
        <f t="shared" si="2230"/>
        <v>Defensive</v>
      </c>
      <c r="BA2125" s="6">
        <f t="shared" si="2219"/>
        <v>480</v>
      </c>
      <c r="BB2125">
        <f t="shared" si="2220"/>
        <v>18981</v>
      </c>
      <c r="BC2125" t="str">
        <f t="shared" si="2221"/>
        <v>Nelson</v>
      </c>
      <c r="BD2125" t="str">
        <f t="shared" si="2222"/>
        <v>Velodrome</v>
      </c>
      <c r="BE2125" t="s">
        <v>13</v>
      </c>
      <c r="BF2125" t="s">
        <v>756</v>
      </c>
      <c r="BG2125" t="s">
        <v>756</v>
      </c>
      <c r="BI2125" cm="1">
        <f t="array" ref="BI2125">IFERROR(_xlfn._xlws.FILTER(shifts!A:A,(shifts!B:B=events!AD2125)*(shifts!AG:AG&gt;=events!BK2125)*(shifts!AH:AH&lt;=events!BL2125)),BI2124)</f>
        <v>92</v>
      </c>
      <c r="BJ2125" s="15">
        <f t="shared" si="2223"/>
        <v>5</v>
      </c>
      <c r="BK2125">
        <f t="shared" si="2231"/>
        <v>440</v>
      </c>
      <c r="BL2125">
        <f t="shared" si="2232"/>
        <v>435</v>
      </c>
      <c r="BM2125" s="15">
        <f>SUMIFS(BJ$2:BJ2125,K$2:K2125,"=Intermission")+SUMIFS(BJ$2:BJ2125,K$2:K2125,"=Timeout")</f>
        <v>142</v>
      </c>
      <c r="BN2125">
        <f t="shared" si="2233"/>
        <v>2302</v>
      </c>
      <c r="BO2125" s="19">
        <f t="shared" si="2234"/>
        <v>2942</v>
      </c>
      <c r="BP2125">
        <f t="shared" si="2235"/>
        <v>2937</v>
      </c>
      <c r="BQ2125" s="17">
        <f t="shared" si="2236"/>
        <v>2947</v>
      </c>
      <c r="BR2125" t="str">
        <f t="shared" si="2237"/>
        <v>opp_team_player_1</v>
      </c>
      <c r="BS2125">
        <f>COUNTIFS(S$3:S2125,"="&amp;S2125,AI$3:AI2125,"="&amp;AI2125)</f>
        <v>1</v>
      </c>
      <c r="BT2125" t="str">
        <f>IFERROR(VLOOKUP(BB2125&amp;BU2125&amp;X2125,game_rosters!U:W,3,FALSE),"")</f>
        <v>P100071</v>
      </c>
      <c r="BU2125" t="str">
        <f t="shared" si="2238"/>
        <v>Nelson</v>
      </c>
    </row>
    <row r="2126" spans="1:73" x14ac:dyDescent="0.2">
      <c r="A2126">
        <f t="shared" si="2224"/>
        <v>1</v>
      </c>
      <c r="J2126" s="44" t="str">
        <f t="shared" si="2239"/>
        <v/>
      </c>
      <c r="K2126" t="s">
        <v>9</v>
      </c>
      <c r="L2126" t="s">
        <v>183</v>
      </c>
      <c r="M2126" t="s">
        <v>79</v>
      </c>
      <c r="S2126">
        <v>1123</v>
      </c>
      <c r="W2126" t="str">
        <f t="shared" si="2215"/>
        <v>h</v>
      </c>
      <c r="X2126">
        <v>79</v>
      </c>
      <c r="Y2126" t="b">
        <f>IF(X2126&lt;&gt;"",VLOOKUP(X2126,game_rosters!$C$43:$E$64,3,FALSE))</f>
        <v>0</v>
      </c>
      <c r="Z2126" cm="1">
        <f t="array" ref="Z2126">IFERROR(IF(_xlfn._xlws.FILTER(game_rosters!$J:$J,(game_rosters!$G:$G=events!$AN2126)*(game_rosters!$J:$J=events!$X2126))&gt;0,1,""),"")</f>
        <v>1</v>
      </c>
      <c r="AA2126">
        <f t="shared" si="2173"/>
        <v>2123</v>
      </c>
      <c r="AB2126" t="str">
        <f t="shared" si="2174"/>
        <v/>
      </c>
      <c r="AC2126">
        <f t="shared" si="2212"/>
        <v>2123</v>
      </c>
      <c r="AD2126" s="6">
        <v>3</v>
      </c>
      <c r="AE2126" t="s">
        <v>937</v>
      </c>
      <c r="AF2126" t="s">
        <v>744</v>
      </c>
      <c r="AG2126" t="s">
        <v>756</v>
      </c>
      <c r="AH2126" t="s">
        <v>756</v>
      </c>
      <c r="AI2126" t="s">
        <v>367</v>
      </c>
      <c r="AJ2126" t="str">
        <f t="shared" ref="AJ2126:AK2126" si="2248">IF($J2126&lt;&gt;"",$J2126,IF($AC2126=$AC2125,AJ2125,""))</f>
        <v/>
      </c>
      <c r="AK2126" t="str">
        <f t="shared" si="2248"/>
        <v/>
      </c>
      <c r="AL2126" t="str">
        <f t="shared" si="2217"/>
        <v/>
      </c>
      <c r="AN2126" t="s">
        <v>861</v>
      </c>
      <c r="AO2126" t="str">
        <f t="shared" si="2218"/>
        <v>h</v>
      </c>
      <c r="AP2126" t="str">
        <f t="shared" si="2226"/>
        <v/>
      </c>
      <c r="AQ2126" t="str">
        <f t="shared" si="2227"/>
        <v/>
      </c>
      <c r="AR2126" t="str">
        <f t="shared" si="2228"/>
        <v>Home</v>
      </c>
      <c r="AS2126" t="str">
        <f t="shared" si="2229"/>
        <v>h</v>
      </c>
      <c r="AT2126" t="str">
        <f t="shared" si="2230"/>
        <v>Defensive</v>
      </c>
      <c r="BA2126" s="6">
        <f t="shared" si="2219"/>
        <v>480</v>
      </c>
      <c r="BB2126">
        <f t="shared" si="2220"/>
        <v>18981</v>
      </c>
      <c r="BC2126" t="str">
        <f t="shared" si="2221"/>
        <v>Nelson</v>
      </c>
      <c r="BD2126" t="str">
        <f t="shared" si="2222"/>
        <v>Velodrome</v>
      </c>
      <c r="BE2126" t="s">
        <v>9</v>
      </c>
      <c r="BF2126" t="s">
        <v>183</v>
      </c>
      <c r="BG2126" t="s">
        <v>79</v>
      </c>
      <c r="BI2126" cm="1">
        <f t="array" ref="BI2126">IFERROR(_xlfn._xlws.FILTER(shifts!A:A,(shifts!B:B=events!AD2126)*(shifts!AG:AG&gt;=events!BK2126)*(shifts!AH:AH&lt;=events!BL2126)),BI2125)</f>
        <v>92</v>
      </c>
      <c r="BJ2126" s="15">
        <f t="shared" si="2223"/>
        <v>0</v>
      </c>
      <c r="BK2126">
        <f t="shared" si="2231"/>
        <v>435</v>
      </c>
      <c r="BL2126">
        <f t="shared" si="2232"/>
        <v>435</v>
      </c>
      <c r="BM2126" s="15">
        <f>SUMIFS(BJ$2:BJ2126,K$2:K2126,"=Intermission")+SUMIFS(BJ$2:BJ2126,K$2:K2126,"=Timeout")</f>
        <v>142</v>
      </c>
      <c r="BN2126">
        <f t="shared" si="2233"/>
        <v>2302</v>
      </c>
      <c r="BO2126" s="19">
        <f t="shared" si="2234"/>
        <v>2947</v>
      </c>
      <c r="BP2126">
        <f t="shared" si="2235"/>
        <v>2942</v>
      </c>
      <c r="BQ2126" s="17">
        <f t="shared" si="2236"/>
        <v>2947</v>
      </c>
      <c r="BR2126" t="str">
        <f t="shared" si="2237"/>
        <v>event_team_player_1</v>
      </c>
      <c r="BS2126">
        <f>COUNTIFS(S$3:S2126,"="&amp;S2126,AI$3:AI2126,"="&amp;AI2126)</f>
        <v>1</v>
      </c>
      <c r="BT2126" t="str">
        <f>IFERROR(VLOOKUP(BB2126&amp;BU2126&amp;X2126,game_rosters!U:W,3,FALSE),"")</f>
        <v>P100066</v>
      </c>
      <c r="BU2126" t="str">
        <f t="shared" si="2238"/>
        <v>Nelson</v>
      </c>
    </row>
    <row r="2127" spans="1:73" x14ac:dyDescent="0.2">
      <c r="A2127">
        <f t="shared" si="2224"/>
        <v>1</v>
      </c>
      <c r="J2127" s="44" t="str">
        <f t="shared" si="2239"/>
        <v/>
      </c>
      <c r="K2127" t="s">
        <v>9</v>
      </c>
      <c r="L2127" t="s">
        <v>183</v>
      </c>
      <c r="M2127" t="s">
        <v>79</v>
      </c>
      <c r="S2127">
        <v>1123</v>
      </c>
      <c r="W2127" t="str">
        <f t="shared" si="2215"/>
        <v>h</v>
      </c>
      <c r="X2127">
        <v>70</v>
      </c>
      <c r="Y2127" t="e">
        <f>IF(X2127&lt;&gt;"",VLOOKUP(X2127,game_rosters!$C$43:$E$64,3,FALSE))</f>
        <v>#N/A</v>
      </c>
      <c r="Z2127" t="str" cm="1">
        <f t="array" ref="Z2127">IFERROR(IF(_xlfn._xlws.FILTER(game_rosters!$J:$J,(game_rosters!$G:$G=events!$AN2127)*(game_rosters!$J:$J=events!$X2127))&gt;0,1,""),"")</f>
        <v/>
      </c>
      <c r="AA2127">
        <f t="shared" si="2173"/>
        <v>2123</v>
      </c>
      <c r="AB2127" t="str">
        <f t="shared" si="2174"/>
        <v/>
      </c>
      <c r="AC2127">
        <f t="shared" si="2212"/>
        <v>2123</v>
      </c>
      <c r="AD2127" s="6">
        <v>3</v>
      </c>
      <c r="AE2127" t="s">
        <v>937</v>
      </c>
      <c r="AF2127" t="s">
        <v>744</v>
      </c>
      <c r="AG2127" t="s">
        <v>756</v>
      </c>
      <c r="AH2127" t="s">
        <v>756</v>
      </c>
      <c r="AI2127" t="s">
        <v>368</v>
      </c>
      <c r="AJ2127" t="str">
        <f t="shared" ref="AJ2127:AK2127" si="2249">IF($J2127&lt;&gt;"",$J2127,IF($AC2127=$AC2126,AJ2126,""))</f>
        <v/>
      </c>
      <c r="AK2127" t="str">
        <f t="shared" si="2249"/>
        <v/>
      </c>
      <c r="AL2127" t="str">
        <f t="shared" si="2217"/>
        <v/>
      </c>
      <c r="AN2127" t="s">
        <v>861</v>
      </c>
      <c r="AO2127" t="str">
        <f t="shared" si="2218"/>
        <v>h</v>
      </c>
      <c r="AP2127" t="str">
        <f t="shared" si="2226"/>
        <v/>
      </c>
      <c r="AQ2127" t="str">
        <f t="shared" si="2227"/>
        <v/>
      </c>
      <c r="AR2127" t="str">
        <f t="shared" si="2228"/>
        <v>Home</v>
      </c>
      <c r="AS2127" t="str">
        <f t="shared" si="2229"/>
        <v>h</v>
      </c>
      <c r="AT2127" t="str">
        <f t="shared" si="2230"/>
        <v>Offensive</v>
      </c>
      <c r="BA2127" s="6">
        <f t="shared" si="2219"/>
        <v>480</v>
      </c>
      <c r="BB2127">
        <f t="shared" si="2220"/>
        <v>18981</v>
      </c>
      <c r="BC2127" t="str">
        <f t="shared" si="2221"/>
        <v>Nelson</v>
      </c>
      <c r="BD2127" t="str">
        <f t="shared" si="2222"/>
        <v>Velodrome</v>
      </c>
      <c r="BE2127" t="s">
        <v>9</v>
      </c>
      <c r="BF2127" t="s">
        <v>183</v>
      </c>
      <c r="BG2127" t="s">
        <v>79</v>
      </c>
      <c r="BI2127" cm="1">
        <f t="array" ref="BI2127">IFERROR(_xlfn._xlws.FILTER(shifts!A:A,(shifts!B:B=events!AD2127)*(shifts!AG:AG&gt;=events!BK2127)*(shifts!AH:AH&lt;=events!BL2127)),BI2126)</f>
        <v>92</v>
      </c>
      <c r="BJ2127" s="15">
        <f t="shared" si="2223"/>
        <v>0</v>
      </c>
      <c r="BK2127">
        <f t="shared" si="2231"/>
        <v>435</v>
      </c>
      <c r="BL2127">
        <f t="shared" si="2232"/>
        <v>435</v>
      </c>
      <c r="BM2127" s="15">
        <f>SUMIFS(BJ$2:BJ2127,K$2:K2127,"=Intermission")+SUMIFS(BJ$2:BJ2127,K$2:K2127,"=Timeout")</f>
        <v>142</v>
      </c>
      <c r="BN2127">
        <f t="shared" si="2233"/>
        <v>2302</v>
      </c>
      <c r="BO2127" s="19">
        <f t="shared" si="2234"/>
        <v>2947</v>
      </c>
      <c r="BP2127">
        <f t="shared" si="2235"/>
        <v>2942</v>
      </c>
      <c r="BQ2127" s="17">
        <f t="shared" si="2236"/>
        <v>2947</v>
      </c>
      <c r="BR2127" t="str">
        <f t="shared" si="2237"/>
        <v>opp_team_player_1</v>
      </c>
      <c r="BS2127">
        <f>COUNTIFS(S$3:S2127,"="&amp;S2127,AI$3:AI2127,"="&amp;AI2127)</f>
        <v>1</v>
      </c>
      <c r="BT2127" t="str">
        <f>IFERROR(VLOOKUP(BB2127&amp;BU2127&amp;X2127,game_rosters!U:W,3,FALSE),"")</f>
        <v>P100001</v>
      </c>
      <c r="BU2127" t="str">
        <f t="shared" si="2238"/>
        <v>Velodrome</v>
      </c>
    </row>
    <row r="2128" spans="1:73" x14ac:dyDescent="0.2">
      <c r="A2128">
        <f t="shared" si="2224"/>
        <v>1</v>
      </c>
      <c r="J2128" s="44" t="str">
        <f t="shared" si="2239"/>
        <v>d</v>
      </c>
      <c r="K2128" t="s">
        <v>238</v>
      </c>
      <c r="L2128" t="s">
        <v>184</v>
      </c>
      <c r="M2128" t="s">
        <v>90</v>
      </c>
      <c r="S2128">
        <v>1124</v>
      </c>
      <c r="W2128" t="str">
        <f t="shared" si="2215"/>
        <v>h</v>
      </c>
      <c r="X2128">
        <v>80</v>
      </c>
      <c r="Y2128" t="b">
        <f>IF(X2128&lt;&gt;"",VLOOKUP(X2128,game_rosters!$C$43:$E$64,3,FALSE))</f>
        <v>0</v>
      </c>
      <c r="Z2128" cm="1">
        <f t="array" ref="Z2128">IFERROR(IF(_xlfn._xlws.FILTER(game_rosters!$J:$J,(game_rosters!$G:$G=events!$AN2128)*(game_rosters!$J:$J=events!$X2128))&gt;0,1,""),"")</f>
        <v>1</v>
      </c>
      <c r="AA2128">
        <f t="shared" si="2173"/>
        <v>2124</v>
      </c>
      <c r="AB2128" t="str">
        <f t="shared" si="2174"/>
        <v/>
      </c>
      <c r="AC2128">
        <f t="shared" si="2212"/>
        <v>2124</v>
      </c>
      <c r="AD2128" s="6">
        <v>3</v>
      </c>
      <c r="AE2128" t="s">
        <v>937</v>
      </c>
      <c r="AF2128" t="s">
        <v>926</v>
      </c>
      <c r="AG2128" t="s">
        <v>756</v>
      </c>
      <c r="AH2128" t="s">
        <v>756</v>
      </c>
      <c r="AI2128" t="s">
        <v>367</v>
      </c>
      <c r="AJ2128" t="str">
        <f t="shared" ref="AJ2128:AK2128" si="2250">IF($J2128&lt;&gt;"",$J2128,IF($AC2128=$AC2127,AJ2127,""))</f>
        <v>d</v>
      </c>
      <c r="AK2128" t="str">
        <f t="shared" si="2250"/>
        <v>d</v>
      </c>
      <c r="AL2128" t="str">
        <f t="shared" si="2217"/>
        <v>d</v>
      </c>
      <c r="AN2128" t="s">
        <v>861</v>
      </c>
      <c r="AO2128" t="str">
        <f t="shared" si="2218"/>
        <v>h</v>
      </c>
      <c r="AP2128" t="str">
        <f t="shared" si="2226"/>
        <v>d</v>
      </c>
      <c r="AQ2128" t="str">
        <f t="shared" si="2227"/>
        <v/>
      </c>
      <c r="AR2128" t="str">
        <f t="shared" si="2228"/>
        <v>Home</v>
      </c>
      <c r="AS2128" t="str">
        <f t="shared" si="2229"/>
        <v>h</v>
      </c>
      <c r="AT2128" t="str">
        <f t="shared" si="2230"/>
        <v>Offensive</v>
      </c>
      <c r="BA2128" s="6">
        <f t="shared" si="2219"/>
        <v>481</v>
      </c>
      <c r="BB2128">
        <f t="shared" si="2220"/>
        <v>18981</v>
      </c>
      <c r="BC2128" t="str">
        <f t="shared" si="2221"/>
        <v>Nelson</v>
      </c>
      <c r="BD2128" t="str">
        <f t="shared" si="2222"/>
        <v>Velodrome</v>
      </c>
      <c r="BE2128" t="s">
        <v>238</v>
      </c>
      <c r="BF2128" t="s">
        <v>184</v>
      </c>
      <c r="BG2128" t="s">
        <v>90</v>
      </c>
      <c r="BI2128" cm="1">
        <f t="array" ref="BI2128">IFERROR(_xlfn._xlws.FILTER(shifts!A:A,(shifts!B:B=events!AD2128)*(shifts!AG:AG&gt;=events!BK2128)*(shifts!AH:AH&lt;=events!BL2128)),BI2127)</f>
        <v>92</v>
      </c>
      <c r="BJ2128" s="15">
        <f t="shared" si="2223"/>
        <v>0</v>
      </c>
      <c r="BK2128">
        <f t="shared" si="2231"/>
        <v>433</v>
      </c>
      <c r="BL2128">
        <f t="shared" si="2232"/>
        <v>433</v>
      </c>
      <c r="BM2128" s="15">
        <f>SUMIFS(BJ$2:BJ2128,K$2:K2128,"=Intermission")+SUMIFS(BJ$2:BJ2128,K$2:K2128,"=Timeout")</f>
        <v>142</v>
      </c>
      <c r="BN2128">
        <f t="shared" si="2233"/>
        <v>2302</v>
      </c>
      <c r="BO2128" s="19">
        <f t="shared" si="2234"/>
        <v>2949</v>
      </c>
      <c r="BP2128">
        <f t="shared" si="2235"/>
        <v>2944</v>
      </c>
      <c r="BQ2128" s="17">
        <f t="shared" si="2236"/>
        <v>2949</v>
      </c>
      <c r="BR2128" t="str">
        <f t="shared" si="2237"/>
        <v>event_team_player_1</v>
      </c>
      <c r="BS2128">
        <f>COUNTIFS(S$3:S2128,"="&amp;S2128,AI$3:AI2128,"="&amp;AI2128)</f>
        <v>1</v>
      </c>
      <c r="BT2128" t="str">
        <f>IFERROR(VLOOKUP(BB2128&amp;BU2128&amp;X2128,game_rosters!U:W,3,FALSE),"")</f>
        <v>P100197</v>
      </c>
      <c r="BU2128" t="str">
        <f t="shared" si="2238"/>
        <v>Nelson</v>
      </c>
    </row>
    <row r="2129" spans="1:73" x14ac:dyDescent="0.2">
      <c r="A2129">
        <f t="shared" si="2224"/>
        <v>1</v>
      </c>
      <c r="J2129" s="44" t="str">
        <f t="shared" si="2239"/>
        <v>d</v>
      </c>
      <c r="K2129" t="s">
        <v>238</v>
      </c>
      <c r="L2129" t="s">
        <v>184</v>
      </c>
      <c r="M2129" t="s">
        <v>90</v>
      </c>
      <c r="S2129">
        <v>1124</v>
      </c>
      <c r="W2129" t="str">
        <f t="shared" si="2215"/>
        <v>h</v>
      </c>
      <c r="X2129">
        <v>9</v>
      </c>
      <c r="Y2129" t="e">
        <f>IF(X2129&lt;&gt;"",VLOOKUP(X2129,game_rosters!$C$43:$E$64,3,FALSE))</f>
        <v>#N/A</v>
      </c>
      <c r="Z2129" t="str" cm="1">
        <f t="array" ref="Z2129">IFERROR(IF(_xlfn._xlws.FILTER(game_rosters!$J:$J,(game_rosters!$G:$G=events!$AN2129)*(game_rosters!$J:$J=events!$X2129))&gt;0,1,""),"")</f>
        <v/>
      </c>
      <c r="AA2129">
        <f t="shared" si="2173"/>
        <v>2124</v>
      </c>
      <c r="AB2129" t="str">
        <f t="shared" si="2174"/>
        <v/>
      </c>
      <c r="AC2129">
        <f t="shared" si="2212"/>
        <v>2124</v>
      </c>
      <c r="AD2129" s="6">
        <v>3</v>
      </c>
      <c r="AE2129" t="s">
        <v>937</v>
      </c>
      <c r="AF2129" t="s">
        <v>926</v>
      </c>
      <c r="AG2129" t="s">
        <v>756</v>
      </c>
      <c r="AH2129" t="s">
        <v>756</v>
      </c>
      <c r="AI2129" t="s">
        <v>368</v>
      </c>
      <c r="AJ2129" t="str">
        <f t="shared" ref="AJ2129:AK2129" si="2251">IF($J2129&lt;&gt;"",$J2129,IF($AC2129=$AC2128,AJ2128,""))</f>
        <v>d</v>
      </c>
      <c r="AK2129" t="str">
        <f t="shared" si="2251"/>
        <v>d</v>
      </c>
      <c r="AL2129" t="str">
        <f t="shared" si="2217"/>
        <v>d</v>
      </c>
      <c r="AN2129" t="s">
        <v>861</v>
      </c>
      <c r="AO2129" t="str">
        <f t="shared" si="2218"/>
        <v>h</v>
      </c>
      <c r="AP2129" t="str">
        <f t="shared" si="2226"/>
        <v>d</v>
      </c>
      <c r="AQ2129" t="str">
        <f t="shared" si="2227"/>
        <v/>
      </c>
      <c r="AR2129" t="str">
        <f t="shared" si="2228"/>
        <v>Home</v>
      </c>
      <c r="AS2129" t="str">
        <f t="shared" si="2229"/>
        <v>h</v>
      </c>
      <c r="AT2129" t="str">
        <f t="shared" si="2230"/>
        <v>Defensive</v>
      </c>
      <c r="BA2129" s="6">
        <f t="shared" si="2219"/>
        <v>482</v>
      </c>
      <c r="BB2129">
        <f t="shared" si="2220"/>
        <v>18981</v>
      </c>
      <c r="BC2129" t="str">
        <f t="shared" si="2221"/>
        <v>Nelson</v>
      </c>
      <c r="BD2129" t="str">
        <f t="shared" si="2222"/>
        <v>Velodrome</v>
      </c>
      <c r="BE2129" t="s">
        <v>238</v>
      </c>
      <c r="BF2129" t="s">
        <v>184</v>
      </c>
      <c r="BG2129" t="s">
        <v>90</v>
      </c>
      <c r="BI2129" cm="1">
        <f t="array" ref="BI2129">IFERROR(_xlfn._xlws.FILTER(shifts!A:A,(shifts!B:B=events!AD2129)*(shifts!AG:AG&gt;=events!BK2129)*(shifts!AH:AH&lt;=events!BL2129)),BI2128)</f>
        <v>92</v>
      </c>
      <c r="BJ2129" s="15">
        <f t="shared" si="2223"/>
        <v>0</v>
      </c>
      <c r="BK2129">
        <f t="shared" si="2231"/>
        <v>433</v>
      </c>
      <c r="BL2129">
        <f t="shared" si="2232"/>
        <v>433</v>
      </c>
      <c r="BM2129" s="15">
        <f>SUMIFS(BJ$2:BJ2129,K$2:K2129,"=Intermission")+SUMIFS(BJ$2:BJ2129,K$2:K2129,"=Timeout")</f>
        <v>142</v>
      </c>
      <c r="BN2129">
        <f t="shared" si="2233"/>
        <v>2302</v>
      </c>
      <c r="BO2129" s="19">
        <f t="shared" si="2234"/>
        <v>2949</v>
      </c>
      <c r="BP2129">
        <f t="shared" si="2235"/>
        <v>2944</v>
      </c>
      <c r="BQ2129" s="17">
        <f t="shared" si="2236"/>
        <v>2949</v>
      </c>
      <c r="BR2129" t="str">
        <f t="shared" si="2237"/>
        <v>opp_team_player_1</v>
      </c>
      <c r="BS2129">
        <f>COUNTIFS(S$3:S2129,"="&amp;S2129,AI$3:AI2129,"="&amp;AI2129)</f>
        <v>1</v>
      </c>
      <c r="BT2129" t="str">
        <f>IFERROR(VLOOKUP(BB2129&amp;BU2129&amp;X2129,game_rosters!U:W,3,FALSE),"")</f>
        <v>P100105</v>
      </c>
      <c r="BU2129" t="str">
        <f t="shared" si="2238"/>
        <v>Velodrome</v>
      </c>
    </row>
    <row r="2130" spans="1:73" x14ac:dyDescent="0.2">
      <c r="A2130">
        <f t="shared" si="2224"/>
        <v>1</v>
      </c>
      <c r="J2130" s="44" t="str">
        <f t="shared" si="2239"/>
        <v/>
      </c>
      <c r="K2130" t="s">
        <v>9</v>
      </c>
      <c r="L2130" t="s">
        <v>173</v>
      </c>
      <c r="M2130" t="s">
        <v>354</v>
      </c>
      <c r="S2130">
        <v>1125</v>
      </c>
      <c r="W2130" t="str">
        <f t="shared" si="2215"/>
        <v>h</v>
      </c>
      <c r="X2130">
        <v>80</v>
      </c>
      <c r="Y2130" t="b">
        <f>IF(X2130&lt;&gt;"",VLOOKUP(X2130,game_rosters!$C$43:$E$64,3,FALSE))</f>
        <v>0</v>
      </c>
      <c r="Z2130" cm="1">
        <f t="array" ref="Z2130">IFERROR(IF(_xlfn._xlws.FILTER(game_rosters!$J:$J,(game_rosters!$G:$G=events!$AN2130)*(game_rosters!$J:$J=events!$X2130))&gt;0,1,""),"")</f>
        <v>1</v>
      </c>
      <c r="AA2130">
        <f t="shared" si="2173"/>
        <v>2125</v>
      </c>
      <c r="AB2130" t="str">
        <f t="shared" si="2174"/>
        <v/>
      </c>
      <c r="AC2130">
        <f t="shared" si="2212"/>
        <v>2125</v>
      </c>
      <c r="AD2130" s="6">
        <v>3</v>
      </c>
      <c r="AE2130" t="s">
        <v>937</v>
      </c>
      <c r="AF2130" t="s">
        <v>926</v>
      </c>
      <c r="AG2130" t="s">
        <v>756</v>
      </c>
      <c r="AH2130" t="s">
        <v>756</v>
      </c>
      <c r="AI2130" t="s">
        <v>367</v>
      </c>
      <c r="AJ2130" t="str">
        <f t="shared" ref="AJ2130:AK2130" si="2252">IF($J2130&lt;&gt;"",$J2130,IF($AC2130=$AC2129,AJ2129,""))</f>
        <v/>
      </c>
      <c r="AK2130" t="str">
        <f t="shared" si="2252"/>
        <v/>
      </c>
      <c r="AL2130" t="str">
        <f t="shared" si="2217"/>
        <v/>
      </c>
      <c r="AN2130" t="s">
        <v>861</v>
      </c>
      <c r="AO2130" t="str">
        <f t="shared" si="2218"/>
        <v>h</v>
      </c>
      <c r="AP2130" t="str">
        <f t="shared" si="2226"/>
        <v/>
      </c>
      <c r="AQ2130" t="str">
        <f t="shared" si="2227"/>
        <v/>
      </c>
      <c r="AR2130" t="str">
        <f t="shared" si="2228"/>
        <v>Home</v>
      </c>
      <c r="AS2130" t="str">
        <f t="shared" si="2229"/>
        <v>h</v>
      </c>
      <c r="AT2130" t="str">
        <f t="shared" si="2230"/>
        <v>Offensive</v>
      </c>
      <c r="BA2130" s="6">
        <f t="shared" si="2219"/>
        <v>482</v>
      </c>
      <c r="BB2130">
        <f t="shared" si="2220"/>
        <v>18981</v>
      </c>
      <c r="BC2130" t="str">
        <f t="shared" si="2221"/>
        <v>Nelson</v>
      </c>
      <c r="BD2130" t="str">
        <f t="shared" si="2222"/>
        <v>Velodrome</v>
      </c>
      <c r="BE2130" t="s">
        <v>9</v>
      </c>
      <c r="BF2130" t="s">
        <v>173</v>
      </c>
      <c r="BG2130" t="s">
        <v>354</v>
      </c>
      <c r="BI2130" cm="1">
        <f t="array" ref="BI2130">IFERROR(_xlfn._xlws.FILTER(shifts!A:A,(shifts!B:B=events!AD2130)*(shifts!AG:AG&gt;=events!BK2130)*(shifts!AH:AH&lt;=events!BL2130)),BI2129)</f>
        <v>92</v>
      </c>
      <c r="BJ2130" s="15">
        <f t="shared" si="2223"/>
        <v>0</v>
      </c>
      <c r="BK2130">
        <f t="shared" si="2231"/>
        <v>433</v>
      </c>
      <c r="BL2130">
        <f t="shared" si="2232"/>
        <v>433</v>
      </c>
      <c r="BM2130" s="15">
        <f>SUMIFS(BJ$2:BJ2130,K$2:K2130,"=Intermission")+SUMIFS(BJ$2:BJ2130,K$2:K2130,"=Timeout")</f>
        <v>142</v>
      </c>
      <c r="BN2130">
        <f t="shared" si="2233"/>
        <v>2302</v>
      </c>
      <c r="BO2130" s="19">
        <f t="shared" si="2234"/>
        <v>2949</v>
      </c>
      <c r="BP2130">
        <f t="shared" si="2235"/>
        <v>2944</v>
      </c>
      <c r="BQ2130" s="17">
        <f t="shared" si="2236"/>
        <v>2949</v>
      </c>
      <c r="BR2130" t="str">
        <f t="shared" si="2237"/>
        <v>event_team_player_1</v>
      </c>
      <c r="BS2130">
        <f>COUNTIFS(S$3:S2130,"="&amp;S2130,AI$3:AI2130,"="&amp;AI2130)</f>
        <v>1</v>
      </c>
      <c r="BT2130" t="str">
        <f>IFERROR(VLOOKUP(BB2130&amp;BU2130&amp;X2130,game_rosters!U:W,3,FALSE),"")</f>
        <v>P100197</v>
      </c>
      <c r="BU2130" t="str">
        <f t="shared" si="2238"/>
        <v>Nelson</v>
      </c>
    </row>
    <row r="2131" spans="1:73" x14ac:dyDescent="0.2">
      <c r="A2131">
        <f t="shared" si="2224"/>
        <v>1</v>
      </c>
      <c r="J2131" s="44" t="str">
        <f t="shared" si="2239"/>
        <v/>
      </c>
      <c r="K2131" t="s">
        <v>13</v>
      </c>
      <c r="L2131" t="s">
        <v>756</v>
      </c>
      <c r="M2131" t="s">
        <v>756</v>
      </c>
      <c r="S2131">
        <v>1126</v>
      </c>
      <c r="W2131" t="str">
        <f t="shared" si="2215"/>
        <v>a</v>
      </c>
      <c r="X2131">
        <v>84</v>
      </c>
      <c r="Y2131" t="e">
        <f>IF(X2131&lt;&gt;"",VLOOKUP(X2131,game_rosters!$C$43:$E$64,3,FALSE))</f>
        <v>#N/A</v>
      </c>
      <c r="Z2131" cm="1">
        <f t="array" ref="Z2131">IFERROR(IF(_xlfn._xlws.FILTER(game_rosters!$J:$J,(game_rosters!$G:$G=events!$AN2131)*(game_rosters!$J:$J=events!$X2131))&gt;0,1,""),"")</f>
        <v>1</v>
      </c>
      <c r="AA2131">
        <f t="shared" si="2173"/>
        <v>2126</v>
      </c>
      <c r="AB2131" t="str">
        <f t="shared" si="2174"/>
        <v/>
      </c>
      <c r="AC2131">
        <f t="shared" si="2212"/>
        <v>2126</v>
      </c>
      <c r="AD2131" s="6">
        <v>3</v>
      </c>
      <c r="AE2131" t="s">
        <v>937</v>
      </c>
      <c r="AF2131" t="s">
        <v>926</v>
      </c>
      <c r="AG2131" t="s">
        <v>937</v>
      </c>
      <c r="AH2131" t="s">
        <v>920</v>
      </c>
      <c r="AI2131" t="s">
        <v>367</v>
      </c>
      <c r="AJ2131" t="str">
        <f t="shared" ref="AJ2131:AK2131" si="2253">IF($J2131&lt;&gt;"",$J2131,IF($AC2131=$AC2130,AJ2130,""))</f>
        <v/>
      </c>
      <c r="AK2131" t="str">
        <f t="shared" si="2253"/>
        <v/>
      </c>
      <c r="AL2131" t="str">
        <f t="shared" si="2217"/>
        <v/>
      </c>
      <c r="AN2131" t="s">
        <v>862</v>
      </c>
      <c r="AO2131" t="str">
        <f t="shared" si="2218"/>
        <v>a</v>
      </c>
      <c r="AP2131" t="str">
        <f t="shared" si="2226"/>
        <v/>
      </c>
      <c r="AQ2131" t="str">
        <f t="shared" si="2227"/>
        <v/>
      </c>
      <c r="AR2131" t="str">
        <f t="shared" si="2228"/>
        <v>Away</v>
      </c>
      <c r="AS2131" t="str">
        <f t="shared" si="2229"/>
        <v>a</v>
      </c>
      <c r="AT2131" t="str">
        <f t="shared" si="2230"/>
        <v>Offensive</v>
      </c>
      <c r="BA2131" s="6">
        <f t="shared" si="2219"/>
        <v>482</v>
      </c>
      <c r="BB2131">
        <f t="shared" si="2220"/>
        <v>18981</v>
      </c>
      <c r="BC2131" t="str">
        <f t="shared" si="2221"/>
        <v>Nelson</v>
      </c>
      <c r="BD2131" t="str">
        <f t="shared" si="2222"/>
        <v>Velodrome</v>
      </c>
      <c r="BE2131" t="s">
        <v>13</v>
      </c>
      <c r="BF2131" t="s">
        <v>756</v>
      </c>
      <c r="BG2131" t="s">
        <v>756</v>
      </c>
      <c r="BI2131" cm="1">
        <f t="array" ref="BI2131">IFERROR(_xlfn._xlws.FILTER(shifts!A:A,(shifts!B:B=events!AD2131)*(shifts!AG:AG&gt;=events!BK2131)*(shifts!AH:AH&lt;=events!BL2131)),BI2130)</f>
        <v>92</v>
      </c>
      <c r="BJ2131" s="15">
        <f t="shared" si="2223"/>
        <v>4</v>
      </c>
      <c r="BK2131">
        <f t="shared" si="2231"/>
        <v>433</v>
      </c>
      <c r="BL2131">
        <f t="shared" si="2232"/>
        <v>429</v>
      </c>
      <c r="BM2131" s="15">
        <f>SUMIFS(BJ$2:BJ2131,K$2:K2131,"=Intermission")+SUMIFS(BJ$2:BJ2131,K$2:K2131,"=Timeout")</f>
        <v>142</v>
      </c>
      <c r="BN2131">
        <f t="shared" si="2233"/>
        <v>2302</v>
      </c>
      <c r="BO2131" s="19">
        <f t="shared" si="2234"/>
        <v>2949</v>
      </c>
      <c r="BP2131">
        <f t="shared" si="2235"/>
        <v>2944</v>
      </c>
      <c r="BQ2131" s="17">
        <f t="shared" si="2236"/>
        <v>2953</v>
      </c>
      <c r="BR2131" t="str">
        <f t="shared" si="2237"/>
        <v>event_team_player_1</v>
      </c>
      <c r="BS2131">
        <f>COUNTIFS(S$3:S2131,"="&amp;S2131,AI$3:AI2131,"="&amp;AI2131)</f>
        <v>1</v>
      </c>
      <c r="BT2131" t="str">
        <f>IFERROR(VLOOKUP(BB2131&amp;BU2131&amp;X2131,game_rosters!U:W,3,FALSE),"")</f>
        <v>P100198</v>
      </c>
      <c r="BU2131" t="str">
        <f t="shared" si="2238"/>
        <v>Velodrome</v>
      </c>
    </row>
    <row r="2132" spans="1:73" x14ac:dyDescent="0.2">
      <c r="A2132">
        <f t="shared" si="2224"/>
        <v>1</v>
      </c>
      <c r="J2132" s="44" t="str">
        <f t="shared" si="2239"/>
        <v>o</v>
      </c>
      <c r="K2132" t="s">
        <v>238</v>
      </c>
      <c r="L2132" t="s">
        <v>174</v>
      </c>
      <c r="M2132" t="s">
        <v>85</v>
      </c>
      <c r="S2132">
        <v>1127</v>
      </c>
      <c r="W2132" t="str">
        <f t="shared" si="2215"/>
        <v>a</v>
      </c>
      <c r="X2132">
        <v>84</v>
      </c>
      <c r="Y2132" t="e">
        <f>IF(X2132&lt;&gt;"",VLOOKUP(X2132,game_rosters!$C$43:$E$64,3,FALSE))</f>
        <v>#N/A</v>
      </c>
      <c r="Z2132" cm="1">
        <f t="array" ref="Z2132">IFERROR(IF(_xlfn._xlws.FILTER(game_rosters!$J:$J,(game_rosters!$G:$G=events!$AN2132)*(game_rosters!$J:$J=events!$X2132))&gt;0,1,""),"")</f>
        <v>1</v>
      </c>
      <c r="AA2132">
        <f t="shared" si="2173"/>
        <v>2127</v>
      </c>
      <c r="AB2132" t="str">
        <f t="shared" si="2174"/>
        <v/>
      </c>
      <c r="AC2132">
        <f t="shared" si="2212"/>
        <v>2127</v>
      </c>
      <c r="AD2132" s="6">
        <v>3</v>
      </c>
      <c r="AE2132" t="s">
        <v>937</v>
      </c>
      <c r="AF2132" t="s">
        <v>920</v>
      </c>
      <c r="AG2132" t="s">
        <v>937</v>
      </c>
      <c r="AH2132" t="s">
        <v>747</v>
      </c>
      <c r="AI2132" t="s">
        <v>368</v>
      </c>
      <c r="AJ2132" t="str">
        <f t="shared" ref="AJ2132:AK2132" si="2254">IF($J2132&lt;&gt;"",$J2132,IF($AC2132=$AC2131,AJ2131,""))</f>
        <v>o</v>
      </c>
      <c r="AK2132" t="str">
        <f t="shared" si="2254"/>
        <v>o</v>
      </c>
      <c r="AL2132" t="str">
        <f t="shared" si="2217"/>
        <v>d</v>
      </c>
      <c r="AN2132" t="s">
        <v>862</v>
      </c>
      <c r="AO2132" t="str">
        <f t="shared" si="2218"/>
        <v>a</v>
      </c>
      <c r="AP2132" t="str">
        <f t="shared" si="2226"/>
        <v>d</v>
      </c>
      <c r="AQ2132" t="str">
        <f t="shared" si="2227"/>
        <v/>
      </c>
      <c r="AR2132" t="str">
        <f t="shared" si="2228"/>
        <v>Away</v>
      </c>
      <c r="AS2132" t="str">
        <f t="shared" si="2229"/>
        <v>a</v>
      </c>
      <c r="AT2132" t="str">
        <f t="shared" si="2230"/>
        <v>Defensive</v>
      </c>
      <c r="BA2132" s="6">
        <f t="shared" si="2219"/>
        <v>483</v>
      </c>
      <c r="BB2132">
        <f t="shared" si="2220"/>
        <v>18981</v>
      </c>
      <c r="BC2132" t="str">
        <f t="shared" si="2221"/>
        <v>Nelson</v>
      </c>
      <c r="BD2132" t="str">
        <f t="shared" si="2222"/>
        <v>Velodrome</v>
      </c>
      <c r="BE2132" t="s">
        <v>238</v>
      </c>
      <c r="BF2132" t="s">
        <v>174</v>
      </c>
      <c r="BG2132" t="s">
        <v>85</v>
      </c>
      <c r="BI2132" cm="1">
        <f t="array" ref="BI2132">IFERROR(_xlfn._xlws.FILTER(shifts!A:A,(shifts!B:B=events!AD2132)*(shifts!AG:AG&gt;=events!BK2132)*(shifts!AH:AH&lt;=events!BL2132)),BI2131)</f>
        <v>92</v>
      </c>
      <c r="BJ2132" s="15">
        <f t="shared" si="2223"/>
        <v>2</v>
      </c>
      <c r="BK2132">
        <f t="shared" si="2231"/>
        <v>429</v>
      </c>
      <c r="BL2132">
        <f t="shared" si="2232"/>
        <v>427</v>
      </c>
      <c r="BM2132" s="15">
        <f>SUMIFS(BJ$2:BJ2132,K$2:K2132,"=Intermission")+SUMIFS(BJ$2:BJ2132,K$2:K2132,"=Timeout")</f>
        <v>142</v>
      </c>
      <c r="BN2132">
        <f t="shared" si="2233"/>
        <v>2302</v>
      </c>
      <c r="BO2132" s="19">
        <f t="shared" si="2234"/>
        <v>2953</v>
      </c>
      <c r="BP2132">
        <f t="shared" si="2235"/>
        <v>2948</v>
      </c>
      <c r="BQ2132" s="17">
        <f t="shared" si="2236"/>
        <v>2955</v>
      </c>
      <c r="BR2132" t="str">
        <f t="shared" si="2237"/>
        <v>opp_team_player_1</v>
      </c>
      <c r="BS2132">
        <f>COUNTIFS(S$3:S2132,"="&amp;S2132,AI$3:AI2132,"="&amp;AI2132)</f>
        <v>1</v>
      </c>
      <c r="BT2132" t="str">
        <f>IFERROR(VLOOKUP(BB2132&amp;BU2132&amp;X2132,game_rosters!U:W,3,FALSE),"")</f>
        <v>P100198</v>
      </c>
      <c r="BU2132" t="s">
        <v>521</v>
      </c>
    </row>
    <row r="2133" spans="1:73" x14ac:dyDescent="0.2">
      <c r="A2133">
        <f t="shared" si="2224"/>
        <v>1</v>
      </c>
      <c r="J2133" s="44" t="str">
        <f t="shared" si="2239"/>
        <v>o</v>
      </c>
      <c r="K2133" t="s">
        <v>238</v>
      </c>
      <c r="L2133" t="s">
        <v>174</v>
      </c>
      <c r="M2133" t="s">
        <v>85</v>
      </c>
      <c r="S2133">
        <v>1127</v>
      </c>
      <c r="W2133" t="str">
        <f t="shared" si="2215"/>
        <v>a</v>
      </c>
      <c r="X2133">
        <v>79</v>
      </c>
      <c r="Y2133" t="b">
        <f>IF(X2133&lt;&gt;"",VLOOKUP(X2133,game_rosters!$C$43:$E$64,3,FALSE))</f>
        <v>0</v>
      </c>
      <c r="Z2133" t="str" cm="1">
        <f t="array" ref="Z2133">IFERROR(IF(_xlfn._xlws.FILTER(game_rosters!$J:$J,(game_rosters!$G:$G=events!$AN2133)*(game_rosters!$J:$J=events!$X2133))&gt;0,1,""),"")</f>
        <v/>
      </c>
      <c r="AA2133">
        <f t="shared" si="2173"/>
        <v>2127</v>
      </c>
      <c r="AB2133" t="str">
        <f t="shared" si="2174"/>
        <v/>
      </c>
      <c r="AC2133">
        <f t="shared" si="2212"/>
        <v>2127</v>
      </c>
      <c r="AD2133" s="6">
        <v>3</v>
      </c>
      <c r="AE2133" t="s">
        <v>937</v>
      </c>
      <c r="AF2133" t="s">
        <v>920</v>
      </c>
      <c r="AG2133" t="s">
        <v>937</v>
      </c>
      <c r="AH2133" t="s">
        <v>747</v>
      </c>
      <c r="AI2133" t="s">
        <v>368</v>
      </c>
      <c r="AJ2133" t="str">
        <f t="shared" ref="AJ2133:AK2133" si="2255">IF($J2133&lt;&gt;"",$J2133,IF($AC2133=$AC2132,AJ2132,""))</f>
        <v>o</v>
      </c>
      <c r="AK2133" t="str">
        <f t="shared" si="2255"/>
        <v>o</v>
      </c>
      <c r="AL2133" t="str">
        <f t="shared" si="2217"/>
        <v>d</v>
      </c>
      <c r="AN2133" t="s">
        <v>862</v>
      </c>
      <c r="AO2133" t="str">
        <f t="shared" si="2218"/>
        <v>a</v>
      </c>
      <c r="AP2133" t="str">
        <f t="shared" si="2226"/>
        <v>d</v>
      </c>
      <c r="AQ2133" t="str">
        <f t="shared" si="2227"/>
        <v/>
      </c>
      <c r="AR2133" t="str">
        <f t="shared" si="2228"/>
        <v>Away</v>
      </c>
      <c r="AS2133" t="str">
        <f t="shared" si="2229"/>
        <v>a</v>
      </c>
      <c r="AT2133" t="str">
        <f t="shared" si="2230"/>
        <v>Defensive</v>
      </c>
      <c r="BA2133" s="6">
        <f t="shared" si="2219"/>
        <v>484</v>
      </c>
      <c r="BB2133">
        <f t="shared" si="2220"/>
        <v>18981</v>
      </c>
      <c r="BC2133" t="str">
        <f t="shared" si="2221"/>
        <v>Nelson</v>
      </c>
      <c r="BD2133" t="str">
        <f t="shared" si="2222"/>
        <v>Velodrome</v>
      </c>
      <c r="BE2133" t="s">
        <v>238</v>
      </c>
      <c r="BF2133" t="s">
        <v>174</v>
      </c>
      <c r="BG2133" t="s">
        <v>85</v>
      </c>
      <c r="BI2133" cm="1">
        <f t="array" ref="BI2133">IFERROR(_xlfn._xlws.FILTER(shifts!A:A,(shifts!B:B=events!AD2133)*(shifts!AG:AG&gt;=events!BK2133)*(shifts!AH:AH&lt;=events!BL2133)),BI2132)</f>
        <v>92</v>
      </c>
      <c r="BJ2133" s="15">
        <f t="shared" si="2223"/>
        <v>2</v>
      </c>
      <c r="BK2133">
        <f t="shared" si="2231"/>
        <v>429</v>
      </c>
      <c r="BL2133">
        <f t="shared" si="2232"/>
        <v>427</v>
      </c>
      <c r="BM2133" s="15">
        <f>SUMIFS(BJ$2:BJ2133,K$2:K2133,"=Intermission")+SUMIFS(BJ$2:BJ2133,K$2:K2133,"=Timeout")</f>
        <v>142</v>
      </c>
      <c r="BN2133">
        <f t="shared" si="2233"/>
        <v>2302</v>
      </c>
      <c r="BO2133" s="19">
        <f t="shared" si="2234"/>
        <v>2953</v>
      </c>
      <c r="BP2133">
        <f t="shared" si="2235"/>
        <v>2948</v>
      </c>
      <c r="BQ2133" s="17">
        <f t="shared" si="2236"/>
        <v>2955</v>
      </c>
      <c r="BR2133" t="str">
        <f t="shared" si="2237"/>
        <v>opp_team_player_2</v>
      </c>
      <c r="BS2133">
        <f>COUNTIFS(S$3:S2133,"="&amp;S2133,AI$3:AI2133,"="&amp;AI2133)</f>
        <v>2</v>
      </c>
      <c r="BT2133" t="str">
        <f>IFERROR(VLOOKUP(BB2133&amp;BU2133&amp;X2133,game_rosters!U:W,3,FALSE),"")</f>
        <v>P100066</v>
      </c>
      <c r="BU2133" t="str">
        <f t="shared" si="2238"/>
        <v>Nelson</v>
      </c>
    </row>
    <row r="2134" spans="1:73" x14ac:dyDescent="0.2">
      <c r="A2134">
        <f t="shared" si="2224"/>
        <v>1</v>
      </c>
      <c r="J2134" s="44" t="str">
        <f t="shared" si="2239"/>
        <v>o</v>
      </c>
      <c r="K2134" t="s">
        <v>238</v>
      </c>
      <c r="L2134" t="s">
        <v>174</v>
      </c>
      <c r="M2134" t="s">
        <v>85</v>
      </c>
      <c r="S2134">
        <v>1127</v>
      </c>
      <c r="W2134" t="str">
        <f t="shared" si="2215"/>
        <v>a</v>
      </c>
      <c r="X2134">
        <v>16</v>
      </c>
      <c r="Y2134" t="b">
        <f>IF(X2134&lt;&gt;"",VLOOKUP(X2134,game_rosters!$C$43:$E$64,3,FALSE))</f>
        <v>0</v>
      </c>
      <c r="Z2134" t="str" cm="1">
        <f t="array" ref="Z2134">IFERROR(IF(_xlfn._xlws.FILTER(game_rosters!$J:$J,(game_rosters!$G:$G=events!$AN2134)*(game_rosters!$J:$J=events!$X2134))&gt;0,1,""),"")</f>
        <v/>
      </c>
      <c r="AA2134">
        <f t="shared" si="2173"/>
        <v>2127</v>
      </c>
      <c r="AB2134" t="str">
        <f t="shared" si="2174"/>
        <v/>
      </c>
      <c r="AC2134">
        <f t="shared" si="2212"/>
        <v>2127</v>
      </c>
      <c r="AD2134" s="6">
        <v>3</v>
      </c>
      <c r="AE2134" t="s">
        <v>937</v>
      </c>
      <c r="AF2134" t="s">
        <v>920</v>
      </c>
      <c r="AG2134" t="s">
        <v>937</v>
      </c>
      <c r="AH2134" t="s">
        <v>747</v>
      </c>
      <c r="AI2134" t="s">
        <v>368</v>
      </c>
      <c r="AJ2134" t="str">
        <f t="shared" ref="AJ2134:AK2134" si="2256">IF($J2134&lt;&gt;"",$J2134,IF($AC2134=$AC2133,AJ2133,""))</f>
        <v>o</v>
      </c>
      <c r="AK2134" t="str">
        <f t="shared" si="2256"/>
        <v>o</v>
      </c>
      <c r="AL2134" t="str">
        <f t="shared" si="2217"/>
        <v>d</v>
      </c>
      <c r="AN2134" t="s">
        <v>862</v>
      </c>
      <c r="AO2134" t="str">
        <f t="shared" si="2218"/>
        <v>a</v>
      </c>
      <c r="AP2134" t="str">
        <f t="shared" si="2226"/>
        <v>d</v>
      </c>
      <c r="AQ2134" t="str">
        <f t="shared" si="2227"/>
        <v/>
      </c>
      <c r="AR2134" t="str">
        <f t="shared" si="2228"/>
        <v>Away</v>
      </c>
      <c r="AS2134" t="str">
        <f t="shared" si="2229"/>
        <v>a</v>
      </c>
      <c r="AT2134" t="str">
        <f t="shared" si="2230"/>
        <v>Defensive</v>
      </c>
      <c r="BA2134" s="6">
        <f t="shared" si="2219"/>
        <v>485</v>
      </c>
      <c r="BB2134">
        <f t="shared" si="2220"/>
        <v>18981</v>
      </c>
      <c r="BC2134" t="str">
        <f t="shared" si="2221"/>
        <v>Nelson</v>
      </c>
      <c r="BD2134" t="str">
        <f t="shared" si="2222"/>
        <v>Velodrome</v>
      </c>
      <c r="BE2134" t="s">
        <v>238</v>
      </c>
      <c r="BF2134" t="s">
        <v>174</v>
      </c>
      <c r="BG2134" t="s">
        <v>85</v>
      </c>
      <c r="BI2134" cm="1">
        <f t="array" ref="BI2134">IFERROR(_xlfn._xlws.FILTER(shifts!A:A,(shifts!B:B=events!AD2134)*(shifts!AG:AG&gt;=events!BK2134)*(shifts!AH:AH&lt;=events!BL2134)),BI2133)</f>
        <v>92</v>
      </c>
      <c r="BJ2134" s="15">
        <f t="shared" si="2223"/>
        <v>2</v>
      </c>
      <c r="BK2134">
        <f t="shared" si="2231"/>
        <v>429</v>
      </c>
      <c r="BL2134">
        <f t="shared" si="2232"/>
        <v>427</v>
      </c>
      <c r="BM2134" s="15">
        <f>SUMIFS(BJ$2:BJ2134,K$2:K2134,"=Intermission")+SUMIFS(BJ$2:BJ2134,K$2:K2134,"=Timeout")</f>
        <v>142</v>
      </c>
      <c r="BN2134">
        <f t="shared" si="2233"/>
        <v>2302</v>
      </c>
      <c r="BO2134" s="19">
        <f t="shared" si="2234"/>
        <v>2953</v>
      </c>
      <c r="BP2134">
        <f t="shared" si="2235"/>
        <v>2948</v>
      </c>
      <c r="BQ2134" s="17">
        <f t="shared" si="2236"/>
        <v>2955</v>
      </c>
      <c r="BR2134" t="str">
        <f t="shared" si="2237"/>
        <v>opp_team_player_3</v>
      </c>
      <c r="BS2134">
        <f>COUNTIFS(S$3:S2134,"="&amp;S2134,AI$3:AI2134,"="&amp;AI2134)</f>
        <v>3</v>
      </c>
      <c r="BT2134" t="str">
        <f>IFERROR(VLOOKUP(BB2134&amp;BU2134&amp;X2134,game_rosters!U:W,3,FALSE),"")</f>
        <v>P100164</v>
      </c>
      <c r="BU2134" t="str">
        <f t="shared" si="2238"/>
        <v>Nelson</v>
      </c>
    </row>
    <row r="2135" spans="1:73" x14ac:dyDescent="0.2">
      <c r="A2135">
        <f t="shared" si="2224"/>
        <v>1</v>
      </c>
      <c r="J2135" s="44" t="str">
        <f t="shared" si="2239"/>
        <v>o</v>
      </c>
      <c r="K2135" t="s">
        <v>238</v>
      </c>
      <c r="L2135" t="s">
        <v>174</v>
      </c>
      <c r="M2135" t="s">
        <v>85</v>
      </c>
      <c r="S2135">
        <v>1127</v>
      </c>
      <c r="W2135" t="str">
        <f t="shared" si="2215"/>
        <v>a</v>
      </c>
      <c r="X2135">
        <v>80</v>
      </c>
      <c r="Y2135" t="b">
        <f>IF(X2135&lt;&gt;"",VLOOKUP(X2135,game_rosters!$C$43:$E$64,3,FALSE))</f>
        <v>0</v>
      </c>
      <c r="Z2135" t="str" cm="1">
        <f t="array" ref="Z2135">IFERROR(IF(_xlfn._xlws.FILTER(game_rosters!$J:$J,(game_rosters!$G:$G=events!$AN2135)*(game_rosters!$J:$J=events!$X2135))&gt;0,1,""),"")</f>
        <v/>
      </c>
      <c r="AA2135">
        <f t="shared" si="2173"/>
        <v>2127</v>
      </c>
      <c r="AB2135" t="str">
        <f t="shared" si="2174"/>
        <v/>
      </c>
      <c r="AC2135">
        <f t="shared" si="2212"/>
        <v>2127</v>
      </c>
      <c r="AD2135" s="6">
        <v>3</v>
      </c>
      <c r="AE2135" t="s">
        <v>937</v>
      </c>
      <c r="AF2135" t="s">
        <v>920</v>
      </c>
      <c r="AG2135" t="s">
        <v>937</v>
      </c>
      <c r="AH2135" t="s">
        <v>747</v>
      </c>
      <c r="AI2135" t="s">
        <v>368</v>
      </c>
      <c r="AJ2135" t="str">
        <f t="shared" ref="AJ2135:AK2135" si="2257">IF($J2135&lt;&gt;"",$J2135,IF($AC2135=$AC2134,AJ2134,""))</f>
        <v>o</v>
      </c>
      <c r="AK2135" t="str">
        <f t="shared" si="2257"/>
        <v>o</v>
      </c>
      <c r="AL2135" t="str">
        <f t="shared" si="2217"/>
        <v>d</v>
      </c>
      <c r="AN2135" t="s">
        <v>862</v>
      </c>
      <c r="AO2135" t="str">
        <f t="shared" si="2218"/>
        <v>a</v>
      </c>
      <c r="AP2135" t="str">
        <f t="shared" si="2226"/>
        <v>d</v>
      </c>
      <c r="AQ2135" t="str">
        <f t="shared" si="2227"/>
        <v/>
      </c>
      <c r="AR2135" t="str">
        <f t="shared" si="2228"/>
        <v>Away</v>
      </c>
      <c r="AS2135" t="str">
        <f t="shared" si="2229"/>
        <v>a</v>
      </c>
      <c r="AT2135" t="str">
        <f t="shared" si="2230"/>
        <v>Defensive</v>
      </c>
      <c r="BA2135" s="6">
        <f t="shared" si="2219"/>
        <v>486</v>
      </c>
      <c r="BB2135">
        <f t="shared" si="2220"/>
        <v>18981</v>
      </c>
      <c r="BC2135" t="str">
        <f t="shared" si="2221"/>
        <v>Nelson</v>
      </c>
      <c r="BD2135" t="str">
        <f t="shared" si="2222"/>
        <v>Velodrome</v>
      </c>
      <c r="BE2135" t="s">
        <v>238</v>
      </c>
      <c r="BF2135" t="s">
        <v>174</v>
      </c>
      <c r="BG2135" t="s">
        <v>85</v>
      </c>
      <c r="BI2135" cm="1">
        <f t="array" ref="BI2135">IFERROR(_xlfn._xlws.FILTER(shifts!A:A,(shifts!B:B=events!AD2135)*(shifts!AG:AG&gt;=events!BK2135)*(shifts!AH:AH&lt;=events!BL2135)),BI2134)</f>
        <v>92</v>
      </c>
      <c r="BJ2135" s="15">
        <f t="shared" si="2223"/>
        <v>2</v>
      </c>
      <c r="BK2135">
        <f t="shared" si="2231"/>
        <v>429</v>
      </c>
      <c r="BL2135">
        <f t="shared" si="2232"/>
        <v>427</v>
      </c>
      <c r="BM2135" s="15">
        <f>SUMIFS(BJ$2:BJ2135,K$2:K2135,"=Intermission")+SUMIFS(BJ$2:BJ2135,K$2:K2135,"=Timeout")</f>
        <v>142</v>
      </c>
      <c r="BN2135">
        <f t="shared" si="2233"/>
        <v>2302</v>
      </c>
      <c r="BO2135" s="19">
        <f t="shared" si="2234"/>
        <v>2953</v>
      </c>
      <c r="BP2135">
        <f t="shared" si="2235"/>
        <v>2948</v>
      </c>
      <c r="BQ2135" s="17">
        <f t="shared" si="2236"/>
        <v>2955</v>
      </c>
      <c r="BR2135" t="str">
        <f t="shared" si="2237"/>
        <v>opp_team_player_4</v>
      </c>
      <c r="BS2135">
        <f>COUNTIFS(S$3:S2135,"="&amp;S2135,AI$3:AI2135,"="&amp;AI2135)</f>
        <v>4</v>
      </c>
      <c r="BT2135" t="str">
        <f>IFERROR(VLOOKUP(BB2135&amp;BU2135&amp;X2135,game_rosters!U:W,3,FALSE),"")</f>
        <v>P100197</v>
      </c>
      <c r="BU2135" t="str">
        <f t="shared" si="2238"/>
        <v>Nelson</v>
      </c>
    </row>
    <row r="2136" spans="1:73" x14ac:dyDescent="0.2">
      <c r="A2136">
        <f t="shared" si="2224"/>
        <v>1</v>
      </c>
      <c r="J2136" s="44" t="str">
        <f t="shared" si="2239"/>
        <v/>
      </c>
      <c r="K2136" t="s">
        <v>9</v>
      </c>
      <c r="L2136" t="s">
        <v>183</v>
      </c>
      <c r="M2136" t="s">
        <v>80</v>
      </c>
      <c r="S2136">
        <v>1128</v>
      </c>
      <c r="W2136" t="str">
        <f t="shared" si="2215"/>
        <v>h</v>
      </c>
      <c r="X2136">
        <v>80</v>
      </c>
      <c r="Y2136" t="b">
        <f>IF(X2136&lt;&gt;"",VLOOKUP(X2136,game_rosters!$C$43:$E$64,3,FALSE))</f>
        <v>0</v>
      </c>
      <c r="Z2136" cm="1">
        <f t="array" ref="Z2136">IFERROR(IF(_xlfn._xlws.FILTER(game_rosters!$J:$J,(game_rosters!$G:$G=events!$AN2136)*(game_rosters!$J:$J=events!$X2136))&gt;0,1,""),"")</f>
        <v>1</v>
      </c>
      <c r="AA2136">
        <f t="shared" si="2173"/>
        <v>2128</v>
      </c>
      <c r="AB2136" t="str">
        <f t="shared" si="2174"/>
        <v/>
      </c>
      <c r="AC2136">
        <f t="shared" si="2212"/>
        <v>2128</v>
      </c>
      <c r="AD2136" s="6">
        <v>3</v>
      </c>
      <c r="AE2136" t="s">
        <v>937</v>
      </c>
      <c r="AF2136" t="s">
        <v>911</v>
      </c>
      <c r="AG2136" t="s">
        <v>756</v>
      </c>
      <c r="AH2136" t="s">
        <v>756</v>
      </c>
      <c r="AI2136" t="s">
        <v>367</v>
      </c>
      <c r="AJ2136" t="str">
        <f t="shared" ref="AJ2136:AK2136" si="2258">IF($J2136&lt;&gt;"",$J2136,IF($AC2136=$AC2135,AJ2135,""))</f>
        <v/>
      </c>
      <c r="AK2136" t="str">
        <f t="shared" si="2258"/>
        <v/>
      </c>
      <c r="AL2136" t="str">
        <f t="shared" si="2217"/>
        <v/>
      </c>
      <c r="AN2136" t="s">
        <v>861</v>
      </c>
      <c r="AO2136" t="str">
        <f t="shared" si="2218"/>
        <v>h</v>
      </c>
      <c r="AP2136" t="str">
        <f t="shared" si="2226"/>
        <v/>
      </c>
      <c r="AQ2136" t="str">
        <f t="shared" si="2227"/>
        <v/>
      </c>
      <c r="AR2136" t="str">
        <f t="shared" si="2228"/>
        <v>Home</v>
      </c>
      <c r="AS2136" t="str">
        <f t="shared" si="2229"/>
        <v>h</v>
      </c>
      <c r="AT2136" t="str">
        <f t="shared" si="2230"/>
        <v>Defensive</v>
      </c>
      <c r="BA2136" s="6">
        <f t="shared" si="2219"/>
        <v>486</v>
      </c>
      <c r="BB2136">
        <f t="shared" si="2220"/>
        <v>18981</v>
      </c>
      <c r="BC2136" t="str">
        <f t="shared" si="2221"/>
        <v>Nelson</v>
      </c>
      <c r="BD2136" t="str">
        <f t="shared" si="2222"/>
        <v>Velodrome</v>
      </c>
      <c r="BE2136" t="s">
        <v>9</v>
      </c>
      <c r="BF2136" t="s">
        <v>183</v>
      </c>
      <c r="BG2136" t="s">
        <v>80</v>
      </c>
      <c r="BI2136" cm="1">
        <f t="array" ref="BI2136">IFERROR(_xlfn._xlws.FILTER(shifts!A:A,(shifts!B:B=events!AD2136)*(shifts!AG:AG&gt;=events!BK2136)*(shifts!AH:AH&lt;=events!BL2136)),BI2135)</f>
        <v>93</v>
      </c>
      <c r="BJ2136" s="15">
        <f t="shared" si="2223"/>
        <v>0</v>
      </c>
      <c r="BK2136">
        <f t="shared" si="2231"/>
        <v>426</v>
      </c>
      <c r="BL2136">
        <f t="shared" si="2232"/>
        <v>426</v>
      </c>
      <c r="BM2136" s="15">
        <f>SUMIFS(BJ$2:BJ2136,K$2:K2136,"=Intermission")+SUMIFS(BJ$2:BJ2136,K$2:K2136,"=Timeout")</f>
        <v>142</v>
      </c>
      <c r="BN2136">
        <f t="shared" si="2233"/>
        <v>2302</v>
      </c>
      <c r="BO2136" s="19">
        <f t="shared" si="2234"/>
        <v>2956</v>
      </c>
      <c r="BP2136">
        <f t="shared" si="2235"/>
        <v>2951</v>
      </c>
      <c r="BQ2136" s="17">
        <f t="shared" si="2236"/>
        <v>2956</v>
      </c>
      <c r="BR2136" t="str">
        <f t="shared" si="2237"/>
        <v>event_team_player_1</v>
      </c>
      <c r="BS2136">
        <f>COUNTIFS(S$3:S2136,"="&amp;S2136,AI$3:AI2136,"="&amp;AI2136)</f>
        <v>1</v>
      </c>
      <c r="BT2136" t="str">
        <f>IFERROR(VLOOKUP(BB2136&amp;BU2136&amp;X2136,game_rosters!U:W,3,FALSE),"")</f>
        <v>P100197</v>
      </c>
      <c r="BU2136" t="str">
        <f t="shared" si="2238"/>
        <v>Nelson</v>
      </c>
    </row>
    <row r="2137" spans="1:73" x14ac:dyDescent="0.2">
      <c r="A2137">
        <f t="shared" si="2224"/>
        <v>1</v>
      </c>
      <c r="J2137" s="44" t="str">
        <f t="shared" si="2239"/>
        <v/>
      </c>
      <c r="K2137" t="s">
        <v>9</v>
      </c>
      <c r="L2137" t="s">
        <v>183</v>
      </c>
      <c r="M2137" t="s">
        <v>80</v>
      </c>
      <c r="S2137">
        <v>1128</v>
      </c>
      <c r="W2137" t="str">
        <f t="shared" si="2215"/>
        <v>h</v>
      </c>
      <c r="X2137">
        <v>84</v>
      </c>
      <c r="Y2137" t="e">
        <f>IF(X2137&lt;&gt;"",VLOOKUP(X2137,game_rosters!$C$43:$E$64,3,FALSE))</f>
        <v>#N/A</v>
      </c>
      <c r="Z2137" t="str" cm="1">
        <f t="array" ref="Z2137">IFERROR(IF(_xlfn._xlws.FILTER(game_rosters!$J:$J,(game_rosters!$G:$G=events!$AN2137)*(game_rosters!$J:$J=events!$X2137))&gt;0,1,""),"")</f>
        <v/>
      </c>
      <c r="AA2137">
        <f t="shared" si="2173"/>
        <v>2128</v>
      </c>
      <c r="AB2137" t="str">
        <f t="shared" si="2174"/>
        <v/>
      </c>
      <c r="AC2137">
        <f t="shared" si="2212"/>
        <v>2128</v>
      </c>
      <c r="AD2137" s="6">
        <v>3</v>
      </c>
      <c r="AE2137" t="s">
        <v>937</v>
      </c>
      <c r="AF2137" t="s">
        <v>911</v>
      </c>
      <c r="AG2137" t="s">
        <v>756</v>
      </c>
      <c r="AH2137" t="s">
        <v>756</v>
      </c>
      <c r="AI2137" t="s">
        <v>368</v>
      </c>
      <c r="AJ2137" t="str">
        <f t="shared" ref="AJ2137:AK2137" si="2259">IF($J2137&lt;&gt;"",$J2137,IF($AC2137=$AC2136,AJ2136,""))</f>
        <v/>
      </c>
      <c r="AK2137" t="str">
        <f t="shared" si="2259"/>
        <v/>
      </c>
      <c r="AL2137" t="str">
        <f t="shared" si="2217"/>
        <v/>
      </c>
      <c r="AN2137" t="s">
        <v>861</v>
      </c>
      <c r="AO2137" t="str">
        <f t="shared" si="2218"/>
        <v>h</v>
      </c>
      <c r="AP2137" t="str">
        <f t="shared" si="2226"/>
        <v/>
      </c>
      <c r="AQ2137" t="str">
        <f t="shared" si="2227"/>
        <v/>
      </c>
      <c r="AR2137" t="str">
        <f t="shared" si="2228"/>
        <v>Home</v>
      </c>
      <c r="AS2137" t="str">
        <f t="shared" si="2229"/>
        <v>h</v>
      </c>
      <c r="AT2137" t="str">
        <f t="shared" si="2230"/>
        <v>Offensive</v>
      </c>
      <c r="BA2137" s="6">
        <f t="shared" si="2219"/>
        <v>486</v>
      </c>
      <c r="BB2137">
        <f t="shared" si="2220"/>
        <v>18981</v>
      </c>
      <c r="BC2137" t="str">
        <f t="shared" si="2221"/>
        <v>Nelson</v>
      </c>
      <c r="BD2137" t="str">
        <f t="shared" si="2222"/>
        <v>Velodrome</v>
      </c>
      <c r="BE2137" t="s">
        <v>9</v>
      </c>
      <c r="BF2137" t="s">
        <v>183</v>
      </c>
      <c r="BG2137" t="s">
        <v>80</v>
      </c>
      <c r="BI2137" cm="1">
        <f t="array" ref="BI2137">IFERROR(_xlfn._xlws.FILTER(shifts!A:A,(shifts!B:B=events!AD2137)*(shifts!AG:AG&gt;=events!BK2137)*(shifts!AH:AH&lt;=events!BL2137)),BI2136)</f>
        <v>93</v>
      </c>
      <c r="BJ2137" s="15">
        <f t="shared" si="2223"/>
        <v>0</v>
      </c>
      <c r="BK2137">
        <f t="shared" si="2231"/>
        <v>426</v>
      </c>
      <c r="BL2137">
        <f t="shared" si="2232"/>
        <v>426</v>
      </c>
      <c r="BM2137" s="15">
        <f>SUMIFS(BJ$2:BJ2137,K$2:K2137,"=Intermission")+SUMIFS(BJ$2:BJ2137,K$2:K2137,"=Timeout")</f>
        <v>142</v>
      </c>
      <c r="BN2137">
        <f t="shared" si="2233"/>
        <v>2302</v>
      </c>
      <c r="BO2137" s="19">
        <f t="shared" si="2234"/>
        <v>2956</v>
      </c>
      <c r="BP2137">
        <f t="shared" si="2235"/>
        <v>2951</v>
      </c>
      <c r="BQ2137" s="17">
        <f t="shared" si="2236"/>
        <v>2956</v>
      </c>
      <c r="BR2137" t="str">
        <f t="shared" si="2237"/>
        <v>opp_team_player_1</v>
      </c>
      <c r="BS2137">
        <f>COUNTIFS(S$3:S2137,"="&amp;S2137,AI$3:AI2137,"="&amp;AI2137)</f>
        <v>1</v>
      </c>
      <c r="BT2137" t="str">
        <f>IFERROR(VLOOKUP(BB2137&amp;BU2137&amp;X2137,game_rosters!U:W,3,FALSE),"")</f>
        <v>P100198</v>
      </c>
      <c r="BU2137" t="str">
        <f t="shared" si="2238"/>
        <v>Velodrome</v>
      </c>
    </row>
    <row r="2138" spans="1:73" x14ac:dyDescent="0.2">
      <c r="A2138">
        <f t="shared" si="2224"/>
        <v>1</v>
      </c>
      <c r="J2138" s="44" t="str">
        <f t="shared" si="2239"/>
        <v/>
      </c>
      <c r="K2138" t="s">
        <v>13</v>
      </c>
      <c r="L2138" t="s">
        <v>756</v>
      </c>
      <c r="M2138" t="s">
        <v>756</v>
      </c>
      <c r="S2138">
        <v>1129</v>
      </c>
      <c r="W2138" t="str">
        <f t="shared" si="2215"/>
        <v>h</v>
      </c>
      <c r="X2138">
        <v>80</v>
      </c>
      <c r="Y2138" t="b">
        <f>IF(X2138&lt;&gt;"",VLOOKUP(X2138,game_rosters!$C$43:$E$64,3,FALSE))</f>
        <v>0</v>
      </c>
      <c r="Z2138" cm="1">
        <f t="array" ref="Z2138">IFERROR(IF(_xlfn._xlws.FILTER(game_rosters!$J:$J,(game_rosters!$G:$G=events!$AN2138)*(game_rosters!$J:$J=events!$X2138))&gt;0,1,""),"")</f>
        <v>1</v>
      </c>
      <c r="AA2138">
        <f t="shared" si="2173"/>
        <v>2129</v>
      </c>
      <c r="AB2138" t="str">
        <f t="shared" si="2174"/>
        <v/>
      </c>
      <c r="AC2138">
        <f t="shared" si="2212"/>
        <v>2129</v>
      </c>
      <c r="AD2138" s="6">
        <v>3</v>
      </c>
      <c r="AE2138" t="s">
        <v>937</v>
      </c>
      <c r="AF2138" t="s">
        <v>912</v>
      </c>
      <c r="AG2138" t="s">
        <v>937</v>
      </c>
      <c r="AH2138" t="s">
        <v>925</v>
      </c>
      <c r="AI2138" t="s">
        <v>367</v>
      </c>
      <c r="AJ2138" t="str">
        <f t="shared" ref="AJ2138:AK2138" si="2260">IF($J2138&lt;&gt;"",$J2138,IF($AC2138=$AC2137,AJ2137,""))</f>
        <v/>
      </c>
      <c r="AK2138" t="str">
        <f t="shared" si="2260"/>
        <v/>
      </c>
      <c r="AL2138" t="str">
        <f t="shared" si="2217"/>
        <v/>
      </c>
      <c r="AN2138" t="s">
        <v>861</v>
      </c>
      <c r="AO2138" t="str">
        <f t="shared" si="2218"/>
        <v>h</v>
      </c>
      <c r="AP2138" t="str">
        <f t="shared" si="2226"/>
        <v/>
      </c>
      <c r="AQ2138" t="str">
        <f t="shared" si="2227"/>
        <v/>
      </c>
      <c r="AR2138" t="str">
        <f t="shared" si="2228"/>
        <v>Home</v>
      </c>
      <c r="AS2138" t="str">
        <f t="shared" si="2229"/>
        <v>h</v>
      </c>
      <c r="AT2138" t="str">
        <f t="shared" si="2230"/>
        <v>Offensive</v>
      </c>
      <c r="BA2138" s="6">
        <f t="shared" si="2219"/>
        <v>486</v>
      </c>
      <c r="BB2138">
        <f t="shared" si="2220"/>
        <v>18981</v>
      </c>
      <c r="BC2138" t="str">
        <f t="shared" si="2221"/>
        <v>Nelson</v>
      </c>
      <c r="BD2138" t="str">
        <f t="shared" si="2222"/>
        <v>Velodrome</v>
      </c>
      <c r="BE2138" t="s">
        <v>13</v>
      </c>
      <c r="BF2138" t="s">
        <v>756</v>
      </c>
      <c r="BG2138" t="s">
        <v>756</v>
      </c>
      <c r="BI2138" cm="1">
        <f t="array" ref="BI2138">IFERROR(_xlfn._xlws.FILTER(shifts!A:A,(shifts!B:B=events!AD2138)*(shifts!AG:AG&gt;=events!BK2138)*(shifts!AH:AH&lt;=events!BL2138)),BI2137)</f>
        <v>93</v>
      </c>
      <c r="BJ2138" s="15">
        <f t="shared" si="2223"/>
        <v>2</v>
      </c>
      <c r="BK2138">
        <f t="shared" si="2231"/>
        <v>425</v>
      </c>
      <c r="BL2138">
        <f t="shared" si="2232"/>
        <v>423</v>
      </c>
      <c r="BM2138" s="15">
        <f>SUMIFS(BJ$2:BJ2138,K$2:K2138,"=Intermission")+SUMIFS(BJ$2:BJ2138,K$2:K2138,"=Timeout")</f>
        <v>142</v>
      </c>
      <c r="BN2138">
        <f t="shared" si="2233"/>
        <v>2302</v>
      </c>
      <c r="BO2138" s="19">
        <f t="shared" si="2234"/>
        <v>2957</v>
      </c>
      <c r="BP2138">
        <f t="shared" si="2235"/>
        <v>2952</v>
      </c>
      <c r="BQ2138" s="17">
        <f t="shared" si="2236"/>
        <v>2959</v>
      </c>
      <c r="BR2138" t="str">
        <f t="shared" si="2237"/>
        <v>event_team_player_1</v>
      </c>
      <c r="BS2138">
        <f>COUNTIFS(S$3:S2138,"="&amp;S2138,AI$3:AI2138,"="&amp;AI2138)</f>
        <v>1</v>
      </c>
      <c r="BT2138" t="str">
        <f>IFERROR(VLOOKUP(BB2138&amp;BU2138&amp;X2138,game_rosters!U:W,3,FALSE),"")</f>
        <v>P100197</v>
      </c>
      <c r="BU2138" t="str">
        <f t="shared" si="2238"/>
        <v>Nelson</v>
      </c>
    </row>
    <row r="2139" spans="1:73" x14ac:dyDescent="0.2">
      <c r="A2139">
        <f t="shared" si="2224"/>
        <v>1</v>
      </c>
      <c r="J2139" s="44" t="str">
        <f t="shared" si="2239"/>
        <v/>
      </c>
      <c r="K2139" t="s">
        <v>230</v>
      </c>
      <c r="L2139" t="s">
        <v>389</v>
      </c>
      <c r="M2139" t="s">
        <v>448</v>
      </c>
      <c r="S2139">
        <v>1130</v>
      </c>
      <c r="W2139" t="str">
        <f t="shared" si="2215"/>
        <v>h</v>
      </c>
      <c r="X2139">
        <v>80</v>
      </c>
      <c r="Y2139" t="b">
        <f>IF(X2139&lt;&gt;"",VLOOKUP(X2139,game_rosters!$C$43:$E$64,3,FALSE))</f>
        <v>0</v>
      </c>
      <c r="Z2139" cm="1">
        <f t="array" ref="Z2139">IFERROR(IF(_xlfn._xlws.FILTER(game_rosters!$J:$J,(game_rosters!$G:$G=events!$AN2139)*(game_rosters!$J:$J=events!$X2139))&gt;0,1,""),"")</f>
        <v>1</v>
      </c>
      <c r="AA2139">
        <f t="shared" si="2173"/>
        <v>2130</v>
      </c>
      <c r="AB2139" t="str">
        <f t="shared" si="2174"/>
        <v/>
      </c>
      <c r="AC2139">
        <f t="shared" si="2212"/>
        <v>2130</v>
      </c>
      <c r="AD2139" s="6">
        <v>3</v>
      </c>
      <c r="AE2139" t="s">
        <v>937</v>
      </c>
      <c r="AF2139" t="s">
        <v>925</v>
      </c>
      <c r="AG2139" t="s">
        <v>756</v>
      </c>
      <c r="AH2139" t="s">
        <v>756</v>
      </c>
      <c r="AI2139" t="s">
        <v>367</v>
      </c>
      <c r="AJ2139" t="str">
        <f t="shared" ref="AJ2139:AK2139" si="2261">IF($J2139&lt;&gt;"",$J2139,IF($AC2139=$AC2138,AJ2138,""))</f>
        <v/>
      </c>
      <c r="AK2139" t="str">
        <f t="shared" si="2261"/>
        <v/>
      </c>
      <c r="AL2139" t="str">
        <f t="shared" si="2217"/>
        <v/>
      </c>
      <c r="AN2139" t="s">
        <v>861</v>
      </c>
      <c r="AO2139" t="str">
        <f t="shared" si="2218"/>
        <v>h</v>
      </c>
      <c r="AP2139" t="str">
        <f t="shared" si="2226"/>
        <v/>
      </c>
      <c r="AQ2139" t="str">
        <f t="shared" si="2227"/>
        <v/>
      </c>
      <c r="AR2139" t="str">
        <f t="shared" si="2228"/>
        <v>Home</v>
      </c>
      <c r="AS2139" t="str">
        <f t="shared" si="2229"/>
        <v>h</v>
      </c>
      <c r="AT2139" t="str">
        <f t="shared" si="2230"/>
        <v>Defensive</v>
      </c>
      <c r="BA2139" s="6">
        <f t="shared" si="2219"/>
        <v>486</v>
      </c>
      <c r="BB2139">
        <f t="shared" si="2220"/>
        <v>18981</v>
      </c>
      <c r="BC2139" t="str">
        <f t="shared" si="2221"/>
        <v>Nelson</v>
      </c>
      <c r="BD2139" t="str">
        <f t="shared" si="2222"/>
        <v>Velodrome</v>
      </c>
      <c r="BE2139" t="s">
        <v>230</v>
      </c>
      <c r="BF2139" t="s">
        <v>389</v>
      </c>
      <c r="BG2139" t="s">
        <v>448</v>
      </c>
      <c r="BI2139" cm="1">
        <f t="array" ref="BI2139">IFERROR(_xlfn._xlws.FILTER(shifts!A:A,(shifts!B:B=events!AD2139)*(shifts!AG:AG&gt;=events!BK2139)*(shifts!AH:AH&lt;=events!BL2139)),BI2138)</f>
        <v>93</v>
      </c>
      <c r="BJ2139" s="15">
        <f t="shared" si="2223"/>
        <v>0</v>
      </c>
      <c r="BK2139">
        <f t="shared" si="2231"/>
        <v>423</v>
      </c>
      <c r="BL2139">
        <f t="shared" si="2232"/>
        <v>423</v>
      </c>
      <c r="BM2139" s="15">
        <f>SUMIFS(BJ$2:BJ2139,K$2:K2139,"=Intermission")+SUMIFS(BJ$2:BJ2139,K$2:K2139,"=Timeout")</f>
        <v>142</v>
      </c>
      <c r="BN2139">
        <f t="shared" si="2233"/>
        <v>2302</v>
      </c>
      <c r="BO2139" s="19">
        <f t="shared" si="2234"/>
        <v>2959</v>
      </c>
      <c r="BP2139">
        <f t="shared" si="2235"/>
        <v>2954</v>
      </c>
      <c r="BQ2139" s="17">
        <f t="shared" si="2236"/>
        <v>2959</v>
      </c>
      <c r="BR2139" t="str">
        <f t="shared" si="2237"/>
        <v>event_team_player_1</v>
      </c>
      <c r="BS2139">
        <f>COUNTIFS(S$3:S2139,"="&amp;S2139,AI$3:AI2139,"="&amp;AI2139)</f>
        <v>1</v>
      </c>
      <c r="BT2139" t="str">
        <f>IFERROR(VLOOKUP(BB2139&amp;BU2139&amp;X2139,game_rosters!U:W,3,FALSE),"")</f>
        <v>P100197</v>
      </c>
      <c r="BU2139" t="str">
        <f t="shared" si="2238"/>
        <v>Nelson</v>
      </c>
    </row>
    <row r="2140" spans="1:73" x14ac:dyDescent="0.2">
      <c r="A2140">
        <f t="shared" si="2224"/>
        <v>1</v>
      </c>
      <c r="J2140" s="44" t="str">
        <f t="shared" si="2239"/>
        <v/>
      </c>
      <c r="K2140" t="s">
        <v>9</v>
      </c>
      <c r="L2140" t="s">
        <v>173</v>
      </c>
      <c r="M2140" t="s">
        <v>365</v>
      </c>
      <c r="S2140">
        <v>1131</v>
      </c>
      <c r="W2140" t="str">
        <f t="shared" si="2215"/>
        <v>h</v>
      </c>
      <c r="X2140">
        <v>80</v>
      </c>
      <c r="Y2140" t="b">
        <f>IF(X2140&lt;&gt;"",VLOOKUP(X2140,game_rosters!$C$43:$E$64,3,FALSE))</f>
        <v>0</v>
      </c>
      <c r="Z2140" cm="1">
        <f t="array" ref="Z2140">IFERROR(IF(_xlfn._xlws.FILTER(game_rosters!$J:$J,(game_rosters!$G:$G=events!$AN2140)*(game_rosters!$J:$J=events!$X2140))&gt;0,1,""),"")</f>
        <v>1</v>
      </c>
      <c r="AA2140">
        <f t="shared" si="2173"/>
        <v>2131</v>
      </c>
      <c r="AB2140" t="str">
        <f t="shared" si="2174"/>
        <v/>
      </c>
      <c r="AC2140">
        <f t="shared" si="2212"/>
        <v>2131</v>
      </c>
      <c r="AD2140" s="6">
        <v>3</v>
      </c>
      <c r="AE2140" t="s">
        <v>938</v>
      </c>
      <c r="AF2140" t="s">
        <v>927</v>
      </c>
      <c r="AG2140" t="s">
        <v>756</v>
      </c>
      <c r="AH2140" t="s">
        <v>756</v>
      </c>
      <c r="AI2140" t="s">
        <v>367</v>
      </c>
      <c r="AJ2140" t="str">
        <f t="shared" ref="AJ2140:AK2140" si="2262">IF($J2140&lt;&gt;"",$J2140,IF($AC2140=$AC2139,AJ2139,""))</f>
        <v/>
      </c>
      <c r="AK2140" t="str">
        <f t="shared" si="2262"/>
        <v/>
      </c>
      <c r="AL2140" t="str">
        <f t="shared" si="2217"/>
        <v/>
      </c>
      <c r="AN2140" t="s">
        <v>861</v>
      </c>
      <c r="AO2140" t="str">
        <f t="shared" si="2218"/>
        <v>h</v>
      </c>
      <c r="AP2140" t="str">
        <f t="shared" si="2226"/>
        <v/>
      </c>
      <c r="AQ2140" t="str">
        <f t="shared" si="2227"/>
        <v/>
      </c>
      <c r="AR2140" t="str">
        <f t="shared" si="2228"/>
        <v>Home</v>
      </c>
      <c r="AS2140" t="str">
        <f t="shared" si="2229"/>
        <v>h</v>
      </c>
      <c r="AT2140" t="str">
        <f t="shared" si="2230"/>
        <v>Offensive</v>
      </c>
      <c r="BA2140" s="6">
        <f t="shared" si="2219"/>
        <v>486</v>
      </c>
      <c r="BB2140">
        <f t="shared" si="2220"/>
        <v>18981</v>
      </c>
      <c r="BC2140" t="str">
        <f t="shared" si="2221"/>
        <v>Nelson</v>
      </c>
      <c r="BD2140" t="str">
        <f t="shared" si="2222"/>
        <v>Velodrome</v>
      </c>
      <c r="BE2140" t="s">
        <v>9</v>
      </c>
      <c r="BF2140" t="s">
        <v>173</v>
      </c>
      <c r="BG2140" t="s">
        <v>365</v>
      </c>
      <c r="BI2140" cm="1">
        <f t="array" ref="BI2140">IFERROR(_xlfn._xlws.FILTER(shifts!A:A,(shifts!B:B=events!AD2140)*(shifts!AG:AG&gt;=events!BK2140)*(shifts!AH:AH&lt;=events!BL2140)),BI2139)</f>
        <v>93</v>
      </c>
      <c r="BJ2140" s="15">
        <f t="shared" si="2223"/>
        <v>0</v>
      </c>
      <c r="BK2140">
        <f t="shared" si="2231"/>
        <v>417</v>
      </c>
      <c r="BL2140">
        <f t="shared" si="2232"/>
        <v>417</v>
      </c>
      <c r="BM2140" s="15">
        <f>SUMIFS(BJ$2:BJ2140,K$2:K2140,"=Intermission")+SUMIFS(BJ$2:BJ2140,K$2:K2140,"=Timeout")</f>
        <v>142</v>
      </c>
      <c r="BN2140">
        <f t="shared" si="2233"/>
        <v>2302</v>
      </c>
      <c r="BO2140" s="19">
        <f t="shared" si="2234"/>
        <v>2965</v>
      </c>
      <c r="BP2140">
        <f t="shared" si="2235"/>
        <v>2960</v>
      </c>
      <c r="BQ2140" s="17">
        <f t="shared" si="2236"/>
        <v>2965</v>
      </c>
      <c r="BR2140" t="str">
        <f t="shared" si="2237"/>
        <v>event_team_player_1</v>
      </c>
      <c r="BS2140">
        <f>COUNTIFS(S$3:S2140,"="&amp;S2140,AI$3:AI2140,"="&amp;AI2140)</f>
        <v>1</v>
      </c>
      <c r="BT2140" t="str">
        <f>IFERROR(VLOOKUP(BB2140&amp;BU2140&amp;X2140,game_rosters!U:W,3,FALSE),"")</f>
        <v>P100197</v>
      </c>
      <c r="BU2140" t="str">
        <f t="shared" si="2238"/>
        <v>Nelson</v>
      </c>
    </row>
    <row r="2141" spans="1:73" x14ac:dyDescent="0.2">
      <c r="A2141">
        <f t="shared" si="2224"/>
        <v>1</v>
      </c>
      <c r="J2141" s="44" t="str">
        <f t="shared" si="2239"/>
        <v/>
      </c>
      <c r="K2141" t="s">
        <v>238</v>
      </c>
      <c r="L2141" t="s">
        <v>193</v>
      </c>
      <c r="M2141" t="s">
        <v>91</v>
      </c>
      <c r="S2141">
        <v>1132</v>
      </c>
      <c r="W2141" t="str">
        <f t="shared" si="2215"/>
        <v>a</v>
      </c>
      <c r="X2141">
        <v>9</v>
      </c>
      <c r="Y2141" t="e">
        <f>IF(X2141&lt;&gt;"",VLOOKUP(X2141,game_rosters!$C$43:$E$64,3,FALSE))</f>
        <v>#N/A</v>
      </c>
      <c r="Z2141" cm="1">
        <f t="array" ref="Z2141">IFERROR(IF(_xlfn._xlws.FILTER(game_rosters!$J:$J,(game_rosters!$G:$G=events!$AN2141)*(game_rosters!$J:$J=events!$X2141))&gt;0,1,""),"")</f>
        <v>1</v>
      </c>
      <c r="AA2141">
        <f t="shared" ref="AA2141:AA2204" si="2263">S2141+1000</f>
        <v>2132</v>
      </c>
      <c r="AB2141" t="str">
        <f t="shared" ref="AB2141:AB2204" si="2264">IF(T2141&lt;&gt;"",9000+T2141,"")</f>
        <v/>
      </c>
      <c r="AC2141">
        <f t="shared" si="2212"/>
        <v>2132</v>
      </c>
      <c r="AD2141" s="6">
        <v>3</v>
      </c>
      <c r="AE2141" t="s">
        <v>938</v>
      </c>
      <c r="AF2141" t="s">
        <v>927</v>
      </c>
      <c r="AG2141" t="s">
        <v>756</v>
      </c>
      <c r="AH2141" t="s">
        <v>756</v>
      </c>
      <c r="AI2141" t="s">
        <v>367</v>
      </c>
      <c r="AJ2141" t="str">
        <f t="shared" ref="AJ2141:AK2141" si="2265">IF($J2141&lt;&gt;"",$J2141,IF($AC2141=$AC2140,AJ2140,""))</f>
        <v/>
      </c>
      <c r="AK2141" t="str">
        <f t="shared" si="2265"/>
        <v/>
      </c>
      <c r="AL2141" t="str">
        <f t="shared" si="2217"/>
        <v/>
      </c>
      <c r="AN2141" t="s">
        <v>862</v>
      </c>
      <c r="AO2141" t="str">
        <f t="shared" si="2218"/>
        <v>a</v>
      </c>
      <c r="AP2141" t="str">
        <f t="shared" si="2226"/>
        <v/>
      </c>
      <c r="AQ2141" t="str">
        <f t="shared" si="2227"/>
        <v/>
      </c>
      <c r="AR2141" t="str">
        <f t="shared" si="2228"/>
        <v>Away</v>
      </c>
      <c r="AS2141" t="str">
        <f t="shared" si="2229"/>
        <v>a</v>
      </c>
      <c r="AT2141" t="str">
        <f t="shared" si="2230"/>
        <v>Offensive</v>
      </c>
      <c r="BA2141" s="6">
        <f t="shared" si="2219"/>
        <v>486</v>
      </c>
      <c r="BB2141">
        <f t="shared" si="2220"/>
        <v>18981</v>
      </c>
      <c r="BC2141" t="str">
        <f t="shared" si="2221"/>
        <v>Nelson</v>
      </c>
      <c r="BD2141" t="str">
        <f t="shared" si="2222"/>
        <v>Velodrome</v>
      </c>
      <c r="BE2141" t="s">
        <v>238</v>
      </c>
      <c r="BF2141" t="s">
        <v>193</v>
      </c>
      <c r="BG2141" t="s">
        <v>91</v>
      </c>
      <c r="BI2141" cm="1">
        <f t="array" ref="BI2141">IFERROR(_xlfn._xlws.FILTER(shifts!A:A,(shifts!B:B=events!AD2141)*(shifts!AG:AG&gt;=events!BK2141)*(shifts!AH:AH&lt;=events!BL2141)),BI2140)</f>
        <v>93</v>
      </c>
      <c r="BJ2141" s="15">
        <f t="shared" si="2223"/>
        <v>0</v>
      </c>
      <c r="BK2141">
        <f t="shared" si="2231"/>
        <v>417</v>
      </c>
      <c r="BL2141">
        <f t="shared" si="2232"/>
        <v>417</v>
      </c>
      <c r="BM2141" s="15">
        <f>SUMIFS(BJ$2:BJ2141,K$2:K2141,"=Intermission")+SUMIFS(BJ$2:BJ2141,K$2:K2141,"=Timeout")</f>
        <v>142</v>
      </c>
      <c r="BN2141">
        <f t="shared" si="2233"/>
        <v>2302</v>
      </c>
      <c r="BO2141" s="19">
        <f t="shared" si="2234"/>
        <v>2965</v>
      </c>
      <c r="BP2141">
        <f t="shared" si="2235"/>
        <v>2960</v>
      </c>
      <c r="BQ2141" s="17">
        <f t="shared" si="2236"/>
        <v>2965</v>
      </c>
      <c r="BR2141" t="str">
        <f t="shared" si="2237"/>
        <v>event_team_player_1</v>
      </c>
      <c r="BS2141">
        <f>COUNTIFS(S$3:S2141,"="&amp;S2141,AI$3:AI2141,"="&amp;AI2141)</f>
        <v>1</v>
      </c>
      <c r="BT2141" t="str">
        <f>IFERROR(VLOOKUP(BB2141&amp;BU2141&amp;X2141,game_rosters!U:W,3,FALSE),"")</f>
        <v>P100105</v>
      </c>
      <c r="BU2141" t="str">
        <f t="shared" si="2238"/>
        <v>Velodrome</v>
      </c>
    </row>
    <row r="2142" spans="1:73" x14ac:dyDescent="0.2">
      <c r="A2142">
        <f t="shared" si="2224"/>
        <v>1</v>
      </c>
      <c r="J2142" s="44" t="str">
        <f t="shared" si="2239"/>
        <v>o</v>
      </c>
      <c r="K2142" t="s">
        <v>6</v>
      </c>
      <c r="L2142" t="s">
        <v>205</v>
      </c>
      <c r="M2142" t="s">
        <v>51</v>
      </c>
      <c r="S2142">
        <v>1133</v>
      </c>
      <c r="W2142" t="str">
        <f t="shared" si="2215"/>
        <v>a</v>
      </c>
      <c r="X2142">
        <v>9</v>
      </c>
      <c r="Y2142" t="e">
        <f>IF(X2142&lt;&gt;"",VLOOKUP(X2142,game_rosters!$C$43:$E$64,3,FALSE))</f>
        <v>#N/A</v>
      </c>
      <c r="Z2142" cm="1">
        <f t="array" ref="Z2142">IFERROR(IF(_xlfn._xlws.FILTER(game_rosters!$J:$J,(game_rosters!$G:$G=events!$AN2142)*(game_rosters!$J:$J=events!$X2142))&gt;0,1,""),"")</f>
        <v>1</v>
      </c>
      <c r="AA2142">
        <f t="shared" si="2263"/>
        <v>2133</v>
      </c>
      <c r="AB2142" t="str">
        <f t="shared" si="2264"/>
        <v/>
      </c>
      <c r="AC2142">
        <f t="shared" si="2212"/>
        <v>2133</v>
      </c>
      <c r="AD2142" s="6">
        <v>3</v>
      </c>
      <c r="AE2142" t="s">
        <v>938</v>
      </c>
      <c r="AF2142" t="s">
        <v>733</v>
      </c>
      <c r="AG2142" t="s">
        <v>756</v>
      </c>
      <c r="AH2142" t="s">
        <v>756</v>
      </c>
      <c r="AI2142" t="s">
        <v>367</v>
      </c>
      <c r="AJ2142" t="str">
        <f t="shared" ref="AJ2142:AK2142" si="2266">IF($J2142&lt;&gt;"",$J2142,IF($AC2142=$AC2141,AJ2141,""))</f>
        <v>o</v>
      </c>
      <c r="AK2142" t="str">
        <f t="shared" si="2266"/>
        <v>o</v>
      </c>
      <c r="AL2142" t="str">
        <f t="shared" si="2217"/>
        <v>d</v>
      </c>
      <c r="AN2142" t="s">
        <v>862</v>
      </c>
      <c r="AO2142" t="str">
        <f t="shared" si="2218"/>
        <v>a</v>
      </c>
      <c r="AP2142" t="str">
        <f t="shared" si="2226"/>
        <v>d</v>
      </c>
      <c r="AQ2142" t="str">
        <f t="shared" si="2227"/>
        <v/>
      </c>
      <c r="AR2142" t="str">
        <f t="shared" si="2228"/>
        <v>Away</v>
      </c>
      <c r="AS2142" t="str">
        <f t="shared" si="2229"/>
        <v>a</v>
      </c>
      <c r="AT2142" t="str">
        <f t="shared" si="2230"/>
        <v>Offensive</v>
      </c>
      <c r="BA2142" s="6">
        <f t="shared" si="2219"/>
        <v>486</v>
      </c>
      <c r="BB2142">
        <f t="shared" si="2220"/>
        <v>18981</v>
      </c>
      <c r="BC2142" t="str">
        <f t="shared" si="2221"/>
        <v>Nelson</v>
      </c>
      <c r="BD2142" t="str">
        <f t="shared" si="2222"/>
        <v>Velodrome</v>
      </c>
      <c r="BE2142" t="s">
        <v>6</v>
      </c>
      <c r="BF2142" t="s">
        <v>205</v>
      </c>
      <c r="BG2142" t="s">
        <v>51</v>
      </c>
      <c r="BI2142" cm="1">
        <f t="array" ref="BI2142">IFERROR(_xlfn._xlws.FILTER(shifts!A:A,(shifts!B:B=events!AD2142)*(shifts!AG:AG&gt;=events!BK2142)*(shifts!AH:AH&lt;=events!BL2142)),BI2141)</f>
        <v>93</v>
      </c>
      <c r="BJ2142" s="15">
        <f t="shared" si="2223"/>
        <v>0</v>
      </c>
      <c r="BK2142">
        <f t="shared" si="2231"/>
        <v>416</v>
      </c>
      <c r="BL2142">
        <f t="shared" si="2232"/>
        <v>416</v>
      </c>
      <c r="BM2142" s="15">
        <f>SUMIFS(BJ$2:BJ2142,K$2:K2142,"=Intermission")+SUMIFS(BJ$2:BJ2142,K$2:K2142,"=Timeout")</f>
        <v>142</v>
      </c>
      <c r="BN2142">
        <f t="shared" si="2233"/>
        <v>2302</v>
      </c>
      <c r="BO2142" s="19">
        <f t="shared" si="2234"/>
        <v>2966</v>
      </c>
      <c r="BP2142">
        <f t="shared" si="2235"/>
        <v>2961</v>
      </c>
      <c r="BQ2142" s="17">
        <f t="shared" si="2236"/>
        <v>2966</v>
      </c>
      <c r="BR2142" t="str">
        <f t="shared" si="2237"/>
        <v>event_team_player_1</v>
      </c>
      <c r="BS2142">
        <f>COUNTIFS(S$3:S2142,"="&amp;S2142,AI$3:AI2142,"="&amp;AI2142)</f>
        <v>1</v>
      </c>
      <c r="BT2142" t="str">
        <f>IFERROR(VLOOKUP(BB2142&amp;BU2142&amp;X2142,game_rosters!U:W,3,FALSE),"")</f>
        <v>P100105</v>
      </c>
      <c r="BU2142" t="str">
        <f t="shared" si="2238"/>
        <v>Velodrome</v>
      </c>
    </row>
    <row r="2143" spans="1:73" x14ac:dyDescent="0.2">
      <c r="A2143">
        <f t="shared" si="2224"/>
        <v>1</v>
      </c>
      <c r="J2143" s="44" t="str">
        <f t="shared" si="2239"/>
        <v>o</v>
      </c>
      <c r="K2143" t="s">
        <v>6</v>
      </c>
      <c r="L2143" t="s">
        <v>205</v>
      </c>
      <c r="M2143" t="s">
        <v>51</v>
      </c>
      <c r="S2143">
        <v>1133</v>
      </c>
      <c r="W2143" t="str">
        <f t="shared" si="2215"/>
        <v>a</v>
      </c>
      <c r="X2143">
        <v>31</v>
      </c>
      <c r="Y2143" t="b">
        <f>IF(X2143&lt;&gt;"",VLOOKUP(X2143,game_rosters!$C$43:$E$64,3,FALSE))</f>
        <v>0</v>
      </c>
      <c r="Z2143" t="str" cm="1">
        <f t="array" ref="Z2143">IFERROR(IF(_xlfn._xlws.FILTER(game_rosters!$J:$J,(game_rosters!$G:$G=events!$AN2143)*(game_rosters!$J:$J=events!$X2143))&gt;0,1,""),"")</f>
        <v/>
      </c>
      <c r="AA2143">
        <f t="shared" si="2263"/>
        <v>2133</v>
      </c>
      <c r="AB2143" t="str">
        <f t="shared" si="2264"/>
        <v/>
      </c>
      <c r="AC2143">
        <f t="shared" si="2212"/>
        <v>2133</v>
      </c>
      <c r="AD2143" s="6">
        <v>3</v>
      </c>
      <c r="AE2143" t="s">
        <v>938</v>
      </c>
      <c r="AF2143" t="s">
        <v>733</v>
      </c>
      <c r="AG2143" t="s">
        <v>756</v>
      </c>
      <c r="AH2143" t="s">
        <v>756</v>
      </c>
      <c r="AI2143" t="s">
        <v>368</v>
      </c>
      <c r="AJ2143" t="str">
        <f t="shared" ref="AJ2143:AK2143" si="2267">IF($J2143&lt;&gt;"",$J2143,IF($AC2143=$AC2142,AJ2142,""))</f>
        <v>o</v>
      </c>
      <c r="AK2143" t="str">
        <f t="shared" si="2267"/>
        <v>o</v>
      </c>
      <c r="AL2143" t="str">
        <f t="shared" si="2217"/>
        <v>d</v>
      </c>
      <c r="AN2143" t="s">
        <v>862</v>
      </c>
      <c r="AO2143" t="str">
        <f t="shared" si="2218"/>
        <v>a</v>
      </c>
      <c r="AP2143" t="str">
        <f t="shared" si="2226"/>
        <v>d</v>
      </c>
      <c r="AQ2143" t="str">
        <f t="shared" si="2227"/>
        <v/>
      </c>
      <c r="AR2143" t="str">
        <f t="shared" si="2228"/>
        <v>Away</v>
      </c>
      <c r="AS2143" t="str">
        <f t="shared" si="2229"/>
        <v>a</v>
      </c>
      <c r="AT2143" t="str">
        <f t="shared" si="2230"/>
        <v>Defensive</v>
      </c>
      <c r="BA2143" s="6">
        <f t="shared" si="2219"/>
        <v>486</v>
      </c>
      <c r="BB2143">
        <f t="shared" si="2220"/>
        <v>18981</v>
      </c>
      <c r="BC2143" t="str">
        <f t="shared" si="2221"/>
        <v>Nelson</v>
      </c>
      <c r="BD2143" t="str">
        <f t="shared" si="2222"/>
        <v>Velodrome</v>
      </c>
      <c r="BE2143" t="s">
        <v>6</v>
      </c>
      <c r="BF2143" t="s">
        <v>205</v>
      </c>
      <c r="BG2143" t="s">
        <v>51</v>
      </c>
      <c r="BI2143" cm="1">
        <f t="array" ref="BI2143">IFERROR(_xlfn._xlws.FILTER(shifts!A:A,(shifts!B:B=events!AD2143)*(shifts!AG:AG&gt;=events!BK2143)*(shifts!AH:AH&lt;=events!BL2143)),BI2142)</f>
        <v>93</v>
      </c>
      <c r="BJ2143" s="15">
        <f t="shared" si="2223"/>
        <v>0</v>
      </c>
      <c r="BK2143">
        <f t="shared" si="2231"/>
        <v>416</v>
      </c>
      <c r="BL2143">
        <f t="shared" si="2232"/>
        <v>416</v>
      </c>
      <c r="BM2143" s="15">
        <f>SUMIFS(BJ$2:BJ2143,K$2:K2143,"=Intermission")+SUMIFS(BJ$2:BJ2143,K$2:K2143,"=Timeout")</f>
        <v>142</v>
      </c>
      <c r="BN2143">
        <f t="shared" si="2233"/>
        <v>2302</v>
      </c>
      <c r="BO2143" s="19">
        <f t="shared" si="2234"/>
        <v>2966</v>
      </c>
      <c r="BP2143">
        <f t="shared" si="2235"/>
        <v>2961</v>
      </c>
      <c r="BQ2143" s="17">
        <f t="shared" si="2236"/>
        <v>2966</v>
      </c>
      <c r="BR2143" t="str">
        <f t="shared" si="2237"/>
        <v>opp_team_player_1</v>
      </c>
      <c r="BS2143">
        <f>COUNTIFS(S$3:S2143,"="&amp;S2143,AI$3:AI2143,"="&amp;AI2143)</f>
        <v>1</v>
      </c>
      <c r="BT2143" t="str">
        <f>IFERROR(VLOOKUP(BB2143&amp;BU2143&amp;X2143,game_rosters!U:W,3,FALSE),"")</f>
        <v>P100138</v>
      </c>
      <c r="BU2143" t="str">
        <f t="shared" si="2238"/>
        <v>Nelson</v>
      </c>
    </row>
    <row r="2144" spans="1:73" x14ac:dyDescent="0.2">
      <c r="A2144">
        <f t="shared" si="2224"/>
        <v>1</v>
      </c>
      <c r="J2144" s="44" t="str">
        <f t="shared" si="2239"/>
        <v>d</v>
      </c>
      <c r="K2144" t="s">
        <v>15</v>
      </c>
      <c r="L2144" t="s">
        <v>179</v>
      </c>
      <c r="M2144" t="s">
        <v>101</v>
      </c>
      <c r="S2144">
        <v>1134</v>
      </c>
      <c r="W2144" t="str">
        <f t="shared" si="2215"/>
        <v>h</v>
      </c>
      <c r="X2144">
        <v>31</v>
      </c>
      <c r="Y2144" t="b">
        <f>IF(X2144&lt;&gt;"",VLOOKUP(X2144,game_rosters!$C$43:$E$64,3,FALSE))</f>
        <v>0</v>
      </c>
      <c r="Z2144" cm="1">
        <f t="array" ref="Z2144">IFERROR(IF(_xlfn._xlws.FILTER(game_rosters!$J:$J,(game_rosters!$G:$G=events!$AN2144)*(game_rosters!$J:$J=events!$X2144))&gt;0,1,""),"")</f>
        <v>1</v>
      </c>
      <c r="AA2144">
        <f t="shared" si="2263"/>
        <v>2134</v>
      </c>
      <c r="AB2144" t="str">
        <f t="shared" si="2264"/>
        <v/>
      </c>
      <c r="AC2144">
        <f t="shared" si="2212"/>
        <v>2134</v>
      </c>
      <c r="AD2144" s="6">
        <v>3</v>
      </c>
      <c r="AE2144" t="s">
        <v>938</v>
      </c>
      <c r="AF2144" t="s">
        <v>733</v>
      </c>
      <c r="AG2144" t="s">
        <v>756</v>
      </c>
      <c r="AH2144" t="s">
        <v>756</v>
      </c>
      <c r="AI2144" t="s">
        <v>367</v>
      </c>
      <c r="AJ2144" t="str">
        <f t="shared" ref="AJ2144:AK2144" si="2268">IF($J2144&lt;&gt;"",$J2144,IF($AC2144=$AC2143,AJ2143,""))</f>
        <v>d</v>
      </c>
      <c r="AK2144" t="str">
        <f t="shared" si="2268"/>
        <v>d</v>
      </c>
      <c r="AL2144" t="str">
        <f t="shared" si="2217"/>
        <v>d</v>
      </c>
      <c r="AN2144" t="s">
        <v>861</v>
      </c>
      <c r="AO2144" t="str">
        <f t="shared" si="2218"/>
        <v>h</v>
      </c>
      <c r="AP2144" t="str">
        <f t="shared" si="2226"/>
        <v>d</v>
      </c>
      <c r="AQ2144" t="str">
        <f t="shared" si="2227"/>
        <v/>
      </c>
      <c r="AR2144" t="str">
        <f t="shared" si="2228"/>
        <v>Home</v>
      </c>
      <c r="AS2144" t="str">
        <f t="shared" si="2229"/>
        <v>h</v>
      </c>
      <c r="AT2144" t="str">
        <f t="shared" si="2230"/>
        <v>Defensive</v>
      </c>
      <c r="BA2144" s="6">
        <f t="shared" si="2219"/>
        <v>486</v>
      </c>
      <c r="BB2144">
        <f t="shared" si="2220"/>
        <v>18981</v>
      </c>
      <c r="BC2144" t="str">
        <f t="shared" si="2221"/>
        <v>Nelson</v>
      </c>
      <c r="BD2144" t="str">
        <f t="shared" si="2222"/>
        <v>Velodrome</v>
      </c>
      <c r="BE2144" t="s">
        <v>15</v>
      </c>
      <c r="BF2144" t="s">
        <v>179</v>
      </c>
      <c r="BG2144" t="s">
        <v>101</v>
      </c>
      <c r="BI2144" cm="1">
        <f t="array" ref="BI2144">IFERROR(_xlfn._xlws.FILTER(shifts!A:A,(shifts!B:B=events!AD2144)*(shifts!AG:AG&gt;=events!BK2144)*(shifts!AH:AH&lt;=events!BL2144)),BI2143)</f>
        <v>93</v>
      </c>
      <c r="BJ2144" s="15">
        <f t="shared" si="2223"/>
        <v>0</v>
      </c>
      <c r="BK2144">
        <f t="shared" si="2231"/>
        <v>416</v>
      </c>
      <c r="BL2144">
        <f t="shared" si="2232"/>
        <v>416</v>
      </c>
      <c r="BM2144" s="15">
        <f>SUMIFS(BJ$2:BJ2144,K$2:K2144,"=Intermission")+SUMIFS(BJ$2:BJ2144,K$2:K2144,"=Timeout")</f>
        <v>142</v>
      </c>
      <c r="BN2144">
        <f t="shared" si="2233"/>
        <v>2302</v>
      </c>
      <c r="BO2144" s="19">
        <f t="shared" si="2234"/>
        <v>2966</v>
      </c>
      <c r="BP2144">
        <f t="shared" si="2235"/>
        <v>2961</v>
      </c>
      <c r="BQ2144" s="17">
        <f t="shared" si="2236"/>
        <v>2966</v>
      </c>
      <c r="BR2144" t="str">
        <f t="shared" si="2237"/>
        <v>event_team_player_1</v>
      </c>
      <c r="BS2144">
        <f>COUNTIFS(S$3:S2144,"="&amp;S2144,AI$3:AI2144,"="&amp;AI2144)</f>
        <v>1</v>
      </c>
      <c r="BT2144" t="str">
        <f>IFERROR(VLOOKUP(BB2144&amp;BU2144&amp;X2144,game_rosters!U:W,3,FALSE),"")</f>
        <v>P100138</v>
      </c>
      <c r="BU2144" t="str">
        <f t="shared" si="2238"/>
        <v>Nelson</v>
      </c>
    </row>
    <row r="2145" spans="1:73" x14ac:dyDescent="0.2">
      <c r="A2145">
        <f t="shared" si="2224"/>
        <v>1</v>
      </c>
      <c r="J2145" s="44" t="str">
        <f t="shared" si="2239"/>
        <v>d</v>
      </c>
      <c r="K2145" t="s">
        <v>15</v>
      </c>
      <c r="L2145" t="s">
        <v>179</v>
      </c>
      <c r="M2145" t="s">
        <v>101</v>
      </c>
      <c r="S2145">
        <v>1134</v>
      </c>
      <c r="W2145" t="str">
        <f t="shared" si="2215"/>
        <v>h</v>
      </c>
      <c r="X2145">
        <v>9</v>
      </c>
      <c r="Y2145" t="e">
        <f>IF(X2145&lt;&gt;"",VLOOKUP(X2145,game_rosters!$C$43:$E$64,3,FALSE))</f>
        <v>#N/A</v>
      </c>
      <c r="Z2145" t="str" cm="1">
        <f t="array" ref="Z2145">IFERROR(IF(_xlfn._xlws.FILTER(game_rosters!$J:$J,(game_rosters!$G:$G=events!$AN2145)*(game_rosters!$J:$J=events!$X2145))&gt;0,1,""),"")</f>
        <v/>
      </c>
      <c r="AA2145">
        <f t="shared" si="2263"/>
        <v>2134</v>
      </c>
      <c r="AB2145" t="str">
        <f t="shared" si="2264"/>
        <v/>
      </c>
      <c r="AC2145">
        <f t="shared" si="2212"/>
        <v>2134</v>
      </c>
      <c r="AD2145" s="6">
        <v>3</v>
      </c>
      <c r="AE2145" t="s">
        <v>938</v>
      </c>
      <c r="AF2145" t="s">
        <v>733</v>
      </c>
      <c r="AG2145" t="s">
        <v>756</v>
      </c>
      <c r="AH2145" t="s">
        <v>756</v>
      </c>
      <c r="AI2145" t="s">
        <v>368</v>
      </c>
      <c r="AJ2145" t="str">
        <f t="shared" ref="AJ2145:AK2145" si="2269">IF($J2145&lt;&gt;"",$J2145,IF($AC2145=$AC2144,AJ2144,""))</f>
        <v>d</v>
      </c>
      <c r="AK2145" t="str">
        <f t="shared" si="2269"/>
        <v>d</v>
      </c>
      <c r="AL2145" t="str">
        <f t="shared" si="2217"/>
        <v>d</v>
      </c>
      <c r="AN2145" t="s">
        <v>861</v>
      </c>
      <c r="AO2145" t="str">
        <f t="shared" si="2218"/>
        <v>h</v>
      </c>
      <c r="AP2145" t="str">
        <f t="shared" si="2226"/>
        <v>d</v>
      </c>
      <c r="AQ2145" t="str">
        <f t="shared" si="2227"/>
        <v/>
      </c>
      <c r="AR2145" t="str">
        <f t="shared" si="2228"/>
        <v>Home</v>
      </c>
      <c r="AS2145" t="str">
        <f t="shared" si="2229"/>
        <v>h</v>
      </c>
      <c r="AT2145" t="str">
        <f t="shared" si="2230"/>
        <v>Offensive</v>
      </c>
      <c r="BA2145" s="6">
        <f t="shared" si="2219"/>
        <v>486</v>
      </c>
      <c r="BB2145">
        <f t="shared" si="2220"/>
        <v>18981</v>
      </c>
      <c r="BC2145" t="str">
        <f t="shared" si="2221"/>
        <v>Nelson</v>
      </c>
      <c r="BD2145" t="str">
        <f t="shared" si="2222"/>
        <v>Velodrome</v>
      </c>
      <c r="BE2145" t="s">
        <v>15</v>
      </c>
      <c r="BF2145" t="s">
        <v>179</v>
      </c>
      <c r="BG2145" t="s">
        <v>101</v>
      </c>
      <c r="BI2145" cm="1">
        <f t="array" ref="BI2145">IFERROR(_xlfn._xlws.FILTER(shifts!A:A,(shifts!B:B=events!AD2145)*(shifts!AG:AG&gt;=events!BK2145)*(shifts!AH:AH&lt;=events!BL2145)),BI2144)</f>
        <v>93</v>
      </c>
      <c r="BJ2145" s="15">
        <f t="shared" si="2223"/>
        <v>0</v>
      </c>
      <c r="BK2145">
        <f t="shared" si="2231"/>
        <v>416</v>
      </c>
      <c r="BL2145">
        <f t="shared" si="2232"/>
        <v>416</v>
      </c>
      <c r="BM2145" s="15">
        <f>SUMIFS(BJ$2:BJ2145,K$2:K2145,"=Intermission")+SUMIFS(BJ$2:BJ2145,K$2:K2145,"=Timeout")</f>
        <v>142</v>
      </c>
      <c r="BN2145">
        <f t="shared" si="2233"/>
        <v>2302</v>
      </c>
      <c r="BO2145" s="19">
        <f t="shared" si="2234"/>
        <v>2966</v>
      </c>
      <c r="BP2145">
        <f t="shared" si="2235"/>
        <v>2961</v>
      </c>
      <c r="BQ2145" s="17">
        <f t="shared" si="2236"/>
        <v>2966</v>
      </c>
      <c r="BR2145" t="str">
        <f t="shared" si="2237"/>
        <v>opp_team_player_1</v>
      </c>
      <c r="BS2145">
        <f>COUNTIFS(S$3:S2145,"="&amp;S2145,AI$3:AI2145,"="&amp;AI2145)</f>
        <v>1</v>
      </c>
      <c r="BT2145" t="str">
        <f>IFERROR(VLOOKUP(BB2145&amp;BU2145&amp;X2145,game_rosters!U:W,3,FALSE),"")</f>
        <v>P100105</v>
      </c>
      <c r="BU2145" t="str">
        <f t="shared" si="2238"/>
        <v>Velodrome</v>
      </c>
    </row>
    <row r="2146" spans="1:73" x14ac:dyDescent="0.2">
      <c r="A2146">
        <f t="shared" si="2224"/>
        <v>1</v>
      </c>
      <c r="J2146" s="44" t="str">
        <f t="shared" si="2239"/>
        <v>d</v>
      </c>
      <c r="K2146" t="s">
        <v>231</v>
      </c>
      <c r="L2146" t="s">
        <v>232</v>
      </c>
      <c r="M2146" t="s">
        <v>756</v>
      </c>
      <c r="S2146">
        <v>1135</v>
      </c>
      <c r="W2146" t="str">
        <f t="shared" si="2215"/>
        <v>h</v>
      </c>
      <c r="X2146">
        <v>31</v>
      </c>
      <c r="Y2146" t="b">
        <f>IF(X2146&lt;&gt;"",VLOOKUP(X2146,game_rosters!$C$43:$E$64,3,FALSE))</f>
        <v>0</v>
      </c>
      <c r="Z2146" cm="1">
        <f t="array" ref="Z2146">IFERROR(IF(_xlfn._xlws.FILTER(game_rosters!$J:$J,(game_rosters!$G:$G=events!$AN2146)*(game_rosters!$J:$J=events!$X2146))&gt;0,1,""),"")</f>
        <v>1</v>
      </c>
      <c r="AA2146">
        <f t="shared" si="2263"/>
        <v>2135</v>
      </c>
      <c r="AB2146" t="str">
        <f t="shared" si="2264"/>
        <v/>
      </c>
      <c r="AC2146">
        <f t="shared" si="2212"/>
        <v>2135</v>
      </c>
      <c r="AD2146" s="6">
        <v>3</v>
      </c>
      <c r="AE2146" t="s">
        <v>938</v>
      </c>
      <c r="AF2146" t="s">
        <v>733</v>
      </c>
      <c r="AG2146" t="s">
        <v>756</v>
      </c>
      <c r="AH2146" t="s">
        <v>756</v>
      </c>
      <c r="AI2146" t="s">
        <v>367</v>
      </c>
      <c r="AJ2146" t="str">
        <f t="shared" ref="AJ2146:AK2146" si="2270">IF($J2146&lt;&gt;"",$J2146,IF($AC2146=$AC2145,AJ2145,""))</f>
        <v>d</v>
      </c>
      <c r="AK2146" t="str">
        <f t="shared" si="2270"/>
        <v>d</v>
      </c>
      <c r="AL2146" t="str">
        <f t="shared" si="2217"/>
        <v>d</v>
      </c>
      <c r="AN2146" t="s">
        <v>861</v>
      </c>
      <c r="AO2146" t="str">
        <f t="shared" si="2218"/>
        <v>h</v>
      </c>
      <c r="AP2146" t="str">
        <f t="shared" si="2226"/>
        <v>d</v>
      </c>
      <c r="AQ2146" t="str">
        <f t="shared" si="2227"/>
        <v/>
      </c>
      <c r="AR2146" t="str">
        <f t="shared" si="2228"/>
        <v>Home</v>
      </c>
      <c r="AS2146" t="str">
        <f t="shared" si="2229"/>
        <v>h</v>
      </c>
      <c r="AT2146" t="str">
        <f t="shared" si="2230"/>
        <v>Offensive</v>
      </c>
      <c r="BA2146" s="6">
        <f t="shared" si="2219"/>
        <v>486</v>
      </c>
      <c r="BB2146">
        <f t="shared" si="2220"/>
        <v>18981</v>
      </c>
      <c r="BC2146" t="str">
        <f t="shared" si="2221"/>
        <v>Nelson</v>
      </c>
      <c r="BD2146" t="str">
        <f t="shared" si="2222"/>
        <v>Velodrome</v>
      </c>
      <c r="BE2146" t="s">
        <v>231</v>
      </c>
      <c r="BF2146" t="s">
        <v>232</v>
      </c>
      <c r="BG2146" t="s">
        <v>756</v>
      </c>
      <c r="BI2146" cm="1">
        <f t="array" ref="BI2146">IFERROR(_xlfn._xlws.FILTER(shifts!A:A,(shifts!B:B=events!AD2146)*(shifts!AG:AG&gt;=events!BK2146)*(shifts!AH:AH&lt;=events!BL2146)),BI2145)</f>
        <v>93</v>
      </c>
      <c r="BJ2146" s="15">
        <f t="shared" si="2223"/>
        <v>0</v>
      </c>
      <c r="BK2146">
        <f t="shared" si="2231"/>
        <v>416</v>
      </c>
      <c r="BL2146">
        <f t="shared" si="2232"/>
        <v>416</v>
      </c>
      <c r="BM2146" s="15">
        <f>SUMIFS(BJ$2:BJ2146,K$2:K2146,"=Intermission")+SUMIFS(BJ$2:BJ2146,K$2:K2146,"=Timeout")</f>
        <v>142</v>
      </c>
      <c r="BN2146">
        <f t="shared" si="2233"/>
        <v>2302</v>
      </c>
      <c r="BO2146" s="19">
        <f t="shared" si="2234"/>
        <v>2966</v>
      </c>
      <c r="BP2146">
        <f t="shared" si="2235"/>
        <v>2961</v>
      </c>
      <c r="BQ2146" s="17">
        <f t="shared" si="2236"/>
        <v>2966</v>
      </c>
      <c r="BR2146" t="str">
        <f t="shared" si="2237"/>
        <v>event_team_player_1</v>
      </c>
      <c r="BS2146">
        <f>COUNTIFS(S$3:S2146,"="&amp;S2146,AI$3:AI2146,"="&amp;AI2146)</f>
        <v>1</v>
      </c>
      <c r="BT2146" t="str">
        <f>IFERROR(VLOOKUP(BB2146&amp;BU2146&amp;X2146,game_rosters!U:W,3,FALSE),"")</f>
        <v>P100138</v>
      </c>
      <c r="BU2146" t="str">
        <f t="shared" si="2238"/>
        <v>Nelson</v>
      </c>
    </row>
    <row r="2147" spans="1:73" x14ac:dyDescent="0.2">
      <c r="A2147">
        <f t="shared" si="2224"/>
        <v>1</v>
      </c>
      <c r="J2147" s="44" t="str">
        <f t="shared" si="2239"/>
        <v/>
      </c>
      <c r="K2147" t="s">
        <v>13</v>
      </c>
      <c r="L2147" t="s">
        <v>756</v>
      </c>
      <c r="M2147" t="s">
        <v>756</v>
      </c>
      <c r="S2147">
        <v>1136</v>
      </c>
      <c r="W2147" t="str">
        <f t="shared" si="2215"/>
        <v>h</v>
      </c>
      <c r="X2147">
        <v>8</v>
      </c>
      <c r="Y2147" t="b">
        <f>IF(X2147&lt;&gt;"",VLOOKUP(X2147,game_rosters!$C$43:$E$64,3,FALSE))</f>
        <v>0</v>
      </c>
      <c r="Z2147" cm="1">
        <f t="array" ref="Z2147">IFERROR(IF(_xlfn._xlws.FILTER(game_rosters!$J:$J,(game_rosters!$G:$G=events!$AN2147)*(game_rosters!$J:$J=events!$X2147))&gt;0,1,""),"")</f>
        <v>1</v>
      </c>
      <c r="AA2147">
        <f t="shared" si="2263"/>
        <v>2136</v>
      </c>
      <c r="AB2147" t="str">
        <f t="shared" si="2264"/>
        <v/>
      </c>
      <c r="AC2147">
        <f t="shared" si="2212"/>
        <v>2136</v>
      </c>
      <c r="AD2147" s="6">
        <v>3</v>
      </c>
      <c r="AE2147" t="s">
        <v>938</v>
      </c>
      <c r="AF2147" t="s">
        <v>934</v>
      </c>
      <c r="AG2147" t="s">
        <v>938</v>
      </c>
      <c r="AH2147" t="s">
        <v>897</v>
      </c>
      <c r="AI2147" t="s">
        <v>367</v>
      </c>
      <c r="AJ2147" t="str">
        <f t="shared" ref="AJ2147:AK2147" si="2271">IF($J2147&lt;&gt;"",$J2147,IF($AC2147=$AC2146,AJ2146,""))</f>
        <v/>
      </c>
      <c r="AK2147" t="str">
        <f t="shared" si="2271"/>
        <v/>
      </c>
      <c r="AL2147" t="str">
        <f t="shared" si="2217"/>
        <v/>
      </c>
      <c r="AN2147" t="s">
        <v>861</v>
      </c>
      <c r="AO2147" t="str">
        <f t="shared" si="2218"/>
        <v>h</v>
      </c>
      <c r="AP2147" t="str">
        <f t="shared" si="2226"/>
        <v/>
      </c>
      <c r="AQ2147" t="str">
        <f t="shared" si="2227"/>
        <v/>
      </c>
      <c r="AR2147" t="str">
        <f t="shared" si="2228"/>
        <v>Home</v>
      </c>
      <c r="AS2147" t="str">
        <f t="shared" si="2229"/>
        <v>h</v>
      </c>
      <c r="AT2147" t="str">
        <f t="shared" si="2230"/>
        <v>Offensive</v>
      </c>
      <c r="BA2147" s="6">
        <f t="shared" si="2219"/>
        <v>486</v>
      </c>
      <c r="BB2147">
        <f t="shared" si="2220"/>
        <v>18981</v>
      </c>
      <c r="BC2147" t="str">
        <f t="shared" si="2221"/>
        <v>Nelson</v>
      </c>
      <c r="BD2147" t="str">
        <f t="shared" si="2222"/>
        <v>Velodrome</v>
      </c>
      <c r="BE2147" t="s">
        <v>13</v>
      </c>
      <c r="BF2147" t="s">
        <v>756</v>
      </c>
      <c r="BG2147" t="s">
        <v>756</v>
      </c>
      <c r="BI2147" cm="1">
        <f t="array" ref="BI2147">IFERROR(_xlfn._xlws.FILTER(shifts!A:A,(shifts!B:B=events!AD2147)*(shifts!AG:AG&gt;=events!BK2147)*(shifts!AH:AH&lt;=events!BL2147)),BI2146)</f>
        <v>93</v>
      </c>
      <c r="BJ2147" s="15">
        <f t="shared" si="2223"/>
        <v>2</v>
      </c>
      <c r="BK2147">
        <f t="shared" si="2231"/>
        <v>414</v>
      </c>
      <c r="BL2147">
        <f t="shared" si="2232"/>
        <v>412</v>
      </c>
      <c r="BM2147" s="15">
        <f>SUMIFS(BJ$2:BJ2147,K$2:K2147,"=Intermission")+SUMIFS(BJ$2:BJ2147,K$2:K2147,"=Timeout")</f>
        <v>142</v>
      </c>
      <c r="BN2147">
        <f t="shared" si="2233"/>
        <v>2302</v>
      </c>
      <c r="BO2147" s="19">
        <f t="shared" si="2234"/>
        <v>2968</v>
      </c>
      <c r="BP2147">
        <f t="shared" si="2235"/>
        <v>2963</v>
      </c>
      <c r="BQ2147" s="17">
        <f t="shared" si="2236"/>
        <v>2970</v>
      </c>
      <c r="BR2147" t="str">
        <f t="shared" si="2237"/>
        <v>event_team_player_1</v>
      </c>
      <c r="BS2147">
        <f>COUNTIFS(S$3:S2147,"="&amp;S2147,AI$3:AI2147,"="&amp;AI2147)</f>
        <v>1</v>
      </c>
      <c r="BT2147" t="str">
        <f>IFERROR(VLOOKUP(BB2147&amp;BU2147&amp;X2147,game_rosters!U:W,3,FALSE),"")</f>
        <v>P100074</v>
      </c>
      <c r="BU2147" t="str">
        <f t="shared" si="2238"/>
        <v>Nelson</v>
      </c>
    </row>
    <row r="2148" spans="1:73" x14ac:dyDescent="0.2">
      <c r="A2148">
        <f t="shared" si="2224"/>
        <v>1</v>
      </c>
      <c r="J2148" s="44" t="str">
        <f t="shared" si="2239"/>
        <v>d</v>
      </c>
      <c r="K2148" t="s">
        <v>238</v>
      </c>
      <c r="L2148" t="s">
        <v>184</v>
      </c>
      <c r="M2148" t="s">
        <v>90</v>
      </c>
      <c r="S2148">
        <v>1137</v>
      </c>
      <c r="W2148" t="str">
        <f t="shared" si="2215"/>
        <v>h</v>
      </c>
      <c r="X2148">
        <v>8</v>
      </c>
      <c r="Y2148" t="b">
        <f>IF(X2148&lt;&gt;"",VLOOKUP(X2148,game_rosters!$C$43:$E$64,3,FALSE))</f>
        <v>0</v>
      </c>
      <c r="Z2148" cm="1">
        <f t="array" ref="Z2148">IFERROR(IF(_xlfn._xlws.FILTER(game_rosters!$J:$J,(game_rosters!$G:$G=events!$AN2148)*(game_rosters!$J:$J=events!$X2148))&gt;0,1,""),"")</f>
        <v>1</v>
      </c>
      <c r="AA2148">
        <f t="shared" si="2263"/>
        <v>2137</v>
      </c>
      <c r="AB2148" t="str">
        <f t="shared" si="2264"/>
        <v/>
      </c>
      <c r="AC2148">
        <f t="shared" si="2212"/>
        <v>2137</v>
      </c>
      <c r="AD2148" s="6">
        <v>3</v>
      </c>
      <c r="AE2148" t="s">
        <v>938</v>
      </c>
      <c r="AF2148" t="s">
        <v>897</v>
      </c>
      <c r="AG2148" t="s">
        <v>756</v>
      </c>
      <c r="AH2148" t="s">
        <v>756</v>
      </c>
      <c r="AI2148" t="s">
        <v>367</v>
      </c>
      <c r="AJ2148" t="str">
        <f t="shared" ref="AJ2148:AK2148" si="2272">IF($J2148&lt;&gt;"",$J2148,IF($AC2148=$AC2147,AJ2147,""))</f>
        <v>d</v>
      </c>
      <c r="AK2148" t="str">
        <f t="shared" si="2272"/>
        <v>d</v>
      </c>
      <c r="AL2148" t="str">
        <f t="shared" si="2217"/>
        <v>d</v>
      </c>
      <c r="AN2148" t="s">
        <v>861</v>
      </c>
      <c r="AO2148" t="str">
        <f t="shared" si="2218"/>
        <v>h</v>
      </c>
      <c r="AP2148" t="str">
        <f t="shared" si="2226"/>
        <v>d</v>
      </c>
      <c r="AQ2148" t="str">
        <f t="shared" si="2227"/>
        <v/>
      </c>
      <c r="AR2148" t="str">
        <f t="shared" si="2228"/>
        <v>Home</v>
      </c>
      <c r="AS2148" t="str">
        <f t="shared" si="2229"/>
        <v>h</v>
      </c>
      <c r="AT2148" t="str">
        <f t="shared" si="2230"/>
        <v>Offensive</v>
      </c>
      <c r="BA2148" s="6">
        <f t="shared" si="2219"/>
        <v>487</v>
      </c>
      <c r="BB2148">
        <f t="shared" si="2220"/>
        <v>18981</v>
      </c>
      <c r="BC2148" t="str">
        <f t="shared" si="2221"/>
        <v>Nelson</v>
      </c>
      <c r="BD2148" t="str">
        <f t="shared" si="2222"/>
        <v>Velodrome</v>
      </c>
      <c r="BE2148" t="s">
        <v>238</v>
      </c>
      <c r="BF2148" t="s">
        <v>184</v>
      </c>
      <c r="BG2148" t="s">
        <v>90</v>
      </c>
      <c r="BI2148" cm="1">
        <f t="array" ref="BI2148">IFERROR(_xlfn._xlws.FILTER(shifts!A:A,(shifts!B:B=events!AD2148)*(shifts!AG:AG&gt;=events!BK2148)*(shifts!AH:AH&lt;=events!BL2148)),BI2147)</f>
        <v>93</v>
      </c>
      <c r="BJ2148" s="15">
        <f t="shared" si="2223"/>
        <v>0</v>
      </c>
      <c r="BK2148">
        <f t="shared" si="2231"/>
        <v>412</v>
      </c>
      <c r="BL2148">
        <f t="shared" si="2232"/>
        <v>412</v>
      </c>
      <c r="BM2148" s="15">
        <f>SUMIFS(BJ$2:BJ2148,K$2:K2148,"=Intermission")+SUMIFS(BJ$2:BJ2148,K$2:K2148,"=Timeout")</f>
        <v>142</v>
      </c>
      <c r="BN2148">
        <f t="shared" si="2233"/>
        <v>2302</v>
      </c>
      <c r="BO2148" s="19">
        <f t="shared" si="2234"/>
        <v>2970</v>
      </c>
      <c r="BP2148">
        <f t="shared" si="2235"/>
        <v>2965</v>
      </c>
      <c r="BQ2148" s="17">
        <f t="shared" si="2236"/>
        <v>2970</v>
      </c>
      <c r="BR2148" t="str">
        <f t="shared" si="2237"/>
        <v>event_team_player_1</v>
      </c>
      <c r="BS2148">
        <f>COUNTIFS(S$3:S2148,"="&amp;S2148,AI$3:AI2148,"="&amp;AI2148)</f>
        <v>1</v>
      </c>
      <c r="BT2148" t="str">
        <f>IFERROR(VLOOKUP(BB2148&amp;BU2148&amp;X2148,game_rosters!U:W,3,FALSE),"")</f>
        <v>P100074</v>
      </c>
      <c r="BU2148" t="str">
        <f t="shared" si="2238"/>
        <v>Nelson</v>
      </c>
    </row>
    <row r="2149" spans="1:73" x14ac:dyDescent="0.2">
      <c r="A2149">
        <f t="shared" si="2224"/>
        <v>1</v>
      </c>
      <c r="J2149" s="44" t="str">
        <f t="shared" si="2239"/>
        <v>o</v>
      </c>
      <c r="K2149" t="s">
        <v>238</v>
      </c>
      <c r="L2149" t="s">
        <v>174</v>
      </c>
      <c r="M2149" t="s">
        <v>375</v>
      </c>
      <c r="S2149">
        <v>1138</v>
      </c>
      <c r="W2149" t="str">
        <f t="shared" si="2215"/>
        <v>h</v>
      </c>
      <c r="X2149">
        <v>8</v>
      </c>
      <c r="Y2149" t="b">
        <f>IF(X2149&lt;&gt;"",VLOOKUP(X2149,game_rosters!$C$43:$E$64,3,FALSE))</f>
        <v>0</v>
      </c>
      <c r="Z2149" cm="1">
        <f t="array" ref="Z2149">IFERROR(IF(_xlfn._xlws.FILTER(game_rosters!$J:$J,(game_rosters!$G:$G=events!$AN2149)*(game_rosters!$J:$J=events!$X2149))&gt;0,1,""),"")</f>
        <v>1</v>
      </c>
      <c r="AA2149">
        <f t="shared" si="2263"/>
        <v>2138</v>
      </c>
      <c r="AB2149" t="str">
        <f t="shared" si="2264"/>
        <v/>
      </c>
      <c r="AC2149">
        <f t="shared" si="2212"/>
        <v>2138</v>
      </c>
      <c r="AD2149" s="6">
        <v>3</v>
      </c>
      <c r="AE2149" t="s">
        <v>938</v>
      </c>
      <c r="AF2149" t="s">
        <v>897</v>
      </c>
      <c r="AG2149" t="s">
        <v>756</v>
      </c>
      <c r="AH2149" t="s">
        <v>756</v>
      </c>
      <c r="AI2149" t="s">
        <v>367</v>
      </c>
      <c r="AJ2149" t="str">
        <f t="shared" ref="AJ2149:AK2149" si="2273">IF($J2149&lt;&gt;"",$J2149,IF($AC2149=$AC2148,AJ2148,""))</f>
        <v>o</v>
      </c>
      <c r="AK2149" t="str">
        <f t="shared" si="2273"/>
        <v>o</v>
      </c>
      <c r="AL2149" t="str">
        <f t="shared" si="2217"/>
        <v>o</v>
      </c>
      <c r="AN2149" t="s">
        <v>861</v>
      </c>
      <c r="AO2149" t="str">
        <f t="shared" si="2218"/>
        <v>h</v>
      </c>
      <c r="AP2149" t="str">
        <f t="shared" si="2226"/>
        <v>o</v>
      </c>
      <c r="AQ2149" t="str">
        <f t="shared" si="2227"/>
        <v/>
      </c>
      <c r="AR2149" t="str">
        <f t="shared" si="2228"/>
        <v>Home</v>
      </c>
      <c r="AS2149" t="str">
        <f t="shared" si="2229"/>
        <v>h</v>
      </c>
      <c r="AT2149" t="str">
        <f t="shared" si="2230"/>
        <v>Offensive</v>
      </c>
      <c r="BA2149" s="6">
        <f t="shared" si="2219"/>
        <v>488</v>
      </c>
      <c r="BB2149">
        <f t="shared" si="2220"/>
        <v>18981</v>
      </c>
      <c r="BC2149" t="str">
        <f t="shared" si="2221"/>
        <v>Nelson</v>
      </c>
      <c r="BD2149" t="str">
        <f t="shared" si="2222"/>
        <v>Velodrome</v>
      </c>
      <c r="BE2149" t="s">
        <v>238</v>
      </c>
      <c r="BF2149" t="s">
        <v>174</v>
      </c>
      <c r="BG2149" t="s">
        <v>375</v>
      </c>
      <c r="BI2149" cm="1">
        <f t="array" ref="BI2149">IFERROR(_xlfn._xlws.FILTER(shifts!A:A,(shifts!B:B=events!AD2149)*(shifts!AG:AG&gt;=events!BK2149)*(shifts!AH:AH&lt;=events!BL2149)),BI2148)</f>
        <v>93</v>
      </c>
      <c r="BJ2149" s="15">
        <f t="shared" si="2223"/>
        <v>0</v>
      </c>
      <c r="BK2149">
        <f t="shared" si="2231"/>
        <v>412</v>
      </c>
      <c r="BL2149">
        <f t="shared" si="2232"/>
        <v>412</v>
      </c>
      <c r="BM2149" s="15">
        <f>SUMIFS(BJ$2:BJ2149,K$2:K2149,"=Intermission")+SUMIFS(BJ$2:BJ2149,K$2:K2149,"=Timeout")</f>
        <v>142</v>
      </c>
      <c r="BN2149">
        <f t="shared" si="2233"/>
        <v>2302</v>
      </c>
      <c r="BO2149" s="19">
        <f t="shared" si="2234"/>
        <v>2970</v>
      </c>
      <c r="BP2149">
        <f t="shared" si="2235"/>
        <v>2965</v>
      </c>
      <c r="BQ2149" s="17">
        <f t="shared" si="2236"/>
        <v>2970</v>
      </c>
      <c r="BR2149" t="str">
        <f t="shared" si="2237"/>
        <v>event_team_player_1</v>
      </c>
      <c r="BS2149">
        <f>COUNTIFS(S$3:S2149,"="&amp;S2149,AI$3:AI2149,"="&amp;AI2149)</f>
        <v>1</v>
      </c>
      <c r="BT2149" t="str">
        <f>IFERROR(VLOOKUP(BB2149&amp;BU2149&amp;X2149,game_rosters!U:W,3,FALSE),"")</f>
        <v>P100074</v>
      </c>
      <c r="BU2149" t="str">
        <f t="shared" si="2238"/>
        <v>Nelson</v>
      </c>
    </row>
    <row r="2150" spans="1:73" x14ac:dyDescent="0.2">
      <c r="A2150">
        <f t="shared" si="2224"/>
        <v>1</v>
      </c>
      <c r="J2150" s="44" t="str">
        <f t="shared" si="2239"/>
        <v/>
      </c>
      <c r="K2150" t="s">
        <v>9</v>
      </c>
      <c r="L2150" t="s">
        <v>173</v>
      </c>
      <c r="M2150" t="s">
        <v>354</v>
      </c>
      <c r="S2150">
        <v>1139</v>
      </c>
      <c r="W2150" t="str">
        <f t="shared" si="2215"/>
        <v>h</v>
      </c>
      <c r="X2150">
        <v>8</v>
      </c>
      <c r="Y2150" t="b">
        <f>IF(X2150&lt;&gt;"",VLOOKUP(X2150,game_rosters!$C$43:$E$64,3,FALSE))</f>
        <v>0</v>
      </c>
      <c r="Z2150" cm="1">
        <f t="array" ref="Z2150">IFERROR(IF(_xlfn._xlws.FILTER(game_rosters!$J:$J,(game_rosters!$G:$G=events!$AN2150)*(game_rosters!$J:$J=events!$X2150))&gt;0,1,""),"")</f>
        <v>1</v>
      </c>
      <c r="AA2150">
        <f t="shared" si="2263"/>
        <v>2139</v>
      </c>
      <c r="AB2150" t="str">
        <f t="shared" si="2264"/>
        <v/>
      </c>
      <c r="AC2150">
        <f t="shared" si="2212"/>
        <v>2139</v>
      </c>
      <c r="AD2150" s="6">
        <v>3</v>
      </c>
      <c r="AE2150" t="s">
        <v>938</v>
      </c>
      <c r="AF2150" t="s">
        <v>737</v>
      </c>
      <c r="AG2150" t="s">
        <v>756</v>
      </c>
      <c r="AH2150" t="s">
        <v>756</v>
      </c>
      <c r="AI2150" t="s">
        <v>367</v>
      </c>
      <c r="AJ2150" t="str">
        <f t="shared" ref="AJ2150:AK2150" si="2274">IF($J2150&lt;&gt;"",$J2150,IF($AC2150=$AC2149,AJ2149,""))</f>
        <v/>
      </c>
      <c r="AK2150" t="str">
        <f t="shared" si="2274"/>
        <v/>
      </c>
      <c r="AL2150" t="str">
        <f t="shared" si="2217"/>
        <v/>
      </c>
      <c r="AN2150" t="s">
        <v>861</v>
      </c>
      <c r="AO2150" t="str">
        <f t="shared" si="2218"/>
        <v>h</v>
      </c>
      <c r="AP2150" t="str">
        <f t="shared" si="2226"/>
        <v/>
      </c>
      <c r="AQ2150" t="str">
        <f t="shared" si="2227"/>
        <v/>
      </c>
      <c r="AR2150" t="str">
        <f t="shared" si="2228"/>
        <v>Home</v>
      </c>
      <c r="AS2150" t="str">
        <f t="shared" si="2229"/>
        <v>h</v>
      </c>
      <c r="AT2150" t="str">
        <f t="shared" si="2230"/>
        <v>Offensive</v>
      </c>
      <c r="BA2150" s="6">
        <f t="shared" si="2219"/>
        <v>488</v>
      </c>
      <c r="BB2150">
        <f t="shared" si="2220"/>
        <v>18981</v>
      </c>
      <c r="BC2150" t="str">
        <f t="shared" si="2221"/>
        <v>Nelson</v>
      </c>
      <c r="BD2150" t="str">
        <f t="shared" si="2222"/>
        <v>Velodrome</v>
      </c>
      <c r="BE2150" t="s">
        <v>9</v>
      </c>
      <c r="BF2150" t="s">
        <v>173</v>
      </c>
      <c r="BG2150" t="s">
        <v>354</v>
      </c>
      <c r="BI2150" cm="1">
        <f t="array" ref="BI2150">IFERROR(_xlfn._xlws.FILTER(shifts!A:A,(shifts!B:B=events!AD2150)*(shifts!AG:AG&gt;=events!BK2150)*(shifts!AH:AH&lt;=events!BL2150)),BI2149)</f>
        <v>93</v>
      </c>
      <c r="BJ2150" s="15">
        <f t="shared" si="2223"/>
        <v>0</v>
      </c>
      <c r="BK2150">
        <f t="shared" si="2231"/>
        <v>406</v>
      </c>
      <c r="BL2150">
        <f t="shared" si="2232"/>
        <v>406</v>
      </c>
      <c r="BM2150" s="15">
        <f>SUMIFS(BJ$2:BJ2150,K$2:K2150,"=Intermission")+SUMIFS(BJ$2:BJ2150,K$2:K2150,"=Timeout")</f>
        <v>142</v>
      </c>
      <c r="BN2150">
        <f t="shared" si="2233"/>
        <v>2302</v>
      </c>
      <c r="BO2150" s="19">
        <f t="shared" si="2234"/>
        <v>2976</v>
      </c>
      <c r="BP2150">
        <f t="shared" si="2235"/>
        <v>2971</v>
      </c>
      <c r="BQ2150" s="17">
        <f t="shared" si="2236"/>
        <v>2976</v>
      </c>
      <c r="BR2150" t="str">
        <f t="shared" si="2237"/>
        <v>event_team_player_1</v>
      </c>
      <c r="BS2150">
        <f>COUNTIFS(S$3:S2150,"="&amp;S2150,AI$3:AI2150,"="&amp;AI2150)</f>
        <v>1</v>
      </c>
      <c r="BT2150" t="str">
        <f>IFERROR(VLOOKUP(BB2150&amp;BU2150&amp;X2150,game_rosters!U:W,3,FALSE),"")</f>
        <v>P100074</v>
      </c>
      <c r="BU2150" t="str">
        <f t="shared" si="2238"/>
        <v>Nelson</v>
      </c>
    </row>
    <row r="2151" spans="1:73" x14ac:dyDescent="0.2">
      <c r="A2151">
        <f t="shared" si="2224"/>
        <v>1</v>
      </c>
      <c r="J2151" s="44" t="str">
        <f t="shared" si="2239"/>
        <v/>
      </c>
      <c r="K2151" t="s">
        <v>7</v>
      </c>
      <c r="L2151" t="s">
        <v>182</v>
      </c>
      <c r="M2151" t="s">
        <v>445</v>
      </c>
      <c r="S2151">
        <v>1140</v>
      </c>
      <c r="W2151" t="str">
        <f t="shared" si="2215"/>
        <v>a</v>
      </c>
      <c r="X2151">
        <v>39</v>
      </c>
      <c r="Y2151" t="e">
        <f>IF(X2151&lt;&gt;"",VLOOKUP(X2151,game_rosters!$C$43:$E$64,3,FALSE))</f>
        <v>#N/A</v>
      </c>
      <c r="Z2151" cm="1">
        <f t="array" ref="Z2151">IFERROR(IF(_xlfn._xlws.FILTER(game_rosters!$J:$J,(game_rosters!$G:$G=events!$AN2151)*(game_rosters!$J:$J=events!$X2151))&gt;0,1,""),"")</f>
        <v>1</v>
      </c>
      <c r="AA2151">
        <f t="shared" si="2263"/>
        <v>2140</v>
      </c>
      <c r="AB2151" t="str">
        <f t="shared" si="2264"/>
        <v/>
      </c>
      <c r="AC2151">
        <f t="shared" si="2212"/>
        <v>2140</v>
      </c>
      <c r="AD2151" s="6">
        <v>3</v>
      </c>
      <c r="AE2151" t="s">
        <v>938</v>
      </c>
      <c r="AF2151" t="s">
        <v>737</v>
      </c>
      <c r="AG2151" t="s">
        <v>756</v>
      </c>
      <c r="AH2151" t="s">
        <v>756</v>
      </c>
      <c r="AI2151" t="s">
        <v>367</v>
      </c>
      <c r="AJ2151" t="str">
        <f t="shared" ref="AJ2151:AK2151" si="2275">IF($J2151&lt;&gt;"",$J2151,IF($AC2151=$AC2150,AJ2150,""))</f>
        <v/>
      </c>
      <c r="AK2151" t="str">
        <f t="shared" si="2275"/>
        <v/>
      </c>
      <c r="AL2151" t="str">
        <f t="shared" si="2217"/>
        <v/>
      </c>
      <c r="AN2151" t="s">
        <v>862</v>
      </c>
      <c r="AO2151" t="str">
        <f t="shared" si="2218"/>
        <v>a</v>
      </c>
      <c r="AP2151" t="str">
        <f t="shared" si="2226"/>
        <v/>
      </c>
      <c r="AQ2151" t="str">
        <f t="shared" si="2227"/>
        <v/>
      </c>
      <c r="AR2151" t="str">
        <f t="shared" si="2228"/>
        <v>Away</v>
      </c>
      <c r="AS2151" t="str">
        <f t="shared" si="2229"/>
        <v>a</v>
      </c>
      <c r="AT2151" t="str">
        <f t="shared" si="2230"/>
        <v>Offensive</v>
      </c>
      <c r="BA2151" s="6">
        <f t="shared" si="2219"/>
        <v>488</v>
      </c>
      <c r="BB2151">
        <f t="shared" si="2220"/>
        <v>18981</v>
      </c>
      <c r="BC2151" t="str">
        <f t="shared" si="2221"/>
        <v>Nelson</v>
      </c>
      <c r="BD2151" t="str">
        <f t="shared" si="2222"/>
        <v>Velodrome</v>
      </c>
      <c r="BE2151" t="s">
        <v>7</v>
      </c>
      <c r="BF2151" t="s">
        <v>182</v>
      </c>
      <c r="BG2151" t="s">
        <v>445</v>
      </c>
      <c r="BI2151" cm="1">
        <f t="array" ref="BI2151">IFERROR(_xlfn._xlws.FILTER(shifts!A:A,(shifts!B:B=events!AD2151)*(shifts!AG:AG&gt;=events!BK2151)*(shifts!AH:AH&lt;=events!BL2151)),BI2150)</f>
        <v>93</v>
      </c>
      <c r="BJ2151" s="15">
        <f t="shared" si="2223"/>
        <v>0</v>
      </c>
      <c r="BK2151">
        <f t="shared" si="2231"/>
        <v>406</v>
      </c>
      <c r="BL2151">
        <f t="shared" si="2232"/>
        <v>406</v>
      </c>
      <c r="BM2151" s="15">
        <f>SUMIFS(BJ$2:BJ2151,K$2:K2151,"=Intermission")+SUMIFS(BJ$2:BJ2151,K$2:K2151,"=Timeout")</f>
        <v>142</v>
      </c>
      <c r="BN2151">
        <f t="shared" si="2233"/>
        <v>2302</v>
      </c>
      <c r="BO2151" s="19">
        <f t="shared" si="2234"/>
        <v>2976</v>
      </c>
      <c r="BP2151">
        <f t="shared" si="2235"/>
        <v>2971</v>
      </c>
      <c r="BQ2151" s="17">
        <f t="shared" si="2236"/>
        <v>2976</v>
      </c>
      <c r="BR2151" t="str">
        <f t="shared" si="2237"/>
        <v>event_team_player_1</v>
      </c>
      <c r="BS2151">
        <f>COUNTIFS(S$3:S2151,"="&amp;S2151,AI$3:AI2151,"="&amp;AI2151)</f>
        <v>1</v>
      </c>
      <c r="BT2151" t="str">
        <f>IFERROR(VLOOKUP(BB2151&amp;BU2151&amp;X2151,game_rosters!U:W,3,FALSE),"")</f>
        <v>P100016</v>
      </c>
      <c r="BU2151" t="str">
        <f t="shared" si="2238"/>
        <v>Velodrome</v>
      </c>
    </row>
    <row r="2152" spans="1:73" x14ac:dyDescent="0.2">
      <c r="A2152">
        <f t="shared" si="2224"/>
        <v>1</v>
      </c>
      <c r="J2152" s="44" t="str">
        <f t="shared" si="2239"/>
        <v/>
      </c>
      <c r="K2152" t="s">
        <v>7</v>
      </c>
      <c r="L2152" t="s">
        <v>182</v>
      </c>
      <c r="M2152" t="s">
        <v>445</v>
      </c>
      <c r="S2152">
        <v>1140</v>
      </c>
      <c r="W2152" t="str">
        <f t="shared" si="2215"/>
        <v>a</v>
      </c>
      <c r="X2152">
        <v>91</v>
      </c>
      <c r="Y2152" t="e">
        <f>IF(X2152&lt;&gt;"",VLOOKUP(X2152,game_rosters!$C$43:$E$64,3,FALSE))</f>
        <v>#N/A</v>
      </c>
      <c r="Z2152" cm="1">
        <f t="array" ref="Z2152">IFERROR(IF(_xlfn._xlws.FILTER(game_rosters!$J:$J,(game_rosters!$G:$G=events!$AN2152)*(game_rosters!$J:$J=events!$X2152))&gt;0,1,""),"")</f>
        <v>1</v>
      </c>
      <c r="AA2152">
        <f t="shared" si="2263"/>
        <v>2140</v>
      </c>
      <c r="AB2152" t="str">
        <f t="shared" si="2264"/>
        <v/>
      </c>
      <c r="AC2152">
        <f t="shared" si="2212"/>
        <v>2140</v>
      </c>
      <c r="AD2152" s="6">
        <v>3</v>
      </c>
      <c r="AE2152" t="s">
        <v>938</v>
      </c>
      <c r="AF2152" t="s">
        <v>737</v>
      </c>
      <c r="AG2152" t="s">
        <v>756</v>
      </c>
      <c r="AH2152" t="s">
        <v>756</v>
      </c>
      <c r="AI2152" t="s">
        <v>367</v>
      </c>
      <c r="AJ2152" t="str">
        <f t="shared" ref="AJ2152:AK2152" si="2276">IF($J2152&lt;&gt;"",$J2152,IF($AC2152=$AC2151,AJ2151,""))</f>
        <v/>
      </c>
      <c r="AK2152" t="str">
        <f t="shared" si="2276"/>
        <v/>
      </c>
      <c r="AL2152" t="str">
        <f t="shared" si="2217"/>
        <v/>
      </c>
      <c r="AN2152" t="s">
        <v>862</v>
      </c>
      <c r="AO2152" t="str">
        <f t="shared" si="2218"/>
        <v>a</v>
      </c>
      <c r="AP2152" t="str">
        <f t="shared" si="2226"/>
        <v/>
      </c>
      <c r="AQ2152" t="str">
        <f t="shared" si="2227"/>
        <v/>
      </c>
      <c r="AR2152" t="str">
        <f t="shared" si="2228"/>
        <v>Away</v>
      </c>
      <c r="AS2152" t="str">
        <f t="shared" si="2229"/>
        <v>a</v>
      </c>
      <c r="AT2152" t="str">
        <f t="shared" si="2230"/>
        <v>Offensive</v>
      </c>
      <c r="BA2152" s="6">
        <f t="shared" si="2219"/>
        <v>488</v>
      </c>
      <c r="BB2152">
        <f t="shared" si="2220"/>
        <v>18981</v>
      </c>
      <c r="BC2152" t="str">
        <f t="shared" si="2221"/>
        <v>Nelson</v>
      </c>
      <c r="BD2152" t="str">
        <f t="shared" si="2222"/>
        <v>Velodrome</v>
      </c>
      <c r="BE2152" t="s">
        <v>7</v>
      </c>
      <c r="BF2152" t="s">
        <v>182</v>
      </c>
      <c r="BG2152" t="s">
        <v>445</v>
      </c>
      <c r="BI2152" cm="1">
        <f t="array" ref="BI2152">IFERROR(_xlfn._xlws.FILTER(shifts!A:A,(shifts!B:B=events!AD2152)*(shifts!AG:AG&gt;=events!BK2152)*(shifts!AH:AH&lt;=events!BL2152)),BI2151)</f>
        <v>93</v>
      </c>
      <c r="BJ2152" s="15">
        <f t="shared" si="2223"/>
        <v>0</v>
      </c>
      <c r="BK2152">
        <f t="shared" si="2231"/>
        <v>406</v>
      </c>
      <c r="BL2152">
        <f t="shared" si="2232"/>
        <v>406</v>
      </c>
      <c r="BM2152" s="15">
        <f>SUMIFS(BJ$2:BJ2152,K$2:K2152,"=Intermission")+SUMIFS(BJ$2:BJ2152,K$2:K2152,"=Timeout")</f>
        <v>142</v>
      </c>
      <c r="BN2152">
        <f t="shared" si="2233"/>
        <v>2302</v>
      </c>
      <c r="BO2152" s="19">
        <f t="shared" si="2234"/>
        <v>2976</v>
      </c>
      <c r="BP2152">
        <f t="shared" si="2235"/>
        <v>2971</v>
      </c>
      <c r="BQ2152" s="17">
        <f t="shared" si="2236"/>
        <v>2976</v>
      </c>
      <c r="BR2152" t="str">
        <f t="shared" si="2237"/>
        <v>event_team_player_2</v>
      </c>
      <c r="BS2152">
        <f>COUNTIFS(S$3:S2152,"="&amp;S2152,AI$3:AI2152,"="&amp;AI2152)</f>
        <v>2</v>
      </c>
      <c r="BT2152" t="str">
        <f>IFERROR(VLOOKUP(BB2152&amp;BU2152&amp;X2152,game_rosters!U:W,3,FALSE),"")</f>
        <v>P100002</v>
      </c>
      <c r="BU2152" t="str">
        <f t="shared" si="2238"/>
        <v>Velodrome</v>
      </c>
    </row>
    <row r="2153" spans="1:73" x14ac:dyDescent="0.2">
      <c r="A2153">
        <f t="shared" si="2224"/>
        <v>1</v>
      </c>
      <c r="J2153" s="44" t="str">
        <f t="shared" si="2239"/>
        <v>d</v>
      </c>
      <c r="K2153" t="s">
        <v>238</v>
      </c>
      <c r="L2153" t="s">
        <v>184</v>
      </c>
      <c r="M2153" t="s">
        <v>88</v>
      </c>
      <c r="S2153">
        <v>1141</v>
      </c>
      <c r="W2153" t="str">
        <f t="shared" si="2215"/>
        <v>a</v>
      </c>
      <c r="X2153">
        <v>84</v>
      </c>
      <c r="Y2153" t="e">
        <f>IF(X2153&lt;&gt;"",VLOOKUP(X2153,game_rosters!$C$43:$E$64,3,FALSE))</f>
        <v>#N/A</v>
      </c>
      <c r="Z2153" cm="1">
        <f t="array" ref="Z2153">IFERROR(IF(_xlfn._xlws.FILTER(game_rosters!$J:$J,(game_rosters!$G:$G=events!$AN2153)*(game_rosters!$J:$J=events!$X2153))&gt;0,1,""),"")</f>
        <v>1</v>
      </c>
      <c r="AA2153">
        <f t="shared" si="2263"/>
        <v>2141</v>
      </c>
      <c r="AB2153" t="str">
        <f t="shared" si="2264"/>
        <v/>
      </c>
      <c r="AC2153">
        <f t="shared" si="2212"/>
        <v>2141</v>
      </c>
      <c r="AD2153" s="6">
        <v>3</v>
      </c>
      <c r="AE2153" t="s">
        <v>938</v>
      </c>
      <c r="AF2153" t="s">
        <v>903</v>
      </c>
      <c r="AG2153" t="s">
        <v>938</v>
      </c>
      <c r="AH2153" t="s">
        <v>749</v>
      </c>
      <c r="AI2153" t="s">
        <v>367</v>
      </c>
      <c r="AJ2153" t="str">
        <f t="shared" ref="AJ2153:AK2153" si="2277">IF($J2153&lt;&gt;"",$J2153,IF($AC2153=$AC2152,AJ2152,""))</f>
        <v>d</v>
      </c>
      <c r="AK2153" t="str">
        <f t="shared" si="2277"/>
        <v>d</v>
      </c>
      <c r="AL2153" t="str">
        <f t="shared" si="2217"/>
        <v>o</v>
      </c>
      <c r="AN2153" t="s">
        <v>862</v>
      </c>
      <c r="AO2153" t="str">
        <f t="shared" si="2218"/>
        <v>a</v>
      </c>
      <c r="AP2153" t="str">
        <f t="shared" si="2226"/>
        <v>o</v>
      </c>
      <c r="AQ2153" t="str">
        <f t="shared" si="2227"/>
        <v/>
      </c>
      <c r="AR2153" t="str">
        <f t="shared" si="2228"/>
        <v>Away</v>
      </c>
      <c r="AS2153" t="str">
        <f t="shared" si="2229"/>
        <v>a</v>
      </c>
      <c r="AT2153" t="str">
        <f t="shared" si="2230"/>
        <v>Offensive</v>
      </c>
      <c r="BA2153" s="6">
        <f t="shared" si="2219"/>
        <v>489</v>
      </c>
      <c r="BB2153">
        <f t="shared" si="2220"/>
        <v>18981</v>
      </c>
      <c r="BC2153" t="str">
        <f t="shared" si="2221"/>
        <v>Nelson</v>
      </c>
      <c r="BD2153" t="str">
        <f t="shared" si="2222"/>
        <v>Velodrome</v>
      </c>
      <c r="BE2153" t="s">
        <v>238</v>
      </c>
      <c r="BF2153" t="s">
        <v>184</v>
      </c>
      <c r="BG2153" t="s">
        <v>88</v>
      </c>
      <c r="BI2153" cm="1">
        <f t="array" ref="BI2153">IFERROR(_xlfn._xlws.FILTER(shifts!A:A,(shifts!B:B=events!AD2153)*(shifts!AG:AG&gt;=events!BK2153)*(shifts!AH:AH&lt;=events!BL2153)),BI2152)</f>
        <v>94</v>
      </c>
      <c r="BJ2153" s="15">
        <f t="shared" si="2223"/>
        <v>1</v>
      </c>
      <c r="BK2153">
        <f t="shared" si="2231"/>
        <v>400</v>
      </c>
      <c r="BL2153">
        <f t="shared" si="2232"/>
        <v>399</v>
      </c>
      <c r="BM2153" s="15">
        <f>SUMIFS(BJ$2:BJ2153,K$2:K2153,"=Intermission")+SUMIFS(BJ$2:BJ2153,K$2:K2153,"=Timeout")</f>
        <v>142</v>
      </c>
      <c r="BN2153">
        <f t="shared" si="2233"/>
        <v>2302</v>
      </c>
      <c r="BO2153" s="19">
        <f t="shared" si="2234"/>
        <v>2982</v>
      </c>
      <c r="BP2153">
        <f t="shared" si="2235"/>
        <v>2977</v>
      </c>
      <c r="BQ2153" s="17">
        <f t="shared" si="2236"/>
        <v>2983</v>
      </c>
      <c r="BR2153" t="str">
        <f t="shared" si="2237"/>
        <v>event_team_player_1</v>
      </c>
      <c r="BS2153">
        <f>COUNTIFS(S$3:S2153,"="&amp;S2153,AI$3:AI2153,"="&amp;AI2153)</f>
        <v>1</v>
      </c>
      <c r="BT2153" t="str">
        <f>IFERROR(VLOOKUP(BB2153&amp;BU2153&amp;X2153,game_rosters!U:W,3,FALSE),"")</f>
        <v>P100198</v>
      </c>
      <c r="BU2153" t="str">
        <f t="shared" si="2238"/>
        <v>Velodrome</v>
      </c>
    </row>
    <row r="2154" spans="1:73" x14ac:dyDescent="0.2">
      <c r="A2154">
        <f t="shared" si="2224"/>
        <v>1</v>
      </c>
      <c r="J2154" s="44" t="str">
        <f t="shared" si="2239"/>
        <v/>
      </c>
      <c r="K2154" t="s">
        <v>7</v>
      </c>
      <c r="L2154" t="s">
        <v>182</v>
      </c>
      <c r="M2154" t="s">
        <v>68</v>
      </c>
      <c r="S2154">
        <v>1142</v>
      </c>
      <c r="W2154" t="str">
        <f t="shared" si="2215"/>
        <v>a</v>
      </c>
      <c r="X2154">
        <v>84</v>
      </c>
      <c r="Y2154" t="e">
        <f>IF(X2154&lt;&gt;"",VLOOKUP(X2154,game_rosters!$C$43:$E$64,3,FALSE))</f>
        <v>#N/A</v>
      </c>
      <c r="Z2154" cm="1">
        <f t="array" ref="Z2154">IFERROR(IF(_xlfn._xlws.FILTER(game_rosters!$J:$J,(game_rosters!$G:$G=events!$AN2154)*(game_rosters!$J:$J=events!$X2154))&gt;0,1,""),"")</f>
        <v>1</v>
      </c>
      <c r="AA2154">
        <f t="shared" si="2263"/>
        <v>2142</v>
      </c>
      <c r="AB2154" t="str">
        <f t="shared" si="2264"/>
        <v/>
      </c>
      <c r="AC2154">
        <f t="shared" si="2212"/>
        <v>2142</v>
      </c>
      <c r="AD2154" s="6">
        <v>3</v>
      </c>
      <c r="AE2154" t="s">
        <v>938</v>
      </c>
      <c r="AF2154" t="s">
        <v>749</v>
      </c>
      <c r="AG2154" t="s">
        <v>756</v>
      </c>
      <c r="AH2154" t="s">
        <v>756</v>
      </c>
      <c r="AI2154" t="s">
        <v>367</v>
      </c>
      <c r="AJ2154" t="str">
        <f t="shared" ref="AJ2154:AK2154" si="2278">IF($J2154&lt;&gt;"",$J2154,IF($AC2154=$AC2153,AJ2153,""))</f>
        <v/>
      </c>
      <c r="AK2154" t="str">
        <f t="shared" si="2278"/>
        <v/>
      </c>
      <c r="AL2154" t="str">
        <f t="shared" si="2217"/>
        <v/>
      </c>
      <c r="AN2154" t="s">
        <v>862</v>
      </c>
      <c r="AO2154" t="str">
        <f t="shared" si="2218"/>
        <v>a</v>
      </c>
      <c r="AP2154" t="str">
        <f t="shared" si="2226"/>
        <v/>
      </c>
      <c r="AQ2154" t="str">
        <f t="shared" si="2227"/>
        <v/>
      </c>
      <c r="AR2154" t="str">
        <f t="shared" si="2228"/>
        <v>Away</v>
      </c>
      <c r="AS2154" t="str">
        <f t="shared" si="2229"/>
        <v>a</v>
      </c>
      <c r="AT2154" t="str">
        <f t="shared" si="2230"/>
        <v>Offensive</v>
      </c>
      <c r="BA2154" s="6">
        <f t="shared" si="2219"/>
        <v>489</v>
      </c>
      <c r="BB2154">
        <f t="shared" si="2220"/>
        <v>18981</v>
      </c>
      <c r="BC2154" t="str">
        <f t="shared" si="2221"/>
        <v>Nelson</v>
      </c>
      <c r="BD2154" t="str">
        <f t="shared" si="2222"/>
        <v>Velodrome</v>
      </c>
      <c r="BE2154" t="s">
        <v>7</v>
      </c>
      <c r="BF2154" t="s">
        <v>182</v>
      </c>
      <c r="BG2154" t="s">
        <v>68</v>
      </c>
      <c r="BI2154" cm="1">
        <f t="array" ref="BI2154">IFERROR(_xlfn._xlws.FILTER(shifts!A:A,(shifts!B:B=events!AD2154)*(shifts!AG:AG&gt;=events!BK2154)*(shifts!AH:AH&lt;=events!BL2154)),BI2153)</f>
        <v>94</v>
      </c>
      <c r="BJ2154" s="15">
        <f t="shared" si="2223"/>
        <v>0</v>
      </c>
      <c r="BK2154">
        <f t="shared" si="2231"/>
        <v>399</v>
      </c>
      <c r="BL2154">
        <f t="shared" si="2232"/>
        <v>399</v>
      </c>
      <c r="BM2154" s="15">
        <f>SUMIFS(BJ$2:BJ2154,K$2:K2154,"=Intermission")+SUMIFS(BJ$2:BJ2154,K$2:K2154,"=Timeout")</f>
        <v>142</v>
      </c>
      <c r="BN2154">
        <f t="shared" si="2233"/>
        <v>2302</v>
      </c>
      <c r="BO2154" s="19">
        <f t="shared" si="2234"/>
        <v>2983</v>
      </c>
      <c r="BP2154">
        <f t="shared" si="2235"/>
        <v>2978</v>
      </c>
      <c r="BQ2154" s="17">
        <f t="shared" si="2236"/>
        <v>2983</v>
      </c>
      <c r="BR2154" t="str">
        <f t="shared" si="2237"/>
        <v>event_team_player_1</v>
      </c>
      <c r="BS2154">
        <f>COUNTIFS(S$3:S2154,"="&amp;S2154,AI$3:AI2154,"="&amp;AI2154)</f>
        <v>1</v>
      </c>
      <c r="BT2154" t="str">
        <f>IFERROR(VLOOKUP(BB2154&amp;BU2154&amp;X2154,game_rosters!U:W,3,FALSE),"")</f>
        <v>P100198</v>
      </c>
      <c r="BU2154" t="str">
        <f t="shared" si="2238"/>
        <v>Velodrome</v>
      </c>
    </row>
    <row r="2155" spans="1:73" x14ac:dyDescent="0.2">
      <c r="A2155">
        <f t="shared" si="2224"/>
        <v>1</v>
      </c>
      <c r="J2155" s="44" t="str">
        <f t="shared" si="2239"/>
        <v/>
      </c>
      <c r="K2155" t="s">
        <v>7</v>
      </c>
      <c r="L2155" t="s">
        <v>182</v>
      </c>
      <c r="M2155" t="s">
        <v>68</v>
      </c>
      <c r="S2155">
        <v>1142</v>
      </c>
      <c r="W2155" t="str">
        <f t="shared" si="2215"/>
        <v>a</v>
      </c>
      <c r="X2155">
        <v>42</v>
      </c>
      <c r="Y2155" t="e">
        <f>IF(X2155&lt;&gt;"",VLOOKUP(X2155,game_rosters!$C$43:$E$64,3,FALSE))</f>
        <v>#N/A</v>
      </c>
      <c r="Z2155" cm="1">
        <f t="array" ref="Z2155">IFERROR(IF(_xlfn._xlws.FILTER(game_rosters!$J:$J,(game_rosters!$G:$G=events!$AN2155)*(game_rosters!$J:$J=events!$X2155))&gt;0,1,""),"")</f>
        <v>1</v>
      </c>
      <c r="AA2155">
        <f t="shared" si="2263"/>
        <v>2142</v>
      </c>
      <c r="AB2155" t="str">
        <f t="shared" si="2264"/>
        <v/>
      </c>
      <c r="AC2155">
        <f t="shared" si="2212"/>
        <v>2142</v>
      </c>
      <c r="AD2155" s="6">
        <v>3</v>
      </c>
      <c r="AE2155" t="s">
        <v>938</v>
      </c>
      <c r="AF2155" t="s">
        <v>749</v>
      </c>
      <c r="AG2155" t="s">
        <v>756</v>
      </c>
      <c r="AH2155" t="s">
        <v>756</v>
      </c>
      <c r="AI2155" t="s">
        <v>367</v>
      </c>
      <c r="AJ2155" t="str">
        <f t="shared" ref="AJ2155:AK2155" si="2279">IF($J2155&lt;&gt;"",$J2155,IF($AC2155=$AC2154,AJ2154,""))</f>
        <v/>
      </c>
      <c r="AK2155" t="str">
        <f t="shared" si="2279"/>
        <v/>
      </c>
      <c r="AL2155" t="str">
        <f t="shared" si="2217"/>
        <v/>
      </c>
      <c r="AN2155" t="s">
        <v>862</v>
      </c>
      <c r="AO2155" t="str">
        <f t="shared" si="2218"/>
        <v>a</v>
      </c>
      <c r="AP2155" t="str">
        <f t="shared" si="2226"/>
        <v/>
      </c>
      <c r="AQ2155" t="str">
        <f t="shared" si="2227"/>
        <v/>
      </c>
      <c r="AR2155" t="str">
        <f t="shared" si="2228"/>
        <v>Away</v>
      </c>
      <c r="AS2155" t="str">
        <f t="shared" si="2229"/>
        <v>a</v>
      </c>
      <c r="AT2155" t="str">
        <f t="shared" si="2230"/>
        <v>Offensive</v>
      </c>
      <c r="BA2155" s="6">
        <f t="shared" si="2219"/>
        <v>489</v>
      </c>
      <c r="BB2155">
        <f t="shared" si="2220"/>
        <v>18981</v>
      </c>
      <c r="BC2155" t="str">
        <f t="shared" si="2221"/>
        <v>Nelson</v>
      </c>
      <c r="BD2155" t="str">
        <f t="shared" si="2222"/>
        <v>Velodrome</v>
      </c>
      <c r="BE2155" t="s">
        <v>7</v>
      </c>
      <c r="BF2155" t="s">
        <v>182</v>
      </c>
      <c r="BG2155" t="s">
        <v>68</v>
      </c>
      <c r="BI2155" cm="1">
        <f t="array" ref="BI2155">IFERROR(_xlfn._xlws.FILTER(shifts!A:A,(shifts!B:B=events!AD2155)*(shifts!AG:AG&gt;=events!BK2155)*(shifts!AH:AH&lt;=events!BL2155)),BI2154)</f>
        <v>94</v>
      </c>
      <c r="BJ2155" s="15">
        <f t="shared" si="2223"/>
        <v>0</v>
      </c>
      <c r="BK2155">
        <f t="shared" si="2231"/>
        <v>399</v>
      </c>
      <c r="BL2155">
        <f t="shared" si="2232"/>
        <v>399</v>
      </c>
      <c r="BM2155" s="15">
        <f>SUMIFS(BJ$2:BJ2155,K$2:K2155,"=Intermission")+SUMIFS(BJ$2:BJ2155,K$2:K2155,"=Timeout")</f>
        <v>142</v>
      </c>
      <c r="BN2155">
        <f t="shared" si="2233"/>
        <v>2302</v>
      </c>
      <c r="BO2155" s="19">
        <f t="shared" si="2234"/>
        <v>2983</v>
      </c>
      <c r="BP2155">
        <f t="shared" si="2235"/>
        <v>2978</v>
      </c>
      <c r="BQ2155" s="17">
        <f t="shared" si="2236"/>
        <v>2983</v>
      </c>
      <c r="BR2155" t="str">
        <f t="shared" si="2237"/>
        <v>event_team_player_2</v>
      </c>
      <c r="BS2155">
        <f>COUNTIFS(S$3:S2155,"="&amp;S2155,AI$3:AI2155,"="&amp;AI2155)</f>
        <v>2</v>
      </c>
      <c r="BT2155" t="str">
        <f>IFERROR(VLOOKUP(BB2155&amp;BU2155&amp;X2155,game_rosters!U:W,3,FALSE),"")</f>
        <v>P100201</v>
      </c>
      <c r="BU2155" t="str">
        <f t="shared" si="2238"/>
        <v>Velodrome</v>
      </c>
    </row>
    <row r="2156" spans="1:73" x14ac:dyDescent="0.2">
      <c r="A2156">
        <f t="shared" si="2224"/>
        <v>1</v>
      </c>
      <c r="J2156" s="44" t="str">
        <f t="shared" si="2239"/>
        <v/>
      </c>
      <c r="K2156" t="s">
        <v>7</v>
      </c>
      <c r="L2156" t="s">
        <v>182</v>
      </c>
      <c r="M2156" t="s">
        <v>68</v>
      </c>
      <c r="S2156">
        <v>1142</v>
      </c>
      <c r="W2156" t="str">
        <f t="shared" si="2215"/>
        <v>a</v>
      </c>
      <c r="X2156">
        <v>16</v>
      </c>
      <c r="Y2156" t="b">
        <f>IF(X2156&lt;&gt;"",VLOOKUP(X2156,game_rosters!$C$43:$E$64,3,FALSE))</f>
        <v>0</v>
      </c>
      <c r="Z2156" t="str" cm="1">
        <f t="array" ref="Z2156">IFERROR(IF(_xlfn._xlws.FILTER(game_rosters!$J:$J,(game_rosters!$G:$G=events!$AN2156)*(game_rosters!$J:$J=events!$X2156))&gt;0,1,""),"")</f>
        <v/>
      </c>
      <c r="AA2156">
        <f t="shared" si="2263"/>
        <v>2142</v>
      </c>
      <c r="AB2156" t="str">
        <f t="shared" si="2264"/>
        <v/>
      </c>
      <c r="AC2156">
        <f t="shared" si="2212"/>
        <v>2142</v>
      </c>
      <c r="AD2156" s="6">
        <v>3</v>
      </c>
      <c r="AE2156" t="s">
        <v>938</v>
      </c>
      <c r="AF2156" t="s">
        <v>749</v>
      </c>
      <c r="AG2156" t="s">
        <v>756</v>
      </c>
      <c r="AH2156" t="s">
        <v>756</v>
      </c>
      <c r="AI2156" t="s">
        <v>368</v>
      </c>
      <c r="AJ2156" t="str">
        <f t="shared" ref="AJ2156:AK2156" si="2280">IF($J2156&lt;&gt;"",$J2156,IF($AC2156=$AC2155,AJ2155,""))</f>
        <v/>
      </c>
      <c r="AK2156" t="str">
        <f t="shared" si="2280"/>
        <v/>
      </c>
      <c r="AL2156" t="str">
        <f t="shared" si="2217"/>
        <v/>
      </c>
      <c r="AN2156" t="s">
        <v>862</v>
      </c>
      <c r="AO2156" t="str">
        <f t="shared" si="2218"/>
        <v>a</v>
      </c>
      <c r="AP2156" t="str">
        <f t="shared" si="2226"/>
        <v/>
      </c>
      <c r="AQ2156" t="str">
        <f t="shared" si="2227"/>
        <v/>
      </c>
      <c r="AR2156" t="str">
        <f t="shared" si="2228"/>
        <v>Away</v>
      </c>
      <c r="AS2156" t="str">
        <f t="shared" si="2229"/>
        <v>a</v>
      </c>
      <c r="AT2156" t="str">
        <f t="shared" si="2230"/>
        <v>Defensive</v>
      </c>
      <c r="BA2156" s="6">
        <f t="shared" si="2219"/>
        <v>489</v>
      </c>
      <c r="BB2156">
        <f t="shared" si="2220"/>
        <v>18981</v>
      </c>
      <c r="BC2156" t="str">
        <f t="shared" si="2221"/>
        <v>Nelson</v>
      </c>
      <c r="BD2156" t="str">
        <f t="shared" si="2222"/>
        <v>Velodrome</v>
      </c>
      <c r="BE2156" t="s">
        <v>7</v>
      </c>
      <c r="BF2156" t="s">
        <v>182</v>
      </c>
      <c r="BG2156" t="s">
        <v>68</v>
      </c>
      <c r="BI2156" cm="1">
        <f t="array" ref="BI2156">IFERROR(_xlfn._xlws.FILTER(shifts!A:A,(shifts!B:B=events!AD2156)*(shifts!AG:AG&gt;=events!BK2156)*(shifts!AH:AH&lt;=events!BL2156)),BI2155)</f>
        <v>94</v>
      </c>
      <c r="BJ2156" s="15">
        <f t="shared" si="2223"/>
        <v>0</v>
      </c>
      <c r="BK2156">
        <f t="shared" si="2231"/>
        <v>399</v>
      </c>
      <c r="BL2156">
        <f t="shared" si="2232"/>
        <v>399</v>
      </c>
      <c r="BM2156" s="15">
        <f>SUMIFS(BJ$2:BJ2156,K$2:K2156,"=Intermission")+SUMIFS(BJ$2:BJ2156,K$2:K2156,"=Timeout")</f>
        <v>142</v>
      </c>
      <c r="BN2156">
        <f t="shared" si="2233"/>
        <v>2302</v>
      </c>
      <c r="BO2156" s="19">
        <f t="shared" si="2234"/>
        <v>2983</v>
      </c>
      <c r="BP2156">
        <f t="shared" si="2235"/>
        <v>2978</v>
      </c>
      <c r="BQ2156" s="17">
        <f t="shared" si="2236"/>
        <v>2983</v>
      </c>
      <c r="BR2156" t="str">
        <f t="shared" si="2237"/>
        <v>opp_team_player_1</v>
      </c>
      <c r="BS2156">
        <f>COUNTIFS(S$3:S2156,"="&amp;S2156,AI$3:AI2156,"="&amp;AI2156)</f>
        <v>1</v>
      </c>
      <c r="BT2156" t="str">
        <f>IFERROR(VLOOKUP(BB2156&amp;BU2156&amp;X2156,game_rosters!U:W,3,FALSE),"")</f>
        <v>P100164</v>
      </c>
      <c r="BU2156" t="str">
        <f t="shared" si="2238"/>
        <v>Nelson</v>
      </c>
    </row>
    <row r="2157" spans="1:73" x14ac:dyDescent="0.2">
      <c r="A2157">
        <f t="shared" si="2224"/>
        <v>1</v>
      </c>
      <c r="J2157" s="44" t="str">
        <f t="shared" si="2239"/>
        <v>o</v>
      </c>
      <c r="K2157" t="s">
        <v>238</v>
      </c>
      <c r="L2157" t="s">
        <v>174</v>
      </c>
      <c r="M2157" t="s">
        <v>390</v>
      </c>
      <c r="S2157">
        <v>1143</v>
      </c>
      <c r="W2157" t="str">
        <f t="shared" si="2215"/>
        <v>a</v>
      </c>
      <c r="X2157">
        <v>84</v>
      </c>
      <c r="Y2157" t="e">
        <f>IF(X2157&lt;&gt;"",VLOOKUP(X2157,game_rosters!$C$43:$E$64,3,FALSE))</f>
        <v>#N/A</v>
      </c>
      <c r="Z2157" cm="1">
        <f t="array" ref="Z2157">IFERROR(IF(_xlfn._xlws.FILTER(game_rosters!$J:$J,(game_rosters!$G:$G=events!$AN2157)*(game_rosters!$J:$J=events!$X2157))&gt;0,1,""),"")</f>
        <v>1</v>
      </c>
      <c r="AA2157">
        <f t="shared" si="2263"/>
        <v>2143</v>
      </c>
      <c r="AB2157" t="str">
        <f t="shared" si="2264"/>
        <v/>
      </c>
      <c r="AC2157">
        <f t="shared" si="2212"/>
        <v>2143</v>
      </c>
      <c r="AD2157" s="6">
        <v>3</v>
      </c>
      <c r="AE2157" t="s">
        <v>938</v>
      </c>
      <c r="AF2157" t="s">
        <v>749</v>
      </c>
      <c r="AG2157" t="s">
        <v>756</v>
      </c>
      <c r="AH2157" t="s">
        <v>756</v>
      </c>
      <c r="AI2157" t="s">
        <v>367</v>
      </c>
      <c r="AJ2157" t="str">
        <f t="shared" ref="AJ2157:AK2157" si="2281">IF($J2157&lt;&gt;"",$J2157,IF($AC2157=$AC2156,AJ2156,""))</f>
        <v>o</v>
      </c>
      <c r="AK2157" t="str">
        <f t="shared" si="2281"/>
        <v>o</v>
      </c>
      <c r="AL2157" t="str">
        <f t="shared" si="2217"/>
        <v>d</v>
      </c>
      <c r="AN2157" t="s">
        <v>862</v>
      </c>
      <c r="AO2157" t="str">
        <f t="shared" si="2218"/>
        <v>a</v>
      </c>
      <c r="AP2157" t="str">
        <f t="shared" si="2226"/>
        <v>d</v>
      </c>
      <c r="AQ2157" t="str">
        <f t="shared" si="2227"/>
        <v/>
      </c>
      <c r="AR2157" t="str">
        <f t="shared" si="2228"/>
        <v>Away</v>
      </c>
      <c r="AS2157" t="str">
        <f t="shared" si="2229"/>
        <v>a</v>
      </c>
      <c r="AT2157" t="str">
        <f t="shared" si="2230"/>
        <v>Offensive</v>
      </c>
      <c r="BA2157" s="6">
        <f t="shared" si="2219"/>
        <v>490</v>
      </c>
      <c r="BB2157">
        <f t="shared" si="2220"/>
        <v>18981</v>
      </c>
      <c r="BC2157" t="str">
        <f t="shared" si="2221"/>
        <v>Nelson</v>
      </c>
      <c r="BD2157" t="str">
        <f t="shared" si="2222"/>
        <v>Velodrome</v>
      </c>
      <c r="BE2157" t="s">
        <v>238</v>
      </c>
      <c r="BF2157" t="s">
        <v>174</v>
      </c>
      <c r="BG2157" t="s">
        <v>390</v>
      </c>
      <c r="BI2157" cm="1">
        <f t="array" ref="BI2157">IFERROR(_xlfn._xlws.FILTER(shifts!A:A,(shifts!B:B=events!AD2157)*(shifts!AG:AG&gt;=events!BK2157)*(shifts!AH:AH&lt;=events!BL2157)),BI2156)</f>
        <v>94</v>
      </c>
      <c r="BJ2157" s="15">
        <f t="shared" si="2223"/>
        <v>0</v>
      </c>
      <c r="BK2157">
        <f t="shared" si="2231"/>
        <v>399</v>
      </c>
      <c r="BL2157">
        <f t="shared" si="2232"/>
        <v>399</v>
      </c>
      <c r="BM2157" s="15">
        <f>SUMIFS(BJ$2:BJ2157,K$2:K2157,"=Intermission")+SUMIFS(BJ$2:BJ2157,K$2:K2157,"=Timeout")</f>
        <v>142</v>
      </c>
      <c r="BN2157">
        <f t="shared" si="2233"/>
        <v>2302</v>
      </c>
      <c r="BO2157" s="19">
        <f t="shared" si="2234"/>
        <v>2983</v>
      </c>
      <c r="BP2157">
        <f t="shared" si="2235"/>
        <v>2978</v>
      </c>
      <c r="BQ2157" s="17">
        <f t="shared" si="2236"/>
        <v>2983</v>
      </c>
      <c r="BR2157" t="str">
        <f t="shared" si="2237"/>
        <v>event_team_player_1</v>
      </c>
      <c r="BS2157">
        <f>COUNTIFS(S$3:S2157,"="&amp;S2157,AI$3:AI2157,"="&amp;AI2157)</f>
        <v>1</v>
      </c>
      <c r="BT2157" t="str">
        <f>IFERROR(VLOOKUP(BB2157&amp;BU2157&amp;X2157,game_rosters!U:W,3,FALSE),"")</f>
        <v>P100198</v>
      </c>
      <c r="BU2157" t="str">
        <f t="shared" si="2238"/>
        <v>Velodrome</v>
      </c>
    </row>
    <row r="2158" spans="1:73" x14ac:dyDescent="0.2">
      <c r="A2158">
        <f t="shared" si="2224"/>
        <v>1</v>
      </c>
      <c r="J2158" s="44" t="str">
        <f t="shared" si="2239"/>
        <v>o</v>
      </c>
      <c r="K2158" t="s">
        <v>238</v>
      </c>
      <c r="L2158" t="s">
        <v>174</v>
      </c>
      <c r="M2158" t="s">
        <v>390</v>
      </c>
      <c r="S2158">
        <v>1143</v>
      </c>
      <c r="W2158" t="str">
        <f t="shared" si="2215"/>
        <v>a</v>
      </c>
      <c r="X2158">
        <v>42</v>
      </c>
      <c r="Y2158" t="e">
        <f>IF(X2158&lt;&gt;"",VLOOKUP(X2158,game_rosters!$C$43:$E$64,3,FALSE))</f>
        <v>#N/A</v>
      </c>
      <c r="Z2158" cm="1">
        <f t="array" ref="Z2158">IFERROR(IF(_xlfn._xlws.FILTER(game_rosters!$J:$J,(game_rosters!$G:$G=events!$AN2158)*(game_rosters!$J:$J=events!$X2158))&gt;0,1,""),"")</f>
        <v>1</v>
      </c>
      <c r="AA2158">
        <f t="shared" si="2263"/>
        <v>2143</v>
      </c>
      <c r="AB2158" t="str">
        <f t="shared" si="2264"/>
        <v/>
      </c>
      <c r="AC2158">
        <f t="shared" si="2212"/>
        <v>2143</v>
      </c>
      <c r="AD2158" s="6">
        <v>3</v>
      </c>
      <c r="AE2158" t="s">
        <v>938</v>
      </c>
      <c r="AF2158" t="s">
        <v>749</v>
      </c>
      <c r="AG2158" t="s">
        <v>756</v>
      </c>
      <c r="AH2158" t="s">
        <v>756</v>
      </c>
      <c r="AI2158" t="s">
        <v>367</v>
      </c>
      <c r="AJ2158" t="str">
        <f t="shared" ref="AJ2158:AK2158" si="2282">IF($J2158&lt;&gt;"",$J2158,IF($AC2158=$AC2157,AJ2157,""))</f>
        <v>o</v>
      </c>
      <c r="AK2158" t="str">
        <f t="shared" si="2282"/>
        <v>o</v>
      </c>
      <c r="AL2158" t="str">
        <f t="shared" si="2217"/>
        <v>d</v>
      </c>
      <c r="AN2158" t="s">
        <v>862</v>
      </c>
      <c r="AO2158" t="str">
        <f t="shared" si="2218"/>
        <v>a</v>
      </c>
      <c r="AP2158" t="str">
        <f t="shared" si="2226"/>
        <v>d</v>
      </c>
      <c r="AQ2158" t="str">
        <f t="shared" si="2227"/>
        <v/>
      </c>
      <c r="AR2158" t="str">
        <f t="shared" si="2228"/>
        <v>Away</v>
      </c>
      <c r="AS2158" t="str">
        <f t="shared" si="2229"/>
        <v>a</v>
      </c>
      <c r="AT2158" t="str">
        <f t="shared" si="2230"/>
        <v>Offensive</v>
      </c>
      <c r="BA2158" s="6">
        <f t="shared" si="2219"/>
        <v>491</v>
      </c>
      <c r="BB2158">
        <f t="shared" si="2220"/>
        <v>18981</v>
      </c>
      <c r="BC2158" t="str">
        <f t="shared" si="2221"/>
        <v>Nelson</v>
      </c>
      <c r="BD2158" t="str">
        <f t="shared" si="2222"/>
        <v>Velodrome</v>
      </c>
      <c r="BE2158" t="s">
        <v>238</v>
      </c>
      <c r="BF2158" t="s">
        <v>174</v>
      </c>
      <c r="BG2158" t="s">
        <v>390</v>
      </c>
      <c r="BI2158" cm="1">
        <f t="array" ref="BI2158">IFERROR(_xlfn._xlws.FILTER(shifts!A:A,(shifts!B:B=events!AD2158)*(shifts!AG:AG&gt;=events!BK2158)*(shifts!AH:AH&lt;=events!BL2158)),BI2157)</f>
        <v>94</v>
      </c>
      <c r="BJ2158" s="15">
        <f t="shared" si="2223"/>
        <v>0</v>
      </c>
      <c r="BK2158">
        <f t="shared" si="2231"/>
        <v>399</v>
      </c>
      <c r="BL2158">
        <f t="shared" si="2232"/>
        <v>399</v>
      </c>
      <c r="BM2158" s="15">
        <f>SUMIFS(BJ$2:BJ2158,K$2:K2158,"=Intermission")+SUMIFS(BJ$2:BJ2158,K$2:K2158,"=Timeout")</f>
        <v>142</v>
      </c>
      <c r="BN2158">
        <f t="shared" si="2233"/>
        <v>2302</v>
      </c>
      <c r="BO2158" s="19">
        <f t="shared" si="2234"/>
        <v>2983</v>
      </c>
      <c r="BP2158">
        <f t="shared" si="2235"/>
        <v>2978</v>
      </c>
      <c r="BQ2158" s="17">
        <f t="shared" si="2236"/>
        <v>2983</v>
      </c>
      <c r="BR2158" t="str">
        <f t="shared" si="2237"/>
        <v>event_team_player_2</v>
      </c>
      <c r="BS2158">
        <f>COUNTIFS(S$3:S2158,"="&amp;S2158,AI$3:AI2158,"="&amp;AI2158)</f>
        <v>2</v>
      </c>
      <c r="BT2158" t="str">
        <f>IFERROR(VLOOKUP(BB2158&amp;BU2158&amp;X2158,game_rosters!U:W,3,FALSE),"")</f>
        <v>P100201</v>
      </c>
      <c r="BU2158" t="str">
        <f t="shared" si="2238"/>
        <v>Velodrome</v>
      </c>
    </row>
    <row r="2159" spans="1:73" x14ac:dyDescent="0.2">
      <c r="A2159">
        <f t="shared" si="2224"/>
        <v>1</v>
      </c>
      <c r="J2159" s="44" t="str">
        <f t="shared" si="2239"/>
        <v>o</v>
      </c>
      <c r="K2159" t="s">
        <v>238</v>
      </c>
      <c r="L2159" t="s">
        <v>174</v>
      </c>
      <c r="M2159" t="s">
        <v>390</v>
      </c>
      <c r="S2159">
        <v>1143</v>
      </c>
      <c r="W2159" t="str">
        <f t="shared" si="2215"/>
        <v>a</v>
      </c>
      <c r="X2159">
        <v>16</v>
      </c>
      <c r="Y2159" t="b">
        <f>IF(X2159&lt;&gt;"",VLOOKUP(X2159,game_rosters!$C$43:$E$64,3,FALSE))</f>
        <v>0</v>
      </c>
      <c r="Z2159" t="str" cm="1">
        <f t="array" ref="Z2159">IFERROR(IF(_xlfn._xlws.FILTER(game_rosters!$J:$J,(game_rosters!$G:$G=events!$AN2159)*(game_rosters!$J:$J=events!$X2159))&gt;0,1,""),"")</f>
        <v/>
      </c>
      <c r="AA2159">
        <f t="shared" si="2263"/>
        <v>2143</v>
      </c>
      <c r="AB2159" t="str">
        <f t="shared" si="2264"/>
        <v/>
      </c>
      <c r="AC2159">
        <f t="shared" si="2212"/>
        <v>2143</v>
      </c>
      <c r="AD2159" s="6">
        <v>3</v>
      </c>
      <c r="AE2159" t="s">
        <v>938</v>
      </c>
      <c r="AF2159" t="s">
        <v>749</v>
      </c>
      <c r="AG2159" t="s">
        <v>756</v>
      </c>
      <c r="AH2159" t="s">
        <v>756</v>
      </c>
      <c r="AI2159" t="s">
        <v>368</v>
      </c>
      <c r="AJ2159" t="str">
        <f t="shared" ref="AJ2159:AK2159" si="2283">IF($J2159&lt;&gt;"",$J2159,IF($AC2159=$AC2158,AJ2158,""))</f>
        <v>o</v>
      </c>
      <c r="AK2159" t="str">
        <f t="shared" si="2283"/>
        <v>o</v>
      </c>
      <c r="AL2159" t="str">
        <f t="shared" si="2217"/>
        <v>d</v>
      </c>
      <c r="AN2159" t="s">
        <v>862</v>
      </c>
      <c r="AO2159" t="str">
        <f t="shared" si="2218"/>
        <v>a</v>
      </c>
      <c r="AP2159" t="str">
        <f t="shared" si="2226"/>
        <v>d</v>
      </c>
      <c r="AQ2159" t="str">
        <f t="shared" si="2227"/>
        <v/>
      </c>
      <c r="AR2159" t="str">
        <f t="shared" si="2228"/>
        <v>Away</v>
      </c>
      <c r="AS2159" t="str">
        <f t="shared" si="2229"/>
        <v>a</v>
      </c>
      <c r="AT2159" t="str">
        <f t="shared" si="2230"/>
        <v>Defensive</v>
      </c>
      <c r="BA2159" s="6">
        <f t="shared" si="2219"/>
        <v>492</v>
      </c>
      <c r="BB2159">
        <f t="shared" si="2220"/>
        <v>18981</v>
      </c>
      <c r="BC2159" t="str">
        <f t="shared" si="2221"/>
        <v>Nelson</v>
      </c>
      <c r="BD2159" t="str">
        <f t="shared" si="2222"/>
        <v>Velodrome</v>
      </c>
      <c r="BE2159" t="s">
        <v>238</v>
      </c>
      <c r="BF2159" t="s">
        <v>174</v>
      </c>
      <c r="BG2159" t="s">
        <v>390</v>
      </c>
      <c r="BI2159" cm="1">
        <f t="array" ref="BI2159">IFERROR(_xlfn._xlws.FILTER(shifts!A:A,(shifts!B:B=events!AD2159)*(shifts!AG:AG&gt;=events!BK2159)*(shifts!AH:AH&lt;=events!BL2159)),BI2158)</f>
        <v>94</v>
      </c>
      <c r="BJ2159" s="15">
        <f t="shared" si="2223"/>
        <v>0</v>
      </c>
      <c r="BK2159">
        <f t="shared" si="2231"/>
        <v>399</v>
      </c>
      <c r="BL2159">
        <f t="shared" si="2232"/>
        <v>399</v>
      </c>
      <c r="BM2159" s="15">
        <f>SUMIFS(BJ$2:BJ2159,K$2:K2159,"=Intermission")+SUMIFS(BJ$2:BJ2159,K$2:K2159,"=Timeout")</f>
        <v>142</v>
      </c>
      <c r="BN2159">
        <f t="shared" si="2233"/>
        <v>2302</v>
      </c>
      <c r="BO2159" s="19">
        <f t="shared" si="2234"/>
        <v>2983</v>
      </c>
      <c r="BP2159">
        <f t="shared" si="2235"/>
        <v>2978</v>
      </c>
      <c r="BQ2159" s="17">
        <f t="shared" si="2236"/>
        <v>2983</v>
      </c>
      <c r="BR2159" t="str">
        <f t="shared" si="2237"/>
        <v>opp_team_player_1</v>
      </c>
      <c r="BS2159">
        <f>COUNTIFS(S$3:S2159,"="&amp;S2159,AI$3:AI2159,"="&amp;AI2159)</f>
        <v>1</v>
      </c>
      <c r="BT2159" t="str">
        <f>IFERROR(VLOOKUP(BB2159&amp;BU2159&amp;X2159,game_rosters!U:W,3,FALSE),"")</f>
        <v>P100164</v>
      </c>
      <c r="BU2159" t="str">
        <f t="shared" si="2238"/>
        <v>Nelson</v>
      </c>
    </row>
    <row r="2160" spans="1:73" x14ac:dyDescent="0.2">
      <c r="A2160">
        <f t="shared" si="2224"/>
        <v>1</v>
      </c>
      <c r="J2160" s="44" t="str">
        <f t="shared" si="2239"/>
        <v/>
      </c>
      <c r="K2160" t="s">
        <v>13</v>
      </c>
      <c r="L2160" t="s">
        <v>756</v>
      </c>
      <c r="M2160" t="s">
        <v>756</v>
      </c>
      <c r="S2160">
        <v>1144</v>
      </c>
      <c r="W2160" t="str">
        <f t="shared" si="2215"/>
        <v>a</v>
      </c>
      <c r="X2160">
        <v>42</v>
      </c>
      <c r="Y2160" t="e">
        <f>IF(X2160&lt;&gt;"",VLOOKUP(X2160,game_rosters!$C$43:$E$64,3,FALSE))</f>
        <v>#N/A</v>
      </c>
      <c r="Z2160" cm="1">
        <f t="array" ref="Z2160">IFERROR(IF(_xlfn._xlws.FILTER(game_rosters!$J:$J,(game_rosters!$G:$G=events!$AN2160)*(game_rosters!$J:$J=events!$X2160))&gt;0,1,""),"")</f>
        <v>1</v>
      </c>
      <c r="AA2160">
        <f t="shared" si="2263"/>
        <v>2144</v>
      </c>
      <c r="AB2160" t="str">
        <f t="shared" si="2264"/>
        <v/>
      </c>
      <c r="AC2160">
        <f t="shared" si="2212"/>
        <v>2144</v>
      </c>
      <c r="AD2160" s="6">
        <v>3</v>
      </c>
      <c r="AE2160" t="s">
        <v>938</v>
      </c>
      <c r="AF2160" t="s">
        <v>929</v>
      </c>
      <c r="AG2160" t="s">
        <v>938</v>
      </c>
      <c r="AH2160" t="s">
        <v>905</v>
      </c>
      <c r="AI2160" t="s">
        <v>367</v>
      </c>
      <c r="AJ2160" t="str">
        <f t="shared" ref="AJ2160:AK2160" si="2284">IF($J2160&lt;&gt;"",$J2160,IF($AC2160=$AC2159,AJ2159,""))</f>
        <v/>
      </c>
      <c r="AK2160" t="str">
        <f t="shared" si="2284"/>
        <v/>
      </c>
      <c r="AL2160" t="str">
        <f t="shared" si="2217"/>
        <v/>
      </c>
      <c r="AN2160" t="s">
        <v>862</v>
      </c>
      <c r="AO2160" t="str">
        <f t="shared" si="2218"/>
        <v>a</v>
      </c>
      <c r="AP2160" t="str">
        <f t="shared" si="2226"/>
        <v/>
      </c>
      <c r="AQ2160" t="str">
        <f t="shared" si="2227"/>
        <v/>
      </c>
      <c r="AR2160" t="str">
        <f t="shared" si="2228"/>
        <v>Away</v>
      </c>
      <c r="AS2160" t="str">
        <f t="shared" si="2229"/>
        <v>a</v>
      </c>
      <c r="AT2160" t="str">
        <f t="shared" si="2230"/>
        <v>Offensive</v>
      </c>
      <c r="BA2160" s="6">
        <f t="shared" si="2219"/>
        <v>492</v>
      </c>
      <c r="BB2160">
        <f t="shared" si="2220"/>
        <v>18981</v>
      </c>
      <c r="BC2160" t="str">
        <f t="shared" si="2221"/>
        <v>Nelson</v>
      </c>
      <c r="BD2160" t="str">
        <f t="shared" si="2222"/>
        <v>Velodrome</v>
      </c>
      <c r="BE2160" t="s">
        <v>13</v>
      </c>
      <c r="BF2160" t="s">
        <v>756</v>
      </c>
      <c r="BG2160" t="s">
        <v>756</v>
      </c>
      <c r="BI2160" cm="1">
        <f t="array" ref="BI2160">IFERROR(_xlfn._xlws.FILTER(shifts!A:A,(shifts!B:B=events!AD2160)*(shifts!AG:AG&gt;=events!BK2160)*(shifts!AH:AH&lt;=events!BL2160)),BI2159)</f>
        <v>95</v>
      </c>
      <c r="BJ2160" s="15">
        <f t="shared" si="2223"/>
        <v>2</v>
      </c>
      <c r="BK2160">
        <f t="shared" si="2231"/>
        <v>394</v>
      </c>
      <c r="BL2160">
        <f t="shared" si="2232"/>
        <v>392</v>
      </c>
      <c r="BM2160" s="15">
        <f>SUMIFS(BJ$2:BJ2160,K$2:K2160,"=Intermission")+SUMIFS(BJ$2:BJ2160,K$2:K2160,"=Timeout")</f>
        <v>142</v>
      </c>
      <c r="BN2160">
        <f t="shared" si="2233"/>
        <v>2302</v>
      </c>
      <c r="BO2160" s="19">
        <f t="shared" si="2234"/>
        <v>2988</v>
      </c>
      <c r="BP2160">
        <f t="shared" si="2235"/>
        <v>2983</v>
      </c>
      <c r="BQ2160" s="17">
        <f t="shared" si="2236"/>
        <v>2990</v>
      </c>
      <c r="BR2160" t="str">
        <f t="shared" si="2237"/>
        <v>event_team_player_1</v>
      </c>
      <c r="BS2160">
        <f>COUNTIFS(S$3:S2160,"="&amp;S2160,AI$3:AI2160,"="&amp;AI2160)</f>
        <v>1</v>
      </c>
      <c r="BT2160" t="str">
        <f>IFERROR(VLOOKUP(BB2160&amp;BU2160&amp;X2160,game_rosters!U:W,3,FALSE),"")</f>
        <v>P100201</v>
      </c>
      <c r="BU2160" t="str">
        <f t="shared" si="2238"/>
        <v>Velodrome</v>
      </c>
    </row>
    <row r="2161" spans="1:73" x14ac:dyDescent="0.2">
      <c r="A2161">
        <f t="shared" si="2224"/>
        <v>1</v>
      </c>
      <c r="J2161" s="44" t="str">
        <f t="shared" si="2239"/>
        <v/>
      </c>
      <c r="K2161" t="s">
        <v>13</v>
      </c>
      <c r="L2161" t="s">
        <v>756</v>
      </c>
      <c r="M2161" t="s">
        <v>756</v>
      </c>
      <c r="S2161">
        <v>1144</v>
      </c>
      <c r="W2161" t="str">
        <f t="shared" si="2215"/>
        <v>a</v>
      </c>
      <c r="X2161">
        <v>80</v>
      </c>
      <c r="Y2161" t="b">
        <f>IF(X2161&lt;&gt;"",VLOOKUP(X2161,game_rosters!$C$43:$E$64,3,FALSE))</f>
        <v>0</v>
      </c>
      <c r="Z2161" t="str" cm="1">
        <f t="array" ref="Z2161">IFERROR(IF(_xlfn._xlws.FILTER(game_rosters!$J:$J,(game_rosters!$G:$G=events!$AN2161)*(game_rosters!$J:$J=events!$X2161))&gt;0,1,""),"")</f>
        <v/>
      </c>
      <c r="AA2161">
        <f t="shared" si="2263"/>
        <v>2144</v>
      </c>
      <c r="AB2161" t="str">
        <f t="shared" si="2264"/>
        <v/>
      </c>
      <c r="AC2161">
        <f t="shared" si="2212"/>
        <v>2144</v>
      </c>
      <c r="AD2161" s="6">
        <v>3</v>
      </c>
      <c r="AE2161" t="s">
        <v>938</v>
      </c>
      <c r="AF2161" t="s">
        <v>929</v>
      </c>
      <c r="AG2161" t="s">
        <v>938</v>
      </c>
      <c r="AH2161" t="s">
        <v>905</v>
      </c>
      <c r="AI2161" t="s">
        <v>368</v>
      </c>
      <c r="AJ2161" t="str">
        <f t="shared" ref="AJ2161:AK2161" si="2285">IF($J2161&lt;&gt;"",$J2161,IF($AC2161=$AC2160,AJ2160,""))</f>
        <v/>
      </c>
      <c r="AK2161" t="str">
        <f t="shared" si="2285"/>
        <v/>
      </c>
      <c r="AL2161" t="str">
        <f t="shared" si="2217"/>
        <v/>
      </c>
      <c r="AN2161" t="s">
        <v>862</v>
      </c>
      <c r="AO2161" t="str">
        <f t="shared" si="2218"/>
        <v>a</v>
      </c>
      <c r="AP2161" t="str">
        <f t="shared" si="2226"/>
        <v/>
      </c>
      <c r="AQ2161" t="str">
        <f t="shared" si="2227"/>
        <v/>
      </c>
      <c r="AR2161" t="str">
        <f t="shared" si="2228"/>
        <v>Away</v>
      </c>
      <c r="AS2161" t="str">
        <f t="shared" si="2229"/>
        <v>a</v>
      </c>
      <c r="AT2161" t="str">
        <f t="shared" si="2230"/>
        <v>Defensive</v>
      </c>
      <c r="BA2161" s="6">
        <f t="shared" si="2219"/>
        <v>492</v>
      </c>
      <c r="BB2161">
        <f t="shared" si="2220"/>
        <v>18981</v>
      </c>
      <c r="BC2161" t="str">
        <f t="shared" si="2221"/>
        <v>Nelson</v>
      </c>
      <c r="BD2161" t="str">
        <f t="shared" si="2222"/>
        <v>Velodrome</v>
      </c>
      <c r="BE2161" t="s">
        <v>13</v>
      </c>
      <c r="BF2161" t="s">
        <v>756</v>
      </c>
      <c r="BG2161" t="s">
        <v>756</v>
      </c>
      <c r="BI2161" cm="1">
        <f t="array" ref="BI2161">IFERROR(_xlfn._xlws.FILTER(shifts!A:A,(shifts!B:B=events!AD2161)*(shifts!AG:AG&gt;=events!BK2161)*(shifts!AH:AH&lt;=events!BL2161)),BI2160)</f>
        <v>95</v>
      </c>
      <c r="BJ2161" s="15">
        <f t="shared" si="2223"/>
        <v>2</v>
      </c>
      <c r="BK2161">
        <f t="shared" si="2231"/>
        <v>394</v>
      </c>
      <c r="BL2161">
        <f t="shared" si="2232"/>
        <v>392</v>
      </c>
      <c r="BM2161" s="15">
        <f>SUMIFS(BJ$2:BJ2161,K$2:K2161,"=Intermission")+SUMIFS(BJ$2:BJ2161,K$2:K2161,"=Timeout")</f>
        <v>142</v>
      </c>
      <c r="BN2161">
        <f t="shared" si="2233"/>
        <v>2302</v>
      </c>
      <c r="BO2161" s="19">
        <f t="shared" si="2234"/>
        <v>2988</v>
      </c>
      <c r="BP2161">
        <f t="shared" si="2235"/>
        <v>2983</v>
      </c>
      <c r="BQ2161" s="17">
        <f t="shared" si="2236"/>
        <v>2990</v>
      </c>
      <c r="BR2161" t="str">
        <f t="shared" si="2237"/>
        <v>opp_team_player_1</v>
      </c>
      <c r="BS2161">
        <f>COUNTIFS(S$3:S2161,"="&amp;S2161,AI$3:AI2161,"="&amp;AI2161)</f>
        <v>1</v>
      </c>
      <c r="BT2161" t="str">
        <f>IFERROR(VLOOKUP(BB2161&amp;BU2161&amp;X2161,game_rosters!U:W,3,FALSE),"")</f>
        <v>P100197</v>
      </c>
      <c r="BU2161" t="str">
        <f t="shared" si="2238"/>
        <v>Nelson</v>
      </c>
    </row>
    <row r="2162" spans="1:73" x14ac:dyDescent="0.2">
      <c r="A2162">
        <f t="shared" si="2224"/>
        <v>1</v>
      </c>
      <c r="J2162" s="44" t="str">
        <f t="shared" si="2239"/>
        <v/>
      </c>
      <c r="K2162" t="s">
        <v>7</v>
      </c>
      <c r="L2162" t="s">
        <v>182</v>
      </c>
      <c r="M2162" t="s">
        <v>68</v>
      </c>
      <c r="S2162">
        <v>1145</v>
      </c>
      <c r="W2162" t="str">
        <f t="shared" si="2215"/>
        <v>a</v>
      </c>
      <c r="X2162">
        <v>42</v>
      </c>
      <c r="Y2162" t="e">
        <f>IF(X2162&lt;&gt;"",VLOOKUP(X2162,game_rosters!$C$43:$E$64,3,FALSE))</f>
        <v>#N/A</v>
      </c>
      <c r="Z2162" cm="1">
        <f t="array" ref="Z2162">IFERROR(IF(_xlfn._xlws.FILTER(game_rosters!$J:$J,(game_rosters!$G:$G=events!$AN2162)*(game_rosters!$J:$J=events!$X2162))&gt;0,1,""),"")</f>
        <v>1</v>
      </c>
      <c r="AA2162">
        <f t="shared" si="2263"/>
        <v>2145</v>
      </c>
      <c r="AB2162" t="str">
        <f t="shared" si="2264"/>
        <v/>
      </c>
      <c r="AC2162">
        <f t="shared" si="2212"/>
        <v>2145</v>
      </c>
      <c r="AD2162" s="6">
        <v>3</v>
      </c>
      <c r="AE2162" t="s">
        <v>938</v>
      </c>
      <c r="AF2162" t="s">
        <v>905</v>
      </c>
      <c r="AG2162" t="s">
        <v>756</v>
      </c>
      <c r="AH2162" t="s">
        <v>756</v>
      </c>
      <c r="AI2162" t="s">
        <v>367</v>
      </c>
      <c r="AJ2162" t="str">
        <f t="shared" ref="AJ2162:AK2162" si="2286">IF($J2162&lt;&gt;"",$J2162,IF($AC2162=$AC2161,AJ2161,""))</f>
        <v/>
      </c>
      <c r="AK2162" t="str">
        <f t="shared" si="2286"/>
        <v/>
      </c>
      <c r="AL2162" t="str">
        <f t="shared" si="2217"/>
        <v/>
      </c>
      <c r="AN2162" t="s">
        <v>862</v>
      </c>
      <c r="AO2162" t="str">
        <f t="shared" si="2218"/>
        <v>a</v>
      </c>
      <c r="AP2162" t="str">
        <f t="shared" si="2226"/>
        <v/>
      </c>
      <c r="AQ2162" t="str">
        <f t="shared" si="2227"/>
        <v/>
      </c>
      <c r="AR2162" t="str">
        <f t="shared" si="2228"/>
        <v>Away</v>
      </c>
      <c r="AS2162" t="str">
        <f t="shared" si="2229"/>
        <v>a</v>
      </c>
      <c r="AT2162" t="str">
        <f t="shared" si="2230"/>
        <v>Offensive</v>
      </c>
      <c r="BA2162" s="6">
        <f t="shared" si="2219"/>
        <v>492</v>
      </c>
      <c r="BB2162">
        <f t="shared" si="2220"/>
        <v>18981</v>
      </c>
      <c r="BC2162" t="str">
        <f t="shared" si="2221"/>
        <v>Nelson</v>
      </c>
      <c r="BD2162" t="str">
        <f t="shared" si="2222"/>
        <v>Velodrome</v>
      </c>
      <c r="BE2162" t="s">
        <v>7</v>
      </c>
      <c r="BF2162" t="s">
        <v>182</v>
      </c>
      <c r="BG2162" t="s">
        <v>68</v>
      </c>
      <c r="BI2162" cm="1">
        <f t="array" ref="BI2162">IFERROR(_xlfn._xlws.FILTER(shifts!A:A,(shifts!B:B=events!AD2162)*(shifts!AG:AG&gt;=events!BK2162)*(shifts!AH:AH&lt;=events!BL2162)),BI2161)</f>
        <v>95</v>
      </c>
      <c r="BJ2162" s="15">
        <f t="shared" si="2223"/>
        <v>0</v>
      </c>
      <c r="BK2162">
        <f t="shared" si="2231"/>
        <v>392</v>
      </c>
      <c r="BL2162">
        <f t="shared" si="2232"/>
        <v>392</v>
      </c>
      <c r="BM2162" s="15">
        <f>SUMIFS(BJ$2:BJ2162,K$2:K2162,"=Intermission")+SUMIFS(BJ$2:BJ2162,K$2:K2162,"=Timeout")</f>
        <v>142</v>
      </c>
      <c r="BN2162">
        <f t="shared" si="2233"/>
        <v>2302</v>
      </c>
      <c r="BO2162" s="19">
        <f t="shared" si="2234"/>
        <v>2990</v>
      </c>
      <c r="BP2162">
        <f t="shared" si="2235"/>
        <v>2985</v>
      </c>
      <c r="BQ2162" s="17">
        <f t="shared" si="2236"/>
        <v>2990</v>
      </c>
      <c r="BR2162" t="str">
        <f t="shared" si="2237"/>
        <v>event_team_player_1</v>
      </c>
      <c r="BS2162">
        <f>COUNTIFS(S$3:S2162,"="&amp;S2162,AI$3:AI2162,"="&amp;AI2162)</f>
        <v>1</v>
      </c>
      <c r="BT2162" t="str">
        <f>IFERROR(VLOOKUP(BB2162&amp;BU2162&amp;X2162,game_rosters!U:W,3,FALSE),"")</f>
        <v>P100201</v>
      </c>
      <c r="BU2162" t="str">
        <f t="shared" si="2238"/>
        <v>Velodrome</v>
      </c>
    </row>
    <row r="2163" spans="1:73" x14ac:dyDescent="0.2">
      <c r="A2163">
        <f t="shared" si="2224"/>
        <v>1</v>
      </c>
      <c r="J2163" s="44" t="str">
        <f t="shared" si="2239"/>
        <v/>
      </c>
      <c r="K2163" t="s">
        <v>7</v>
      </c>
      <c r="L2163" t="s">
        <v>182</v>
      </c>
      <c r="M2163" t="s">
        <v>68</v>
      </c>
      <c r="S2163">
        <v>1145</v>
      </c>
      <c r="W2163" t="str">
        <f t="shared" si="2215"/>
        <v>a</v>
      </c>
      <c r="X2163">
        <v>24</v>
      </c>
      <c r="Y2163" t="e">
        <f>IF(X2163&lt;&gt;"",VLOOKUP(X2163,game_rosters!$C$43:$E$64,3,FALSE))</f>
        <v>#N/A</v>
      </c>
      <c r="Z2163" cm="1">
        <f t="array" ref="Z2163">IFERROR(IF(_xlfn._xlws.FILTER(game_rosters!$J:$J,(game_rosters!$G:$G=events!$AN2163)*(game_rosters!$J:$J=events!$X2163))&gt;0,1,""),"")</f>
        <v>1</v>
      </c>
      <c r="AA2163">
        <f t="shared" si="2263"/>
        <v>2145</v>
      </c>
      <c r="AB2163" t="str">
        <f t="shared" si="2264"/>
        <v/>
      </c>
      <c r="AC2163">
        <f t="shared" si="2212"/>
        <v>2145</v>
      </c>
      <c r="AD2163" s="6">
        <v>3</v>
      </c>
      <c r="AE2163" t="s">
        <v>938</v>
      </c>
      <c r="AF2163" t="s">
        <v>905</v>
      </c>
      <c r="AG2163" t="s">
        <v>756</v>
      </c>
      <c r="AH2163" t="s">
        <v>756</v>
      </c>
      <c r="AI2163" t="s">
        <v>367</v>
      </c>
      <c r="AJ2163" t="str">
        <f t="shared" ref="AJ2163:AK2163" si="2287">IF($J2163&lt;&gt;"",$J2163,IF($AC2163=$AC2162,AJ2162,""))</f>
        <v/>
      </c>
      <c r="AK2163" t="str">
        <f t="shared" si="2287"/>
        <v/>
      </c>
      <c r="AL2163" t="str">
        <f t="shared" si="2217"/>
        <v/>
      </c>
      <c r="AN2163" t="s">
        <v>862</v>
      </c>
      <c r="AO2163" t="str">
        <f t="shared" si="2218"/>
        <v>a</v>
      </c>
      <c r="AP2163" t="str">
        <f t="shared" si="2226"/>
        <v/>
      </c>
      <c r="AQ2163" t="str">
        <f t="shared" si="2227"/>
        <v/>
      </c>
      <c r="AR2163" t="str">
        <f t="shared" si="2228"/>
        <v>Away</v>
      </c>
      <c r="AS2163" t="str">
        <f t="shared" si="2229"/>
        <v>a</v>
      </c>
      <c r="AT2163" t="str">
        <f t="shared" si="2230"/>
        <v>Offensive</v>
      </c>
      <c r="BA2163" s="6">
        <f t="shared" si="2219"/>
        <v>492</v>
      </c>
      <c r="BB2163">
        <f t="shared" si="2220"/>
        <v>18981</v>
      </c>
      <c r="BC2163" t="str">
        <f t="shared" si="2221"/>
        <v>Nelson</v>
      </c>
      <c r="BD2163" t="str">
        <f t="shared" si="2222"/>
        <v>Velodrome</v>
      </c>
      <c r="BE2163" t="s">
        <v>7</v>
      </c>
      <c r="BF2163" t="s">
        <v>182</v>
      </c>
      <c r="BG2163" t="s">
        <v>68</v>
      </c>
      <c r="BI2163" cm="1">
        <f t="array" ref="BI2163">IFERROR(_xlfn._xlws.FILTER(shifts!A:A,(shifts!B:B=events!AD2163)*(shifts!AG:AG&gt;=events!BK2163)*(shifts!AH:AH&lt;=events!BL2163)),BI2162)</f>
        <v>95</v>
      </c>
      <c r="BJ2163" s="15">
        <f t="shared" si="2223"/>
        <v>0</v>
      </c>
      <c r="BK2163">
        <f t="shared" si="2231"/>
        <v>392</v>
      </c>
      <c r="BL2163">
        <f t="shared" si="2232"/>
        <v>392</v>
      </c>
      <c r="BM2163" s="15">
        <f>SUMIFS(BJ$2:BJ2163,K$2:K2163,"=Intermission")+SUMIFS(BJ$2:BJ2163,K$2:K2163,"=Timeout")</f>
        <v>142</v>
      </c>
      <c r="BN2163">
        <f t="shared" si="2233"/>
        <v>2302</v>
      </c>
      <c r="BO2163" s="19">
        <f t="shared" si="2234"/>
        <v>2990</v>
      </c>
      <c r="BP2163">
        <f t="shared" si="2235"/>
        <v>2985</v>
      </c>
      <c r="BQ2163" s="17">
        <f t="shared" si="2236"/>
        <v>2990</v>
      </c>
      <c r="BR2163" t="str">
        <f t="shared" si="2237"/>
        <v>event_team_player_2</v>
      </c>
      <c r="BS2163">
        <f>COUNTIFS(S$3:S2163,"="&amp;S2163,AI$3:AI2163,"="&amp;AI2163)</f>
        <v>2</v>
      </c>
      <c r="BT2163" t="str">
        <f>IFERROR(VLOOKUP(BB2163&amp;BU2163&amp;X2163,game_rosters!U:W,3,FALSE),"")</f>
        <v>P100230</v>
      </c>
      <c r="BU2163" t="str">
        <f t="shared" si="2238"/>
        <v>Velodrome</v>
      </c>
    </row>
    <row r="2164" spans="1:73" x14ac:dyDescent="0.2">
      <c r="A2164">
        <f t="shared" si="2224"/>
        <v>1</v>
      </c>
      <c r="J2164" s="44" t="str">
        <f t="shared" si="2239"/>
        <v/>
      </c>
      <c r="K2164" t="s">
        <v>7</v>
      </c>
      <c r="L2164" t="s">
        <v>182</v>
      </c>
      <c r="M2164" t="s">
        <v>68</v>
      </c>
      <c r="S2164">
        <v>1145</v>
      </c>
      <c r="W2164" t="str">
        <f t="shared" si="2215"/>
        <v>a</v>
      </c>
      <c r="X2164">
        <v>79</v>
      </c>
      <c r="Y2164" t="b">
        <f>IF(X2164&lt;&gt;"",VLOOKUP(X2164,game_rosters!$C$43:$E$64,3,FALSE))</f>
        <v>0</v>
      </c>
      <c r="Z2164" t="str" cm="1">
        <f t="array" ref="Z2164">IFERROR(IF(_xlfn._xlws.FILTER(game_rosters!$J:$J,(game_rosters!$G:$G=events!$AN2164)*(game_rosters!$J:$J=events!$X2164))&gt;0,1,""),"")</f>
        <v/>
      </c>
      <c r="AA2164">
        <f t="shared" si="2263"/>
        <v>2145</v>
      </c>
      <c r="AB2164" t="str">
        <f t="shared" si="2264"/>
        <v/>
      </c>
      <c r="AC2164">
        <f t="shared" si="2212"/>
        <v>2145</v>
      </c>
      <c r="AD2164" s="6">
        <v>3</v>
      </c>
      <c r="AE2164" t="s">
        <v>938</v>
      </c>
      <c r="AF2164" t="s">
        <v>905</v>
      </c>
      <c r="AG2164" t="s">
        <v>756</v>
      </c>
      <c r="AH2164" t="s">
        <v>756</v>
      </c>
      <c r="AI2164" t="s">
        <v>368</v>
      </c>
      <c r="AJ2164" t="str">
        <f t="shared" ref="AJ2164:AK2164" si="2288">IF($J2164&lt;&gt;"",$J2164,IF($AC2164=$AC2163,AJ2163,""))</f>
        <v/>
      </c>
      <c r="AK2164" t="str">
        <f t="shared" si="2288"/>
        <v/>
      </c>
      <c r="AL2164" t="str">
        <f t="shared" si="2217"/>
        <v/>
      </c>
      <c r="AN2164" t="s">
        <v>862</v>
      </c>
      <c r="AO2164" t="str">
        <f t="shared" si="2218"/>
        <v>a</v>
      </c>
      <c r="AP2164" t="str">
        <f t="shared" si="2226"/>
        <v/>
      </c>
      <c r="AQ2164" t="str">
        <f t="shared" si="2227"/>
        <v/>
      </c>
      <c r="AR2164" t="str">
        <f t="shared" si="2228"/>
        <v>Away</v>
      </c>
      <c r="AS2164" t="str">
        <f t="shared" si="2229"/>
        <v>a</v>
      </c>
      <c r="AT2164" t="str">
        <f t="shared" si="2230"/>
        <v>Defensive</v>
      </c>
      <c r="BA2164" s="6">
        <f t="shared" si="2219"/>
        <v>492</v>
      </c>
      <c r="BB2164">
        <f t="shared" si="2220"/>
        <v>18981</v>
      </c>
      <c r="BC2164" t="str">
        <f t="shared" si="2221"/>
        <v>Nelson</v>
      </c>
      <c r="BD2164" t="str">
        <f t="shared" si="2222"/>
        <v>Velodrome</v>
      </c>
      <c r="BE2164" t="s">
        <v>7</v>
      </c>
      <c r="BF2164" t="s">
        <v>182</v>
      </c>
      <c r="BG2164" t="s">
        <v>68</v>
      </c>
      <c r="BI2164" cm="1">
        <f t="array" ref="BI2164">IFERROR(_xlfn._xlws.FILTER(shifts!A:A,(shifts!B:B=events!AD2164)*(shifts!AG:AG&gt;=events!BK2164)*(shifts!AH:AH&lt;=events!BL2164)),BI2163)</f>
        <v>95</v>
      </c>
      <c r="BJ2164" s="15">
        <f t="shared" si="2223"/>
        <v>0</v>
      </c>
      <c r="BK2164">
        <f t="shared" si="2231"/>
        <v>392</v>
      </c>
      <c r="BL2164">
        <f t="shared" si="2232"/>
        <v>392</v>
      </c>
      <c r="BM2164" s="15">
        <f>SUMIFS(BJ$2:BJ2164,K$2:K2164,"=Intermission")+SUMIFS(BJ$2:BJ2164,K$2:K2164,"=Timeout")</f>
        <v>142</v>
      </c>
      <c r="BN2164">
        <f t="shared" si="2233"/>
        <v>2302</v>
      </c>
      <c r="BO2164" s="19">
        <f t="shared" si="2234"/>
        <v>2990</v>
      </c>
      <c r="BP2164">
        <f t="shared" si="2235"/>
        <v>2985</v>
      </c>
      <c r="BQ2164" s="17">
        <f t="shared" si="2236"/>
        <v>2990</v>
      </c>
      <c r="BR2164" t="str">
        <f t="shared" si="2237"/>
        <v>opp_team_player_1</v>
      </c>
      <c r="BS2164">
        <f>COUNTIFS(S$3:S2164,"="&amp;S2164,AI$3:AI2164,"="&amp;AI2164)</f>
        <v>1</v>
      </c>
      <c r="BT2164" t="str">
        <f>IFERROR(VLOOKUP(BB2164&amp;BU2164&amp;X2164,game_rosters!U:W,3,FALSE),"")</f>
        <v>P100066</v>
      </c>
      <c r="BU2164" t="str">
        <f t="shared" si="2238"/>
        <v>Nelson</v>
      </c>
    </row>
    <row r="2165" spans="1:73" x14ac:dyDescent="0.2">
      <c r="A2165">
        <f t="shared" si="2224"/>
        <v>1</v>
      </c>
      <c r="J2165" s="44" t="str">
        <f t="shared" si="2239"/>
        <v/>
      </c>
      <c r="K2165" t="s">
        <v>9</v>
      </c>
      <c r="L2165" t="s">
        <v>173</v>
      </c>
      <c r="M2165" t="s">
        <v>74</v>
      </c>
      <c r="S2165">
        <v>1146</v>
      </c>
      <c r="W2165" t="str">
        <f t="shared" si="2215"/>
        <v>a</v>
      </c>
      <c r="X2165">
        <v>42</v>
      </c>
      <c r="Y2165" t="e">
        <f>IF(X2165&lt;&gt;"",VLOOKUP(X2165,game_rosters!$C$43:$E$64,3,FALSE))</f>
        <v>#N/A</v>
      </c>
      <c r="Z2165" cm="1">
        <f t="array" ref="Z2165">IFERROR(IF(_xlfn._xlws.FILTER(game_rosters!$J:$J,(game_rosters!$G:$G=events!$AN2165)*(game_rosters!$J:$J=events!$X2165))&gt;0,1,""),"")</f>
        <v>1</v>
      </c>
      <c r="AA2165">
        <f t="shared" si="2263"/>
        <v>2146</v>
      </c>
      <c r="AB2165" t="str">
        <f t="shared" si="2264"/>
        <v/>
      </c>
      <c r="AC2165">
        <f t="shared" si="2212"/>
        <v>2146</v>
      </c>
      <c r="AD2165" s="6">
        <v>3</v>
      </c>
      <c r="AE2165" t="s">
        <v>938</v>
      </c>
      <c r="AF2165" t="s">
        <v>905</v>
      </c>
      <c r="AG2165" t="s">
        <v>756</v>
      </c>
      <c r="AH2165" t="s">
        <v>756</v>
      </c>
      <c r="AI2165" t="s">
        <v>367</v>
      </c>
      <c r="AJ2165" t="str">
        <f t="shared" ref="AJ2165:AK2165" si="2289">IF($J2165&lt;&gt;"",$J2165,IF($AC2165=$AC2164,AJ2164,""))</f>
        <v/>
      </c>
      <c r="AK2165" t="str">
        <f t="shared" si="2289"/>
        <v/>
      </c>
      <c r="AL2165" t="str">
        <f t="shared" si="2217"/>
        <v/>
      </c>
      <c r="AN2165" t="s">
        <v>862</v>
      </c>
      <c r="AO2165" t="str">
        <f t="shared" si="2218"/>
        <v>a</v>
      </c>
      <c r="AP2165" t="str">
        <f t="shared" si="2226"/>
        <v/>
      </c>
      <c r="AQ2165" t="str">
        <f t="shared" si="2227"/>
        <v/>
      </c>
      <c r="AR2165" t="str">
        <f t="shared" si="2228"/>
        <v>Away</v>
      </c>
      <c r="AS2165" t="str">
        <f t="shared" si="2229"/>
        <v>a</v>
      </c>
      <c r="AT2165" t="str">
        <f t="shared" si="2230"/>
        <v>Offensive</v>
      </c>
      <c r="BA2165" s="6">
        <f t="shared" si="2219"/>
        <v>492</v>
      </c>
      <c r="BB2165">
        <f t="shared" si="2220"/>
        <v>18981</v>
      </c>
      <c r="BC2165" t="str">
        <f t="shared" si="2221"/>
        <v>Nelson</v>
      </c>
      <c r="BD2165" t="str">
        <f t="shared" si="2222"/>
        <v>Velodrome</v>
      </c>
      <c r="BE2165" t="s">
        <v>9</v>
      </c>
      <c r="BF2165" t="s">
        <v>173</v>
      </c>
      <c r="BG2165" t="s">
        <v>74</v>
      </c>
      <c r="BI2165" cm="1">
        <f t="array" ref="BI2165">IFERROR(_xlfn._xlws.FILTER(shifts!A:A,(shifts!B:B=events!AD2165)*(shifts!AG:AG&gt;=events!BK2165)*(shifts!AH:AH&lt;=events!BL2165)),BI2164)</f>
        <v>95</v>
      </c>
      <c r="BJ2165" s="15">
        <f t="shared" si="2223"/>
        <v>0</v>
      </c>
      <c r="BK2165">
        <f t="shared" si="2231"/>
        <v>392</v>
      </c>
      <c r="BL2165">
        <f t="shared" si="2232"/>
        <v>392</v>
      </c>
      <c r="BM2165" s="15">
        <f>SUMIFS(BJ$2:BJ2165,K$2:K2165,"=Intermission")+SUMIFS(BJ$2:BJ2165,K$2:K2165,"=Timeout")</f>
        <v>142</v>
      </c>
      <c r="BN2165">
        <f t="shared" si="2233"/>
        <v>2302</v>
      </c>
      <c r="BO2165" s="19">
        <f t="shared" si="2234"/>
        <v>2990</v>
      </c>
      <c r="BP2165">
        <f t="shared" si="2235"/>
        <v>2985</v>
      </c>
      <c r="BQ2165" s="17">
        <f t="shared" si="2236"/>
        <v>2990</v>
      </c>
      <c r="BR2165" t="str">
        <f t="shared" si="2237"/>
        <v>event_team_player_1</v>
      </c>
      <c r="BS2165">
        <f>COUNTIFS(S$3:S2165,"="&amp;S2165,AI$3:AI2165,"="&amp;AI2165)</f>
        <v>1</v>
      </c>
      <c r="BT2165" t="str">
        <f>IFERROR(VLOOKUP(BB2165&amp;BU2165&amp;X2165,game_rosters!U:W,3,FALSE),"")</f>
        <v>P100201</v>
      </c>
      <c r="BU2165" t="str">
        <f t="shared" si="2238"/>
        <v>Velodrome</v>
      </c>
    </row>
    <row r="2166" spans="1:73" x14ac:dyDescent="0.2">
      <c r="A2166">
        <f t="shared" si="2224"/>
        <v>1</v>
      </c>
      <c r="J2166" s="44" t="str">
        <f t="shared" si="2239"/>
        <v/>
      </c>
      <c r="K2166" t="s">
        <v>9</v>
      </c>
      <c r="L2166" t="s">
        <v>173</v>
      </c>
      <c r="M2166" t="s">
        <v>74</v>
      </c>
      <c r="S2166">
        <v>1146</v>
      </c>
      <c r="W2166" t="str">
        <f t="shared" si="2215"/>
        <v>a</v>
      </c>
      <c r="X2166">
        <v>24</v>
      </c>
      <c r="Y2166" t="e">
        <f>IF(X2166&lt;&gt;"",VLOOKUP(X2166,game_rosters!$C$43:$E$64,3,FALSE))</f>
        <v>#N/A</v>
      </c>
      <c r="Z2166" cm="1">
        <f t="array" ref="Z2166">IFERROR(IF(_xlfn._xlws.FILTER(game_rosters!$J:$J,(game_rosters!$G:$G=events!$AN2166)*(game_rosters!$J:$J=events!$X2166))&gt;0,1,""),"")</f>
        <v>1</v>
      </c>
      <c r="AA2166">
        <f t="shared" si="2263"/>
        <v>2146</v>
      </c>
      <c r="AB2166" t="str">
        <f t="shared" si="2264"/>
        <v/>
      </c>
      <c r="AC2166">
        <f t="shared" si="2212"/>
        <v>2146</v>
      </c>
      <c r="AD2166" s="6">
        <v>3</v>
      </c>
      <c r="AE2166" t="s">
        <v>938</v>
      </c>
      <c r="AF2166" t="s">
        <v>905</v>
      </c>
      <c r="AG2166" t="s">
        <v>756</v>
      </c>
      <c r="AH2166" t="s">
        <v>756</v>
      </c>
      <c r="AI2166" t="s">
        <v>367</v>
      </c>
      <c r="AJ2166" t="str">
        <f t="shared" ref="AJ2166:AK2166" si="2290">IF($J2166&lt;&gt;"",$J2166,IF($AC2166=$AC2165,AJ2165,""))</f>
        <v/>
      </c>
      <c r="AK2166" t="str">
        <f t="shared" si="2290"/>
        <v/>
      </c>
      <c r="AL2166" t="str">
        <f t="shared" si="2217"/>
        <v/>
      </c>
      <c r="AN2166" t="s">
        <v>862</v>
      </c>
      <c r="AO2166" t="str">
        <f t="shared" si="2218"/>
        <v>a</v>
      </c>
      <c r="AP2166" t="str">
        <f t="shared" si="2226"/>
        <v/>
      </c>
      <c r="AQ2166" t="str">
        <f t="shared" si="2227"/>
        <v/>
      </c>
      <c r="AR2166" t="str">
        <f t="shared" si="2228"/>
        <v>Away</v>
      </c>
      <c r="AS2166" t="str">
        <f t="shared" si="2229"/>
        <v>a</v>
      </c>
      <c r="AT2166" t="str">
        <f t="shared" si="2230"/>
        <v>Offensive</v>
      </c>
      <c r="BA2166" s="6">
        <f t="shared" si="2219"/>
        <v>492</v>
      </c>
      <c r="BB2166">
        <f t="shared" si="2220"/>
        <v>18981</v>
      </c>
      <c r="BC2166" t="str">
        <f t="shared" si="2221"/>
        <v>Nelson</v>
      </c>
      <c r="BD2166" t="str">
        <f t="shared" si="2222"/>
        <v>Velodrome</v>
      </c>
      <c r="BE2166" t="s">
        <v>9</v>
      </c>
      <c r="BF2166" t="s">
        <v>173</v>
      </c>
      <c r="BG2166" t="s">
        <v>74</v>
      </c>
      <c r="BI2166" cm="1">
        <f t="array" ref="BI2166">IFERROR(_xlfn._xlws.FILTER(shifts!A:A,(shifts!B:B=events!AD2166)*(shifts!AG:AG&gt;=events!BK2166)*(shifts!AH:AH&lt;=events!BL2166)),BI2165)</f>
        <v>95</v>
      </c>
      <c r="BJ2166" s="15">
        <f t="shared" si="2223"/>
        <v>0</v>
      </c>
      <c r="BK2166">
        <f t="shared" si="2231"/>
        <v>392</v>
      </c>
      <c r="BL2166">
        <f t="shared" si="2232"/>
        <v>392</v>
      </c>
      <c r="BM2166" s="15">
        <f>SUMIFS(BJ$2:BJ2166,K$2:K2166,"=Intermission")+SUMIFS(BJ$2:BJ2166,K$2:K2166,"=Timeout")</f>
        <v>142</v>
      </c>
      <c r="BN2166">
        <f t="shared" si="2233"/>
        <v>2302</v>
      </c>
      <c r="BO2166" s="19">
        <f t="shared" si="2234"/>
        <v>2990</v>
      </c>
      <c r="BP2166">
        <f t="shared" si="2235"/>
        <v>2985</v>
      </c>
      <c r="BQ2166" s="17">
        <f t="shared" si="2236"/>
        <v>2990</v>
      </c>
      <c r="BR2166" t="str">
        <f t="shared" si="2237"/>
        <v>event_team_player_2</v>
      </c>
      <c r="BS2166">
        <f>COUNTIFS(S$3:S2166,"="&amp;S2166,AI$3:AI2166,"="&amp;AI2166)</f>
        <v>2</v>
      </c>
      <c r="BT2166" t="str">
        <f>IFERROR(VLOOKUP(BB2166&amp;BU2166&amp;X2166,game_rosters!U:W,3,FALSE),"")</f>
        <v>P100230</v>
      </c>
      <c r="BU2166" t="str">
        <f t="shared" si="2238"/>
        <v>Velodrome</v>
      </c>
    </row>
    <row r="2167" spans="1:73" x14ac:dyDescent="0.2">
      <c r="A2167">
        <f t="shared" si="2224"/>
        <v>1</v>
      </c>
      <c r="J2167" s="44" t="str">
        <f t="shared" si="2239"/>
        <v/>
      </c>
      <c r="K2167" t="s">
        <v>9</v>
      </c>
      <c r="L2167" t="s">
        <v>173</v>
      </c>
      <c r="M2167" t="s">
        <v>74</v>
      </c>
      <c r="S2167">
        <v>1146</v>
      </c>
      <c r="W2167" t="str">
        <f t="shared" si="2215"/>
        <v>a</v>
      </c>
      <c r="X2167">
        <v>79</v>
      </c>
      <c r="Y2167" t="b">
        <f>IF(X2167&lt;&gt;"",VLOOKUP(X2167,game_rosters!$C$43:$E$64,3,FALSE))</f>
        <v>0</v>
      </c>
      <c r="Z2167" t="str" cm="1">
        <f t="array" ref="Z2167">IFERROR(IF(_xlfn._xlws.FILTER(game_rosters!$J:$J,(game_rosters!$G:$G=events!$AN2167)*(game_rosters!$J:$J=events!$X2167))&gt;0,1,""),"")</f>
        <v/>
      </c>
      <c r="AA2167">
        <f t="shared" si="2263"/>
        <v>2146</v>
      </c>
      <c r="AB2167" t="str">
        <f t="shared" si="2264"/>
        <v/>
      </c>
      <c r="AC2167">
        <f t="shared" si="2212"/>
        <v>2146</v>
      </c>
      <c r="AD2167" s="6">
        <v>3</v>
      </c>
      <c r="AE2167" t="s">
        <v>938</v>
      </c>
      <c r="AF2167" t="s">
        <v>905</v>
      </c>
      <c r="AG2167" t="s">
        <v>756</v>
      </c>
      <c r="AH2167" t="s">
        <v>756</v>
      </c>
      <c r="AI2167" t="s">
        <v>368</v>
      </c>
      <c r="AJ2167" t="str">
        <f t="shared" ref="AJ2167:AK2167" si="2291">IF($J2167&lt;&gt;"",$J2167,IF($AC2167=$AC2166,AJ2166,""))</f>
        <v/>
      </c>
      <c r="AK2167" t="str">
        <f t="shared" si="2291"/>
        <v/>
      </c>
      <c r="AL2167" t="str">
        <f t="shared" si="2217"/>
        <v/>
      </c>
      <c r="AN2167" t="s">
        <v>862</v>
      </c>
      <c r="AO2167" t="str">
        <f t="shared" si="2218"/>
        <v>a</v>
      </c>
      <c r="AP2167" t="str">
        <f t="shared" si="2226"/>
        <v/>
      </c>
      <c r="AQ2167" t="str">
        <f t="shared" si="2227"/>
        <v/>
      </c>
      <c r="AR2167" t="str">
        <f t="shared" si="2228"/>
        <v>Away</v>
      </c>
      <c r="AS2167" t="str">
        <f t="shared" si="2229"/>
        <v>a</v>
      </c>
      <c r="AT2167" t="str">
        <f t="shared" si="2230"/>
        <v>Defensive</v>
      </c>
      <c r="BA2167" s="6">
        <f t="shared" si="2219"/>
        <v>492</v>
      </c>
      <c r="BB2167">
        <f t="shared" si="2220"/>
        <v>18981</v>
      </c>
      <c r="BC2167" t="str">
        <f t="shared" si="2221"/>
        <v>Nelson</v>
      </c>
      <c r="BD2167" t="str">
        <f t="shared" si="2222"/>
        <v>Velodrome</v>
      </c>
      <c r="BE2167" t="s">
        <v>9</v>
      </c>
      <c r="BF2167" t="s">
        <v>173</v>
      </c>
      <c r="BG2167" t="s">
        <v>74</v>
      </c>
      <c r="BI2167" cm="1">
        <f t="array" ref="BI2167">IFERROR(_xlfn._xlws.FILTER(shifts!A:A,(shifts!B:B=events!AD2167)*(shifts!AG:AG&gt;=events!BK2167)*(shifts!AH:AH&lt;=events!BL2167)),BI2166)</f>
        <v>95</v>
      </c>
      <c r="BJ2167" s="15">
        <f t="shared" si="2223"/>
        <v>0</v>
      </c>
      <c r="BK2167">
        <f t="shared" si="2231"/>
        <v>392</v>
      </c>
      <c r="BL2167">
        <f t="shared" si="2232"/>
        <v>392</v>
      </c>
      <c r="BM2167" s="15">
        <f>SUMIFS(BJ$2:BJ2167,K$2:K2167,"=Intermission")+SUMIFS(BJ$2:BJ2167,K$2:K2167,"=Timeout")</f>
        <v>142</v>
      </c>
      <c r="BN2167">
        <f t="shared" si="2233"/>
        <v>2302</v>
      </c>
      <c r="BO2167" s="19">
        <f t="shared" si="2234"/>
        <v>2990</v>
      </c>
      <c r="BP2167">
        <f t="shared" si="2235"/>
        <v>2985</v>
      </c>
      <c r="BQ2167" s="17">
        <f t="shared" si="2236"/>
        <v>2990</v>
      </c>
      <c r="BR2167" t="str">
        <f t="shared" si="2237"/>
        <v>opp_team_player_1</v>
      </c>
      <c r="BS2167">
        <f>COUNTIFS(S$3:S2167,"="&amp;S2167,AI$3:AI2167,"="&amp;AI2167)</f>
        <v>1</v>
      </c>
      <c r="BT2167" t="str">
        <f>IFERROR(VLOOKUP(BB2167&amp;BU2167&amp;X2167,game_rosters!U:W,3,FALSE),"")</f>
        <v>P100066</v>
      </c>
      <c r="BU2167" t="str">
        <f t="shared" si="2238"/>
        <v>Nelson</v>
      </c>
    </row>
    <row r="2168" spans="1:73" x14ac:dyDescent="0.2">
      <c r="A2168">
        <f t="shared" si="2224"/>
        <v>1</v>
      </c>
      <c r="J2168" s="44" t="str">
        <f t="shared" si="2239"/>
        <v>d</v>
      </c>
      <c r="K2168" t="s">
        <v>238</v>
      </c>
      <c r="L2168" t="s">
        <v>184</v>
      </c>
      <c r="M2168" t="s">
        <v>88</v>
      </c>
      <c r="S2168">
        <v>1147</v>
      </c>
      <c r="W2168" t="str">
        <f t="shared" si="2215"/>
        <v>h</v>
      </c>
      <c r="X2168">
        <v>79</v>
      </c>
      <c r="Y2168" t="b">
        <f>IF(X2168&lt;&gt;"",VLOOKUP(X2168,game_rosters!$C$43:$E$64,3,FALSE))</f>
        <v>0</v>
      </c>
      <c r="Z2168" cm="1">
        <f t="array" ref="Z2168">IFERROR(IF(_xlfn._xlws.FILTER(game_rosters!$J:$J,(game_rosters!$G:$G=events!$AN2168)*(game_rosters!$J:$J=events!$X2168))&gt;0,1,""),"")</f>
        <v>1</v>
      </c>
      <c r="AA2168">
        <f t="shared" si="2263"/>
        <v>2147</v>
      </c>
      <c r="AB2168" t="str">
        <f t="shared" si="2264"/>
        <v/>
      </c>
      <c r="AC2168">
        <f t="shared" si="2212"/>
        <v>2147</v>
      </c>
      <c r="AD2168" s="6">
        <v>3</v>
      </c>
      <c r="AE2168" t="s">
        <v>938</v>
      </c>
      <c r="AF2168" t="s">
        <v>738</v>
      </c>
      <c r="AG2168" t="s">
        <v>938</v>
      </c>
      <c r="AH2168" t="s">
        <v>906</v>
      </c>
      <c r="AI2168" t="s">
        <v>367</v>
      </c>
      <c r="AJ2168" t="str">
        <f t="shared" ref="AJ2168:AK2168" si="2292">IF($J2168&lt;&gt;"",$J2168,IF($AC2168=$AC2167,AJ2167,""))</f>
        <v>d</v>
      </c>
      <c r="AK2168" t="str">
        <f t="shared" si="2292"/>
        <v>d</v>
      </c>
      <c r="AL2168" t="str">
        <f t="shared" si="2217"/>
        <v>d</v>
      </c>
      <c r="AN2168" t="s">
        <v>861</v>
      </c>
      <c r="AO2168" t="str">
        <f t="shared" si="2218"/>
        <v>h</v>
      </c>
      <c r="AP2168" t="str">
        <f t="shared" si="2226"/>
        <v>d</v>
      </c>
      <c r="AQ2168" t="str">
        <f t="shared" si="2227"/>
        <v/>
      </c>
      <c r="AR2168" t="str">
        <f t="shared" si="2228"/>
        <v>Home</v>
      </c>
      <c r="AS2168" t="str">
        <f t="shared" si="2229"/>
        <v>h</v>
      </c>
      <c r="AT2168" t="str">
        <f t="shared" si="2230"/>
        <v>Offensive</v>
      </c>
      <c r="BA2168" s="6">
        <f t="shared" si="2219"/>
        <v>493</v>
      </c>
      <c r="BB2168">
        <f t="shared" si="2220"/>
        <v>18981</v>
      </c>
      <c r="BC2168" t="str">
        <f t="shared" si="2221"/>
        <v>Nelson</v>
      </c>
      <c r="BD2168" t="str">
        <f t="shared" si="2222"/>
        <v>Velodrome</v>
      </c>
      <c r="BE2168" t="s">
        <v>238</v>
      </c>
      <c r="BF2168" t="s">
        <v>184</v>
      </c>
      <c r="BG2168" t="s">
        <v>88</v>
      </c>
      <c r="BI2168" cm="1">
        <f t="array" ref="BI2168">IFERROR(_xlfn._xlws.FILTER(shifts!A:A,(shifts!B:B=events!AD2168)*(shifts!AG:AG&gt;=events!BK2168)*(shifts!AH:AH&lt;=events!BL2168)),BI2167)</f>
        <v>95</v>
      </c>
      <c r="BJ2168" s="15">
        <f t="shared" si="2223"/>
        <v>2</v>
      </c>
      <c r="BK2168">
        <f t="shared" si="2231"/>
        <v>391</v>
      </c>
      <c r="BL2168">
        <f t="shared" si="2232"/>
        <v>389</v>
      </c>
      <c r="BM2168" s="15">
        <f>SUMIFS(BJ$2:BJ2168,K$2:K2168,"=Intermission")+SUMIFS(BJ$2:BJ2168,K$2:K2168,"=Timeout")</f>
        <v>142</v>
      </c>
      <c r="BN2168">
        <f t="shared" si="2233"/>
        <v>2302</v>
      </c>
      <c r="BO2168" s="19">
        <f t="shared" si="2234"/>
        <v>2991</v>
      </c>
      <c r="BP2168">
        <f t="shared" si="2235"/>
        <v>2986</v>
      </c>
      <c r="BQ2168" s="17">
        <f t="shared" si="2236"/>
        <v>2993</v>
      </c>
      <c r="BR2168" t="str">
        <f t="shared" si="2237"/>
        <v>event_team_player_1</v>
      </c>
      <c r="BS2168">
        <f>COUNTIFS(S$3:S2168,"="&amp;S2168,AI$3:AI2168,"="&amp;AI2168)</f>
        <v>1</v>
      </c>
      <c r="BT2168" t="str">
        <f>IFERROR(VLOOKUP(BB2168&amp;BU2168&amp;X2168,game_rosters!U:W,3,FALSE),"")</f>
        <v>P100066</v>
      </c>
      <c r="BU2168" t="str">
        <f t="shared" si="2238"/>
        <v>Nelson</v>
      </c>
    </row>
    <row r="2169" spans="1:73" x14ac:dyDescent="0.2">
      <c r="A2169">
        <f t="shared" si="2224"/>
        <v>1</v>
      </c>
      <c r="J2169" s="44" t="str">
        <f t="shared" si="2239"/>
        <v/>
      </c>
      <c r="K2169" t="s">
        <v>13</v>
      </c>
      <c r="L2169" t="s">
        <v>756</v>
      </c>
      <c r="M2169" t="s">
        <v>756</v>
      </c>
      <c r="S2169">
        <v>1148</v>
      </c>
      <c r="W2169" t="str">
        <f t="shared" si="2215"/>
        <v>h</v>
      </c>
      <c r="X2169">
        <v>79</v>
      </c>
      <c r="Y2169" t="b">
        <f>IF(X2169&lt;&gt;"",VLOOKUP(X2169,game_rosters!$C$43:$E$64,3,FALSE))</f>
        <v>0</v>
      </c>
      <c r="Z2169" cm="1">
        <f t="array" ref="Z2169">IFERROR(IF(_xlfn._xlws.FILTER(game_rosters!$J:$J,(game_rosters!$G:$G=events!$AN2169)*(game_rosters!$J:$J=events!$X2169))&gt;0,1,""),"")</f>
        <v>1</v>
      </c>
      <c r="AA2169">
        <f t="shared" si="2263"/>
        <v>2148</v>
      </c>
      <c r="AB2169" t="str">
        <f t="shared" si="2264"/>
        <v/>
      </c>
      <c r="AC2169">
        <f t="shared" si="2212"/>
        <v>2148</v>
      </c>
      <c r="AD2169" s="6">
        <v>3</v>
      </c>
      <c r="AE2169" t="s">
        <v>938</v>
      </c>
      <c r="AF2169" t="s">
        <v>906</v>
      </c>
      <c r="AG2169" t="s">
        <v>938</v>
      </c>
      <c r="AH2169" t="s">
        <v>739</v>
      </c>
      <c r="AI2169" t="s">
        <v>367</v>
      </c>
      <c r="AJ2169" t="str">
        <f t="shared" ref="AJ2169:AK2169" si="2293">IF($J2169&lt;&gt;"",$J2169,IF($AC2169=$AC2168,AJ2168,""))</f>
        <v/>
      </c>
      <c r="AK2169" t="str">
        <f t="shared" si="2293"/>
        <v/>
      </c>
      <c r="AL2169" t="str">
        <f t="shared" si="2217"/>
        <v/>
      </c>
      <c r="AN2169" t="s">
        <v>861</v>
      </c>
      <c r="AO2169" t="str">
        <f t="shared" si="2218"/>
        <v>h</v>
      </c>
      <c r="AP2169" t="str">
        <f t="shared" si="2226"/>
        <v/>
      </c>
      <c r="AQ2169" t="str">
        <f t="shared" si="2227"/>
        <v/>
      </c>
      <c r="AR2169" t="str">
        <f t="shared" si="2228"/>
        <v>Home</v>
      </c>
      <c r="AS2169" t="str">
        <f t="shared" si="2229"/>
        <v>h</v>
      </c>
      <c r="AT2169" t="str">
        <f t="shared" si="2230"/>
        <v>Offensive</v>
      </c>
      <c r="BA2169" s="6">
        <f t="shared" si="2219"/>
        <v>493</v>
      </c>
      <c r="BB2169">
        <f t="shared" si="2220"/>
        <v>18981</v>
      </c>
      <c r="BC2169" t="str">
        <f t="shared" si="2221"/>
        <v>Nelson</v>
      </c>
      <c r="BD2169" t="str">
        <f t="shared" si="2222"/>
        <v>Velodrome</v>
      </c>
      <c r="BE2169" t="s">
        <v>13</v>
      </c>
      <c r="BF2169" t="s">
        <v>756</v>
      </c>
      <c r="BG2169" t="s">
        <v>756</v>
      </c>
      <c r="BI2169" cm="1">
        <f t="array" ref="BI2169">IFERROR(_xlfn._xlws.FILTER(shifts!A:A,(shifts!B:B=events!AD2169)*(shifts!AG:AG&gt;=events!BK2169)*(shifts!AH:AH&lt;=events!BL2169)),BI2168)</f>
        <v>95</v>
      </c>
      <c r="BJ2169" s="15">
        <f t="shared" si="2223"/>
        <v>3</v>
      </c>
      <c r="BK2169">
        <f t="shared" si="2231"/>
        <v>389</v>
      </c>
      <c r="BL2169">
        <f t="shared" si="2232"/>
        <v>386</v>
      </c>
      <c r="BM2169" s="15">
        <f>SUMIFS(BJ$2:BJ2169,K$2:K2169,"=Intermission")+SUMIFS(BJ$2:BJ2169,K$2:K2169,"=Timeout")</f>
        <v>142</v>
      </c>
      <c r="BN2169">
        <f t="shared" si="2233"/>
        <v>2302</v>
      </c>
      <c r="BO2169" s="19">
        <f t="shared" si="2234"/>
        <v>2993</v>
      </c>
      <c r="BP2169">
        <f t="shared" si="2235"/>
        <v>2988</v>
      </c>
      <c r="BQ2169" s="17">
        <f t="shared" si="2236"/>
        <v>2996</v>
      </c>
      <c r="BR2169" t="str">
        <f t="shared" si="2237"/>
        <v>event_team_player_1</v>
      </c>
      <c r="BS2169">
        <f>COUNTIFS(S$3:S2169,"="&amp;S2169,AI$3:AI2169,"="&amp;AI2169)</f>
        <v>1</v>
      </c>
      <c r="BT2169" t="str">
        <f>IFERROR(VLOOKUP(BB2169&amp;BU2169&amp;X2169,game_rosters!U:W,3,FALSE),"")</f>
        <v>P100066</v>
      </c>
      <c r="BU2169" t="str">
        <f t="shared" si="2238"/>
        <v>Nelson</v>
      </c>
    </row>
    <row r="2170" spans="1:73" x14ac:dyDescent="0.2">
      <c r="A2170">
        <f t="shared" si="2224"/>
        <v>1</v>
      </c>
      <c r="J2170" s="44" t="str">
        <f t="shared" si="2239"/>
        <v>o</v>
      </c>
      <c r="K2170" t="s">
        <v>238</v>
      </c>
      <c r="L2170" t="s">
        <v>174</v>
      </c>
      <c r="M2170" t="s">
        <v>85</v>
      </c>
      <c r="S2170">
        <v>1149</v>
      </c>
      <c r="W2170" t="str">
        <f t="shared" si="2215"/>
        <v>h</v>
      </c>
      <c r="X2170">
        <v>79</v>
      </c>
      <c r="Y2170" t="b">
        <f>IF(X2170&lt;&gt;"",VLOOKUP(X2170,game_rosters!$C$43:$E$64,3,FALSE))</f>
        <v>0</v>
      </c>
      <c r="Z2170" cm="1">
        <f t="array" ref="Z2170">IFERROR(IF(_xlfn._xlws.FILTER(game_rosters!$J:$J,(game_rosters!$G:$G=events!$AN2170)*(game_rosters!$J:$J=events!$X2170))&gt;0,1,""),"")</f>
        <v>1</v>
      </c>
      <c r="AA2170">
        <f t="shared" si="2263"/>
        <v>2149</v>
      </c>
      <c r="AB2170" t="str">
        <f t="shared" si="2264"/>
        <v/>
      </c>
      <c r="AC2170">
        <f t="shared" si="2212"/>
        <v>2149</v>
      </c>
      <c r="AD2170" s="6">
        <v>3</v>
      </c>
      <c r="AE2170" t="s">
        <v>938</v>
      </c>
      <c r="AF2170" t="s">
        <v>739</v>
      </c>
      <c r="AG2170" t="s">
        <v>938</v>
      </c>
      <c r="AH2170" t="s">
        <v>907</v>
      </c>
      <c r="AI2170" t="s">
        <v>367</v>
      </c>
      <c r="AJ2170" t="str">
        <f t="shared" ref="AJ2170:AK2170" si="2294">IF($J2170&lt;&gt;"",$J2170,IF($AC2170=$AC2169,AJ2169,""))</f>
        <v>o</v>
      </c>
      <c r="AK2170" t="str">
        <f t="shared" si="2294"/>
        <v>o</v>
      </c>
      <c r="AL2170" t="str">
        <f t="shared" si="2217"/>
        <v>o</v>
      </c>
      <c r="AN2170" t="s">
        <v>861</v>
      </c>
      <c r="AO2170" t="str">
        <f t="shared" si="2218"/>
        <v>h</v>
      </c>
      <c r="AP2170" t="str">
        <f t="shared" si="2226"/>
        <v>o</v>
      </c>
      <c r="AQ2170" t="str">
        <f t="shared" si="2227"/>
        <v/>
      </c>
      <c r="AR2170" t="str">
        <f t="shared" si="2228"/>
        <v>Home</v>
      </c>
      <c r="AS2170" t="str">
        <f t="shared" si="2229"/>
        <v>h</v>
      </c>
      <c r="AT2170" t="str">
        <f t="shared" si="2230"/>
        <v>Offensive</v>
      </c>
      <c r="BA2170" s="6">
        <f t="shared" si="2219"/>
        <v>494</v>
      </c>
      <c r="BB2170">
        <f t="shared" si="2220"/>
        <v>18981</v>
      </c>
      <c r="BC2170" t="str">
        <f t="shared" si="2221"/>
        <v>Nelson</v>
      </c>
      <c r="BD2170" t="str">
        <f t="shared" si="2222"/>
        <v>Velodrome</v>
      </c>
      <c r="BE2170" t="s">
        <v>238</v>
      </c>
      <c r="BF2170" t="s">
        <v>174</v>
      </c>
      <c r="BG2170" t="s">
        <v>85</v>
      </c>
      <c r="BI2170" cm="1">
        <f t="array" ref="BI2170">IFERROR(_xlfn._xlws.FILTER(shifts!A:A,(shifts!B:B=events!AD2170)*(shifts!AG:AG&gt;=events!BK2170)*(shifts!AH:AH&lt;=events!BL2170)),BI2169)</f>
        <v>95</v>
      </c>
      <c r="BJ2170" s="15">
        <f t="shared" si="2223"/>
        <v>2</v>
      </c>
      <c r="BK2170">
        <f t="shared" si="2231"/>
        <v>386</v>
      </c>
      <c r="BL2170">
        <f t="shared" si="2232"/>
        <v>384</v>
      </c>
      <c r="BM2170" s="15">
        <f>SUMIFS(BJ$2:BJ2170,K$2:K2170,"=Intermission")+SUMIFS(BJ$2:BJ2170,K$2:K2170,"=Timeout")</f>
        <v>142</v>
      </c>
      <c r="BN2170">
        <f t="shared" si="2233"/>
        <v>2302</v>
      </c>
      <c r="BO2170" s="19">
        <f t="shared" si="2234"/>
        <v>2996</v>
      </c>
      <c r="BP2170">
        <f t="shared" si="2235"/>
        <v>2991</v>
      </c>
      <c r="BQ2170" s="17">
        <f t="shared" si="2236"/>
        <v>2998</v>
      </c>
      <c r="BR2170" t="str">
        <f t="shared" si="2237"/>
        <v>event_team_player_1</v>
      </c>
      <c r="BS2170">
        <f>COUNTIFS(S$3:S2170,"="&amp;S2170,AI$3:AI2170,"="&amp;AI2170)</f>
        <v>1</v>
      </c>
      <c r="BT2170" t="str">
        <f>IFERROR(VLOOKUP(BB2170&amp;BU2170&amp;X2170,game_rosters!U:W,3,FALSE),"")</f>
        <v>P100066</v>
      </c>
      <c r="BU2170" t="str">
        <f t="shared" si="2238"/>
        <v>Nelson</v>
      </c>
    </row>
    <row r="2171" spans="1:73" x14ac:dyDescent="0.2">
      <c r="A2171">
        <f t="shared" si="2224"/>
        <v>1</v>
      </c>
      <c r="J2171" s="44" t="str">
        <f t="shared" si="2239"/>
        <v>o</v>
      </c>
      <c r="K2171" t="s">
        <v>238</v>
      </c>
      <c r="L2171" t="s">
        <v>174</v>
      </c>
      <c r="M2171" t="s">
        <v>85</v>
      </c>
      <c r="S2171">
        <v>1149</v>
      </c>
      <c r="W2171" t="str">
        <f t="shared" si="2215"/>
        <v>h</v>
      </c>
      <c r="X2171">
        <v>91</v>
      </c>
      <c r="Y2171" t="e">
        <f>IF(X2171&lt;&gt;"",VLOOKUP(X2171,game_rosters!$C$43:$E$64,3,FALSE))</f>
        <v>#N/A</v>
      </c>
      <c r="Z2171" t="str" cm="1">
        <f t="array" ref="Z2171">IFERROR(IF(_xlfn._xlws.FILTER(game_rosters!$J:$J,(game_rosters!$G:$G=events!$AN2171)*(game_rosters!$J:$J=events!$X2171))&gt;0,1,""),"")</f>
        <v/>
      </c>
      <c r="AA2171">
        <f t="shared" si="2263"/>
        <v>2149</v>
      </c>
      <c r="AB2171" t="str">
        <f t="shared" si="2264"/>
        <v/>
      </c>
      <c r="AC2171">
        <f t="shared" si="2212"/>
        <v>2149</v>
      </c>
      <c r="AD2171" s="6">
        <v>3</v>
      </c>
      <c r="AE2171" t="s">
        <v>938</v>
      </c>
      <c r="AF2171" t="s">
        <v>739</v>
      </c>
      <c r="AG2171" t="s">
        <v>938</v>
      </c>
      <c r="AH2171" t="s">
        <v>907</v>
      </c>
      <c r="AI2171" t="s">
        <v>368</v>
      </c>
      <c r="AJ2171" t="str">
        <f t="shared" ref="AJ2171:AK2171" si="2295">IF($J2171&lt;&gt;"",$J2171,IF($AC2171=$AC2170,AJ2170,""))</f>
        <v>o</v>
      </c>
      <c r="AK2171" t="str">
        <f t="shared" si="2295"/>
        <v>o</v>
      </c>
      <c r="AL2171" t="str">
        <f t="shared" si="2217"/>
        <v>o</v>
      </c>
      <c r="AN2171" t="s">
        <v>861</v>
      </c>
      <c r="AO2171" t="str">
        <f t="shared" si="2218"/>
        <v>h</v>
      </c>
      <c r="AP2171" t="str">
        <f t="shared" si="2226"/>
        <v>o</v>
      </c>
      <c r="AQ2171" t="str">
        <f t="shared" si="2227"/>
        <v/>
      </c>
      <c r="AR2171" t="str">
        <f t="shared" si="2228"/>
        <v>Home</v>
      </c>
      <c r="AS2171" t="str">
        <f t="shared" si="2229"/>
        <v>h</v>
      </c>
      <c r="AT2171" t="str">
        <f t="shared" si="2230"/>
        <v>Defensive</v>
      </c>
      <c r="BA2171" s="6">
        <f t="shared" si="2219"/>
        <v>495</v>
      </c>
      <c r="BB2171">
        <f t="shared" si="2220"/>
        <v>18981</v>
      </c>
      <c r="BC2171" t="str">
        <f t="shared" si="2221"/>
        <v>Nelson</v>
      </c>
      <c r="BD2171" t="str">
        <f t="shared" si="2222"/>
        <v>Velodrome</v>
      </c>
      <c r="BE2171" t="s">
        <v>238</v>
      </c>
      <c r="BF2171" t="s">
        <v>174</v>
      </c>
      <c r="BG2171" t="s">
        <v>85</v>
      </c>
      <c r="BI2171" cm="1">
        <f t="array" ref="BI2171">IFERROR(_xlfn._xlws.FILTER(shifts!A:A,(shifts!B:B=events!AD2171)*(shifts!AG:AG&gt;=events!BK2171)*(shifts!AH:AH&lt;=events!BL2171)),BI2170)</f>
        <v>95</v>
      </c>
      <c r="BJ2171" s="15">
        <f t="shared" si="2223"/>
        <v>2</v>
      </c>
      <c r="BK2171">
        <f t="shared" si="2231"/>
        <v>386</v>
      </c>
      <c r="BL2171">
        <f t="shared" si="2232"/>
        <v>384</v>
      </c>
      <c r="BM2171" s="15">
        <f>SUMIFS(BJ$2:BJ2171,K$2:K2171,"=Intermission")+SUMIFS(BJ$2:BJ2171,K$2:K2171,"=Timeout")</f>
        <v>142</v>
      </c>
      <c r="BN2171">
        <f t="shared" si="2233"/>
        <v>2302</v>
      </c>
      <c r="BO2171" s="19">
        <f t="shared" si="2234"/>
        <v>2996</v>
      </c>
      <c r="BP2171">
        <f t="shared" si="2235"/>
        <v>2991</v>
      </c>
      <c r="BQ2171" s="17">
        <f t="shared" si="2236"/>
        <v>2998</v>
      </c>
      <c r="BR2171" t="str">
        <f t="shared" si="2237"/>
        <v>opp_team_player_1</v>
      </c>
      <c r="BS2171">
        <f>COUNTIFS(S$3:S2171,"="&amp;S2171,AI$3:AI2171,"="&amp;AI2171)</f>
        <v>1</v>
      </c>
      <c r="BT2171" t="str">
        <f>IFERROR(VLOOKUP(BB2171&amp;BU2171&amp;X2171,game_rosters!U:W,3,FALSE),"")</f>
        <v>P100002</v>
      </c>
      <c r="BU2171" t="str">
        <f t="shared" si="2238"/>
        <v>Velodrome</v>
      </c>
    </row>
    <row r="2172" spans="1:73" x14ac:dyDescent="0.2">
      <c r="A2172">
        <f t="shared" si="2224"/>
        <v>1</v>
      </c>
      <c r="J2172" s="44" t="str">
        <f t="shared" si="2239"/>
        <v>o</v>
      </c>
      <c r="K2172" t="s">
        <v>238</v>
      </c>
      <c r="L2172" t="s">
        <v>174</v>
      </c>
      <c r="M2172" t="s">
        <v>85</v>
      </c>
      <c r="S2172">
        <v>1149</v>
      </c>
      <c r="W2172" t="str">
        <f t="shared" si="2215"/>
        <v>h</v>
      </c>
      <c r="X2172">
        <v>93</v>
      </c>
      <c r="Y2172" t="e">
        <f>IF(X2172&lt;&gt;"",VLOOKUP(X2172,game_rosters!$C$43:$E$64,3,FALSE))</f>
        <v>#N/A</v>
      </c>
      <c r="Z2172" t="str" cm="1">
        <f t="array" ref="Z2172">IFERROR(IF(_xlfn._xlws.FILTER(game_rosters!$J:$J,(game_rosters!$G:$G=events!$AN2172)*(game_rosters!$J:$J=events!$X2172))&gt;0,1,""),"")</f>
        <v/>
      </c>
      <c r="AA2172">
        <f t="shared" si="2263"/>
        <v>2149</v>
      </c>
      <c r="AB2172" t="str">
        <f t="shared" si="2264"/>
        <v/>
      </c>
      <c r="AC2172">
        <f t="shared" si="2212"/>
        <v>2149</v>
      </c>
      <c r="AD2172" s="6">
        <v>3</v>
      </c>
      <c r="AE2172" t="s">
        <v>938</v>
      </c>
      <c r="AF2172" t="s">
        <v>739</v>
      </c>
      <c r="AG2172" t="s">
        <v>938</v>
      </c>
      <c r="AH2172" t="s">
        <v>907</v>
      </c>
      <c r="AI2172" t="s">
        <v>368</v>
      </c>
      <c r="AJ2172" t="str">
        <f t="shared" ref="AJ2172:AK2172" si="2296">IF($J2172&lt;&gt;"",$J2172,IF($AC2172=$AC2171,AJ2171,""))</f>
        <v>o</v>
      </c>
      <c r="AK2172" t="str">
        <f t="shared" si="2296"/>
        <v>o</v>
      </c>
      <c r="AL2172" t="str">
        <f t="shared" si="2217"/>
        <v>o</v>
      </c>
      <c r="AN2172" t="s">
        <v>861</v>
      </c>
      <c r="AO2172" t="str">
        <f t="shared" si="2218"/>
        <v>h</v>
      </c>
      <c r="AP2172" t="str">
        <f t="shared" si="2226"/>
        <v>o</v>
      </c>
      <c r="AQ2172" t="str">
        <f t="shared" si="2227"/>
        <v/>
      </c>
      <c r="AR2172" t="str">
        <f t="shared" si="2228"/>
        <v>Home</v>
      </c>
      <c r="AS2172" t="str">
        <f t="shared" si="2229"/>
        <v>h</v>
      </c>
      <c r="AT2172" t="str">
        <f t="shared" si="2230"/>
        <v>Defensive</v>
      </c>
      <c r="BA2172" s="6">
        <f t="shared" si="2219"/>
        <v>496</v>
      </c>
      <c r="BB2172">
        <f t="shared" si="2220"/>
        <v>18981</v>
      </c>
      <c r="BC2172" t="str">
        <f t="shared" si="2221"/>
        <v>Nelson</v>
      </c>
      <c r="BD2172" t="str">
        <f t="shared" si="2222"/>
        <v>Velodrome</v>
      </c>
      <c r="BE2172" t="s">
        <v>238</v>
      </c>
      <c r="BF2172" t="s">
        <v>174</v>
      </c>
      <c r="BG2172" t="s">
        <v>85</v>
      </c>
      <c r="BI2172" cm="1">
        <f t="array" ref="BI2172">IFERROR(_xlfn._xlws.FILTER(shifts!A:A,(shifts!B:B=events!AD2172)*(shifts!AG:AG&gt;=events!BK2172)*(shifts!AH:AH&lt;=events!BL2172)),BI2171)</f>
        <v>95</v>
      </c>
      <c r="BJ2172" s="15">
        <f t="shared" si="2223"/>
        <v>2</v>
      </c>
      <c r="BK2172">
        <f t="shared" si="2231"/>
        <v>386</v>
      </c>
      <c r="BL2172">
        <f t="shared" si="2232"/>
        <v>384</v>
      </c>
      <c r="BM2172" s="15">
        <f>SUMIFS(BJ$2:BJ2172,K$2:K2172,"=Intermission")+SUMIFS(BJ$2:BJ2172,K$2:K2172,"=Timeout")</f>
        <v>142</v>
      </c>
      <c r="BN2172">
        <f t="shared" si="2233"/>
        <v>2302</v>
      </c>
      <c r="BO2172" s="19">
        <f t="shared" si="2234"/>
        <v>2996</v>
      </c>
      <c r="BP2172">
        <f t="shared" si="2235"/>
        <v>2991</v>
      </c>
      <c r="BQ2172" s="17">
        <f t="shared" si="2236"/>
        <v>2998</v>
      </c>
      <c r="BR2172" t="str">
        <f t="shared" si="2237"/>
        <v>opp_team_player_2</v>
      </c>
      <c r="BS2172">
        <f>COUNTIFS(S$3:S2172,"="&amp;S2172,AI$3:AI2172,"="&amp;AI2172)</f>
        <v>2</v>
      </c>
      <c r="BT2172" t="str">
        <f>IFERROR(VLOOKUP(BB2172&amp;BU2172&amp;X2172,game_rosters!U:W,3,FALSE),"")</f>
        <v>P100093</v>
      </c>
      <c r="BU2172" t="str">
        <f t="shared" si="2238"/>
        <v>Velodrome</v>
      </c>
    </row>
    <row r="2173" spans="1:73" x14ac:dyDescent="0.2">
      <c r="A2173">
        <f t="shared" si="2224"/>
        <v>1</v>
      </c>
      <c r="J2173" s="44" t="str">
        <f t="shared" si="2239"/>
        <v/>
      </c>
      <c r="K2173" t="s">
        <v>7</v>
      </c>
      <c r="L2173" t="s">
        <v>199</v>
      </c>
      <c r="M2173" t="s">
        <v>67</v>
      </c>
      <c r="S2173">
        <v>1150</v>
      </c>
      <c r="W2173" t="str">
        <f t="shared" si="2215"/>
        <v>h</v>
      </c>
      <c r="X2173">
        <v>79</v>
      </c>
      <c r="Y2173" t="b">
        <f>IF(X2173&lt;&gt;"",VLOOKUP(X2173,game_rosters!$C$43:$E$64,3,FALSE))</f>
        <v>0</v>
      </c>
      <c r="Z2173" cm="1">
        <f t="array" ref="Z2173">IFERROR(IF(_xlfn._xlws.FILTER(game_rosters!$J:$J,(game_rosters!$G:$G=events!$AN2173)*(game_rosters!$J:$J=events!$X2173))&gt;0,1,""),"")</f>
        <v>1</v>
      </c>
      <c r="AA2173">
        <f t="shared" si="2263"/>
        <v>2150</v>
      </c>
      <c r="AB2173" t="str">
        <f t="shared" si="2264"/>
        <v/>
      </c>
      <c r="AC2173">
        <f t="shared" si="2212"/>
        <v>2150</v>
      </c>
      <c r="AD2173" s="6">
        <v>3</v>
      </c>
      <c r="AE2173" t="s">
        <v>938</v>
      </c>
      <c r="AF2173" t="s">
        <v>907</v>
      </c>
      <c r="AG2173" t="s">
        <v>756</v>
      </c>
      <c r="AH2173" t="s">
        <v>756</v>
      </c>
      <c r="AI2173" t="s">
        <v>367</v>
      </c>
      <c r="AJ2173" t="str">
        <f t="shared" ref="AJ2173:AK2173" si="2297">IF($J2173&lt;&gt;"",$J2173,IF($AC2173=$AC2172,AJ2172,""))</f>
        <v/>
      </c>
      <c r="AK2173" t="str">
        <f t="shared" si="2297"/>
        <v/>
      </c>
      <c r="AL2173" t="str">
        <f t="shared" si="2217"/>
        <v/>
      </c>
      <c r="AN2173" t="s">
        <v>861</v>
      </c>
      <c r="AO2173" t="str">
        <f t="shared" si="2218"/>
        <v>h</v>
      </c>
      <c r="AP2173" t="str">
        <f t="shared" si="2226"/>
        <v/>
      </c>
      <c r="AQ2173" t="str">
        <f t="shared" si="2227"/>
        <v/>
      </c>
      <c r="AR2173" t="str">
        <f t="shared" si="2228"/>
        <v>Home</v>
      </c>
      <c r="AS2173" t="str">
        <f t="shared" si="2229"/>
        <v>h</v>
      </c>
      <c r="AT2173" t="str">
        <f t="shared" si="2230"/>
        <v>Offensive</v>
      </c>
      <c r="BA2173" s="6">
        <f t="shared" si="2219"/>
        <v>496</v>
      </c>
      <c r="BB2173">
        <f t="shared" si="2220"/>
        <v>18981</v>
      </c>
      <c r="BC2173" t="str">
        <f t="shared" si="2221"/>
        <v>Nelson</v>
      </c>
      <c r="BD2173" t="str">
        <f t="shared" si="2222"/>
        <v>Velodrome</v>
      </c>
      <c r="BE2173" t="s">
        <v>7</v>
      </c>
      <c r="BF2173" t="s">
        <v>199</v>
      </c>
      <c r="BG2173" t="s">
        <v>67</v>
      </c>
      <c r="BI2173" cm="1">
        <f t="array" ref="BI2173">IFERROR(_xlfn._xlws.FILTER(shifts!A:A,(shifts!B:B=events!AD2173)*(shifts!AG:AG&gt;=events!BK2173)*(shifts!AH:AH&lt;=events!BL2173)),BI2172)</f>
        <v>95</v>
      </c>
      <c r="BJ2173" s="15">
        <f t="shared" si="2223"/>
        <v>0</v>
      </c>
      <c r="BK2173">
        <f t="shared" si="2231"/>
        <v>384</v>
      </c>
      <c r="BL2173">
        <f t="shared" si="2232"/>
        <v>384</v>
      </c>
      <c r="BM2173" s="15">
        <f>SUMIFS(BJ$2:BJ2173,K$2:K2173,"=Intermission")+SUMIFS(BJ$2:BJ2173,K$2:K2173,"=Timeout")</f>
        <v>142</v>
      </c>
      <c r="BN2173">
        <f t="shared" si="2233"/>
        <v>2302</v>
      </c>
      <c r="BO2173" s="19">
        <f t="shared" si="2234"/>
        <v>2998</v>
      </c>
      <c r="BP2173">
        <f t="shared" si="2235"/>
        <v>2993</v>
      </c>
      <c r="BQ2173" s="17">
        <f t="shared" si="2236"/>
        <v>2998</v>
      </c>
      <c r="BR2173" t="str">
        <f t="shared" si="2237"/>
        <v>event_team_player_1</v>
      </c>
      <c r="BS2173">
        <f>COUNTIFS(S$3:S2173,"="&amp;S2173,AI$3:AI2173,"="&amp;AI2173)</f>
        <v>1</v>
      </c>
      <c r="BT2173" t="str">
        <f>IFERROR(VLOOKUP(BB2173&amp;BU2173&amp;X2173,game_rosters!U:W,3,FALSE),"")</f>
        <v>P100066</v>
      </c>
      <c r="BU2173" t="str">
        <f t="shared" si="2238"/>
        <v>Nelson</v>
      </c>
    </row>
    <row r="2174" spans="1:73" x14ac:dyDescent="0.2">
      <c r="A2174">
        <f t="shared" si="2224"/>
        <v>1</v>
      </c>
      <c r="J2174" s="44" t="str">
        <f t="shared" si="2239"/>
        <v/>
      </c>
      <c r="K2174" t="s">
        <v>7</v>
      </c>
      <c r="L2174" t="s">
        <v>199</v>
      </c>
      <c r="M2174" t="s">
        <v>67</v>
      </c>
      <c r="S2174">
        <v>1150</v>
      </c>
      <c r="W2174" t="str">
        <f t="shared" si="2215"/>
        <v>h</v>
      </c>
      <c r="X2174">
        <v>8</v>
      </c>
      <c r="Y2174" t="b">
        <f>IF(X2174&lt;&gt;"",VLOOKUP(X2174,game_rosters!$C$43:$E$64,3,FALSE))</f>
        <v>0</v>
      </c>
      <c r="Z2174" cm="1">
        <f t="array" ref="Z2174">IFERROR(IF(_xlfn._xlws.FILTER(game_rosters!$J:$J,(game_rosters!$G:$G=events!$AN2174)*(game_rosters!$J:$J=events!$X2174))&gt;0,1,""),"")</f>
        <v>1</v>
      </c>
      <c r="AA2174">
        <f t="shared" si="2263"/>
        <v>2150</v>
      </c>
      <c r="AB2174" t="str">
        <f t="shared" si="2264"/>
        <v/>
      </c>
      <c r="AC2174">
        <f t="shared" si="2212"/>
        <v>2150</v>
      </c>
      <c r="AD2174" s="6">
        <v>3</v>
      </c>
      <c r="AE2174" t="s">
        <v>938</v>
      </c>
      <c r="AF2174" t="s">
        <v>907</v>
      </c>
      <c r="AG2174" t="s">
        <v>756</v>
      </c>
      <c r="AH2174" t="s">
        <v>756</v>
      </c>
      <c r="AI2174" t="s">
        <v>367</v>
      </c>
      <c r="AJ2174" t="str">
        <f t="shared" ref="AJ2174:AK2174" si="2298">IF($J2174&lt;&gt;"",$J2174,IF($AC2174=$AC2173,AJ2173,""))</f>
        <v/>
      </c>
      <c r="AK2174" t="str">
        <f t="shared" si="2298"/>
        <v/>
      </c>
      <c r="AL2174" t="str">
        <f t="shared" si="2217"/>
        <v/>
      </c>
      <c r="AN2174" t="s">
        <v>861</v>
      </c>
      <c r="AO2174" t="str">
        <f t="shared" si="2218"/>
        <v>h</v>
      </c>
      <c r="AP2174" t="str">
        <f t="shared" si="2226"/>
        <v/>
      </c>
      <c r="AQ2174" t="str">
        <f t="shared" si="2227"/>
        <v/>
      </c>
      <c r="AR2174" t="str">
        <f t="shared" si="2228"/>
        <v>Home</v>
      </c>
      <c r="AS2174" t="str">
        <f t="shared" si="2229"/>
        <v>h</v>
      </c>
      <c r="AT2174" t="str">
        <f t="shared" si="2230"/>
        <v>Offensive</v>
      </c>
      <c r="BA2174" s="6">
        <f t="shared" si="2219"/>
        <v>496</v>
      </c>
      <c r="BB2174">
        <f t="shared" si="2220"/>
        <v>18981</v>
      </c>
      <c r="BC2174" t="str">
        <f t="shared" si="2221"/>
        <v>Nelson</v>
      </c>
      <c r="BD2174" t="str">
        <f t="shared" si="2222"/>
        <v>Velodrome</v>
      </c>
      <c r="BE2174" t="s">
        <v>7</v>
      </c>
      <c r="BF2174" t="s">
        <v>199</v>
      </c>
      <c r="BG2174" t="s">
        <v>67</v>
      </c>
      <c r="BI2174" cm="1">
        <f t="array" ref="BI2174">IFERROR(_xlfn._xlws.FILTER(shifts!A:A,(shifts!B:B=events!AD2174)*(shifts!AG:AG&gt;=events!BK2174)*(shifts!AH:AH&lt;=events!BL2174)),BI2173)</f>
        <v>95</v>
      </c>
      <c r="BJ2174" s="15">
        <f t="shared" si="2223"/>
        <v>0</v>
      </c>
      <c r="BK2174">
        <f t="shared" si="2231"/>
        <v>384</v>
      </c>
      <c r="BL2174">
        <f t="shared" si="2232"/>
        <v>384</v>
      </c>
      <c r="BM2174" s="15">
        <f>SUMIFS(BJ$2:BJ2174,K$2:K2174,"=Intermission")+SUMIFS(BJ$2:BJ2174,K$2:K2174,"=Timeout")</f>
        <v>142</v>
      </c>
      <c r="BN2174">
        <f t="shared" si="2233"/>
        <v>2302</v>
      </c>
      <c r="BO2174" s="19">
        <f t="shared" si="2234"/>
        <v>2998</v>
      </c>
      <c r="BP2174">
        <f t="shared" si="2235"/>
        <v>2993</v>
      </c>
      <c r="BQ2174" s="17">
        <f t="shared" si="2236"/>
        <v>2998</v>
      </c>
      <c r="BR2174" t="str">
        <f t="shared" si="2237"/>
        <v>event_team_player_2</v>
      </c>
      <c r="BS2174">
        <f>COUNTIFS(S$3:S2174,"="&amp;S2174,AI$3:AI2174,"="&amp;AI2174)</f>
        <v>2</v>
      </c>
      <c r="BT2174" t="str">
        <f>IFERROR(VLOOKUP(BB2174&amp;BU2174&amp;X2174,game_rosters!U:W,3,FALSE),"")</f>
        <v>P100074</v>
      </c>
      <c r="BU2174" t="str">
        <f t="shared" si="2238"/>
        <v>Nelson</v>
      </c>
    </row>
    <row r="2175" spans="1:73" x14ac:dyDescent="0.2">
      <c r="A2175">
        <f t="shared" si="2224"/>
        <v>1</v>
      </c>
      <c r="J2175" s="44" t="str">
        <f t="shared" si="2239"/>
        <v/>
      </c>
      <c r="K2175" t="s">
        <v>7</v>
      </c>
      <c r="L2175" t="s">
        <v>199</v>
      </c>
      <c r="M2175" t="s">
        <v>67</v>
      </c>
      <c r="S2175">
        <v>1150</v>
      </c>
      <c r="W2175" t="str">
        <f t="shared" si="2215"/>
        <v>h</v>
      </c>
      <c r="X2175">
        <v>84</v>
      </c>
      <c r="Y2175" t="e">
        <f>IF(X2175&lt;&gt;"",VLOOKUP(X2175,game_rosters!$C$43:$E$64,3,FALSE))</f>
        <v>#N/A</v>
      </c>
      <c r="Z2175" t="str" cm="1">
        <f t="array" ref="Z2175">IFERROR(IF(_xlfn._xlws.FILTER(game_rosters!$J:$J,(game_rosters!$G:$G=events!$AN2175)*(game_rosters!$J:$J=events!$X2175))&gt;0,1,""),"")</f>
        <v/>
      </c>
      <c r="AA2175">
        <f t="shared" si="2263"/>
        <v>2150</v>
      </c>
      <c r="AB2175" t="str">
        <f t="shared" si="2264"/>
        <v/>
      </c>
      <c r="AC2175">
        <f t="shared" si="2212"/>
        <v>2150</v>
      </c>
      <c r="AD2175" s="6">
        <v>3</v>
      </c>
      <c r="AE2175" t="s">
        <v>938</v>
      </c>
      <c r="AF2175" t="s">
        <v>907</v>
      </c>
      <c r="AG2175" t="s">
        <v>756</v>
      </c>
      <c r="AH2175" t="s">
        <v>756</v>
      </c>
      <c r="AI2175" t="s">
        <v>368</v>
      </c>
      <c r="AJ2175" t="str">
        <f t="shared" ref="AJ2175:AK2175" si="2299">IF($J2175&lt;&gt;"",$J2175,IF($AC2175=$AC2174,AJ2174,""))</f>
        <v/>
      </c>
      <c r="AK2175" t="str">
        <f t="shared" si="2299"/>
        <v/>
      </c>
      <c r="AL2175" t="str">
        <f t="shared" si="2217"/>
        <v/>
      </c>
      <c r="AN2175" t="s">
        <v>861</v>
      </c>
      <c r="AO2175" t="str">
        <f t="shared" si="2218"/>
        <v>h</v>
      </c>
      <c r="AP2175" t="str">
        <f t="shared" si="2226"/>
        <v/>
      </c>
      <c r="AQ2175" t="str">
        <f t="shared" si="2227"/>
        <v/>
      </c>
      <c r="AR2175" t="str">
        <f t="shared" si="2228"/>
        <v>Home</v>
      </c>
      <c r="AS2175" t="str">
        <f t="shared" si="2229"/>
        <v>h</v>
      </c>
      <c r="AT2175" t="str">
        <f t="shared" si="2230"/>
        <v>Defensive</v>
      </c>
      <c r="BA2175" s="6">
        <f t="shared" si="2219"/>
        <v>496</v>
      </c>
      <c r="BB2175">
        <f t="shared" si="2220"/>
        <v>18981</v>
      </c>
      <c r="BC2175" t="str">
        <f t="shared" si="2221"/>
        <v>Nelson</v>
      </c>
      <c r="BD2175" t="str">
        <f t="shared" si="2222"/>
        <v>Velodrome</v>
      </c>
      <c r="BE2175" t="s">
        <v>7</v>
      </c>
      <c r="BF2175" t="s">
        <v>199</v>
      </c>
      <c r="BG2175" t="s">
        <v>67</v>
      </c>
      <c r="BI2175" cm="1">
        <f t="array" ref="BI2175">IFERROR(_xlfn._xlws.FILTER(shifts!A:A,(shifts!B:B=events!AD2175)*(shifts!AG:AG&gt;=events!BK2175)*(shifts!AH:AH&lt;=events!BL2175)),BI2174)</f>
        <v>95</v>
      </c>
      <c r="BJ2175" s="15">
        <f t="shared" si="2223"/>
        <v>0</v>
      </c>
      <c r="BK2175">
        <f t="shared" si="2231"/>
        <v>384</v>
      </c>
      <c r="BL2175">
        <f t="shared" si="2232"/>
        <v>384</v>
      </c>
      <c r="BM2175" s="15">
        <f>SUMIFS(BJ$2:BJ2175,K$2:K2175,"=Intermission")+SUMIFS(BJ$2:BJ2175,K$2:K2175,"=Timeout")</f>
        <v>142</v>
      </c>
      <c r="BN2175">
        <f t="shared" si="2233"/>
        <v>2302</v>
      </c>
      <c r="BO2175" s="19">
        <f t="shared" si="2234"/>
        <v>2998</v>
      </c>
      <c r="BP2175">
        <f t="shared" si="2235"/>
        <v>2993</v>
      </c>
      <c r="BQ2175" s="17">
        <f t="shared" si="2236"/>
        <v>2998</v>
      </c>
      <c r="BR2175" t="str">
        <f t="shared" si="2237"/>
        <v>opp_team_player_1</v>
      </c>
      <c r="BS2175">
        <f>COUNTIFS(S$3:S2175,"="&amp;S2175,AI$3:AI2175,"="&amp;AI2175)</f>
        <v>1</v>
      </c>
      <c r="BT2175" t="str">
        <f>IFERROR(VLOOKUP(BB2175&amp;BU2175&amp;X2175,game_rosters!U:W,3,FALSE),"")</f>
        <v>P100198</v>
      </c>
      <c r="BU2175" t="str">
        <f t="shared" si="2238"/>
        <v>Velodrome</v>
      </c>
    </row>
    <row r="2176" spans="1:73" x14ac:dyDescent="0.2">
      <c r="A2176">
        <f t="shared" si="2224"/>
        <v>1</v>
      </c>
      <c r="J2176" s="44" t="str">
        <f t="shared" si="2239"/>
        <v/>
      </c>
      <c r="K2176" t="s">
        <v>9</v>
      </c>
      <c r="L2176" t="s">
        <v>173</v>
      </c>
      <c r="M2176" t="s">
        <v>73</v>
      </c>
      <c r="S2176">
        <v>1151</v>
      </c>
      <c r="W2176" t="str">
        <f t="shared" si="2215"/>
        <v>h</v>
      </c>
      <c r="X2176">
        <v>79</v>
      </c>
      <c r="Y2176" t="b">
        <f>IF(X2176&lt;&gt;"",VLOOKUP(X2176,game_rosters!$C$43:$E$64,3,FALSE))</f>
        <v>0</v>
      </c>
      <c r="Z2176" cm="1">
        <f t="array" ref="Z2176">IFERROR(IF(_xlfn._xlws.FILTER(game_rosters!$J:$J,(game_rosters!$G:$G=events!$AN2176)*(game_rosters!$J:$J=events!$X2176))&gt;0,1,""),"")</f>
        <v>1</v>
      </c>
      <c r="AA2176">
        <f t="shared" si="2263"/>
        <v>2151</v>
      </c>
      <c r="AB2176" t="str">
        <f t="shared" si="2264"/>
        <v/>
      </c>
      <c r="AC2176">
        <f t="shared" si="2212"/>
        <v>2151</v>
      </c>
      <c r="AD2176" s="6">
        <v>3</v>
      </c>
      <c r="AE2176" t="s">
        <v>938</v>
      </c>
      <c r="AF2176" t="s">
        <v>907</v>
      </c>
      <c r="AG2176" t="s">
        <v>756</v>
      </c>
      <c r="AH2176" t="s">
        <v>756</v>
      </c>
      <c r="AI2176" t="s">
        <v>367</v>
      </c>
      <c r="AJ2176" t="str">
        <f t="shared" ref="AJ2176:AK2176" si="2300">IF($J2176&lt;&gt;"",$J2176,IF($AC2176=$AC2175,AJ2175,""))</f>
        <v/>
      </c>
      <c r="AK2176" t="str">
        <f t="shared" si="2300"/>
        <v/>
      </c>
      <c r="AL2176" t="str">
        <f t="shared" si="2217"/>
        <v/>
      </c>
      <c r="AN2176" t="s">
        <v>861</v>
      </c>
      <c r="AO2176" t="str">
        <f t="shared" si="2218"/>
        <v>h</v>
      </c>
      <c r="AP2176" t="str">
        <f t="shared" si="2226"/>
        <v/>
      </c>
      <c r="AQ2176" t="str">
        <f t="shared" si="2227"/>
        <v/>
      </c>
      <c r="AR2176" t="str">
        <f t="shared" si="2228"/>
        <v>Home</v>
      </c>
      <c r="AS2176" t="str">
        <f t="shared" si="2229"/>
        <v>h</v>
      </c>
      <c r="AT2176" t="str">
        <f t="shared" si="2230"/>
        <v>Offensive</v>
      </c>
      <c r="BA2176" s="6">
        <f t="shared" si="2219"/>
        <v>496</v>
      </c>
      <c r="BB2176">
        <f t="shared" si="2220"/>
        <v>18981</v>
      </c>
      <c r="BC2176" t="str">
        <f t="shared" si="2221"/>
        <v>Nelson</v>
      </c>
      <c r="BD2176" t="str">
        <f t="shared" si="2222"/>
        <v>Velodrome</v>
      </c>
      <c r="BE2176" t="s">
        <v>9</v>
      </c>
      <c r="BF2176" t="s">
        <v>173</v>
      </c>
      <c r="BG2176" t="s">
        <v>73</v>
      </c>
      <c r="BI2176" cm="1">
        <f t="array" ref="BI2176">IFERROR(_xlfn._xlws.FILTER(shifts!A:A,(shifts!B:B=events!AD2176)*(shifts!AG:AG&gt;=events!BK2176)*(shifts!AH:AH&lt;=events!BL2176)),BI2175)</f>
        <v>95</v>
      </c>
      <c r="BJ2176" s="15">
        <f t="shared" si="2223"/>
        <v>0</v>
      </c>
      <c r="BK2176">
        <f t="shared" si="2231"/>
        <v>384</v>
      </c>
      <c r="BL2176">
        <f t="shared" si="2232"/>
        <v>384</v>
      </c>
      <c r="BM2176" s="15">
        <f>SUMIFS(BJ$2:BJ2176,K$2:K2176,"=Intermission")+SUMIFS(BJ$2:BJ2176,K$2:K2176,"=Timeout")</f>
        <v>142</v>
      </c>
      <c r="BN2176">
        <f t="shared" si="2233"/>
        <v>2302</v>
      </c>
      <c r="BO2176" s="19">
        <f t="shared" si="2234"/>
        <v>2998</v>
      </c>
      <c r="BP2176">
        <f t="shared" si="2235"/>
        <v>2993</v>
      </c>
      <c r="BQ2176" s="17">
        <f t="shared" si="2236"/>
        <v>2998</v>
      </c>
      <c r="BR2176" t="str">
        <f t="shared" si="2237"/>
        <v>event_team_player_1</v>
      </c>
      <c r="BS2176">
        <f>COUNTIFS(S$3:S2176,"="&amp;S2176,AI$3:AI2176,"="&amp;AI2176)</f>
        <v>1</v>
      </c>
      <c r="BT2176" t="str">
        <f>IFERROR(VLOOKUP(BB2176&amp;BU2176&amp;X2176,game_rosters!U:W,3,FALSE),"")</f>
        <v>P100066</v>
      </c>
      <c r="BU2176" t="str">
        <f t="shared" si="2238"/>
        <v>Nelson</v>
      </c>
    </row>
    <row r="2177" spans="1:73" x14ac:dyDescent="0.2">
      <c r="A2177">
        <f t="shared" si="2224"/>
        <v>1</v>
      </c>
      <c r="J2177" s="44" t="str">
        <f t="shared" si="2239"/>
        <v/>
      </c>
      <c r="K2177" t="s">
        <v>9</v>
      </c>
      <c r="L2177" t="s">
        <v>173</v>
      </c>
      <c r="M2177" t="s">
        <v>73</v>
      </c>
      <c r="S2177">
        <v>1151</v>
      </c>
      <c r="W2177" t="str">
        <f t="shared" si="2215"/>
        <v>h</v>
      </c>
      <c r="X2177">
        <v>8</v>
      </c>
      <c r="Y2177" t="b">
        <f>IF(X2177&lt;&gt;"",VLOOKUP(X2177,game_rosters!$C$43:$E$64,3,FALSE))</f>
        <v>0</v>
      </c>
      <c r="Z2177" cm="1">
        <f t="array" ref="Z2177">IFERROR(IF(_xlfn._xlws.FILTER(game_rosters!$J:$J,(game_rosters!$G:$G=events!$AN2177)*(game_rosters!$J:$J=events!$X2177))&gt;0,1,""),"")</f>
        <v>1</v>
      </c>
      <c r="AA2177">
        <f t="shared" si="2263"/>
        <v>2151</v>
      </c>
      <c r="AB2177" t="str">
        <f t="shared" si="2264"/>
        <v/>
      </c>
      <c r="AC2177">
        <f t="shared" si="2212"/>
        <v>2151</v>
      </c>
      <c r="AD2177" s="6">
        <v>3</v>
      </c>
      <c r="AE2177" t="s">
        <v>938</v>
      </c>
      <c r="AF2177" t="s">
        <v>907</v>
      </c>
      <c r="AG2177" t="s">
        <v>756</v>
      </c>
      <c r="AH2177" t="s">
        <v>756</v>
      </c>
      <c r="AI2177" t="s">
        <v>367</v>
      </c>
      <c r="AJ2177" t="str">
        <f t="shared" ref="AJ2177:AK2177" si="2301">IF($J2177&lt;&gt;"",$J2177,IF($AC2177=$AC2176,AJ2176,""))</f>
        <v/>
      </c>
      <c r="AK2177" t="str">
        <f t="shared" si="2301"/>
        <v/>
      </c>
      <c r="AL2177" t="str">
        <f t="shared" si="2217"/>
        <v/>
      </c>
      <c r="AN2177" t="s">
        <v>861</v>
      </c>
      <c r="AO2177" t="str">
        <f t="shared" si="2218"/>
        <v>h</v>
      </c>
      <c r="AP2177" t="str">
        <f t="shared" si="2226"/>
        <v/>
      </c>
      <c r="AQ2177" t="str">
        <f t="shared" si="2227"/>
        <v/>
      </c>
      <c r="AR2177" t="str">
        <f t="shared" si="2228"/>
        <v>Home</v>
      </c>
      <c r="AS2177" t="str">
        <f t="shared" si="2229"/>
        <v>h</v>
      </c>
      <c r="AT2177" t="str">
        <f t="shared" si="2230"/>
        <v>Offensive</v>
      </c>
      <c r="BA2177" s="6">
        <f t="shared" si="2219"/>
        <v>496</v>
      </c>
      <c r="BB2177">
        <f t="shared" si="2220"/>
        <v>18981</v>
      </c>
      <c r="BC2177" t="str">
        <f t="shared" si="2221"/>
        <v>Nelson</v>
      </c>
      <c r="BD2177" t="str">
        <f t="shared" si="2222"/>
        <v>Velodrome</v>
      </c>
      <c r="BE2177" t="s">
        <v>9</v>
      </c>
      <c r="BF2177" t="s">
        <v>173</v>
      </c>
      <c r="BG2177" t="s">
        <v>73</v>
      </c>
      <c r="BI2177" cm="1">
        <f t="array" ref="BI2177">IFERROR(_xlfn._xlws.FILTER(shifts!A:A,(shifts!B:B=events!AD2177)*(shifts!AG:AG&gt;=events!BK2177)*(shifts!AH:AH&lt;=events!BL2177)),BI2176)</f>
        <v>95</v>
      </c>
      <c r="BJ2177" s="15">
        <f t="shared" si="2223"/>
        <v>0</v>
      </c>
      <c r="BK2177">
        <f t="shared" si="2231"/>
        <v>384</v>
      </c>
      <c r="BL2177">
        <f t="shared" si="2232"/>
        <v>384</v>
      </c>
      <c r="BM2177" s="15">
        <f>SUMIFS(BJ$2:BJ2177,K$2:K2177,"=Intermission")+SUMIFS(BJ$2:BJ2177,K$2:K2177,"=Timeout")</f>
        <v>142</v>
      </c>
      <c r="BN2177">
        <f t="shared" si="2233"/>
        <v>2302</v>
      </c>
      <c r="BO2177" s="19">
        <f t="shared" si="2234"/>
        <v>2998</v>
      </c>
      <c r="BP2177">
        <f t="shared" si="2235"/>
        <v>2993</v>
      </c>
      <c r="BQ2177" s="17">
        <f t="shared" si="2236"/>
        <v>2998</v>
      </c>
      <c r="BR2177" t="str">
        <f t="shared" si="2237"/>
        <v>event_team_player_2</v>
      </c>
      <c r="BS2177">
        <f>COUNTIFS(S$3:S2177,"="&amp;S2177,AI$3:AI2177,"="&amp;AI2177)</f>
        <v>2</v>
      </c>
      <c r="BT2177" t="str">
        <f>IFERROR(VLOOKUP(BB2177&amp;BU2177&amp;X2177,game_rosters!U:W,3,FALSE),"")</f>
        <v>P100074</v>
      </c>
      <c r="BU2177" t="str">
        <f t="shared" si="2238"/>
        <v>Nelson</v>
      </c>
    </row>
    <row r="2178" spans="1:73" x14ac:dyDescent="0.2">
      <c r="A2178">
        <f t="shared" si="2224"/>
        <v>1</v>
      </c>
      <c r="J2178" s="44" t="str">
        <f t="shared" si="2239"/>
        <v/>
      </c>
      <c r="K2178" t="s">
        <v>9</v>
      </c>
      <c r="L2178" t="s">
        <v>173</v>
      </c>
      <c r="M2178" t="s">
        <v>73</v>
      </c>
      <c r="S2178">
        <v>1151</v>
      </c>
      <c r="W2178" t="str">
        <f t="shared" si="2215"/>
        <v>h</v>
      </c>
      <c r="X2178">
        <v>84</v>
      </c>
      <c r="Y2178" t="e">
        <f>IF(X2178&lt;&gt;"",VLOOKUP(X2178,game_rosters!$C$43:$E$64,3,FALSE))</f>
        <v>#N/A</v>
      </c>
      <c r="Z2178" t="str" cm="1">
        <f t="array" ref="Z2178">IFERROR(IF(_xlfn._xlws.FILTER(game_rosters!$J:$J,(game_rosters!$G:$G=events!$AN2178)*(game_rosters!$J:$J=events!$X2178))&gt;0,1,""),"")</f>
        <v/>
      </c>
      <c r="AA2178">
        <f t="shared" si="2263"/>
        <v>2151</v>
      </c>
      <c r="AB2178" t="str">
        <f t="shared" si="2264"/>
        <v/>
      </c>
      <c r="AC2178">
        <f t="shared" ref="AC2178:AC2241" si="2302">IF(AB2178&lt;&gt;"",AB2178,S2178+1000)</f>
        <v>2151</v>
      </c>
      <c r="AD2178" s="6">
        <v>3</v>
      </c>
      <c r="AE2178" t="s">
        <v>938</v>
      </c>
      <c r="AF2178" t="s">
        <v>907</v>
      </c>
      <c r="AG2178" t="s">
        <v>756</v>
      </c>
      <c r="AH2178" t="s">
        <v>756</v>
      </c>
      <c r="AI2178" t="s">
        <v>368</v>
      </c>
      <c r="AJ2178" t="str">
        <f t="shared" ref="AJ2178:AK2178" si="2303">IF($J2178&lt;&gt;"",$J2178,IF($AC2178=$AC2177,AJ2177,""))</f>
        <v/>
      </c>
      <c r="AK2178" t="str">
        <f t="shared" si="2303"/>
        <v/>
      </c>
      <c r="AL2178" t="str">
        <f t="shared" si="2217"/>
        <v/>
      </c>
      <c r="AN2178" t="s">
        <v>861</v>
      </c>
      <c r="AO2178" t="str">
        <f t="shared" si="2218"/>
        <v>h</v>
      </c>
      <c r="AP2178" t="str">
        <f t="shared" si="2226"/>
        <v/>
      </c>
      <c r="AQ2178" t="str">
        <f t="shared" si="2227"/>
        <v/>
      </c>
      <c r="AR2178" t="str">
        <f t="shared" si="2228"/>
        <v>Home</v>
      </c>
      <c r="AS2178" t="str">
        <f t="shared" si="2229"/>
        <v>h</v>
      </c>
      <c r="AT2178" t="str">
        <f t="shared" si="2230"/>
        <v>Defensive</v>
      </c>
      <c r="BA2178" s="6">
        <f t="shared" si="2219"/>
        <v>496</v>
      </c>
      <c r="BB2178">
        <f t="shared" si="2220"/>
        <v>18981</v>
      </c>
      <c r="BC2178" t="str">
        <f t="shared" si="2221"/>
        <v>Nelson</v>
      </c>
      <c r="BD2178" t="str">
        <f t="shared" si="2222"/>
        <v>Velodrome</v>
      </c>
      <c r="BE2178" t="s">
        <v>9</v>
      </c>
      <c r="BF2178" t="s">
        <v>173</v>
      </c>
      <c r="BG2178" t="s">
        <v>73</v>
      </c>
      <c r="BI2178" cm="1">
        <f t="array" ref="BI2178">IFERROR(_xlfn._xlws.FILTER(shifts!A:A,(shifts!B:B=events!AD2178)*(shifts!AG:AG&gt;=events!BK2178)*(shifts!AH:AH&lt;=events!BL2178)),BI2177)</f>
        <v>95</v>
      </c>
      <c r="BJ2178" s="15">
        <f t="shared" si="2223"/>
        <v>0</v>
      </c>
      <c r="BK2178">
        <f t="shared" si="2231"/>
        <v>384</v>
      </c>
      <c r="BL2178">
        <f t="shared" si="2232"/>
        <v>384</v>
      </c>
      <c r="BM2178" s="15">
        <f>SUMIFS(BJ$2:BJ2178,K$2:K2178,"=Intermission")+SUMIFS(BJ$2:BJ2178,K$2:K2178,"=Timeout")</f>
        <v>142</v>
      </c>
      <c r="BN2178">
        <f t="shared" si="2233"/>
        <v>2302</v>
      </c>
      <c r="BO2178" s="19">
        <f t="shared" si="2234"/>
        <v>2998</v>
      </c>
      <c r="BP2178">
        <f t="shared" si="2235"/>
        <v>2993</v>
      </c>
      <c r="BQ2178" s="17">
        <f t="shared" si="2236"/>
        <v>2998</v>
      </c>
      <c r="BR2178" t="str">
        <f t="shared" si="2237"/>
        <v>opp_team_player_1</v>
      </c>
      <c r="BS2178">
        <f>COUNTIFS(S$3:S2178,"="&amp;S2178,AI$3:AI2178,"="&amp;AI2178)</f>
        <v>1</v>
      </c>
      <c r="BT2178" t="str">
        <f>IFERROR(VLOOKUP(BB2178&amp;BU2178&amp;X2178,game_rosters!U:W,3,FALSE),"")</f>
        <v>P100198</v>
      </c>
      <c r="BU2178" t="str">
        <f t="shared" si="2238"/>
        <v>Velodrome</v>
      </c>
    </row>
    <row r="2179" spans="1:73" x14ac:dyDescent="0.2">
      <c r="A2179">
        <f t="shared" si="2224"/>
        <v>1</v>
      </c>
      <c r="J2179" s="44" t="str">
        <f t="shared" si="2239"/>
        <v/>
      </c>
      <c r="K2179" t="s">
        <v>13</v>
      </c>
      <c r="L2179" t="s">
        <v>756</v>
      </c>
      <c r="M2179" t="s">
        <v>756</v>
      </c>
      <c r="S2179">
        <v>1152</v>
      </c>
      <c r="W2179" t="str">
        <f t="shared" si="2215"/>
        <v>a</v>
      </c>
      <c r="X2179">
        <v>91</v>
      </c>
      <c r="Y2179" t="e">
        <f>IF(X2179&lt;&gt;"",VLOOKUP(X2179,game_rosters!$C$43:$E$64,3,FALSE))</f>
        <v>#N/A</v>
      </c>
      <c r="Z2179" cm="1">
        <f t="array" ref="Z2179">IFERROR(IF(_xlfn._xlws.FILTER(game_rosters!$J:$J,(game_rosters!$G:$G=events!$AN2179)*(game_rosters!$J:$J=events!$X2179))&gt;0,1,""),"")</f>
        <v>1</v>
      </c>
      <c r="AA2179">
        <f t="shared" si="2263"/>
        <v>2152</v>
      </c>
      <c r="AB2179" t="str">
        <f t="shared" si="2264"/>
        <v/>
      </c>
      <c r="AC2179">
        <f t="shared" si="2302"/>
        <v>2152</v>
      </c>
      <c r="AD2179" s="6">
        <v>3</v>
      </c>
      <c r="AE2179" t="s">
        <v>938</v>
      </c>
      <c r="AF2179" t="s">
        <v>917</v>
      </c>
      <c r="AG2179" t="s">
        <v>938</v>
      </c>
      <c r="AH2179" t="s">
        <v>741</v>
      </c>
      <c r="AI2179" t="s">
        <v>367</v>
      </c>
      <c r="AJ2179" t="str">
        <f t="shared" ref="AJ2179:AK2179" si="2304">IF($J2179&lt;&gt;"",$J2179,IF($AC2179=$AC2178,AJ2178,""))</f>
        <v/>
      </c>
      <c r="AK2179" t="str">
        <f t="shared" si="2304"/>
        <v/>
      </c>
      <c r="AL2179" t="str">
        <f t="shared" si="2217"/>
        <v/>
      </c>
      <c r="AN2179" t="s">
        <v>862</v>
      </c>
      <c r="AO2179" t="str">
        <f t="shared" si="2218"/>
        <v>a</v>
      </c>
      <c r="AP2179" t="str">
        <f t="shared" si="2226"/>
        <v/>
      </c>
      <c r="AQ2179" t="str">
        <f t="shared" si="2227"/>
        <v/>
      </c>
      <c r="AR2179" t="str">
        <f t="shared" si="2228"/>
        <v>Away</v>
      </c>
      <c r="AS2179" t="str">
        <f t="shared" si="2229"/>
        <v>a</v>
      </c>
      <c r="AT2179" t="str">
        <f t="shared" si="2230"/>
        <v>Offensive</v>
      </c>
      <c r="BA2179" s="6">
        <f t="shared" si="2219"/>
        <v>496</v>
      </c>
      <c r="BB2179">
        <f t="shared" si="2220"/>
        <v>18981</v>
      </c>
      <c r="BC2179" t="str">
        <f t="shared" si="2221"/>
        <v>Nelson</v>
      </c>
      <c r="BD2179" t="str">
        <f t="shared" si="2222"/>
        <v>Velodrome</v>
      </c>
      <c r="BE2179" t="s">
        <v>13</v>
      </c>
      <c r="BF2179" t="s">
        <v>756</v>
      </c>
      <c r="BG2179" t="s">
        <v>756</v>
      </c>
      <c r="BI2179" cm="1">
        <f t="array" ref="BI2179">IFERROR(_xlfn._xlws.FILTER(shifts!A:A,(shifts!B:B=events!AD2179)*(shifts!AG:AG&gt;=events!BK2179)*(shifts!AH:AH&lt;=events!BL2179)),BI2178)</f>
        <v>95</v>
      </c>
      <c r="BJ2179" s="15">
        <f t="shared" si="2223"/>
        <v>2</v>
      </c>
      <c r="BK2179">
        <f t="shared" si="2231"/>
        <v>383</v>
      </c>
      <c r="BL2179">
        <f t="shared" si="2232"/>
        <v>381</v>
      </c>
      <c r="BM2179" s="15">
        <f>SUMIFS(BJ$2:BJ2179,K$2:K2179,"=Intermission")+SUMIFS(BJ$2:BJ2179,K$2:K2179,"=Timeout")</f>
        <v>142</v>
      </c>
      <c r="BN2179">
        <f t="shared" si="2233"/>
        <v>2302</v>
      </c>
      <c r="BO2179" s="19">
        <f t="shared" si="2234"/>
        <v>2999</v>
      </c>
      <c r="BP2179">
        <f t="shared" si="2235"/>
        <v>2994</v>
      </c>
      <c r="BQ2179" s="17">
        <f t="shared" si="2236"/>
        <v>3001</v>
      </c>
      <c r="BR2179" t="str">
        <f t="shared" si="2237"/>
        <v>event_team_player_1</v>
      </c>
      <c r="BS2179">
        <f>COUNTIFS(S$3:S2179,"="&amp;S2179,AI$3:AI2179,"="&amp;AI2179)</f>
        <v>1</v>
      </c>
      <c r="BT2179" t="str">
        <f>IFERROR(VLOOKUP(BB2179&amp;BU2179&amp;X2179,game_rosters!U:W,3,FALSE),"")</f>
        <v>P100002</v>
      </c>
      <c r="BU2179" t="str">
        <f t="shared" si="2238"/>
        <v>Velodrome</v>
      </c>
    </row>
    <row r="2180" spans="1:73" x14ac:dyDescent="0.2">
      <c r="A2180">
        <f t="shared" si="2224"/>
        <v>1</v>
      </c>
      <c r="J2180" s="44" t="str">
        <f t="shared" si="2239"/>
        <v/>
      </c>
      <c r="K2180" t="s">
        <v>7</v>
      </c>
      <c r="L2180" t="s">
        <v>182</v>
      </c>
      <c r="M2180" t="s">
        <v>65</v>
      </c>
      <c r="S2180">
        <v>1153</v>
      </c>
      <c r="W2180" t="str">
        <f t="shared" ref="W2180:W2243" si="2305">IF(AN2180="Away","a",IF(AN2180="Home","h",""))</f>
        <v>a</v>
      </c>
      <c r="X2180">
        <v>91</v>
      </c>
      <c r="Y2180" t="e">
        <f>IF(X2180&lt;&gt;"",VLOOKUP(X2180,game_rosters!$C$43:$E$64,3,FALSE))</f>
        <v>#N/A</v>
      </c>
      <c r="Z2180" cm="1">
        <f t="array" ref="Z2180">IFERROR(IF(_xlfn._xlws.FILTER(game_rosters!$J:$J,(game_rosters!$G:$G=events!$AN2180)*(game_rosters!$J:$J=events!$X2180))&gt;0,1,""),"")</f>
        <v>1</v>
      </c>
      <c r="AA2180">
        <f t="shared" si="2263"/>
        <v>2153</v>
      </c>
      <c r="AB2180" t="str">
        <f t="shared" si="2264"/>
        <v/>
      </c>
      <c r="AC2180">
        <f t="shared" si="2302"/>
        <v>2153</v>
      </c>
      <c r="AD2180" s="6">
        <v>3</v>
      </c>
      <c r="AE2180" t="s">
        <v>938</v>
      </c>
      <c r="AF2180" t="s">
        <v>741</v>
      </c>
      <c r="AG2180" t="s">
        <v>756</v>
      </c>
      <c r="AH2180" t="s">
        <v>756</v>
      </c>
      <c r="AI2180" t="s">
        <v>367</v>
      </c>
      <c r="AJ2180" t="str">
        <f t="shared" ref="AJ2180:AK2180" si="2306">IF($J2180&lt;&gt;"",$J2180,IF($AC2180=$AC2179,AJ2179,""))</f>
        <v/>
      </c>
      <c r="AK2180" t="str">
        <f t="shared" si="2306"/>
        <v/>
      </c>
      <c r="AL2180" t="str">
        <f t="shared" ref="AL2180:AL2243" si="2307">IF($W2180="","",IF($AJ2180="","",IF($W2180="h",$AJ2180,IF($AJ2180="n","n",IF(AND($W2180="a",$AJ2180="d"),"o",IF(AND($W2180="a",$AJ2180="o"),"d"))))))</f>
        <v/>
      </c>
      <c r="AN2180" t="s">
        <v>862</v>
      </c>
      <c r="AO2180" t="str">
        <f t="shared" ref="AO2180:AO2243" si="2308">IF($W2180&lt;&gt;"",$W2180,IF($AC2180=$AC2179,AO2179,""))</f>
        <v>a</v>
      </c>
      <c r="AP2180" t="str">
        <f t="shared" si="2226"/>
        <v/>
      </c>
      <c r="AQ2180" t="str">
        <f t="shared" si="2227"/>
        <v/>
      </c>
      <c r="AR2180" t="str">
        <f t="shared" si="2228"/>
        <v>Away</v>
      </c>
      <c r="AS2180" t="str">
        <f t="shared" si="2229"/>
        <v>a</v>
      </c>
      <c r="AT2180" t="str">
        <f t="shared" si="2230"/>
        <v>Offensive</v>
      </c>
      <c r="BA2180" s="6">
        <f t="shared" ref="BA2180:BA2243" si="2309">IF(OR(L2180="Zone_Entry",L2180="Zone_Exit"),BA2179+1,BA2179)</f>
        <v>496</v>
      </c>
      <c r="BB2180">
        <f t="shared" ref="BB2180:BB2243" si="2310">BB2179</f>
        <v>18981</v>
      </c>
      <c r="BC2180" t="str">
        <f t="shared" ref="BC2180:BC2243" si="2311">BC2179</f>
        <v>Nelson</v>
      </c>
      <c r="BD2180" t="str">
        <f t="shared" ref="BD2180:BD2243" si="2312">BD2179</f>
        <v>Velodrome</v>
      </c>
      <c r="BE2180" t="s">
        <v>7</v>
      </c>
      <c r="BF2180" t="s">
        <v>182</v>
      </c>
      <c r="BG2180" t="s">
        <v>65</v>
      </c>
      <c r="BI2180" cm="1">
        <f t="array" ref="BI2180">IFERROR(_xlfn._xlws.FILTER(shifts!A:A,(shifts!B:B=events!AD2180)*(shifts!AG:AG&gt;=events!BK2180)*(shifts!AH:AH&lt;=events!BL2180)),BI2179)</f>
        <v>95</v>
      </c>
      <c r="BJ2180" s="15">
        <f t="shared" ref="BJ2180:BJ2243" si="2313">IF(AND(AG2180="",AH2180=""),0,((AE2180*60)+AF2180)-((AG2180*60)+AH2180))</f>
        <v>0</v>
      </c>
      <c r="BK2180">
        <f t="shared" si="2231"/>
        <v>381</v>
      </c>
      <c r="BL2180">
        <f t="shared" si="2232"/>
        <v>381</v>
      </c>
      <c r="BM2180" s="15">
        <f>SUMIFS(BJ$2:BJ2180,K$2:K2180,"=Intermission")+SUMIFS(BJ$2:BJ2180,K$2:K2180,"=Timeout")</f>
        <v>142</v>
      </c>
      <c r="BN2180">
        <f t="shared" si="2233"/>
        <v>2302</v>
      </c>
      <c r="BO2180" s="19">
        <f t="shared" si="2234"/>
        <v>3001</v>
      </c>
      <c r="BP2180">
        <f t="shared" si="2235"/>
        <v>2996</v>
      </c>
      <c r="BQ2180" s="17">
        <f t="shared" si="2236"/>
        <v>3001</v>
      </c>
      <c r="BR2180" t="str">
        <f t="shared" si="2237"/>
        <v>event_team_player_1</v>
      </c>
      <c r="BS2180">
        <f>COUNTIFS(S$3:S2180,"="&amp;S2180,AI$3:AI2180,"="&amp;AI2180)</f>
        <v>1</v>
      </c>
      <c r="BT2180" t="str">
        <f>IFERROR(VLOOKUP(BB2180&amp;BU2180&amp;X2180,game_rosters!U:W,3,FALSE),"")</f>
        <v>P100002</v>
      </c>
      <c r="BU2180" t="str">
        <f t="shared" si="2238"/>
        <v>Velodrome</v>
      </c>
    </row>
    <row r="2181" spans="1:73" x14ac:dyDescent="0.2">
      <c r="A2181">
        <f t="shared" ref="A2181:A2244" si="2314">IF(K2181&lt;&gt;"",1,IF(D2181="x","x",""))</f>
        <v>1</v>
      </c>
      <c r="J2181" s="44" t="str">
        <f t="shared" si="2239"/>
        <v/>
      </c>
      <c r="K2181" t="s">
        <v>7</v>
      </c>
      <c r="L2181" t="s">
        <v>182</v>
      </c>
      <c r="M2181" t="s">
        <v>65</v>
      </c>
      <c r="S2181">
        <v>1153</v>
      </c>
      <c r="W2181" t="str">
        <f t="shared" si="2305"/>
        <v>a</v>
      </c>
      <c r="X2181">
        <v>24</v>
      </c>
      <c r="Y2181" t="e">
        <f>IF(X2181&lt;&gt;"",VLOOKUP(X2181,game_rosters!$C$43:$E$64,3,FALSE))</f>
        <v>#N/A</v>
      </c>
      <c r="Z2181" cm="1">
        <f t="array" ref="Z2181">IFERROR(IF(_xlfn._xlws.FILTER(game_rosters!$J:$J,(game_rosters!$G:$G=events!$AN2181)*(game_rosters!$J:$J=events!$X2181))&gt;0,1,""),"")</f>
        <v>1</v>
      </c>
      <c r="AA2181">
        <f t="shared" si="2263"/>
        <v>2153</v>
      </c>
      <c r="AB2181" t="str">
        <f t="shared" si="2264"/>
        <v/>
      </c>
      <c r="AC2181">
        <f t="shared" si="2302"/>
        <v>2153</v>
      </c>
      <c r="AD2181" s="6">
        <v>3</v>
      </c>
      <c r="AE2181" t="s">
        <v>938</v>
      </c>
      <c r="AF2181" t="s">
        <v>741</v>
      </c>
      <c r="AG2181" t="s">
        <v>756</v>
      </c>
      <c r="AH2181" t="s">
        <v>756</v>
      </c>
      <c r="AI2181" t="s">
        <v>367</v>
      </c>
      <c r="AJ2181" t="str">
        <f t="shared" ref="AJ2181:AK2181" si="2315">IF($J2181&lt;&gt;"",$J2181,IF($AC2181=$AC2180,AJ2180,""))</f>
        <v/>
      </c>
      <c r="AK2181" t="str">
        <f t="shared" si="2315"/>
        <v/>
      </c>
      <c r="AL2181" t="str">
        <f t="shared" si="2307"/>
        <v/>
      </c>
      <c r="AN2181" t="s">
        <v>862</v>
      </c>
      <c r="AO2181" t="str">
        <f t="shared" si="2308"/>
        <v>a</v>
      </c>
      <c r="AP2181" t="str">
        <f t="shared" ref="AP2181:AP2244" si="2316">IF(AL2181&lt;&gt;"",AL2181,IF($AC2181=$AC2180,AP2180,""))</f>
        <v/>
      </c>
      <c r="AQ2181" t="str">
        <f t="shared" ref="AQ2181:AQ2244" si="2317">IF(AM2181&lt;&gt;"",AM2181,IF($AC2181=$AC2180,AQ2180,""))</f>
        <v/>
      </c>
      <c r="AR2181" t="str">
        <f t="shared" ref="AR2181:AR2244" si="2318">IF(AN2181&lt;&gt;"",AN2181,IF($AC2181=$AC2180,AR2180,""))</f>
        <v>Away</v>
      </c>
      <c r="AS2181" t="str">
        <f t="shared" ref="AS2181:AS2244" si="2319">IF(AO2181&lt;&gt;"",AO2181,IF($AC2181=$AC2180,AS2180,""))</f>
        <v>a</v>
      </c>
      <c r="AT2181" t="str">
        <f t="shared" ref="AT2181:AT2244" si="2320">IF(AND(AI2181="e",OR(BE2181="Save",BF2181="Turnover_Takeaway",BF2181="Play_Defensive")),"Defensive",IF(AND(AI2181="o",OR(BE2181="Save",BF2181="Turnover_Takeaway",BF2181="Play_Defensive")),"Offensive",IF(OR(BE2181="Deadice",BE2181="Stoppage",BE2181="Intermission"),"",IF(AI2181="e","Offensive",IF(AI2181="o","Defensive","")))))</f>
        <v>Offensive</v>
      </c>
      <c r="BA2181" s="6">
        <f t="shared" si="2309"/>
        <v>496</v>
      </c>
      <c r="BB2181">
        <f t="shared" si="2310"/>
        <v>18981</v>
      </c>
      <c r="BC2181" t="str">
        <f t="shared" si="2311"/>
        <v>Nelson</v>
      </c>
      <c r="BD2181" t="str">
        <f t="shared" si="2312"/>
        <v>Velodrome</v>
      </c>
      <c r="BE2181" t="s">
        <v>7</v>
      </c>
      <c r="BF2181" t="s">
        <v>182</v>
      </c>
      <c r="BG2181" t="s">
        <v>65</v>
      </c>
      <c r="BI2181" cm="1">
        <f t="array" ref="BI2181">IFERROR(_xlfn._xlws.FILTER(shifts!A:A,(shifts!B:B=events!AD2181)*(shifts!AG:AG&gt;=events!BK2181)*(shifts!AH:AH&lt;=events!BL2181)),BI2180)</f>
        <v>95</v>
      </c>
      <c r="BJ2181" s="15">
        <f t="shared" si="2313"/>
        <v>0</v>
      </c>
      <c r="BK2181">
        <f t="shared" ref="BK2181:BK2244" si="2321">(AE2181*60)+AF2181</f>
        <v>381</v>
      </c>
      <c r="BL2181">
        <f t="shared" ref="BL2181:BL2244" si="2322">IF(AND(AG2181="",AH2181=""),BK2181,((AG2181*60)+AH2181))</f>
        <v>381</v>
      </c>
      <c r="BM2181" s="15">
        <f>SUMIFS(BJ$2:BJ2181,K$2:K2181,"=Intermission")+SUMIFS(BJ$2:BJ2181,K$2:K2181,"=Timeout")</f>
        <v>142</v>
      </c>
      <c r="BN2181">
        <f t="shared" ref="BN2181:BN2244" si="2323">IF(AD2181=1,0,IF(AD2181=2,1080+BM2181,IF(AD2181=3,(1080*2)+BM2181,0)))</f>
        <v>2302</v>
      </c>
      <c r="BO2181" s="19">
        <f t="shared" ref="BO2181:BO2244" si="2324">IF(K2181="Intermission",BO2180,((1080)-((AE2181*60)+AF2181))+BN2181)</f>
        <v>3001</v>
      </c>
      <c r="BP2181">
        <f t="shared" ref="BP2181:BP2244" si="2325">IF(BO2181&lt;5,0,BO2181-5)</f>
        <v>2996</v>
      </c>
      <c r="BQ2181" s="17">
        <f t="shared" ref="BQ2181:BQ2244" si="2326">BP2181+BJ2181+5</f>
        <v>3001</v>
      </c>
      <c r="BR2181" t="str">
        <f t="shared" ref="BR2181:BR2244" si="2327">IF(AI2181="e","event_team_player_"&amp;BS2181,IF(AI2181="o","opp_team_player_"&amp;BS2181,""))</f>
        <v>event_team_player_2</v>
      </c>
      <c r="BS2181">
        <f>COUNTIFS(S$3:S2181,"="&amp;S2181,AI$3:AI2181,"="&amp;AI2181)</f>
        <v>2</v>
      </c>
      <c r="BT2181" t="str">
        <f>IFERROR(VLOOKUP(BB2181&amp;BU2181&amp;X2181,game_rosters!U:W,3,FALSE),"")</f>
        <v>P100230</v>
      </c>
      <c r="BU2181" t="str">
        <f t="shared" ref="BU2181:BU2244" si="2328">IF(AR2181="","",IF(AND(AR2181="Away",AI2181="e"),BD2181,IF(AND(AR2181="Home",AI2181="e"),BC2181,IF(AND(AR2181="Away",AI2181="o"),BC2181,IF(AND(AR2181="Home",AI2181="o"),BD2181)))))</f>
        <v>Velodrome</v>
      </c>
    </row>
    <row r="2182" spans="1:73" x14ac:dyDescent="0.2">
      <c r="A2182">
        <f t="shared" si="2314"/>
        <v>1</v>
      </c>
      <c r="J2182" s="44" t="str">
        <f t="shared" ref="J2182:J2245" si="2329">IF(OR(K2182="Goal",K2182="Shot",L2182="Zone_Entry",M2182="Stoppage-Goal",M2181="Stoppage-Goal"),"o",IF(OR(K2182="Save",K2182="Rebound",L2182="Zone_Exit",M2182="Stoppage-GoalieStoppage",M2181="Stoppage-GoalieStoppage"),"d",IF(OR(L2182="Faceoff_AfterGoal",L2182="Faceoff_PeriodStart",698="Faceoff_GameStart",M2181="Stoppage-Goal"),"n","")))</f>
        <v>d</v>
      </c>
      <c r="K2182" t="s">
        <v>238</v>
      </c>
      <c r="L2182" t="s">
        <v>184</v>
      </c>
      <c r="M2182" t="s">
        <v>376</v>
      </c>
      <c r="S2182">
        <v>1154</v>
      </c>
      <c r="W2182" t="str">
        <f t="shared" si="2305"/>
        <v>a</v>
      </c>
      <c r="X2182">
        <v>91</v>
      </c>
      <c r="Y2182" t="e">
        <f>IF(X2182&lt;&gt;"",VLOOKUP(X2182,game_rosters!$C$43:$E$64,3,FALSE))</f>
        <v>#N/A</v>
      </c>
      <c r="Z2182" cm="1">
        <f t="array" ref="Z2182">IFERROR(IF(_xlfn._xlws.FILTER(game_rosters!$J:$J,(game_rosters!$G:$G=events!$AN2182)*(game_rosters!$J:$J=events!$X2182))&gt;0,1,""),"")</f>
        <v>1</v>
      </c>
      <c r="AA2182">
        <f t="shared" si="2263"/>
        <v>2154</v>
      </c>
      <c r="AB2182" t="str">
        <f t="shared" si="2264"/>
        <v/>
      </c>
      <c r="AC2182">
        <f t="shared" si="2302"/>
        <v>2154</v>
      </c>
      <c r="AD2182" s="6">
        <v>3</v>
      </c>
      <c r="AE2182" t="s">
        <v>938</v>
      </c>
      <c r="AF2182" t="s">
        <v>741</v>
      </c>
      <c r="AG2182" t="s">
        <v>756</v>
      </c>
      <c r="AH2182" t="s">
        <v>756</v>
      </c>
      <c r="AI2182" t="s">
        <v>367</v>
      </c>
      <c r="AJ2182" t="str">
        <f t="shared" ref="AJ2182:AK2182" si="2330">IF($J2182&lt;&gt;"",$J2182,IF($AC2182=$AC2181,AJ2181,""))</f>
        <v>d</v>
      </c>
      <c r="AK2182" t="str">
        <f t="shared" si="2330"/>
        <v>d</v>
      </c>
      <c r="AL2182" t="str">
        <f t="shared" si="2307"/>
        <v>o</v>
      </c>
      <c r="AN2182" t="s">
        <v>862</v>
      </c>
      <c r="AO2182" t="str">
        <f t="shared" si="2308"/>
        <v>a</v>
      </c>
      <c r="AP2182" t="str">
        <f t="shared" si="2316"/>
        <v>o</v>
      </c>
      <c r="AQ2182" t="str">
        <f t="shared" si="2317"/>
        <v/>
      </c>
      <c r="AR2182" t="str">
        <f t="shared" si="2318"/>
        <v>Away</v>
      </c>
      <c r="AS2182" t="str">
        <f t="shared" si="2319"/>
        <v>a</v>
      </c>
      <c r="AT2182" t="str">
        <f t="shared" si="2320"/>
        <v>Offensive</v>
      </c>
      <c r="BA2182" s="6">
        <f t="shared" si="2309"/>
        <v>497</v>
      </c>
      <c r="BB2182">
        <f t="shared" si="2310"/>
        <v>18981</v>
      </c>
      <c r="BC2182" t="str">
        <f t="shared" si="2311"/>
        <v>Nelson</v>
      </c>
      <c r="BD2182" t="str">
        <f t="shared" si="2312"/>
        <v>Velodrome</v>
      </c>
      <c r="BE2182" t="s">
        <v>238</v>
      </c>
      <c r="BF2182" t="s">
        <v>184</v>
      </c>
      <c r="BG2182" t="s">
        <v>376</v>
      </c>
      <c r="BI2182" cm="1">
        <f t="array" ref="BI2182">IFERROR(_xlfn._xlws.FILTER(shifts!A:A,(shifts!B:B=events!AD2182)*(shifts!AG:AG&gt;=events!BK2182)*(shifts!AH:AH&lt;=events!BL2182)),BI2181)</f>
        <v>95</v>
      </c>
      <c r="BJ2182" s="15">
        <f t="shared" si="2313"/>
        <v>0</v>
      </c>
      <c r="BK2182">
        <f t="shared" si="2321"/>
        <v>381</v>
      </c>
      <c r="BL2182">
        <f t="shared" si="2322"/>
        <v>381</v>
      </c>
      <c r="BM2182" s="15">
        <f>SUMIFS(BJ$2:BJ2182,K$2:K2182,"=Intermission")+SUMIFS(BJ$2:BJ2182,K$2:K2182,"=Timeout")</f>
        <v>142</v>
      </c>
      <c r="BN2182">
        <f t="shared" si="2323"/>
        <v>2302</v>
      </c>
      <c r="BO2182" s="19">
        <f t="shared" si="2324"/>
        <v>3001</v>
      </c>
      <c r="BP2182">
        <f t="shared" si="2325"/>
        <v>2996</v>
      </c>
      <c r="BQ2182" s="17">
        <f t="shared" si="2326"/>
        <v>3001</v>
      </c>
      <c r="BR2182" t="str">
        <f t="shared" si="2327"/>
        <v>event_team_player_1</v>
      </c>
      <c r="BS2182">
        <f>COUNTIFS(S$3:S2182,"="&amp;S2182,AI$3:AI2182,"="&amp;AI2182)</f>
        <v>1</v>
      </c>
      <c r="BT2182" t="str">
        <f>IFERROR(VLOOKUP(BB2182&amp;BU2182&amp;X2182,game_rosters!U:W,3,FALSE),"")</f>
        <v>P100002</v>
      </c>
      <c r="BU2182" t="str">
        <f t="shared" si="2328"/>
        <v>Velodrome</v>
      </c>
    </row>
    <row r="2183" spans="1:73" x14ac:dyDescent="0.2">
      <c r="A2183">
        <f t="shared" si="2314"/>
        <v>1</v>
      </c>
      <c r="J2183" s="44" t="str">
        <f t="shared" si="2329"/>
        <v>d</v>
      </c>
      <c r="K2183" t="s">
        <v>238</v>
      </c>
      <c r="L2183" t="s">
        <v>184</v>
      </c>
      <c r="M2183" t="s">
        <v>376</v>
      </c>
      <c r="S2183">
        <v>1154</v>
      </c>
      <c r="W2183" t="str">
        <f t="shared" si="2305"/>
        <v>a</v>
      </c>
      <c r="X2183">
        <v>24</v>
      </c>
      <c r="Y2183" t="e">
        <f>IF(X2183&lt;&gt;"",VLOOKUP(X2183,game_rosters!$C$43:$E$64,3,FALSE))</f>
        <v>#N/A</v>
      </c>
      <c r="Z2183" cm="1">
        <f t="array" ref="Z2183">IFERROR(IF(_xlfn._xlws.FILTER(game_rosters!$J:$J,(game_rosters!$G:$G=events!$AN2183)*(game_rosters!$J:$J=events!$X2183))&gt;0,1,""),"")</f>
        <v>1</v>
      </c>
      <c r="AA2183">
        <f t="shared" si="2263"/>
        <v>2154</v>
      </c>
      <c r="AB2183" t="str">
        <f t="shared" si="2264"/>
        <v/>
      </c>
      <c r="AC2183">
        <f t="shared" si="2302"/>
        <v>2154</v>
      </c>
      <c r="AD2183" s="6">
        <v>3</v>
      </c>
      <c r="AE2183" t="s">
        <v>938</v>
      </c>
      <c r="AF2183" t="s">
        <v>741</v>
      </c>
      <c r="AG2183" t="s">
        <v>756</v>
      </c>
      <c r="AH2183" t="s">
        <v>756</v>
      </c>
      <c r="AI2183" t="s">
        <v>367</v>
      </c>
      <c r="AJ2183" t="str">
        <f t="shared" ref="AJ2183:AK2183" si="2331">IF($J2183&lt;&gt;"",$J2183,IF($AC2183=$AC2182,AJ2182,""))</f>
        <v>d</v>
      </c>
      <c r="AK2183" t="str">
        <f t="shared" si="2331"/>
        <v>d</v>
      </c>
      <c r="AL2183" t="str">
        <f t="shared" si="2307"/>
        <v>o</v>
      </c>
      <c r="AN2183" t="s">
        <v>862</v>
      </c>
      <c r="AO2183" t="str">
        <f t="shared" si="2308"/>
        <v>a</v>
      </c>
      <c r="AP2183" t="str">
        <f t="shared" si="2316"/>
        <v>o</v>
      </c>
      <c r="AQ2183" t="str">
        <f t="shared" si="2317"/>
        <v/>
      </c>
      <c r="AR2183" t="str">
        <f t="shared" si="2318"/>
        <v>Away</v>
      </c>
      <c r="AS2183" t="str">
        <f t="shared" si="2319"/>
        <v>a</v>
      </c>
      <c r="AT2183" t="str">
        <f t="shared" si="2320"/>
        <v>Offensive</v>
      </c>
      <c r="BA2183" s="6">
        <f t="shared" si="2309"/>
        <v>498</v>
      </c>
      <c r="BB2183">
        <f t="shared" si="2310"/>
        <v>18981</v>
      </c>
      <c r="BC2183" t="str">
        <f t="shared" si="2311"/>
        <v>Nelson</v>
      </c>
      <c r="BD2183" t="str">
        <f t="shared" si="2312"/>
        <v>Velodrome</v>
      </c>
      <c r="BE2183" t="s">
        <v>238</v>
      </c>
      <c r="BF2183" t="s">
        <v>184</v>
      </c>
      <c r="BG2183" t="s">
        <v>376</v>
      </c>
      <c r="BI2183" cm="1">
        <f t="array" ref="BI2183">IFERROR(_xlfn._xlws.FILTER(shifts!A:A,(shifts!B:B=events!AD2183)*(shifts!AG:AG&gt;=events!BK2183)*(shifts!AH:AH&lt;=events!BL2183)),BI2182)</f>
        <v>95</v>
      </c>
      <c r="BJ2183" s="15">
        <f t="shared" si="2313"/>
        <v>0</v>
      </c>
      <c r="BK2183">
        <f t="shared" si="2321"/>
        <v>381</v>
      </c>
      <c r="BL2183">
        <f t="shared" si="2322"/>
        <v>381</v>
      </c>
      <c r="BM2183" s="15">
        <f>SUMIFS(BJ$2:BJ2183,K$2:K2183,"=Intermission")+SUMIFS(BJ$2:BJ2183,K$2:K2183,"=Timeout")</f>
        <v>142</v>
      </c>
      <c r="BN2183">
        <f t="shared" si="2323"/>
        <v>2302</v>
      </c>
      <c r="BO2183" s="19">
        <f t="shared" si="2324"/>
        <v>3001</v>
      </c>
      <c r="BP2183">
        <f t="shared" si="2325"/>
        <v>2996</v>
      </c>
      <c r="BQ2183" s="17">
        <f t="shared" si="2326"/>
        <v>3001</v>
      </c>
      <c r="BR2183" t="str">
        <f t="shared" si="2327"/>
        <v>event_team_player_2</v>
      </c>
      <c r="BS2183">
        <f>COUNTIFS(S$3:S2183,"="&amp;S2183,AI$3:AI2183,"="&amp;AI2183)</f>
        <v>2</v>
      </c>
      <c r="BT2183" t="str">
        <f>IFERROR(VLOOKUP(BB2183&amp;BU2183&amp;X2183,game_rosters!U:W,3,FALSE),"")</f>
        <v>P100230</v>
      </c>
      <c r="BU2183" t="str">
        <f t="shared" si="2328"/>
        <v>Velodrome</v>
      </c>
    </row>
    <row r="2184" spans="1:73" x14ac:dyDescent="0.2">
      <c r="A2184">
        <f t="shared" si="2314"/>
        <v>1</v>
      </c>
      <c r="J2184" s="44" t="str">
        <f t="shared" si="2329"/>
        <v>o</v>
      </c>
      <c r="K2184" t="s">
        <v>238</v>
      </c>
      <c r="L2184" t="s">
        <v>174</v>
      </c>
      <c r="M2184" t="s">
        <v>375</v>
      </c>
      <c r="S2184">
        <v>1155</v>
      </c>
      <c r="W2184" t="str">
        <f t="shared" si="2305"/>
        <v>a</v>
      </c>
      <c r="X2184">
        <v>91</v>
      </c>
      <c r="Y2184" t="e">
        <f>IF(X2184&lt;&gt;"",VLOOKUP(X2184,game_rosters!$C$43:$E$64,3,FALSE))</f>
        <v>#N/A</v>
      </c>
      <c r="Z2184" cm="1">
        <f t="array" ref="Z2184">IFERROR(IF(_xlfn._xlws.FILTER(game_rosters!$J:$J,(game_rosters!$G:$G=events!$AN2184)*(game_rosters!$J:$J=events!$X2184))&gt;0,1,""),"")</f>
        <v>1</v>
      </c>
      <c r="AA2184">
        <f t="shared" si="2263"/>
        <v>2155</v>
      </c>
      <c r="AB2184" t="str">
        <f t="shared" si="2264"/>
        <v/>
      </c>
      <c r="AC2184">
        <f t="shared" si="2302"/>
        <v>2155</v>
      </c>
      <c r="AD2184" s="6">
        <v>3</v>
      </c>
      <c r="AE2184" t="s">
        <v>938</v>
      </c>
      <c r="AF2184" t="s">
        <v>741</v>
      </c>
      <c r="AG2184" t="s">
        <v>756</v>
      </c>
      <c r="AH2184" t="s">
        <v>756</v>
      </c>
      <c r="AI2184" t="s">
        <v>367</v>
      </c>
      <c r="AJ2184" t="str">
        <f t="shared" ref="AJ2184:AK2184" si="2332">IF($J2184&lt;&gt;"",$J2184,IF($AC2184=$AC2183,AJ2183,""))</f>
        <v>o</v>
      </c>
      <c r="AK2184" t="str">
        <f t="shared" si="2332"/>
        <v>o</v>
      </c>
      <c r="AL2184" t="str">
        <f t="shared" si="2307"/>
        <v>d</v>
      </c>
      <c r="AN2184" t="s">
        <v>862</v>
      </c>
      <c r="AO2184" t="str">
        <f t="shared" si="2308"/>
        <v>a</v>
      </c>
      <c r="AP2184" t="str">
        <f t="shared" si="2316"/>
        <v>d</v>
      </c>
      <c r="AQ2184" t="str">
        <f t="shared" si="2317"/>
        <v/>
      </c>
      <c r="AR2184" t="str">
        <f t="shared" si="2318"/>
        <v>Away</v>
      </c>
      <c r="AS2184" t="str">
        <f t="shared" si="2319"/>
        <v>a</v>
      </c>
      <c r="AT2184" t="str">
        <f t="shared" si="2320"/>
        <v>Offensive</v>
      </c>
      <c r="BA2184" s="6">
        <f t="shared" si="2309"/>
        <v>499</v>
      </c>
      <c r="BB2184">
        <f t="shared" si="2310"/>
        <v>18981</v>
      </c>
      <c r="BC2184" t="str">
        <f t="shared" si="2311"/>
        <v>Nelson</v>
      </c>
      <c r="BD2184" t="str">
        <f t="shared" si="2312"/>
        <v>Velodrome</v>
      </c>
      <c r="BE2184" t="s">
        <v>238</v>
      </c>
      <c r="BF2184" t="s">
        <v>174</v>
      </c>
      <c r="BG2184" t="s">
        <v>375</v>
      </c>
      <c r="BI2184" cm="1">
        <f t="array" ref="BI2184">IFERROR(_xlfn._xlws.FILTER(shifts!A:A,(shifts!B:B=events!AD2184)*(shifts!AG:AG&gt;=events!BK2184)*(shifts!AH:AH&lt;=events!BL2184)),BI2183)</f>
        <v>95</v>
      </c>
      <c r="BJ2184" s="15">
        <f t="shared" si="2313"/>
        <v>0</v>
      </c>
      <c r="BK2184">
        <f t="shared" si="2321"/>
        <v>381</v>
      </c>
      <c r="BL2184">
        <f t="shared" si="2322"/>
        <v>381</v>
      </c>
      <c r="BM2184" s="15">
        <f>SUMIFS(BJ$2:BJ2184,K$2:K2184,"=Intermission")+SUMIFS(BJ$2:BJ2184,K$2:K2184,"=Timeout")</f>
        <v>142</v>
      </c>
      <c r="BN2184">
        <f t="shared" si="2323"/>
        <v>2302</v>
      </c>
      <c r="BO2184" s="19">
        <f t="shared" si="2324"/>
        <v>3001</v>
      </c>
      <c r="BP2184">
        <f t="shared" si="2325"/>
        <v>2996</v>
      </c>
      <c r="BQ2184" s="17">
        <f t="shared" si="2326"/>
        <v>3001</v>
      </c>
      <c r="BR2184" t="str">
        <f t="shared" si="2327"/>
        <v>event_team_player_1</v>
      </c>
      <c r="BS2184">
        <f>COUNTIFS(S$3:S2184,"="&amp;S2184,AI$3:AI2184,"="&amp;AI2184)</f>
        <v>1</v>
      </c>
      <c r="BT2184" t="str">
        <f>IFERROR(VLOOKUP(BB2184&amp;BU2184&amp;X2184,game_rosters!U:W,3,FALSE),"")</f>
        <v>P100002</v>
      </c>
      <c r="BU2184" t="str">
        <f t="shared" si="2328"/>
        <v>Velodrome</v>
      </c>
    </row>
    <row r="2185" spans="1:73" x14ac:dyDescent="0.2">
      <c r="A2185">
        <f t="shared" si="2314"/>
        <v>1</v>
      </c>
      <c r="J2185" s="44" t="str">
        <f t="shared" si="2329"/>
        <v/>
      </c>
      <c r="K2185" t="s">
        <v>9</v>
      </c>
      <c r="L2185" t="s">
        <v>173</v>
      </c>
      <c r="M2185" t="s">
        <v>74</v>
      </c>
      <c r="S2185">
        <v>1156</v>
      </c>
      <c r="W2185" t="str">
        <f t="shared" si="2305"/>
        <v>a</v>
      </c>
      <c r="X2185">
        <v>91</v>
      </c>
      <c r="Y2185" t="e">
        <f>IF(X2185&lt;&gt;"",VLOOKUP(X2185,game_rosters!$C$43:$E$64,3,FALSE))</f>
        <v>#N/A</v>
      </c>
      <c r="Z2185" cm="1">
        <f t="array" ref="Z2185">IFERROR(IF(_xlfn._xlws.FILTER(game_rosters!$J:$J,(game_rosters!$G:$G=events!$AN2185)*(game_rosters!$J:$J=events!$X2185))&gt;0,1,""),"")</f>
        <v>1</v>
      </c>
      <c r="AA2185">
        <f t="shared" si="2263"/>
        <v>2156</v>
      </c>
      <c r="AB2185" t="str">
        <f t="shared" si="2264"/>
        <v/>
      </c>
      <c r="AC2185">
        <f t="shared" si="2302"/>
        <v>2156</v>
      </c>
      <c r="AD2185" s="6">
        <v>3</v>
      </c>
      <c r="AE2185" t="s">
        <v>938</v>
      </c>
      <c r="AF2185" t="s">
        <v>743</v>
      </c>
      <c r="AG2185" t="s">
        <v>756</v>
      </c>
      <c r="AH2185" t="s">
        <v>756</v>
      </c>
      <c r="AI2185" t="s">
        <v>367</v>
      </c>
      <c r="AJ2185" t="str">
        <f t="shared" ref="AJ2185:AK2185" si="2333">IF($J2185&lt;&gt;"",$J2185,IF($AC2185=$AC2184,AJ2184,""))</f>
        <v/>
      </c>
      <c r="AK2185" t="str">
        <f t="shared" si="2333"/>
        <v/>
      </c>
      <c r="AL2185" t="str">
        <f t="shared" si="2307"/>
        <v/>
      </c>
      <c r="AN2185" t="s">
        <v>862</v>
      </c>
      <c r="AO2185" t="str">
        <f t="shared" si="2308"/>
        <v>a</v>
      </c>
      <c r="AP2185" t="str">
        <f t="shared" si="2316"/>
        <v/>
      </c>
      <c r="AQ2185" t="str">
        <f t="shared" si="2317"/>
        <v/>
      </c>
      <c r="AR2185" t="str">
        <f t="shared" si="2318"/>
        <v>Away</v>
      </c>
      <c r="AS2185" t="str">
        <f t="shared" si="2319"/>
        <v>a</v>
      </c>
      <c r="AT2185" t="str">
        <f t="shared" si="2320"/>
        <v>Offensive</v>
      </c>
      <c r="BA2185" s="6">
        <f t="shared" si="2309"/>
        <v>499</v>
      </c>
      <c r="BB2185">
        <f t="shared" si="2310"/>
        <v>18981</v>
      </c>
      <c r="BC2185" t="str">
        <f t="shared" si="2311"/>
        <v>Nelson</v>
      </c>
      <c r="BD2185" t="str">
        <f t="shared" si="2312"/>
        <v>Velodrome</v>
      </c>
      <c r="BE2185" t="s">
        <v>9</v>
      </c>
      <c r="BF2185" t="s">
        <v>173</v>
      </c>
      <c r="BG2185" t="s">
        <v>74</v>
      </c>
      <c r="BI2185">
        <v>95</v>
      </c>
      <c r="BJ2185" s="15">
        <f t="shared" si="2313"/>
        <v>0</v>
      </c>
      <c r="BK2185">
        <f t="shared" si="2321"/>
        <v>378</v>
      </c>
      <c r="BL2185">
        <f t="shared" si="2322"/>
        <v>378</v>
      </c>
      <c r="BM2185" s="15">
        <f>SUMIFS(BJ$2:BJ2185,K$2:K2185,"=Intermission")+SUMIFS(BJ$2:BJ2185,K$2:K2185,"=Timeout")</f>
        <v>142</v>
      </c>
      <c r="BN2185">
        <f t="shared" si="2323"/>
        <v>2302</v>
      </c>
      <c r="BO2185" s="19">
        <f t="shared" si="2324"/>
        <v>3004</v>
      </c>
      <c r="BP2185">
        <f t="shared" si="2325"/>
        <v>2999</v>
      </c>
      <c r="BQ2185" s="17">
        <f t="shared" si="2326"/>
        <v>3004</v>
      </c>
      <c r="BR2185" t="str">
        <f t="shared" si="2327"/>
        <v>event_team_player_1</v>
      </c>
      <c r="BS2185">
        <f>COUNTIFS(S$3:S2185,"="&amp;S2185,AI$3:AI2185,"="&amp;AI2185)</f>
        <v>1</v>
      </c>
      <c r="BT2185" t="str">
        <f>IFERROR(VLOOKUP(BB2185&amp;BU2185&amp;X2185,game_rosters!U:W,3,FALSE),"")</f>
        <v>P100002</v>
      </c>
      <c r="BU2185" t="str">
        <f t="shared" si="2328"/>
        <v>Velodrome</v>
      </c>
    </row>
    <row r="2186" spans="1:73" x14ac:dyDescent="0.2">
      <c r="A2186">
        <f t="shared" si="2314"/>
        <v>1</v>
      </c>
      <c r="J2186" s="44" t="str">
        <f t="shared" si="2329"/>
        <v>d</v>
      </c>
      <c r="K2186" t="s">
        <v>238</v>
      </c>
      <c r="L2186" t="s">
        <v>184</v>
      </c>
      <c r="M2186" t="s">
        <v>90</v>
      </c>
      <c r="S2186">
        <v>1157</v>
      </c>
      <c r="W2186" t="str">
        <f t="shared" si="2305"/>
        <v>h</v>
      </c>
      <c r="X2186">
        <v>80</v>
      </c>
      <c r="Y2186" t="b">
        <f>IF(X2186&lt;&gt;"",VLOOKUP(X2186,game_rosters!$C$43:$E$64,3,FALSE))</f>
        <v>0</v>
      </c>
      <c r="Z2186" cm="1">
        <f t="array" ref="Z2186">IFERROR(IF(_xlfn._xlws.FILTER(game_rosters!$J:$J,(game_rosters!$G:$G=events!$AN2186)*(game_rosters!$J:$J=events!$X2186))&gt;0,1,""),"")</f>
        <v>1</v>
      </c>
      <c r="AA2186">
        <f t="shared" si="2263"/>
        <v>2157</v>
      </c>
      <c r="AB2186" t="str">
        <f t="shared" si="2264"/>
        <v/>
      </c>
      <c r="AC2186">
        <f t="shared" si="2302"/>
        <v>2157</v>
      </c>
      <c r="AD2186" s="6">
        <v>3</v>
      </c>
      <c r="AE2186" t="s">
        <v>938</v>
      </c>
      <c r="AF2186" t="s">
        <v>743</v>
      </c>
      <c r="AG2186" t="s">
        <v>756</v>
      </c>
      <c r="AH2186" t="s">
        <v>756</v>
      </c>
      <c r="AI2186" t="s">
        <v>367</v>
      </c>
      <c r="AJ2186" t="str">
        <f t="shared" ref="AJ2186:AK2186" si="2334">IF($J2186&lt;&gt;"",$J2186,IF($AC2186=$AC2185,AJ2185,""))</f>
        <v>d</v>
      </c>
      <c r="AK2186" t="str">
        <f t="shared" si="2334"/>
        <v>d</v>
      </c>
      <c r="AL2186" t="str">
        <f t="shared" si="2307"/>
        <v>d</v>
      </c>
      <c r="AN2186" t="s">
        <v>861</v>
      </c>
      <c r="AO2186" t="str">
        <f t="shared" si="2308"/>
        <v>h</v>
      </c>
      <c r="AP2186" t="str">
        <f t="shared" si="2316"/>
        <v>d</v>
      </c>
      <c r="AQ2186" t="str">
        <f t="shared" si="2317"/>
        <v/>
      </c>
      <c r="AR2186" t="str">
        <f t="shared" si="2318"/>
        <v>Home</v>
      </c>
      <c r="AS2186" t="str">
        <f t="shared" si="2319"/>
        <v>h</v>
      </c>
      <c r="AT2186" t="str">
        <f t="shared" si="2320"/>
        <v>Offensive</v>
      </c>
      <c r="BA2186" s="6">
        <f t="shared" si="2309"/>
        <v>500</v>
      </c>
      <c r="BB2186">
        <f t="shared" si="2310"/>
        <v>18981</v>
      </c>
      <c r="BC2186" t="str">
        <f t="shared" si="2311"/>
        <v>Nelson</v>
      </c>
      <c r="BD2186" t="str">
        <f t="shared" si="2312"/>
        <v>Velodrome</v>
      </c>
      <c r="BE2186" t="s">
        <v>238</v>
      </c>
      <c r="BF2186" t="s">
        <v>184</v>
      </c>
      <c r="BG2186" t="s">
        <v>90</v>
      </c>
      <c r="BI2186">
        <v>95</v>
      </c>
      <c r="BJ2186" s="15">
        <f t="shared" si="2313"/>
        <v>0</v>
      </c>
      <c r="BK2186">
        <f t="shared" si="2321"/>
        <v>378</v>
      </c>
      <c r="BL2186">
        <f t="shared" si="2322"/>
        <v>378</v>
      </c>
      <c r="BM2186" s="15">
        <f>SUMIFS(BJ$2:BJ2186,K$2:K2186,"=Intermission")+SUMIFS(BJ$2:BJ2186,K$2:K2186,"=Timeout")</f>
        <v>142</v>
      </c>
      <c r="BN2186">
        <f t="shared" si="2323"/>
        <v>2302</v>
      </c>
      <c r="BO2186" s="19">
        <f t="shared" si="2324"/>
        <v>3004</v>
      </c>
      <c r="BP2186">
        <f t="shared" si="2325"/>
        <v>2999</v>
      </c>
      <c r="BQ2186" s="17">
        <f t="shared" si="2326"/>
        <v>3004</v>
      </c>
      <c r="BR2186" t="str">
        <f t="shared" si="2327"/>
        <v>event_team_player_1</v>
      </c>
      <c r="BS2186">
        <f>COUNTIFS(S$3:S2186,"="&amp;S2186,AI$3:AI2186,"="&amp;AI2186)</f>
        <v>1</v>
      </c>
      <c r="BT2186" t="str">
        <f>IFERROR(VLOOKUP(BB2186&amp;BU2186&amp;X2186,game_rosters!U:W,3,FALSE),"")</f>
        <v>P100197</v>
      </c>
      <c r="BU2186" t="str">
        <f t="shared" si="2328"/>
        <v>Nelson</v>
      </c>
    </row>
    <row r="2187" spans="1:73" x14ac:dyDescent="0.2">
      <c r="A2187">
        <f t="shared" si="2314"/>
        <v>1</v>
      </c>
      <c r="J2187" s="44" t="str">
        <f t="shared" si="2329"/>
        <v/>
      </c>
      <c r="K2187" t="s">
        <v>9</v>
      </c>
      <c r="L2187" t="s">
        <v>173</v>
      </c>
      <c r="M2187" t="s">
        <v>354</v>
      </c>
      <c r="S2187">
        <v>1158</v>
      </c>
      <c r="W2187" t="str">
        <f t="shared" si="2305"/>
        <v>h</v>
      </c>
      <c r="X2187">
        <v>80</v>
      </c>
      <c r="Y2187" t="b">
        <f>IF(X2187&lt;&gt;"",VLOOKUP(X2187,game_rosters!$C$43:$E$64,3,FALSE))</f>
        <v>0</v>
      </c>
      <c r="Z2187" cm="1">
        <f t="array" ref="Z2187">IFERROR(IF(_xlfn._xlws.FILTER(game_rosters!$J:$J,(game_rosters!$G:$G=events!$AN2187)*(game_rosters!$J:$J=events!$X2187))&gt;0,1,""),"")</f>
        <v>1</v>
      </c>
      <c r="AA2187">
        <f t="shared" si="2263"/>
        <v>2158</v>
      </c>
      <c r="AB2187" t="str">
        <f t="shared" si="2264"/>
        <v/>
      </c>
      <c r="AC2187">
        <f t="shared" si="2302"/>
        <v>2158</v>
      </c>
      <c r="AD2187" s="6">
        <v>3</v>
      </c>
      <c r="AE2187" t="s">
        <v>938</v>
      </c>
      <c r="AF2187" t="s">
        <v>743</v>
      </c>
      <c r="AG2187" t="s">
        <v>756</v>
      </c>
      <c r="AH2187" t="s">
        <v>756</v>
      </c>
      <c r="AI2187" t="s">
        <v>367</v>
      </c>
      <c r="AJ2187" t="str">
        <f t="shared" ref="AJ2187:AK2187" si="2335">IF($J2187&lt;&gt;"",$J2187,IF($AC2187=$AC2186,AJ2186,""))</f>
        <v/>
      </c>
      <c r="AK2187" t="str">
        <f t="shared" si="2335"/>
        <v/>
      </c>
      <c r="AL2187" t="str">
        <f t="shared" si="2307"/>
        <v/>
      </c>
      <c r="AN2187" t="s">
        <v>861</v>
      </c>
      <c r="AO2187" t="str">
        <f t="shared" si="2308"/>
        <v>h</v>
      </c>
      <c r="AP2187" t="str">
        <f t="shared" si="2316"/>
        <v/>
      </c>
      <c r="AQ2187" t="str">
        <f t="shared" si="2317"/>
        <v/>
      </c>
      <c r="AR2187" t="str">
        <f t="shared" si="2318"/>
        <v>Home</v>
      </c>
      <c r="AS2187" t="str">
        <f t="shared" si="2319"/>
        <v>h</v>
      </c>
      <c r="AT2187" t="str">
        <f t="shared" si="2320"/>
        <v>Offensive</v>
      </c>
      <c r="BA2187" s="6">
        <f t="shared" si="2309"/>
        <v>500</v>
      </c>
      <c r="BB2187">
        <f t="shared" si="2310"/>
        <v>18981</v>
      </c>
      <c r="BC2187" t="str">
        <f t="shared" si="2311"/>
        <v>Nelson</v>
      </c>
      <c r="BD2187" t="str">
        <f t="shared" si="2312"/>
        <v>Velodrome</v>
      </c>
      <c r="BE2187" t="s">
        <v>9</v>
      </c>
      <c r="BF2187" t="s">
        <v>173</v>
      </c>
      <c r="BG2187" t="s">
        <v>354</v>
      </c>
      <c r="BI2187">
        <v>95</v>
      </c>
      <c r="BJ2187" s="15">
        <f t="shared" si="2313"/>
        <v>0</v>
      </c>
      <c r="BK2187">
        <f t="shared" si="2321"/>
        <v>378</v>
      </c>
      <c r="BL2187">
        <f t="shared" si="2322"/>
        <v>378</v>
      </c>
      <c r="BM2187" s="15">
        <f>SUMIFS(BJ$2:BJ2187,K$2:K2187,"=Intermission")+SUMIFS(BJ$2:BJ2187,K$2:K2187,"=Timeout")</f>
        <v>142</v>
      </c>
      <c r="BN2187">
        <f t="shared" si="2323"/>
        <v>2302</v>
      </c>
      <c r="BO2187" s="19">
        <f t="shared" si="2324"/>
        <v>3004</v>
      </c>
      <c r="BP2187">
        <f t="shared" si="2325"/>
        <v>2999</v>
      </c>
      <c r="BQ2187" s="17">
        <f t="shared" si="2326"/>
        <v>3004</v>
      </c>
      <c r="BR2187" t="str">
        <f t="shared" si="2327"/>
        <v>event_team_player_1</v>
      </c>
      <c r="BS2187">
        <f>COUNTIFS(S$3:S2187,"="&amp;S2187,AI$3:AI2187,"="&amp;AI2187)</f>
        <v>1</v>
      </c>
      <c r="BT2187" t="str">
        <f>IFERROR(VLOOKUP(BB2187&amp;BU2187&amp;X2187,game_rosters!U:W,3,FALSE),"")</f>
        <v>P100197</v>
      </c>
      <c r="BU2187" t="str">
        <f t="shared" si="2328"/>
        <v>Nelson</v>
      </c>
    </row>
    <row r="2188" spans="1:73" x14ac:dyDescent="0.2">
      <c r="A2188">
        <f t="shared" si="2314"/>
        <v>1</v>
      </c>
      <c r="J2188" s="44" t="str">
        <f t="shared" si="2329"/>
        <v>o</v>
      </c>
      <c r="K2188" t="s">
        <v>238</v>
      </c>
      <c r="L2188" t="s">
        <v>174</v>
      </c>
      <c r="M2188" t="s">
        <v>87</v>
      </c>
      <c r="S2188">
        <v>1159</v>
      </c>
      <c r="W2188" t="str">
        <f t="shared" si="2305"/>
        <v>a</v>
      </c>
      <c r="X2188">
        <v>52</v>
      </c>
      <c r="Y2188" t="e">
        <f>IF(X2188&lt;&gt;"",VLOOKUP(X2188,game_rosters!$C$43:$E$64,3,FALSE))</f>
        <v>#N/A</v>
      </c>
      <c r="Z2188" cm="1">
        <f t="array" ref="Z2188">IFERROR(IF(_xlfn._xlws.FILTER(game_rosters!$J:$J,(game_rosters!$G:$G=events!$AN2188)*(game_rosters!$J:$J=events!$X2188))&gt;0,1,""),"")</f>
        <v>1</v>
      </c>
      <c r="AA2188">
        <f t="shared" si="2263"/>
        <v>2159</v>
      </c>
      <c r="AB2188" t="str">
        <f t="shared" si="2264"/>
        <v/>
      </c>
      <c r="AC2188">
        <f t="shared" si="2302"/>
        <v>2159</v>
      </c>
      <c r="AD2188" s="6">
        <v>3</v>
      </c>
      <c r="AE2188" t="s">
        <v>938</v>
      </c>
      <c r="AF2188" t="s">
        <v>745</v>
      </c>
      <c r="AG2188" t="s">
        <v>756</v>
      </c>
      <c r="AH2188" t="s">
        <v>756</v>
      </c>
      <c r="AI2188" t="s">
        <v>367</v>
      </c>
      <c r="AJ2188" t="str">
        <f t="shared" ref="AJ2188:AK2188" si="2336">IF($J2188&lt;&gt;"",$J2188,IF($AC2188=$AC2187,AJ2187,""))</f>
        <v>o</v>
      </c>
      <c r="AK2188" t="str">
        <f t="shared" si="2336"/>
        <v>o</v>
      </c>
      <c r="AL2188" t="str">
        <f t="shared" si="2307"/>
        <v>d</v>
      </c>
      <c r="AN2188" t="s">
        <v>862</v>
      </c>
      <c r="AO2188" t="str">
        <f t="shared" si="2308"/>
        <v>a</v>
      </c>
      <c r="AP2188" t="str">
        <f t="shared" si="2316"/>
        <v>d</v>
      </c>
      <c r="AQ2188" t="str">
        <f t="shared" si="2317"/>
        <v/>
      </c>
      <c r="AR2188" t="str">
        <f t="shared" si="2318"/>
        <v>Away</v>
      </c>
      <c r="AS2188" t="str">
        <f t="shared" si="2319"/>
        <v>a</v>
      </c>
      <c r="AT2188" t="str">
        <f t="shared" si="2320"/>
        <v>Offensive</v>
      </c>
      <c r="BA2188" s="6">
        <f t="shared" si="2309"/>
        <v>501</v>
      </c>
      <c r="BB2188">
        <f t="shared" si="2310"/>
        <v>18981</v>
      </c>
      <c r="BC2188" t="str">
        <f t="shared" si="2311"/>
        <v>Nelson</v>
      </c>
      <c r="BD2188" t="str">
        <f t="shared" si="2312"/>
        <v>Velodrome</v>
      </c>
      <c r="BE2188" t="s">
        <v>238</v>
      </c>
      <c r="BF2188" t="s">
        <v>174</v>
      </c>
      <c r="BG2188" t="s">
        <v>87</v>
      </c>
      <c r="BI2188" cm="1">
        <f t="array" ref="BI2188">IFERROR(_xlfn._xlws.FILTER(shifts!A:A,(shifts!B:B=events!AD2188)*(shifts!AG:AG&gt;=events!BK2188)*(shifts!AH:AH&lt;=events!BL2188)),BI2187)</f>
        <v>96</v>
      </c>
      <c r="BJ2188" s="15">
        <f t="shared" si="2313"/>
        <v>0</v>
      </c>
      <c r="BK2188">
        <f t="shared" si="2321"/>
        <v>374</v>
      </c>
      <c r="BL2188">
        <f t="shared" si="2322"/>
        <v>374</v>
      </c>
      <c r="BM2188" s="15">
        <f>SUMIFS(BJ$2:BJ2188,K$2:K2188,"=Intermission")+SUMIFS(BJ$2:BJ2188,K$2:K2188,"=Timeout")</f>
        <v>142</v>
      </c>
      <c r="BN2188">
        <f t="shared" si="2323"/>
        <v>2302</v>
      </c>
      <c r="BO2188" s="19">
        <f t="shared" si="2324"/>
        <v>3008</v>
      </c>
      <c r="BP2188">
        <f t="shared" si="2325"/>
        <v>3003</v>
      </c>
      <c r="BQ2188" s="17">
        <f t="shared" si="2326"/>
        <v>3008</v>
      </c>
      <c r="BR2188" t="str">
        <f t="shared" si="2327"/>
        <v>event_team_player_1</v>
      </c>
      <c r="BS2188">
        <f>COUNTIFS(S$3:S2188,"="&amp;S2188,AI$3:AI2188,"="&amp;AI2188)</f>
        <v>1</v>
      </c>
      <c r="BT2188" t="str">
        <f>IFERROR(VLOOKUP(BB2188&amp;BU2188&amp;X2188,game_rosters!U:W,3,FALSE),"")</f>
        <v>P100070</v>
      </c>
      <c r="BU2188" t="str">
        <f t="shared" si="2328"/>
        <v>Velodrome</v>
      </c>
    </row>
    <row r="2189" spans="1:73" x14ac:dyDescent="0.2">
      <c r="A2189">
        <f t="shared" si="2314"/>
        <v>1</v>
      </c>
      <c r="J2189" s="44" t="str">
        <f t="shared" si="2329"/>
        <v/>
      </c>
      <c r="K2189" t="s">
        <v>9</v>
      </c>
      <c r="L2189" t="s">
        <v>173</v>
      </c>
      <c r="M2189" t="s">
        <v>354</v>
      </c>
      <c r="S2189">
        <v>1160</v>
      </c>
      <c r="W2189" t="str">
        <f t="shared" si="2305"/>
        <v>a</v>
      </c>
      <c r="X2189">
        <v>52</v>
      </c>
      <c r="Y2189" t="e">
        <f>IF(X2189&lt;&gt;"",VLOOKUP(X2189,game_rosters!$C$43:$E$64,3,FALSE))</f>
        <v>#N/A</v>
      </c>
      <c r="Z2189" cm="1">
        <f t="array" ref="Z2189">IFERROR(IF(_xlfn._xlws.FILTER(game_rosters!$J:$J,(game_rosters!$G:$G=events!$AN2189)*(game_rosters!$J:$J=events!$X2189))&gt;0,1,""),"")</f>
        <v>1</v>
      </c>
      <c r="AA2189">
        <f t="shared" si="2263"/>
        <v>2160</v>
      </c>
      <c r="AB2189" t="str">
        <f t="shared" si="2264"/>
        <v/>
      </c>
      <c r="AC2189">
        <f t="shared" si="2302"/>
        <v>2160</v>
      </c>
      <c r="AD2189" s="6">
        <v>3</v>
      </c>
      <c r="AE2189" t="s">
        <v>938</v>
      </c>
      <c r="AF2189" t="s">
        <v>745</v>
      </c>
      <c r="AG2189" t="s">
        <v>756</v>
      </c>
      <c r="AH2189" t="s">
        <v>756</v>
      </c>
      <c r="AI2189" t="s">
        <v>367</v>
      </c>
      <c r="AJ2189" t="str">
        <f t="shared" ref="AJ2189:AK2189" si="2337">IF($J2189&lt;&gt;"",$J2189,IF($AC2189=$AC2188,AJ2188,""))</f>
        <v/>
      </c>
      <c r="AK2189" t="str">
        <f t="shared" si="2337"/>
        <v/>
      </c>
      <c r="AL2189" t="str">
        <f t="shared" si="2307"/>
        <v/>
      </c>
      <c r="AN2189" t="s">
        <v>862</v>
      </c>
      <c r="AO2189" t="str">
        <f t="shared" si="2308"/>
        <v>a</v>
      </c>
      <c r="AP2189" t="str">
        <f t="shared" si="2316"/>
        <v/>
      </c>
      <c r="AQ2189" t="str">
        <f t="shared" si="2317"/>
        <v/>
      </c>
      <c r="AR2189" t="str">
        <f t="shared" si="2318"/>
        <v>Away</v>
      </c>
      <c r="AS2189" t="str">
        <f t="shared" si="2319"/>
        <v>a</v>
      </c>
      <c r="AT2189" t="str">
        <f t="shared" si="2320"/>
        <v>Offensive</v>
      </c>
      <c r="BA2189" s="6">
        <f t="shared" si="2309"/>
        <v>501</v>
      </c>
      <c r="BB2189">
        <f t="shared" si="2310"/>
        <v>18981</v>
      </c>
      <c r="BC2189" t="str">
        <f t="shared" si="2311"/>
        <v>Nelson</v>
      </c>
      <c r="BD2189" t="str">
        <f t="shared" si="2312"/>
        <v>Velodrome</v>
      </c>
      <c r="BE2189" t="s">
        <v>9</v>
      </c>
      <c r="BF2189" t="s">
        <v>173</v>
      </c>
      <c r="BG2189" t="s">
        <v>354</v>
      </c>
      <c r="BI2189" cm="1">
        <f t="array" ref="BI2189">IFERROR(_xlfn._xlws.FILTER(shifts!A:A,(shifts!B:B=events!AD2189)*(shifts!AG:AG&gt;=events!BK2189)*(shifts!AH:AH&lt;=events!BL2189)),BI2188)</f>
        <v>96</v>
      </c>
      <c r="BJ2189" s="15">
        <f t="shared" si="2313"/>
        <v>0</v>
      </c>
      <c r="BK2189">
        <f t="shared" si="2321"/>
        <v>374</v>
      </c>
      <c r="BL2189">
        <f t="shared" si="2322"/>
        <v>374</v>
      </c>
      <c r="BM2189" s="15">
        <f>SUMIFS(BJ$2:BJ2189,K$2:K2189,"=Intermission")+SUMIFS(BJ$2:BJ2189,K$2:K2189,"=Timeout")</f>
        <v>142</v>
      </c>
      <c r="BN2189">
        <f t="shared" si="2323"/>
        <v>2302</v>
      </c>
      <c r="BO2189" s="19">
        <f t="shared" si="2324"/>
        <v>3008</v>
      </c>
      <c r="BP2189">
        <f t="shared" si="2325"/>
        <v>3003</v>
      </c>
      <c r="BQ2189" s="17">
        <f t="shared" si="2326"/>
        <v>3008</v>
      </c>
      <c r="BR2189" t="str">
        <f t="shared" si="2327"/>
        <v>event_team_player_1</v>
      </c>
      <c r="BS2189">
        <f>COUNTIFS(S$3:S2189,"="&amp;S2189,AI$3:AI2189,"="&amp;AI2189)</f>
        <v>1</v>
      </c>
      <c r="BT2189" t="str">
        <f>IFERROR(VLOOKUP(BB2189&amp;BU2189&amp;X2189,game_rosters!U:W,3,FALSE),"")</f>
        <v>P100070</v>
      </c>
      <c r="BU2189" t="str">
        <f t="shared" si="2328"/>
        <v>Velodrome</v>
      </c>
    </row>
    <row r="2190" spans="1:73" x14ac:dyDescent="0.2">
      <c r="A2190">
        <f t="shared" si="2314"/>
        <v>1</v>
      </c>
      <c r="J2190" s="44" t="str">
        <f t="shared" si="2329"/>
        <v/>
      </c>
      <c r="K2190" t="s">
        <v>13</v>
      </c>
      <c r="L2190" t="s">
        <v>756</v>
      </c>
      <c r="M2190" t="s">
        <v>756</v>
      </c>
      <c r="S2190">
        <v>1161</v>
      </c>
      <c r="W2190" t="str">
        <f t="shared" si="2305"/>
        <v>h</v>
      </c>
      <c r="X2190">
        <v>80</v>
      </c>
      <c r="Y2190" t="b">
        <f>IF(X2190&lt;&gt;"",VLOOKUP(X2190,game_rosters!$C$43:$E$64,3,FALSE))</f>
        <v>0</v>
      </c>
      <c r="Z2190" cm="1">
        <f t="array" ref="Z2190">IFERROR(IF(_xlfn._xlws.FILTER(game_rosters!$J:$J,(game_rosters!$G:$G=events!$AN2190)*(game_rosters!$J:$J=events!$X2190))&gt;0,1,""),"")</f>
        <v>1</v>
      </c>
      <c r="AA2190">
        <f t="shared" si="2263"/>
        <v>2161</v>
      </c>
      <c r="AB2190" t="str">
        <f t="shared" si="2264"/>
        <v/>
      </c>
      <c r="AC2190">
        <f t="shared" si="2302"/>
        <v>2161</v>
      </c>
      <c r="AD2190" s="6">
        <v>3</v>
      </c>
      <c r="AE2190" t="s">
        <v>938</v>
      </c>
      <c r="AF2190" t="s">
        <v>920</v>
      </c>
      <c r="AG2190" t="s">
        <v>938</v>
      </c>
      <c r="AH2190" t="s">
        <v>911</v>
      </c>
      <c r="AI2190" t="s">
        <v>367</v>
      </c>
      <c r="AJ2190" t="str">
        <f t="shared" ref="AJ2190:AK2190" si="2338">IF($J2190&lt;&gt;"",$J2190,IF($AC2190=$AC2189,AJ2189,""))</f>
        <v/>
      </c>
      <c r="AK2190" t="str">
        <f t="shared" si="2338"/>
        <v/>
      </c>
      <c r="AL2190" t="str">
        <f t="shared" si="2307"/>
        <v/>
      </c>
      <c r="AN2190" t="s">
        <v>861</v>
      </c>
      <c r="AO2190" t="str">
        <f t="shared" si="2308"/>
        <v>h</v>
      </c>
      <c r="AP2190" t="str">
        <f t="shared" si="2316"/>
        <v/>
      </c>
      <c r="AQ2190" t="str">
        <f t="shared" si="2317"/>
        <v/>
      </c>
      <c r="AR2190" t="str">
        <f t="shared" si="2318"/>
        <v>Home</v>
      </c>
      <c r="AS2190" t="str">
        <f t="shared" si="2319"/>
        <v>h</v>
      </c>
      <c r="AT2190" t="str">
        <f t="shared" si="2320"/>
        <v>Offensive</v>
      </c>
      <c r="BA2190" s="6">
        <f t="shared" si="2309"/>
        <v>501</v>
      </c>
      <c r="BB2190">
        <f t="shared" si="2310"/>
        <v>18981</v>
      </c>
      <c r="BC2190" t="str">
        <f t="shared" si="2311"/>
        <v>Nelson</v>
      </c>
      <c r="BD2190" t="str">
        <f t="shared" si="2312"/>
        <v>Velodrome</v>
      </c>
      <c r="BE2190" t="s">
        <v>13</v>
      </c>
      <c r="BF2190" t="s">
        <v>756</v>
      </c>
      <c r="BG2190" t="s">
        <v>756</v>
      </c>
      <c r="BI2190" cm="1">
        <f t="array" ref="BI2190">IFERROR(_xlfn._xlws.FILTER(shifts!A:A,(shifts!B:B=events!AD2190)*(shifts!AG:AG&gt;=events!BK2190)*(shifts!AH:AH&lt;=events!BL2190)),BI2189)</f>
        <v>97</v>
      </c>
      <c r="BJ2190" s="15">
        <f t="shared" si="2313"/>
        <v>3</v>
      </c>
      <c r="BK2190">
        <f t="shared" si="2321"/>
        <v>369</v>
      </c>
      <c r="BL2190">
        <f t="shared" si="2322"/>
        <v>366</v>
      </c>
      <c r="BM2190" s="15">
        <f>SUMIFS(BJ$2:BJ2190,K$2:K2190,"=Intermission")+SUMIFS(BJ$2:BJ2190,K$2:K2190,"=Timeout")</f>
        <v>142</v>
      </c>
      <c r="BN2190">
        <f t="shared" si="2323"/>
        <v>2302</v>
      </c>
      <c r="BO2190" s="19">
        <f t="shared" si="2324"/>
        <v>3013</v>
      </c>
      <c r="BP2190">
        <f t="shared" si="2325"/>
        <v>3008</v>
      </c>
      <c r="BQ2190" s="17">
        <f t="shared" si="2326"/>
        <v>3016</v>
      </c>
      <c r="BR2190" t="str">
        <f t="shared" si="2327"/>
        <v>event_team_player_1</v>
      </c>
      <c r="BS2190">
        <f>COUNTIFS(S$3:S2190,"="&amp;S2190,AI$3:AI2190,"="&amp;AI2190)</f>
        <v>1</v>
      </c>
      <c r="BT2190" t="str">
        <f>IFERROR(VLOOKUP(BB2190&amp;BU2190&amp;X2190,game_rosters!U:W,3,FALSE),"")</f>
        <v>P100197</v>
      </c>
      <c r="BU2190" t="str">
        <f t="shared" si="2328"/>
        <v>Nelson</v>
      </c>
    </row>
    <row r="2191" spans="1:73" x14ac:dyDescent="0.2">
      <c r="A2191">
        <f t="shared" si="2314"/>
        <v>1</v>
      </c>
      <c r="J2191" s="44" t="str">
        <f t="shared" si="2329"/>
        <v/>
      </c>
      <c r="K2191" t="s">
        <v>11</v>
      </c>
      <c r="L2191" t="s">
        <v>187</v>
      </c>
      <c r="M2191" t="s">
        <v>106</v>
      </c>
      <c r="S2191">
        <v>1162</v>
      </c>
      <c r="W2191" t="str">
        <f t="shared" si="2305"/>
        <v>h</v>
      </c>
      <c r="X2191">
        <v>80</v>
      </c>
      <c r="Y2191" t="b">
        <f>IF(X2191&lt;&gt;"",VLOOKUP(X2191,game_rosters!$C$43:$E$64,3,FALSE))</f>
        <v>0</v>
      </c>
      <c r="Z2191" cm="1">
        <f t="array" ref="Z2191">IFERROR(IF(_xlfn._xlws.FILTER(game_rosters!$J:$J,(game_rosters!$G:$G=events!$AN2191)*(game_rosters!$J:$J=events!$X2191))&gt;0,1,""),"")</f>
        <v>1</v>
      </c>
      <c r="AA2191">
        <f t="shared" si="2263"/>
        <v>2162</v>
      </c>
      <c r="AB2191" t="str">
        <f t="shared" si="2264"/>
        <v/>
      </c>
      <c r="AC2191">
        <f t="shared" si="2302"/>
        <v>2162</v>
      </c>
      <c r="AD2191" s="6">
        <v>3</v>
      </c>
      <c r="AE2191" t="s">
        <v>938</v>
      </c>
      <c r="AF2191" t="s">
        <v>913</v>
      </c>
      <c r="AG2191" t="s">
        <v>756</v>
      </c>
      <c r="AH2191" t="s">
        <v>756</v>
      </c>
      <c r="AI2191" t="s">
        <v>367</v>
      </c>
      <c r="AJ2191" t="str">
        <f t="shared" ref="AJ2191:AK2191" si="2339">IF($J2191&lt;&gt;"",$J2191,IF($AC2191=$AC2190,AJ2190,""))</f>
        <v/>
      </c>
      <c r="AK2191" t="str">
        <f t="shared" si="2339"/>
        <v/>
      </c>
      <c r="AL2191" t="str">
        <f t="shared" si="2307"/>
        <v/>
      </c>
      <c r="AN2191" t="s">
        <v>861</v>
      </c>
      <c r="AO2191" t="str">
        <f t="shared" si="2308"/>
        <v>h</v>
      </c>
      <c r="AP2191" t="str">
        <f t="shared" si="2316"/>
        <v/>
      </c>
      <c r="AQ2191" t="str">
        <f t="shared" si="2317"/>
        <v/>
      </c>
      <c r="AR2191" t="str">
        <f t="shared" si="2318"/>
        <v>Home</v>
      </c>
      <c r="AS2191" t="str">
        <f t="shared" si="2319"/>
        <v>h</v>
      </c>
      <c r="AT2191" t="str">
        <f t="shared" si="2320"/>
        <v/>
      </c>
      <c r="BA2191" s="6">
        <f t="shared" si="2309"/>
        <v>501</v>
      </c>
      <c r="BB2191">
        <f t="shared" si="2310"/>
        <v>18981</v>
      </c>
      <c r="BC2191" t="str">
        <f t="shared" si="2311"/>
        <v>Nelson</v>
      </c>
      <c r="BD2191" t="str">
        <f t="shared" si="2312"/>
        <v>Velodrome</v>
      </c>
      <c r="BE2191" t="s">
        <v>11</v>
      </c>
      <c r="BF2191" t="s">
        <v>187</v>
      </c>
      <c r="BG2191" t="s">
        <v>106</v>
      </c>
      <c r="BI2191" cm="1">
        <f t="array" ref="BI2191">IFERROR(_xlfn._xlws.FILTER(shifts!A:A,(shifts!B:B=events!AD2191)*(shifts!AG:AG&gt;=events!BK2191)*(shifts!AH:AH&lt;=events!BL2191)),BI2190)</f>
        <v>97</v>
      </c>
      <c r="BJ2191" s="15">
        <f t="shared" si="2313"/>
        <v>0</v>
      </c>
      <c r="BK2191">
        <f t="shared" si="2321"/>
        <v>362</v>
      </c>
      <c r="BL2191">
        <f t="shared" si="2322"/>
        <v>362</v>
      </c>
      <c r="BM2191" s="15">
        <f>SUMIFS(BJ$2:BJ2191,K$2:K2191,"=Intermission")+SUMIFS(BJ$2:BJ2191,K$2:K2191,"=Timeout")</f>
        <v>142</v>
      </c>
      <c r="BN2191">
        <f t="shared" si="2323"/>
        <v>2302</v>
      </c>
      <c r="BO2191" s="19">
        <f t="shared" si="2324"/>
        <v>3020</v>
      </c>
      <c r="BP2191">
        <f t="shared" si="2325"/>
        <v>3015</v>
      </c>
      <c r="BQ2191" s="17">
        <f t="shared" si="2326"/>
        <v>3020</v>
      </c>
      <c r="BR2191" t="str">
        <f t="shared" si="2327"/>
        <v>event_team_player_1</v>
      </c>
      <c r="BS2191">
        <f>COUNTIFS(S$3:S2191,"="&amp;S2191,AI$3:AI2191,"="&amp;AI2191)</f>
        <v>1</v>
      </c>
      <c r="BT2191" t="str">
        <f>IFERROR(VLOOKUP(BB2191&amp;BU2191&amp;X2191,game_rosters!U:W,3,FALSE),"")</f>
        <v>P100197</v>
      </c>
      <c r="BU2191" t="str">
        <f t="shared" si="2328"/>
        <v>Nelson</v>
      </c>
    </row>
    <row r="2192" spans="1:73" x14ac:dyDescent="0.2">
      <c r="A2192">
        <f t="shared" si="2314"/>
        <v>1</v>
      </c>
      <c r="J2192" s="44" t="str">
        <f t="shared" si="2329"/>
        <v/>
      </c>
      <c r="K2192" t="s">
        <v>241</v>
      </c>
      <c r="L2192" t="s">
        <v>756</v>
      </c>
      <c r="M2192" t="s">
        <v>756</v>
      </c>
      <c r="S2192">
        <v>1163</v>
      </c>
      <c r="W2192" t="str">
        <f t="shared" si="2305"/>
        <v>h</v>
      </c>
      <c r="X2192">
        <v>80</v>
      </c>
      <c r="Y2192" t="b">
        <f>IF(X2192&lt;&gt;"",VLOOKUP(X2192,game_rosters!$C$43:$E$64,3,FALSE))</f>
        <v>0</v>
      </c>
      <c r="Z2192" cm="1">
        <f t="array" ref="Z2192">IFERROR(IF(_xlfn._xlws.FILTER(game_rosters!$J:$J,(game_rosters!$G:$G=events!$AN2192)*(game_rosters!$J:$J=events!$X2192))&gt;0,1,""),"")</f>
        <v>1</v>
      </c>
      <c r="AA2192">
        <f t="shared" si="2263"/>
        <v>2163</v>
      </c>
      <c r="AB2192" t="str">
        <f t="shared" si="2264"/>
        <v/>
      </c>
      <c r="AC2192">
        <f t="shared" si="2302"/>
        <v>2163</v>
      </c>
      <c r="AD2192" s="6">
        <v>3</v>
      </c>
      <c r="AE2192" t="s">
        <v>938</v>
      </c>
      <c r="AF2192" t="s">
        <v>913</v>
      </c>
      <c r="AG2192" t="s">
        <v>752</v>
      </c>
      <c r="AH2192" t="s">
        <v>749</v>
      </c>
      <c r="AI2192" t="s">
        <v>367</v>
      </c>
      <c r="AJ2192" t="str">
        <f t="shared" ref="AJ2192:AK2192" si="2340">IF($J2192&lt;&gt;"",$J2192,IF($AC2192=$AC2191,AJ2191,""))</f>
        <v/>
      </c>
      <c r="AK2192" t="str">
        <f t="shared" si="2340"/>
        <v/>
      </c>
      <c r="AL2192" t="str">
        <f t="shared" si="2307"/>
        <v/>
      </c>
      <c r="AN2192" t="s">
        <v>861</v>
      </c>
      <c r="AO2192" t="str">
        <f t="shared" si="2308"/>
        <v>h</v>
      </c>
      <c r="AP2192" t="str">
        <f t="shared" si="2316"/>
        <v/>
      </c>
      <c r="AQ2192" t="str">
        <f t="shared" si="2317"/>
        <v/>
      </c>
      <c r="AR2192" t="str">
        <f t="shared" si="2318"/>
        <v>Home</v>
      </c>
      <c r="AS2192" t="str">
        <f t="shared" si="2319"/>
        <v>h</v>
      </c>
      <c r="AT2192" t="str">
        <f t="shared" si="2320"/>
        <v/>
      </c>
      <c r="BA2192" s="6">
        <f t="shared" si="2309"/>
        <v>501</v>
      </c>
      <c r="BB2192">
        <f t="shared" si="2310"/>
        <v>18981</v>
      </c>
      <c r="BC2192" t="str">
        <f t="shared" si="2311"/>
        <v>Nelson</v>
      </c>
      <c r="BD2192" t="str">
        <f t="shared" si="2312"/>
        <v>Velodrome</v>
      </c>
      <c r="BE2192" t="s">
        <v>241</v>
      </c>
      <c r="BF2192" t="s">
        <v>756</v>
      </c>
      <c r="BG2192" t="s">
        <v>756</v>
      </c>
      <c r="BI2192" cm="1">
        <f t="array" ref="BI2192">IFERROR(_xlfn._xlws.FILTER(shifts!A:A,(shifts!B:B=events!AD2192)*(shifts!AG:AG&gt;=events!BK2192)*(shifts!AH:AH&lt;=events!BL2192)),BI2191)</f>
        <v>97</v>
      </c>
      <c r="BJ2192" s="15">
        <f t="shared" si="2313"/>
        <v>23</v>
      </c>
      <c r="BK2192">
        <f t="shared" si="2321"/>
        <v>362</v>
      </c>
      <c r="BL2192">
        <f t="shared" si="2322"/>
        <v>339</v>
      </c>
      <c r="BM2192" s="15">
        <f>SUMIFS(BJ$2:BJ2192,K$2:K2192,"=Intermission")+SUMIFS(BJ$2:BJ2192,K$2:K2192,"=Timeout")</f>
        <v>142</v>
      </c>
      <c r="BN2192">
        <f t="shared" si="2323"/>
        <v>2302</v>
      </c>
      <c r="BO2192" s="19">
        <f t="shared" si="2324"/>
        <v>3020</v>
      </c>
      <c r="BP2192">
        <f t="shared" si="2325"/>
        <v>3015</v>
      </c>
      <c r="BQ2192" s="17">
        <f t="shared" si="2326"/>
        <v>3043</v>
      </c>
      <c r="BR2192" t="str">
        <f t="shared" si="2327"/>
        <v>event_team_player_1</v>
      </c>
      <c r="BS2192">
        <f>COUNTIFS(S$3:S2192,"="&amp;S2192,AI$3:AI2192,"="&amp;AI2192)</f>
        <v>1</v>
      </c>
      <c r="BT2192" t="str">
        <f>IFERROR(VLOOKUP(BB2192&amp;BU2192&amp;X2192,game_rosters!U:W,3,FALSE),"")</f>
        <v>P100197</v>
      </c>
      <c r="BU2192" t="str">
        <f t="shared" si="2328"/>
        <v>Nelson</v>
      </c>
    </row>
    <row r="2193" spans="1:73" x14ac:dyDescent="0.2">
      <c r="A2193">
        <f t="shared" si="2314"/>
        <v>1</v>
      </c>
      <c r="J2193" s="44" t="str">
        <f t="shared" si="2329"/>
        <v/>
      </c>
      <c r="K2193" t="s">
        <v>5</v>
      </c>
      <c r="L2193" t="s">
        <v>236</v>
      </c>
      <c r="M2193" t="s">
        <v>756</v>
      </c>
      <c r="S2193">
        <v>1164</v>
      </c>
      <c r="W2193" t="str">
        <f t="shared" si="2305"/>
        <v>h</v>
      </c>
      <c r="X2193">
        <v>10</v>
      </c>
      <c r="Y2193" t="b">
        <f>IF(X2193&lt;&gt;"",VLOOKUP(X2193,game_rosters!$C$43:$E$64,3,FALSE))</f>
        <v>0</v>
      </c>
      <c r="Z2193" cm="1">
        <f t="array" ref="Z2193">IFERROR(IF(_xlfn._xlws.FILTER(game_rosters!$J:$J,(game_rosters!$G:$G=events!$AN2193)*(game_rosters!$J:$J=events!$X2193))&gt;0,1,""),"")</f>
        <v>1</v>
      </c>
      <c r="AA2193">
        <f t="shared" si="2263"/>
        <v>2164</v>
      </c>
      <c r="AB2193" t="str">
        <f t="shared" si="2264"/>
        <v/>
      </c>
      <c r="AC2193">
        <f t="shared" si="2302"/>
        <v>2164</v>
      </c>
      <c r="AD2193" s="6">
        <v>3</v>
      </c>
      <c r="AE2193" t="s">
        <v>752</v>
      </c>
      <c r="AF2193" t="s">
        <v>749</v>
      </c>
      <c r="AG2193" t="s">
        <v>756</v>
      </c>
      <c r="AH2193" t="s">
        <v>756</v>
      </c>
      <c r="AI2193" t="s">
        <v>367</v>
      </c>
      <c r="AJ2193" t="str">
        <f t="shared" ref="AJ2193:AK2193" si="2341">IF($J2193&lt;&gt;"",$J2193,IF($AC2193=$AC2192,AJ2192,""))</f>
        <v/>
      </c>
      <c r="AK2193" t="str">
        <f t="shared" si="2341"/>
        <v/>
      </c>
      <c r="AL2193" t="str">
        <f t="shared" si="2307"/>
        <v/>
      </c>
      <c r="AN2193" t="s">
        <v>861</v>
      </c>
      <c r="AO2193" t="str">
        <f t="shared" si="2308"/>
        <v>h</v>
      </c>
      <c r="AP2193" t="str">
        <f t="shared" si="2316"/>
        <v/>
      </c>
      <c r="AQ2193" t="str">
        <f t="shared" si="2317"/>
        <v/>
      </c>
      <c r="AR2193" t="str">
        <f t="shared" si="2318"/>
        <v>Home</v>
      </c>
      <c r="AS2193" t="str">
        <f t="shared" si="2319"/>
        <v>h</v>
      </c>
      <c r="AT2193" t="str">
        <f t="shared" si="2320"/>
        <v>Offensive</v>
      </c>
      <c r="BA2193" s="6">
        <f t="shared" si="2309"/>
        <v>501</v>
      </c>
      <c r="BB2193">
        <f t="shared" si="2310"/>
        <v>18981</v>
      </c>
      <c r="BC2193" t="str">
        <f t="shared" si="2311"/>
        <v>Nelson</v>
      </c>
      <c r="BD2193" t="str">
        <f t="shared" si="2312"/>
        <v>Velodrome</v>
      </c>
      <c r="BE2193" t="s">
        <v>5</v>
      </c>
      <c r="BF2193" t="s">
        <v>236</v>
      </c>
      <c r="BG2193" t="s">
        <v>756</v>
      </c>
      <c r="BI2193" cm="1">
        <f t="array" ref="BI2193">IFERROR(_xlfn._xlws.FILTER(shifts!A:A,(shifts!B:B=events!AD2193)*(shifts!AG:AG&gt;=events!BK2193)*(shifts!AH:AH&lt;=events!BL2193)),BI2192)</f>
        <v>98</v>
      </c>
      <c r="BJ2193" s="15">
        <f t="shared" si="2313"/>
        <v>0</v>
      </c>
      <c r="BK2193">
        <f t="shared" si="2321"/>
        <v>339</v>
      </c>
      <c r="BL2193">
        <f t="shared" si="2322"/>
        <v>339</v>
      </c>
      <c r="BM2193" s="15">
        <f>SUMIFS(BJ$2:BJ2193,K$2:K2193,"=Intermission")+SUMIFS(BJ$2:BJ2193,K$2:K2193,"=Timeout")</f>
        <v>142</v>
      </c>
      <c r="BN2193">
        <f t="shared" si="2323"/>
        <v>2302</v>
      </c>
      <c r="BO2193" s="19">
        <f t="shared" si="2324"/>
        <v>3043</v>
      </c>
      <c r="BP2193">
        <f t="shared" si="2325"/>
        <v>3038</v>
      </c>
      <c r="BQ2193" s="17">
        <f t="shared" si="2326"/>
        <v>3043</v>
      </c>
      <c r="BR2193" t="str">
        <f t="shared" si="2327"/>
        <v>event_team_player_1</v>
      </c>
      <c r="BS2193">
        <f>COUNTIFS(S$3:S2193,"="&amp;S2193,AI$3:AI2193,"="&amp;AI2193)</f>
        <v>1</v>
      </c>
      <c r="BT2193" t="str">
        <f>IFERROR(VLOOKUP(BB2193&amp;BU2193&amp;X2193,game_rosters!U:W,3,FALSE),"")</f>
        <v>P100078</v>
      </c>
      <c r="BU2193" t="str">
        <f t="shared" si="2328"/>
        <v>Nelson</v>
      </c>
    </row>
    <row r="2194" spans="1:73" x14ac:dyDescent="0.2">
      <c r="A2194">
        <f t="shared" si="2314"/>
        <v>1</v>
      </c>
      <c r="J2194" s="44" t="str">
        <f t="shared" si="2329"/>
        <v/>
      </c>
      <c r="K2194" t="s">
        <v>5</v>
      </c>
      <c r="L2194" t="s">
        <v>236</v>
      </c>
      <c r="M2194" t="s">
        <v>756</v>
      </c>
      <c r="S2194">
        <v>1164</v>
      </c>
      <c r="W2194" t="str">
        <f t="shared" si="2305"/>
        <v>h</v>
      </c>
      <c r="X2194">
        <v>42</v>
      </c>
      <c r="Y2194" t="e">
        <f>IF(X2194&lt;&gt;"",VLOOKUP(X2194,game_rosters!$C$43:$E$64,3,FALSE))</f>
        <v>#N/A</v>
      </c>
      <c r="Z2194" t="str" cm="1">
        <f t="array" ref="Z2194">IFERROR(IF(_xlfn._xlws.FILTER(game_rosters!$J:$J,(game_rosters!$G:$G=events!$AN2194)*(game_rosters!$J:$J=events!$X2194))&gt;0,1,""),"")</f>
        <v/>
      </c>
      <c r="AA2194">
        <f t="shared" si="2263"/>
        <v>2164</v>
      </c>
      <c r="AB2194" t="str">
        <f t="shared" si="2264"/>
        <v/>
      </c>
      <c r="AC2194">
        <f t="shared" si="2302"/>
        <v>2164</v>
      </c>
      <c r="AD2194" s="6">
        <v>3</v>
      </c>
      <c r="AE2194" t="s">
        <v>752</v>
      </c>
      <c r="AF2194" t="s">
        <v>749</v>
      </c>
      <c r="AG2194" t="s">
        <v>756</v>
      </c>
      <c r="AH2194" t="s">
        <v>756</v>
      </c>
      <c r="AI2194" t="s">
        <v>368</v>
      </c>
      <c r="AJ2194" t="str">
        <f t="shared" ref="AJ2194:AK2194" si="2342">IF($J2194&lt;&gt;"",$J2194,IF($AC2194=$AC2193,AJ2193,""))</f>
        <v/>
      </c>
      <c r="AK2194" t="str">
        <f t="shared" si="2342"/>
        <v/>
      </c>
      <c r="AL2194" t="str">
        <f t="shared" si="2307"/>
        <v/>
      </c>
      <c r="AN2194" t="s">
        <v>861</v>
      </c>
      <c r="AO2194" t="str">
        <f t="shared" si="2308"/>
        <v>h</v>
      </c>
      <c r="AP2194" t="str">
        <f t="shared" si="2316"/>
        <v/>
      </c>
      <c r="AQ2194" t="str">
        <f t="shared" si="2317"/>
        <v/>
      </c>
      <c r="AR2194" t="str">
        <f t="shared" si="2318"/>
        <v>Home</v>
      </c>
      <c r="AS2194" t="str">
        <f t="shared" si="2319"/>
        <v>h</v>
      </c>
      <c r="AT2194" t="str">
        <f t="shared" si="2320"/>
        <v>Defensive</v>
      </c>
      <c r="BA2194" s="6">
        <f t="shared" si="2309"/>
        <v>501</v>
      </c>
      <c r="BB2194">
        <f t="shared" si="2310"/>
        <v>18981</v>
      </c>
      <c r="BC2194" t="str">
        <f t="shared" si="2311"/>
        <v>Nelson</v>
      </c>
      <c r="BD2194" t="str">
        <f t="shared" si="2312"/>
        <v>Velodrome</v>
      </c>
      <c r="BE2194" t="s">
        <v>5</v>
      </c>
      <c r="BF2194" t="s">
        <v>236</v>
      </c>
      <c r="BG2194" t="s">
        <v>756</v>
      </c>
      <c r="BI2194" cm="1">
        <f t="array" ref="BI2194">IFERROR(_xlfn._xlws.FILTER(shifts!A:A,(shifts!B:B=events!AD2194)*(shifts!AG:AG&gt;=events!BK2194)*(shifts!AH:AH&lt;=events!BL2194)),BI2193)</f>
        <v>98</v>
      </c>
      <c r="BJ2194" s="15">
        <f t="shared" si="2313"/>
        <v>0</v>
      </c>
      <c r="BK2194">
        <f t="shared" si="2321"/>
        <v>339</v>
      </c>
      <c r="BL2194">
        <f t="shared" si="2322"/>
        <v>339</v>
      </c>
      <c r="BM2194" s="15">
        <f>SUMIFS(BJ$2:BJ2194,K$2:K2194,"=Intermission")+SUMIFS(BJ$2:BJ2194,K$2:K2194,"=Timeout")</f>
        <v>142</v>
      </c>
      <c r="BN2194">
        <f t="shared" si="2323"/>
        <v>2302</v>
      </c>
      <c r="BO2194" s="19">
        <f t="shared" si="2324"/>
        <v>3043</v>
      </c>
      <c r="BP2194">
        <f t="shared" si="2325"/>
        <v>3038</v>
      </c>
      <c r="BQ2194" s="17">
        <f t="shared" si="2326"/>
        <v>3043</v>
      </c>
      <c r="BR2194" t="str">
        <f t="shared" si="2327"/>
        <v>opp_team_player_1</v>
      </c>
      <c r="BS2194">
        <f>COUNTIFS(S$3:S2194,"="&amp;S2194,AI$3:AI2194,"="&amp;AI2194)</f>
        <v>1</v>
      </c>
      <c r="BT2194" t="str">
        <f>IFERROR(VLOOKUP(BB2194&amp;BU2194&amp;X2194,game_rosters!U:W,3,FALSE),"")</f>
        <v>P100201</v>
      </c>
      <c r="BU2194" t="str">
        <f t="shared" si="2328"/>
        <v>Velodrome</v>
      </c>
    </row>
    <row r="2195" spans="1:73" x14ac:dyDescent="0.2">
      <c r="A2195">
        <f t="shared" si="2314"/>
        <v>1</v>
      </c>
      <c r="J2195" s="44" t="str">
        <f t="shared" si="2329"/>
        <v/>
      </c>
      <c r="K2195" t="s">
        <v>13</v>
      </c>
      <c r="L2195" t="s">
        <v>756</v>
      </c>
      <c r="M2195" t="s">
        <v>756</v>
      </c>
      <c r="S2195">
        <v>1165</v>
      </c>
      <c r="W2195" t="str">
        <f t="shared" si="2305"/>
        <v>h</v>
      </c>
      <c r="X2195">
        <v>37</v>
      </c>
      <c r="Y2195" t="b">
        <f>IF(X2195&lt;&gt;"",VLOOKUP(X2195,game_rosters!$C$43:$E$64,3,FALSE))</f>
        <v>0</v>
      </c>
      <c r="Z2195" cm="1">
        <f t="array" ref="Z2195">IFERROR(IF(_xlfn._xlws.FILTER(game_rosters!$J:$J,(game_rosters!$G:$G=events!$AN2195)*(game_rosters!$J:$J=events!$X2195))&gt;0,1,""),"")</f>
        <v>1</v>
      </c>
      <c r="AA2195">
        <f t="shared" si="2263"/>
        <v>2165</v>
      </c>
      <c r="AB2195" t="str">
        <f t="shared" si="2264"/>
        <v/>
      </c>
      <c r="AC2195">
        <f t="shared" si="2302"/>
        <v>2165</v>
      </c>
      <c r="AD2195" s="6">
        <v>3</v>
      </c>
      <c r="AE2195" t="s">
        <v>752</v>
      </c>
      <c r="AF2195" t="s">
        <v>904</v>
      </c>
      <c r="AG2195" t="s">
        <v>752</v>
      </c>
      <c r="AH2195" t="s">
        <v>905</v>
      </c>
      <c r="AI2195" t="s">
        <v>367</v>
      </c>
      <c r="AJ2195" t="str">
        <f t="shared" ref="AJ2195:AK2195" si="2343">IF($J2195&lt;&gt;"",$J2195,IF($AC2195=$AC2194,AJ2194,""))</f>
        <v/>
      </c>
      <c r="AK2195" t="str">
        <f t="shared" si="2343"/>
        <v/>
      </c>
      <c r="AL2195" t="str">
        <f t="shared" si="2307"/>
        <v/>
      </c>
      <c r="AN2195" t="s">
        <v>861</v>
      </c>
      <c r="AO2195" t="str">
        <f t="shared" si="2308"/>
        <v>h</v>
      </c>
      <c r="AP2195" t="str">
        <f t="shared" si="2316"/>
        <v/>
      </c>
      <c r="AQ2195" t="str">
        <f t="shared" si="2317"/>
        <v/>
      </c>
      <c r="AR2195" t="str">
        <f t="shared" si="2318"/>
        <v>Home</v>
      </c>
      <c r="AS2195" t="str">
        <f t="shared" si="2319"/>
        <v>h</v>
      </c>
      <c r="AT2195" t="str">
        <f t="shared" si="2320"/>
        <v>Offensive</v>
      </c>
      <c r="BA2195" s="6">
        <f t="shared" si="2309"/>
        <v>501</v>
      </c>
      <c r="BB2195">
        <f t="shared" si="2310"/>
        <v>18981</v>
      </c>
      <c r="BC2195" t="str">
        <f t="shared" si="2311"/>
        <v>Nelson</v>
      </c>
      <c r="BD2195" t="str">
        <f t="shared" si="2312"/>
        <v>Velodrome</v>
      </c>
      <c r="BE2195" t="s">
        <v>13</v>
      </c>
      <c r="BF2195" t="s">
        <v>756</v>
      </c>
      <c r="BG2195" t="s">
        <v>756</v>
      </c>
      <c r="BI2195" cm="1">
        <f t="array" ref="BI2195">IFERROR(_xlfn._xlws.FILTER(shifts!A:A,(shifts!B:B=events!AD2195)*(shifts!AG:AG&gt;=events!BK2195)*(shifts!AH:AH&lt;=events!BL2195)),BI2194)</f>
        <v>98</v>
      </c>
      <c r="BJ2195" s="15">
        <f t="shared" si="2313"/>
        <v>4</v>
      </c>
      <c r="BK2195">
        <f t="shared" si="2321"/>
        <v>336</v>
      </c>
      <c r="BL2195">
        <f t="shared" si="2322"/>
        <v>332</v>
      </c>
      <c r="BM2195" s="15">
        <f>SUMIFS(BJ$2:BJ2195,K$2:K2195,"=Intermission")+SUMIFS(BJ$2:BJ2195,K$2:K2195,"=Timeout")</f>
        <v>142</v>
      </c>
      <c r="BN2195">
        <f t="shared" si="2323"/>
        <v>2302</v>
      </c>
      <c r="BO2195" s="19">
        <f t="shared" si="2324"/>
        <v>3046</v>
      </c>
      <c r="BP2195">
        <f t="shared" si="2325"/>
        <v>3041</v>
      </c>
      <c r="BQ2195" s="17">
        <f t="shared" si="2326"/>
        <v>3050</v>
      </c>
      <c r="BR2195" t="str">
        <f t="shared" si="2327"/>
        <v>event_team_player_1</v>
      </c>
      <c r="BS2195">
        <f>COUNTIFS(S$3:S2195,"="&amp;S2195,AI$3:AI2195,"="&amp;AI2195)</f>
        <v>1</v>
      </c>
      <c r="BT2195" t="str">
        <f>IFERROR(VLOOKUP(BB2195&amp;BU2195&amp;X2195,game_rosters!U:W,3,FALSE),"")</f>
        <v>P100119</v>
      </c>
      <c r="BU2195" t="str">
        <f t="shared" si="2328"/>
        <v>Nelson</v>
      </c>
    </row>
    <row r="2196" spans="1:73" x14ac:dyDescent="0.2">
      <c r="A2196">
        <f t="shared" si="2314"/>
        <v>1</v>
      </c>
      <c r="J2196" s="44" t="str">
        <f t="shared" si="2329"/>
        <v/>
      </c>
      <c r="K2196" t="s">
        <v>13</v>
      </c>
      <c r="L2196" t="s">
        <v>756</v>
      </c>
      <c r="M2196" t="s">
        <v>756</v>
      </c>
      <c r="S2196">
        <v>1165</v>
      </c>
      <c r="W2196" t="str">
        <f t="shared" si="2305"/>
        <v>h</v>
      </c>
      <c r="X2196">
        <v>14</v>
      </c>
      <c r="Y2196" t="e">
        <f>IF(X2196&lt;&gt;"",VLOOKUP(X2196,game_rosters!$C$43:$E$64,3,FALSE))</f>
        <v>#N/A</v>
      </c>
      <c r="Z2196" t="str" cm="1">
        <f t="array" ref="Z2196">IFERROR(IF(_xlfn._xlws.FILTER(game_rosters!$J:$J,(game_rosters!$G:$G=events!$AN2196)*(game_rosters!$J:$J=events!$X2196))&gt;0,1,""),"")</f>
        <v/>
      </c>
      <c r="AA2196">
        <f t="shared" si="2263"/>
        <v>2165</v>
      </c>
      <c r="AB2196" t="str">
        <f t="shared" si="2264"/>
        <v/>
      </c>
      <c r="AC2196">
        <f t="shared" si="2302"/>
        <v>2165</v>
      </c>
      <c r="AD2196" s="6">
        <v>3</v>
      </c>
      <c r="AE2196" t="s">
        <v>752</v>
      </c>
      <c r="AF2196" t="s">
        <v>904</v>
      </c>
      <c r="AG2196" t="s">
        <v>752</v>
      </c>
      <c r="AH2196" t="s">
        <v>905</v>
      </c>
      <c r="AI2196" t="s">
        <v>368</v>
      </c>
      <c r="AJ2196" t="str">
        <f t="shared" ref="AJ2196:AK2196" si="2344">IF($J2196&lt;&gt;"",$J2196,IF($AC2196=$AC2195,AJ2195,""))</f>
        <v/>
      </c>
      <c r="AK2196" t="str">
        <f t="shared" si="2344"/>
        <v/>
      </c>
      <c r="AL2196" t="str">
        <f t="shared" si="2307"/>
        <v/>
      </c>
      <c r="AN2196" t="s">
        <v>861</v>
      </c>
      <c r="AO2196" t="str">
        <f t="shared" si="2308"/>
        <v>h</v>
      </c>
      <c r="AP2196" t="str">
        <f t="shared" si="2316"/>
        <v/>
      </c>
      <c r="AQ2196" t="str">
        <f t="shared" si="2317"/>
        <v/>
      </c>
      <c r="AR2196" t="str">
        <f t="shared" si="2318"/>
        <v>Home</v>
      </c>
      <c r="AS2196" t="str">
        <f t="shared" si="2319"/>
        <v>h</v>
      </c>
      <c r="AT2196" t="str">
        <f t="shared" si="2320"/>
        <v>Defensive</v>
      </c>
      <c r="BA2196" s="6">
        <f t="shared" si="2309"/>
        <v>501</v>
      </c>
      <c r="BB2196">
        <f t="shared" si="2310"/>
        <v>18981</v>
      </c>
      <c r="BC2196" t="str">
        <f t="shared" si="2311"/>
        <v>Nelson</v>
      </c>
      <c r="BD2196" t="str">
        <f t="shared" si="2312"/>
        <v>Velodrome</v>
      </c>
      <c r="BE2196" t="s">
        <v>13</v>
      </c>
      <c r="BF2196" t="s">
        <v>756</v>
      </c>
      <c r="BG2196" t="s">
        <v>756</v>
      </c>
      <c r="BI2196" cm="1">
        <f t="array" ref="BI2196">IFERROR(_xlfn._xlws.FILTER(shifts!A:A,(shifts!B:B=events!AD2196)*(shifts!AG:AG&gt;=events!BK2196)*(shifts!AH:AH&lt;=events!BL2196)),BI2195)</f>
        <v>98</v>
      </c>
      <c r="BJ2196" s="15">
        <f t="shared" si="2313"/>
        <v>4</v>
      </c>
      <c r="BK2196">
        <f t="shared" si="2321"/>
        <v>336</v>
      </c>
      <c r="BL2196">
        <f t="shared" si="2322"/>
        <v>332</v>
      </c>
      <c r="BM2196" s="15">
        <f>SUMIFS(BJ$2:BJ2196,K$2:K2196,"=Intermission")+SUMIFS(BJ$2:BJ2196,K$2:K2196,"=Timeout")</f>
        <v>142</v>
      </c>
      <c r="BN2196">
        <f t="shared" si="2323"/>
        <v>2302</v>
      </c>
      <c r="BO2196" s="19">
        <f t="shared" si="2324"/>
        <v>3046</v>
      </c>
      <c r="BP2196">
        <f t="shared" si="2325"/>
        <v>3041</v>
      </c>
      <c r="BQ2196" s="17">
        <f t="shared" si="2326"/>
        <v>3050</v>
      </c>
      <c r="BR2196" t="str">
        <f t="shared" si="2327"/>
        <v>opp_team_player_1</v>
      </c>
      <c r="BS2196">
        <f>COUNTIFS(S$3:S2196,"="&amp;S2196,AI$3:AI2196,"="&amp;AI2196)</f>
        <v>1</v>
      </c>
      <c r="BT2196" t="str">
        <f>IFERROR(VLOOKUP(BB2196&amp;BU2196&amp;X2196,game_rosters!U:W,3,FALSE),"")</f>
        <v>P100132</v>
      </c>
      <c r="BU2196" t="str">
        <f t="shared" si="2328"/>
        <v>Velodrome</v>
      </c>
    </row>
    <row r="2197" spans="1:73" x14ac:dyDescent="0.2">
      <c r="A2197">
        <f t="shared" si="2314"/>
        <v>1</v>
      </c>
      <c r="J2197" s="44" t="str">
        <f t="shared" si="2329"/>
        <v>d</v>
      </c>
      <c r="K2197" t="s">
        <v>238</v>
      </c>
      <c r="L2197" t="s">
        <v>184</v>
      </c>
      <c r="M2197" t="s">
        <v>88</v>
      </c>
      <c r="S2197">
        <v>1166</v>
      </c>
      <c r="W2197" t="str">
        <f t="shared" si="2305"/>
        <v>h</v>
      </c>
      <c r="X2197">
        <v>37</v>
      </c>
      <c r="Y2197" t="b">
        <f>IF(X2197&lt;&gt;"",VLOOKUP(X2197,game_rosters!$C$43:$E$64,3,FALSE))</f>
        <v>0</v>
      </c>
      <c r="Z2197" cm="1">
        <f t="array" ref="Z2197">IFERROR(IF(_xlfn._xlws.FILTER(game_rosters!$J:$J,(game_rosters!$G:$G=events!$AN2197)*(game_rosters!$J:$J=events!$X2197))&gt;0,1,""),"")</f>
        <v>1</v>
      </c>
      <c r="AA2197">
        <f t="shared" si="2263"/>
        <v>2166</v>
      </c>
      <c r="AB2197" t="str">
        <f t="shared" si="2264"/>
        <v/>
      </c>
      <c r="AC2197">
        <f t="shared" si="2302"/>
        <v>2166</v>
      </c>
      <c r="AD2197" s="6">
        <v>3</v>
      </c>
      <c r="AE2197" t="s">
        <v>752</v>
      </c>
      <c r="AF2197" t="s">
        <v>905</v>
      </c>
      <c r="AG2197" t="s">
        <v>752</v>
      </c>
      <c r="AH2197" t="s">
        <v>906</v>
      </c>
      <c r="AI2197" t="s">
        <v>367</v>
      </c>
      <c r="AJ2197" t="str">
        <f t="shared" ref="AJ2197:AK2197" si="2345">IF($J2197&lt;&gt;"",$J2197,IF($AC2197=$AC2196,AJ2196,""))</f>
        <v>d</v>
      </c>
      <c r="AK2197" t="str">
        <f t="shared" si="2345"/>
        <v>d</v>
      </c>
      <c r="AL2197" t="str">
        <f t="shared" si="2307"/>
        <v>d</v>
      </c>
      <c r="AN2197" t="s">
        <v>861</v>
      </c>
      <c r="AO2197" t="str">
        <f t="shared" si="2308"/>
        <v>h</v>
      </c>
      <c r="AP2197" t="str">
        <f t="shared" si="2316"/>
        <v>d</v>
      </c>
      <c r="AQ2197" t="str">
        <f t="shared" si="2317"/>
        <v/>
      </c>
      <c r="AR2197" t="str">
        <f t="shared" si="2318"/>
        <v>Home</v>
      </c>
      <c r="AS2197" t="str">
        <f t="shared" si="2319"/>
        <v>h</v>
      </c>
      <c r="AT2197" t="str">
        <f t="shared" si="2320"/>
        <v>Offensive</v>
      </c>
      <c r="BA2197" s="6">
        <f t="shared" si="2309"/>
        <v>502</v>
      </c>
      <c r="BB2197">
        <f t="shared" si="2310"/>
        <v>18981</v>
      </c>
      <c r="BC2197" t="str">
        <f t="shared" si="2311"/>
        <v>Nelson</v>
      </c>
      <c r="BD2197" t="str">
        <f t="shared" si="2312"/>
        <v>Velodrome</v>
      </c>
      <c r="BE2197" t="s">
        <v>238</v>
      </c>
      <c r="BF2197" t="s">
        <v>184</v>
      </c>
      <c r="BG2197" t="s">
        <v>88</v>
      </c>
      <c r="BI2197" cm="1">
        <f t="array" ref="BI2197">IFERROR(_xlfn._xlws.FILTER(shifts!A:A,(shifts!B:B=events!AD2197)*(shifts!AG:AG&gt;=events!BK2197)*(shifts!AH:AH&lt;=events!BL2197)),BI2196)</f>
        <v>98</v>
      </c>
      <c r="BJ2197" s="15">
        <f t="shared" si="2313"/>
        <v>3</v>
      </c>
      <c r="BK2197">
        <f t="shared" si="2321"/>
        <v>332</v>
      </c>
      <c r="BL2197">
        <f t="shared" si="2322"/>
        <v>329</v>
      </c>
      <c r="BM2197" s="15">
        <f>SUMIFS(BJ$2:BJ2197,K$2:K2197,"=Intermission")+SUMIFS(BJ$2:BJ2197,K$2:K2197,"=Timeout")</f>
        <v>142</v>
      </c>
      <c r="BN2197">
        <f t="shared" si="2323"/>
        <v>2302</v>
      </c>
      <c r="BO2197" s="19">
        <f t="shared" si="2324"/>
        <v>3050</v>
      </c>
      <c r="BP2197">
        <f t="shared" si="2325"/>
        <v>3045</v>
      </c>
      <c r="BQ2197" s="17">
        <f t="shared" si="2326"/>
        <v>3053</v>
      </c>
      <c r="BR2197" t="str">
        <f t="shared" si="2327"/>
        <v>event_team_player_1</v>
      </c>
      <c r="BS2197">
        <f>COUNTIFS(S$3:S2197,"="&amp;S2197,AI$3:AI2197,"="&amp;AI2197)</f>
        <v>1</v>
      </c>
      <c r="BT2197" t="str">
        <f>IFERROR(VLOOKUP(BB2197&amp;BU2197&amp;X2197,game_rosters!U:W,3,FALSE),"")</f>
        <v>P100119</v>
      </c>
      <c r="BU2197" t="str">
        <f t="shared" si="2328"/>
        <v>Nelson</v>
      </c>
    </row>
    <row r="2198" spans="1:73" x14ac:dyDescent="0.2">
      <c r="A2198">
        <f t="shared" si="2314"/>
        <v>1</v>
      </c>
      <c r="J2198" s="44" t="str">
        <f t="shared" si="2329"/>
        <v>d</v>
      </c>
      <c r="K2198" t="s">
        <v>238</v>
      </c>
      <c r="L2198" t="s">
        <v>184</v>
      </c>
      <c r="M2198" t="s">
        <v>88</v>
      </c>
      <c r="S2198">
        <v>1166</v>
      </c>
      <c r="W2198" t="str">
        <f t="shared" si="2305"/>
        <v>h</v>
      </c>
      <c r="X2198">
        <v>14</v>
      </c>
      <c r="Y2198" t="e">
        <f>IF(X2198&lt;&gt;"",VLOOKUP(X2198,game_rosters!$C$43:$E$64,3,FALSE))</f>
        <v>#N/A</v>
      </c>
      <c r="Z2198" t="str" cm="1">
        <f t="array" ref="Z2198">IFERROR(IF(_xlfn._xlws.FILTER(game_rosters!$J:$J,(game_rosters!$G:$G=events!$AN2198)*(game_rosters!$J:$J=events!$X2198))&gt;0,1,""),"")</f>
        <v/>
      </c>
      <c r="AA2198">
        <f t="shared" si="2263"/>
        <v>2166</v>
      </c>
      <c r="AB2198" t="str">
        <f t="shared" si="2264"/>
        <v/>
      </c>
      <c r="AC2198">
        <f t="shared" si="2302"/>
        <v>2166</v>
      </c>
      <c r="AD2198" s="6">
        <v>3</v>
      </c>
      <c r="AE2198" t="s">
        <v>752</v>
      </c>
      <c r="AF2198" t="s">
        <v>905</v>
      </c>
      <c r="AG2198" t="s">
        <v>752</v>
      </c>
      <c r="AH2198" t="s">
        <v>906</v>
      </c>
      <c r="AI2198" t="s">
        <v>368</v>
      </c>
      <c r="AJ2198" t="str">
        <f t="shared" ref="AJ2198:AK2198" si="2346">IF($J2198&lt;&gt;"",$J2198,IF($AC2198=$AC2197,AJ2197,""))</f>
        <v>d</v>
      </c>
      <c r="AK2198" t="str">
        <f t="shared" si="2346"/>
        <v>d</v>
      </c>
      <c r="AL2198" t="str">
        <f t="shared" si="2307"/>
        <v>d</v>
      </c>
      <c r="AN2198" t="s">
        <v>861</v>
      </c>
      <c r="AO2198" t="str">
        <f t="shared" si="2308"/>
        <v>h</v>
      </c>
      <c r="AP2198" t="str">
        <f t="shared" si="2316"/>
        <v>d</v>
      </c>
      <c r="AQ2198" t="str">
        <f t="shared" si="2317"/>
        <v/>
      </c>
      <c r="AR2198" t="str">
        <f t="shared" si="2318"/>
        <v>Home</v>
      </c>
      <c r="AS2198" t="str">
        <f t="shared" si="2319"/>
        <v>h</v>
      </c>
      <c r="AT2198" t="str">
        <f t="shared" si="2320"/>
        <v>Defensive</v>
      </c>
      <c r="BA2198" s="6">
        <f t="shared" si="2309"/>
        <v>503</v>
      </c>
      <c r="BB2198">
        <f t="shared" si="2310"/>
        <v>18981</v>
      </c>
      <c r="BC2198" t="str">
        <f t="shared" si="2311"/>
        <v>Nelson</v>
      </c>
      <c r="BD2198" t="str">
        <f t="shared" si="2312"/>
        <v>Velodrome</v>
      </c>
      <c r="BE2198" t="s">
        <v>238</v>
      </c>
      <c r="BF2198" t="s">
        <v>184</v>
      </c>
      <c r="BG2198" t="s">
        <v>88</v>
      </c>
      <c r="BI2198" cm="1">
        <f t="array" ref="BI2198">IFERROR(_xlfn._xlws.FILTER(shifts!A:A,(shifts!B:B=events!AD2198)*(shifts!AG:AG&gt;=events!BK2198)*(shifts!AH:AH&lt;=events!BL2198)),BI2197)</f>
        <v>98</v>
      </c>
      <c r="BJ2198" s="15">
        <f t="shared" si="2313"/>
        <v>3</v>
      </c>
      <c r="BK2198">
        <f t="shared" si="2321"/>
        <v>332</v>
      </c>
      <c r="BL2198">
        <f t="shared" si="2322"/>
        <v>329</v>
      </c>
      <c r="BM2198" s="15">
        <f>SUMIFS(BJ$2:BJ2198,K$2:K2198,"=Intermission")+SUMIFS(BJ$2:BJ2198,K$2:K2198,"=Timeout")</f>
        <v>142</v>
      </c>
      <c r="BN2198">
        <f t="shared" si="2323"/>
        <v>2302</v>
      </c>
      <c r="BO2198" s="19">
        <f t="shared" si="2324"/>
        <v>3050</v>
      </c>
      <c r="BP2198">
        <f t="shared" si="2325"/>
        <v>3045</v>
      </c>
      <c r="BQ2198" s="17">
        <f t="shared" si="2326"/>
        <v>3053</v>
      </c>
      <c r="BR2198" t="str">
        <f t="shared" si="2327"/>
        <v>opp_team_player_1</v>
      </c>
      <c r="BS2198">
        <f>COUNTIFS(S$3:S2198,"="&amp;S2198,AI$3:AI2198,"="&amp;AI2198)</f>
        <v>1</v>
      </c>
      <c r="BT2198" t="str">
        <f>IFERROR(VLOOKUP(BB2198&amp;BU2198&amp;X2198,game_rosters!U:W,3,FALSE),"")</f>
        <v>P100132</v>
      </c>
      <c r="BU2198" t="str">
        <f t="shared" si="2328"/>
        <v>Velodrome</v>
      </c>
    </row>
    <row r="2199" spans="1:73" x14ac:dyDescent="0.2">
      <c r="A2199">
        <f t="shared" si="2314"/>
        <v>1</v>
      </c>
      <c r="J2199" s="44" t="str">
        <f t="shared" si="2329"/>
        <v/>
      </c>
      <c r="K2199" t="s">
        <v>13</v>
      </c>
      <c r="L2199" t="s">
        <v>756</v>
      </c>
      <c r="M2199" t="s">
        <v>756</v>
      </c>
      <c r="S2199">
        <v>1167</v>
      </c>
      <c r="W2199" t="str">
        <f t="shared" si="2305"/>
        <v>h</v>
      </c>
      <c r="X2199">
        <v>37</v>
      </c>
      <c r="Y2199" t="b">
        <f>IF(X2199&lt;&gt;"",VLOOKUP(X2199,game_rosters!$C$43:$E$64,3,FALSE))</f>
        <v>0</v>
      </c>
      <c r="Z2199" cm="1">
        <f t="array" ref="Z2199">IFERROR(IF(_xlfn._xlws.FILTER(game_rosters!$J:$J,(game_rosters!$G:$G=events!$AN2199)*(game_rosters!$J:$J=events!$X2199))&gt;0,1,""),"")</f>
        <v>1</v>
      </c>
      <c r="AA2199">
        <f t="shared" si="2263"/>
        <v>2167</v>
      </c>
      <c r="AB2199" t="str">
        <f t="shared" si="2264"/>
        <v/>
      </c>
      <c r="AC2199">
        <f t="shared" si="2302"/>
        <v>2167</v>
      </c>
      <c r="AD2199" s="6">
        <v>3</v>
      </c>
      <c r="AE2199" t="s">
        <v>752</v>
      </c>
      <c r="AF2199" t="s">
        <v>906</v>
      </c>
      <c r="AG2199" t="s">
        <v>752</v>
      </c>
      <c r="AH2199" t="s">
        <v>916</v>
      </c>
      <c r="AI2199" t="s">
        <v>367</v>
      </c>
      <c r="AJ2199" t="str">
        <f t="shared" ref="AJ2199:AK2199" si="2347">IF($J2199&lt;&gt;"",$J2199,IF($AC2199=$AC2198,AJ2198,""))</f>
        <v/>
      </c>
      <c r="AK2199" t="str">
        <f t="shared" si="2347"/>
        <v/>
      </c>
      <c r="AL2199" t="str">
        <f t="shared" si="2307"/>
        <v/>
      </c>
      <c r="AN2199" t="s">
        <v>861</v>
      </c>
      <c r="AO2199" t="str">
        <f t="shared" si="2308"/>
        <v>h</v>
      </c>
      <c r="AP2199" t="str">
        <f t="shared" si="2316"/>
        <v/>
      </c>
      <c r="AQ2199" t="str">
        <f t="shared" si="2317"/>
        <v/>
      </c>
      <c r="AR2199" t="str">
        <f t="shared" si="2318"/>
        <v>Home</v>
      </c>
      <c r="AS2199" t="str">
        <f t="shared" si="2319"/>
        <v>h</v>
      </c>
      <c r="AT2199" t="str">
        <f t="shared" si="2320"/>
        <v>Offensive</v>
      </c>
      <c r="BA2199" s="6">
        <f t="shared" si="2309"/>
        <v>503</v>
      </c>
      <c r="BB2199">
        <f t="shared" si="2310"/>
        <v>18981</v>
      </c>
      <c r="BC2199" t="str">
        <f t="shared" si="2311"/>
        <v>Nelson</v>
      </c>
      <c r="BD2199" t="str">
        <f t="shared" si="2312"/>
        <v>Velodrome</v>
      </c>
      <c r="BE2199" t="s">
        <v>13</v>
      </c>
      <c r="BF2199" t="s">
        <v>756</v>
      </c>
      <c r="BG2199" t="s">
        <v>756</v>
      </c>
      <c r="BI2199" cm="1">
        <f t="array" ref="BI2199">IFERROR(_xlfn._xlws.FILTER(shifts!A:A,(shifts!B:B=events!AD2199)*(shifts!AG:AG&gt;=events!BK2199)*(shifts!AH:AH&lt;=events!BL2199)),BI2198)</f>
        <v>98</v>
      </c>
      <c r="BJ2199" s="15">
        <f t="shared" si="2313"/>
        <v>2</v>
      </c>
      <c r="BK2199">
        <f t="shared" si="2321"/>
        <v>329</v>
      </c>
      <c r="BL2199">
        <f t="shared" si="2322"/>
        <v>327</v>
      </c>
      <c r="BM2199" s="15">
        <f>SUMIFS(BJ$2:BJ2199,K$2:K2199,"=Intermission")+SUMIFS(BJ$2:BJ2199,K$2:K2199,"=Timeout")</f>
        <v>142</v>
      </c>
      <c r="BN2199">
        <f t="shared" si="2323"/>
        <v>2302</v>
      </c>
      <c r="BO2199" s="19">
        <f t="shared" si="2324"/>
        <v>3053</v>
      </c>
      <c r="BP2199">
        <f t="shared" si="2325"/>
        <v>3048</v>
      </c>
      <c r="BQ2199" s="17">
        <f t="shared" si="2326"/>
        <v>3055</v>
      </c>
      <c r="BR2199" t="str">
        <f t="shared" si="2327"/>
        <v>event_team_player_1</v>
      </c>
      <c r="BS2199">
        <f>COUNTIFS(S$3:S2199,"="&amp;S2199,AI$3:AI2199,"="&amp;AI2199)</f>
        <v>1</v>
      </c>
      <c r="BT2199" t="str">
        <f>IFERROR(VLOOKUP(BB2199&amp;BU2199&amp;X2199,game_rosters!U:W,3,FALSE),"")</f>
        <v>P100119</v>
      </c>
      <c r="BU2199" t="str">
        <f t="shared" si="2328"/>
        <v>Nelson</v>
      </c>
    </row>
    <row r="2200" spans="1:73" x14ac:dyDescent="0.2">
      <c r="A2200">
        <f t="shared" si="2314"/>
        <v>1</v>
      </c>
      <c r="J2200" s="44" t="str">
        <f t="shared" si="2329"/>
        <v>o</v>
      </c>
      <c r="K2200" t="s">
        <v>238</v>
      </c>
      <c r="L2200" t="s">
        <v>174</v>
      </c>
      <c r="M2200" t="s">
        <v>85</v>
      </c>
      <c r="S2200">
        <v>1168</v>
      </c>
      <c r="W2200" t="str">
        <f t="shared" si="2305"/>
        <v>h</v>
      </c>
      <c r="X2200">
        <v>37</v>
      </c>
      <c r="Y2200" t="b">
        <f>IF(X2200&lt;&gt;"",VLOOKUP(X2200,game_rosters!$C$43:$E$64,3,FALSE))</f>
        <v>0</v>
      </c>
      <c r="Z2200" cm="1">
        <f t="array" ref="Z2200">IFERROR(IF(_xlfn._xlws.FILTER(game_rosters!$J:$J,(game_rosters!$G:$G=events!$AN2200)*(game_rosters!$J:$J=events!$X2200))&gt;0,1,""),"")</f>
        <v>1</v>
      </c>
      <c r="AA2200">
        <f t="shared" si="2263"/>
        <v>2168</v>
      </c>
      <c r="AB2200" t="str">
        <f t="shared" si="2264"/>
        <v/>
      </c>
      <c r="AC2200">
        <f t="shared" si="2302"/>
        <v>2168</v>
      </c>
      <c r="AD2200" s="6">
        <v>3</v>
      </c>
      <c r="AE2200" t="s">
        <v>752</v>
      </c>
      <c r="AF2200" t="s">
        <v>916</v>
      </c>
      <c r="AG2200" t="s">
        <v>752</v>
      </c>
      <c r="AH2200" t="s">
        <v>907</v>
      </c>
      <c r="AI2200" t="s">
        <v>367</v>
      </c>
      <c r="AJ2200" t="str">
        <f t="shared" ref="AJ2200:AK2200" si="2348">IF($J2200&lt;&gt;"",$J2200,IF($AC2200=$AC2199,AJ2199,""))</f>
        <v>o</v>
      </c>
      <c r="AK2200" t="str">
        <f t="shared" si="2348"/>
        <v>o</v>
      </c>
      <c r="AL2200" t="str">
        <f t="shared" si="2307"/>
        <v>o</v>
      </c>
      <c r="AN2200" t="s">
        <v>861</v>
      </c>
      <c r="AO2200" t="str">
        <f t="shared" si="2308"/>
        <v>h</v>
      </c>
      <c r="AP2200" t="str">
        <f t="shared" si="2316"/>
        <v>o</v>
      </c>
      <c r="AQ2200" t="str">
        <f t="shared" si="2317"/>
        <v/>
      </c>
      <c r="AR2200" t="str">
        <f t="shared" si="2318"/>
        <v>Home</v>
      </c>
      <c r="AS2200" t="str">
        <f t="shared" si="2319"/>
        <v>h</v>
      </c>
      <c r="AT2200" t="str">
        <f t="shared" si="2320"/>
        <v>Offensive</v>
      </c>
      <c r="BA2200" s="6">
        <f t="shared" si="2309"/>
        <v>504</v>
      </c>
      <c r="BB2200">
        <f t="shared" si="2310"/>
        <v>18981</v>
      </c>
      <c r="BC2200" t="str">
        <f t="shared" si="2311"/>
        <v>Nelson</v>
      </c>
      <c r="BD2200" t="str">
        <f t="shared" si="2312"/>
        <v>Velodrome</v>
      </c>
      <c r="BE2200" t="s">
        <v>238</v>
      </c>
      <c r="BF2200" t="s">
        <v>174</v>
      </c>
      <c r="BG2200" t="s">
        <v>85</v>
      </c>
      <c r="BI2200" cm="1">
        <f t="array" ref="BI2200">IFERROR(_xlfn._xlws.FILTER(shifts!A:A,(shifts!B:B=events!AD2200)*(shifts!AG:AG&gt;=events!BK2200)*(shifts!AH:AH&lt;=events!BL2200)),BI2199)</f>
        <v>98</v>
      </c>
      <c r="BJ2200" s="15">
        <f t="shared" si="2313"/>
        <v>3</v>
      </c>
      <c r="BK2200">
        <f t="shared" si="2321"/>
        <v>327</v>
      </c>
      <c r="BL2200">
        <f t="shared" si="2322"/>
        <v>324</v>
      </c>
      <c r="BM2200" s="15">
        <f>SUMIFS(BJ$2:BJ2200,K$2:K2200,"=Intermission")+SUMIFS(BJ$2:BJ2200,K$2:K2200,"=Timeout")</f>
        <v>142</v>
      </c>
      <c r="BN2200">
        <f t="shared" si="2323"/>
        <v>2302</v>
      </c>
      <c r="BO2200" s="19">
        <f t="shared" si="2324"/>
        <v>3055</v>
      </c>
      <c r="BP2200">
        <f t="shared" si="2325"/>
        <v>3050</v>
      </c>
      <c r="BQ2200" s="17">
        <f t="shared" si="2326"/>
        <v>3058</v>
      </c>
      <c r="BR2200" t="str">
        <f t="shared" si="2327"/>
        <v>event_team_player_1</v>
      </c>
      <c r="BS2200">
        <f>COUNTIFS(S$3:S2200,"="&amp;S2200,AI$3:AI2200,"="&amp;AI2200)</f>
        <v>1</v>
      </c>
      <c r="BT2200" t="str">
        <f>IFERROR(VLOOKUP(BB2200&amp;BU2200&amp;X2200,game_rosters!U:W,3,FALSE),"")</f>
        <v>P100119</v>
      </c>
      <c r="BU2200" t="str">
        <f t="shared" si="2328"/>
        <v>Nelson</v>
      </c>
    </row>
    <row r="2201" spans="1:73" x14ac:dyDescent="0.2">
      <c r="A2201">
        <f t="shared" si="2314"/>
        <v>1</v>
      </c>
      <c r="J2201" s="44" t="str">
        <f t="shared" si="2329"/>
        <v>o</v>
      </c>
      <c r="K2201" t="s">
        <v>238</v>
      </c>
      <c r="L2201" t="s">
        <v>174</v>
      </c>
      <c r="M2201" t="s">
        <v>85</v>
      </c>
      <c r="S2201">
        <v>1168</v>
      </c>
      <c r="W2201" t="str">
        <f t="shared" si="2305"/>
        <v>h</v>
      </c>
      <c r="X2201">
        <v>52</v>
      </c>
      <c r="Y2201" t="e">
        <f>IF(X2201&lt;&gt;"",VLOOKUP(X2201,game_rosters!$C$43:$E$64,3,FALSE))</f>
        <v>#N/A</v>
      </c>
      <c r="Z2201" t="str" cm="1">
        <f t="array" ref="Z2201">IFERROR(IF(_xlfn._xlws.FILTER(game_rosters!$J:$J,(game_rosters!$G:$G=events!$AN2201)*(game_rosters!$J:$J=events!$X2201))&gt;0,1,""),"")</f>
        <v/>
      </c>
      <c r="AA2201">
        <f t="shared" si="2263"/>
        <v>2168</v>
      </c>
      <c r="AB2201" t="str">
        <f t="shared" si="2264"/>
        <v/>
      </c>
      <c r="AC2201">
        <f t="shared" si="2302"/>
        <v>2168</v>
      </c>
      <c r="AD2201" s="6">
        <v>3</v>
      </c>
      <c r="AE2201" t="s">
        <v>752</v>
      </c>
      <c r="AF2201" t="s">
        <v>916</v>
      </c>
      <c r="AG2201" t="s">
        <v>752</v>
      </c>
      <c r="AH2201" t="s">
        <v>907</v>
      </c>
      <c r="AI2201" t="s">
        <v>368</v>
      </c>
      <c r="AJ2201" t="str">
        <f t="shared" ref="AJ2201:AK2201" si="2349">IF($J2201&lt;&gt;"",$J2201,IF($AC2201=$AC2200,AJ2200,""))</f>
        <v>o</v>
      </c>
      <c r="AK2201" t="str">
        <f t="shared" si="2349"/>
        <v>o</v>
      </c>
      <c r="AL2201" t="str">
        <f t="shared" si="2307"/>
        <v>o</v>
      </c>
      <c r="AN2201" t="s">
        <v>861</v>
      </c>
      <c r="AO2201" t="str">
        <f t="shared" si="2308"/>
        <v>h</v>
      </c>
      <c r="AP2201" t="str">
        <f t="shared" si="2316"/>
        <v>o</v>
      </c>
      <c r="AQ2201" t="str">
        <f t="shared" si="2317"/>
        <v/>
      </c>
      <c r="AR2201" t="str">
        <f t="shared" si="2318"/>
        <v>Home</v>
      </c>
      <c r="AS2201" t="str">
        <f t="shared" si="2319"/>
        <v>h</v>
      </c>
      <c r="AT2201" t="str">
        <f t="shared" si="2320"/>
        <v>Defensive</v>
      </c>
      <c r="BA2201" s="6">
        <f t="shared" si="2309"/>
        <v>505</v>
      </c>
      <c r="BB2201">
        <f t="shared" si="2310"/>
        <v>18981</v>
      </c>
      <c r="BC2201" t="str">
        <f t="shared" si="2311"/>
        <v>Nelson</v>
      </c>
      <c r="BD2201" t="str">
        <f t="shared" si="2312"/>
        <v>Velodrome</v>
      </c>
      <c r="BE2201" t="s">
        <v>238</v>
      </c>
      <c r="BF2201" t="s">
        <v>174</v>
      </c>
      <c r="BG2201" t="s">
        <v>85</v>
      </c>
      <c r="BI2201" cm="1">
        <f t="array" ref="BI2201">IFERROR(_xlfn._xlws.FILTER(shifts!A:A,(shifts!B:B=events!AD2201)*(shifts!AG:AG&gt;=events!BK2201)*(shifts!AH:AH&lt;=events!BL2201)),BI2200)</f>
        <v>98</v>
      </c>
      <c r="BJ2201" s="15">
        <f t="shared" si="2313"/>
        <v>3</v>
      </c>
      <c r="BK2201">
        <f t="shared" si="2321"/>
        <v>327</v>
      </c>
      <c r="BL2201">
        <f t="shared" si="2322"/>
        <v>324</v>
      </c>
      <c r="BM2201" s="15">
        <f>SUMIFS(BJ$2:BJ2201,K$2:K2201,"=Intermission")+SUMIFS(BJ$2:BJ2201,K$2:K2201,"=Timeout")</f>
        <v>142</v>
      </c>
      <c r="BN2201">
        <f t="shared" si="2323"/>
        <v>2302</v>
      </c>
      <c r="BO2201" s="19">
        <f t="shared" si="2324"/>
        <v>3055</v>
      </c>
      <c r="BP2201">
        <f t="shared" si="2325"/>
        <v>3050</v>
      </c>
      <c r="BQ2201" s="17">
        <f t="shared" si="2326"/>
        <v>3058</v>
      </c>
      <c r="BR2201" t="str">
        <f t="shared" si="2327"/>
        <v>opp_team_player_1</v>
      </c>
      <c r="BS2201">
        <f>COUNTIFS(S$3:S2201,"="&amp;S2201,AI$3:AI2201,"="&amp;AI2201)</f>
        <v>1</v>
      </c>
      <c r="BT2201" t="str">
        <f>IFERROR(VLOOKUP(BB2201&amp;BU2201&amp;X2201,game_rosters!U:W,3,FALSE),"")</f>
        <v>P100070</v>
      </c>
      <c r="BU2201" t="str">
        <f t="shared" si="2328"/>
        <v>Velodrome</v>
      </c>
    </row>
    <row r="2202" spans="1:73" x14ac:dyDescent="0.2">
      <c r="A2202">
        <f t="shared" si="2314"/>
        <v>1</v>
      </c>
      <c r="J2202" s="44" t="str">
        <f t="shared" si="2329"/>
        <v>o</v>
      </c>
      <c r="K2202" t="s">
        <v>238</v>
      </c>
      <c r="L2202" t="s">
        <v>174</v>
      </c>
      <c r="M2202" t="s">
        <v>85</v>
      </c>
      <c r="S2202">
        <v>1168</v>
      </c>
      <c r="W2202" t="str">
        <f t="shared" si="2305"/>
        <v>h</v>
      </c>
      <c r="X2202">
        <v>93</v>
      </c>
      <c r="Y2202" t="e">
        <f>IF(X2202&lt;&gt;"",VLOOKUP(X2202,game_rosters!$C$43:$E$64,3,FALSE))</f>
        <v>#N/A</v>
      </c>
      <c r="Z2202" t="str" cm="1">
        <f t="array" ref="Z2202">IFERROR(IF(_xlfn._xlws.FILTER(game_rosters!$J:$J,(game_rosters!$G:$G=events!$AN2202)*(game_rosters!$J:$J=events!$X2202))&gt;0,1,""),"")</f>
        <v/>
      </c>
      <c r="AA2202">
        <f t="shared" si="2263"/>
        <v>2168</v>
      </c>
      <c r="AB2202" t="str">
        <f t="shared" si="2264"/>
        <v/>
      </c>
      <c r="AC2202">
        <f t="shared" si="2302"/>
        <v>2168</v>
      </c>
      <c r="AD2202" s="6">
        <v>3</v>
      </c>
      <c r="AE2202" t="s">
        <v>752</v>
      </c>
      <c r="AF2202" t="s">
        <v>916</v>
      </c>
      <c r="AG2202" t="s">
        <v>752</v>
      </c>
      <c r="AH2202" t="s">
        <v>907</v>
      </c>
      <c r="AI2202" t="s">
        <v>368</v>
      </c>
      <c r="AJ2202" t="str">
        <f t="shared" ref="AJ2202:AK2202" si="2350">IF($J2202&lt;&gt;"",$J2202,IF($AC2202=$AC2201,AJ2201,""))</f>
        <v>o</v>
      </c>
      <c r="AK2202" t="str">
        <f t="shared" si="2350"/>
        <v>o</v>
      </c>
      <c r="AL2202" t="str">
        <f t="shared" si="2307"/>
        <v>o</v>
      </c>
      <c r="AN2202" t="s">
        <v>861</v>
      </c>
      <c r="AO2202" t="str">
        <f t="shared" si="2308"/>
        <v>h</v>
      </c>
      <c r="AP2202" t="str">
        <f t="shared" si="2316"/>
        <v>o</v>
      </c>
      <c r="AQ2202" t="str">
        <f t="shared" si="2317"/>
        <v/>
      </c>
      <c r="AR2202" t="str">
        <f t="shared" si="2318"/>
        <v>Home</v>
      </c>
      <c r="AS2202" t="str">
        <f t="shared" si="2319"/>
        <v>h</v>
      </c>
      <c r="AT2202" t="str">
        <f t="shared" si="2320"/>
        <v>Defensive</v>
      </c>
      <c r="BA2202" s="6">
        <f t="shared" si="2309"/>
        <v>506</v>
      </c>
      <c r="BB2202">
        <f t="shared" si="2310"/>
        <v>18981</v>
      </c>
      <c r="BC2202" t="str">
        <f t="shared" si="2311"/>
        <v>Nelson</v>
      </c>
      <c r="BD2202" t="str">
        <f t="shared" si="2312"/>
        <v>Velodrome</v>
      </c>
      <c r="BE2202" t="s">
        <v>238</v>
      </c>
      <c r="BF2202" t="s">
        <v>174</v>
      </c>
      <c r="BG2202" t="s">
        <v>85</v>
      </c>
      <c r="BI2202" cm="1">
        <f t="array" ref="BI2202">IFERROR(_xlfn._xlws.FILTER(shifts!A:A,(shifts!B:B=events!AD2202)*(shifts!AG:AG&gt;=events!BK2202)*(shifts!AH:AH&lt;=events!BL2202)),BI2201)</f>
        <v>98</v>
      </c>
      <c r="BJ2202" s="15">
        <f t="shared" si="2313"/>
        <v>3</v>
      </c>
      <c r="BK2202">
        <f t="shared" si="2321"/>
        <v>327</v>
      </c>
      <c r="BL2202">
        <f t="shared" si="2322"/>
        <v>324</v>
      </c>
      <c r="BM2202" s="15">
        <f>SUMIFS(BJ$2:BJ2202,K$2:K2202,"=Intermission")+SUMIFS(BJ$2:BJ2202,K$2:K2202,"=Timeout")</f>
        <v>142</v>
      </c>
      <c r="BN2202">
        <f t="shared" si="2323"/>
        <v>2302</v>
      </c>
      <c r="BO2202" s="19">
        <f t="shared" si="2324"/>
        <v>3055</v>
      </c>
      <c r="BP2202">
        <f t="shared" si="2325"/>
        <v>3050</v>
      </c>
      <c r="BQ2202" s="17">
        <f t="shared" si="2326"/>
        <v>3058</v>
      </c>
      <c r="BR2202" t="str">
        <f t="shared" si="2327"/>
        <v>opp_team_player_2</v>
      </c>
      <c r="BS2202">
        <f>COUNTIFS(S$3:S2202,"="&amp;S2202,AI$3:AI2202,"="&amp;AI2202)</f>
        <v>2</v>
      </c>
      <c r="BT2202" t="str">
        <f>IFERROR(VLOOKUP(BB2202&amp;BU2202&amp;X2202,game_rosters!U:W,3,FALSE),"")</f>
        <v>P100093</v>
      </c>
      <c r="BU2202" t="str">
        <f t="shared" si="2328"/>
        <v>Velodrome</v>
      </c>
    </row>
    <row r="2203" spans="1:73" x14ac:dyDescent="0.2">
      <c r="A2203">
        <f t="shared" si="2314"/>
        <v>1</v>
      </c>
      <c r="J2203" s="44" t="str">
        <f t="shared" si="2329"/>
        <v>o</v>
      </c>
      <c r="K2203" t="s">
        <v>6</v>
      </c>
      <c r="L2203" t="s">
        <v>205</v>
      </c>
      <c r="M2203" t="s">
        <v>59</v>
      </c>
      <c r="S2203">
        <v>1169</v>
      </c>
      <c r="W2203" t="str">
        <f t="shared" si="2305"/>
        <v>h</v>
      </c>
      <c r="X2203">
        <v>37</v>
      </c>
      <c r="Y2203" t="b">
        <f>IF(X2203&lt;&gt;"",VLOOKUP(X2203,game_rosters!$C$43:$E$64,3,FALSE))</f>
        <v>0</v>
      </c>
      <c r="Z2203" cm="1">
        <f t="array" ref="Z2203">IFERROR(IF(_xlfn._xlws.FILTER(game_rosters!$J:$J,(game_rosters!$G:$G=events!$AN2203)*(game_rosters!$J:$J=events!$X2203))&gt;0,1,""),"")</f>
        <v>1</v>
      </c>
      <c r="AA2203">
        <f t="shared" si="2263"/>
        <v>2169</v>
      </c>
      <c r="AB2203" t="str">
        <f t="shared" si="2264"/>
        <v/>
      </c>
      <c r="AC2203">
        <f t="shared" si="2302"/>
        <v>2169</v>
      </c>
      <c r="AD2203" s="6">
        <v>3</v>
      </c>
      <c r="AE2203" t="s">
        <v>752</v>
      </c>
      <c r="AF2203" t="s">
        <v>907</v>
      </c>
      <c r="AG2203" t="s">
        <v>756</v>
      </c>
      <c r="AH2203" t="s">
        <v>756</v>
      </c>
      <c r="AI2203" t="s">
        <v>367</v>
      </c>
      <c r="AJ2203" t="str">
        <f t="shared" ref="AJ2203:AK2203" si="2351">IF($J2203&lt;&gt;"",$J2203,IF($AC2203=$AC2202,AJ2202,""))</f>
        <v>o</v>
      </c>
      <c r="AK2203" t="str">
        <f t="shared" si="2351"/>
        <v>o</v>
      </c>
      <c r="AL2203" t="str">
        <f t="shared" si="2307"/>
        <v>o</v>
      </c>
      <c r="AN2203" t="s">
        <v>861</v>
      </c>
      <c r="AO2203" t="str">
        <f t="shared" si="2308"/>
        <v>h</v>
      </c>
      <c r="AP2203" t="str">
        <f t="shared" si="2316"/>
        <v>o</v>
      </c>
      <c r="AQ2203" t="str">
        <f t="shared" si="2317"/>
        <v/>
      </c>
      <c r="AR2203" t="str">
        <f t="shared" si="2318"/>
        <v>Home</v>
      </c>
      <c r="AS2203" t="str">
        <f t="shared" si="2319"/>
        <v>h</v>
      </c>
      <c r="AT2203" t="str">
        <f t="shared" si="2320"/>
        <v>Offensive</v>
      </c>
      <c r="BA2203" s="6">
        <f t="shared" si="2309"/>
        <v>506</v>
      </c>
      <c r="BB2203">
        <f t="shared" si="2310"/>
        <v>18981</v>
      </c>
      <c r="BC2203" t="str">
        <f t="shared" si="2311"/>
        <v>Nelson</v>
      </c>
      <c r="BD2203" t="str">
        <f t="shared" si="2312"/>
        <v>Velodrome</v>
      </c>
      <c r="BE2203" t="s">
        <v>6</v>
      </c>
      <c r="BF2203" t="s">
        <v>205</v>
      </c>
      <c r="BG2203" t="s">
        <v>59</v>
      </c>
      <c r="BI2203" cm="1">
        <f t="array" ref="BI2203">IFERROR(_xlfn._xlws.FILTER(shifts!A:A,(shifts!B:B=events!AD2203)*(shifts!AG:AG&gt;=events!BK2203)*(shifts!AH:AH&lt;=events!BL2203)),BI2202)</f>
        <v>98</v>
      </c>
      <c r="BJ2203" s="15">
        <f t="shared" si="2313"/>
        <v>0</v>
      </c>
      <c r="BK2203">
        <f t="shared" si="2321"/>
        <v>324</v>
      </c>
      <c r="BL2203">
        <f t="shared" si="2322"/>
        <v>324</v>
      </c>
      <c r="BM2203" s="15">
        <f>SUMIFS(BJ$2:BJ2203,K$2:K2203,"=Intermission")+SUMIFS(BJ$2:BJ2203,K$2:K2203,"=Timeout")</f>
        <v>142</v>
      </c>
      <c r="BN2203">
        <f t="shared" si="2323"/>
        <v>2302</v>
      </c>
      <c r="BO2203" s="19">
        <f t="shared" si="2324"/>
        <v>3058</v>
      </c>
      <c r="BP2203">
        <f t="shared" si="2325"/>
        <v>3053</v>
      </c>
      <c r="BQ2203" s="17">
        <f t="shared" si="2326"/>
        <v>3058</v>
      </c>
      <c r="BR2203" t="str">
        <f t="shared" si="2327"/>
        <v>event_team_player_1</v>
      </c>
      <c r="BS2203">
        <f>COUNTIFS(S$3:S2203,"="&amp;S2203,AI$3:AI2203,"="&amp;AI2203)</f>
        <v>1</v>
      </c>
      <c r="BT2203" t="str">
        <f>IFERROR(VLOOKUP(BB2203&amp;BU2203&amp;X2203,game_rosters!U:W,3,FALSE),"")</f>
        <v>P100119</v>
      </c>
      <c r="BU2203" t="str">
        <f t="shared" si="2328"/>
        <v>Nelson</v>
      </c>
    </row>
    <row r="2204" spans="1:73" x14ac:dyDescent="0.2">
      <c r="A2204">
        <f t="shared" si="2314"/>
        <v>1</v>
      </c>
      <c r="J2204" s="44" t="str">
        <f t="shared" si="2329"/>
        <v>o</v>
      </c>
      <c r="K2204" t="s">
        <v>6</v>
      </c>
      <c r="L2204" t="s">
        <v>205</v>
      </c>
      <c r="M2204" t="s">
        <v>59</v>
      </c>
      <c r="S2204">
        <v>1169</v>
      </c>
      <c r="W2204" t="str">
        <f t="shared" si="2305"/>
        <v>h</v>
      </c>
      <c r="X2204">
        <v>39</v>
      </c>
      <c r="Y2204" t="e">
        <f>IF(X2204&lt;&gt;"",VLOOKUP(X2204,game_rosters!$C$43:$E$64,3,FALSE))</f>
        <v>#N/A</v>
      </c>
      <c r="Z2204" t="str" cm="1">
        <f t="array" ref="Z2204">IFERROR(IF(_xlfn._xlws.FILTER(game_rosters!$J:$J,(game_rosters!$G:$G=events!$AN2204)*(game_rosters!$J:$J=events!$X2204))&gt;0,1,""),"")</f>
        <v/>
      </c>
      <c r="AA2204">
        <f t="shared" si="2263"/>
        <v>2169</v>
      </c>
      <c r="AB2204" t="str">
        <f t="shared" si="2264"/>
        <v/>
      </c>
      <c r="AC2204">
        <f t="shared" si="2302"/>
        <v>2169</v>
      </c>
      <c r="AD2204" s="6">
        <v>3</v>
      </c>
      <c r="AE2204" t="s">
        <v>752</v>
      </c>
      <c r="AF2204" t="s">
        <v>907</v>
      </c>
      <c r="AG2204" t="s">
        <v>756</v>
      </c>
      <c r="AH2204" t="s">
        <v>756</v>
      </c>
      <c r="AI2204" t="s">
        <v>368</v>
      </c>
      <c r="AJ2204" t="str">
        <f t="shared" ref="AJ2204:AK2204" si="2352">IF($J2204&lt;&gt;"",$J2204,IF($AC2204=$AC2203,AJ2203,""))</f>
        <v>o</v>
      </c>
      <c r="AK2204" t="str">
        <f t="shared" si="2352"/>
        <v>o</v>
      </c>
      <c r="AL2204" t="str">
        <f t="shared" si="2307"/>
        <v>o</v>
      </c>
      <c r="AN2204" t="s">
        <v>861</v>
      </c>
      <c r="AO2204" t="str">
        <f t="shared" si="2308"/>
        <v>h</v>
      </c>
      <c r="AP2204" t="str">
        <f t="shared" si="2316"/>
        <v>o</v>
      </c>
      <c r="AQ2204" t="str">
        <f t="shared" si="2317"/>
        <v/>
      </c>
      <c r="AR2204" t="str">
        <f t="shared" si="2318"/>
        <v>Home</v>
      </c>
      <c r="AS2204" t="str">
        <f t="shared" si="2319"/>
        <v>h</v>
      </c>
      <c r="AT2204" t="str">
        <f t="shared" si="2320"/>
        <v>Defensive</v>
      </c>
      <c r="BA2204" s="6">
        <f t="shared" si="2309"/>
        <v>506</v>
      </c>
      <c r="BB2204">
        <f t="shared" si="2310"/>
        <v>18981</v>
      </c>
      <c r="BC2204" t="str">
        <f t="shared" si="2311"/>
        <v>Nelson</v>
      </c>
      <c r="BD2204" t="str">
        <f t="shared" si="2312"/>
        <v>Velodrome</v>
      </c>
      <c r="BE2204" t="s">
        <v>6</v>
      </c>
      <c r="BF2204" t="s">
        <v>205</v>
      </c>
      <c r="BG2204" t="s">
        <v>59</v>
      </c>
      <c r="BI2204" cm="1">
        <f t="array" ref="BI2204">IFERROR(_xlfn._xlws.FILTER(shifts!A:A,(shifts!B:B=events!AD2204)*(shifts!AG:AG&gt;=events!BK2204)*(shifts!AH:AH&lt;=events!BL2204)),BI2203)</f>
        <v>98</v>
      </c>
      <c r="BJ2204" s="15">
        <f t="shared" si="2313"/>
        <v>0</v>
      </c>
      <c r="BK2204">
        <f t="shared" si="2321"/>
        <v>324</v>
      </c>
      <c r="BL2204">
        <f t="shared" si="2322"/>
        <v>324</v>
      </c>
      <c r="BM2204" s="15">
        <f>SUMIFS(BJ$2:BJ2204,K$2:K2204,"=Intermission")+SUMIFS(BJ$2:BJ2204,K$2:K2204,"=Timeout")</f>
        <v>142</v>
      </c>
      <c r="BN2204">
        <f t="shared" si="2323"/>
        <v>2302</v>
      </c>
      <c r="BO2204" s="19">
        <f t="shared" si="2324"/>
        <v>3058</v>
      </c>
      <c r="BP2204">
        <f t="shared" si="2325"/>
        <v>3053</v>
      </c>
      <c r="BQ2204" s="17">
        <f t="shared" si="2326"/>
        <v>3058</v>
      </c>
      <c r="BR2204" t="str">
        <f t="shared" si="2327"/>
        <v>opp_team_player_1</v>
      </c>
      <c r="BS2204">
        <f>COUNTIFS(S$3:S2204,"="&amp;S2204,AI$3:AI2204,"="&amp;AI2204)</f>
        <v>1</v>
      </c>
      <c r="BT2204" t="str">
        <f>IFERROR(VLOOKUP(BB2204&amp;BU2204&amp;X2204,game_rosters!U:W,3,FALSE),"")</f>
        <v>P100016</v>
      </c>
      <c r="BU2204" t="str">
        <f t="shared" si="2328"/>
        <v>Velodrome</v>
      </c>
    </row>
    <row r="2205" spans="1:73" x14ac:dyDescent="0.2">
      <c r="A2205">
        <f t="shared" si="2314"/>
        <v>1</v>
      </c>
      <c r="J2205" s="44" t="str">
        <f t="shared" si="2329"/>
        <v>d</v>
      </c>
      <c r="K2205" t="s">
        <v>15</v>
      </c>
      <c r="L2205" t="s">
        <v>189</v>
      </c>
      <c r="M2205" t="s">
        <v>96</v>
      </c>
      <c r="S2205">
        <v>1170</v>
      </c>
      <c r="W2205" t="str">
        <f t="shared" si="2305"/>
        <v>a</v>
      </c>
      <c r="X2205">
        <v>39</v>
      </c>
      <c r="Y2205" t="e">
        <f>IF(X2205&lt;&gt;"",VLOOKUP(X2205,game_rosters!$C$43:$E$64,3,FALSE))</f>
        <v>#N/A</v>
      </c>
      <c r="Z2205" cm="1">
        <f t="array" ref="Z2205">IFERROR(IF(_xlfn._xlws.FILTER(game_rosters!$J:$J,(game_rosters!$G:$G=events!$AN2205)*(game_rosters!$J:$J=events!$X2205))&gt;0,1,""),"")</f>
        <v>1</v>
      </c>
      <c r="AA2205">
        <f t="shared" ref="AA2205:AA2268" si="2353">S2205+1000</f>
        <v>2170</v>
      </c>
      <c r="AB2205" t="str">
        <f t="shared" ref="AB2205:AB2268" si="2354">IF(T2205&lt;&gt;"",9000+T2205,"")</f>
        <v/>
      </c>
      <c r="AC2205">
        <f t="shared" si="2302"/>
        <v>2170</v>
      </c>
      <c r="AD2205" s="6">
        <v>3</v>
      </c>
      <c r="AE2205" t="s">
        <v>752</v>
      </c>
      <c r="AF2205" t="s">
        <v>907</v>
      </c>
      <c r="AG2205" t="s">
        <v>756</v>
      </c>
      <c r="AH2205" t="s">
        <v>756</v>
      </c>
      <c r="AI2205" t="s">
        <v>367</v>
      </c>
      <c r="AJ2205" t="str">
        <f t="shared" ref="AJ2205:AK2205" si="2355">IF($J2205&lt;&gt;"",$J2205,IF($AC2205=$AC2204,AJ2204,""))</f>
        <v>d</v>
      </c>
      <c r="AK2205" t="str">
        <f t="shared" si="2355"/>
        <v>d</v>
      </c>
      <c r="AL2205" t="str">
        <f t="shared" si="2307"/>
        <v>o</v>
      </c>
      <c r="AN2205" t="s">
        <v>862</v>
      </c>
      <c r="AO2205" t="str">
        <f t="shared" si="2308"/>
        <v>a</v>
      </c>
      <c r="AP2205" t="str">
        <f t="shared" si="2316"/>
        <v>o</v>
      </c>
      <c r="AQ2205" t="str">
        <f t="shared" si="2317"/>
        <v/>
      </c>
      <c r="AR2205" t="str">
        <f t="shared" si="2318"/>
        <v>Away</v>
      </c>
      <c r="AS2205" t="str">
        <f t="shared" si="2319"/>
        <v>a</v>
      </c>
      <c r="AT2205" t="str">
        <f t="shared" si="2320"/>
        <v>Defensive</v>
      </c>
      <c r="BA2205" s="6">
        <f t="shared" si="2309"/>
        <v>506</v>
      </c>
      <c r="BB2205">
        <f t="shared" si="2310"/>
        <v>18981</v>
      </c>
      <c r="BC2205" t="str">
        <f t="shared" si="2311"/>
        <v>Nelson</v>
      </c>
      <c r="BD2205" t="str">
        <f t="shared" si="2312"/>
        <v>Velodrome</v>
      </c>
      <c r="BE2205" t="s">
        <v>15</v>
      </c>
      <c r="BF2205" t="s">
        <v>189</v>
      </c>
      <c r="BG2205" t="s">
        <v>96</v>
      </c>
      <c r="BI2205" cm="1">
        <f t="array" ref="BI2205">IFERROR(_xlfn._xlws.FILTER(shifts!A:A,(shifts!B:B=events!AD2205)*(shifts!AG:AG&gt;=events!BK2205)*(shifts!AH:AH&lt;=events!BL2205)),BI2204)</f>
        <v>98</v>
      </c>
      <c r="BJ2205" s="15">
        <f t="shared" si="2313"/>
        <v>0</v>
      </c>
      <c r="BK2205">
        <f t="shared" si="2321"/>
        <v>324</v>
      </c>
      <c r="BL2205">
        <f t="shared" si="2322"/>
        <v>324</v>
      </c>
      <c r="BM2205" s="15">
        <f>SUMIFS(BJ$2:BJ2205,K$2:K2205,"=Intermission")+SUMIFS(BJ$2:BJ2205,K$2:K2205,"=Timeout")</f>
        <v>142</v>
      </c>
      <c r="BN2205">
        <f t="shared" si="2323"/>
        <v>2302</v>
      </c>
      <c r="BO2205" s="19">
        <f t="shared" si="2324"/>
        <v>3058</v>
      </c>
      <c r="BP2205">
        <f t="shared" si="2325"/>
        <v>3053</v>
      </c>
      <c r="BQ2205" s="17">
        <f t="shared" si="2326"/>
        <v>3058</v>
      </c>
      <c r="BR2205" t="str">
        <f t="shared" si="2327"/>
        <v>event_team_player_1</v>
      </c>
      <c r="BS2205">
        <f>COUNTIFS(S$3:S2205,"="&amp;S2205,AI$3:AI2205,"="&amp;AI2205)</f>
        <v>1</v>
      </c>
      <c r="BT2205" t="str">
        <f>IFERROR(VLOOKUP(BB2205&amp;BU2205&amp;X2205,game_rosters!U:W,3,FALSE),"")</f>
        <v>P100016</v>
      </c>
      <c r="BU2205" t="str">
        <f t="shared" si="2328"/>
        <v>Velodrome</v>
      </c>
    </row>
    <row r="2206" spans="1:73" x14ac:dyDescent="0.2">
      <c r="A2206">
        <f t="shared" si="2314"/>
        <v>1</v>
      </c>
      <c r="J2206" s="44" t="str">
        <f t="shared" si="2329"/>
        <v>d</v>
      </c>
      <c r="K2206" t="s">
        <v>15</v>
      </c>
      <c r="L2206" t="s">
        <v>189</v>
      </c>
      <c r="M2206" t="s">
        <v>96</v>
      </c>
      <c r="S2206">
        <v>1170</v>
      </c>
      <c r="W2206" t="str">
        <f t="shared" si="2305"/>
        <v>a</v>
      </c>
      <c r="X2206">
        <v>37</v>
      </c>
      <c r="Y2206" t="b">
        <f>IF(X2206&lt;&gt;"",VLOOKUP(X2206,game_rosters!$C$43:$E$64,3,FALSE))</f>
        <v>0</v>
      </c>
      <c r="Z2206" t="str" cm="1">
        <f t="array" ref="Z2206">IFERROR(IF(_xlfn._xlws.FILTER(game_rosters!$J:$J,(game_rosters!$G:$G=events!$AN2206)*(game_rosters!$J:$J=events!$X2206))&gt;0,1,""),"")</f>
        <v/>
      </c>
      <c r="AA2206">
        <f t="shared" si="2353"/>
        <v>2170</v>
      </c>
      <c r="AB2206" t="str">
        <f t="shared" si="2354"/>
        <v/>
      </c>
      <c r="AC2206">
        <f t="shared" si="2302"/>
        <v>2170</v>
      </c>
      <c r="AD2206" s="6">
        <v>3</v>
      </c>
      <c r="AE2206" t="s">
        <v>752</v>
      </c>
      <c r="AF2206" t="s">
        <v>907</v>
      </c>
      <c r="AG2206" t="s">
        <v>756</v>
      </c>
      <c r="AH2206" t="s">
        <v>756</v>
      </c>
      <c r="AI2206" t="s">
        <v>368</v>
      </c>
      <c r="AJ2206" t="str">
        <f t="shared" ref="AJ2206:AK2206" si="2356">IF($J2206&lt;&gt;"",$J2206,IF($AC2206=$AC2205,AJ2205,""))</f>
        <v>d</v>
      </c>
      <c r="AK2206" t="str">
        <f t="shared" si="2356"/>
        <v>d</v>
      </c>
      <c r="AL2206" t="str">
        <f t="shared" si="2307"/>
        <v>o</v>
      </c>
      <c r="AN2206" t="s">
        <v>862</v>
      </c>
      <c r="AO2206" t="str">
        <f t="shared" si="2308"/>
        <v>a</v>
      </c>
      <c r="AP2206" t="str">
        <f t="shared" si="2316"/>
        <v>o</v>
      </c>
      <c r="AQ2206" t="str">
        <f t="shared" si="2317"/>
        <v/>
      </c>
      <c r="AR2206" t="str">
        <f t="shared" si="2318"/>
        <v>Away</v>
      </c>
      <c r="AS2206" t="str">
        <f t="shared" si="2319"/>
        <v>a</v>
      </c>
      <c r="AT2206" t="str">
        <f t="shared" si="2320"/>
        <v>Offensive</v>
      </c>
      <c r="BA2206" s="6">
        <f t="shared" si="2309"/>
        <v>506</v>
      </c>
      <c r="BB2206">
        <f t="shared" si="2310"/>
        <v>18981</v>
      </c>
      <c r="BC2206" t="str">
        <f t="shared" si="2311"/>
        <v>Nelson</v>
      </c>
      <c r="BD2206" t="str">
        <f t="shared" si="2312"/>
        <v>Velodrome</v>
      </c>
      <c r="BE2206" t="s">
        <v>15</v>
      </c>
      <c r="BF2206" t="s">
        <v>189</v>
      </c>
      <c r="BG2206" t="s">
        <v>96</v>
      </c>
      <c r="BI2206" cm="1">
        <f t="array" ref="BI2206">IFERROR(_xlfn._xlws.FILTER(shifts!A:A,(shifts!B:B=events!AD2206)*(shifts!AG:AG&gt;=events!BK2206)*(shifts!AH:AH&lt;=events!BL2206)),BI2205)</f>
        <v>98</v>
      </c>
      <c r="BJ2206" s="15">
        <f t="shared" si="2313"/>
        <v>0</v>
      </c>
      <c r="BK2206">
        <f t="shared" si="2321"/>
        <v>324</v>
      </c>
      <c r="BL2206">
        <f t="shared" si="2322"/>
        <v>324</v>
      </c>
      <c r="BM2206" s="15">
        <f>SUMIFS(BJ$2:BJ2206,K$2:K2206,"=Intermission")+SUMIFS(BJ$2:BJ2206,K$2:K2206,"=Timeout")</f>
        <v>142</v>
      </c>
      <c r="BN2206">
        <f t="shared" si="2323"/>
        <v>2302</v>
      </c>
      <c r="BO2206" s="19">
        <f t="shared" si="2324"/>
        <v>3058</v>
      </c>
      <c r="BP2206">
        <f t="shared" si="2325"/>
        <v>3053</v>
      </c>
      <c r="BQ2206" s="17">
        <f t="shared" si="2326"/>
        <v>3058</v>
      </c>
      <c r="BR2206" t="str">
        <f t="shared" si="2327"/>
        <v>opp_team_player_1</v>
      </c>
      <c r="BS2206">
        <f>COUNTIFS(S$3:S2206,"="&amp;S2206,AI$3:AI2206,"="&amp;AI2206)</f>
        <v>1</v>
      </c>
      <c r="BT2206" t="str">
        <f>IFERROR(VLOOKUP(BB2206&amp;BU2206&amp;X2206,game_rosters!U:W,3,FALSE),"")</f>
        <v>P100119</v>
      </c>
      <c r="BU2206" t="str">
        <f t="shared" si="2328"/>
        <v>Nelson</v>
      </c>
    </row>
    <row r="2207" spans="1:73" x14ac:dyDescent="0.2">
      <c r="A2207">
        <f t="shared" si="2314"/>
        <v>1</v>
      </c>
      <c r="J2207" s="44" t="str">
        <f t="shared" si="2329"/>
        <v>d</v>
      </c>
      <c r="K2207" t="s">
        <v>11</v>
      </c>
      <c r="L2207" t="s">
        <v>187</v>
      </c>
      <c r="M2207" t="s">
        <v>108</v>
      </c>
      <c r="S2207">
        <v>1171</v>
      </c>
      <c r="W2207" t="str">
        <f t="shared" si="2305"/>
        <v>a</v>
      </c>
      <c r="X2207">
        <v>39</v>
      </c>
      <c r="Y2207" t="e">
        <f>IF(X2207&lt;&gt;"",VLOOKUP(X2207,game_rosters!$C$43:$E$64,3,FALSE))</f>
        <v>#N/A</v>
      </c>
      <c r="Z2207" cm="1">
        <f t="array" ref="Z2207">IFERROR(IF(_xlfn._xlws.FILTER(game_rosters!$J:$J,(game_rosters!$G:$G=events!$AN2207)*(game_rosters!$J:$J=events!$X2207))&gt;0,1,""),"")</f>
        <v>1</v>
      </c>
      <c r="AA2207">
        <f t="shared" si="2353"/>
        <v>2171</v>
      </c>
      <c r="AB2207" t="str">
        <f t="shared" si="2354"/>
        <v/>
      </c>
      <c r="AC2207">
        <f t="shared" si="2302"/>
        <v>2171</v>
      </c>
      <c r="AD2207" s="6">
        <v>3</v>
      </c>
      <c r="AE2207" t="s">
        <v>752</v>
      </c>
      <c r="AF2207" t="s">
        <v>907</v>
      </c>
      <c r="AG2207" t="s">
        <v>756</v>
      </c>
      <c r="AH2207" t="s">
        <v>756</v>
      </c>
      <c r="AI2207" t="s">
        <v>367</v>
      </c>
      <c r="AJ2207" t="str">
        <f t="shared" ref="AJ2207:AK2207" si="2357">IF($J2207&lt;&gt;"",$J2207,IF($AC2207=$AC2206,AJ2206,""))</f>
        <v>d</v>
      </c>
      <c r="AK2207" t="str">
        <f t="shared" si="2357"/>
        <v>d</v>
      </c>
      <c r="AL2207" t="str">
        <f t="shared" si="2307"/>
        <v>o</v>
      </c>
      <c r="AN2207" t="s">
        <v>862</v>
      </c>
      <c r="AO2207" t="str">
        <f t="shared" si="2308"/>
        <v>a</v>
      </c>
      <c r="AP2207" t="str">
        <f t="shared" si="2316"/>
        <v>o</v>
      </c>
      <c r="AQ2207" t="str">
        <f t="shared" si="2317"/>
        <v/>
      </c>
      <c r="AR2207" t="str">
        <f t="shared" si="2318"/>
        <v>Away</v>
      </c>
      <c r="AS2207" t="str">
        <f t="shared" si="2319"/>
        <v>a</v>
      </c>
      <c r="AT2207" t="str">
        <f t="shared" si="2320"/>
        <v/>
      </c>
      <c r="BA2207" s="6">
        <f t="shared" si="2309"/>
        <v>506</v>
      </c>
      <c r="BB2207">
        <f t="shared" si="2310"/>
        <v>18981</v>
      </c>
      <c r="BC2207" t="str">
        <f t="shared" si="2311"/>
        <v>Nelson</v>
      </c>
      <c r="BD2207" t="str">
        <f t="shared" si="2312"/>
        <v>Velodrome</v>
      </c>
      <c r="BE2207" t="s">
        <v>11</v>
      </c>
      <c r="BF2207" t="s">
        <v>187</v>
      </c>
      <c r="BG2207" t="s">
        <v>108</v>
      </c>
      <c r="BI2207" cm="1">
        <f t="array" ref="BI2207">IFERROR(_xlfn._xlws.FILTER(shifts!A:A,(shifts!B:B=events!AD2207)*(shifts!AG:AG&gt;=events!BK2207)*(shifts!AH:AH&lt;=events!BL2207)),BI2206)</f>
        <v>98</v>
      </c>
      <c r="BJ2207" s="15">
        <f t="shared" si="2313"/>
        <v>0</v>
      </c>
      <c r="BK2207">
        <f t="shared" si="2321"/>
        <v>324</v>
      </c>
      <c r="BL2207">
        <f t="shared" si="2322"/>
        <v>324</v>
      </c>
      <c r="BM2207" s="15">
        <f>SUMIFS(BJ$2:BJ2207,K$2:K2207,"=Intermission")+SUMIFS(BJ$2:BJ2207,K$2:K2207,"=Timeout")</f>
        <v>142</v>
      </c>
      <c r="BN2207">
        <f t="shared" si="2323"/>
        <v>2302</v>
      </c>
      <c r="BO2207" s="19">
        <f t="shared" si="2324"/>
        <v>3058</v>
      </c>
      <c r="BP2207">
        <f t="shared" si="2325"/>
        <v>3053</v>
      </c>
      <c r="BQ2207" s="17">
        <f t="shared" si="2326"/>
        <v>3058</v>
      </c>
      <c r="BR2207" t="str">
        <f t="shared" si="2327"/>
        <v>event_team_player_1</v>
      </c>
      <c r="BS2207">
        <f>COUNTIFS(S$3:S2207,"="&amp;S2207,AI$3:AI2207,"="&amp;AI2207)</f>
        <v>1</v>
      </c>
      <c r="BT2207" t="str">
        <f>IFERROR(VLOOKUP(BB2207&amp;BU2207&amp;X2207,game_rosters!U:W,3,FALSE),"")</f>
        <v>P100016</v>
      </c>
      <c r="BU2207" t="str">
        <f t="shared" si="2328"/>
        <v>Velodrome</v>
      </c>
    </row>
    <row r="2208" spans="1:73" x14ac:dyDescent="0.2">
      <c r="A2208">
        <f t="shared" si="2314"/>
        <v>1</v>
      </c>
      <c r="J2208" s="44" t="str">
        <f t="shared" si="2329"/>
        <v>d</v>
      </c>
      <c r="K2208" t="s">
        <v>241</v>
      </c>
      <c r="L2208" t="s">
        <v>756</v>
      </c>
      <c r="M2208" t="s">
        <v>756</v>
      </c>
      <c r="S2208">
        <v>1172</v>
      </c>
      <c r="W2208" t="str">
        <f t="shared" si="2305"/>
        <v>a</v>
      </c>
      <c r="X2208">
        <v>39</v>
      </c>
      <c r="Y2208" t="e">
        <f>IF(X2208&lt;&gt;"",VLOOKUP(X2208,game_rosters!$C$43:$E$64,3,FALSE))</f>
        <v>#N/A</v>
      </c>
      <c r="Z2208" cm="1">
        <f t="array" ref="Z2208">IFERROR(IF(_xlfn._xlws.FILTER(game_rosters!$J:$J,(game_rosters!$G:$G=events!$AN2208)*(game_rosters!$J:$J=events!$X2208))&gt;0,1,""),"")</f>
        <v>1</v>
      </c>
      <c r="AA2208">
        <f t="shared" si="2353"/>
        <v>2172</v>
      </c>
      <c r="AB2208" t="str">
        <f t="shared" si="2354"/>
        <v/>
      </c>
      <c r="AC2208">
        <f t="shared" si="2302"/>
        <v>2172</v>
      </c>
      <c r="AD2208" s="6">
        <v>3</v>
      </c>
      <c r="AE2208" t="s">
        <v>752</v>
      </c>
      <c r="AF2208" t="s">
        <v>907</v>
      </c>
      <c r="AG2208" t="s">
        <v>941</v>
      </c>
      <c r="AH2208" t="s">
        <v>932</v>
      </c>
      <c r="AI2208" t="s">
        <v>367</v>
      </c>
      <c r="AJ2208" t="str">
        <f t="shared" ref="AJ2208:AK2208" si="2358">IF($J2208&lt;&gt;"",$J2208,IF($AC2208=$AC2207,AJ2207,""))</f>
        <v>d</v>
      </c>
      <c r="AK2208" t="str">
        <f t="shared" si="2358"/>
        <v>d</v>
      </c>
      <c r="AL2208" t="str">
        <f t="shared" si="2307"/>
        <v>o</v>
      </c>
      <c r="AN2208" t="s">
        <v>862</v>
      </c>
      <c r="AO2208" t="str">
        <f t="shared" si="2308"/>
        <v>a</v>
      </c>
      <c r="AP2208" t="str">
        <f t="shared" si="2316"/>
        <v>o</v>
      </c>
      <c r="AQ2208" t="str">
        <f t="shared" si="2317"/>
        <v/>
      </c>
      <c r="AR2208" t="str">
        <f t="shared" si="2318"/>
        <v>Away</v>
      </c>
      <c r="AS2208" t="str">
        <f t="shared" si="2319"/>
        <v>a</v>
      </c>
      <c r="AT2208" t="str">
        <f t="shared" si="2320"/>
        <v/>
      </c>
      <c r="BA2208" s="6">
        <f t="shared" si="2309"/>
        <v>506</v>
      </c>
      <c r="BB2208">
        <f t="shared" si="2310"/>
        <v>18981</v>
      </c>
      <c r="BC2208" t="str">
        <f t="shared" si="2311"/>
        <v>Nelson</v>
      </c>
      <c r="BD2208" t="str">
        <f t="shared" si="2312"/>
        <v>Velodrome</v>
      </c>
      <c r="BE2208" t="s">
        <v>241</v>
      </c>
      <c r="BF2208" t="s">
        <v>756</v>
      </c>
      <c r="BG2208" t="s">
        <v>756</v>
      </c>
      <c r="BI2208" cm="1">
        <f t="array" ref="BI2208">IFERROR(_xlfn._xlws.FILTER(shifts!A:A,(shifts!B:B=events!AD2208)*(shifts!AG:AG&gt;=events!BK2208)*(shifts!AH:AH&lt;=events!BL2208)),BI2207)</f>
        <v>98</v>
      </c>
      <c r="BJ2208" s="15">
        <f t="shared" si="2313"/>
        <v>26</v>
      </c>
      <c r="BK2208">
        <f t="shared" si="2321"/>
        <v>324</v>
      </c>
      <c r="BL2208">
        <f t="shared" si="2322"/>
        <v>298</v>
      </c>
      <c r="BM2208" s="15">
        <f>SUMIFS(BJ$2:BJ2208,K$2:K2208,"=Intermission")+SUMIFS(BJ$2:BJ2208,K$2:K2208,"=Timeout")</f>
        <v>142</v>
      </c>
      <c r="BN2208">
        <f t="shared" si="2323"/>
        <v>2302</v>
      </c>
      <c r="BO2208" s="19">
        <f t="shared" si="2324"/>
        <v>3058</v>
      </c>
      <c r="BP2208">
        <f t="shared" si="2325"/>
        <v>3053</v>
      </c>
      <c r="BQ2208" s="17">
        <f t="shared" si="2326"/>
        <v>3084</v>
      </c>
      <c r="BR2208" t="str">
        <f t="shared" si="2327"/>
        <v>event_team_player_1</v>
      </c>
      <c r="BS2208">
        <f>COUNTIFS(S$3:S2208,"="&amp;S2208,AI$3:AI2208,"="&amp;AI2208)</f>
        <v>1</v>
      </c>
      <c r="BT2208" t="str">
        <f>IFERROR(VLOOKUP(BB2208&amp;BU2208&amp;X2208,game_rosters!U:W,3,FALSE),"")</f>
        <v>P100016</v>
      </c>
      <c r="BU2208" t="str">
        <f t="shared" si="2328"/>
        <v>Velodrome</v>
      </c>
    </row>
    <row r="2209" spans="1:73" x14ac:dyDescent="0.2">
      <c r="A2209">
        <f t="shared" si="2314"/>
        <v>1</v>
      </c>
      <c r="J2209" s="44" t="str">
        <f t="shared" si="2329"/>
        <v/>
      </c>
      <c r="K2209" t="s">
        <v>5</v>
      </c>
      <c r="L2209" t="s">
        <v>236</v>
      </c>
      <c r="M2209" t="s">
        <v>756</v>
      </c>
      <c r="S2209">
        <v>1173</v>
      </c>
      <c r="W2209" t="str">
        <f t="shared" si="2305"/>
        <v>a</v>
      </c>
      <c r="X2209">
        <v>49</v>
      </c>
      <c r="Y2209" t="e">
        <f>IF(X2209&lt;&gt;"",VLOOKUP(X2209,game_rosters!$C$43:$E$64,3,FALSE))</f>
        <v>#N/A</v>
      </c>
      <c r="Z2209" cm="1">
        <f t="array" ref="Z2209">IFERROR(IF(_xlfn._xlws.FILTER(game_rosters!$J:$J,(game_rosters!$G:$G=events!$AN2209)*(game_rosters!$J:$J=events!$X2209))&gt;0,1,""),"")</f>
        <v>1</v>
      </c>
      <c r="AA2209">
        <f t="shared" si="2353"/>
        <v>2173</v>
      </c>
      <c r="AB2209" t="str">
        <f t="shared" si="2354"/>
        <v/>
      </c>
      <c r="AC2209">
        <f t="shared" si="2302"/>
        <v>2173</v>
      </c>
      <c r="AD2209" s="6">
        <v>3</v>
      </c>
      <c r="AE2209" t="s">
        <v>941</v>
      </c>
      <c r="AF2209" t="s">
        <v>932</v>
      </c>
      <c r="AG2209" t="s">
        <v>756</v>
      </c>
      <c r="AH2209" t="s">
        <v>756</v>
      </c>
      <c r="AI2209" t="s">
        <v>367</v>
      </c>
      <c r="AJ2209" t="str">
        <f t="shared" ref="AJ2209:AK2209" si="2359">IF($J2209&lt;&gt;"",$J2209,IF($AC2209=$AC2208,AJ2208,""))</f>
        <v/>
      </c>
      <c r="AK2209" t="str">
        <f t="shared" si="2359"/>
        <v/>
      </c>
      <c r="AL2209" t="str">
        <f t="shared" si="2307"/>
        <v/>
      </c>
      <c r="AN2209" t="s">
        <v>862</v>
      </c>
      <c r="AO2209" t="str">
        <f t="shared" si="2308"/>
        <v>a</v>
      </c>
      <c r="AP2209" t="str">
        <f t="shared" si="2316"/>
        <v/>
      </c>
      <c r="AQ2209" t="str">
        <f t="shared" si="2317"/>
        <v/>
      </c>
      <c r="AR2209" t="str">
        <f t="shared" si="2318"/>
        <v>Away</v>
      </c>
      <c r="AS2209" t="str">
        <f t="shared" si="2319"/>
        <v>a</v>
      </c>
      <c r="AT2209" t="str">
        <f t="shared" si="2320"/>
        <v>Offensive</v>
      </c>
      <c r="BA2209" s="6">
        <f t="shared" si="2309"/>
        <v>506</v>
      </c>
      <c r="BB2209">
        <f t="shared" si="2310"/>
        <v>18981</v>
      </c>
      <c r="BC2209" t="str">
        <f t="shared" si="2311"/>
        <v>Nelson</v>
      </c>
      <c r="BD2209" t="str">
        <f t="shared" si="2312"/>
        <v>Velodrome</v>
      </c>
      <c r="BE2209" t="s">
        <v>5</v>
      </c>
      <c r="BF2209" t="s">
        <v>236</v>
      </c>
      <c r="BG2209" t="s">
        <v>756</v>
      </c>
      <c r="BI2209" cm="1">
        <f t="array" ref="BI2209">IFERROR(_xlfn._xlws.FILTER(shifts!A:A,(shifts!B:B=events!AD2209)*(shifts!AG:AG&gt;=events!BK2209)*(shifts!AH:AH&lt;=events!BL2209)),BI2208)</f>
        <v>99</v>
      </c>
      <c r="BJ2209" s="15">
        <f t="shared" si="2313"/>
        <v>0</v>
      </c>
      <c r="BK2209">
        <f t="shared" si="2321"/>
        <v>298</v>
      </c>
      <c r="BL2209">
        <f t="shared" si="2322"/>
        <v>298</v>
      </c>
      <c r="BM2209" s="15">
        <f>SUMIFS(BJ$2:BJ2209,K$2:K2209,"=Intermission")+SUMIFS(BJ$2:BJ2209,K$2:K2209,"=Timeout")</f>
        <v>142</v>
      </c>
      <c r="BN2209">
        <f t="shared" si="2323"/>
        <v>2302</v>
      </c>
      <c r="BO2209" s="19">
        <f t="shared" si="2324"/>
        <v>3084</v>
      </c>
      <c r="BP2209">
        <f t="shared" si="2325"/>
        <v>3079</v>
      </c>
      <c r="BQ2209" s="17">
        <f t="shared" si="2326"/>
        <v>3084</v>
      </c>
      <c r="BR2209" t="str">
        <f t="shared" si="2327"/>
        <v>event_team_player_1</v>
      </c>
      <c r="BS2209">
        <f>COUNTIFS(S$3:S2209,"="&amp;S2209,AI$3:AI2209,"="&amp;AI2209)</f>
        <v>1</v>
      </c>
      <c r="BT2209" t="str">
        <f>IFERROR(VLOOKUP(BB2209&amp;BU2209&amp;X2209,game_rosters!U:W,3,FALSE),"")</f>
        <v>P100161</v>
      </c>
      <c r="BU2209" t="str">
        <f t="shared" si="2328"/>
        <v>Velodrome</v>
      </c>
    </row>
    <row r="2210" spans="1:73" x14ac:dyDescent="0.2">
      <c r="A2210">
        <f t="shared" si="2314"/>
        <v>1</v>
      </c>
      <c r="J2210" s="44" t="str">
        <f t="shared" si="2329"/>
        <v/>
      </c>
      <c r="K2210" t="s">
        <v>5</v>
      </c>
      <c r="L2210" t="s">
        <v>236</v>
      </c>
      <c r="M2210" t="s">
        <v>756</v>
      </c>
      <c r="S2210">
        <v>1173</v>
      </c>
      <c r="W2210" t="str">
        <f t="shared" si="2305"/>
        <v>a</v>
      </c>
      <c r="X2210">
        <v>52</v>
      </c>
      <c r="Y2210" t="e">
        <f>IF(X2210&lt;&gt;"",VLOOKUP(X2210,game_rosters!$C$43:$E$64,3,FALSE))</f>
        <v>#N/A</v>
      </c>
      <c r="Z2210" cm="1">
        <f t="array" ref="Z2210">IFERROR(IF(_xlfn._xlws.FILTER(game_rosters!$J:$J,(game_rosters!$G:$G=events!$AN2210)*(game_rosters!$J:$J=events!$X2210))&gt;0,1,""),"")</f>
        <v>1</v>
      </c>
      <c r="AA2210">
        <f t="shared" si="2353"/>
        <v>2173</v>
      </c>
      <c r="AB2210" t="str">
        <f t="shared" si="2354"/>
        <v/>
      </c>
      <c r="AC2210">
        <f t="shared" si="2302"/>
        <v>2173</v>
      </c>
      <c r="AD2210" s="6">
        <v>3</v>
      </c>
      <c r="AE2210" t="s">
        <v>941</v>
      </c>
      <c r="AF2210" t="s">
        <v>932</v>
      </c>
      <c r="AG2210" t="s">
        <v>756</v>
      </c>
      <c r="AH2210" t="s">
        <v>756</v>
      </c>
      <c r="AI2210" t="s">
        <v>367</v>
      </c>
      <c r="AJ2210" t="str">
        <f t="shared" ref="AJ2210:AK2210" si="2360">IF($J2210&lt;&gt;"",$J2210,IF($AC2210=$AC2209,AJ2209,""))</f>
        <v/>
      </c>
      <c r="AK2210" t="str">
        <f t="shared" si="2360"/>
        <v/>
      </c>
      <c r="AL2210" t="str">
        <f t="shared" si="2307"/>
        <v/>
      </c>
      <c r="AN2210" t="s">
        <v>862</v>
      </c>
      <c r="AO2210" t="str">
        <f t="shared" si="2308"/>
        <v>a</v>
      </c>
      <c r="AP2210" t="str">
        <f t="shared" si="2316"/>
        <v/>
      </c>
      <c r="AQ2210" t="str">
        <f t="shared" si="2317"/>
        <v/>
      </c>
      <c r="AR2210" t="str">
        <f t="shared" si="2318"/>
        <v>Away</v>
      </c>
      <c r="AS2210" t="str">
        <f t="shared" si="2319"/>
        <v>a</v>
      </c>
      <c r="AT2210" t="str">
        <f t="shared" si="2320"/>
        <v>Offensive</v>
      </c>
      <c r="BA2210" s="6">
        <f t="shared" si="2309"/>
        <v>506</v>
      </c>
      <c r="BB2210">
        <f t="shared" si="2310"/>
        <v>18981</v>
      </c>
      <c r="BC2210" t="str">
        <f t="shared" si="2311"/>
        <v>Nelson</v>
      </c>
      <c r="BD2210" t="str">
        <f t="shared" si="2312"/>
        <v>Velodrome</v>
      </c>
      <c r="BE2210" t="s">
        <v>5</v>
      </c>
      <c r="BF2210" t="s">
        <v>236</v>
      </c>
      <c r="BG2210" t="s">
        <v>756</v>
      </c>
      <c r="BI2210" cm="1">
        <f t="array" ref="BI2210">IFERROR(_xlfn._xlws.FILTER(shifts!A:A,(shifts!B:B=events!AD2210)*(shifts!AG:AG&gt;=events!BK2210)*(shifts!AH:AH&lt;=events!BL2210)),BI2209)</f>
        <v>99</v>
      </c>
      <c r="BJ2210" s="15">
        <f t="shared" si="2313"/>
        <v>0</v>
      </c>
      <c r="BK2210">
        <f t="shared" si="2321"/>
        <v>298</v>
      </c>
      <c r="BL2210">
        <f t="shared" si="2322"/>
        <v>298</v>
      </c>
      <c r="BM2210" s="15">
        <f>SUMIFS(BJ$2:BJ2210,K$2:K2210,"=Intermission")+SUMIFS(BJ$2:BJ2210,K$2:K2210,"=Timeout")</f>
        <v>142</v>
      </c>
      <c r="BN2210">
        <f t="shared" si="2323"/>
        <v>2302</v>
      </c>
      <c r="BO2210" s="19">
        <f t="shared" si="2324"/>
        <v>3084</v>
      </c>
      <c r="BP2210">
        <f t="shared" si="2325"/>
        <v>3079</v>
      </c>
      <c r="BQ2210" s="17">
        <f t="shared" si="2326"/>
        <v>3084</v>
      </c>
      <c r="BR2210" t="str">
        <f t="shared" si="2327"/>
        <v>event_team_player_2</v>
      </c>
      <c r="BS2210">
        <f>COUNTIFS(S$3:S2210,"="&amp;S2210,AI$3:AI2210,"="&amp;AI2210)</f>
        <v>2</v>
      </c>
      <c r="BT2210" t="str">
        <f>IFERROR(VLOOKUP(BB2210&amp;BU2210&amp;X2210,game_rosters!U:W,3,FALSE),"")</f>
        <v>P100070</v>
      </c>
      <c r="BU2210" t="str">
        <f t="shared" si="2328"/>
        <v>Velodrome</v>
      </c>
    </row>
    <row r="2211" spans="1:73" x14ac:dyDescent="0.2">
      <c r="A2211">
        <f t="shared" si="2314"/>
        <v>1</v>
      </c>
      <c r="J2211" s="44" t="str">
        <f t="shared" si="2329"/>
        <v/>
      </c>
      <c r="K2211" t="s">
        <v>5</v>
      </c>
      <c r="L2211" t="s">
        <v>236</v>
      </c>
      <c r="M2211" t="s">
        <v>756</v>
      </c>
      <c r="S2211">
        <v>1173</v>
      </c>
      <c r="W2211" t="str">
        <f t="shared" si="2305"/>
        <v>a</v>
      </c>
      <c r="X2211">
        <v>70</v>
      </c>
      <c r="Y2211" t="e">
        <f>IF(X2211&lt;&gt;"",VLOOKUP(X2211,game_rosters!$C$43:$E$64,3,FALSE))</f>
        <v>#N/A</v>
      </c>
      <c r="Z2211" cm="1">
        <f t="array" ref="Z2211">IFERROR(IF(_xlfn._xlws.FILTER(game_rosters!$J:$J,(game_rosters!$G:$G=events!$AN2211)*(game_rosters!$J:$J=events!$X2211))&gt;0,1,""),"")</f>
        <v>1</v>
      </c>
      <c r="AA2211">
        <f t="shared" si="2353"/>
        <v>2173</v>
      </c>
      <c r="AB2211" t="str">
        <f t="shared" si="2354"/>
        <v/>
      </c>
      <c r="AC2211">
        <f t="shared" si="2302"/>
        <v>2173</v>
      </c>
      <c r="AD2211" s="6">
        <v>3</v>
      </c>
      <c r="AE2211" t="s">
        <v>941</v>
      </c>
      <c r="AF2211" t="s">
        <v>932</v>
      </c>
      <c r="AG2211" t="s">
        <v>756</v>
      </c>
      <c r="AH2211" t="s">
        <v>756</v>
      </c>
      <c r="AI2211" t="s">
        <v>368</v>
      </c>
      <c r="AJ2211" t="str">
        <f t="shared" ref="AJ2211:AK2211" si="2361">IF($J2211&lt;&gt;"",$J2211,IF($AC2211=$AC2210,AJ2210,""))</f>
        <v/>
      </c>
      <c r="AK2211" t="str">
        <f t="shared" si="2361"/>
        <v/>
      </c>
      <c r="AL2211" t="str">
        <f t="shared" si="2307"/>
        <v/>
      </c>
      <c r="AN2211" t="s">
        <v>862</v>
      </c>
      <c r="AO2211" t="str">
        <f t="shared" si="2308"/>
        <v>a</v>
      </c>
      <c r="AP2211" t="str">
        <f t="shared" si="2316"/>
        <v/>
      </c>
      <c r="AQ2211" t="str">
        <f t="shared" si="2317"/>
        <v/>
      </c>
      <c r="AR2211" t="str">
        <f t="shared" si="2318"/>
        <v>Away</v>
      </c>
      <c r="AS2211" t="str">
        <f t="shared" si="2319"/>
        <v>a</v>
      </c>
      <c r="AT2211" t="str">
        <f t="shared" si="2320"/>
        <v>Defensive</v>
      </c>
      <c r="BA2211" s="6">
        <f t="shared" si="2309"/>
        <v>506</v>
      </c>
      <c r="BB2211">
        <f t="shared" si="2310"/>
        <v>18981</v>
      </c>
      <c r="BC2211" t="str">
        <f t="shared" si="2311"/>
        <v>Nelson</v>
      </c>
      <c r="BD2211" t="str">
        <f t="shared" si="2312"/>
        <v>Velodrome</v>
      </c>
      <c r="BE2211" t="s">
        <v>5</v>
      </c>
      <c r="BF2211" t="s">
        <v>236</v>
      </c>
      <c r="BG2211" t="s">
        <v>756</v>
      </c>
      <c r="BI2211" cm="1">
        <f t="array" ref="BI2211">IFERROR(_xlfn._xlws.FILTER(shifts!A:A,(shifts!B:B=events!AD2211)*(shifts!AG:AG&gt;=events!BK2211)*(shifts!AH:AH&lt;=events!BL2211)),BI2210)</f>
        <v>99</v>
      </c>
      <c r="BJ2211" s="15">
        <f t="shared" si="2313"/>
        <v>0</v>
      </c>
      <c r="BK2211">
        <f t="shared" si="2321"/>
        <v>298</v>
      </c>
      <c r="BL2211">
        <f t="shared" si="2322"/>
        <v>298</v>
      </c>
      <c r="BM2211" s="15">
        <f>SUMIFS(BJ$2:BJ2211,K$2:K2211,"=Intermission")+SUMIFS(BJ$2:BJ2211,K$2:K2211,"=Timeout")</f>
        <v>142</v>
      </c>
      <c r="BN2211">
        <f t="shared" si="2323"/>
        <v>2302</v>
      </c>
      <c r="BO2211" s="19">
        <f t="shared" si="2324"/>
        <v>3084</v>
      </c>
      <c r="BP2211">
        <f t="shared" si="2325"/>
        <v>3079</v>
      </c>
      <c r="BQ2211" s="17">
        <f t="shared" si="2326"/>
        <v>3084</v>
      </c>
      <c r="BR2211" t="str">
        <f t="shared" si="2327"/>
        <v>opp_team_player_1</v>
      </c>
      <c r="BS2211">
        <f>COUNTIFS(S$3:S2211,"="&amp;S2211,AI$3:AI2211,"="&amp;AI2211)</f>
        <v>1</v>
      </c>
      <c r="BT2211" t="str">
        <f>IFERROR(VLOOKUP(BB2211&amp;BU2211&amp;X2211,game_rosters!U:W,3,FALSE),"")</f>
        <v>P100001</v>
      </c>
      <c r="BU2211" t="s">
        <v>521</v>
      </c>
    </row>
    <row r="2212" spans="1:73" x14ac:dyDescent="0.2">
      <c r="A2212">
        <f t="shared" si="2314"/>
        <v>1</v>
      </c>
      <c r="J2212" s="44" t="str">
        <f t="shared" si="2329"/>
        <v/>
      </c>
      <c r="K2212" t="s">
        <v>7</v>
      </c>
      <c r="L2212" t="s">
        <v>172</v>
      </c>
      <c r="M2212" t="s">
        <v>68</v>
      </c>
      <c r="S2212">
        <v>1174</v>
      </c>
      <c r="W2212" t="str">
        <f t="shared" si="2305"/>
        <v>a</v>
      </c>
      <c r="X2212">
        <v>52</v>
      </c>
      <c r="Y2212" t="e">
        <f>IF(X2212&lt;&gt;"",VLOOKUP(X2212,game_rosters!$C$43:$E$64,3,FALSE))</f>
        <v>#N/A</v>
      </c>
      <c r="Z2212" cm="1">
        <f t="array" ref="Z2212">IFERROR(IF(_xlfn._xlws.FILTER(game_rosters!$J:$J,(game_rosters!$G:$G=events!$AN2212)*(game_rosters!$J:$J=events!$X2212))&gt;0,1,""),"")</f>
        <v>1</v>
      </c>
      <c r="AA2212">
        <f t="shared" si="2353"/>
        <v>2174</v>
      </c>
      <c r="AB2212" t="str">
        <f t="shared" si="2354"/>
        <v/>
      </c>
      <c r="AC2212">
        <f t="shared" si="2302"/>
        <v>2174</v>
      </c>
      <c r="AD2212" s="6">
        <v>3</v>
      </c>
      <c r="AE2212" t="s">
        <v>941</v>
      </c>
      <c r="AF2212" t="s">
        <v>927</v>
      </c>
      <c r="AG2212" t="s">
        <v>756</v>
      </c>
      <c r="AH2212" t="s">
        <v>756</v>
      </c>
      <c r="AI2212" t="s">
        <v>367</v>
      </c>
      <c r="AJ2212" t="str">
        <f t="shared" ref="AJ2212:AK2212" si="2362">IF($J2212&lt;&gt;"",$J2212,IF($AC2212=$AC2211,AJ2211,""))</f>
        <v/>
      </c>
      <c r="AK2212" t="str">
        <f t="shared" si="2362"/>
        <v/>
      </c>
      <c r="AL2212" t="str">
        <f t="shared" si="2307"/>
        <v/>
      </c>
      <c r="AN2212" t="s">
        <v>862</v>
      </c>
      <c r="AO2212" t="str">
        <f t="shared" si="2308"/>
        <v>a</v>
      </c>
      <c r="AP2212" t="str">
        <f t="shared" si="2316"/>
        <v/>
      </c>
      <c r="AQ2212" t="str">
        <f t="shared" si="2317"/>
        <v/>
      </c>
      <c r="AR2212" t="str">
        <f t="shared" si="2318"/>
        <v>Away</v>
      </c>
      <c r="AS2212" t="str">
        <f t="shared" si="2319"/>
        <v>a</v>
      </c>
      <c r="AT2212" t="str">
        <f t="shared" si="2320"/>
        <v>Offensive</v>
      </c>
      <c r="BA2212" s="6">
        <f t="shared" si="2309"/>
        <v>506</v>
      </c>
      <c r="BB2212">
        <f t="shared" si="2310"/>
        <v>18981</v>
      </c>
      <c r="BC2212" t="str">
        <f t="shared" si="2311"/>
        <v>Nelson</v>
      </c>
      <c r="BD2212" t="str">
        <f t="shared" si="2312"/>
        <v>Velodrome</v>
      </c>
      <c r="BE2212" t="s">
        <v>7</v>
      </c>
      <c r="BF2212" t="s">
        <v>172</v>
      </c>
      <c r="BG2212" t="s">
        <v>68</v>
      </c>
      <c r="BI2212" cm="1">
        <f t="array" ref="BI2212">IFERROR(_xlfn._xlws.FILTER(shifts!A:A,(shifts!B:B=events!AD2212)*(shifts!AG:AG&gt;=events!BK2212)*(shifts!AH:AH&lt;=events!BL2212)),BI2211)</f>
        <v>99</v>
      </c>
      <c r="BJ2212" s="15">
        <f t="shared" si="2313"/>
        <v>0</v>
      </c>
      <c r="BK2212">
        <f t="shared" si="2321"/>
        <v>297</v>
      </c>
      <c r="BL2212">
        <f t="shared" si="2322"/>
        <v>297</v>
      </c>
      <c r="BM2212" s="15">
        <f>SUMIFS(BJ$2:BJ2212,K$2:K2212,"=Intermission")+SUMIFS(BJ$2:BJ2212,K$2:K2212,"=Timeout")</f>
        <v>142</v>
      </c>
      <c r="BN2212">
        <f t="shared" si="2323"/>
        <v>2302</v>
      </c>
      <c r="BO2212" s="19">
        <f t="shared" si="2324"/>
        <v>3085</v>
      </c>
      <c r="BP2212">
        <f t="shared" si="2325"/>
        <v>3080</v>
      </c>
      <c r="BQ2212" s="17">
        <f t="shared" si="2326"/>
        <v>3085</v>
      </c>
      <c r="BR2212" t="str">
        <f t="shared" si="2327"/>
        <v>event_team_player_1</v>
      </c>
      <c r="BS2212">
        <f>COUNTIFS(S$3:S2212,"="&amp;S2212,AI$3:AI2212,"="&amp;AI2212)</f>
        <v>1</v>
      </c>
      <c r="BT2212" t="str">
        <f>IFERROR(VLOOKUP(BB2212&amp;BU2212&amp;X2212,game_rosters!U:W,3,FALSE),"")</f>
        <v>P100070</v>
      </c>
      <c r="BU2212" t="str">
        <f t="shared" si="2328"/>
        <v>Velodrome</v>
      </c>
    </row>
    <row r="2213" spans="1:73" x14ac:dyDescent="0.2">
      <c r="A2213">
        <f t="shared" si="2314"/>
        <v>1</v>
      </c>
      <c r="J2213" s="44" t="str">
        <f t="shared" si="2329"/>
        <v/>
      </c>
      <c r="K2213" t="s">
        <v>7</v>
      </c>
      <c r="L2213" t="s">
        <v>172</v>
      </c>
      <c r="M2213" t="s">
        <v>68</v>
      </c>
      <c r="S2213">
        <v>1174</v>
      </c>
      <c r="W2213" t="str">
        <f t="shared" si="2305"/>
        <v>a</v>
      </c>
      <c r="X2213">
        <v>14</v>
      </c>
      <c r="Y2213" t="e">
        <f>IF(X2213&lt;&gt;"",VLOOKUP(X2213,game_rosters!$C$43:$E$64,3,FALSE))</f>
        <v>#N/A</v>
      </c>
      <c r="Z2213" cm="1">
        <f t="array" ref="Z2213">IFERROR(IF(_xlfn._xlws.FILTER(game_rosters!$J:$J,(game_rosters!$G:$G=events!$AN2213)*(game_rosters!$J:$J=events!$X2213))&gt;0,1,""),"")</f>
        <v>1</v>
      </c>
      <c r="AA2213">
        <f t="shared" si="2353"/>
        <v>2174</v>
      </c>
      <c r="AB2213" t="str">
        <f t="shared" si="2354"/>
        <v/>
      </c>
      <c r="AC2213">
        <f t="shared" si="2302"/>
        <v>2174</v>
      </c>
      <c r="AD2213" s="6">
        <v>3</v>
      </c>
      <c r="AE2213" t="s">
        <v>941</v>
      </c>
      <c r="AF2213" t="s">
        <v>927</v>
      </c>
      <c r="AG2213" t="s">
        <v>756</v>
      </c>
      <c r="AH2213" t="s">
        <v>756</v>
      </c>
      <c r="AI2213" t="s">
        <v>367</v>
      </c>
      <c r="AJ2213" t="str">
        <f t="shared" ref="AJ2213:AK2213" si="2363">IF($J2213&lt;&gt;"",$J2213,IF($AC2213=$AC2212,AJ2212,""))</f>
        <v/>
      </c>
      <c r="AK2213" t="str">
        <f t="shared" si="2363"/>
        <v/>
      </c>
      <c r="AL2213" t="str">
        <f t="shared" si="2307"/>
        <v/>
      </c>
      <c r="AN2213" t="s">
        <v>862</v>
      </c>
      <c r="AO2213" t="str">
        <f t="shared" si="2308"/>
        <v>a</v>
      </c>
      <c r="AP2213" t="str">
        <f t="shared" si="2316"/>
        <v/>
      </c>
      <c r="AQ2213" t="str">
        <f t="shared" si="2317"/>
        <v/>
      </c>
      <c r="AR2213" t="str">
        <f t="shared" si="2318"/>
        <v>Away</v>
      </c>
      <c r="AS2213" t="str">
        <f t="shared" si="2319"/>
        <v>a</v>
      </c>
      <c r="AT2213" t="str">
        <f t="shared" si="2320"/>
        <v>Offensive</v>
      </c>
      <c r="BA2213" s="6">
        <f t="shared" si="2309"/>
        <v>506</v>
      </c>
      <c r="BB2213">
        <f t="shared" si="2310"/>
        <v>18981</v>
      </c>
      <c r="BC2213" t="str">
        <f t="shared" si="2311"/>
        <v>Nelson</v>
      </c>
      <c r="BD2213" t="str">
        <f t="shared" si="2312"/>
        <v>Velodrome</v>
      </c>
      <c r="BE2213" t="s">
        <v>7</v>
      </c>
      <c r="BF2213" t="s">
        <v>172</v>
      </c>
      <c r="BG2213" t="s">
        <v>68</v>
      </c>
      <c r="BI2213" cm="1">
        <f t="array" ref="BI2213">IFERROR(_xlfn._xlws.FILTER(shifts!A:A,(shifts!B:B=events!AD2213)*(shifts!AG:AG&gt;=events!BK2213)*(shifts!AH:AH&lt;=events!BL2213)),BI2212)</f>
        <v>99</v>
      </c>
      <c r="BJ2213" s="15">
        <f t="shared" si="2313"/>
        <v>0</v>
      </c>
      <c r="BK2213">
        <f t="shared" si="2321"/>
        <v>297</v>
      </c>
      <c r="BL2213">
        <f t="shared" si="2322"/>
        <v>297</v>
      </c>
      <c r="BM2213" s="15">
        <f>SUMIFS(BJ$2:BJ2213,K$2:K2213,"=Intermission")+SUMIFS(BJ$2:BJ2213,K$2:K2213,"=Timeout")</f>
        <v>142</v>
      </c>
      <c r="BN2213">
        <f t="shared" si="2323"/>
        <v>2302</v>
      </c>
      <c r="BO2213" s="19">
        <f t="shared" si="2324"/>
        <v>3085</v>
      </c>
      <c r="BP2213">
        <f t="shared" si="2325"/>
        <v>3080</v>
      </c>
      <c r="BQ2213" s="17">
        <f t="shared" si="2326"/>
        <v>3085</v>
      </c>
      <c r="BR2213" t="str">
        <f t="shared" si="2327"/>
        <v>event_team_player_2</v>
      </c>
      <c r="BS2213">
        <f>COUNTIFS(S$3:S2213,"="&amp;S2213,AI$3:AI2213,"="&amp;AI2213)</f>
        <v>2</v>
      </c>
      <c r="BT2213" t="str">
        <f>IFERROR(VLOOKUP(BB2213&amp;BU2213&amp;X2213,game_rosters!U:W,3,FALSE),"")</f>
        <v>P100132</v>
      </c>
      <c r="BU2213" t="str">
        <f t="shared" si="2328"/>
        <v>Velodrome</v>
      </c>
    </row>
    <row r="2214" spans="1:73" x14ac:dyDescent="0.2">
      <c r="A2214">
        <f t="shared" si="2314"/>
        <v>1</v>
      </c>
      <c r="J2214" s="44" t="str">
        <f t="shared" si="2329"/>
        <v/>
      </c>
      <c r="K2214" t="s">
        <v>7</v>
      </c>
      <c r="L2214" t="s">
        <v>172</v>
      </c>
      <c r="M2214" t="s">
        <v>68</v>
      </c>
      <c r="S2214">
        <v>1175</v>
      </c>
      <c r="W2214" t="str">
        <f t="shared" si="2305"/>
        <v>a</v>
      </c>
      <c r="X2214">
        <v>14</v>
      </c>
      <c r="Y2214" t="e">
        <f>IF(X2214&lt;&gt;"",VLOOKUP(X2214,game_rosters!$C$43:$E$64,3,FALSE))</f>
        <v>#N/A</v>
      </c>
      <c r="Z2214" cm="1">
        <f t="array" ref="Z2214">IFERROR(IF(_xlfn._xlws.FILTER(game_rosters!$J:$J,(game_rosters!$G:$G=events!$AN2214)*(game_rosters!$J:$J=events!$X2214))&gt;0,1,""),"")</f>
        <v>1</v>
      </c>
      <c r="AA2214">
        <f t="shared" si="2353"/>
        <v>2175</v>
      </c>
      <c r="AB2214" t="str">
        <f t="shared" si="2354"/>
        <v/>
      </c>
      <c r="AC2214">
        <f t="shared" si="2302"/>
        <v>2175</v>
      </c>
      <c r="AD2214" s="6">
        <v>3</v>
      </c>
      <c r="AE2214" t="s">
        <v>941</v>
      </c>
      <c r="AF2214" t="s">
        <v>934</v>
      </c>
      <c r="AG2214" t="s">
        <v>756</v>
      </c>
      <c r="AH2214" t="s">
        <v>756</v>
      </c>
      <c r="AI2214" t="s">
        <v>367</v>
      </c>
      <c r="AJ2214" t="str">
        <f t="shared" ref="AJ2214:AK2214" si="2364">IF($J2214&lt;&gt;"",$J2214,IF($AC2214=$AC2213,AJ2213,""))</f>
        <v/>
      </c>
      <c r="AK2214" t="str">
        <f t="shared" si="2364"/>
        <v/>
      </c>
      <c r="AL2214" t="str">
        <f t="shared" si="2307"/>
        <v/>
      </c>
      <c r="AN2214" t="s">
        <v>862</v>
      </c>
      <c r="AO2214" t="str">
        <f t="shared" si="2308"/>
        <v>a</v>
      </c>
      <c r="AP2214" t="str">
        <f t="shared" si="2316"/>
        <v/>
      </c>
      <c r="AQ2214" t="str">
        <f t="shared" si="2317"/>
        <v/>
      </c>
      <c r="AR2214" t="str">
        <f t="shared" si="2318"/>
        <v>Away</v>
      </c>
      <c r="AS2214" t="str">
        <f t="shared" si="2319"/>
        <v>a</v>
      </c>
      <c r="AT2214" t="str">
        <f t="shared" si="2320"/>
        <v>Offensive</v>
      </c>
      <c r="BA2214" s="6">
        <f t="shared" si="2309"/>
        <v>506</v>
      </c>
      <c r="BB2214">
        <f t="shared" si="2310"/>
        <v>18981</v>
      </c>
      <c r="BC2214" t="str">
        <f t="shared" si="2311"/>
        <v>Nelson</v>
      </c>
      <c r="BD2214" t="str">
        <f t="shared" si="2312"/>
        <v>Velodrome</v>
      </c>
      <c r="BE2214" t="s">
        <v>7</v>
      </c>
      <c r="BF2214" t="s">
        <v>172</v>
      </c>
      <c r="BG2214" t="s">
        <v>68</v>
      </c>
      <c r="BI2214" cm="1">
        <f t="array" ref="BI2214">IFERROR(_xlfn._xlws.FILTER(shifts!A:A,(shifts!B:B=events!AD2214)*(shifts!AG:AG&gt;=events!BK2214)*(shifts!AH:AH&lt;=events!BL2214)),BI2213)</f>
        <v>99</v>
      </c>
      <c r="BJ2214" s="15">
        <f t="shared" si="2313"/>
        <v>0</v>
      </c>
      <c r="BK2214">
        <f t="shared" si="2321"/>
        <v>294</v>
      </c>
      <c r="BL2214">
        <f t="shared" si="2322"/>
        <v>294</v>
      </c>
      <c r="BM2214" s="15">
        <f>SUMIFS(BJ$2:BJ2214,K$2:K2214,"=Intermission")+SUMIFS(BJ$2:BJ2214,K$2:K2214,"=Timeout")</f>
        <v>142</v>
      </c>
      <c r="BN2214">
        <f t="shared" si="2323"/>
        <v>2302</v>
      </c>
      <c r="BO2214" s="19">
        <f t="shared" si="2324"/>
        <v>3088</v>
      </c>
      <c r="BP2214">
        <f t="shared" si="2325"/>
        <v>3083</v>
      </c>
      <c r="BQ2214" s="17">
        <f t="shared" si="2326"/>
        <v>3088</v>
      </c>
      <c r="BR2214" t="str">
        <f t="shared" si="2327"/>
        <v>event_team_player_1</v>
      </c>
      <c r="BS2214">
        <f>COUNTIFS(S$3:S2214,"="&amp;S2214,AI$3:AI2214,"="&amp;AI2214)</f>
        <v>1</v>
      </c>
      <c r="BT2214" t="str">
        <f>IFERROR(VLOOKUP(BB2214&amp;BU2214&amp;X2214,game_rosters!U:W,3,FALSE),"")</f>
        <v>P100132</v>
      </c>
      <c r="BU2214" t="str">
        <f t="shared" si="2328"/>
        <v>Velodrome</v>
      </c>
    </row>
    <row r="2215" spans="1:73" x14ac:dyDescent="0.2">
      <c r="A2215">
        <f t="shared" si="2314"/>
        <v>1</v>
      </c>
      <c r="J2215" s="44" t="str">
        <f t="shared" si="2329"/>
        <v/>
      </c>
      <c r="K2215" t="s">
        <v>7</v>
      </c>
      <c r="L2215" t="s">
        <v>172</v>
      </c>
      <c r="M2215" t="s">
        <v>68</v>
      </c>
      <c r="S2215">
        <v>1175</v>
      </c>
      <c r="W2215" t="str">
        <f t="shared" si="2305"/>
        <v>a</v>
      </c>
      <c r="X2215">
        <v>52</v>
      </c>
      <c r="Y2215" t="e">
        <f>IF(X2215&lt;&gt;"",VLOOKUP(X2215,game_rosters!$C$43:$E$64,3,FALSE))</f>
        <v>#N/A</v>
      </c>
      <c r="Z2215" cm="1">
        <f t="array" ref="Z2215">IFERROR(IF(_xlfn._xlws.FILTER(game_rosters!$J:$J,(game_rosters!$G:$G=events!$AN2215)*(game_rosters!$J:$J=events!$X2215))&gt;0,1,""),"")</f>
        <v>1</v>
      </c>
      <c r="AA2215">
        <f t="shared" si="2353"/>
        <v>2175</v>
      </c>
      <c r="AB2215" t="str">
        <f t="shared" si="2354"/>
        <v/>
      </c>
      <c r="AC2215">
        <f t="shared" si="2302"/>
        <v>2175</v>
      </c>
      <c r="AD2215" s="6">
        <v>3</v>
      </c>
      <c r="AE2215" t="s">
        <v>941</v>
      </c>
      <c r="AF2215" t="s">
        <v>934</v>
      </c>
      <c r="AG2215" t="s">
        <v>756</v>
      </c>
      <c r="AH2215" t="s">
        <v>756</v>
      </c>
      <c r="AI2215" t="s">
        <v>367</v>
      </c>
      <c r="AJ2215" t="str">
        <f t="shared" ref="AJ2215:AK2215" si="2365">IF($J2215&lt;&gt;"",$J2215,IF($AC2215=$AC2214,AJ2214,""))</f>
        <v/>
      </c>
      <c r="AK2215" t="str">
        <f t="shared" si="2365"/>
        <v/>
      </c>
      <c r="AL2215" t="str">
        <f t="shared" si="2307"/>
        <v/>
      </c>
      <c r="AN2215" t="s">
        <v>862</v>
      </c>
      <c r="AO2215" t="str">
        <f t="shared" si="2308"/>
        <v>a</v>
      </c>
      <c r="AP2215" t="str">
        <f t="shared" si="2316"/>
        <v/>
      </c>
      <c r="AQ2215" t="str">
        <f t="shared" si="2317"/>
        <v/>
      </c>
      <c r="AR2215" t="str">
        <f t="shared" si="2318"/>
        <v>Away</v>
      </c>
      <c r="AS2215" t="str">
        <f t="shared" si="2319"/>
        <v>a</v>
      </c>
      <c r="AT2215" t="str">
        <f t="shared" si="2320"/>
        <v>Offensive</v>
      </c>
      <c r="BA2215" s="6">
        <f t="shared" si="2309"/>
        <v>506</v>
      </c>
      <c r="BB2215">
        <f t="shared" si="2310"/>
        <v>18981</v>
      </c>
      <c r="BC2215" t="str">
        <f t="shared" si="2311"/>
        <v>Nelson</v>
      </c>
      <c r="BD2215" t="str">
        <f t="shared" si="2312"/>
        <v>Velodrome</v>
      </c>
      <c r="BE2215" t="s">
        <v>7</v>
      </c>
      <c r="BF2215" t="s">
        <v>172</v>
      </c>
      <c r="BG2215" t="s">
        <v>68</v>
      </c>
      <c r="BI2215" cm="1">
        <f t="array" ref="BI2215">IFERROR(_xlfn._xlws.FILTER(shifts!A:A,(shifts!B:B=events!AD2215)*(shifts!AG:AG&gt;=events!BK2215)*(shifts!AH:AH&lt;=events!BL2215)),BI2214)</f>
        <v>99</v>
      </c>
      <c r="BJ2215" s="15">
        <f t="shared" si="2313"/>
        <v>0</v>
      </c>
      <c r="BK2215">
        <f t="shared" si="2321"/>
        <v>294</v>
      </c>
      <c r="BL2215">
        <f t="shared" si="2322"/>
        <v>294</v>
      </c>
      <c r="BM2215" s="15">
        <f>SUMIFS(BJ$2:BJ2215,K$2:K2215,"=Intermission")+SUMIFS(BJ$2:BJ2215,K$2:K2215,"=Timeout")</f>
        <v>142</v>
      </c>
      <c r="BN2215">
        <f t="shared" si="2323"/>
        <v>2302</v>
      </c>
      <c r="BO2215" s="19">
        <f t="shared" si="2324"/>
        <v>3088</v>
      </c>
      <c r="BP2215">
        <f t="shared" si="2325"/>
        <v>3083</v>
      </c>
      <c r="BQ2215" s="17">
        <f t="shared" si="2326"/>
        <v>3088</v>
      </c>
      <c r="BR2215" t="str">
        <f t="shared" si="2327"/>
        <v>event_team_player_2</v>
      </c>
      <c r="BS2215">
        <f>COUNTIFS(S$3:S2215,"="&amp;S2215,AI$3:AI2215,"="&amp;AI2215)</f>
        <v>2</v>
      </c>
      <c r="BT2215" t="str">
        <f>IFERROR(VLOOKUP(BB2215&amp;BU2215&amp;X2215,game_rosters!U:W,3,FALSE),"")</f>
        <v>P100070</v>
      </c>
      <c r="BU2215" t="str">
        <f t="shared" si="2328"/>
        <v>Velodrome</v>
      </c>
    </row>
    <row r="2216" spans="1:73" x14ac:dyDescent="0.2">
      <c r="A2216">
        <f t="shared" si="2314"/>
        <v>1</v>
      </c>
      <c r="J2216" s="44" t="str">
        <f t="shared" si="2329"/>
        <v/>
      </c>
      <c r="K2216" t="s">
        <v>13</v>
      </c>
      <c r="L2216" t="s">
        <v>756</v>
      </c>
      <c r="M2216" t="s">
        <v>756</v>
      </c>
      <c r="S2216">
        <v>1176</v>
      </c>
      <c r="W2216" t="str">
        <f t="shared" si="2305"/>
        <v>a</v>
      </c>
      <c r="X2216">
        <v>52</v>
      </c>
      <c r="Y2216" t="e">
        <f>IF(X2216&lt;&gt;"",VLOOKUP(X2216,game_rosters!$C$43:$E$64,3,FALSE))</f>
        <v>#N/A</v>
      </c>
      <c r="Z2216" cm="1">
        <f t="array" ref="Z2216">IFERROR(IF(_xlfn._xlws.FILTER(game_rosters!$J:$J,(game_rosters!$G:$G=events!$AN2216)*(game_rosters!$J:$J=events!$X2216))&gt;0,1,""),"")</f>
        <v>1</v>
      </c>
      <c r="AA2216">
        <f t="shared" si="2353"/>
        <v>2176</v>
      </c>
      <c r="AB2216" t="str">
        <f t="shared" si="2354"/>
        <v/>
      </c>
      <c r="AC2216">
        <f t="shared" si="2302"/>
        <v>2176</v>
      </c>
      <c r="AD2216" s="6">
        <v>3</v>
      </c>
      <c r="AE2216" t="s">
        <v>941</v>
      </c>
      <c r="AF2216" t="s">
        <v>897</v>
      </c>
      <c r="AG2216" t="s">
        <v>941</v>
      </c>
      <c r="AH2216" t="s">
        <v>922</v>
      </c>
      <c r="AI2216" t="s">
        <v>367</v>
      </c>
      <c r="AJ2216" t="str">
        <f t="shared" ref="AJ2216:AK2216" si="2366">IF($J2216&lt;&gt;"",$J2216,IF($AC2216=$AC2215,AJ2215,""))</f>
        <v/>
      </c>
      <c r="AK2216" t="str">
        <f t="shared" si="2366"/>
        <v/>
      </c>
      <c r="AL2216" t="str">
        <f t="shared" si="2307"/>
        <v/>
      </c>
      <c r="AN2216" t="s">
        <v>862</v>
      </c>
      <c r="AO2216" t="str">
        <f t="shared" si="2308"/>
        <v>a</v>
      </c>
      <c r="AP2216" t="str">
        <f t="shared" si="2316"/>
        <v/>
      </c>
      <c r="AQ2216" t="str">
        <f t="shared" si="2317"/>
        <v/>
      </c>
      <c r="AR2216" t="str">
        <f t="shared" si="2318"/>
        <v>Away</v>
      </c>
      <c r="AS2216" t="str">
        <f t="shared" si="2319"/>
        <v>a</v>
      </c>
      <c r="AT2216" t="str">
        <f t="shared" si="2320"/>
        <v>Offensive</v>
      </c>
      <c r="BA2216" s="6">
        <f t="shared" si="2309"/>
        <v>506</v>
      </c>
      <c r="BB2216">
        <f t="shared" si="2310"/>
        <v>18981</v>
      </c>
      <c r="BC2216" t="str">
        <f t="shared" si="2311"/>
        <v>Nelson</v>
      </c>
      <c r="BD2216" t="str">
        <f t="shared" si="2312"/>
        <v>Velodrome</v>
      </c>
      <c r="BE2216" t="s">
        <v>13</v>
      </c>
      <c r="BF2216" t="s">
        <v>756</v>
      </c>
      <c r="BG2216" t="s">
        <v>756</v>
      </c>
      <c r="BI2216" cm="1">
        <f t="array" ref="BI2216">IFERROR(_xlfn._xlws.FILTER(shifts!A:A,(shifts!B:B=events!AD2216)*(shifts!AG:AG&gt;=events!BK2216)*(shifts!AH:AH&lt;=events!BL2216)),BI2215)</f>
        <v>99</v>
      </c>
      <c r="BJ2216" s="15">
        <f t="shared" si="2313"/>
        <v>2</v>
      </c>
      <c r="BK2216">
        <f t="shared" si="2321"/>
        <v>292</v>
      </c>
      <c r="BL2216">
        <f t="shared" si="2322"/>
        <v>290</v>
      </c>
      <c r="BM2216" s="15">
        <f>SUMIFS(BJ$2:BJ2216,K$2:K2216,"=Intermission")+SUMIFS(BJ$2:BJ2216,K$2:K2216,"=Timeout")</f>
        <v>142</v>
      </c>
      <c r="BN2216">
        <f t="shared" si="2323"/>
        <v>2302</v>
      </c>
      <c r="BO2216" s="19">
        <f t="shared" si="2324"/>
        <v>3090</v>
      </c>
      <c r="BP2216">
        <f t="shared" si="2325"/>
        <v>3085</v>
      </c>
      <c r="BQ2216" s="17">
        <f t="shared" si="2326"/>
        <v>3092</v>
      </c>
      <c r="BR2216" t="str">
        <f t="shared" si="2327"/>
        <v>event_team_player_1</v>
      </c>
      <c r="BS2216">
        <f>COUNTIFS(S$3:S2216,"="&amp;S2216,AI$3:AI2216,"="&amp;AI2216)</f>
        <v>1</v>
      </c>
      <c r="BT2216" t="str">
        <f>IFERROR(VLOOKUP(BB2216&amp;BU2216&amp;X2216,game_rosters!U:W,3,FALSE),"")</f>
        <v>P100070</v>
      </c>
      <c r="BU2216" t="str">
        <f t="shared" si="2328"/>
        <v>Velodrome</v>
      </c>
    </row>
    <row r="2217" spans="1:73" x14ac:dyDescent="0.2">
      <c r="A2217">
        <f t="shared" si="2314"/>
        <v>1</v>
      </c>
      <c r="J2217" s="44" t="str">
        <f t="shared" si="2329"/>
        <v/>
      </c>
      <c r="K2217" t="s">
        <v>7</v>
      </c>
      <c r="L2217" t="s">
        <v>182</v>
      </c>
      <c r="M2217" t="s">
        <v>445</v>
      </c>
      <c r="S2217">
        <v>1177</v>
      </c>
      <c r="W2217" t="str">
        <f t="shared" si="2305"/>
        <v>a</v>
      </c>
      <c r="X2217">
        <v>52</v>
      </c>
      <c r="Y2217" t="e">
        <f>IF(X2217&lt;&gt;"",VLOOKUP(X2217,game_rosters!$C$43:$E$64,3,FALSE))</f>
        <v>#N/A</v>
      </c>
      <c r="Z2217" cm="1">
        <f t="array" ref="Z2217">IFERROR(IF(_xlfn._xlws.FILTER(game_rosters!$J:$J,(game_rosters!$G:$G=events!$AN2217)*(game_rosters!$J:$J=events!$X2217))&gt;0,1,""),"")</f>
        <v>1</v>
      </c>
      <c r="AA2217">
        <f t="shared" si="2353"/>
        <v>2177</v>
      </c>
      <c r="AB2217" t="str">
        <f t="shared" si="2354"/>
        <v/>
      </c>
      <c r="AC2217">
        <f t="shared" si="2302"/>
        <v>2177</v>
      </c>
      <c r="AD2217" s="6">
        <v>3</v>
      </c>
      <c r="AE2217" t="s">
        <v>941</v>
      </c>
      <c r="AF2217" t="s">
        <v>922</v>
      </c>
      <c r="AG2217" t="s">
        <v>756</v>
      </c>
      <c r="AH2217" t="s">
        <v>756</v>
      </c>
      <c r="AI2217" t="s">
        <v>367</v>
      </c>
      <c r="AJ2217" t="str">
        <f t="shared" ref="AJ2217:AK2217" si="2367">IF($J2217&lt;&gt;"",$J2217,IF($AC2217=$AC2216,AJ2216,""))</f>
        <v/>
      </c>
      <c r="AK2217" t="str">
        <f t="shared" si="2367"/>
        <v/>
      </c>
      <c r="AL2217" t="str">
        <f t="shared" si="2307"/>
        <v/>
      </c>
      <c r="AN2217" t="s">
        <v>862</v>
      </c>
      <c r="AO2217" t="str">
        <f t="shared" si="2308"/>
        <v>a</v>
      </c>
      <c r="AP2217" t="str">
        <f t="shared" si="2316"/>
        <v/>
      </c>
      <c r="AQ2217" t="str">
        <f t="shared" si="2317"/>
        <v/>
      </c>
      <c r="AR2217" t="str">
        <f t="shared" si="2318"/>
        <v>Away</v>
      </c>
      <c r="AS2217" t="str">
        <f t="shared" si="2319"/>
        <v>a</v>
      </c>
      <c r="AT2217" t="str">
        <f t="shared" si="2320"/>
        <v>Offensive</v>
      </c>
      <c r="BA2217" s="6">
        <f t="shared" si="2309"/>
        <v>506</v>
      </c>
      <c r="BB2217">
        <f t="shared" si="2310"/>
        <v>18981</v>
      </c>
      <c r="BC2217" t="str">
        <f t="shared" si="2311"/>
        <v>Nelson</v>
      </c>
      <c r="BD2217" t="str">
        <f t="shared" si="2312"/>
        <v>Velodrome</v>
      </c>
      <c r="BE2217" t="s">
        <v>7</v>
      </c>
      <c r="BF2217" t="s">
        <v>182</v>
      </c>
      <c r="BG2217" t="s">
        <v>445</v>
      </c>
      <c r="BI2217" cm="1">
        <f t="array" ref="BI2217">IFERROR(_xlfn._xlws.FILTER(shifts!A:A,(shifts!B:B=events!AD2217)*(shifts!AG:AG&gt;=events!BK2217)*(shifts!AH:AH&lt;=events!BL2217)),BI2216)</f>
        <v>99</v>
      </c>
      <c r="BJ2217" s="15">
        <f t="shared" si="2313"/>
        <v>0</v>
      </c>
      <c r="BK2217">
        <f t="shared" si="2321"/>
        <v>290</v>
      </c>
      <c r="BL2217">
        <f t="shared" si="2322"/>
        <v>290</v>
      </c>
      <c r="BM2217" s="15">
        <f>SUMIFS(BJ$2:BJ2217,K$2:K2217,"=Intermission")+SUMIFS(BJ$2:BJ2217,K$2:K2217,"=Timeout")</f>
        <v>142</v>
      </c>
      <c r="BN2217">
        <f t="shared" si="2323"/>
        <v>2302</v>
      </c>
      <c r="BO2217" s="19">
        <f t="shared" si="2324"/>
        <v>3092</v>
      </c>
      <c r="BP2217">
        <f t="shared" si="2325"/>
        <v>3087</v>
      </c>
      <c r="BQ2217" s="17">
        <f t="shared" si="2326"/>
        <v>3092</v>
      </c>
      <c r="BR2217" t="str">
        <f t="shared" si="2327"/>
        <v>event_team_player_1</v>
      </c>
      <c r="BS2217">
        <f>COUNTIFS(S$3:S2217,"="&amp;S2217,AI$3:AI2217,"="&amp;AI2217)</f>
        <v>1</v>
      </c>
      <c r="BT2217" t="str">
        <f>IFERROR(VLOOKUP(BB2217&amp;BU2217&amp;X2217,game_rosters!U:W,3,FALSE),"")</f>
        <v>P100070</v>
      </c>
      <c r="BU2217" t="str">
        <f t="shared" si="2328"/>
        <v>Velodrome</v>
      </c>
    </row>
    <row r="2218" spans="1:73" x14ac:dyDescent="0.2">
      <c r="A2218">
        <f t="shared" si="2314"/>
        <v>1</v>
      </c>
      <c r="J2218" s="44" t="str">
        <f t="shared" si="2329"/>
        <v/>
      </c>
      <c r="K2218" t="s">
        <v>7</v>
      </c>
      <c r="L2218" t="s">
        <v>182</v>
      </c>
      <c r="M2218" t="s">
        <v>445</v>
      </c>
      <c r="S2218">
        <v>1177</v>
      </c>
      <c r="W2218" t="str">
        <f t="shared" si="2305"/>
        <v>a</v>
      </c>
      <c r="X2218">
        <v>61</v>
      </c>
      <c r="Y2218" t="e">
        <f>IF(X2218&lt;&gt;"",VLOOKUP(X2218,game_rosters!$C$43:$E$64,3,FALSE))</f>
        <v>#N/A</v>
      </c>
      <c r="Z2218" cm="1">
        <f t="array" ref="Z2218">IFERROR(IF(_xlfn._xlws.FILTER(game_rosters!$J:$J,(game_rosters!$G:$G=events!$AN2218)*(game_rosters!$J:$J=events!$X2218))&gt;0,1,""),"")</f>
        <v>1</v>
      </c>
      <c r="AA2218">
        <f t="shared" si="2353"/>
        <v>2177</v>
      </c>
      <c r="AB2218" t="str">
        <f t="shared" si="2354"/>
        <v/>
      </c>
      <c r="AC2218">
        <f t="shared" si="2302"/>
        <v>2177</v>
      </c>
      <c r="AD2218" s="6">
        <v>3</v>
      </c>
      <c r="AE2218" t="s">
        <v>941</v>
      </c>
      <c r="AF2218" t="s">
        <v>922</v>
      </c>
      <c r="AG2218" t="s">
        <v>756</v>
      </c>
      <c r="AH2218" t="s">
        <v>756</v>
      </c>
      <c r="AI2218" t="s">
        <v>367</v>
      </c>
      <c r="AJ2218" t="str">
        <f t="shared" ref="AJ2218:AK2218" si="2368">IF($J2218&lt;&gt;"",$J2218,IF($AC2218=$AC2217,AJ2217,""))</f>
        <v/>
      </c>
      <c r="AK2218" t="str">
        <f t="shared" si="2368"/>
        <v/>
      </c>
      <c r="AL2218" t="str">
        <f t="shared" si="2307"/>
        <v/>
      </c>
      <c r="AN2218" t="s">
        <v>862</v>
      </c>
      <c r="AO2218" t="str">
        <f t="shared" si="2308"/>
        <v>a</v>
      </c>
      <c r="AP2218" t="str">
        <f t="shared" si="2316"/>
        <v/>
      </c>
      <c r="AQ2218" t="str">
        <f t="shared" si="2317"/>
        <v/>
      </c>
      <c r="AR2218" t="str">
        <f t="shared" si="2318"/>
        <v>Away</v>
      </c>
      <c r="AS2218" t="str">
        <f t="shared" si="2319"/>
        <v>a</v>
      </c>
      <c r="AT2218" t="str">
        <f t="shared" si="2320"/>
        <v>Offensive</v>
      </c>
      <c r="BA2218" s="6">
        <f t="shared" si="2309"/>
        <v>506</v>
      </c>
      <c r="BB2218">
        <f t="shared" si="2310"/>
        <v>18981</v>
      </c>
      <c r="BC2218" t="str">
        <f t="shared" si="2311"/>
        <v>Nelson</v>
      </c>
      <c r="BD2218" t="str">
        <f t="shared" si="2312"/>
        <v>Velodrome</v>
      </c>
      <c r="BE2218" t="s">
        <v>7</v>
      </c>
      <c r="BF2218" t="s">
        <v>182</v>
      </c>
      <c r="BG2218" t="s">
        <v>445</v>
      </c>
      <c r="BI2218" cm="1">
        <f t="array" ref="BI2218">IFERROR(_xlfn._xlws.FILTER(shifts!A:A,(shifts!B:B=events!AD2218)*(shifts!AG:AG&gt;=events!BK2218)*(shifts!AH:AH&lt;=events!BL2218)),BI2217)</f>
        <v>99</v>
      </c>
      <c r="BJ2218" s="15">
        <f t="shared" si="2313"/>
        <v>0</v>
      </c>
      <c r="BK2218">
        <f t="shared" si="2321"/>
        <v>290</v>
      </c>
      <c r="BL2218">
        <f t="shared" si="2322"/>
        <v>290</v>
      </c>
      <c r="BM2218" s="15">
        <f>SUMIFS(BJ$2:BJ2218,K$2:K2218,"=Intermission")+SUMIFS(BJ$2:BJ2218,K$2:K2218,"=Timeout")</f>
        <v>142</v>
      </c>
      <c r="BN2218">
        <f t="shared" si="2323"/>
        <v>2302</v>
      </c>
      <c r="BO2218" s="19">
        <f t="shared" si="2324"/>
        <v>3092</v>
      </c>
      <c r="BP2218">
        <f t="shared" si="2325"/>
        <v>3087</v>
      </c>
      <c r="BQ2218" s="17">
        <f t="shared" si="2326"/>
        <v>3092</v>
      </c>
      <c r="BR2218" t="str">
        <f t="shared" si="2327"/>
        <v>event_team_player_2</v>
      </c>
      <c r="BS2218">
        <f>COUNTIFS(S$3:S2218,"="&amp;S2218,AI$3:AI2218,"="&amp;AI2218)</f>
        <v>2</v>
      </c>
      <c r="BT2218" t="str">
        <f>IFERROR(VLOOKUP(BB2218&amp;BU2218&amp;X2218,game_rosters!U:W,3,FALSE),"")</f>
        <v>P100224</v>
      </c>
      <c r="BU2218" t="str">
        <f t="shared" si="2328"/>
        <v>Velodrome</v>
      </c>
    </row>
    <row r="2219" spans="1:73" x14ac:dyDescent="0.2">
      <c r="A2219">
        <f t="shared" si="2314"/>
        <v>1</v>
      </c>
      <c r="J2219" s="44" t="str">
        <f t="shared" si="2329"/>
        <v>d</v>
      </c>
      <c r="K2219" t="s">
        <v>238</v>
      </c>
      <c r="L2219" t="s">
        <v>184</v>
      </c>
      <c r="M2219" t="s">
        <v>88</v>
      </c>
      <c r="S2219">
        <v>1178</v>
      </c>
      <c r="W2219" t="str">
        <f t="shared" si="2305"/>
        <v>a</v>
      </c>
      <c r="X2219">
        <v>93</v>
      </c>
      <c r="Y2219" t="e">
        <f>IF(X2219&lt;&gt;"",VLOOKUP(X2219,game_rosters!$C$43:$E$64,3,FALSE))</f>
        <v>#N/A</v>
      </c>
      <c r="Z2219" cm="1">
        <f t="array" ref="Z2219">IFERROR(IF(_xlfn._xlws.FILTER(game_rosters!$J:$J,(game_rosters!$G:$G=events!$AN2219)*(game_rosters!$J:$J=events!$X2219))&gt;0,1,""),"")</f>
        <v>1</v>
      </c>
      <c r="AA2219">
        <f t="shared" si="2353"/>
        <v>2178</v>
      </c>
      <c r="AB2219" t="str">
        <f t="shared" si="2354"/>
        <v/>
      </c>
      <c r="AC2219">
        <f t="shared" si="2302"/>
        <v>2178</v>
      </c>
      <c r="AD2219" s="6">
        <v>3</v>
      </c>
      <c r="AE2219" t="s">
        <v>941</v>
      </c>
      <c r="AF2219" t="s">
        <v>737</v>
      </c>
      <c r="AG2219" t="s">
        <v>941</v>
      </c>
      <c r="AH2219" t="s">
        <v>923</v>
      </c>
      <c r="AI2219" t="s">
        <v>367</v>
      </c>
      <c r="AJ2219" t="str">
        <f t="shared" ref="AJ2219:AK2219" si="2369">IF($J2219&lt;&gt;"",$J2219,IF($AC2219=$AC2218,AJ2218,""))</f>
        <v>d</v>
      </c>
      <c r="AK2219" t="str">
        <f t="shared" si="2369"/>
        <v>d</v>
      </c>
      <c r="AL2219" t="str">
        <f t="shared" si="2307"/>
        <v>o</v>
      </c>
      <c r="AN2219" t="s">
        <v>862</v>
      </c>
      <c r="AO2219" t="str">
        <f t="shared" si="2308"/>
        <v>a</v>
      </c>
      <c r="AP2219" t="str">
        <f t="shared" si="2316"/>
        <v>o</v>
      </c>
      <c r="AQ2219" t="str">
        <f t="shared" si="2317"/>
        <v/>
      </c>
      <c r="AR2219" t="str">
        <f t="shared" si="2318"/>
        <v>Away</v>
      </c>
      <c r="AS2219" t="str">
        <f t="shared" si="2319"/>
        <v>a</v>
      </c>
      <c r="AT2219" t="str">
        <f t="shared" si="2320"/>
        <v>Offensive</v>
      </c>
      <c r="BA2219" s="6">
        <f t="shared" si="2309"/>
        <v>507</v>
      </c>
      <c r="BB2219">
        <f t="shared" si="2310"/>
        <v>18981</v>
      </c>
      <c r="BC2219" t="str">
        <f t="shared" si="2311"/>
        <v>Nelson</v>
      </c>
      <c r="BD2219" t="str">
        <f t="shared" si="2312"/>
        <v>Velodrome</v>
      </c>
      <c r="BE2219" t="s">
        <v>238</v>
      </c>
      <c r="BF2219" t="s">
        <v>184</v>
      </c>
      <c r="BG2219" t="s">
        <v>88</v>
      </c>
      <c r="BI2219" cm="1">
        <f t="array" ref="BI2219">IFERROR(_xlfn._xlws.FILTER(shifts!A:A,(shifts!B:B=events!AD2219)*(shifts!AG:AG&gt;=events!BK2219)*(shifts!AH:AH&lt;=events!BL2219)),BI2218)</f>
        <v>99</v>
      </c>
      <c r="BJ2219" s="15">
        <f t="shared" si="2313"/>
        <v>2</v>
      </c>
      <c r="BK2219">
        <f t="shared" si="2321"/>
        <v>286</v>
      </c>
      <c r="BL2219">
        <f t="shared" si="2322"/>
        <v>284</v>
      </c>
      <c r="BM2219" s="15">
        <f>SUMIFS(BJ$2:BJ2219,K$2:K2219,"=Intermission")+SUMIFS(BJ$2:BJ2219,K$2:K2219,"=Timeout")</f>
        <v>142</v>
      </c>
      <c r="BN2219">
        <f t="shared" si="2323"/>
        <v>2302</v>
      </c>
      <c r="BO2219" s="19">
        <f t="shared" si="2324"/>
        <v>3096</v>
      </c>
      <c r="BP2219">
        <f t="shared" si="2325"/>
        <v>3091</v>
      </c>
      <c r="BQ2219" s="17">
        <f t="shared" si="2326"/>
        <v>3098</v>
      </c>
      <c r="BR2219" t="str">
        <f t="shared" si="2327"/>
        <v>event_team_player_1</v>
      </c>
      <c r="BS2219">
        <f>COUNTIFS(S$3:S2219,"="&amp;S2219,AI$3:AI2219,"="&amp;AI2219)</f>
        <v>1</v>
      </c>
      <c r="BT2219" t="str">
        <f>IFERROR(VLOOKUP(BB2219&amp;BU2219&amp;X2219,game_rosters!U:W,3,FALSE),"")</f>
        <v>P100093</v>
      </c>
      <c r="BU2219" t="str">
        <f t="shared" si="2328"/>
        <v>Velodrome</v>
      </c>
    </row>
    <row r="2220" spans="1:73" x14ac:dyDescent="0.2">
      <c r="A2220">
        <f t="shared" si="2314"/>
        <v>1</v>
      </c>
      <c r="J2220" s="44" t="str">
        <f t="shared" si="2329"/>
        <v/>
      </c>
      <c r="K2220" t="s">
        <v>7</v>
      </c>
      <c r="L2220" t="s">
        <v>199</v>
      </c>
      <c r="M2220" t="s">
        <v>67</v>
      </c>
      <c r="S2220">
        <v>1179</v>
      </c>
      <c r="W2220" t="str">
        <f t="shared" si="2305"/>
        <v>a</v>
      </c>
      <c r="X2220">
        <v>93</v>
      </c>
      <c r="Y2220" t="e">
        <f>IF(X2220&lt;&gt;"",VLOOKUP(X2220,game_rosters!$C$43:$E$64,3,FALSE))</f>
        <v>#N/A</v>
      </c>
      <c r="Z2220" cm="1">
        <f t="array" ref="Z2220">IFERROR(IF(_xlfn._xlws.FILTER(game_rosters!$J:$J,(game_rosters!$G:$G=events!$AN2220)*(game_rosters!$J:$J=events!$X2220))&gt;0,1,""),"")</f>
        <v>1</v>
      </c>
      <c r="AA2220">
        <f t="shared" si="2353"/>
        <v>2179</v>
      </c>
      <c r="AB2220" t="str">
        <f t="shared" si="2354"/>
        <v/>
      </c>
      <c r="AC2220">
        <f t="shared" si="2302"/>
        <v>2179</v>
      </c>
      <c r="AD2220" s="6">
        <v>3</v>
      </c>
      <c r="AE2220" t="s">
        <v>941</v>
      </c>
      <c r="AF2220" t="s">
        <v>923</v>
      </c>
      <c r="AG2220" t="s">
        <v>756</v>
      </c>
      <c r="AH2220" t="s">
        <v>756</v>
      </c>
      <c r="AI2220" t="s">
        <v>367</v>
      </c>
      <c r="AJ2220" t="str">
        <f t="shared" ref="AJ2220:AK2220" si="2370">IF($J2220&lt;&gt;"",$J2220,IF($AC2220=$AC2219,AJ2219,""))</f>
        <v/>
      </c>
      <c r="AK2220" t="str">
        <f t="shared" si="2370"/>
        <v/>
      </c>
      <c r="AL2220" t="str">
        <f t="shared" si="2307"/>
        <v/>
      </c>
      <c r="AN2220" t="s">
        <v>862</v>
      </c>
      <c r="AO2220" t="str">
        <f t="shared" si="2308"/>
        <v>a</v>
      </c>
      <c r="AP2220" t="str">
        <f t="shared" si="2316"/>
        <v/>
      </c>
      <c r="AQ2220" t="str">
        <f t="shared" si="2317"/>
        <v/>
      </c>
      <c r="AR2220" t="str">
        <f t="shared" si="2318"/>
        <v>Away</v>
      </c>
      <c r="AS2220" t="str">
        <f t="shared" si="2319"/>
        <v>a</v>
      </c>
      <c r="AT2220" t="str">
        <f t="shared" si="2320"/>
        <v>Offensive</v>
      </c>
      <c r="BA2220" s="6">
        <f t="shared" si="2309"/>
        <v>507</v>
      </c>
      <c r="BB2220">
        <f t="shared" si="2310"/>
        <v>18981</v>
      </c>
      <c r="BC2220" t="str">
        <f t="shared" si="2311"/>
        <v>Nelson</v>
      </c>
      <c r="BD2220" t="str">
        <f t="shared" si="2312"/>
        <v>Velodrome</v>
      </c>
      <c r="BE2220" t="s">
        <v>7</v>
      </c>
      <c r="BF2220" t="s">
        <v>199</v>
      </c>
      <c r="BG2220" t="s">
        <v>67</v>
      </c>
      <c r="BI2220" cm="1">
        <f t="array" ref="BI2220">IFERROR(_xlfn._xlws.FILTER(shifts!A:A,(shifts!B:B=events!AD2220)*(shifts!AG:AG&gt;=events!BK2220)*(shifts!AH:AH&lt;=events!BL2220)),BI2219)</f>
        <v>99</v>
      </c>
      <c r="BJ2220" s="15">
        <f t="shared" si="2313"/>
        <v>0</v>
      </c>
      <c r="BK2220">
        <f t="shared" si="2321"/>
        <v>284</v>
      </c>
      <c r="BL2220">
        <f t="shared" si="2322"/>
        <v>284</v>
      </c>
      <c r="BM2220" s="15">
        <f>SUMIFS(BJ$2:BJ2220,K$2:K2220,"=Intermission")+SUMIFS(BJ$2:BJ2220,K$2:K2220,"=Timeout")</f>
        <v>142</v>
      </c>
      <c r="BN2220">
        <f t="shared" si="2323"/>
        <v>2302</v>
      </c>
      <c r="BO2220" s="19">
        <f t="shared" si="2324"/>
        <v>3098</v>
      </c>
      <c r="BP2220">
        <f t="shared" si="2325"/>
        <v>3093</v>
      </c>
      <c r="BQ2220" s="17">
        <f t="shared" si="2326"/>
        <v>3098</v>
      </c>
      <c r="BR2220" t="str">
        <f t="shared" si="2327"/>
        <v>event_team_player_1</v>
      </c>
      <c r="BS2220">
        <f>COUNTIFS(S$3:S2220,"="&amp;S2220,AI$3:AI2220,"="&amp;AI2220)</f>
        <v>1</v>
      </c>
      <c r="BT2220" t="str">
        <f>IFERROR(VLOOKUP(BB2220&amp;BU2220&amp;X2220,game_rosters!U:W,3,FALSE),"")</f>
        <v>P100093</v>
      </c>
      <c r="BU2220" t="str">
        <f t="shared" si="2328"/>
        <v>Velodrome</v>
      </c>
    </row>
    <row r="2221" spans="1:73" x14ac:dyDescent="0.2">
      <c r="A2221">
        <f t="shared" si="2314"/>
        <v>1</v>
      </c>
      <c r="J2221" s="44" t="str">
        <f t="shared" si="2329"/>
        <v/>
      </c>
      <c r="K2221" t="s">
        <v>7</v>
      </c>
      <c r="L2221" t="s">
        <v>199</v>
      </c>
      <c r="M2221" t="s">
        <v>67</v>
      </c>
      <c r="S2221">
        <v>1179</v>
      </c>
      <c r="W2221" t="str">
        <f t="shared" si="2305"/>
        <v>a</v>
      </c>
      <c r="X2221">
        <v>14</v>
      </c>
      <c r="Y2221" t="e">
        <f>IF(X2221&lt;&gt;"",VLOOKUP(X2221,game_rosters!$C$43:$E$64,3,FALSE))</f>
        <v>#N/A</v>
      </c>
      <c r="Z2221" cm="1">
        <f t="array" ref="Z2221">IFERROR(IF(_xlfn._xlws.FILTER(game_rosters!$J:$J,(game_rosters!$G:$G=events!$AN2221)*(game_rosters!$J:$J=events!$X2221))&gt;0,1,""),"")</f>
        <v>1</v>
      </c>
      <c r="AA2221">
        <f t="shared" si="2353"/>
        <v>2179</v>
      </c>
      <c r="AB2221" t="str">
        <f t="shared" si="2354"/>
        <v/>
      </c>
      <c r="AC2221">
        <f t="shared" si="2302"/>
        <v>2179</v>
      </c>
      <c r="AD2221" s="6">
        <v>3</v>
      </c>
      <c r="AE2221" t="s">
        <v>941</v>
      </c>
      <c r="AF2221" t="s">
        <v>923</v>
      </c>
      <c r="AG2221" t="s">
        <v>756</v>
      </c>
      <c r="AH2221" t="s">
        <v>756</v>
      </c>
      <c r="AI2221" t="s">
        <v>367</v>
      </c>
      <c r="AJ2221" t="str">
        <f t="shared" ref="AJ2221:AK2221" si="2371">IF($J2221&lt;&gt;"",$J2221,IF($AC2221=$AC2220,AJ2220,""))</f>
        <v/>
      </c>
      <c r="AK2221" t="str">
        <f t="shared" si="2371"/>
        <v/>
      </c>
      <c r="AL2221" t="str">
        <f t="shared" si="2307"/>
        <v/>
      </c>
      <c r="AN2221" t="s">
        <v>862</v>
      </c>
      <c r="AO2221" t="str">
        <f t="shared" si="2308"/>
        <v>a</v>
      </c>
      <c r="AP2221" t="str">
        <f t="shared" si="2316"/>
        <v/>
      </c>
      <c r="AQ2221" t="str">
        <f t="shared" si="2317"/>
        <v/>
      </c>
      <c r="AR2221" t="str">
        <f t="shared" si="2318"/>
        <v>Away</v>
      </c>
      <c r="AS2221" t="str">
        <f t="shared" si="2319"/>
        <v>a</v>
      </c>
      <c r="AT2221" t="str">
        <f t="shared" si="2320"/>
        <v>Offensive</v>
      </c>
      <c r="BA2221" s="6">
        <f t="shared" si="2309"/>
        <v>507</v>
      </c>
      <c r="BB2221">
        <f t="shared" si="2310"/>
        <v>18981</v>
      </c>
      <c r="BC2221" t="str">
        <f t="shared" si="2311"/>
        <v>Nelson</v>
      </c>
      <c r="BD2221" t="str">
        <f t="shared" si="2312"/>
        <v>Velodrome</v>
      </c>
      <c r="BE2221" t="s">
        <v>7</v>
      </c>
      <c r="BF2221" t="s">
        <v>199</v>
      </c>
      <c r="BG2221" t="s">
        <v>67</v>
      </c>
      <c r="BI2221" cm="1">
        <f t="array" ref="BI2221">IFERROR(_xlfn._xlws.FILTER(shifts!A:A,(shifts!B:B=events!AD2221)*(shifts!AG:AG&gt;=events!BK2221)*(shifts!AH:AH&lt;=events!BL2221)),BI2220)</f>
        <v>99</v>
      </c>
      <c r="BJ2221" s="15">
        <f t="shared" si="2313"/>
        <v>0</v>
      </c>
      <c r="BK2221">
        <f t="shared" si="2321"/>
        <v>284</v>
      </c>
      <c r="BL2221">
        <f t="shared" si="2322"/>
        <v>284</v>
      </c>
      <c r="BM2221" s="15">
        <f>SUMIFS(BJ$2:BJ2221,K$2:K2221,"=Intermission")+SUMIFS(BJ$2:BJ2221,K$2:K2221,"=Timeout")</f>
        <v>142</v>
      </c>
      <c r="BN2221">
        <f t="shared" si="2323"/>
        <v>2302</v>
      </c>
      <c r="BO2221" s="19">
        <f t="shared" si="2324"/>
        <v>3098</v>
      </c>
      <c r="BP2221">
        <f t="shared" si="2325"/>
        <v>3093</v>
      </c>
      <c r="BQ2221" s="17">
        <f t="shared" si="2326"/>
        <v>3098</v>
      </c>
      <c r="BR2221" t="str">
        <f t="shared" si="2327"/>
        <v>event_team_player_2</v>
      </c>
      <c r="BS2221">
        <f>COUNTIFS(S$3:S2221,"="&amp;S2221,AI$3:AI2221,"="&amp;AI2221)</f>
        <v>2</v>
      </c>
      <c r="BT2221" t="str">
        <f>IFERROR(VLOOKUP(BB2221&amp;BU2221&amp;X2221,game_rosters!U:W,3,FALSE),"")</f>
        <v>P100132</v>
      </c>
      <c r="BU2221" t="str">
        <f t="shared" si="2328"/>
        <v>Velodrome</v>
      </c>
    </row>
    <row r="2222" spans="1:73" x14ac:dyDescent="0.2">
      <c r="A2222">
        <f t="shared" si="2314"/>
        <v>1</v>
      </c>
      <c r="J2222" s="44" t="str">
        <f t="shared" si="2329"/>
        <v/>
      </c>
      <c r="K2222" t="s">
        <v>7</v>
      </c>
      <c r="L2222" t="s">
        <v>199</v>
      </c>
      <c r="M2222" t="s">
        <v>67</v>
      </c>
      <c r="S2222">
        <v>1179</v>
      </c>
      <c r="W2222" t="str">
        <f t="shared" si="2305"/>
        <v>a</v>
      </c>
      <c r="X2222">
        <v>23</v>
      </c>
      <c r="Y2222" t="b">
        <f>IF(X2222&lt;&gt;"",VLOOKUP(X2222,game_rosters!$C$43:$E$64,3,FALSE))</f>
        <v>0</v>
      </c>
      <c r="Z2222" t="str" cm="1">
        <f t="array" ref="Z2222">IFERROR(IF(_xlfn._xlws.FILTER(game_rosters!$J:$J,(game_rosters!$G:$G=events!$AN2222)*(game_rosters!$J:$J=events!$X2222))&gt;0,1,""),"")</f>
        <v/>
      </c>
      <c r="AA2222">
        <f t="shared" si="2353"/>
        <v>2179</v>
      </c>
      <c r="AB2222" t="str">
        <f t="shared" si="2354"/>
        <v/>
      </c>
      <c r="AC2222">
        <f t="shared" si="2302"/>
        <v>2179</v>
      </c>
      <c r="AD2222" s="6">
        <v>3</v>
      </c>
      <c r="AE2222" t="s">
        <v>941</v>
      </c>
      <c r="AF2222" t="s">
        <v>923</v>
      </c>
      <c r="AG2222" t="s">
        <v>756</v>
      </c>
      <c r="AH2222" t="s">
        <v>756</v>
      </c>
      <c r="AI2222" t="s">
        <v>368</v>
      </c>
      <c r="AJ2222" t="str">
        <f t="shared" ref="AJ2222:AK2222" si="2372">IF($J2222&lt;&gt;"",$J2222,IF($AC2222=$AC2221,AJ2221,""))</f>
        <v/>
      </c>
      <c r="AK2222" t="str">
        <f t="shared" si="2372"/>
        <v/>
      </c>
      <c r="AL2222" t="str">
        <f t="shared" si="2307"/>
        <v/>
      </c>
      <c r="AN2222" t="s">
        <v>862</v>
      </c>
      <c r="AO2222" t="str">
        <f t="shared" si="2308"/>
        <v>a</v>
      </c>
      <c r="AP2222" t="str">
        <f t="shared" si="2316"/>
        <v/>
      </c>
      <c r="AQ2222" t="str">
        <f t="shared" si="2317"/>
        <v/>
      </c>
      <c r="AR2222" t="str">
        <f t="shared" si="2318"/>
        <v>Away</v>
      </c>
      <c r="AS2222" t="str">
        <f t="shared" si="2319"/>
        <v>a</v>
      </c>
      <c r="AT2222" t="str">
        <f t="shared" si="2320"/>
        <v>Defensive</v>
      </c>
      <c r="BA2222" s="6">
        <f t="shared" si="2309"/>
        <v>507</v>
      </c>
      <c r="BB2222">
        <f t="shared" si="2310"/>
        <v>18981</v>
      </c>
      <c r="BC2222" t="str">
        <f t="shared" si="2311"/>
        <v>Nelson</v>
      </c>
      <c r="BD2222" t="str">
        <f t="shared" si="2312"/>
        <v>Velodrome</v>
      </c>
      <c r="BE2222" t="s">
        <v>7</v>
      </c>
      <c r="BF2222" t="s">
        <v>199</v>
      </c>
      <c r="BG2222" t="s">
        <v>67</v>
      </c>
      <c r="BI2222" cm="1">
        <f t="array" ref="BI2222">IFERROR(_xlfn._xlws.FILTER(shifts!A:A,(shifts!B:B=events!AD2222)*(shifts!AG:AG&gt;=events!BK2222)*(shifts!AH:AH&lt;=events!BL2222)),BI2221)</f>
        <v>99</v>
      </c>
      <c r="BJ2222" s="15">
        <f t="shared" si="2313"/>
        <v>0</v>
      </c>
      <c r="BK2222">
        <f t="shared" si="2321"/>
        <v>284</v>
      </c>
      <c r="BL2222">
        <f t="shared" si="2322"/>
        <v>284</v>
      </c>
      <c r="BM2222" s="15">
        <f>SUMIFS(BJ$2:BJ2222,K$2:K2222,"=Intermission")+SUMIFS(BJ$2:BJ2222,K$2:K2222,"=Timeout")</f>
        <v>142</v>
      </c>
      <c r="BN2222">
        <f t="shared" si="2323"/>
        <v>2302</v>
      </c>
      <c r="BO2222" s="19">
        <f t="shared" si="2324"/>
        <v>3098</v>
      </c>
      <c r="BP2222">
        <f t="shared" si="2325"/>
        <v>3093</v>
      </c>
      <c r="BQ2222" s="17">
        <f t="shared" si="2326"/>
        <v>3098</v>
      </c>
      <c r="BR2222" t="str">
        <f t="shared" si="2327"/>
        <v>opp_team_player_1</v>
      </c>
      <c r="BS2222">
        <f>COUNTIFS(S$3:S2222,"="&amp;S2222,AI$3:AI2222,"="&amp;AI2222)</f>
        <v>1</v>
      </c>
      <c r="BT2222" t="str">
        <f>IFERROR(VLOOKUP(BB2222&amp;BU2222&amp;X2222,game_rosters!U:W,3,FALSE),"")</f>
        <v>P100061</v>
      </c>
      <c r="BU2222" t="str">
        <f t="shared" si="2328"/>
        <v>Nelson</v>
      </c>
    </row>
    <row r="2223" spans="1:73" x14ac:dyDescent="0.2">
      <c r="A2223">
        <f t="shared" si="2314"/>
        <v>1</v>
      </c>
      <c r="J2223" s="44" t="str">
        <f t="shared" si="2329"/>
        <v/>
      </c>
      <c r="K2223" t="s">
        <v>9</v>
      </c>
      <c r="L2223" t="s">
        <v>173</v>
      </c>
      <c r="M2223" t="s">
        <v>73</v>
      </c>
      <c r="S2223">
        <v>1180</v>
      </c>
      <c r="W2223" t="str">
        <f t="shared" si="2305"/>
        <v>a</v>
      </c>
      <c r="X2223">
        <v>93</v>
      </c>
      <c r="Y2223" t="e">
        <f>IF(X2223&lt;&gt;"",VLOOKUP(X2223,game_rosters!$C$43:$E$64,3,FALSE))</f>
        <v>#N/A</v>
      </c>
      <c r="Z2223" cm="1">
        <f t="array" ref="Z2223">IFERROR(IF(_xlfn._xlws.FILTER(game_rosters!$J:$J,(game_rosters!$G:$G=events!$AN2223)*(game_rosters!$J:$J=events!$X2223))&gt;0,1,""),"")</f>
        <v>1</v>
      </c>
      <c r="AA2223">
        <f t="shared" si="2353"/>
        <v>2180</v>
      </c>
      <c r="AB2223" t="str">
        <f t="shared" si="2354"/>
        <v/>
      </c>
      <c r="AC2223">
        <f t="shared" si="2302"/>
        <v>2180</v>
      </c>
      <c r="AD2223" s="6">
        <v>3</v>
      </c>
      <c r="AE2223" t="s">
        <v>941</v>
      </c>
      <c r="AF2223" t="s">
        <v>923</v>
      </c>
      <c r="AG2223" t="s">
        <v>756</v>
      </c>
      <c r="AH2223" t="s">
        <v>756</v>
      </c>
      <c r="AI2223" t="s">
        <v>367</v>
      </c>
      <c r="AJ2223" t="str">
        <f t="shared" ref="AJ2223:AK2223" si="2373">IF($J2223&lt;&gt;"",$J2223,IF($AC2223=$AC2222,AJ2222,""))</f>
        <v/>
      </c>
      <c r="AK2223" t="str">
        <f t="shared" si="2373"/>
        <v/>
      </c>
      <c r="AL2223" t="str">
        <f t="shared" si="2307"/>
        <v/>
      </c>
      <c r="AN2223" t="s">
        <v>862</v>
      </c>
      <c r="AO2223" t="str">
        <f t="shared" si="2308"/>
        <v>a</v>
      </c>
      <c r="AP2223" t="str">
        <f t="shared" si="2316"/>
        <v/>
      </c>
      <c r="AQ2223" t="str">
        <f t="shared" si="2317"/>
        <v/>
      </c>
      <c r="AR2223" t="str">
        <f t="shared" si="2318"/>
        <v>Away</v>
      </c>
      <c r="AS2223" t="str">
        <f t="shared" si="2319"/>
        <v>a</v>
      </c>
      <c r="AT2223" t="str">
        <f t="shared" si="2320"/>
        <v>Offensive</v>
      </c>
      <c r="BA2223" s="6">
        <f t="shared" si="2309"/>
        <v>507</v>
      </c>
      <c r="BB2223">
        <f t="shared" si="2310"/>
        <v>18981</v>
      </c>
      <c r="BC2223" t="str">
        <f t="shared" si="2311"/>
        <v>Nelson</v>
      </c>
      <c r="BD2223" t="str">
        <f t="shared" si="2312"/>
        <v>Velodrome</v>
      </c>
      <c r="BE2223" t="s">
        <v>9</v>
      </c>
      <c r="BF2223" t="s">
        <v>173</v>
      </c>
      <c r="BG2223" t="s">
        <v>73</v>
      </c>
      <c r="BI2223" cm="1">
        <f t="array" ref="BI2223">IFERROR(_xlfn._xlws.FILTER(shifts!A:A,(shifts!B:B=events!AD2223)*(shifts!AG:AG&gt;=events!BK2223)*(shifts!AH:AH&lt;=events!BL2223)),BI2222)</f>
        <v>99</v>
      </c>
      <c r="BJ2223" s="15">
        <f t="shared" si="2313"/>
        <v>0</v>
      </c>
      <c r="BK2223">
        <f t="shared" si="2321"/>
        <v>284</v>
      </c>
      <c r="BL2223">
        <f t="shared" si="2322"/>
        <v>284</v>
      </c>
      <c r="BM2223" s="15">
        <f>SUMIFS(BJ$2:BJ2223,K$2:K2223,"=Intermission")+SUMIFS(BJ$2:BJ2223,K$2:K2223,"=Timeout")</f>
        <v>142</v>
      </c>
      <c r="BN2223">
        <f t="shared" si="2323"/>
        <v>2302</v>
      </c>
      <c r="BO2223" s="19">
        <f t="shared" si="2324"/>
        <v>3098</v>
      </c>
      <c r="BP2223">
        <f t="shared" si="2325"/>
        <v>3093</v>
      </c>
      <c r="BQ2223" s="17">
        <f t="shared" si="2326"/>
        <v>3098</v>
      </c>
      <c r="BR2223" t="str">
        <f t="shared" si="2327"/>
        <v>event_team_player_1</v>
      </c>
      <c r="BS2223">
        <f>COUNTIFS(S$3:S2223,"="&amp;S2223,AI$3:AI2223,"="&amp;AI2223)</f>
        <v>1</v>
      </c>
      <c r="BT2223" t="str">
        <f>IFERROR(VLOOKUP(BB2223&amp;BU2223&amp;X2223,game_rosters!U:W,3,FALSE),"")</f>
        <v>P100093</v>
      </c>
      <c r="BU2223" t="str">
        <f t="shared" si="2328"/>
        <v>Velodrome</v>
      </c>
    </row>
    <row r="2224" spans="1:73" x14ac:dyDescent="0.2">
      <c r="A2224">
        <f t="shared" si="2314"/>
        <v>1</v>
      </c>
      <c r="J2224" s="44" t="str">
        <f t="shared" si="2329"/>
        <v/>
      </c>
      <c r="K2224" t="s">
        <v>9</v>
      </c>
      <c r="L2224" t="s">
        <v>173</v>
      </c>
      <c r="M2224" t="s">
        <v>73</v>
      </c>
      <c r="S2224">
        <v>1180</v>
      </c>
      <c r="W2224" t="str">
        <f t="shared" si="2305"/>
        <v>a</v>
      </c>
      <c r="X2224">
        <v>14</v>
      </c>
      <c r="Y2224" t="e">
        <f>IF(X2224&lt;&gt;"",VLOOKUP(X2224,game_rosters!$C$43:$E$64,3,FALSE))</f>
        <v>#N/A</v>
      </c>
      <c r="Z2224" cm="1">
        <f t="array" ref="Z2224">IFERROR(IF(_xlfn._xlws.FILTER(game_rosters!$J:$J,(game_rosters!$G:$G=events!$AN2224)*(game_rosters!$J:$J=events!$X2224))&gt;0,1,""),"")</f>
        <v>1</v>
      </c>
      <c r="AA2224">
        <f t="shared" si="2353"/>
        <v>2180</v>
      </c>
      <c r="AB2224" t="str">
        <f t="shared" si="2354"/>
        <v/>
      </c>
      <c r="AC2224">
        <f t="shared" si="2302"/>
        <v>2180</v>
      </c>
      <c r="AD2224" s="6">
        <v>3</v>
      </c>
      <c r="AE2224" t="s">
        <v>941</v>
      </c>
      <c r="AF2224" t="s">
        <v>923</v>
      </c>
      <c r="AG2224" t="s">
        <v>756</v>
      </c>
      <c r="AH2224" t="s">
        <v>756</v>
      </c>
      <c r="AI2224" t="s">
        <v>367</v>
      </c>
      <c r="AJ2224" t="str">
        <f t="shared" ref="AJ2224:AK2224" si="2374">IF($J2224&lt;&gt;"",$J2224,IF($AC2224=$AC2223,AJ2223,""))</f>
        <v/>
      </c>
      <c r="AK2224" t="str">
        <f t="shared" si="2374"/>
        <v/>
      </c>
      <c r="AL2224" t="str">
        <f t="shared" si="2307"/>
        <v/>
      </c>
      <c r="AN2224" t="s">
        <v>862</v>
      </c>
      <c r="AO2224" t="str">
        <f t="shared" si="2308"/>
        <v>a</v>
      </c>
      <c r="AP2224" t="str">
        <f t="shared" si="2316"/>
        <v/>
      </c>
      <c r="AQ2224" t="str">
        <f t="shared" si="2317"/>
        <v/>
      </c>
      <c r="AR2224" t="str">
        <f t="shared" si="2318"/>
        <v>Away</v>
      </c>
      <c r="AS2224" t="str">
        <f t="shared" si="2319"/>
        <v>a</v>
      </c>
      <c r="AT2224" t="str">
        <f t="shared" si="2320"/>
        <v>Offensive</v>
      </c>
      <c r="BA2224" s="6">
        <f t="shared" si="2309"/>
        <v>507</v>
      </c>
      <c r="BB2224">
        <f t="shared" si="2310"/>
        <v>18981</v>
      </c>
      <c r="BC2224" t="str">
        <f t="shared" si="2311"/>
        <v>Nelson</v>
      </c>
      <c r="BD2224" t="str">
        <f t="shared" si="2312"/>
        <v>Velodrome</v>
      </c>
      <c r="BE2224" t="s">
        <v>9</v>
      </c>
      <c r="BF2224" t="s">
        <v>173</v>
      </c>
      <c r="BG2224" t="s">
        <v>73</v>
      </c>
      <c r="BI2224" cm="1">
        <f t="array" ref="BI2224">IFERROR(_xlfn._xlws.FILTER(shifts!A:A,(shifts!B:B=events!AD2224)*(shifts!AG:AG&gt;=events!BK2224)*(shifts!AH:AH&lt;=events!BL2224)),BI2223)</f>
        <v>99</v>
      </c>
      <c r="BJ2224" s="15">
        <f t="shared" si="2313"/>
        <v>0</v>
      </c>
      <c r="BK2224">
        <f t="shared" si="2321"/>
        <v>284</v>
      </c>
      <c r="BL2224">
        <f t="shared" si="2322"/>
        <v>284</v>
      </c>
      <c r="BM2224" s="15">
        <f>SUMIFS(BJ$2:BJ2224,K$2:K2224,"=Intermission")+SUMIFS(BJ$2:BJ2224,K$2:K2224,"=Timeout")</f>
        <v>142</v>
      </c>
      <c r="BN2224">
        <f t="shared" si="2323"/>
        <v>2302</v>
      </c>
      <c r="BO2224" s="19">
        <f t="shared" si="2324"/>
        <v>3098</v>
      </c>
      <c r="BP2224">
        <f t="shared" si="2325"/>
        <v>3093</v>
      </c>
      <c r="BQ2224" s="17">
        <f t="shared" si="2326"/>
        <v>3098</v>
      </c>
      <c r="BR2224" t="str">
        <f t="shared" si="2327"/>
        <v>event_team_player_2</v>
      </c>
      <c r="BS2224">
        <f>COUNTIFS(S$3:S2224,"="&amp;S2224,AI$3:AI2224,"="&amp;AI2224)</f>
        <v>2</v>
      </c>
      <c r="BT2224" t="str">
        <f>IFERROR(VLOOKUP(BB2224&amp;BU2224&amp;X2224,game_rosters!U:W,3,FALSE),"")</f>
        <v>P100132</v>
      </c>
      <c r="BU2224" t="str">
        <f t="shared" si="2328"/>
        <v>Velodrome</v>
      </c>
    </row>
    <row r="2225" spans="1:73" x14ac:dyDescent="0.2">
      <c r="A2225">
        <f t="shared" si="2314"/>
        <v>1</v>
      </c>
      <c r="J2225" s="44" t="str">
        <f t="shared" si="2329"/>
        <v/>
      </c>
      <c r="K2225" t="s">
        <v>9</v>
      </c>
      <c r="L2225" t="s">
        <v>173</v>
      </c>
      <c r="M2225" t="s">
        <v>73</v>
      </c>
      <c r="S2225">
        <v>1180</v>
      </c>
      <c r="W2225" t="str">
        <f t="shared" si="2305"/>
        <v>a</v>
      </c>
      <c r="X2225">
        <v>23</v>
      </c>
      <c r="Y2225" t="b">
        <f>IF(X2225&lt;&gt;"",VLOOKUP(X2225,game_rosters!$C$43:$E$64,3,FALSE))</f>
        <v>0</v>
      </c>
      <c r="Z2225" t="str" cm="1">
        <f t="array" ref="Z2225">IFERROR(IF(_xlfn._xlws.FILTER(game_rosters!$J:$J,(game_rosters!$G:$G=events!$AN2225)*(game_rosters!$J:$J=events!$X2225))&gt;0,1,""),"")</f>
        <v/>
      </c>
      <c r="AA2225">
        <f t="shared" si="2353"/>
        <v>2180</v>
      </c>
      <c r="AB2225" t="str">
        <f t="shared" si="2354"/>
        <v/>
      </c>
      <c r="AC2225">
        <f t="shared" si="2302"/>
        <v>2180</v>
      </c>
      <c r="AD2225" s="6">
        <v>3</v>
      </c>
      <c r="AE2225" t="s">
        <v>941</v>
      </c>
      <c r="AF2225" t="s">
        <v>923</v>
      </c>
      <c r="AG2225" t="s">
        <v>756</v>
      </c>
      <c r="AH2225" t="s">
        <v>756</v>
      </c>
      <c r="AI2225" t="s">
        <v>368</v>
      </c>
      <c r="AJ2225" t="str">
        <f t="shared" ref="AJ2225:AK2225" si="2375">IF($J2225&lt;&gt;"",$J2225,IF($AC2225=$AC2224,AJ2224,""))</f>
        <v/>
      </c>
      <c r="AK2225" t="str">
        <f t="shared" si="2375"/>
        <v/>
      </c>
      <c r="AL2225" t="str">
        <f t="shared" si="2307"/>
        <v/>
      </c>
      <c r="AN2225" t="s">
        <v>862</v>
      </c>
      <c r="AO2225" t="str">
        <f t="shared" si="2308"/>
        <v>a</v>
      </c>
      <c r="AP2225" t="str">
        <f t="shared" si="2316"/>
        <v/>
      </c>
      <c r="AQ2225" t="str">
        <f t="shared" si="2317"/>
        <v/>
      </c>
      <c r="AR2225" t="str">
        <f t="shared" si="2318"/>
        <v>Away</v>
      </c>
      <c r="AS2225" t="str">
        <f t="shared" si="2319"/>
        <v>a</v>
      </c>
      <c r="AT2225" t="str">
        <f t="shared" si="2320"/>
        <v>Defensive</v>
      </c>
      <c r="BA2225" s="6">
        <f t="shared" si="2309"/>
        <v>507</v>
      </c>
      <c r="BB2225">
        <f t="shared" si="2310"/>
        <v>18981</v>
      </c>
      <c r="BC2225" t="str">
        <f t="shared" si="2311"/>
        <v>Nelson</v>
      </c>
      <c r="BD2225" t="str">
        <f t="shared" si="2312"/>
        <v>Velodrome</v>
      </c>
      <c r="BE2225" t="s">
        <v>9</v>
      </c>
      <c r="BF2225" t="s">
        <v>173</v>
      </c>
      <c r="BG2225" t="s">
        <v>73</v>
      </c>
      <c r="BI2225" cm="1">
        <f t="array" ref="BI2225">IFERROR(_xlfn._xlws.FILTER(shifts!A:A,(shifts!B:B=events!AD2225)*(shifts!AG:AG&gt;=events!BK2225)*(shifts!AH:AH&lt;=events!BL2225)),BI2224)</f>
        <v>99</v>
      </c>
      <c r="BJ2225" s="15">
        <f t="shared" si="2313"/>
        <v>0</v>
      </c>
      <c r="BK2225">
        <f t="shared" si="2321"/>
        <v>284</v>
      </c>
      <c r="BL2225">
        <f t="shared" si="2322"/>
        <v>284</v>
      </c>
      <c r="BM2225" s="15">
        <f>SUMIFS(BJ$2:BJ2225,K$2:K2225,"=Intermission")+SUMIFS(BJ$2:BJ2225,K$2:K2225,"=Timeout")</f>
        <v>142</v>
      </c>
      <c r="BN2225">
        <f t="shared" si="2323"/>
        <v>2302</v>
      </c>
      <c r="BO2225" s="19">
        <f t="shared" si="2324"/>
        <v>3098</v>
      </c>
      <c r="BP2225">
        <f t="shared" si="2325"/>
        <v>3093</v>
      </c>
      <c r="BQ2225" s="17">
        <f t="shared" si="2326"/>
        <v>3098</v>
      </c>
      <c r="BR2225" t="str">
        <f t="shared" si="2327"/>
        <v>opp_team_player_1</v>
      </c>
      <c r="BS2225">
        <f>COUNTIFS(S$3:S2225,"="&amp;S2225,AI$3:AI2225,"="&amp;AI2225)</f>
        <v>1</v>
      </c>
      <c r="BT2225" t="str">
        <f>IFERROR(VLOOKUP(BB2225&amp;BU2225&amp;X2225,game_rosters!U:W,3,FALSE),"")</f>
        <v>P100061</v>
      </c>
      <c r="BU2225" t="str">
        <f t="shared" si="2328"/>
        <v>Nelson</v>
      </c>
    </row>
    <row r="2226" spans="1:73" x14ac:dyDescent="0.2">
      <c r="A2226">
        <f t="shared" si="2314"/>
        <v>1</v>
      </c>
      <c r="J2226" s="44" t="str">
        <f t="shared" si="2329"/>
        <v/>
      </c>
      <c r="K2226" t="s">
        <v>13</v>
      </c>
      <c r="L2226" t="s">
        <v>756</v>
      </c>
      <c r="M2226" t="s">
        <v>756</v>
      </c>
      <c r="S2226">
        <v>1181</v>
      </c>
      <c r="W2226" t="str">
        <f t="shared" si="2305"/>
        <v>h</v>
      </c>
      <c r="X2226">
        <v>44</v>
      </c>
      <c r="Y2226" t="b">
        <f>IF(X2226&lt;&gt;"",VLOOKUP(X2226,game_rosters!$C$43:$E$64,3,FALSE))</f>
        <v>0</v>
      </c>
      <c r="Z2226" cm="1">
        <f t="array" ref="Z2226">IFERROR(IF(_xlfn._xlws.FILTER(game_rosters!$J:$J,(game_rosters!$G:$G=events!$AN2226)*(game_rosters!$J:$J=events!$X2226))&gt;0,1,""),"")</f>
        <v>1</v>
      </c>
      <c r="AA2226">
        <f t="shared" si="2353"/>
        <v>2181</v>
      </c>
      <c r="AB2226" t="str">
        <f t="shared" si="2354"/>
        <v/>
      </c>
      <c r="AC2226">
        <f t="shared" si="2302"/>
        <v>2181</v>
      </c>
      <c r="AD2226" s="6">
        <v>3</v>
      </c>
      <c r="AE2226" t="s">
        <v>941</v>
      </c>
      <c r="AF2226" t="s">
        <v>924</v>
      </c>
      <c r="AG2226" t="s">
        <v>941</v>
      </c>
      <c r="AH2226" t="s">
        <v>903</v>
      </c>
      <c r="AI2226" t="s">
        <v>367</v>
      </c>
      <c r="AJ2226" t="str">
        <f t="shared" ref="AJ2226:AK2226" si="2376">IF($J2226&lt;&gt;"",$J2226,IF($AC2226=$AC2225,AJ2225,""))</f>
        <v/>
      </c>
      <c r="AK2226" t="str">
        <f t="shared" si="2376"/>
        <v/>
      </c>
      <c r="AL2226" t="str">
        <f t="shared" si="2307"/>
        <v/>
      </c>
      <c r="AN2226" t="s">
        <v>861</v>
      </c>
      <c r="AO2226" t="str">
        <f t="shared" si="2308"/>
        <v>h</v>
      </c>
      <c r="AP2226" t="str">
        <f t="shared" si="2316"/>
        <v/>
      </c>
      <c r="AQ2226" t="str">
        <f t="shared" si="2317"/>
        <v/>
      </c>
      <c r="AR2226" t="str">
        <f t="shared" si="2318"/>
        <v>Home</v>
      </c>
      <c r="AS2226" t="str">
        <f t="shared" si="2319"/>
        <v>h</v>
      </c>
      <c r="AT2226" t="str">
        <f t="shared" si="2320"/>
        <v>Offensive</v>
      </c>
      <c r="BA2226" s="6">
        <f t="shared" si="2309"/>
        <v>507</v>
      </c>
      <c r="BB2226">
        <f t="shared" si="2310"/>
        <v>18981</v>
      </c>
      <c r="BC2226" t="str">
        <f t="shared" si="2311"/>
        <v>Nelson</v>
      </c>
      <c r="BD2226" t="str">
        <f t="shared" si="2312"/>
        <v>Velodrome</v>
      </c>
      <c r="BE2226" t="s">
        <v>13</v>
      </c>
      <c r="BF2226" t="s">
        <v>756</v>
      </c>
      <c r="BG2226" t="s">
        <v>756</v>
      </c>
      <c r="BI2226" cm="1">
        <f t="array" ref="BI2226">IFERROR(_xlfn._xlws.FILTER(shifts!A:A,(shifts!B:B=events!AD2226)*(shifts!AG:AG&gt;=events!BK2226)*(shifts!AH:AH&lt;=events!BL2226)),BI2225)</f>
        <v>99</v>
      </c>
      <c r="BJ2226" s="15">
        <f t="shared" si="2313"/>
        <v>1</v>
      </c>
      <c r="BK2226">
        <f t="shared" si="2321"/>
        <v>281</v>
      </c>
      <c r="BL2226">
        <f t="shared" si="2322"/>
        <v>280</v>
      </c>
      <c r="BM2226" s="15">
        <f>SUMIFS(BJ$2:BJ2226,K$2:K2226,"=Intermission")+SUMIFS(BJ$2:BJ2226,K$2:K2226,"=Timeout")</f>
        <v>142</v>
      </c>
      <c r="BN2226">
        <f t="shared" si="2323"/>
        <v>2302</v>
      </c>
      <c r="BO2226" s="19">
        <f t="shared" si="2324"/>
        <v>3101</v>
      </c>
      <c r="BP2226">
        <f t="shared" si="2325"/>
        <v>3096</v>
      </c>
      <c r="BQ2226" s="17">
        <f t="shared" si="2326"/>
        <v>3102</v>
      </c>
      <c r="BR2226" t="str">
        <f t="shared" si="2327"/>
        <v>event_team_player_1</v>
      </c>
      <c r="BS2226">
        <f>COUNTIFS(S$3:S2226,"="&amp;S2226,AI$3:AI2226,"="&amp;AI2226)</f>
        <v>1</v>
      </c>
      <c r="BT2226" t="str">
        <f>IFERROR(VLOOKUP(BB2226&amp;BU2226&amp;X2226,game_rosters!U:W,3,FALSE),"")</f>
        <v>P100079</v>
      </c>
      <c r="BU2226" t="str">
        <f t="shared" si="2328"/>
        <v>Nelson</v>
      </c>
    </row>
    <row r="2227" spans="1:73" x14ac:dyDescent="0.2">
      <c r="A2227">
        <f t="shared" si="2314"/>
        <v>1</v>
      </c>
      <c r="J2227" s="44" t="str">
        <f t="shared" si="2329"/>
        <v>o</v>
      </c>
      <c r="K2227" t="s">
        <v>238</v>
      </c>
      <c r="L2227" t="s">
        <v>174</v>
      </c>
      <c r="M2227" t="s">
        <v>85</v>
      </c>
      <c r="S2227">
        <v>1182</v>
      </c>
      <c r="W2227" t="str">
        <f t="shared" si="2305"/>
        <v>h</v>
      </c>
      <c r="X2227">
        <v>44</v>
      </c>
      <c r="Y2227" t="b">
        <f>IF(X2227&lt;&gt;"",VLOOKUP(X2227,game_rosters!$C$43:$E$64,3,FALSE))</f>
        <v>0</v>
      </c>
      <c r="Z2227" cm="1">
        <f t="array" ref="Z2227">IFERROR(IF(_xlfn._xlws.FILTER(game_rosters!$J:$J,(game_rosters!$G:$G=events!$AN2227)*(game_rosters!$J:$J=events!$X2227))&gt;0,1,""),"")</f>
        <v>1</v>
      </c>
      <c r="AA2227">
        <f t="shared" si="2353"/>
        <v>2182</v>
      </c>
      <c r="AB2227" t="str">
        <f t="shared" si="2354"/>
        <v/>
      </c>
      <c r="AC2227">
        <f t="shared" si="2302"/>
        <v>2182</v>
      </c>
      <c r="AD2227" s="6">
        <v>3</v>
      </c>
      <c r="AE2227" t="s">
        <v>941</v>
      </c>
      <c r="AF2227" t="s">
        <v>903</v>
      </c>
      <c r="AG2227" t="s">
        <v>941</v>
      </c>
      <c r="AH2227" t="s">
        <v>928</v>
      </c>
      <c r="AI2227" t="s">
        <v>367</v>
      </c>
      <c r="AJ2227" t="str">
        <f t="shared" ref="AJ2227:AK2227" si="2377">IF($J2227&lt;&gt;"",$J2227,IF($AC2227=$AC2226,AJ2226,""))</f>
        <v>o</v>
      </c>
      <c r="AK2227" t="str">
        <f t="shared" si="2377"/>
        <v>o</v>
      </c>
      <c r="AL2227" t="str">
        <f t="shared" si="2307"/>
        <v>o</v>
      </c>
      <c r="AN2227" t="s">
        <v>861</v>
      </c>
      <c r="AO2227" t="str">
        <f t="shared" si="2308"/>
        <v>h</v>
      </c>
      <c r="AP2227" t="str">
        <f t="shared" si="2316"/>
        <v>o</v>
      </c>
      <c r="AQ2227" t="str">
        <f t="shared" si="2317"/>
        <v/>
      </c>
      <c r="AR2227" t="str">
        <f t="shared" si="2318"/>
        <v>Home</v>
      </c>
      <c r="AS2227" t="str">
        <f t="shared" si="2319"/>
        <v>h</v>
      </c>
      <c r="AT2227" t="str">
        <f t="shared" si="2320"/>
        <v>Offensive</v>
      </c>
      <c r="BA2227" s="6">
        <f t="shared" si="2309"/>
        <v>508</v>
      </c>
      <c r="BB2227">
        <f t="shared" si="2310"/>
        <v>18981</v>
      </c>
      <c r="BC2227" t="str">
        <f t="shared" si="2311"/>
        <v>Nelson</v>
      </c>
      <c r="BD2227" t="str">
        <f t="shared" si="2312"/>
        <v>Velodrome</v>
      </c>
      <c r="BE2227" t="s">
        <v>238</v>
      </c>
      <c r="BF2227" t="s">
        <v>174</v>
      </c>
      <c r="BG2227" t="s">
        <v>85</v>
      </c>
      <c r="BI2227" cm="1">
        <f t="array" ref="BI2227">IFERROR(_xlfn._xlws.FILTER(shifts!A:A,(shifts!B:B=events!AD2227)*(shifts!AG:AG&gt;=events!BK2227)*(shifts!AH:AH&lt;=events!BL2227)),BI2226)</f>
        <v>99</v>
      </c>
      <c r="BJ2227" s="15">
        <f t="shared" si="2313"/>
        <v>3</v>
      </c>
      <c r="BK2227">
        <f t="shared" si="2321"/>
        <v>280</v>
      </c>
      <c r="BL2227">
        <f t="shared" si="2322"/>
        <v>277</v>
      </c>
      <c r="BM2227" s="15">
        <f>SUMIFS(BJ$2:BJ2227,K$2:K2227,"=Intermission")+SUMIFS(BJ$2:BJ2227,K$2:K2227,"=Timeout")</f>
        <v>142</v>
      </c>
      <c r="BN2227">
        <f t="shared" si="2323"/>
        <v>2302</v>
      </c>
      <c r="BO2227" s="19">
        <f t="shared" si="2324"/>
        <v>3102</v>
      </c>
      <c r="BP2227">
        <f t="shared" si="2325"/>
        <v>3097</v>
      </c>
      <c r="BQ2227" s="17">
        <f t="shared" si="2326"/>
        <v>3105</v>
      </c>
      <c r="BR2227" t="str">
        <f t="shared" si="2327"/>
        <v>event_team_player_1</v>
      </c>
      <c r="BS2227">
        <f>COUNTIFS(S$3:S2227,"="&amp;S2227,AI$3:AI2227,"="&amp;AI2227)</f>
        <v>1</v>
      </c>
      <c r="BT2227" t="str">
        <f>IFERROR(VLOOKUP(BB2227&amp;BU2227&amp;X2227,game_rosters!U:W,3,FALSE),"")</f>
        <v>P100079</v>
      </c>
      <c r="BU2227" t="str">
        <f t="shared" si="2328"/>
        <v>Nelson</v>
      </c>
    </row>
    <row r="2228" spans="1:73" x14ac:dyDescent="0.2">
      <c r="A2228">
        <f t="shared" si="2314"/>
        <v>1</v>
      </c>
      <c r="J2228" s="44" t="str">
        <f t="shared" si="2329"/>
        <v>o</v>
      </c>
      <c r="K2228" t="s">
        <v>238</v>
      </c>
      <c r="L2228" t="s">
        <v>174</v>
      </c>
      <c r="M2228" t="s">
        <v>85</v>
      </c>
      <c r="S2228">
        <v>1182</v>
      </c>
      <c r="W2228" t="str">
        <f t="shared" si="2305"/>
        <v>h</v>
      </c>
      <c r="X2228">
        <v>52</v>
      </c>
      <c r="Y2228" t="e">
        <f>IF(X2228&lt;&gt;"",VLOOKUP(X2228,game_rosters!$C$43:$E$64,3,FALSE))</f>
        <v>#N/A</v>
      </c>
      <c r="Z2228" t="str" cm="1">
        <f t="array" ref="Z2228">IFERROR(IF(_xlfn._xlws.FILTER(game_rosters!$J:$J,(game_rosters!$G:$G=events!$AN2228)*(game_rosters!$J:$J=events!$X2228))&gt;0,1,""),"")</f>
        <v/>
      </c>
      <c r="AA2228">
        <f t="shared" si="2353"/>
        <v>2182</v>
      </c>
      <c r="AB2228" t="str">
        <f t="shared" si="2354"/>
        <v/>
      </c>
      <c r="AC2228">
        <f t="shared" si="2302"/>
        <v>2182</v>
      </c>
      <c r="AD2228" s="6">
        <v>3</v>
      </c>
      <c r="AE2228" t="s">
        <v>941</v>
      </c>
      <c r="AF2228" t="s">
        <v>903</v>
      </c>
      <c r="AG2228" t="s">
        <v>941</v>
      </c>
      <c r="AH2228" t="s">
        <v>928</v>
      </c>
      <c r="AI2228" t="s">
        <v>368</v>
      </c>
      <c r="AJ2228" t="str">
        <f t="shared" ref="AJ2228:AK2228" si="2378">IF($J2228&lt;&gt;"",$J2228,IF($AC2228=$AC2227,AJ2227,""))</f>
        <v>o</v>
      </c>
      <c r="AK2228" t="str">
        <f t="shared" si="2378"/>
        <v>o</v>
      </c>
      <c r="AL2228" t="str">
        <f t="shared" si="2307"/>
        <v>o</v>
      </c>
      <c r="AN2228" t="s">
        <v>861</v>
      </c>
      <c r="AO2228" t="str">
        <f t="shared" si="2308"/>
        <v>h</v>
      </c>
      <c r="AP2228" t="str">
        <f t="shared" si="2316"/>
        <v>o</v>
      </c>
      <c r="AQ2228" t="str">
        <f t="shared" si="2317"/>
        <v/>
      </c>
      <c r="AR2228" t="str">
        <f t="shared" si="2318"/>
        <v>Home</v>
      </c>
      <c r="AS2228" t="str">
        <f t="shared" si="2319"/>
        <v>h</v>
      </c>
      <c r="AT2228" t="str">
        <f t="shared" si="2320"/>
        <v>Defensive</v>
      </c>
      <c r="BA2228" s="6">
        <f t="shared" si="2309"/>
        <v>509</v>
      </c>
      <c r="BB2228">
        <f t="shared" si="2310"/>
        <v>18981</v>
      </c>
      <c r="BC2228" t="str">
        <f t="shared" si="2311"/>
        <v>Nelson</v>
      </c>
      <c r="BD2228" t="str">
        <f t="shared" si="2312"/>
        <v>Velodrome</v>
      </c>
      <c r="BE2228" t="s">
        <v>238</v>
      </c>
      <c r="BF2228" t="s">
        <v>174</v>
      </c>
      <c r="BG2228" t="s">
        <v>85</v>
      </c>
      <c r="BI2228" cm="1">
        <f t="array" ref="BI2228">IFERROR(_xlfn._xlws.FILTER(shifts!A:A,(shifts!B:B=events!AD2228)*(shifts!AG:AG&gt;=events!BK2228)*(shifts!AH:AH&lt;=events!BL2228)),BI2227)</f>
        <v>99</v>
      </c>
      <c r="BJ2228" s="15">
        <f t="shared" si="2313"/>
        <v>3</v>
      </c>
      <c r="BK2228">
        <f t="shared" si="2321"/>
        <v>280</v>
      </c>
      <c r="BL2228">
        <f t="shared" si="2322"/>
        <v>277</v>
      </c>
      <c r="BM2228" s="15">
        <f>SUMIFS(BJ$2:BJ2228,K$2:K2228,"=Intermission")+SUMIFS(BJ$2:BJ2228,K$2:K2228,"=Timeout")</f>
        <v>142</v>
      </c>
      <c r="BN2228">
        <f t="shared" si="2323"/>
        <v>2302</v>
      </c>
      <c r="BO2228" s="19">
        <f t="shared" si="2324"/>
        <v>3102</v>
      </c>
      <c r="BP2228">
        <f t="shared" si="2325"/>
        <v>3097</v>
      </c>
      <c r="BQ2228" s="17">
        <f t="shared" si="2326"/>
        <v>3105</v>
      </c>
      <c r="BR2228" t="str">
        <f t="shared" si="2327"/>
        <v>opp_team_player_1</v>
      </c>
      <c r="BS2228">
        <f>COUNTIFS(S$3:S2228,"="&amp;S2228,AI$3:AI2228,"="&amp;AI2228)</f>
        <v>1</v>
      </c>
      <c r="BT2228" t="str">
        <f>IFERROR(VLOOKUP(BB2228&amp;BU2228&amp;X2228,game_rosters!U:W,3,FALSE),"")</f>
        <v>P100070</v>
      </c>
      <c r="BU2228" t="str">
        <f t="shared" si="2328"/>
        <v>Velodrome</v>
      </c>
    </row>
    <row r="2229" spans="1:73" x14ac:dyDescent="0.2">
      <c r="A2229">
        <f t="shared" si="2314"/>
        <v>1</v>
      </c>
      <c r="J2229" s="44" t="str">
        <f t="shared" si="2329"/>
        <v>o</v>
      </c>
      <c r="K2229" t="s">
        <v>238</v>
      </c>
      <c r="L2229" t="s">
        <v>174</v>
      </c>
      <c r="M2229" t="s">
        <v>85</v>
      </c>
      <c r="S2229">
        <v>1182</v>
      </c>
      <c r="W2229" t="str">
        <f t="shared" si="2305"/>
        <v>h</v>
      </c>
      <c r="X2229">
        <v>61</v>
      </c>
      <c r="Y2229" t="e">
        <f>IF(X2229&lt;&gt;"",VLOOKUP(X2229,game_rosters!$C$43:$E$64,3,FALSE))</f>
        <v>#N/A</v>
      </c>
      <c r="Z2229" t="str" cm="1">
        <f t="array" ref="Z2229">IFERROR(IF(_xlfn._xlws.FILTER(game_rosters!$J:$J,(game_rosters!$G:$G=events!$AN2229)*(game_rosters!$J:$J=events!$X2229))&gt;0,1,""),"")</f>
        <v/>
      </c>
      <c r="AA2229">
        <f t="shared" si="2353"/>
        <v>2182</v>
      </c>
      <c r="AB2229" t="str">
        <f t="shared" si="2354"/>
        <v/>
      </c>
      <c r="AC2229">
        <f t="shared" si="2302"/>
        <v>2182</v>
      </c>
      <c r="AD2229" s="6">
        <v>3</v>
      </c>
      <c r="AE2229" t="s">
        <v>941</v>
      </c>
      <c r="AF2229" t="s">
        <v>903</v>
      </c>
      <c r="AG2229" t="s">
        <v>941</v>
      </c>
      <c r="AH2229" t="s">
        <v>928</v>
      </c>
      <c r="AI2229" t="s">
        <v>368</v>
      </c>
      <c r="AJ2229" t="str">
        <f t="shared" ref="AJ2229:AK2229" si="2379">IF($J2229&lt;&gt;"",$J2229,IF($AC2229=$AC2228,AJ2228,""))</f>
        <v>o</v>
      </c>
      <c r="AK2229" t="str">
        <f t="shared" si="2379"/>
        <v>o</v>
      </c>
      <c r="AL2229" t="str">
        <f t="shared" si="2307"/>
        <v>o</v>
      </c>
      <c r="AN2229" t="s">
        <v>861</v>
      </c>
      <c r="AO2229" t="str">
        <f t="shared" si="2308"/>
        <v>h</v>
      </c>
      <c r="AP2229" t="str">
        <f t="shared" si="2316"/>
        <v>o</v>
      </c>
      <c r="AQ2229" t="str">
        <f t="shared" si="2317"/>
        <v/>
      </c>
      <c r="AR2229" t="str">
        <f t="shared" si="2318"/>
        <v>Home</v>
      </c>
      <c r="AS2229" t="str">
        <f t="shared" si="2319"/>
        <v>h</v>
      </c>
      <c r="AT2229" t="str">
        <f t="shared" si="2320"/>
        <v>Defensive</v>
      </c>
      <c r="BA2229" s="6">
        <f t="shared" si="2309"/>
        <v>510</v>
      </c>
      <c r="BB2229">
        <f t="shared" si="2310"/>
        <v>18981</v>
      </c>
      <c r="BC2229" t="str">
        <f t="shared" si="2311"/>
        <v>Nelson</v>
      </c>
      <c r="BD2229" t="str">
        <f t="shared" si="2312"/>
        <v>Velodrome</v>
      </c>
      <c r="BE2229" t="s">
        <v>238</v>
      </c>
      <c r="BF2229" t="s">
        <v>174</v>
      </c>
      <c r="BG2229" t="s">
        <v>85</v>
      </c>
      <c r="BI2229" cm="1">
        <f t="array" ref="BI2229">IFERROR(_xlfn._xlws.FILTER(shifts!A:A,(shifts!B:B=events!AD2229)*(shifts!AG:AG&gt;=events!BK2229)*(shifts!AH:AH&lt;=events!BL2229)),BI2228)</f>
        <v>99</v>
      </c>
      <c r="BJ2229" s="15">
        <f t="shared" si="2313"/>
        <v>3</v>
      </c>
      <c r="BK2229">
        <f t="shared" si="2321"/>
        <v>280</v>
      </c>
      <c r="BL2229">
        <f t="shared" si="2322"/>
        <v>277</v>
      </c>
      <c r="BM2229" s="15">
        <f>SUMIFS(BJ$2:BJ2229,K$2:K2229,"=Intermission")+SUMIFS(BJ$2:BJ2229,K$2:K2229,"=Timeout")</f>
        <v>142</v>
      </c>
      <c r="BN2229">
        <f t="shared" si="2323"/>
        <v>2302</v>
      </c>
      <c r="BO2229" s="19">
        <f t="shared" si="2324"/>
        <v>3102</v>
      </c>
      <c r="BP2229">
        <f t="shared" si="2325"/>
        <v>3097</v>
      </c>
      <c r="BQ2229" s="17">
        <f t="shared" si="2326"/>
        <v>3105</v>
      </c>
      <c r="BR2229" t="str">
        <f t="shared" si="2327"/>
        <v>opp_team_player_2</v>
      </c>
      <c r="BS2229">
        <f>COUNTIFS(S$3:S2229,"="&amp;S2229,AI$3:AI2229,"="&amp;AI2229)</f>
        <v>2</v>
      </c>
      <c r="BT2229" t="str">
        <f>IFERROR(VLOOKUP(BB2229&amp;BU2229&amp;X2229,game_rosters!U:W,3,FALSE),"")</f>
        <v>P100224</v>
      </c>
      <c r="BU2229" t="str">
        <f t="shared" si="2328"/>
        <v>Velodrome</v>
      </c>
    </row>
    <row r="2230" spans="1:73" x14ac:dyDescent="0.2">
      <c r="A2230">
        <f t="shared" si="2314"/>
        <v>1</v>
      </c>
      <c r="J2230" s="44" t="str">
        <f t="shared" si="2329"/>
        <v/>
      </c>
      <c r="K2230" t="s">
        <v>230</v>
      </c>
      <c r="L2230" t="s">
        <v>388</v>
      </c>
      <c r="M2230" t="s">
        <v>447</v>
      </c>
      <c r="S2230">
        <v>1183</v>
      </c>
      <c r="W2230" t="str">
        <f t="shared" si="2305"/>
        <v>h</v>
      </c>
      <c r="X2230">
        <v>44</v>
      </c>
      <c r="Y2230" t="b">
        <f>IF(X2230&lt;&gt;"",VLOOKUP(X2230,game_rosters!$C$43:$E$64,3,FALSE))</f>
        <v>0</v>
      </c>
      <c r="Z2230" cm="1">
        <f t="array" ref="Z2230">IFERROR(IF(_xlfn._xlws.FILTER(game_rosters!$J:$J,(game_rosters!$G:$G=events!$AN2230)*(game_rosters!$J:$J=events!$X2230))&gt;0,1,""),"")</f>
        <v>1</v>
      </c>
      <c r="AA2230">
        <f t="shared" si="2353"/>
        <v>2183</v>
      </c>
      <c r="AB2230" t="str">
        <f t="shared" si="2354"/>
        <v/>
      </c>
      <c r="AC2230">
        <f t="shared" si="2302"/>
        <v>2183</v>
      </c>
      <c r="AD2230" s="6">
        <v>3</v>
      </c>
      <c r="AE2230" t="s">
        <v>941</v>
      </c>
      <c r="AF2230" t="s">
        <v>928</v>
      </c>
      <c r="AG2230" t="s">
        <v>756</v>
      </c>
      <c r="AH2230" t="s">
        <v>756</v>
      </c>
      <c r="AI2230" t="s">
        <v>367</v>
      </c>
      <c r="AJ2230" t="str">
        <f t="shared" ref="AJ2230:AK2230" si="2380">IF($J2230&lt;&gt;"",$J2230,IF($AC2230=$AC2229,AJ2229,""))</f>
        <v/>
      </c>
      <c r="AK2230" t="str">
        <f t="shared" si="2380"/>
        <v/>
      </c>
      <c r="AL2230" t="str">
        <f t="shared" si="2307"/>
        <v/>
      </c>
      <c r="AN2230" t="s">
        <v>861</v>
      </c>
      <c r="AO2230" t="str">
        <f t="shared" si="2308"/>
        <v>h</v>
      </c>
      <c r="AP2230" t="str">
        <f t="shared" si="2316"/>
        <v/>
      </c>
      <c r="AQ2230" t="str">
        <f t="shared" si="2317"/>
        <v/>
      </c>
      <c r="AR2230" t="str">
        <f t="shared" si="2318"/>
        <v>Home</v>
      </c>
      <c r="AS2230" t="str">
        <f t="shared" si="2319"/>
        <v>h</v>
      </c>
      <c r="AT2230" t="str">
        <f t="shared" si="2320"/>
        <v>Offensive</v>
      </c>
      <c r="BA2230" s="6">
        <f t="shared" si="2309"/>
        <v>510</v>
      </c>
      <c r="BB2230">
        <f t="shared" si="2310"/>
        <v>18981</v>
      </c>
      <c r="BC2230" t="str">
        <f t="shared" si="2311"/>
        <v>Nelson</v>
      </c>
      <c r="BD2230" t="str">
        <f t="shared" si="2312"/>
        <v>Velodrome</v>
      </c>
      <c r="BE2230" t="s">
        <v>230</v>
      </c>
      <c r="BF2230" t="s">
        <v>388</v>
      </c>
      <c r="BG2230" t="s">
        <v>447</v>
      </c>
      <c r="BI2230" cm="1">
        <f t="array" ref="BI2230">IFERROR(_xlfn._xlws.FILTER(shifts!A:A,(shifts!B:B=events!AD2230)*(shifts!AG:AG&gt;=events!BK2230)*(shifts!AH:AH&lt;=events!BL2230)),BI2229)</f>
        <v>99</v>
      </c>
      <c r="BJ2230" s="15">
        <f t="shared" si="2313"/>
        <v>0</v>
      </c>
      <c r="BK2230">
        <f t="shared" si="2321"/>
        <v>277</v>
      </c>
      <c r="BL2230">
        <f t="shared" si="2322"/>
        <v>277</v>
      </c>
      <c r="BM2230" s="15">
        <f>SUMIFS(BJ$2:BJ2230,K$2:K2230,"=Intermission")+SUMIFS(BJ$2:BJ2230,K$2:K2230,"=Timeout")</f>
        <v>142</v>
      </c>
      <c r="BN2230">
        <f t="shared" si="2323"/>
        <v>2302</v>
      </c>
      <c r="BO2230" s="19">
        <f t="shared" si="2324"/>
        <v>3105</v>
      </c>
      <c r="BP2230">
        <f t="shared" si="2325"/>
        <v>3100</v>
      </c>
      <c r="BQ2230" s="17">
        <f t="shared" si="2326"/>
        <v>3105</v>
      </c>
      <c r="BR2230" t="str">
        <f t="shared" si="2327"/>
        <v>event_team_player_1</v>
      </c>
      <c r="BS2230">
        <f>COUNTIFS(S$3:S2230,"="&amp;S2230,AI$3:AI2230,"="&amp;AI2230)</f>
        <v>1</v>
      </c>
      <c r="BT2230" t="str">
        <f>IFERROR(VLOOKUP(BB2230&amp;BU2230&amp;X2230,game_rosters!U:W,3,FALSE),"")</f>
        <v>P100079</v>
      </c>
      <c r="BU2230" t="str">
        <f t="shared" si="2328"/>
        <v>Nelson</v>
      </c>
    </row>
    <row r="2231" spans="1:73" x14ac:dyDescent="0.2">
      <c r="A2231">
        <f t="shared" si="2314"/>
        <v>1</v>
      </c>
      <c r="J2231" s="44" t="str">
        <f t="shared" si="2329"/>
        <v/>
      </c>
      <c r="K2231" t="s">
        <v>230</v>
      </c>
      <c r="L2231" t="s">
        <v>388</v>
      </c>
      <c r="M2231" t="s">
        <v>447</v>
      </c>
      <c r="S2231">
        <v>1183</v>
      </c>
      <c r="W2231" t="str">
        <f t="shared" si="2305"/>
        <v>h</v>
      </c>
      <c r="X2231">
        <v>52</v>
      </c>
      <c r="Y2231" t="e">
        <f>IF(X2231&lt;&gt;"",VLOOKUP(X2231,game_rosters!$C$43:$E$64,3,FALSE))</f>
        <v>#N/A</v>
      </c>
      <c r="Z2231" t="str" cm="1">
        <f t="array" ref="Z2231">IFERROR(IF(_xlfn._xlws.FILTER(game_rosters!$J:$J,(game_rosters!$G:$G=events!$AN2231)*(game_rosters!$J:$J=events!$X2231))&gt;0,1,""),"")</f>
        <v/>
      </c>
      <c r="AA2231">
        <f t="shared" si="2353"/>
        <v>2183</v>
      </c>
      <c r="AB2231" t="str">
        <f t="shared" si="2354"/>
        <v/>
      </c>
      <c r="AC2231">
        <f t="shared" si="2302"/>
        <v>2183</v>
      </c>
      <c r="AD2231" s="6">
        <v>3</v>
      </c>
      <c r="AE2231" t="s">
        <v>941</v>
      </c>
      <c r="AF2231" t="s">
        <v>928</v>
      </c>
      <c r="AG2231" t="s">
        <v>756</v>
      </c>
      <c r="AH2231" t="s">
        <v>756</v>
      </c>
      <c r="AI2231" t="s">
        <v>368</v>
      </c>
      <c r="AJ2231" t="str">
        <f t="shared" ref="AJ2231:AK2231" si="2381">IF($J2231&lt;&gt;"",$J2231,IF($AC2231=$AC2230,AJ2230,""))</f>
        <v/>
      </c>
      <c r="AK2231" t="str">
        <f t="shared" si="2381"/>
        <v/>
      </c>
      <c r="AL2231" t="str">
        <f t="shared" si="2307"/>
        <v/>
      </c>
      <c r="AN2231" t="s">
        <v>861</v>
      </c>
      <c r="AO2231" t="str">
        <f t="shared" si="2308"/>
        <v>h</v>
      </c>
      <c r="AP2231" t="str">
        <f t="shared" si="2316"/>
        <v/>
      </c>
      <c r="AQ2231" t="str">
        <f t="shared" si="2317"/>
        <v/>
      </c>
      <c r="AR2231" t="str">
        <f t="shared" si="2318"/>
        <v>Home</v>
      </c>
      <c r="AS2231" t="str">
        <f t="shared" si="2319"/>
        <v>h</v>
      </c>
      <c r="AT2231" t="str">
        <f t="shared" si="2320"/>
        <v>Defensive</v>
      </c>
      <c r="BA2231" s="6">
        <f t="shared" si="2309"/>
        <v>510</v>
      </c>
      <c r="BB2231">
        <f t="shared" si="2310"/>
        <v>18981</v>
      </c>
      <c r="BC2231" t="str">
        <f t="shared" si="2311"/>
        <v>Nelson</v>
      </c>
      <c r="BD2231" t="str">
        <f t="shared" si="2312"/>
        <v>Velodrome</v>
      </c>
      <c r="BE2231" t="s">
        <v>230</v>
      </c>
      <c r="BF2231" t="s">
        <v>388</v>
      </c>
      <c r="BG2231" t="s">
        <v>447</v>
      </c>
      <c r="BI2231" cm="1">
        <f t="array" ref="BI2231">IFERROR(_xlfn._xlws.FILTER(shifts!A:A,(shifts!B:B=events!AD2231)*(shifts!AG:AG&gt;=events!BK2231)*(shifts!AH:AH&lt;=events!BL2231)),BI2230)</f>
        <v>99</v>
      </c>
      <c r="BJ2231" s="15">
        <f t="shared" si="2313"/>
        <v>0</v>
      </c>
      <c r="BK2231">
        <f t="shared" si="2321"/>
        <v>277</v>
      </c>
      <c r="BL2231">
        <f t="shared" si="2322"/>
        <v>277</v>
      </c>
      <c r="BM2231" s="15">
        <f>SUMIFS(BJ$2:BJ2231,K$2:K2231,"=Intermission")+SUMIFS(BJ$2:BJ2231,K$2:K2231,"=Timeout")</f>
        <v>142</v>
      </c>
      <c r="BN2231">
        <f t="shared" si="2323"/>
        <v>2302</v>
      </c>
      <c r="BO2231" s="19">
        <f t="shared" si="2324"/>
        <v>3105</v>
      </c>
      <c r="BP2231">
        <f t="shared" si="2325"/>
        <v>3100</v>
      </c>
      <c r="BQ2231" s="17">
        <f t="shared" si="2326"/>
        <v>3105</v>
      </c>
      <c r="BR2231" t="str">
        <f t="shared" si="2327"/>
        <v>opp_team_player_1</v>
      </c>
      <c r="BS2231">
        <f>COUNTIFS(S$3:S2231,"="&amp;S2231,AI$3:AI2231,"="&amp;AI2231)</f>
        <v>1</v>
      </c>
      <c r="BT2231" t="str">
        <f>IFERROR(VLOOKUP(BB2231&amp;BU2231&amp;X2231,game_rosters!U:W,3,FALSE),"")</f>
        <v>P100070</v>
      </c>
      <c r="BU2231" t="str">
        <f t="shared" si="2328"/>
        <v>Velodrome</v>
      </c>
    </row>
    <row r="2232" spans="1:73" x14ac:dyDescent="0.2">
      <c r="A2232">
        <f t="shared" si="2314"/>
        <v>1</v>
      </c>
      <c r="J2232" s="44" t="str">
        <f t="shared" si="2329"/>
        <v/>
      </c>
      <c r="K2232" t="s">
        <v>13</v>
      </c>
      <c r="L2232" t="s">
        <v>756</v>
      </c>
      <c r="M2232" t="s">
        <v>756</v>
      </c>
      <c r="S2232">
        <v>1184</v>
      </c>
      <c r="W2232" t="str">
        <f t="shared" si="2305"/>
        <v>h</v>
      </c>
      <c r="X2232">
        <v>44</v>
      </c>
      <c r="Y2232" t="b">
        <f>IF(X2232&lt;&gt;"",VLOOKUP(X2232,game_rosters!$C$43:$E$64,3,FALSE))</f>
        <v>0</v>
      </c>
      <c r="Z2232" cm="1">
        <f t="array" ref="Z2232">IFERROR(IF(_xlfn._xlws.FILTER(game_rosters!$J:$J,(game_rosters!$G:$G=events!$AN2232)*(game_rosters!$J:$J=events!$X2232))&gt;0,1,""),"")</f>
        <v>1</v>
      </c>
      <c r="AA2232">
        <f t="shared" si="2353"/>
        <v>2184</v>
      </c>
      <c r="AB2232" t="str">
        <f t="shared" si="2354"/>
        <v/>
      </c>
      <c r="AC2232">
        <f t="shared" si="2302"/>
        <v>2184</v>
      </c>
      <c r="AD2232" s="6">
        <v>3</v>
      </c>
      <c r="AE2232" t="s">
        <v>941</v>
      </c>
      <c r="AF2232" t="s">
        <v>928</v>
      </c>
      <c r="AG2232" t="s">
        <v>941</v>
      </c>
      <c r="AH2232" t="s">
        <v>914</v>
      </c>
      <c r="AI2232" t="s">
        <v>367</v>
      </c>
      <c r="AJ2232" t="str">
        <f t="shared" ref="AJ2232:AK2232" si="2382">IF($J2232&lt;&gt;"",$J2232,IF($AC2232=$AC2231,AJ2231,""))</f>
        <v/>
      </c>
      <c r="AK2232" t="str">
        <f t="shared" si="2382"/>
        <v/>
      </c>
      <c r="AL2232" t="str">
        <f t="shared" si="2307"/>
        <v/>
      </c>
      <c r="AN2232" t="s">
        <v>861</v>
      </c>
      <c r="AO2232" t="str">
        <f t="shared" si="2308"/>
        <v>h</v>
      </c>
      <c r="AP2232" t="str">
        <f t="shared" si="2316"/>
        <v/>
      </c>
      <c r="AQ2232" t="str">
        <f t="shared" si="2317"/>
        <v/>
      </c>
      <c r="AR2232" t="str">
        <f t="shared" si="2318"/>
        <v>Home</v>
      </c>
      <c r="AS2232" t="str">
        <f t="shared" si="2319"/>
        <v>h</v>
      </c>
      <c r="AT2232" t="str">
        <f t="shared" si="2320"/>
        <v>Offensive</v>
      </c>
      <c r="BA2232" s="6">
        <f t="shared" si="2309"/>
        <v>510</v>
      </c>
      <c r="BB2232">
        <f t="shared" si="2310"/>
        <v>18981</v>
      </c>
      <c r="BC2232" t="str">
        <f t="shared" si="2311"/>
        <v>Nelson</v>
      </c>
      <c r="BD2232" t="str">
        <f t="shared" si="2312"/>
        <v>Velodrome</v>
      </c>
      <c r="BE2232" t="s">
        <v>13</v>
      </c>
      <c r="BF2232" t="s">
        <v>756</v>
      </c>
      <c r="BG2232" t="s">
        <v>756</v>
      </c>
      <c r="BI2232" cm="1">
        <f t="array" ref="BI2232">IFERROR(_xlfn._xlws.FILTER(shifts!A:A,(shifts!B:B=events!AD2232)*(shifts!AG:AG&gt;=events!BK2232)*(shifts!AH:AH&lt;=events!BL2232)),BI2231)</f>
        <v>99</v>
      </c>
      <c r="BJ2232" s="15">
        <f t="shared" si="2313"/>
        <v>4</v>
      </c>
      <c r="BK2232">
        <f t="shared" si="2321"/>
        <v>277</v>
      </c>
      <c r="BL2232">
        <f t="shared" si="2322"/>
        <v>273</v>
      </c>
      <c r="BM2232" s="15">
        <f>SUMIFS(BJ$2:BJ2232,K$2:K2232,"=Intermission")+SUMIFS(BJ$2:BJ2232,K$2:K2232,"=Timeout")</f>
        <v>142</v>
      </c>
      <c r="BN2232">
        <f t="shared" si="2323"/>
        <v>2302</v>
      </c>
      <c r="BO2232" s="19">
        <f t="shared" si="2324"/>
        <v>3105</v>
      </c>
      <c r="BP2232">
        <f t="shared" si="2325"/>
        <v>3100</v>
      </c>
      <c r="BQ2232" s="17">
        <f t="shared" si="2326"/>
        <v>3109</v>
      </c>
      <c r="BR2232" t="str">
        <f t="shared" si="2327"/>
        <v>event_team_player_1</v>
      </c>
      <c r="BS2232">
        <f>COUNTIFS(S$3:S2232,"="&amp;S2232,AI$3:AI2232,"="&amp;AI2232)</f>
        <v>1</v>
      </c>
      <c r="BT2232" t="str">
        <f>IFERROR(VLOOKUP(BB2232&amp;BU2232&amp;X2232,game_rosters!U:W,3,FALSE),"")</f>
        <v>P100079</v>
      </c>
      <c r="BU2232" t="str">
        <f t="shared" si="2328"/>
        <v>Nelson</v>
      </c>
    </row>
    <row r="2233" spans="1:73" x14ac:dyDescent="0.2">
      <c r="A2233">
        <f t="shared" si="2314"/>
        <v>1</v>
      </c>
      <c r="J2233" s="44" t="str">
        <f t="shared" si="2329"/>
        <v/>
      </c>
      <c r="K2233" t="s">
        <v>13</v>
      </c>
      <c r="L2233" t="s">
        <v>756</v>
      </c>
      <c r="M2233" t="s">
        <v>756</v>
      </c>
      <c r="S2233">
        <v>1184</v>
      </c>
      <c r="W2233" t="str">
        <f t="shared" si="2305"/>
        <v>h</v>
      </c>
      <c r="X2233">
        <v>52</v>
      </c>
      <c r="Y2233" t="e">
        <f>IF(X2233&lt;&gt;"",VLOOKUP(X2233,game_rosters!$C$43:$E$64,3,FALSE))</f>
        <v>#N/A</v>
      </c>
      <c r="Z2233" t="str" cm="1">
        <f t="array" ref="Z2233">IFERROR(IF(_xlfn._xlws.FILTER(game_rosters!$J:$J,(game_rosters!$G:$G=events!$AN2233)*(game_rosters!$J:$J=events!$X2233))&gt;0,1,""),"")</f>
        <v/>
      </c>
      <c r="AA2233">
        <f t="shared" si="2353"/>
        <v>2184</v>
      </c>
      <c r="AB2233" t="str">
        <f t="shared" si="2354"/>
        <v/>
      </c>
      <c r="AC2233">
        <f t="shared" si="2302"/>
        <v>2184</v>
      </c>
      <c r="AD2233" s="6">
        <v>3</v>
      </c>
      <c r="AE2233" t="s">
        <v>941</v>
      </c>
      <c r="AF2233" t="s">
        <v>928</v>
      </c>
      <c r="AG2233" t="s">
        <v>941</v>
      </c>
      <c r="AH2233" t="s">
        <v>914</v>
      </c>
      <c r="AI2233" t="s">
        <v>368</v>
      </c>
      <c r="AJ2233" t="str">
        <f t="shared" ref="AJ2233:AK2233" si="2383">IF($J2233&lt;&gt;"",$J2233,IF($AC2233=$AC2232,AJ2232,""))</f>
        <v/>
      </c>
      <c r="AK2233" t="str">
        <f t="shared" si="2383"/>
        <v/>
      </c>
      <c r="AL2233" t="str">
        <f t="shared" si="2307"/>
        <v/>
      </c>
      <c r="AN2233" t="s">
        <v>861</v>
      </c>
      <c r="AO2233" t="str">
        <f t="shared" si="2308"/>
        <v>h</v>
      </c>
      <c r="AP2233" t="str">
        <f t="shared" si="2316"/>
        <v/>
      </c>
      <c r="AQ2233" t="str">
        <f t="shared" si="2317"/>
        <v/>
      </c>
      <c r="AR2233" t="str">
        <f t="shared" si="2318"/>
        <v>Home</v>
      </c>
      <c r="AS2233" t="str">
        <f t="shared" si="2319"/>
        <v>h</v>
      </c>
      <c r="AT2233" t="str">
        <f t="shared" si="2320"/>
        <v>Defensive</v>
      </c>
      <c r="BA2233" s="6">
        <f t="shared" si="2309"/>
        <v>510</v>
      </c>
      <c r="BB2233">
        <f t="shared" si="2310"/>
        <v>18981</v>
      </c>
      <c r="BC2233" t="str">
        <f t="shared" si="2311"/>
        <v>Nelson</v>
      </c>
      <c r="BD2233" t="str">
        <f t="shared" si="2312"/>
        <v>Velodrome</v>
      </c>
      <c r="BE2233" t="s">
        <v>13</v>
      </c>
      <c r="BF2233" t="s">
        <v>756</v>
      </c>
      <c r="BG2233" t="s">
        <v>756</v>
      </c>
      <c r="BI2233" cm="1">
        <f t="array" ref="BI2233">IFERROR(_xlfn._xlws.FILTER(shifts!A:A,(shifts!B:B=events!AD2233)*(shifts!AG:AG&gt;=events!BK2233)*(shifts!AH:AH&lt;=events!BL2233)),BI2232)</f>
        <v>99</v>
      </c>
      <c r="BJ2233" s="15">
        <f t="shared" si="2313"/>
        <v>4</v>
      </c>
      <c r="BK2233">
        <f t="shared" si="2321"/>
        <v>277</v>
      </c>
      <c r="BL2233">
        <f t="shared" si="2322"/>
        <v>273</v>
      </c>
      <c r="BM2233" s="15">
        <f>SUMIFS(BJ$2:BJ2233,K$2:K2233,"=Intermission")+SUMIFS(BJ$2:BJ2233,K$2:K2233,"=Timeout")</f>
        <v>142</v>
      </c>
      <c r="BN2233">
        <f t="shared" si="2323"/>
        <v>2302</v>
      </c>
      <c r="BO2233" s="19">
        <f t="shared" si="2324"/>
        <v>3105</v>
      </c>
      <c r="BP2233">
        <f t="shared" si="2325"/>
        <v>3100</v>
      </c>
      <c r="BQ2233" s="17">
        <f t="shared" si="2326"/>
        <v>3109</v>
      </c>
      <c r="BR2233" t="str">
        <f t="shared" si="2327"/>
        <v>opp_team_player_1</v>
      </c>
      <c r="BS2233">
        <f>COUNTIFS(S$3:S2233,"="&amp;S2233,AI$3:AI2233,"="&amp;AI2233)</f>
        <v>1</v>
      </c>
      <c r="BT2233" t="str">
        <f>IFERROR(VLOOKUP(BB2233&amp;BU2233&amp;X2233,game_rosters!U:W,3,FALSE),"")</f>
        <v>P100070</v>
      </c>
      <c r="BU2233" t="str">
        <f t="shared" si="2328"/>
        <v>Velodrome</v>
      </c>
    </row>
    <row r="2234" spans="1:73" x14ac:dyDescent="0.2">
      <c r="A2234">
        <f t="shared" si="2314"/>
        <v>1</v>
      </c>
      <c r="J2234" s="44" t="str">
        <f t="shared" si="2329"/>
        <v/>
      </c>
      <c r="K2234" t="s">
        <v>7</v>
      </c>
      <c r="L2234" t="s">
        <v>172</v>
      </c>
      <c r="M2234" t="s">
        <v>68</v>
      </c>
      <c r="S2234">
        <v>1185</v>
      </c>
      <c r="W2234" t="str">
        <f t="shared" si="2305"/>
        <v>h</v>
      </c>
      <c r="X2234">
        <v>44</v>
      </c>
      <c r="Y2234" t="b">
        <f>IF(X2234&lt;&gt;"",VLOOKUP(X2234,game_rosters!$C$43:$E$64,3,FALSE))</f>
        <v>0</v>
      </c>
      <c r="Z2234" cm="1">
        <f t="array" ref="Z2234">IFERROR(IF(_xlfn._xlws.FILTER(game_rosters!$J:$J,(game_rosters!$G:$G=events!$AN2234)*(game_rosters!$J:$J=events!$X2234))&gt;0,1,""),"")</f>
        <v>1</v>
      </c>
      <c r="AA2234">
        <f t="shared" si="2353"/>
        <v>2185</v>
      </c>
      <c r="AB2234" t="str">
        <f t="shared" si="2354"/>
        <v/>
      </c>
      <c r="AC2234">
        <f t="shared" si="2302"/>
        <v>2185</v>
      </c>
      <c r="AD2234" s="6">
        <v>3</v>
      </c>
      <c r="AE2234" t="s">
        <v>941</v>
      </c>
      <c r="AF2234" t="s">
        <v>914</v>
      </c>
      <c r="AG2234" t="s">
        <v>756</v>
      </c>
      <c r="AH2234" t="s">
        <v>756</v>
      </c>
      <c r="AI2234" t="s">
        <v>367</v>
      </c>
      <c r="AJ2234" t="str">
        <f t="shared" ref="AJ2234:AK2234" si="2384">IF($J2234&lt;&gt;"",$J2234,IF($AC2234=$AC2233,AJ2233,""))</f>
        <v/>
      </c>
      <c r="AK2234" t="str">
        <f t="shared" si="2384"/>
        <v/>
      </c>
      <c r="AL2234" t="str">
        <f t="shared" si="2307"/>
        <v/>
      </c>
      <c r="AN2234" t="s">
        <v>861</v>
      </c>
      <c r="AO2234" t="str">
        <f t="shared" si="2308"/>
        <v>h</v>
      </c>
      <c r="AP2234" t="str">
        <f t="shared" si="2316"/>
        <v/>
      </c>
      <c r="AQ2234" t="str">
        <f t="shared" si="2317"/>
        <v/>
      </c>
      <c r="AR2234" t="str">
        <f t="shared" si="2318"/>
        <v>Home</v>
      </c>
      <c r="AS2234" t="str">
        <f t="shared" si="2319"/>
        <v>h</v>
      </c>
      <c r="AT2234" t="str">
        <f t="shared" si="2320"/>
        <v>Offensive</v>
      </c>
      <c r="BA2234" s="6">
        <f t="shared" si="2309"/>
        <v>510</v>
      </c>
      <c r="BB2234">
        <f t="shared" si="2310"/>
        <v>18981</v>
      </c>
      <c r="BC2234" t="str">
        <f t="shared" si="2311"/>
        <v>Nelson</v>
      </c>
      <c r="BD2234" t="str">
        <f t="shared" si="2312"/>
        <v>Velodrome</v>
      </c>
      <c r="BE2234" t="s">
        <v>7</v>
      </c>
      <c r="BF2234" t="s">
        <v>172</v>
      </c>
      <c r="BG2234" t="s">
        <v>68</v>
      </c>
      <c r="BI2234" cm="1">
        <f t="array" ref="BI2234">IFERROR(_xlfn._xlws.FILTER(shifts!A:A,(shifts!B:B=events!AD2234)*(shifts!AG:AG&gt;=events!BK2234)*(shifts!AH:AH&lt;=events!BL2234)),BI2233)</f>
        <v>99</v>
      </c>
      <c r="BJ2234" s="15">
        <f t="shared" si="2313"/>
        <v>0</v>
      </c>
      <c r="BK2234">
        <f t="shared" si="2321"/>
        <v>273</v>
      </c>
      <c r="BL2234">
        <f t="shared" si="2322"/>
        <v>273</v>
      </c>
      <c r="BM2234" s="15">
        <f>SUMIFS(BJ$2:BJ2234,K$2:K2234,"=Intermission")+SUMIFS(BJ$2:BJ2234,K$2:K2234,"=Timeout")</f>
        <v>142</v>
      </c>
      <c r="BN2234">
        <f t="shared" si="2323"/>
        <v>2302</v>
      </c>
      <c r="BO2234" s="19">
        <f t="shared" si="2324"/>
        <v>3109</v>
      </c>
      <c r="BP2234">
        <f t="shared" si="2325"/>
        <v>3104</v>
      </c>
      <c r="BQ2234" s="17">
        <f t="shared" si="2326"/>
        <v>3109</v>
      </c>
      <c r="BR2234" t="str">
        <f t="shared" si="2327"/>
        <v>event_team_player_1</v>
      </c>
      <c r="BS2234">
        <f>COUNTIFS(S$3:S2234,"="&amp;S2234,AI$3:AI2234,"="&amp;AI2234)</f>
        <v>1</v>
      </c>
      <c r="BT2234" t="str">
        <f>IFERROR(VLOOKUP(BB2234&amp;BU2234&amp;X2234,game_rosters!U:W,3,FALSE),"")</f>
        <v>P100079</v>
      </c>
      <c r="BU2234" t="str">
        <f t="shared" si="2328"/>
        <v>Nelson</v>
      </c>
    </row>
    <row r="2235" spans="1:73" x14ac:dyDescent="0.2">
      <c r="A2235">
        <f t="shared" si="2314"/>
        <v>1</v>
      </c>
      <c r="J2235" s="44" t="str">
        <f t="shared" si="2329"/>
        <v/>
      </c>
      <c r="K2235" t="s">
        <v>7</v>
      </c>
      <c r="L2235" t="s">
        <v>172</v>
      </c>
      <c r="M2235" t="s">
        <v>68</v>
      </c>
      <c r="S2235">
        <v>1185</v>
      </c>
      <c r="W2235" t="str">
        <f t="shared" si="2305"/>
        <v>h</v>
      </c>
      <c r="X2235">
        <v>37</v>
      </c>
      <c r="Y2235" t="b">
        <f>IF(X2235&lt;&gt;"",VLOOKUP(X2235,game_rosters!$C$43:$E$64,3,FALSE))</f>
        <v>0</v>
      </c>
      <c r="Z2235" cm="1">
        <f t="array" ref="Z2235">IFERROR(IF(_xlfn._xlws.FILTER(game_rosters!$J:$J,(game_rosters!$G:$G=events!$AN2235)*(game_rosters!$J:$J=events!$X2235))&gt;0,1,""),"")</f>
        <v>1</v>
      </c>
      <c r="AA2235">
        <f t="shared" si="2353"/>
        <v>2185</v>
      </c>
      <c r="AB2235" t="str">
        <f t="shared" si="2354"/>
        <v/>
      </c>
      <c r="AC2235">
        <f t="shared" si="2302"/>
        <v>2185</v>
      </c>
      <c r="AD2235" s="6">
        <v>3</v>
      </c>
      <c r="AE2235" t="s">
        <v>941</v>
      </c>
      <c r="AF2235" t="s">
        <v>914</v>
      </c>
      <c r="AG2235" t="s">
        <v>756</v>
      </c>
      <c r="AH2235" t="s">
        <v>756</v>
      </c>
      <c r="AI2235" t="s">
        <v>367</v>
      </c>
      <c r="AJ2235" t="str">
        <f t="shared" ref="AJ2235:AK2235" si="2385">IF($J2235&lt;&gt;"",$J2235,IF($AC2235=$AC2234,AJ2234,""))</f>
        <v/>
      </c>
      <c r="AK2235" t="str">
        <f t="shared" si="2385"/>
        <v/>
      </c>
      <c r="AL2235" t="str">
        <f t="shared" si="2307"/>
        <v/>
      </c>
      <c r="AN2235" t="s">
        <v>861</v>
      </c>
      <c r="AO2235" t="str">
        <f t="shared" si="2308"/>
        <v>h</v>
      </c>
      <c r="AP2235" t="str">
        <f t="shared" si="2316"/>
        <v/>
      </c>
      <c r="AQ2235" t="str">
        <f t="shared" si="2317"/>
        <v/>
      </c>
      <c r="AR2235" t="str">
        <f t="shared" si="2318"/>
        <v>Home</v>
      </c>
      <c r="AS2235" t="str">
        <f t="shared" si="2319"/>
        <v>h</v>
      </c>
      <c r="AT2235" t="str">
        <f t="shared" si="2320"/>
        <v>Offensive</v>
      </c>
      <c r="BA2235" s="6">
        <f t="shared" si="2309"/>
        <v>510</v>
      </c>
      <c r="BB2235">
        <f t="shared" si="2310"/>
        <v>18981</v>
      </c>
      <c r="BC2235" t="str">
        <f t="shared" si="2311"/>
        <v>Nelson</v>
      </c>
      <c r="BD2235" t="str">
        <f t="shared" si="2312"/>
        <v>Velodrome</v>
      </c>
      <c r="BE2235" t="s">
        <v>7</v>
      </c>
      <c r="BF2235" t="s">
        <v>172</v>
      </c>
      <c r="BG2235" t="s">
        <v>68</v>
      </c>
      <c r="BI2235" cm="1">
        <f t="array" ref="BI2235">IFERROR(_xlfn._xlws.FILTER(shifts!A:A,(shifts!B:B=events!AD2235)*(shifts!AG:AG&gt;=events!BK2235)*(shifts!AH:AH&lt;=events!BL2235)),BI2234)</f>
        <v>99</v>
      </c>
      <c r="BJ2235" s="15">
        <f t="shared" si="2313"/>
        <v>0</v>
      </c>
      <c r="BK2235">
        <f t="shared" si="2321"/>
        <v>273</v>
      </c>
      <c r="BL2235">
        <f t="shared" si="2322"/>
        <v>273</v>
      </c>
      <c r="BM2235" s="15">
        <f>SUMIFS(BJ$2:BJ2235,K$2:K2235,"=Intermission")+SUMIFS(BJ$2:BJ2235,K$2:K2235,"=Timeout")</f>
        <v>142</v>
      </c>
      <c r="BN2235">
        <f t="shared" si="2323"/>
        <v>2302</v>
      </c>
      <c r="BO2235" s="19">
        <f t="shared" si="2324"/>
        <v>3109</v>
      </c>
      <c r="BP2235">
        <f t="shared" si="2325"/>
        <v>3104</v>
      </c>
      <c r="BQ2235" s="17">
        <f t="shared" si="2326"/>
        <v>3109</v>
      </c>
      <c r="BR2235" t="str">
        <f t="shared" si="2327"/>
        <v>event_team_player_2</v>
      </c>
      <c r="BS2235">
        <f>COUNTIFS(S$3:S2235,"="&amp;S2235,AI$3:AI2235,"="&amp;AI2235)</f>
        <v>2</v>
      </c>
      <c r="BT2235" t="str">
        <f>IFERROR(VLOOKUP(BB2235&amp;BU2235&amp;X2235,game_rosters!U:W,3,FALSE),"")</f>
        <v>P100119</v>
      </c>
      <c r="BU2235" t="str">
        <f t="shared" si="2328"/>
        <v>Nelson</v>
      </c>
    </row>
    <row r="2236" spans="1:73" x14ac:dyDescent="0.2">
      <c r="A2236">
        <f t="shared" si="2314"/>
        <v>1</v>
      </c>
      <c r="J2236" s="44" t="str">
        <f t="shared" si="2329"/>
        <v/>
      </c>
      <c r="K2236" t="s">
        <v>13</v>
      </c>
      <c r="L2236" t="s">
        <v>756</v>
      </c>
      <c r="M2236" t="s">
        <v>756</v>
      </c>
      <c r="S2236">
        <v>1186</v>
      </c>
      <c r="W2236" t="str">
        <f t="shared" si="2305"/>
        <v>h</v>
      </c>
      <c r="X2236">
        <v>37</v>
      </c>
      <c r="Y2236" t="b">
        <f>IF(X2236&lt;&gt;"",VLOOKUP(X2236,game_rosters!$C$43:$E$64,3,FALSE))</f>
        <v>0</v>
      </c>
      <c r="Z2236" cm="1">
        <f t="array" ref="Z2236">IFERROR(IF(_xlfn._xlws.FILTER(game_rosters!$J:$J,(game_rosters!$G:$G=events!$AN2236)*(game_rosters!$J:$J=events!$X2236))&gt;0,1,""),"")</f>
        <v>1</v>
      </c>
      <c r="AA2236">
        <f t="shared" si="2353"/>
        <v>2186</v>
      </c>
      <c r="AB2236" t="str">
        <f t="shared" si="2354"/>
        <v/>
      </c>
      <c r="AC2236">
        <f t="shared" si="2302"/>
        <v>2186</v>
      </c>
      <c r="AD2236" s="6">
        <v>3</v>
      </c>
      <c r="AE2236" t="s">
        <v>941</v>
      </c>
      <c r="AF2236" t="s">
        <v>905</v>
      </c>
      <c r="AG2236" t="s">
        <v>941</v>
      </c>
      <c r="AH2236" t="s">
        <v>930</v>
      </c>
      <c r="AI2236" t="s">
        <v>367</v>
      </c>
      <c r="AJ2236" t="str">
        <f t="shared" ref="AJ2236:AK2236" si="2386">IF($J2236&lt;&gt;"",$J2236,IF($AC2236=$AC2235,AJ2235,""))</f>
        <v/>
      </c>
      <c r="AK2236" t="str">
        <f t="shared" si="2386"/>
        <v/>
      </c>
      <c r="AL2236" t="str">
        <f t="shared" si="2307"/>
        <v/>
      </c>
      <c r="AN2236" t="s">
        <v>861</v>
      </c>
      <c r="AO2236" t="str">
        <f t="shared" si="2308"/>
        <v>h</v>
      </c>
      <c r="AP2236" t="str">
        <f t="shared" si="2316"/>
        <v/>
      </c>
      <c r="AQ2236" t="str">
        <f t="shared" si="2317"/>
        <v/>
      </c>
      <c r="AR2236" t="str">
        <f t="shared" si="2318"/>
        <v>Home</v>
      </c>
      <c r="AS2236" t="str">
        <f t="shared" si="2319"/>
        <v>h</v>
      </c>
      <c r="AT2236" t="str">
        <f t="shared" si="2320"/>
        <v>Offensive</v>
      </c>
      <c r="BA2236" s="6">
        <f t="shared" si="2309"/>
        <v>510</v>
      </c>
      <c r="BB2236">
        <f t="shared" si="2310"/>
        <v>18981</v>
      </c>
      <c r="BC2236" t="str">
        <f t="shared" si="2311"/>
        <v>Nelson</v>
      </c>
      <c r="BD2236" t="str">
        <f t="shared" si="2312"/>
        <v>Velodrome</v>
      </c>
      <c r="BE2236" t="s">
        <v>13</v>
      </c>
      <c r="BF2236" t="s">
        <v>756</v>
      </c>
      <c r="BG2236" t="s">
        <v>756</v>
      </c>
      <c r="BI2236" cm="1">
        <f t="array" ref="BI2236">IFERROR(_xlfn._xlws.FILTER(shifts!A:A,(shifts!B:B=events!AD2236)*(shifts!AG:AG&gt;=events!BK2236)*(shifts!AH:AH&lt;=events!BL2236)),BI2235)</f>
        <v>99</v>
      </c>
      <c r="BJ2236" s="15">
        <f t="shared" si="2313"/>
        <v>4</v>
      </c>
      <c r="BK2236">
        <f t="shared" si="2321"/>
        <v>272</v>
      </c>
      <c r="BL2236">
        <f t="shared" si="2322"/>
        <v>268</v>
      </c>
      <c r="BM2236" s="15">
        <f>SUMIFS(BJ$2:BJ2236,K$2:K2236,"=Intermission")+SUMIFS(BJ$2:BJ2236,K$2:K2236,"=Timeout")</f>
        <v>142</v>
      </c>
      <c r="BN2236">
        <f t="shared" si="2323"/>
        <v>2302</v>
      </c>
      <c r="BO2236" s="19">
        <f t="shared" si="2324"/>
        <v>3110</v>
      </c>
      <c r="BP2236">
        <f t="shared" si="2325"/>
        <v>3105</v>
      </c>
      <c r="BQ2236" s="17">
        <f t="shared" si="2326"/>
        <v>3114</v>
      </c>
      <c r="BR2236" t="str">
        <f t="shared" si="2327"/>
        <v>event_team_player_1</v>
      </c>
      <c r="BS2236">
        <f>COUNTIFS(S$3:S2236,"="&amp;S2236,AI$3:AI2236,"="&amp;AI2236)</f>
        <v>1</v>
      </c>
      <c r="BT2236" t="str">
        <f>IFERROR(VLOOKUP(BB2236&amp;BU2236&amp;X2236,game_rosters!U:W,3,FALSE),"")</f>
        <v>P100119</v>
      </c>
      <c r="BU2236" t="str">
        <f t="shared" si="2328"/>
        <v>Nelson</v>
      </c>
    </row>
    <row r="2237" spans="1:73" x14ac:dyDescent="0.2">
      <c r="A2237">
        <f t="shared" si="2314"/>
        <v>1</v>
      </c>
      <c r="J2237" s="44" t="str">
        <f t="shared" si="2329"/>
        <v/>
      </c>
      <c r="K2237" t="s">
        <v>13</v>
      </c>
      <c r="L2237" t="s">
        <v>756</v>
      </c>
      <c r="M2237" t="s">
        <v>756</v>
      </c>
      <c r="S2237">
        <v>1186</v>
      </c>
      <c r="W2237" t="str">
        <f t="shared" si="2305"/>
        <v>h</v>
      </c>
      <c r="X2237">
        <v>61</v>
      </c>
      <c r="Y2237" t="e">
        <f>IF(X2237&lt;&gt;"",VLOOKUP(X2237,game_rosters!$C$43:$E$64,3,FALSE))</f>
        <v>#N/A</v>
      </c>
      <c r="Z2237" t="str" cm="1">
        <f t="array" ref="Z2237">IFERROR(IF(_xlfn._xlws.FILTER(game_rosters!$J:$J,(game_rosters!$G:$G=events!$AN2237)*(game_rosters!$J:$J=events!$X2237))&gt;0,1,""),"")</f>
        <v/>
      </c>
      <c r="AA2237">
        <f t="shared" si="2353"/>
        <v>2186</v>
      </c>
      <c r="AB2237" t="str">
        <f t="shared" si="2354"/>
        <v/>
      </c>
      <c r="AC2237">
        <f t="shared" si="2302"/>
        <v>2186</v>
      </c>
      <c r="AD2237" s="6">
        <v>3</v>
      </c>
      <c r="AE2237" t="s">
        <v>941</v>
      </c>
      <c r="AF2237" t="s">
        <v>905</v>
      </c>
      <c r="AG2237" t="s">
        <v>941</v>
      </c>
      <c r="AH2237" t="s">
        <v>930</v>
      </c>
      <c r="AI2237" t="s">
        <v>368</v>
      </c>
      <c r="AJ2237" t="str">
        <f t="shared" ref="AJ2237:AK2237" si="2387">IF($J2237&lt;&gt;"",$J2237,IF($AC2237=$AC2236,AJ2236,""))</f>
        <v/>
      </c>
      <c r="AK2237" t="str">
        <f t="shared" si="2387"/>
        <v/>
      </c>
      <c r="AL2237" t="str">
        <f t="shared" si="2307"/>
        <v/>
      </c>
      <c r="AN2237" t="s">
        <v>861</v>
      </c>
      <c r="AO2237" t="str">
        <f t="shared" si="2308"/>
        <v>h</v>
      </c>
      <c r="AP2237" t="str">
        <f t="shared" si="2316"/>
        <v/>
      </c>
      <c r="AQ2237" t="str">
        <f t="shared" si="2317"/>
        <v/>
      </c>
      <c r="AR2237" t="str">
        <f t="shared" si="2318"/>
        <v>Home</v>
      </c>
      <c r="AS2237" t="str">
        <f t="shared" si="2319"/>
        <v>h</v>
      </c>
      <c r="AT2237" t="str">
        <f t="shared" si="2320"/>
        <v>Defensive</v>
      </c>
      <c r="BA2237" s="6">
        <f t="shared" si="2309"/>
        <v>510</v>
      </c>
      <c r="BB2237">
        <f t="shared" si="2310"/>
        <v>18981</v>
      </c>
      <c r="BC2237" t="str">
        <f t="shared" si="2311"/>
        <v>Nelson</v>
      </c>
      <c r="BD2237" t="str">
        <f t="shared" si="2312"/>
        <v>Velodrome</v>
      </c>
      <c r="BE2237" t="s">
        <v>13</v>
      </c>
      <c r="BF2237" t="s">
        <v>756</v>
      </c>
      <c r="BG2237" t="s">
        <v>756</v>
      </c>
      <c r="BI2237" cm="1">
        <f t="array" ref="BI2237">IFERROR(_xlfn._xlws.FILTER(shifts!A:A,(shifts!B:B=events!AD2237)*(shifts!AG:AG&gt;=events!BK2237)*(shifts!AH:AH&lt;=events!BL2237)),BI2236)</f>
        <v>99</v>
      </c>
      <c r="BJ2237" s="15">
        <f t="shared" si="2313"/>
        <v>4</v>
      </c>
      <c r="BK2237">
        <f t="shared" si="2321"/>
        <v>272</v>
      </c>
      <c r="BL2237">
        <f t="shared" si="2322"/>
        <v>268</v>
      </c>
      <c r="BM2237" s="15">
        <f>SUMIFS(BJ$2:BJ2237,K$2:K2237,"=Intermission")+SUMIFS(BJ$2:BJ2237,K$2:K2237,"=Timeout")</f>
        <v>142</v>
      </c>
      <c r="BN2237">
        <f t="shared" si="2323"/>
        <v>2302</v>
      </c>
      <c r="BO2237" s="19">
        <f t="shared" si="2324"/>
        <v>3110</v>
      </c>
      <c r="BP2237">
        <f t="shared" si="2325"/>
        <v>3105</v>
      </c>
      <c r="BQ2237" s="17">
        <f t="shared" si="2326"/>
        <v>3114</v>
      </c>
      <c r="BR2237" t="str">
        <f t="shared" si="2327"/>
        <v>opp_team_player_1</v>
      </c>
      <c r="BS2237">
        <f>COUNTIFS(S$3:S2237,"="&amp;S2237,AI$3:AI2237,"="&amp;AI2237)</f>
        <v>1</v>
      </c>
      <c r="BT2237" t="str">
        <f>IFERROR(VLOOKUP(BB2237&amp;BU2237&amp;X2237,game_rosters!U:W,3,FALSE),"")</f>
        <v>P100224</v>
      </c>
      <c r="BU2237" t="str">
        <f t="shared" si="2328"/>
        <v>Velodrome</v>
      </c>
    </row>
    <row r="2238" spans="1:73" x14ac:dyDescent="0.2">
      <c r="A2238">
        <f t="shared" si="2314"/>
        <v>1</v>
      </c>
      <c r="J2238" s="44" t="str">
        <f t="shared" si="2329"/>
        <v>o</v>
      </c>
      <c r="K2238" t="s">
        <v>6</v>
      </c>
      <c r="L2238" t="s">
        <v>205</v>
      </c>
      <c r="M2238" t="s">
        <v>51</v>
      </c>
      <c r="S2238">
        <v>1187</v>
      </c>
      <c r="W2238" t="str">
        <f t="shared" si="2305"/>
        <v>h</v>
      </c>
      <c r="X2238">
        <v>37</v>
      </c>
      <c r="Y2238" t="b">
        <f>IF(X2238&lt;&gt;"",VLOOKUP(X2238,game_rosters!$C$43:$E$64,3,FALSE))</f>
        <v>0</v>
      </c>
      <c r="Z2238" cm="1">
        <f t="array" ref="Z2238">IFERROR(IF(_xlfn._xlws.FILTER(game_rosters!$J:$J,(game_rosters!$G:$G=events!$AN2238)*(game_rosters!$J:$J=events!$X2238))&gt;0,1,""),"")</f>
        <v>1</v>
      </c>
      <c r="AA2238">
        <f t="shared" si="2353"/>
        <v>2187</v>
      </c>
      <c r="AB2238" t="str">
        <f t="shared" si="2354"/>
        <v/>
      </c>
      <c r="AC2238">
        <f t="shared" si="2302"/>
        <v>2187</v>
      </c>
      <c r="AD2238" s="6">
        <v>3</v>
      </c>
      <c r="AE2238" t="s">
        <v>941</v>
      </c>
      <c r="AF2238" t="s">
        <v>930</v>
      </c>
      <c r="AG2238" t="s">
        <v>756</v>
      </c>
      <c r="AH2238" t="s">
        <v>756</v>
      </c>
      <c r="AI2238" t="s">
        <v>367</v>
      </c>
      <c r="AJ2238" t="str">
        <f t="shared" ref="AJ2238:AK2238" si="2388">IF($J2238&lt;&gt;"",$J2238,IF($AC2238=$AC2237,AJ2237,""))</f>
        <v>o</v>
      </c>
      <c r="AK2238" t="str">
        <f t="shared" si="2388"/>
        <v>o</v>
      </c>
      <c r="AL2238" t="str">
        <f t="shared" si="2307"/>
        <v>o</v>
      </c>
      <c r="AN2238" t="s">
        <v>861</v>
      </c>
      <c r="AO2238" t="str">
        <f t="shared" si="2308"/>
        <v>h</v>
      </c>
      <c r="AP2238" t="str">
        <f t="shared" si="2316"/>
        <v>o</v>
      </c>
      <c r="AQ2238" t="str">
        <f t="shared" si="2317"/>
        <v/>
      </c>
      <c r="AR2238" t="str">
        <f t="shared" si="2318"/>
        <v>Home</v>
      </c>
      <c r="AS2238" t="str">
        <f t="shared" si="2319"/>
        <v>h</v>
      </c>
      <c r="AT2238" t="str">
        <f t="shared" si="2320"/>
        <v>Offensive</v>
      </c>
      <c r="BA2238" s="6">
        <f t="shared" si="2309"/>
        <v>510</v>
      </c>
      <c r="BB2238">
        <f t="shared" si="2310"/>
        <v>18981</v>
      </c>
      <c r="BC2238" t="str">
        <f t="shared" si="2311"/>
        <v>Nelson</v>
      </c>
      <c r="BD2238" t="str">
        <f t="shared" si="2312"/>
        <v>Velodrome</v>
      </c>
      <c r="BE2238" t="s">
        <v>6</v>
      </c>
      <c r="BF2238" t="s">
        <v>205</v>
      </c>
      <c r="BG2238" t="s">
        <v>51</v>
      </c>
      <c r="BI2238" cm="1">
        <f t="array" ref="BI2238">IFERROR(_xlfn._xlws.FILTER(shifts!A:A,(shifts!B:B=events!AD2238)*(shifts!AG:AG&gt;=events!BK2238)*(shifts!AH:AH&lt;=events!BL2238)),BI2237)</f>
        <v>99</v>
      </c>
      <c r="BJ2238" s="15">
        <f t="shared" si="2313"/>
        <v>0</v>
      </c>
      <c r="BK2238">
        <f t="shared" si="2321"/>
        <v>268</v>
      </c>
      <c r="BL2238">
        <f t="shared" si="2322"/>
        <v>268</v>
      </c>
      <c r="BM2238" s="15">
        <f>SUMIFS(BJ$2:BJ2238,K$2:K2238,"=Intermission")+SUMIFS(BJ$2:BJ2238,K$2:K2238,"=Timeout")</f>
        <v>142</v>
      </c>
      <c r="BN2238">
        <f t="shared" si="2323"/>
        <v>2302</v>
      </c>
      <c r="BO2238" s="19">
        <f t="shared" si="2324"/>
        <v>3114</v>
      </c>
      <c r="BP2238">
        <f t="shared" si="2325"/>
        <v>3109</v>
      </c>
      <c r="BQ2238" s="17">
        <f t="shared" si="2326"/>
        <v>3114</v>
      </c>
      <c r="BR2238" t="str">
        <f t="shared" si="2327"/>
        <v>event_team_player_1</v>
      </c>
      <c r="BS2238">
        <f>COUNTIFS(S$3:S2238,"="&amp;S2238,AI$3:AI2238,"="&amp;AI2238)</f>
        <v>1</v>
      </c>
      <c r="BT2238" t="str">
        <f>IFERROR(VLOOKUP(BB2238&amp;BU2238&amp;X2238,game_rosters!U:W,3,FALSE),"")</f>
        <v>P100119</v>
      </c>
      <c r="BU2238" t="str">
        <f t="shared" si="2328"/>
        <v>Nelson</v>
      </c>
    </row>
    <row r="2239" spans="1:73" x14ac:dyDescent="0.2">
      <c r="A2239">
        <f t="shared" si="2314"/>
        <v>1</v>
      </c>
      <c r="J2239" s="44" t="str">
        <f t="shared" si="2329"/>
        <v>o</v>
      </c>
      <c r="K2239" t="s">
        <v>6</v>
      </c>
      <c r="L2239" t="s">
        <v>205</v>
      </c>
      <c r="M2239" t="s">
        <v>51</v>
      </c>
      <c r="S2239">
        <v>1187</v>
      </c>
      <c r="W2239" t="str">
        <f t="shared" si="2305"/>
        <v>h</v>
      </c>
      <c r="X2239">
        <v>39</v>
      </c>
      <c r="Y2239" t="e">
        <f>IF(X2239&lt;&gt;"",VLOOKUP(X2239,game_rosters!$C$43:$E$64,3,FALSE))</f>
        <v>#N/A</v>
      </c>
      <c r="Z2239" t="str" cm="1">
        <f t="array" ref="Z2239">IFERROR(IF(_xlfn._xlws.FILTER(game_rosters!$J:$J,(game_rosters!$G:$G=events!$AN2239)*(game_rosters!$J:$J=events!$X2239))&gt;0,1,""),"")</f>
        <v/>
      </c>
      <c r="AA2239">
        <f t="shared" si="2353"/>
        <v>2187</v>
      </c>
      <c r="AB2239" t="str">
        <f t="shared" si="2354"/>
        <v/>
      </c>
      <c r="AC2239">
        <f t="shared" si="2302"/>
        <v>2187</v>
      </c>
      <c r="AD2239" s="6">
        <v>3</v>
      </c>
      <c r="AE2239" t="s">
        <v>941</v>
      </c>
      <c r="AF2239" t="s">
        <v>930</v>
      </c>
      <c r="AG2239" t="s">
        <v>756</v>
      </c>
      <c r="AH2239" t="s">
        <v>756</v>
      </c>
      <c r="AI2239" t="s">
        <v>368</v>
      </c>
      <c r="AJ2239" t="str">
        <f t="shared" ref="AJ2239:AK2239" si="2389">IF($J2239&lt;&gt;"",$J2239,IF($AC2239=$AC2238,AJ2238,""))</f>
        <v>o</v>
      </c>
      <c r="AK2239" t="str">
        <f t="shared" si="2389"/>
        <v>o</v>
      </c>
      <c r="AL2239" t="str">
        <f t="shared" si="2307"/>
        <v>o</v>
      </c>
      <c r="AN2239" t="s">
        <v>861</v>
      </c>
      <c r="AO2239" t="str">
        <f t="shared" si="2308"/>
        <v>h</v>
      </c>
      <c r="AP2239" t="str">
        <f t="shared" si="2316"/>
        <v>o</v>
      </c>
      <c r="AQ2239" t="str">
        <f t="shared" si="2317"/>
        <v/>
      </c>
      <c r="AR2239" t="str">
        <f t="shared" si="2318"/>
        <v>Home</v>
      </c>
      <c r="AS2239" t="str">
        <f t="shared" si="2319"/>
        <v>h</v>
      </c>
      <c r="AT2239" t="str">
        <f t="shared" si="2320"/>
        <v>Defensive</v>
      </c>
      <c r="BA2239" s="6">
        <f t="shared" si="2309"/>
        <v>510</v>
      </c>
      <c r="BB2239">
        <f t="shared" si="2310"/>
        <v>18981</v>
      </c>
      <c r="BC2239" t="str">
        <f t="shared" si="2311"/>
        <v>Nelson</v>
      </c>
      <c r="BD2239" t="str">
        <f t="shared" si="2312"/>
        <v>Velodrome</v>
      </c>
      <c r="BE2239" t="s">
        <v>6</v>
      </c>
      <c r="BF2239" t="s">
        <v>205</v>
      </c>
      <c r="BG2239" t="s">
        <v>51</v>
      </c>
      <c r="BI2239" cm="1">
        <f t="array" ref="BI2239">IFERROR(_xlfn._xlws.FILTER(shifts!A:A,(shifts!B:B=events!AD2239)*(shifts!AG:AG&gt;=events!BK2239)*(shifts!AH:AH&lt;=events!BL2239)),BI2238)</f>
        <v>99</v>
      </c>
      <c r="BJ2239" s="15">
        <f t="shared" si="2313"/>
        <v>0</v>
      </c>
      <c r="BK2239">
        <f t="shared" si="2321"/>
        <v>268</v>
      </c>
      <c r="BL2239">
        <f t="shared" si="2322"/>
        <v>268</v>
      </c>
      <c r="BM2239" s="15">
        <f>SUMIFS(BJ$2:BJ2239,K$2:K2239,"=Intermission")+SUMIFS(BJ$2:BJ2239,K$2:K2239,"=Timeout")</f>
        <v>142</v>
      </c>
      <c r="BN2239">
        <f t="shared" si="2323"/>
        <v>2302</v>
      </c>
      <c r="BO2239" s="19">
        <f t="shared" si="2324"/>
        <v>3114</v>
      </c>
      <c r="BP2239">
        <f t="shared" si="2325"/>
        <v>3109</v>
      </c>
      <c r="BQ2239" s="17">
        <f t="shared" si="2326"/>
        <v>3114</v>
      </c>
      <c r="BR2239" t="str">
        <f t="shared" si="2327"/>
        <v>opp_team_player_1</v>
      </c>
      <c r="BS2239">
        <f>COUNTIFS(S$3:S2239,"="&amp;S2239,AI$3:AI2239,"="&amp;AI2239)</f>
        <v>1</v>
      </c>
      <c r="BT2239" t="str">
        <f>IFERROR(VLOOKUP(BB2239&amp;BU2239&amp;X2239,game_rosters!U:W,3,FALSE),"")</f>
        <v>P100016</v>
      </c>
      <c r="BU2239" t="str">
        <f t="shared" si="2328"/>
        <v>Velodrome</v>
      </c>
    </row>
    <row r="2240" spans="1:73" x14ac:dyDescent="0.2">
      <c r="A2240">
        <f t="shared" si="2314"/>
        <v>1</v>
      </c>
      <c r="J2240" s="44" t="str">
        <f t="shared" si="2329"/>
        <v>d</v>
      </c>
      <c r="K2240" t="s">
        <v>15</v>
      </c>
      <c r="L2240" t="s">
        <v>189</v>
      </c>
      <c r="M2240" t="s">
        <v>416</v>
      </c>
      <c r="S2240">
        <v>1188</v>
      </c>
      <c r="W2240" t="str">
        <f t="shared" si="2305"/>
        <v>a</v>
      </c>
      <c r="X2240">
        <v>39</v>
      </c>
      <c r="Y2240" t="e">
        <f>IF(X2240&lt;&gt;"",VLOOKUP(X2240,game_rosters!$C$43:$E$64,3,FALSE))</f>
        <v>#N/A</v>
      </c>
      <c r="Z2240" cm="1">
        <f t="array" ref="Z2240">IFERROR(IF(_xlfn._xlws.FILTER(game_rosters!$J:$J,(game_rosters!$G:$G=events!$AN2240)*(game_rosters!$J:$J=events!$X2240))&gt;0,1,""),"")</f>
        <v>1</v>
      </c>
      <c r="AA2240">
        <f t="shared" si="2353"/>
        <v>2188</v>
      </c>
      <c r="AB2240" t="str">
        <f t="shared" si="2354"/>
        <v/>
      </c>
      <c r="AC2240">
        <f t="shared" si="2302"/>
        <v>2188</v>
      </c>
      <c r="AD2240" s="6">
        <v>3</v>
      </c>
      <c r="AE2240" t="s">
        <v>941</v>
      </c>
      <c r="AF2240" t="s">
        <v>930</v>
      </c>
      <c r="AG2240" t="s">
        <v>756</v>
      </c>
      <c r="AH2240" t="s">
        <v>756</v>
      </c>
      <c r="AI2240" t="s">
        <v>367</v>
      </c>
      <c r="AJ2240" t="str">
        <f t="shared" ref="AJ2240:AK2240" si="2390">IF($J2240&lt;&gt;"",$J2240,IF($AC2240=$AC2239,AJ2239,""))</f>
        <v>d</v>
      </c>
      <c r="AK2240" t="str">
        <f t="shared" si="2390"/>
        <v>d</v>
      </c>
      <c r="AL2240" t="str">
        <f t="shared" si="2307"/>
        <v>o</v>
      </c>
      <c r="AN2240" t="s">
        <v>862</v>
      </c>
      <c r="AO2240" t="str">
        <f t="shared" si="2308"/>
        <v>a</v>
      </c>
      <c r="AP2240" t="str">
        <f t="shared" si="2316"/>
        <v>o</v>
      </c>
      <c r="AQ2240" t="str">
        <f t="shared" si="2317"/>
        <v/>
      </c>
      <c r="AR2240" t="str">
        <f t="shared" si="2318"/>
        <v>Away</v>
      </c>
      <c r="AS2240" t="str">
        <f t="shared" si="2319"/>
        <v>a</v>
      </c>
      <c r="AT2240" t="str">
        <f t="shared" si="2320"/>
        <v>Defensive</v>
      </c>
      <c r="BA2240" s="6">
        <f t="shared" si="2309"/>
        <v>510</v>
      </c>
      <c r="BB2240">
        <f t="shared" si="2310"/>
        <v>18981</v>
      </c>
      <c r="BC2240" t="str">
        <f t="shared" si="2311"/>
        <v>Nelson</v>
      </c>
      <c r="BD2240" t="str">
        <f t="shared" si="2312"/>
        <v>Velodrome</v>
      </c>
      <c r="BE2240" t="s">
        <v>15</v>
      </c>
      <c r="BF2240" t="s">
        <v>189</v>
      </c>
      <c r="BG2240" t="s">
        <v>416</v>
      </c>
      <c r="BI2240" cm="1">
        <f t="array" ref="BI2240">IFERROR(_xlfn._xlws.FILTER(shifts!A:A,(shifts!B:B=events!AD2240)*(shifts!AG:AG&gt;=events!BK2240)*(shifts!AH:AH&lt;=events!BL2240)),BI2239)</f>
        <v>99</v>
      </c>
      <c r="BJ2240" s="15">
        <f t="shared" si="2313"/>
        <v>0</v>
      </c>
      <c r="BK2240">
        <f t="shared" si="2321"/>
        <v>268</v>
      </c>
      <c r="BL2240">
        <f t="shared" si="2322"/>
        <v>268</v>
      </c>
      <c r="BM2240" s="15">
        <f>SUMIFS(BJ$2:BJ2240,K$2:K2240,"=Intermission")+SUMIFS(BJ$2:BJ2240,K$2:K2240,"=Timeout")</f>
        <v>142</v>
      </c>
      <c r="BN2240">
        <f t="shared" si="2323"/>
        <v>2302</v>
      </c>
      <c r="BO2240" s="19">
        <f t="shared" si="2324"/>
        <v>3114</v>
      </c>
      <c r="BP2240">
        <f t="shared" si="2325"/>
        <v>3109</v>
      </c>
      <c r="BQ2240" s="17">
        <f t="shared" si="2326"/>
        <v>3114</v>
      </c>
      <c r="BR2240" t="str">
        <f t="shared" si="2327"/>
        <v>event_team_player_1</v>
      </c>
      <c r="BS2240">
        <f>COUNTIFS(S$3:S2240,"="&amp;S2240,AI$3:AI2240,"="&amp;AI2240)</f>
        <v>1</v>
      </c>
      <c r="BT2240" t="str">
        <f>IFERROR(VLOOKUP(BB2240&amp;BU2240&amp;X2240,game_rosters!U:W,3,FALSE),"")</f>
        <v>P100016</v>
      </c>
      <c r="BU2240" t="str">
        <f t="shared" si="2328"/>
        <v>Velodrome</v>
      </c>
    </row>
    <row r="2241" spans="1:73" x14ac:dyDescent="0.2">
      <c r="A2241">
        <f t="shared" si="2314"/>
        <v>1</v>
      </c>
      <c r="J2241" s="44" t="str">
        <f t="shared" si="2329"/>
        <v>d</v>
      </c>
      <c r="K2241" t="s">
        <v>15</v>
      </c>
      <c r="L2241" t="s">
        <v>189</v>
      </c>
      <c r="M2241" t="s">
        <v>416</v>
      </c>
      <c r="S2241">
        <v>1188</v>
      </c>
      <c r="W2241" t="str">
        <f t="shared" si="2305"/>
        <v>a</v>
      </c>
      <c r="X2241">
        <v>37</v>
      </c>
      <c r="Y2241" t="b">
        <f>IF(X2241&lt;&gt;"",VLOOKUP(X2241,game_rosters!$C$43:$E$64,3,FALSE))</f>
        <v>0</v>
      </c>
      <c r="Z2241" t="str" cm="1">
        <f t="array" ref="Z2241">IFERROR(IF(_xlfn._xlws.FILTER(game_rosters!$J:$J,(game_rosters!$G:$G=events!$AN2241)*(game_rosters!$J:$J=events!$X2241))&gt;0,1,""),"")</f>
        <v/>
      </c>
      <c r="AA2241">
        <f t="shared" si="2353"/>
        <v>2188</v>
      </c>
      <c r="AB2241" t="str">
        <f t="shared" si="2354"/>
        <v/>
      </c>
      <c r="AC2241">
        <f t="shared" si="2302"/>
        <v>2188</v>
      </c>
      <c r="AD2241" s="6">
        <v>3</v>
      </c>
      <c r="AE2241" t="s">
        <v>941</v>
      </c>
      <c r="AF2241" t="s">
        <v>930</v>
      </c>
      <c r="AG2241" t="s">
        <v>756</v>
      </c>
      <c r="AH2241" t="s">
        <v>756</v>
      </c>
      <c r="AI2241" t="s">
        <v>368</v>
      </c>
      <c r="AJ2241" t="str">
        <f t="shared" ref="AJ2241:AK2241" si="2391">IF($J2241&lt;&gt;"",$J2241,IF($AC2241=$AC2240,AJ2240,""))</f>
        <v>d</v>
      </c>
      <c r="AK2241" t="str">
        <f t="shared" si="2391"/>
        <v>d</v>
      </c>
      <c r="AL2241" t="str">
        <f t="shared" si="2307"/>
        <v>o</v>
      </c>
      <c r="AN2241" t="s">
        <v>862</v>
      </c>
      <c r="AO2241" t="str">
        <f t="shared" si="2308"/>
        <v>a</v>
      </c>
      <c r="AP2241" t="str">
        <f t="shared" si="2316"/>
        <v>o</v>
      </c>
      <c r="AQ2241" t="str">
        <f t="shared" si="2317"/>
        <v/>
      </c>
      <c r="AR2241" t="str">
        <f t="shared" si="2318"/>
        <v>Away</v>
      </c>
      <c r="AS2241" t="str">
        <f t="shared" si="2319"/>
        <v>a</v>
      </c>
      <c r="AT2241" t="str">
        <f t="shared" si="2320"/>
        <v>Offensive</v>
      </c>
      <c r="BA2241" s="6">
        <f t="shared" si="2309"/>
        <v>510</v>
      </c>
      <c r="BB2241">
        <f t="shared" si="2310"/>
        <v>18981</v>
      </c>
      <c r="BC2241" t="str">
        <f t="shared" si="2311"/>
        <v>Nelson</v>
      </c>
      <c r="BD2241" t="str">
        <f t="shared" si="2312"/>
        <v>Velodrome</v>
      </c>
      <c r="BE2241" t="s">
        <v>15</v>
      </c>
      <c r="BF2241" t="s">
        <v>189</v>
      </c>
      <c r="BG2241" t="s">
        <v>416</v>
      </c>
      <c r="BI2241" cm="1">
        <f t="array" ref="BI2241">IFERROR(_xlfn._xlws.FILTER(shifts!A:A,(shifts!B:B=events!AD2241)*(shifts!AG:AG&gt;=events!BK2241)*(shifts!AH:AH&lt;=events!BL2241)),BI2240)</f>
        <v>99</v>
      </c>
      <c r="BJ2241" s="15">
        <f t="shared" si="2313"/>
        <v>0</v>
      </c>
      <c r="BK2241">
        <f t="shared" si="2321"/>
        <v>268</v>
      </c>
      <c r="BL2241">
        <f t="shared" si="2322"/>
        <v>268</v>
      </c>
      <c r="BM2241" s="15">
        <f>SUMIFS(BJ$2:BJ2241,K$2:K2241,"=Intermission")+SUMIFS(BJ$2:BJ2241,K$2:K2241,"=Timeout")</f>
        <v>142</v>
      </c>
      <c r="BN2241">
        <f t="shared" si="2323"/>
        <v>2302</v>
      </c>
      <c r="BO2241" s="19">
        <f t="shared" si="2324"/>
        <v>3114</v>
      </c>
      <c r="BP2241">
        <f t="shared" si="2325"/>
        <v>3109</v>
      </c>
      <c r="BQ2241" s="17">
        <f t="shared" si="2326"/>
        <v>3114</v>
      </c>
      <c r="BR2241" t="str">
        <f t="shared" si="2327"/>
        <v>opp_team_player_1</v>
      </c>
      <c r="BS2241">
        <f>COUNTIFS(S$3:S2241,"="&amp;S2241,AI$3:AI2241,"="&amp;AI2241)</f>
        <v>1</v>
      </c>
      <c r="BT2241" t="str">
        <f>IFERROR(VLOOKUP(BB2241&amp;BU2241&amp;X2241,game_rosters!U:W,3,FALSE),"")</f>
        <v>P100119</v>
      </c>
      <c r="BU2241" t="str">
        <f t="shared" si="2328"/>
        <v>Nelson</v>
      </c>
    </row>
    <row r="2242" spans="1:73" x14ac:dyDescent="0.2">
      <c r="A2242">
        <f t="shared" si="2314"/>
        <v>1</v>
      </c>
      <c r="J2242" s="44" t="str">
        <f t="shared" si="2329"/>
        <v>d</v>
      </c>
      <c r="K2242" t="s">
        <v>11</v>
      </c>
      <c r="L2242" t="s">
        <v>187</v>
      </c>
      <c r="M2242" t="s">
        <v>108</v>
      </c>
      <c r="S2242">
        <v>1189</v>
      </c>
      <c r="W2242" t="str">
        <f t="shared" si="2305"/>
        <v>a</v>
      </c>
      <c r="X2242">
        <v>39</v>
      </c>
      <c r="Y2242" t="e">
        <f>IF(X2242&lt;&gt;"",VLOOKUP(X2242,game_rosters!$C$43:$E$64,3,FALSE))</f>
        <v>#N/A</v>
      </c>
      <c r="Z2242" cm="1">
        <f t="array" ref="Z2242">IFERROR(IF(_xlfn._xlws.FILTER(game_rosters!$J:$J,(game_rosters!$G:$G=events!$AN2242)*(game_rosters!$J:$J=events!$X2242))&gt;0,1,""),"")</f>
        <v>1</v>
      </c>
      <c r="AA2242">
        <f t="shared" si="2353"/>
        <v>2189</v>
      </c>
      <c r="AB2242" t="str">
        <f t="shared" si="2354"/>
        <v/>
      </c>
      <c r="AC2242">
        <f t="shared" ref="AC2242:AC2305" si="2392">IF(AB2242&lt;&gt;"",AB2242,S2242+1000)</f>
        <v>2189</v>
      </c>
      <c r="AD2242" s="6">
        <v>3</v>
      </c>
      <c r="AE2242" t="s">
        <v>941</v>
      </c>
      <c r="AF2242" t="s">
        <v>930</v>
      </c>
      <c r="AG2242" t="s">
        <v>756</v>
      </c>
      <c r="AH2242" t="s">
        <v>756</v>
      </c>
      <c r="AI2242" t="s">
        <v>367</v>
      </c>
      <c r="AJ2242" t="str">
        <f t="shared" ref="AJ2242:AK2242" si="2393">IF($J2242&lt;&gt;"",$J2242,IF($AC2242=$AC2241,AJ2241,""))</f>
        <v>d</v>
      </c>
      <c r="AK2242" t="str">
        <f t="shared" si="2393"/>
        <v>d</v>
      </c>
      <c r="AL2242" t="str">
        <f t="shared" si="2307"/>
        <v>o</v>
      </c>
      <c r="AN2242" t="s">
        <v>862</v>
      </c>
      <c r="AO2242" t="str">
        <f t="shared" si="2308"/>
        <v>a</v>
      </c>
      <c r="AP2242" t="str">
        <f t="shared" si="2316"/>
        <v>o</v>
      </c>
      <c r="AQ2242" t="str">
        <f t="shared" si="2317"/>
        <v/>
      </c>
      <c r="AR2242" t="str">
        <f t="shared" si="2318"/>
        <v>Away</v>
      </c>
      <c r="AS2242" t="str">
        <f t="shared" si="2319"/>
        <v>a</v>
      </c>
      <c r="AT2242" t="str">
        <f t="shared" si="2320"/>
        <v/>
      </c>
      <c r="BA2242" s="6">
        <f t="shared" si="2309"/>
        <v>510</v>
      </c>
      <c r="BB2242">
        <f t="shared" si="2310"/>
        <v>18981</v>
      </c>
      <c r="BC2242" t="str">
        <f t="shared" si="2311"/>
        <v>Nelson</v>
      </c>
      <c r="BD2242" t="str">
        <f t="shared" si="2312"/>
        <v>Velodrome</v>
      </c>
      <c r="BE2242" t="s">
        <v>11</v>
      </c>
      <c r="BF2242" t="s">
        <v>187</v>
      </c>
      <c r="BG2242" t="s">
        <v>108</v>
      </c>
      <c r="BI2242" cm="1">
        <f t="array" ref="BI2242">IFERROR(_xlfn._xlws.FILTER(shifts!A:A,(shifts!B:B=events!AD2242)*(shifts!AG:AG&gt;=events!BK2242)*(shifts!AH:AH&lt;=events!BL2242)),BI2241)</f>
        <v>99</v>
      </c>
      <c r="BJ2242" s="15">
        <f t="shared" si="2313"/>
        <v>0</v>
      </c>
      <c r="BK2242">
        <f t="shared" si="2321"/>
        <v>268</v>
      </c>
      <c r="BL2242">
        <f t="shared" si="2322"/>
        <v>268</v>
      </c>
      <c r="BM2242" s="15">
        <f>SUMIFS(BJ$2:BJ2242,K$2:K2242,"=Intermission")+SUMIFS(BJ$2:BJ2242,K$2:K2242,"=Timeout")</f>
        <v>142</v>
      </c>
      <c r="BN2242">
        <f t="shared" si="2323"/>
        <v>2302</v>
      </c>
      <c r="BO2242" s="19">
        <f t="shared" si="2324"/>
        <v>3114</v>
      </c>
      <c r="BP2242">
        <f t="shared" si="2325"/>
        <v>3109</v>
      </c>
      <c r="BQ2242" s="17">
        <f t="shared" si="2326"/>
        <v>3114</v>
      </c>
      <c r="BR2242" t="str">
        <f t="shared" si="2327"/>
        <v>event_team_player_1</v>
      </c>
      <c r="BS2242">
        <f>COUNTIFS(S$3:S2242,"="&amp;S2242,AI$3:AI2242,"="&amp;AI2242)</f>
        <v>1</v>
      </c>
      <c r="BT2242" t="str">
        <f>IFERROR(VLOOKUP(BB2242&amp;BU2242&amp;X2242,game_rosters!U:W,3,FALSE),"")</f>
        <v>P100016</v>
      </c>
      <c r="BU2242" t="str">
        <f t="shared" si="2328"/>
        <v>Velodrome</v>
      </c>
    </row>
    <row r="2243" spans="1:73" x14ac:dyDescent="0.2">
      <c r="A2243">
        <f t="shared" si="2314"/>
        <v>1</v>
      </c>
      <c r="J2243" s="44" t="str">
        <f t="shared" si="2329"/>
        <v>d</v>
      </c>
      <c r="K2243" t="s">
        <v>241</v>
      </c>
      <c r="L2243" t="s">
        <v>756</v>
      </c>
      <c r="M2243" t="s">
        <v>756</v>
      </c>
      <c r="S2243">
        <v>1190</v>
      </c>
      <c r="W2243" t="str">
        <f t="shared" si="2305"/>
        <v>a</v>
      </c>
      <c r="X2243">
        <v>39</v>
      </c>
      <c r="Y2243" t="e">
        <f>IF(X2243&lt;&gt;"",VLOOKUP(X2243,game_rosters!$C$43:$E$64,3,FALSE))</f>
        <v>#N/A</v>
      </c>
      <c r="Z2243" cm="1">
        <f t="array" ref="Z2243">IFERROR(IF(_xlfn._xlws.FILTER(game_rosters!$J:$J,(game_rosters!$G:$G=events!$AN2243)*(game_rosters!$J:$J=events!$X2243))&gt;0,1,""),"")</f>
        <v>1</v>
      </c>
      <c r="AA2243">
        <f t="shared" si="2353"/>
        <v>2190</v>
      </c>
      <c r="AB2243" t="str">
        <f t="shared" si="2354"/>
        <v/>
      </c>
      <c r="AC2243">
        <f t="shared" si="2392"/>
        <v>2190</v>
      </c>
      <c r="AD2243" s="6">
        <v>3</v>
      </c>
      <c r="AE2243" t="s">
        <v>941</v>
      </c>
      <c r="AF2243" t="s">
        <v>916</v>
      </c>
      <c r="AG2243" t="s">
        <v>941</v>
      </c>
      <c r="AH2243" t="s">
        <v>910</v>
      </c>
      <c r="AI2243" t="s">
        <v>367</v>
      </c>
      <c r="AJ2243" t="str">
        <f t="shared" ref="AJ2243:AK2243" si="2394">IF($J2243&lt;&gt;"",$J2243,IF($AC2243=$AC2242,AJ2242,""))</f>
        <v>d</v>
      </c>
      <c r="AK2243" t="str">
        <f t="shared" si="2394"/>
        <v>d</v>
      </c>
      <c r="AL2243" t="str">
        <f t="shared" si="2307"/>
        <v>o</v>
      </c>
      <c r="AN2243" t="s">
        <v>862</v>
      </c>
      <c r="AO2243" t="str">
        <f t="shared" si="2308"/>
        <v>a</v>
      </c>
      <c r="AP2243" t="str">
        <f t="shared" si="2316"/>
        <v>o</v>
      </c>
      <c r="AQ2243" t="str">
        <f t="shared" si="2317"/>
        <v/>
      </c>
      <c r="AR2243" t="str">
        <f t="shared" si="2318"/>
        <v>Away</v>
      </c>
      <c r="AS2243" t="str">
        <f t="shared" si="2319"/>
        <v>a</v>
      </c>
      <c r="AT2243" t="str">
        <f t="shared" si="2320"/>
        <v/>
      </c>
      <c r="BA2243" s="6">
        <f t="shared" si="2309"/>
        <v>510</v>
      </c>
      <c r="BB2243">
        <f t="shared" si="2310"/>
        <v>18981</v>
      </c>
      <c r="BC2243" t="str">
        <f t="shared" si="2311"/>
        <v>Nelson</v>
      </c>
      <c r="BD2243" t="str">
        <f t="shared" si="2312"/>
        <v>Velodrome</v>
      </c>
      <c r="BE2243" t="s">
        <v>241</v>
      </c>
      <c r="BF2243" t="s">
        <v>756</v>
      </c>
      <c r="BG2243" t="s">
        <v>756</v>
      </c>
      <c r="BI2243" cm="1">
        <f t="array" ref="BI2243">IFERROR(_xlfn._xlws.FILTER(shifts!A:A,(shifts!B:B=events!AD2243)*(shifts!AG:AG&gt;=events!BK2243)*(shifts!AH:AH&lt;=events!BL2243)),BI2242)</f>
        <v>99</v>
      </c>
      <c r="BJ2243" s="15">
        <f t="shared" si="2313"/>
        <v>17</v>
      </c>
      <c r="BK2243">
        <f t="shared" si="2321"/>
        <v>267</v>
      </c>
      <c r="BL2243">
        <f t="shared" si="2322"/>
        <v>250</v>
      </c>
      <c r="BM2243" s="15">
        <f>SUMIFS(BJ$2:BJ2243,K$2:K2243,"=Intermission")+SUMIFS(BJ$2:BJ2243,K$2:K2243,"=Timeout")</f>
        <v>142</v>
      </c>
      <c r="BN2243">
        <f t="shared" si="2323"/>
        <v>2302</v>
      </c>
      <c r="BO2243" s="19">
        <f t="shared" si="2324"/>
        <v>3115</v>
      </c>
      <c r="BP2243">
        <f t="shared" si="2325"/>
        <v>3110</v>
      </c>
      <c r="BQ2243" s="17">
        <f t="shared" si="2326"/>
        <v>3132</v>
      </c>
      <c r="BR2243" t="str">
        <f t="shared" si="2327"/>
        <v>event_team_player_1</v>
      </c>
      <c r="BS2243">
        <f>COUNTIFS(S$3:S2243,"="&amp;S2243,AI$3:AI2243,"="&amp;AI2243)</f>
        <v>1</v>
      </c>
      <c r="BT2243" t="str">
        <f>IFERROR(VLOOKUP(BB2243&amp;BU2243&amp;X2243,game_rosters!U:W,3,FALSE),"")</f>
        <v>P100016</v>
      </c>
      <c r="BU2243" t="str">
        <f t="shared" si="2328"/>
        <v>Velodrome</v>
      </c>
    </row>
    <row r="2244" spans="1:73" x14ac:dyDescent="0.2">
      <c r="A2244">
        <f t="shared" si="2314"/>
        <v>1</v>
      </c>
      <c r="J2244" s="44" t="str">
        <f t="shared" si="2329"/>
        <v/>
      </c>
      <c r="K2244" t="s">
        <v>5</v>
      </c>
      <c r="L2244" t="s">
        <v>236</v>
      </c>
      <c r="M2244" t="s">
        <v>756</v>
      </c>
      <c r="S2244">
        <v>1191</v>
      </c>
      <c r="W2244" t="str">
        <f t="shared" ref="W2244:W2307" si="2395">IF(AN2244="Away","a",IF(AN2244="Home","h",""))</f>
        <v>h</v>
      </c>
      <c r="X2244">
        <v>10</v>
      </c>
      <c r="Y2244" t="b">
        <f>IF(X2244&lt;&gt;"",VLOOKUP(X2244,game_rosters!$C$43:$E$64,3,FALSE))</f>
        <v>0</v>
      </c>
      <c r="Z2244" cm="1">
        <f t="array" ref="Z2244">IFERROR(IF(_xlfn._xlws.FILTER(game_rosters!$J:$J,(game_rosters!$G:$G=events!$AN2244)*(game_rosters!$J:$J=events!$X2244))&gt;0,1,""),"")</f>
        <v>1</v>
      </c>
      <c r="AA2244">
        <f t="shared" si="2353"/>
        <v>2191</v>
      </c>
      <c r="AB2244" t="str">
        <f t="shared" si="2354"/>
        <v/>
      </c>
      <c r="AC2244">
        <f t="shared" si="2392"/>
        <v>2191</v>
      </c>
      <c r="AD2244" s="6">
        <v>3</v>
      </c>
      <c r="AE2244" t="s">
        <v>941</v>
      </c>
      <c r="AF2244" t="s">
        <v>910</v>
      </c>
      <c r="AG2244" t="s">
        <v>756</v>
      </c>
      <c r="AH2244" t="s">
        <v>756</v>
      </c>
      <c r="AI2244" t="s">
        <v>367</v>
      </c>
      <c r="AJ2244" t="str">
        <f t="shared" ref="AJ2244:AK2244" si="2396">IF($J2244&lt;&gt;"",$J2244,IF($AC2244=$AC2243,AJ2243,""))</f>
        <v/>
      </c>
      <c r="AK2244" t="str">
        <f t="shared" si="2396"/>
        <v/>
      </c>
      <c r="AL2244" t="str">
        <f t="shared" ref="AL2244:AL2307" si="2397">IF($W2244="","",IF($AJ2244="","",IF($W2244="h",$AJ2244,IF($AJ2244="n","n",IF(AND($W2244="a",$AJ2244="d"),"o",IF(AND($W2244="a",$AJ2244="o"),"d"))))))</f>
        <v/>
      </c>
      <c r="AN2244" t="s">
        <v>861</v>
      </c>
      <c r="AO2244" t="str">
        <f t="shared" ref="AO2244:AO2307" si="2398">IF($W2244&lt;&gt;"",$W2244,IF($AC2244=$AC2243,AO2243,""))</f>
        <v>h</v>
      </c>
      <c r="AP2244" t="str">
        <f t="shared" si="2316"/>
        <v/>
      </c>
      <c r="AQ2244" t="str">
        <f t="shared" si="2317"/>
        <v/>
      </c>
      <c r="AR2244" t="str">
        <f t="shared" si="2318"/>
        <v>Home</v>
      </c>
      <c r="AS2244" t="str">
        <f t="shared" si="2319"/>
        <v>h</v>
      </c>
      <c r="AT2244" t="str">
        <f t="shared" si="2320"/>
        <v>Offensive</v>
      </c>
      <c r="BA2244" s="6">
        <f t="shared" ref="BA2244:BA2307" si="2399">IF(OR(L2244="Zone_Entry",L2244="Zone_Exit"),BA2243+1,BA2243)</f>
        <v>510</v>
      </c>
      <c r="BB2244">
        <f t="shared" ref="BB2244:BB2307" si="2400">BB2243</f>
        <v>18981</v>
      </c>
      <c r="BC2244" t="str">
        <f t="shared" ref="BC2244:BC2307" si="2401">BC2243</f>
        <v>Nelson</v>
      </c>
      <c r="BD2244" t="str">
        <f t="shared" ref="BD2244:BD2307" si="2402">BD2243</f>
        <v>Velodrome</v>
      </c>
      <c r="BE2244" t="s">
        <v>5</v>
      </c>
      <c r="BF2244" t="s">
        <v>236</v>
      </c>
      <c r="BG2244" t="s">
        <v>756</v>
      </c>
      <c r="BI2244" cm="1">
        <f t="array" ref="BI2244">IFERROR(_xlfn._xlws.FILTER(shifts!A:A,(shifts!B:B=events!AD2244)*(shifts!AG:AG&gt;=events!BK2244)*(shifts!AH:AH&lt;=events!BL2244)),BI2243)</f>
        <v>99</v>
      </c>
      <c r="BJ2244" s="15">
        <f t="shared" ref="BJ2244:BJ2307" si="2403">IF(AND(AG2244="",AH2244=""),0,((AE2244*60)+AF2244)-((AG2244*60)+AH2244))</f>
        <v>0</v>
      </c>
      <c r="BK2244">
        <f t="shared" si="2321"/>
        <v>250</v>
      </c>
      <c r="BL2244">
        <f t="shared" si="2322"/>
        <v>250</v>
      </c>
      <c r="BM2244" s="15">
        <f>SUMIFS(BJ$2:BJ2244,K$2:K2244,"=Intermission")+SUMIFS(BJ$2:BJ2244,K$2:K2244,"=Timeout")</f>
        <v>142</v>
      </c>
      <c r="BN2244">
        <f t="shared" si="2323"/>
        <v>2302</v>
      </c>
      <c r="BO2244" s="19">
        <f t="shared" si="2324"/>
        <v>3132</v>
      </c>
      <c r="BP2244">
        <f t="shared" si="2325"/>
        <v>3127</v>
      </c>
      <c r="BQ2244" s="17">
        <f t="shared" si="2326"/>
        <v>3132</v>
      </c>
      <c r="BR2244" t="str">
        <f t="shared" si="2327"/>
        <v>event_team_player_1</v>
      </c>
      <c r="BS2244">
        <f>COUNTIFS(S$3:S2244,"="&amp;S2244,AI$3:AI2244,"="&amp;AI2244)</f>
        <v>1</v>
      </c>
      <c r="BT2244" t="str">
        <f>IFERROR(VLOOKUP(BB2244&amp;BU2244&amp;X2244,game_rosters!U:W,3,FALSE),"")</f>
        <v>P100078</v>
      </c>
      <c r="BU2244" t="str">
        <f t="shared" si="2328"/>
        <v>Nelson</v>
      </c>
    </row>
    <row r="2245" spans="1:73" x14ac:dyDescent="0.2">
      <c r="A2245">
        <f t="shared" ref="A2245:A2308" si="2404">IF(K2245&lt;&gt;"",1,IF(D2245="x","x",""))</f>
        <v>1</v>
      </c>
      <c r="J2245" s="44" t="str">
        <f t="shared" si="2329"/>
        <v/>
      </c>
      <c r="K2245" t="s">
        <v>5</v>
      </c>
      <c r="L2245" t="s">
        <v>236</v>
      </c>
      <c r="M2245" t="s">
        <v>756</v>
      </c>
      <c r="S2245">
        <v>1191</v>
      </c>
      <c r="W2245" t="str">
        <f t="shared" si="2395"/>
        <v>h</v>
      </c>
      <c r="X2245">
        <v>37</v>
      </c>
      <c r="Y2245" t="b">
        <f>IF(X2245&lt;&gt;"",VLOOKUP(X2245,game_rosters!$C$43:$E$64,3,FALSE))</f>
        <v>0</v>
      </c>
      <c r="Z2245" cm="1">
        <f t="array" ref="Z2245">IFERROR(IF(_xlfn._xlws.FILTER(game_rosters!$J:$J,(game_rosters!$G:$G=events!$AN2245)*(game_rosters!$J:$J=events!$X2245))&gt;0,1,""),"")</f>
        <v>1</v>
      </c>
      <c r="AA2245">
        <f t="shared" si="2353"/>
        <v>2191</v>
      </c>
      <c r="AB2245" t="str">
        <f t="shared" si="2354"/>
        <v/>
      </c>
      <c r="AC2245">
        <f t="shared" si="2392"/>
        <v>2191</v>
      </c>
      <c r="AD2245" s="6">
        <v>3</v>
      </c>
      <c r="AE2245" t="s">
        <v>941</v>
      </c>
      <c r="AF2245" t="s">
        <v>910</v>
      </c>
      <c r="AG2245" t="s">
        <v>756</v>
      </c>
      <c r="AH2245" t="s">
        <v>756</v>
      </c>
      <c r="AI2245" t="s">
        <v>367</v>
      </c>
      <c r="AJ2245" t="str">
        <f t="shared" ref="AJ2245:AK2245" si="2405">IF($J2245&lt;&gt;"",$J2245,IF($AC2245=$AC2244,AJ2244,""))</f>
        <v/>
      </c>
      <c r="AK2245" t="str">
        <f t="shared" si="2405"/>
        <v/>
      </c>
      <c r="AL2245" t="str">
        <f t="shared" si="2397"/>
        <v/>
      </c>
      <c r="AN2245" t="s">
        <v>861</v>
      </c>
      <c r="AO2245" t="str">
        <f t="shared" si="2398"/>
        <v>h</v>
      </c>
      <c r="AP2245" t="str">
        <f t="shared" ref="AP2245:AP2308" si="2406">IF(AL2245&lt;&gt;"",AL2245,IF($AC2245=$AC2244,AP2244,""))</f>
        <v/>
      </c>
      <c r="AQ2245" t="str">
        <f t="shared" ref="AQ2245:AQ2308" si="2407">IF(AM2245&lt;&gt;"",AM2245,IF($AC2245=$AC2244,AQ2244,""))</f>
        <v/>
      </c>
      <c r="AR2245" t="str">
        <f t="shared" ref="AR2245:AR2308" si="2408">IF(AN2245&lt;&gt;"",AN2245,IF($AC2245=$AC2244,AR2244,""))</f>
        <v>Home</v>
      </c>
      <c r="AS2245" t="str">
        <f t="shared" ref="AS2245:AS2308" si="2409">IF(AO2245&lt;&gt;"",AO2245,IF($AC2245=$AC2244,AS2244,""))</f>
        <v>h</v>
      </c>
      <c r="AT2245" t="str">
        <f t="shared" ref="AT2245:AT2308" si="2410">IF(AND(AI2245="e",OR(BE2245="Save",BF2245="Turnover_Takeaway",BF2245="Play_Defensive")),"Defensive",IF(AND(AI2245="o",OR(BE2245="Save",BF2245="Turnover_Takeaway",BF2245="Play_Defensive")),"Offensive",IF(OR(BE2245="Deadice",BE2245="Stoppage",BE2245="Intermission"),"",IF(AI2245="e","Offensive",IF(AI2245="o","Defensive","")))))</f>
        <v>Offensive</v>
      </c>
      <c r="BA2245" s="6">
        <f t="shared" si="2399"/>
        <v>510</v>
      </c>
      <c r="BB2245">
        <f t="shared" si="2400"/>
        <v>18981</v>
      </c>
      <c r="BC2245" t="str">
        <f t="shared" si="2401"/>
        <v>Nelson</v>
      </c>
      <c r="BD2245" t="str">
        <f t="shared" si="2402"/>
        <v>Velodrome</v>
      </c>
      <c r="BE2245" t="s">
        <v>5</v>
      </c>
      <c r="BF2245" t="s">
        <v>236</v>
      </c>
      <c r="BG2245" t="s">
        <v>756</v>
      </c>
      <c r="BI2245" cm="1">
        <f t="array" ref="BI2245">IFERROR(_xlfn._xlws.FILTER(shifts!A:A,(shifts!B:B=events!AD2245)*(shifts!AG:AG&gt;=events!BK2245)*(shifts!AH:AH&lt;=events!BL2245)),BI2244)</f>
        <v>99</v>
      </c>
      <c r="BJ2245" s="15">
        <f t="shared" si="2403"/>
        <v>0</v>
      </c>
      <c r="BK2245">
        <f t="shared" ref="BK2245:BK2308" si="2411">(AE2245*60)+AF2245</f>
        <v>250</v>
      </c>
      <c r="BL2245">
        <f t="shared" ref="BL2245:BL2308" si="2412">IF(AND(AG2245="",AH2245=""),BK2245,((AG2245*60)+AH2245))</f>
        <v>250</v>
      </c>
      <c r="BM2245" s="15">
        <f>SUMIFS(BJ$2:BJ2245,K$2:K2245,"=Intermission")+SUMIFS(BJ$2:BJ2245,K$2:K2245,"=Timeout")</f>
        <v>142</v>
      </c>
      <c r="BN2245">
        <f t="shared" ref="BN2245:BN2308" si="2413">IF(AD2245=1,0,IF(AD2245=2,1080+BM2245,IF(AD2245=3,(1080*2)+BM2245,0)))</f>
        <v>2302</v>
      </c>
      <c r="BO2245" s="19">
        <f t="shared" ref="BO2245:BO2308" si="2414">IF(K2245="Intermission",BO2244,((1080)-((AE2245*60)+AF2245))+BN2245)</f>
        <v>3132</v>
      </c>
      <c r="BP2245">
        <f t="shared" ref="BP2245:BP2308" si="2415">IF(BO2245&lt;5,0,BO2245-5)</f>
        <v>3127</v>
      </c>
      <c r="BQ2245" s="17">
        <f t="shared" ref="BQ2245:BQ2308" si="2416">BP2245+BJ2245+5</f>
        <v>3132</v>
      </c>
      <c r="BR2245" t="str">
        <f t="shared" ref="BR2245:BR2308" si="2417">IF(AI2245="e","event_team_player_"&amp;BS2245,IF(AI2245="o","opp_team_player_"&amp;BS2245,""))</f>
        <v>event_team_player_2</v>
      </c>
      <c r="BS2245">
        <f>COUNTIFS(S$3:S2245,"="&amp;S2245,AI$3:AI2245,"="&amp;AI2245)</f>
        <v>2</v>
      </c>
      <c r="BT2245" t="str">
        <f>IFERROR(VLOOKUP(BB2245&amp;BU2245&amp;X2245,game_rosters!U:W,3,FALSE),"")</f>
        <v>P100119</v>
      </c>
      <c r="BU2245" t="str">
        <f t="shared" ref="BU2245:BU2308" si="2418">IF(AR2245="","",IF(AND(AR2245="Away",AI2245="e"),BD2245,IF(AND(AR2245="Home",AI2245="e"),BC2245,IF(AND(AR2245="Away",AI2245="o"),BC2245,IF(AND(AR2245="Home",AI2245="o"),BD2245)))))</f>
        <v>Nelson</v>
      </c>
    </row>
    <row r="2246" spans="1:73" x14ac:dyDescent="0.2">
      <c r="A2246">
        <f t="shared" si="2404"/>
        <v>1</v>
      </c>
      <c r="J2246" s="44" t="str">
        <f t="shared" ref="J2246:J2309" si="2419">IF(OR(K2246="Goal",K2246="Shot",L2246="Zone_Entry",M2246="Stoppage-Goal",M2245="Stoppage-Goal"),"o",IF(OR(K2246="Save",K2246="Rebound",L2246="Zone_Exit",M2246="Stoppage-GoalieStoppage",M2245="Stoppage-GoalieStoppage"),"d",IF(OR(L2246="Faceoff_AfterGoal",L2246="Faceoff_PeriodStart",698="Faceoff_GameStart",M2245="Stoppage-Goal"),"n","")))</f>
        <v/>
      </c>
      <c r="K2246" t="s">
        <v>5</v>
      </c>
      <c r="L2246" t="s">
        <v>236</v>
      </c>
      <c r="M2246" t="s">
        <v>756</v>
      </c>
      <c r="S2246">
        <v>1191</v>
      </c>
      <c r="W2246" t="str">
        <f t="shared" si="2395"/>
        <v>h</v>
      </c>
      <c r="X2246">
        <v>49</v>
      </c>
      <c r="Y2246" t="e">
        <f>IF(X2246&lt;&gt;"",VLOOKUP(X2246,game_rosters!$C$43:$E$64,3,FALSE))</f>
        <v>#N/A</v>
      </c>
      <c r="Z2246" t="str" cm="1">
        <f t="array" ref="Z2246">IFERROR(IF(_xlfn._xlws.FILTER(game_rosters!$J:$J,(game_rosters!$G:$G=events!$AN2246)*(game_rosters!$J:$J=events!$X2246))&gt;0,1,""),"")</f>
        <v/>
      </c>
      <c r="AA2246">
        <f t="shared" si="2353"/>
        <v>2191</v>
      </c>
      <c r="AB2246" t="str">
        <f t="shared" si="2354"/>
        <v/>
      </c>
      <c r="AC2246">
        <f t="shared" si="2392"/>
        <v>2191</v>
      </c>
      <c r="AD2246" s="6">
        <v>3</v>
      </c>
      <c r="AE2246" t="s">
        <v>941</v>
      </c>
      <c r="AF2246" t="s">
        <v>910</v>
      </c>
      <c r="AG2246" t="s">
        <v>756</v>
      </c>
      <c r="AH2246" t="s">
        <v>756</v>
      </c>
      <c r="AI2246" t="s">
        <v>368</v>
      </c>
      <c r="AJ2246" t="str">
        <f t="shared" ref="AJ2246:AK2246" si="2420">IF($J2246&lt;&gt;"",$J2246,IF($AC2246=$AC2245,AJ2245,""))</f>
        <v/>
      </c>
      <c r="AK2246" t="str">
        <f t="shared" si="2420"/>
        <v/>
      </c>
      <c r="AL2246" t="str">
        <f t="shared" si="2397"/>
        <v/>
      </c>
      <c r="AN2246" t="s">
        <v>861</v>
      </c>
      <c r="AO2246" t="str">
        <f t="shared" si="2398"/>
        <v>h</v>
      </c>
      <c r="AP2246" t="str">
        <f t="shared" si="2406"/>
        <v/>
      </c>
      <c r="AQ2246" t="str">
        <f t="shared" si="2407"/>
        <v/>
      </c>
      <c r="AR2246" t="str">
        <f t="shared" si="2408"/>
        <v>Home</v>
      </c>
      <c r="AS2246" t="str">
        <f t="shared" si="2409"/>
        <v>h</v>
      </c>
      <c r="AT2246" t="str">
        <f t="shared" si="2410"/>
        <v>Defensive</v>
      </c>
      <c r="BA2246" s="6">
        <f t="shared" si="2399"/>
        <v>510</v>
      </c>
      <c r="BB2246">
        <f t="shared" si="2400"/>
        <v>18981</v>
      </c>
      <c r="BC2246" t="str">
        <f t="shared" si="2401"/>
        <v>Nelson</v>
      </c>
      <c r="BD2246" t="str">
        <f t="shared" si="2402"/>
        <v>Velodrome</v>
      </c>
      <c r="BE2246" t="s">
        <v>5</v>
      </c>
      <c r="BF2246" t="s">
        <v>236</v>
      </c>
      <c r="BG2246" t="s">
        <v>756</v>
      </c>
      <c r="BI2246" cm="1">
        <f t="array" ref="BI2246">IFERROR(_xlfn._xlws.FILTER(shifts!A:A,(shifts!B:B=events!AD2246)*(shifts!AG:AG&gt;=events!BK2246)*(shifts!AH:AH&lt;=events!BL2246)),BI2245)</f>
        <v>99</v>
      </c>
      <c r="BJ2246" s="15">
        <f t="shared" si="2403"/>
        <v>0</v>
      </c>
      <c r="BK2246">
        <f t="shared" si="2411"/>
        <v>250</v>
      </c>
      <c r="BL2246">
        <f t="shared" si="2412"/>
        <v>250</v>
      </c>
      <c r="BM2246" s="15">
        <f>SUMIFS(BJ$2:BJ2246,K$2:K2246,"=Intermission")+SUMIFS(BJ$2:BJ2246,K$2:K2246,"=Timeout")</f>
        <v>142</v>
      </c>
      <c r="BN2246">
        <f t="shared" si="2413"/>
        <v>2302</v>
      </c>
      <c r="BO2246" s="19">
        <f t="shared" si="2414"/>
        <v>3132</v>
      </c>
      <c r="BP2246">
        <f t="shared" si="2415"/>
        <v>3127</v>
      </c>
      <c r="BQ2246" s="17">
        <f t="shared" si="2416"/>
        <v>3132</v>
      </c>
      <c r="BR2246" t="str">
        <f t="shared" si="2417"/>
        <v>opp_team_player_1</v>
      </c>
      <c r="BS2246">
        <f>COUNTIFS(S$3:S2246,"="&amp;S2246,AI$3:AI2246,"="&amp;AI2246)</f>
        <v>1</v>
      </c>
      <c r="BT2246" t="str">
        <f>IFERROR(VLOOKUP(BB2246&amp;BU2246&amp;X2246,game_rosters!U:W,3,FALSE),"")</f>
        <v>P100161</v>
      </c>
      <c r="BU2246" t="str">
        <f t="shared" si="2418"/>
        <v>Velodrome</v>
      </c>
    </row>
    <row r="2247" spans="1:73" x14ac:dyDescent="0.2">
      <c r="A2247">
        <f t="shared" si="2404"/>
        <v>1</v>
      </c>
      <c r="J2247" s="44" t="str">
        <f t="shared" si="2419"/>
        <v/>
      </c>
      <c r="K2247" t="s">
        <v>7</v>
      </c>
      <c r="L2247" t="s">
        <v>172</v>
      </c>
      <c r="M2247" t="s">
        <v>66</v>
      </c>
      <c r="S2247">
        <v>1192</v>
      </c>
      <c r="W2247" t="str">
        <f t="shared" si="2395"/>
        <v>a</v>
      </c>
      <c r="X2247">
        <v>52</v>
      </c>
      <c r="Y2247" t="e">
        <f>IF(X2247&lt;&gt;"",VLOOKUP(X2247,game_rosters!$C$43:$E$64,3,FALSE))</f>
        <v>#N/A</v>
      </c>
      <c r="Z2247" cm="1">
        <f t="array" ref="Z2247">IFERROR(IF(_xlfn._xlws.FILTER(game_rosters!$J:$J,(game_rosters!$G:$G=events!$AN2247)*(game_rosters!$J:$J=events!$X2247))&gt;0,1,""),"")</f>
        <v>1</v>
      </c>
      <c r="AA2247">
        <f t="shared" si="2353"/>
        <v>2192</v>
      </c>
      <c r="AB2247" t="str">
        <f t="shared" si="2354"/>
        <v/>
      </c>
      <c r="AC2247">
        <f t="shared" si="2392"/>
        <v>2192</v>
      </c>
      <c r="AD2247" s="6">
        <v>3</v>
      </c>
      <c r="AE2247" t="s">
        <v>941</v>
      </c>
      <c r="AF2247" t="s">
        <v>931</v>
      </c>
      <c r="AG2247" t="s">
        <v>756</v>
      </c>
      <c r="AH2247" t="s">
        <v>756</v>
      </c>
      <c r="AI2247" t="s">
        <v>367</v>
      </c>
      <c r="AJ2247" t="str">
        <f t="shared" ref="AJ2247:AK2247" si="2421">IF($J2247&lt;&gt;"",$J2247,IF($AC2247=$AC2246,AJ2246,""))</f>
        <v/>
      </c>
      <c r="AK2247" t="str">
        <f t="shared" si="2421"/>
        <v/>
      </c>
      <c r="AL2247" t="str">
        <f t="shared" si="2397"/>
        <v/>
      </c>
      <c r="AN2247" t="s">
        <v>862</v>
      </c>
      <c r="AO2247" t="str">
        <f t="shared" si="2398"/>
        <v>a</v>
      </c>
      <c r="AP2247" t="str">
        <f t="shared" si="2406"/>
        <v/>
      </c>
      <c r="AQ2247" t="str">
        <f t="shared" si="2407"/>
        <v/>
      </c>
      <c r="AR2247" t="str">
        <f t="shared" si="2408"/>
        <v>Away</v>
      </c>
      <c r="AS2247" t="str">
        <f t="shared" si="2409"/>
        <v>a</v>
      </c>
      <c r="AT2247" t="str">
        <f t="shared" si="2410"/>
        <v>Offensive</v>
      </c>
      <c r="BA2247" s="6">
        <f t="shared" si="2399"/>
        <v>510</v>
      </c>
      <c r="BB2247">
        <f t="shared" si="2400"/>
        <v>18981</v>
      </c>
      <c r="BC2247" t="str">
        <f t="shared" si="2401"/>
        <v>Nelson</v>
      </c>
      <c r="BD2247" t="str">
        <f t="shared" si="2402"/>
        <v>Velodrome</v>
      </c>
      <c r="BE2247" t="s">
        <v>7</v>
      </c>
      <c r="BF2247" t="s">
        <v>172</v>
      </c>
      <c r="BG2247" t="s">
        <v>66</v>
      </c>
      <c r="BI2247" cm="1">
        <f t="array" ref="BI2247">IFERROR(_xlfn._xlws.FILTER(shifts!A:A,(shifts!B:B=events!AD2247)*(shifts!AG:AG&gt;=events!BK2247)*(shifts!AH:AH&lt;=events!BL2247)),BI2246)</f>
        <v>99</v>
      </c>
      <c r="BJ2247" s="15">
        <f t="shared" si="2403"/>
        <v>0</v>
      </c>
      <c r="BK2247">
        <f t="shared" si="2411"/>
        <v>244</v>
      </c>
      <c r="BL2247">
        <f t="shared" si="2412"/>
        <v>244</v>
      </c>
      <c r="BM2247" s="15">
        <f>SUMIFS(BJ$2:BJ2247,K$2:K2247,"=Intermission")+SUMIFS(BJ$2:BJ2247,K$2:K2247,"=Timeout")</f>
        <v>142</v>
      </c>
      <c r="BN2247">
        <f t="shared" si="2413"/>
        <v>2302</v>
      </c>
      <c r="BO2247" s="19">
        <f t="shared" si="2414"/>
        <v>3138</v>
      </c>
      <c r="BP2247">
        <f t="shared" si="2415"/>
        <v>3133</v>
      </c>
      <c r="BQ2247" s="17">
        <f t="shared" si="2416"/>
        <v>3138</v>
      </c>
      <c r="BR2247" t="str">
        <f t="shared" si="2417"/>
        <v>event_team_player_1</v>
      </c>
      <c r="BS2247">
        <f>COUNTIFS(S$3:S2247,"="&amp;S2247,AI$3:AI2247,"="&amp;AI2247)</f>
        <v>1</v>
      </c>
      <c r="BT2247" t="str">
        <f>IFERROR(VLOOKUP(BB2247&amp;BU2247&amp;X2247,game_rosters!U:W,3,FALSE),"")</f>
        <v>P100070</v>
      </c>
      <c r="BU2247" t="str">
        <f t="shared" si="2418"/>
        <v>Velodrome</v>
      </c>
    </row>
    <row r="2248" spans="1:73" x14ac:dyDescent="0.2">
      <c r="A2248">
        <f t="shared" si="2404"/>
        <v>1</v>
      </c>
      <c r="J2248" s="44" t="str">
        <f t="shared" si="2419"/>
        <v/>
      </c>
      <c r="K2248" t="s">
        <v>7</v>
      </c>
      <c r="L2248" t="s">
        <v>172</v>
      </c>
      <c r="M2248" t="s">
        <v>66</v>
      </c>
      <c r="S2248">
        <v>1192</v>
      </c>
      <c r="W2248" t="str">
        <f t="shared" si="2395"/>
        <v>a</v>
      </c>
      <c r="X2248">
        <v>61</v>
      </c>
      <c r="Y2248" t="e">
        <f>IF(X2248&lt;&gt;"",VLOOKUP(X2248,game_rosters!$C$43:$E$64,3,FALSE))</f>
        <v>#N/A</v>
      </c>
      <c r="Z2248" cm="1">
        <f t="array" ref="Z2248">IFERROR(IF(_xlfn._xlws.FILTER(game_rosters!$J:$J,(game_rosters!$G:$G=events!$AN2248)*(game_rosters!$J:$J=events!$X2248))&gt;0,1,""),"")</f>
        <v>1</v>
      </c>
      <c r="AA2248">
        <f t="shared" si="2353"/>
        <v>2192</v>
      </c>
      <c r="AB2248" t="str">
        <f t="shared" si="2354"/>
        <v/>
      </c>
      <c r="AC2248">
        <f t="shared" si="2392"/>
        <v>2192</v>
      </c>
      <c r="AD2248" s="6">
        <v>3</v>
      </c>
      <c r="AE2248" t="s">
        <v>941</v>
      </c>
      <c r="AF2248" t="s">
        <v>931</v>
      </c>
      <c r="AG2248" t="s">
        <v>756</v>
      </c>
      <c r="AH2248" t="s">
        <v>756</v>
      </c>
      <c r="AI2248" t="s">
        <v>368</v>
      </c>
      <c r="AJ2248" t="str">
        <f t="shared" ref="AJ2248:AK2248" si="2422">IF($J2248&lt;&gt;"",$J2248,IF($AC2248=$AC2247,AJ2247,""))</f>
        <v/>
      </c>
      <c r="AK2248" t="str">
        <f t="shared" si="2422"/>
        <v/>
      </c>
      <c r="AL2248" t="str">
        <f t="shared" si="2397"/>
        <v/>
      </c>
      <c r="AN2248" t="s">
        <v>862</v>
      </c>
      <c r="AO2248" t="str">
        <f t="shared" si="2398"/>
        <v>a</v>
      </c>
      <c r="AP2248" t="str">
        <f t="shared" si="2406"/>
        <v/>
      </c>
      <c r="AQ2248" t="str">
        <f t="shared" si="2407"/>
        <v/>
      </c>
      <c r="AR2248" t="str">
        <f t="shared" si="2408"/>
        <v>Away</v>
      </c>
      <c r="AS2248" t="str">
        <f t="shared" si="2409"/>
        <v>a</v>
      </c>
      <c r="AT2248" t="str">
        <f t="shared" si="2410"/>
        <v>Defensive</v>
      </c>
      <c r="BA2248" s="6">
        <f t="shared" si="2399"/>
        <v>510</v>
      </c>
      <c r="BB2248">
        <f t="shared" si="2400"/>
        <v>18981</v>
      </c>
      <c r="BC2248" t="str">
        <f t="shared" si="2401"/>
        <v>Nelson</v>
      </c>
      <c r="BD2248" t="str">
        <f t="shared" si="2402"/>
        <v>Velodrome</v>
      </c>
      <c r="BE2248" t="s">
        <v>7</v>
      </c>
      <c r="BF2248" t="s">
        <v>172</v>
      </c>
      <c r="BG2248" t="s">
        <v>66</v>
      </c>
      <c r="BI2248" cm="1">
        <f t="array" ref="BI2248">IFERROR(_xlfn._xlws.FILTER(shifts!A:A,(shifts!B:B=events!AD2248)*(shifts!AG:AG&gt;=events!BK2248)*(shifts!AH:AH&lt;=events!BL2248)),BI2247)</f>
        <v>99</v>
      </c>
      <c r="BJ2248" s="15">
        <f t="shared" si="2403"/>
        <v>0</v>
      </c>
      <c r="BK2248">
        <f t="shared" si="2411"/>
        <v>244</v>
      </c>
      <c r="BL2248">
        <f t="shared" si="2412"/>
        <v>244</v>
      </c>
      <c r="BM2248" s="15">
        <f>SUMIFS(BJ$2:BJ2248,K$2:K2248,"=Intermission")+SUMIFS(BJ$2:BJ2248,K$2:K2248,"=Timeout")</f>
        <v>142</v>
      </c>
      <c r="BN2248">
        <f t="shared" si="2413"/>
        <v>2302</v>
      </c>
      <c r="BO2248" s="19">
        <f t="shared" si="2414"/>
        <v>3138</v>
      </c>
      <c r="BP2248">
        <f t="shared" si="2415"/>
        <v>3133</v>
      </c>
      <c r="BQ2248" s="17">
        <f t="shared" si="2416"/>
        <v>3138</v>
      </c>
      <c r="BR2248" t="str">
        <f t="shared" si="2417"/>
        <v>opp_team_player_1</v>
      </c>
      <c r="BS2248">
        <f>COUNTIFS(S$3:S2248,"="&amp;S2248,AI$3:AI2248,"="&amp;AI2248)</f>
        <v>1</v>
      </c>
      <c r="BT2248" t="str">
        <f>IFERROR(VLOOKUP(BB2248&amp;BU2248&amp;X2248,game_rosters!U:W,3,FALSE),"")</f>
        <v>P100224</v>
      </c>
      <c r="BU2248" t="s">
        <v>521</v>
      </c>
    </row>
    <row r="2249" spans="1:73" x14ac:dyDescent="0.2">
      <c r="A2249">
        <f t="shared" si="2404"/>
        <v>1</v>
      </c>
      <c r="J2249" s="44" t="str">
        <f t="shared" si="2419"/>
        <v/>
      </c>
      <c r="K2249" t="s">
        <v>7</v>
      </c>
      <c r="L2249" t="s">
        <v>172</v>
      </c>
      <c r="M2249" t="s">
        <v>66</v>
      </c>
      <c r="S2249">
        <v>1192</v>
      </c>
      <c r="W2249" t="str">
        <f t="shared" si="2395"/>
        <v>a</v>
      </c>
      <c r="X2249">
        <v>37</v>
      </c>
      <c r="Y2249" t="b">
        <f>IF(X2249&lt;&gt;"",VLOOKUP(X2249,game_rosters!$C$43:$E$64,3,FALSE))</f>
        <v>0</v>
      </c>
      <c r="Z2249" t="str" cm="1">
        <f t="array" ref="Z2249">IFERROR(IF(_xlfn._xlws.FILTER(game_rosters!$J:$J,(game_rosters!$G:$G=events!$AN2249)*(game_rosters!$J:$J=events!$X2249))&gt;0,1,""),"")</f>
        <v/>
      </c>
      <c r="AA2249">
        <f t="shared" si="2353"/>
        <v>2192</v>
      </c>
      <c r="AB2249" t="str">
        <f t="shared" si="2354"/>
        <v/>
      </c>
      <c r="AC2249">
        <f t="shared" si="2392"/>
        <v>2192</v>
      </c>
      <c r="AD2249" s="6">
        <v>3</v>
      </c>
      <c r="AE2249" t="s">
        <v>941</v>
      </c>
      <c r="AF2249" t="s">
        <v>931</v>
      </c>
      <c r="AG2249" t="s">
        <v>756</v>
      </c>
      <c r="AH2249" t="s">
        <v>756</v>
      </c>
      <c r="AI2249" t="s">
        <v>368</v>
      </c>
      <c r="AJ2249" t="str">
        <f t="shared" ref="AJ2249:AK2249" si="2423">IF($J2249&lt;&gt;"",$J2249,IF($AC2249=$AC2248,AJ2248,""))</f>
        <v/>
      </c>
      <c r="AK2249" t="str">
        <f t="shared" si="2423"/>
        <v/>
      </c>
      <c r="AL2249" t="str">
        <f t="shared" si="2397"/>
        <v/>
      </c>
      <c r="AN2249" t="s">
        <v>862</v>
      </c>
      <c r="AO2249" t="str">
        <f t="shared" si="2398"/>
        <v>a</v>
      </c>
      <c r="AP2249" t="str">
        <f t="shared" si="2406"/>
        <v/>
      </c>
      <c r="AQ2249" t="str">
        <f t="shared" si="2407"/>
        <v/>
      </c>
      <c r="AR2249" t="str">
        <f t="shared" si="2408"/>
        <v>Away</v>
      </c>
      <c r="AS2249" t="str">
        <f t="shared" si="2409"/>
        <v>a</v>
      </c>
      <c r="AT2249" t="str">
        <f t="shared" si="2410"/>
        <v>Defensive</v>
      </c>
      <c r="BA2249" s="6">
        <f t="shared" si="2399"/>
        <v>510</v>
      </c>
      <c r="BB2249">
        <f t="shared" si="2400"/>
        <v>18981</v>
      </c>
      <c r="BC2249" t="str">
        <f t="shared" si="2401"/>
        <v>Nelson</v>
      </c>
      <c r="BD2249" t="str">
        <f t="shared" si="2402"/>
        <v>Velodrome</v>
      </c>
      <c r="BE2249" t="s">
        <v>7</v>
      </c>
      <c r="BF2249" t="s">
        <v>172</v>
      </c>
      <c r="BG2249" t="s">
        <v>66</v>
      </c>
      <c r="BI2249" cm="1">
        <f t="array" ref="BI2249">IFERROR(_xlfn._xlws.FILTER(shifts!A:A,(shifts!B:B=events!AD2249)*(shifts!AG:AG&gt;=events!BK2249)*(shifts!AH:AH&lt;=events!BL2249)),BI2248)</f>
        <v>99</v>
      </c>
      <c r="BJ2249" s="15">
        <f t="shared" si="2403"/>
        <v>0</v>
      </c>
      <c r="BK2249">
        <f t="shared" si="2411"/>
        <v>244</v>
      </c>
      <c r="BL2249">
        <f t="shared" si="2412"/>
        <v>244</v>
      </c>
      <c r="BM2249" s="15">
        <f>SUMIFS(BJ$2:BJ2249,K$2:K2249,"=Intermission")+SUMIFS(BJ$2:BJ2249,K$2:K2249,"=Timeout")</f>
        <v>142</v>
      </c>
      <c r="BN2249">
        <f t="shared" si="2413"/>
        <v>2302</v>
      </c>
      <c r="BO2249" s="19">
        <f t="shared" si="2414"/>
        <v>3138</v>
      </c>
      <c r="BP2249">
        <f t="shared" si="2415"/>
        <v>3133</v>
      </c>
      <c r="BQ2249" s="17">
        <f t="shared" si="2416"/>
        <v>3138</v>
      </c>
      <c r="BR2249" t="str">
        <f t="shared" si="2417"/>
        <v>opp_team_player_2</v>
      </c>
      <c r="BS2249">
        <f>COUNTIFS(S$3:S2249,"="&amp;S2249,AI$3:AI2249,"="&amp;AI2249)</f>
        <v>2</v>
      </c>
      <c r="BT2249" t="str">
        <f>IFERROR(VLOOKUP(BB2249&amp;BU2249&amp;X2249,game_rosters!U:W,3,FALSE),"")</f>
        <v>P100119</v>
      </c>
      <c r="BU2249" t="str">
        <f t="shared" si="2418"/>
        <v>Nelson</v>
      </c>
    </row>
    <row r="2250" spans="1:73" x14ac:dyDescent="0.2">
      <c r="A2250">
        <f t="shared" si="2404"/>
        <v>1</v>
      </c>
      <c r="J2250" s="44" t="str">
        <f t="shared" si="2419"/>
        <v/>
      </c>
      <c r="K2250" t="s">
        <v>13</v>
      </c>
      <c r="L2250" t="s">
        <v>756</v>
      </c>
      <c r="M2250" t="s">
        <v>756</v>
      </c>
      <c r="S2250">
        <v>1193</v>
      </c>
      <c r="W2250" t="str">
        <f t="shared" si="2395"/>
        <v>a</v>
      </c>
      <c r="X2250">
        <v>61</v>
      </c>
      <c r="Y2250" t="e">
        <f>IF(X2250&lt;&gt;"",VLOOKUP(X2250,game_rosters!$C$43:$E$64,3,FALSE))</f>
        <v>#N/A</v>
      </c>
      <c r="Z2250" cm="1">
        <f t="array" ref="Z2250">IFERROR(IF(_xlfn._xlws.FILTER(game_rosters!$J:$J,(game_rosters!$G:$G=events!$AN2250)*(game_rosters!$J:$J=events!$X2250))&gt;0,1,""),"")</f>
        <v>1</v>
      </c>
      <c r="AA2250">
        <f t="shared" si="2353"/>
        <v>2193</v>
      </c>
      <c r="AB2250" t="str">
        <f t="shared" si="2354"/>
        <v/>
      </c>
      <c r="AC2250">
        <f t="shared" si="2392"/>
        <v>2193</v>
      </c>
      <c r="AD2250" s="6">
        <v>3</v>
      </c>
      <c r="AE2250" t="s">
        <v>941</v>
      </c>
      <c r="AF2250" t="s">
        <v>925</v>
      </c>
      <c r="AG2250" t="s">
        <v>940</v>
      </c>
      <c r="AH2250" t="s">
        <v>927</v>
      </c>
      <c r="AI2250" t="s">
        <v>367</v>
      </c>
      <c r="AJ2250" t="str">
        <f t="shared" ref="AJ2250:AK2250" si="2424">IF($J2250&lt;&gt;"",$J2250,IF($AC2250=$AC2249,AJ2249,""))</f>
        <v/>
      </c>
      <c r="AK2250" t="str">
        <f t="shared" si="2424"/>
        <v/>
      </c>
      <c r="AL2250" t="str">
        <f t="shared" si="2397"/>
        <v/>
      </c>
      <c r="AN2250" t="s">
        <v>862</v>
      </c>
      <c r="AO2250" t="str">
        <f t="shared" si="2398"/>
        <v>a</v>
      </c>
      <c r="AP2250" t="str">
        <f t="shared" si="2406"/>
        <v/>
      </c>
      <c r="AQ2250" t="str">
        <f t="shared" si="2407"/>
        <v/>
      </c>
      <c r="AR2250" t="str">
        <f t="shared" si="2408"/>
        <v>Away</v>
      </c>
      <c r="AS2250" t="str">
        <f t="shared" si="2409"/>
        <v>a</v>
      </c>
      <c r="AT2250" t="str">
        <f t="shared" si="2410"/>
        <v>Offensive</v>
      </c>
      <c r="BA2250" s="6">
        <f t="shared" si="2399"/>
        <v>510</v>
      </c>
      <c r="BB2250">
        <f t="shared" si="2400"/>
        <v>18981</v>
      </c>
      <c r="BC2250" t="str">
        <f t="shared" si="2401"/>
        <v>Nelson</v>
      </c>
      <c r="BD2250" t="str">
        <f t="shared" si="2402"/>
        <v>Velodrome</v>
      </c>
      <c r="BE2250" t="s">
        <v>13</v>
      </c>
      <c r="BF2250" t="s">
        <v>756</v>
      </c>
      <c r="BG2250" t="s">
        <v>756</v>
      </c>
      <c r="BI2250" cm="1">
        <f t="array" ref="BI2250">IFERROR(_xlfn._xlws.FILTER(shifts!A:A,(shifts!B:B=events!AD2250)*(shifts!AG:AG&gt;=events!BK2250)*(shifts!AH:AH&lt;=events!BL2250)),BI2249)</f>
        <v>99</v>
      </c>
      <c r="BJ2250" s="15">
        <f t="shared" si="2403"/>
        <v>6</v>
      </c>
      <c r="BK2250">
        <f t="shared" si="2411"/>
        <v>243</v>
      </c>
      <c r="BL2250">
        <f t="shared" si="2412"/>
        <v>237</v>
      </c>
      <c r="BM2250" s="15">
        <f>SUMIFS(BJ$2:BJ2250,K$2:K2250,"=Intermission")+SUMIFS(BJ$2:BJ2250,K$2:K2250,"=Timeout")</f>
        <v>142</v>
      </c>
      <c r="BN2250">
        <f t="shared" si="2413"/>
        <v>2302</v>
      </c>
      <c r="BO2250" s="19">
        <f t="shared" si="2414"/>
        <v>3139</v>
      </c>
      <c r="BP2250">
        <f t="shared" si="2415"/>
        <v>3134</v>
      </c>
      <c r="BQ2250" s="17">
        <f t="shared" si="2416"/>
        <v>3145</v>
      </c>
      <c r="BR2250" t="str">
        <f t="shared" si="2417"/>
        <v>event_team_player_1</v>
      </c>
      <c r="BS2250">
        <f>COUNTIFS(S$3:S2250,"="&amp;S2250,AI$3:AI2250,"="&amp;AI2250)</f>
        <v>1</v>
      </c>
      <c r="BT2250" t="str">
        <f>IFERROR(VLOOKUP(BB2250&amp;BU2250&amp;X2250,game_rosters!U:W,3,FALSE),"")</f>
        <v>P100224</v>
      </c>
      <c r="BU2250" t="str">
        <f t="shared" si="2418"/>
        <v>Velodrome</v>
      </c>
    </row>
    <row r="2251" spans="1:73" x14ac:dyDescent="0.2">
      <c r="A2251">
        <f t="shared" si="2404"/>
        <v>1</v>
      </c>
      <c r="J2251" s="44" t="str">
        <f t="shared" si="2419"/>
        <v/>
      </c>
      <c r="K2251" t="s">
        <v>13</v>
      </c>
      <c r="L2251" t="s">
        <v>756</v>
      </c>
      <c r="M2251" t="s">
        <v>756</v>
      </c>
      <c r="S2251">
        <v>1193</v>
      </c>
      <c r="W2251" t="str">
        <f t="shared" si="2395"/>
        <v>a</v>
      </c>
      <c r="X2251">
        <v>37</v>
      </c>
      <c r="Y2251" t="b">
        <f>IF(X2251&lt;&gt;"",VLOOKUP(X2251,game_rosters!$C$43:$E$64,3,FALSE))</f>
        <v>0</v>
      </c>
      <c r="Z2251" t="str" cm="1">
        <f t="array" ref="Z2251">IFERROR(IF(_xlfn._xlws.FILTER(game_rosters!$J:$J,(game_rosters!$G:$G=events!$AN2251)*(game_rosters!$J:$J=events!$X2251))&gt;0,1,""),"")</f>
        <v/>
      </c>
      <c r="AA2251">
        <f t="shared" si="2353"/>
        <v>2193</v>
      </c>
      <c r="AB2251" t="str">
        <f t="shared" si="2354"/>
        <v/>
      </c>
      <c r="AC2251">
        <f t="shared" si="2392"/>
        <v>2193</v>
      </c>
      <c r="AD2251" s="6">
        <v>3</v>
      </c>
      <c r="AE2251" t="s">
        <v>941</v>
      </c>
      <c r="AF2251" t="s">
        <v>925</v>
      </c>
      <c r="AG2251" t="s">
        <v>940</v>
      </c>
      <c r="AH2251" t="s">
        <v>927</v>
      </c>
      <c r="AI2251" t="s">
        <v>368</v>
      </c>
      <c r="AJ2251" t="str">
        <f t="shared" ref="AJ2251:AK2251" si="2425">IF($J2251&lt;&gt;"",$J2251,IF($AC2251=$AC2250,AJ2250,""))</f>
        <v/>
      </c>
      <c r="AK2251" t="str">
        <f t="shared" si="2425"/>
        <v/>
      </c>
      <c r="AL2251" t="str">
        <f t="shared" si="2397"/>
        <v/>
      </c>
      <c r="AN2251" t="s">
        <v>862</v>
      </c>
      <c r="AO2251" t="str">
        <f t="shared" si="2398"/>
        <v>a</v>
      </c>
      <c r="AP2251" t="str">
        <f t="shared" si="2406"/>
        <v/>
      </c>
      <c r="AQ2251" t="str">
        <f t="shared" si="2407"/>
        <v/>
      </c>
      <c r="AR2251" t="str">
        <f t="shared" si="2408"/>
        <v>Away</v>
      </c>
      <c r="AS2251" t="str">
        <f t="shared" si="2409"/>
        <v>a</v>
      </c>
      <c r="AT2251" t="str">
        <f t="shared" si="2410"/>
        <v>Defensive</v>
      </c>
      <c r="BA2251" s="6">
        <f t="shared" si="2399"/>
        <v>510</v>
      </c>
      <c r="BB2251">
        <f t="shared" si="2400"/>
        <v>18981</v>
      </c>
      <c r="BC2251" t="str">
        <f t="shared" si="2401"/>
        <v>Nelson</v>
      </c>
      <c r="BD2251" t="str">
        <f t="shared" si="2402"/>
        <v>Velodrome</v>
      </c>
      <c r="BE2251" t="s">
        <v>13</v>
      </c>
      <c r="BF2251" t="s">
        <v>756</v>
      </c>
      <c r="BG2251" t="s">
        <v>756</v>
      </c>
      <c r="BI2251" cm="1">
        <f t="array" ref="BI2251">IFERROR(_xlfn._xlws.FILTER(shifts!A:A,(shifts!B:B=events!AD2251)*(shifts!AG:AG&gt;=events!BK2251)*(shifts!AH:AH&lt;=events!BL2251)),BI2250)</f>
        <v>99</v>
      </c>
      <c r="BJ2251" s="15">
        <f t="shared" si="2403"/>
        <v>6</v>
      </c>
      <c r="BK2251">
        <f t="shared" si="2411"/>
        <v>243</v>
      </c>
      <c r="BL2251">
        <f t="shared" si="2412"/>
        <v>237</v>
      </c>
      <c r="BM2251" s="15">
        <f>SUMIFS(BJ$2:BJ2251,K$2:K2251,"=Intermission")+SUMIFS(BJ$2:BJ2251,K$2:K2251,"=Timeout")</f>
        <v>142</v>
      </c>
      <c r="BN2251">
        <f t="shared" si="2413"/>
        <v>2302</v>
      </c>
      <c r="BO2251" s="19">
        <f t="shared" si="2414"/>
        <v>3139</v>
      </c>
      <c r="BP2251">
        <f t="shared" si="2415"/>
        <v>3134</v>
      </c>
      <c r="BQ2251" s="17">
        <f t="shared" si="2416"/>
        <v>3145</v>
      </c>
      <c r="BR2251" t="str">
        <f t="shared" si="2417"/>
        <v>opp_team_player_1</v>
      </c>
      <c r="BS2251">
        <f>COUNTIFS(S$3:S2251,"="&amp;S2251,AI$3:AI2251,"="&amp;AI2251)</f>
        <v>1</v>
      </c>
      <c r="BT2251" t="str">
        <f>IFERROR(VLOOKUP(BB2251&amp;BU2251&amp;X2251,game_rosters!U:W,3,FALSE),"")</f>
        <v>P100119</v>
      </c>
      <c r="BU2251" t="str">
        <f t="shared" si="2418"/>
        <v>Nelson</v>
      </c>
    </row>
    <row r="2252" spans="1:73" x14ac:dyDescent="0.2">
      <c r="A2252">
        <f t="shared" si="2404"/>
        <v>1</v>
      </c>
      <c r="J2252" s="44" t="str">
        <f t="shared" si="2419"/>
        <v/>
      </c>
      <c r="K2252" t="s">
        <v>7</v>
      </c>
      <c r="L2252" t="s">
        <v>172</v>
      </c>
      <c r="M2252" t="s">
        <v>68</v>
      </c>
      <c r="S2252">
        <v>1194</v>
      </c>
      <c r="W2252" t="str">
        <f t="shared" si="2395"/>
        <v>a</v>
      </c>
      <c r="X2252">
        <v>61</v>
      </c>
      <c r="Y2252" t="e">
        <f>IF(X2252&lt;&gt;"",VLOOKUP(X2252,game_rosters!$C$43:$E$64,3,FALSE))</f>
        <v>#N/A</v>
      </c>
      <c r="Z2252" cm="1">
        <f t="array" ref="Z2252">IFERROR(IF(_xlfn._xlws.FILTER(game_rosters!$J:$J,(game_rosters!$G:$G=events!$AN2252)*(game_rosters!$J:$J=events!$X2252))&gt;0,1,""),"")</f>
        <v>1</v>
      </c>
      <c r="AA2252">
        <f t="shared" si="2353"/>
        <v>2194</v>
      </c>
      <c r="AB2252" t="str">
        <f t="shared" si="2354"/>
        <v/>
      </c>
      <c r="AC2252">
        <f t="shared" si="2392"/>
        <v>2194</v>
      </c>
      <c r="AD2252" s="6">
        <v>3</v>
      </c>
      <c r="AE2252" t="s">
        <v>940</v>
      </c>
      <c r="AF2252" t="s">
        <v>927</v>
      </c>
      <c r="AG2252" t="s">
        <v>756</v>
      </c>
      <c r="AH2252" t="s">
        <v>756</v>
      </c>
      <c r="AI2252" t="s">
        <v>367</v>
      </c>
      <c r="AJ2252" t="str">
        <f t="shared" ref="AJ2252:AK2252" si="2426">IF($J2252&lt;&gt;"",$J2252,IF($AC2252=$AC2251,AJ2251,""))</f>
        <v/>
      </c>
      <c r="AK2252" t="str">
        <f t="shared" si="2426"/>
        <v/>
      </c>
      <c r="AL2252" t="str">
        <f t="shared" si="2397"/>
        <v/>
      </c>
      <c r="AN2252" t="s">
        <v>862</v>
      </c>
      <c r="AO2252" t="str">
        <f t="shared" si="2398"/>
        <v>a</v>
      </c>
      <c r="AP2252" t="str">
        <f t="shared" si="2406"/>
        <v/>
      </c>
      <c r="AQ2252" t="str">
        <f t="shared" si="2407"/>
        <v/>
      </c>
      <c r="AR2252" t="str">
        <f t="shared" si="2408"/>
        <v>Away</v>
      </c>
      <c r="AS2252" t="str">
        <f t="shared" si="2409"/>
        <v>a</v>
      </c>
      <c r="AT2252" t="str">
        <f t="shared" si="2410"/>
        <v>Offensive</v>
      </c>
      <c r="BA2252" s="6">
        <f t="shared" si="2399"/>
        <v>510</v>
      </c>
      <c r="BB2252">
        <f t="shared" si="2400"/>
        <v>18981</v>
      </c>
      <c r="BC2252" t="str">
        <f t="shared" si="2401"/>
        <v>Nelson</v>
      </c>
      <c r="BD2252" t="str">
        <f t="shared" si="2402"/>
        <v>Velodrome</v>
      </c>
      <c r="BE2252" t="s">
        <v>7</v>
      </c>
      <c r="BF2252" t="s">
        <v>172</v>
      </c>
      <c r="BG2252" t="s">
        <v>68</v>
      </c>
      <c r="BI2252" cm="1">
        <f t="array" ref="BI2252">IFERROR(_xlfn._xlws.FILTER(shifts!A:A,(shifts!B:B=events!AD2252)*(shifts!AG:AG&gt;=events!BK2252)*(shifts!AH:AH&lt;=events!BL2252)),BI2251)</f>
        <v>99</v>
      </c>
      <c r="BJ2252" s="15">
        <f t="shared" si="2403"/>
        <v>0</v>
      </c>
      <c r="BK2252">
        <f t="shared" si="2411"/>
        <v>237</v>
      </c>
      <c r="BL2252">
        <f t="shared" si="2412"/>
        <v>237</v>
      </c>
      <c r="BM2252" s="15">
        <f>SUMIFS(BJ$2:BJ2252,K$2:K2252,"=Intermission")+SUMIFS(BJ$2:BJ2252,K$2:K2252,"=Timeout")</f>
        <v>142</v>
      </c>
      <c r="BN2252">
        <f t="shared" si="2413"/>
        <v>2302</v>
      </c>
      <c r="BO2252" s="19">
        <f t="shared" si="2414"/>
        <v>3145</v>
      </c>
      <c r="BP2252">
        <f t="shared" si="2415"/>
        <v>3140</v>
      </c>
      <c r="BQ2252" s="17">
        <f t="shared" si="2416"/>
        <v>3145</v>
      </c>
      <c r="BR2252" t="str">
        <f t="shared" si="2417"/>
        <v>event_team_player_1</v>
      </c>
      <c r="BS2252">
        <f>COUNTIFS(S$3:S2252,"="&amp;S2252,AI$3:AI2252,"="&amp;AI2252)</f>
        <v>1</v>
      </c>
      <c r="BT2252" t="str">
        <f>IFERROR(VLOOKUP(BB2252&amp;BU2252&amp;X2252,game_rosters!U:W,3,FALSE),"")</f>
        <v>P100224</v>
      </c>
      <c r="BU2252" t="str">
        <f t="shared" si="2418"/>
        <v>Velodrome</v>
      </c>
    </row>
    <row r="2253" spans="1:73" x14ac:dyDescent="0.2">
      <c r="A2253">
        <f t="shared" si="2404"/>
        <v>1</v>
      </c>
      <c r="J2253" s="44" t="str">
        <f t="shared" si="2419"/>
        <v/>
      </c>
      <c r="K2253" t="s">
        <v>7</v>
      </c>
      <c r="L2253" t="s">
        <v>172</v>
      </c>
      <c r="M2253" t="s">
        <v>68</v>
      </c>
      <c r="S2253">
        <v>1194</v>
      </c>
      <c r="W2253" t="str">
        <f t="shared" si="2395"/>
        <v>a</v>
      </c>
      <c r="X2253">
        <v>14</v>
      </c>
      <c r="Y2253" t="e">
        <f>IF(X2253&lt;&gt;"",VLOOKUP(X2253,game_rosters!$C$43:$E$64,3,FALSE))</f>
        <v>#N/A</v>
      </c>
      <c r="Z2253" cm="1">
        <f t="array" ref="Z2253">IFERROR(IF(_xlfn._xlws.FILTER(game_rosters!$J:$J,(game_rosters!$G:$G=events!$AN2253)*(game_rosters!$J:$J=events!$X2253))&gt;0,1,""),"")</f>
        <v>1</v>
      </c>
      <c r="AA2253">
        <f t="shared" si="2353"/>
        <v>2194</v>
      </c>
      <c r="AB2253" t="str">
        <f t="shared" si="2354"/>
        <v/>
      </c>
      <c r="AC2253">
        <f t="shared" si="2392"/>
        <v>2194</v>
      </c>
      <c r="AD2253" s="6">
        <v>3</v>
      </c>
      <c r="AE2253" t="s">
        <v>940</v>
      </c>
      <c r="AF2253" t="s">
        <v>927</v>
      </c>
      <c r="AG2253" t="s">
        <v>756</v>
      </c>
      <c r="AH2253" t="s">
        <v>756</v>
      </c>
      <c r="AI2253" t="s">
        <v>367</v>
      </c>
      <c r="AJ2253" t="str">
        <f t="shared" ref="AJ2253:AK2253" si="2427">IF($J2253&lt;&gt;"",$J2253,IF($AC2253=$AC2252,AJ2252,""))</f>
        <v/>
      </c>
      <c r="AK2253" t="str">
        <f t="shared" si="2427"/>
        <v/>
      </c>
      <c r="AL2253" t="str">
        <f t="shared" si="2397"/>
        <v/>
      </c>
      <c r="AN2253" t="s">
        <v>862</v>
      </c>
      <c r="AO2253" t="str">
        <f t="shared" si="2398"/>
        <v>a</v>
      </c>
      <c r="AP2253" t="str">
        <f t="shared" si="2406"/>
        <v/>
      </c>
      <c r="AQ2253" t="str">
        <f t="shared" si="2407"/>
        <v/>
      </c>
      <c r="AR2253" t="str">
        <f t="shared" si="2408"/>
        <v>Away</v>
      </c>
      <c r="AS2253" t="str">
        <f t="shared" si="2409"/>
        <v>a</v>
      </c>
      <c r="AT2253" t="str">
        <f t="shared" si="2410"/>
        <v>Offensive</v>
      </c>
      <c r="BA2253" s="6">
        <f t="shared" si="2399"/>
        <v>510</v>
      </c>
      <c r="BB2253">
        <f t="shared" si="2400"/>
        <v>18981</v>
      </c>
      <c r="BC2253" t="str">
        <f t="shared" si="2401"/>
        <v>Nelson</v>
      </c>
      <c r="BD2253" t="str">
        <f t="shared" si="2402"/>
        <v>Velodrome</v>
      </c>
      <c r="BE2253" t="s">
        <v>7</v>
      </c>
      <c r="BF2253" t="s">
        <v>172</v>
      </c>
      <c r="BG2253" t="s">
        <v>68</v>
      </c>
      <c r="BI2253" cm="1">
        <f t="array" ref="BI2253">IFERROR(_xlfn._xlws.FILTER(shifts!A:A,(shifts!B:B=events!AD2253)*(shifts!AG:AG&gt;=events!BK2253)*(shifts!AH:AH&lt;=events!BL2253)),BI2252)</f>
        <v>99</v>
      </c>
      <c r="BJ2253" s="15">
        <f t="shared" si="2403"/>
        <v>0</v>
      </c>
      <c r="BK2253">
        <f t="shared" si="2411"/>
        <v>237</v>
      </c>
      <c r="BL2253">
        <f t="shared" si="2412"/>
        <v>237</v>
      </c>
      <c r="BM2253" s="15">
        <f>SUMIFS(BJ$2:BJ2253,K$2:K2253,"=Intermission")+SUMIFS(BJ$2:BJ2253,K$2:K2253,"=Timeout")</f>
        <v>142</v>
      </c>
      <c r="BN2253">
        <f t="shared" si="2413"/>
        <v>2302</v>
      </c>
      <c r="BO2253" s="19">
        <f t="shared" si="2414"/>
        <v>3145</v>
      </c>
      <c r="BP2253">
        <f t="shared" si="2415"/>
        <v>3140</v>
      </c>
      <c r="BQ2253" s="17">
        <f t="shared" si="2416"/>
        <v>3145</v>
      </c>
      <c r="BR2253" t="str">
        <f t="shared" si="2417"/>
        <v>event_team_player_2</v>
      </c>
      <c r="BS2253">
        <f>COUNTIFS(S$3:S2253,"="&amp;S2253,AI$3:AI2253,"="&amp;AI2253)</f>
        <v>2</v>
      </c>
      <c r="BT2253" t="str">
        <f>IFERROR(VLOOKUP(BB2253&amp;BU2253&amp;X2253,game_rosters!U:W,3,FALSE),"")</f>
        <v>P100132</v>
      </c>
      <c r="BU2253" t="str">
        <f t="shared" si="2418"/>
        <v>Velodrome</v>
      </c>
    </row>
    <row r="2254" spans="1:73" x14ac:dyDescent="0.2">
      <c r="A2254">
        <f t="shared" si="2404"/>
        <v>1</v>
      </c>
      <c r="J2254" s="44" t="str">
        <f t="shared" si="2419"/>
        <v/>
      </c>
      <c r="K2254" t="s">
        <v>7</v>
      </c>
      <c r="L2254" t="s">
        <v>172</v>
      </c>
      <c r="M2254" t="s">
        <v>68</v>
      </c>
      <c r="S2254">
        <v>1194</v>
      </c>
      <c r="W2254" t="str">
        <f t="shared" si="2395"/>
        <v>a</v>
      </c>
      <c r="X2254">
        <v>37</v>
      </c>
      <c r="Y2254" t="b">
        <f>IF(X2254&lt;&gt;"",VLOOKUP(X2254,game_rosters!$C$43:$E$64,3,FALSE))</f>
        <v>0</v>
      </c>
      <c r="Z2254" t="str" cm="1">
        <f t="array" ref="Z2254">IFERROR(IF(_xlfn._xlws.FILTER(game_rosters!$J:$J,(game_rosters!$G:$G=events!$AN2254)*(game_rosters!$J:$J=events!$X2254))&gt;0,1,""),"")</f>
        <v/>
      </c>
      <c r="AA2254">
        <f t="shared" si="2353"/>
        <v>2194</v>
      </c>
      <c r="AB2254" t="str">
        <f t="shared" si="2354"/>
        <v/>
      </c>
      <c r="AC2254">
        <f t="shared" si="2392"/>
        <v>2194</v>
      </c>
      <c r="AD2254" s="6">
        <v>3</v>
      </c>
      <c r="AE2254" t="s">
        <v>940</v>
      </c>
      <c r="AF2254" t="s">
        <v>927</v>
      </c>
      <c r="AG2254" t="s">
        <v>756</v>
      </c>
      <c r="AH2254" t="s">
        <v>756</v>
      </c>
      <c r="AI2254" t="s">
        <v>368</v>
      </c>
      <c r="AJ2254" t="str">
        <f t="shared" ref="AJ2254:AK2254" si="2428">IF($J2254&lt;&gt;"",$J2254,IF($AC2254=$AC2253,AJ2253,""))</f>
        <v/>
      </c>
      <c r="AK2254" t="str">
        <f t="shared" si="2428"/>
        <v/>
      </c>
      <c r="AL2254" t="str">
        <f t="shared" si="2397"/>
        <v/>
      </c>
      <c r="AN2254" t="s">
        <v>862</v>
      </c>
      <c r="AO2254" t="str">
        <f t="shared" si="2398"/>
        <v>a</v>
      </c>
      <c r="AP2254" t="str">
        <f t="shared" si="2406"/>
        <v/>
      </c>
      <c r="AQ2254" t="str">
        <f t="shared" si="2407"/>
        <v/>
      </c>
      <c r="AR2254" t="str">
        <f t="shared" si="2408"/>
        <v>Away</v>
      </c>
      <c r="AS2254" t="str">
        <f t="shared" si="2409"/>
        <v>a</v>
      </c>
      <c r="AT2254" t="str">
        <f t="shared" si="2410"/>
        <v>Defensive</v>
      </c>
      <c r="BA2254" s="6">
        <f t="shared" si="2399"/>
        <v>510</v>
      </c>
      <c r="BB2254">
        <f t="shared" si="2400"/>
        <v>18981</v>
      </c>
      <c r="BC2254" t="str">
        <f t="shared" si="2401"/>
        <v>Nelson</v>
      </c>
      <c r="BD2254" t="str">
        <f t="shared" si="2402"/>
        <v>Velodrome</v>
      </c>
      <c r="BE2254" t="s">
        <v>7</v>
      </c>
      <c r="BF2254" t="s">
        <v>172</v>
      </c>
      <c r="BG2254" t="s">
        <v>68</v>
      </c>
      <c r="BI2254" cm="1">
        <f t="array" ref="BI2254">IFERROR(_xlfn._xlws.FILTER(shifts!A:A,(shifts!B:B=events!AD2254)*(shifts!AG:AG&gt;=events!BK2254)*(shifts!AH:AH&lt;=events!BL2254)),BI2253)</f>
        <v>99</v>
      </c>
      <c r="BJ2254" s="15">
        <f t="shared" si="2403"/>
        <v>0</v>
      </c>
      <c r="BK2254">
        <f t="shared" si="2411"/>
        <v>237</v>
      </c>
      <c r="BL2254">
        <f t="shared" si="2412"/>
        <v>237</v>
      </c>
      <c r="BM2254" s="15">
        <f>SUMIFS(BJ$2:BJ2254,K$2:K2254,"=Intermission")+SUMIFS(BJ$2:BJ2254,K$2:K2254,"=Timeout")</f>
        <v>142</v>
      </c>
      <c r="BN2254">
        <f t="shared" si="2413"/>
        <v>2302</v>
      </c>
      <c r="BO2254" s="19">
        <f t="shared" si="2414"/>
        <v>3145</v>
      </c>
      <c r="BP2254">
        <f t="shared" si="2415"/>
        <v>3140</v>
      </c>
      <c r="BQ2254" s="17">
        <f t="shared" si="2416"/>
        <v>3145</v>
      </c>
      <c r="BR2254" t="str">
        <f t="shared" si="2417"/>
        <v>opp_team_player_1</v>
      </c>
      <c r="BS2254">
        <f>COUNTIFS(S$3:S2254,"="&amp;S2254,AI$3:AI2254,"="&amp;AI2254)</f>
        <v>1</v>
      </c>
      <c r="BT2254" t="str">
        <f>IFERROR(VLOOKUP(BB2254&amp;BU2254&amp;X2254,game_rosters!U:W,3,FALSE),"")</f>
        <v>P100119</v>
      </c>
      <c r="BU2254" t="str">
        <f t="shared" si="2418"/>
        <v>Nelson</v>
      </c>
    </row>
    <row r="2255" spans="1:73" x14ac:dyDescent="0.2">
      <c r="A2255">
        <f t="shared" si="2404"/>
        <v>1</v>
      </c>
      <c r="J2255" s="44" t="str">
        <f t="shared" si="2419"/>
        <v>d</v>
      </c>
      <c r="K2255" t="s">
        <v>238</v>
      </c>
      <c r="L2255" t="s">
        <v>184</v>
      </c>
      <c r="M2255" t="s">
        <v>170</v>
      </c>
      <c r="S2255">
        <v>1195</v>
      </c>
      <c r="W2255" t="str">
        <f t="shared" si="2395"/>
        <v>a</v>
      </c>
      <c r="X2255">
        <v>14</v>
      </c>
      <c r="Y2255" t="e">
        <f>IF(X2255&lt;&gt;"",VLOOKUP(X2255,game_rosters!$C$43:$E$64,3,FALSE))</f>
        <v>#N/A</v>
      </c>
      <c r="Z2255" cm="1">
        <f t="array" ref="Z2255">IFERROR(IF(_xlfn._xlws.FILTER(game_rosters!$J:$J,(game_rosters!$G:$G=events!$AN2255)*(game_rosters!$J:$J=events!$X2255))&gt;0,1,""),"")</f>
        <v>1</v>
      </c>
      <c r="AA2255">
        <f t="shared" si="2353"/>
        <v>2195</v>
      </c>
      <c r="AB2255" t="str">
        <f t="shared" si="2354"/>
        <v/>
      </c>
      <c r="AC2255">
        <f t="shared" si="2392"/>
        <v>2195</v>
      </c>
      <c r="AD2255" s="6">
        <v>3</v>
      </c>
      <c r="AE2255" t="s">
        <v>940</v>
      </c>
      <c r="AF2255" t="s">
        <v>927</v>
      </c>
      <c r="AG2255" t="s">
        <v>756</v>
      </c>
      <c r="AH2255" t="s">
        <v>756</v>
      </c>
      <c r="AI2255" t="s">
        <v>367</v>
      </c>
      <c r="AJ2255" t="str">
        <f t="shared" ref="AJ2255:AK2255" si="2429">IF($J2255&lt;&gt;"",$J2255,IF($AC2255=$AC2254,AJ2254,""))</f>
        <v>d</v>
      </c>
      <c r="AK2255" t="str">
        <f t="shared" si="2429"/>
        <v>d</v>
      </c>
      <c r="AL2255" t="str">
        <f t="shared" si="2397"/>
        <v>o</v>
      </c>
      <c r="AN2255" t="s">
        <v>862</v>
      </c>
      <c r="AO2255" t="str">
        <f t="shared" si="2398"/>
        <v>a</v>
      </c>
      <c r="AP2255" t="str">
        <f t="shared" si="2406"/>
        <v>o</v>
      </c>
      <c r="AQ2255" t="str">
        <f t="shared" si="2407"/>
        <v/>
      </c>
      <c r="AR2255" t="str">
        <f t="shared" si="2408"/>
        <v>Away</v>
      </c>
      <c r="AS2255" t="str">
        <f t="shared" si="2409"/>
        <v>a</v>
      </c>
      <c r="AT2255" t="str">
        <f t="shared" si="2410"/>
        <v>Offensive</v>
      </c>
      <c r="BA2255" s="6">
        <f t="shared" si="2399"/>
        <v>511</v>
      </c>
      <c r="BB2255">
        <f t="shared" si="2400"/>
        <v>18981</v>
      </c>
      <c r="BC2255" t="str">
        <f t="shared" si="2401"/>
        <v>Nelson</v>
      </c>
      <c r="BD2255" t="str">
        <f t="shared" si="2402"/>
        <v>Velodrome</v>
      </c>
      <c r="BE2255" t="s">
        <v>238</v>
      </c>
      <c r="BF2255" t="s">
        <v>184</v>
      </c>
      <c r="BG2255" t="s">
        <v>170</v>
      </c>
      <c r="BI2255" cm="1">
        <f t="array" ref="BI2255">IFERROR(_xlfn._xlws.FILTER(shifts!A:A,(shifts!B:B=events!AD2255)*(shifts!AG:AG&gt;=events!BK2255)*(shifts!AH:AH&lt;=events!BL2255)),BI2254)</f>
        <v>99</v>
      </c>
      <c r="BJ2255" s="15">
        <f t="shared" si="2403"/>
        <v>0</v>
      </c>
      <c r="BK2255">
        <f t="shared" si="2411"/>
        <v>237</v>
      </c>
      <c r="BL2255">
        <f t="shared" si="2412"/>
        <v>237</v>
      </c>
      <c r="BM2255" s="15">
        <f>SUMIFS(BJ$2:BJ2255,K$2:K2255,"=Intermission")+SUMIFS(BJ$2:BJ2255,K$2:K2255,"=Timeout")</f>
        <v>142</v>
      </c>
      <c r="BN2255">
        <f t="shared" si="2413"/>
        <v>2302</v>
      </c>
      <c r="BO2255" s="19">
        <f t="shared" si="2414"/>
        <v>3145</v>
      </c>
      <c r="BP2255">
        <f t="shared" si="2415"/>
        <v>3140</v>
      </c>
      <c r="BQ2255" s="17">
        <f t="shared" si="2416"/>
        <v>3145</v>
      </c>
      <c r="BR2255" t="str">
        <f t="shared" si="2417"/>
        <v>event_team_player_1</v>
      </c>
      <c r="BS2255">
        <f>COUNTIFS(S$3:S2255,"="&amp;S2255,AI$3:AI2255,"="&amp;AI2255)</f>
        <v>1</v>
      </c>
      <c r="BT2255" t="str">
        <f>IFERROR(VLOOKUP(BB2255&amp;BU2255&amp;X2255,game_rosters!U:W,3,FALSE),"")</f>
        <v>P100132</v>
      </c>
      <c r="BU2255" t="str">
        <f t="shared" si="2418"/>
        <v>Velodrome</v>
      </c>
    </row>
    <row r="2256" spans="1:73" x14ac:dyDescent="0.2">
      <c r="A2256">
        <f t="shared" si="2404"/>
        <v>1</v>
      </c>
      <c r="J2256" s="44" t="str">
        <f t="shared" si="2419"/>
        <v/>
      </c>
      <c r="K2256" t="s">
        <v>9</v>
      </c>
      <c r="L2256" t="s">
        <v>173</v>
      </c>
      <c r="M2256" t="s">
        <v>383</v>
      </c>
      <c r="S2256">
        <v>1196</v>
      </c>
      <c r="W2256" t="str">
        <f t="shared" si="2395"/>
        <v>a</v>
      </c>
      <c r="X2256">
        <v>14</v>
      </c>
      <c r="Y2256" t="e">
        <f>IF(X2256&lt;&gt;"",VLOOKUP(X2256,game_rosters!$C$43:$E$64,3,FALSE))</f>
        <v>#N/A</v>
      </c>
      <c r="Z2256" cm="1">
        <f t="array" ref="Z2256">IFERROR(IF(_xlfn._xlws.FILTER(game_rosters!$J:$J,(game_rosters!$G:$G=events!$AN2256)*(game_rosters!$J:$J=events!$X2256))&gt;0,1,""),"")</f>
        <v>1</v>
      </c>
      <c r="AA2256">
        <f t="shared" si="2353"/>
        <v>2196</v>
      </c>
      <c r="AB2256" t="str">
        <f t="shared" si="2354"/>
        <v/>
      </c>
      <c r="AC2256">
        <f t="shared" si="2392"/>
        <v>2196</v>
      </c>
      <c r="AD2256" s="6">
        <v>3</v>
      </c>
      <c r="AE2256" t="s">
        <v>940</v>
      </c>
      <c r="AF2256" t="s">
        <v>927</v>
      </c>
      <c r="AG2256" t="s">
        <v>756</v>
      </c>
      <c r="AH2256" t="s">
        <v>756</v>
      </c>
      <c r="AI2256" t="s">
        <v>367</v>
      </c>
      <c r="AJ2256" t="str">
        <f t="shared" ref="AJ2256:AK2256" si="2430">IF($J2256&lt;&gt;"",$J2256,IF($AC2256=$AC2255,AJ2255,""))</f>
        <v/>
      </c>
      <c r="AK2256" t="str">
        <f t="shared" si="2430"/>
        <v/>
      </c>
      <c r="AL2256" t="str">
        <f t="shared" si="2397"/>
        <v/>
      </c>
      <c r="AN2256" t="s">
        <v>862</v>
      </c>
      <c r="AO2256" t="str">
        <f t="shared" si="2398"/>
        <v>a</v>
      </c>
      <c r="AP2256" t="str">
        <f t="shared" si="2406"/>
        <v/>
      </c>
      <c r="AQ2256" t="str">
        <f t="shared" si="2407"/>
        <v/>
      </c>
      <c r="AR2256" t="str">
        <f t="shared" si="2408"/>
        <v>Away</v>
      </c>
      <c r="AS2256" t="str">
        <f t="shared" si="2409"/>
        <v>a</v>
      </c>
      <c r="AT2256" t="str">
        <f t="shared" si="2410"/>
        <v>Offensive</v>
      </c>
      <c r="BA2256" s="6">
        <f t="shared" si="2399"/>
        <v>511</v>
      </c>
      <c r="BB2256">
        <f t="shared" si="2400"/>
        <v>18981</v>
      </c>
      <c r="BC2256" t="str">
        <f t="shared" si="2401"/>
        <v>Nelson</v>
      </c>
      <c r="BD2256" t="str">
        <f t="shared" si="2402"/>
        <v>Velodrome</v>
      </c>
      <c r="BE2256" t="s">
        <v>9</v>
      </c>
      <c r="BF2256" t="s">
        <v>173</v>
      </c>
      <c r="BG2256" t="s">
        <v>383</v>
      </c>
      <c r="BI2256" cm="1">
        <f t="array" ref="BI2256">IFERROR(_xlfn._xlws.FILTER(shifts!A:A,(shifts!B:B=events!AD2256)*(shifts!AG:AG&gt;=events!BK2256)*(shifts!AH:AH&lt;=events!BL2256)),BI2255)</f>
        <v>99</v>
      </c>
      <c r="BJ2256" s="15">
        <f t="shared" si="2403"/>
        <v>0</v>
      </c>
      <c r="BK2256">
        <f t="shared" si="2411"/>
        <v>237</v>
      </c>
      <c r="BL2256">
        <f t="shared" si="2412"/>
        <v>237</v>
      </c>
      <c r="BM2256" s="15">
        <f>SUMIFS(BJ$2:BJ2256,K$2:K2256,"=Intermission")+SUMIFS(BJ$2:BJ2256,K$2:K2256,"=Timeout")</f>
        <v>142</v>
      </c>
      <c r="BN2256">
        <f t="shared" si="2413"/>
        <v>2302</v>
      </c>
      <c r="BO2256" s="19">
        <f t="shared" si="2414"/>
        <v>3145</v>
      </c>
      <c r="BP2256">
        <f t="shared" si="2415"/>
        <v>3140</v>
      </c>
      <c r="BQ2256" s="17">
        <f t="shared" si="2416"/>
        <v>3145</v>
      </c>
      <c r="BR2256" t="str">
        <f t="shared" si="2417"/>
        <v>event_team_player_1</v>
      </c>
      <c r="BS2256">
        <f>COUNTIFS(S$3:S2256,"="&amp;S2256,AI$3:AI2256,"="&amp;AI2256)</f>
        <v>1</v>
      </c>
      <c r="BT2256" t="str">
        <f>IFERROR(VLOOKUP(BB2256&amp;BU2256&amp;X2256,game_rosters!U:W,3,FALSE),"")</f>
        <v>P100132</v>
      </c>
      <c r="BU2256" t="str">
        <f t="shared" si="2418"/>
        <v>Velodrome</v>
      </c>
    </row>
    <row r="2257" spans="1:73" x14ac:dyDescent="0.2">
      <c r="A2257">
        <f t="shared" si="2404"/>
        <v>1</v>
      </c>
      <c r="J2257" s="44" t="str">
        <f t="shared" si="2419"/>
        <v/>
      </c>
      <c r="K2257" t="s">
        <v>13</v>
      </c>
      <c r="L2257" t="s">
        <v>756</v>
      </c>
      <c r="M2257" t="s">
        <v>756</v>
      </c>
      <c r="S2257">
        <v>1197</v>
      </c>
      <c r="W2257" t="str">
        <f t="shared" si="2395"/>
        <v>h</v>
      </c>
      <c r="X2257">
        <v>23</v>
      </c>
      <c r="Y2257" t="b">
        <f>IF(X2257&lt;&gt;"",VLOOKUP(X2257,game_rosters!$C$43:$E$64,3,FALSE))</f>
        <v>0</v>
      </c>
      <c r="Z2257" cm="1">
        <f t="array" ref="Z2257">IFERROR(IF(_xlfn._xlws.FILTER(game_rosters!$J:$J,(game_rosters!$G:$G=events!$AN2257)*(game_rosters!$J:$J=events!$X2257))&gt;0,1,""),"")</f>
        <v>1</v>
      </c>
      <c r="AA2257">
        <f t="shared" si="2353"/>
        <v>2197</v>
      </c>
      <c r="AB2257" t="str">
        <f t="shared" si="2354"/>
        <v/>
      </c>
      <c r="AC2257">
        <f t="shared" si="2392"/>
        <v>2197</v>
      </c>
      <c r="AD2257" s="6">
        <v>3</v>
      </c>
      <c r="AE2257" t="s">
        <v>940</v>
      </c>
      <c r="AF2257" t="s">
        <v>753</v>
      </c>
      <c r="AG2257" t="s">
        <v>940</v>
      </c>
      <c r="AH2257" t="s">
        <v>921</v>
      </c>
      <c r="AI2257" t="s">
        <v>367</v>
      </c>
      <c r="AJ2257" t="str">
        <f t="shared" ref="AJ2257:AK2257" si="2431">IF($J2257&lt;&gt;"",$J2257,IF($AC2257=$AC2256,AJ2256,""))</f>
        <v/>
      </c>
      <c r="AK2257" t="str">
        <f t="shared" si="2431"/>
        <v/>
      </c>
      <c r="AL2257" t="str">
        <f t="shared" si="2397"/>
        <v/>
      </c>
      <c r="AN2257" t="s">
        <v>861</v>
      </c>
      <c r="AO2257" t="str">
        <f t="shared" si="2398"/>
        <v>h</v>
      </c>
      <c r="AP2257" t="str">
        <f t="shared" si="2406"/>
        <v/>
      </c>
      <c r="AQ2257" t="str">
        <f t="shared" si="2407"/>
        <v/>
      </c>
      <c r="AR2257" t="str">
        <f t="shared" si="2408"/>
        <v>Home</v>
      </c>
      <c r="AS2257" t="str">
        <f t="shared" si="2409"/>
        <v>h</v>
      </c>
      <c r="AT2257" t="str">
        <f t="shared" si="2410"/>
        <v>Offensive</v>
      </c>
      <c r="BA2257" s="6">
        <f t="shared" si="2399"/>
        <v>511</v>
      </c>
      <c r="BB2257">
        <f t="shared" si="2400"/>
        <v>18981</v>
      </c>
      <c r="BC2257" t="str">
        <f t="shared" si="2401"/>
        <v>Nelson</v>
      </c>
      <c r="BD2257" t="str">
        <f t="shared" si="2402"/>
        <v>Velodrome</v>
      </c>
      <c r="BE2257" t="s">
        <v>13</v>
      </c>
      <c r="BF2257" t="s">
        <v>756</v>
      </c>
      <c r="BG2257" t="s">
        <v>756</v>
      </c>
      <c r="BI2257" cm="1">
        <f t="array" ref="BI2257">IFERROR(_xlfn._xlws.FILTER(shifts!A:A,(shifts!B:B=events!AD2257)*(shifts!AG:AG&gt;=events!BK2257)*(shifts!AH:AH&lt;=events!BL2257)),BI2256)</f>
        <v>99</v>
      </c>
      <c r="BJ2257" s="15">
        <f t="shared" si="2403"/>
        <v>2</v>
      </c>
      <c r="BK2257">
        <f t="shared" si="2411"/>
        <v>235</v>
      </c>
      <c r="BL2257">
        <f t="shared" si="2412"/>
        <v>233</v>
      </c>
      <c r="BM2257" s="15">
        <f>SUMIFS(BJ$2:BJ2257,K$2:K2257,"=Intermission")+SUMIFS(BJ$2:BJ2257,K$2:K2257,"=Timeout")</f>
        <v>142</v>
      </c>
      <c r="BN2257">
        <f t="shared" si="2413"/>
        <v>2302</v>
      </c>
      <c r="BO2257" s="19">
        <f t="shared" si="2414"/>
        <v>3147</v>
      </c>
      <c r="BP2257">
        <f t="shared" si="2415"/>
        <v>3142</v>
      </c>
      <c r="BQ2257" s="17">
        <f t="shared" si="2416"/>
        <v>3149</v>
      </c>
      <c r="BR2257" t="str">
        <f t="shared" si="2417"/>
        <v>event_team_player_1</v>
      </c>
      <c r="BS2257">
        <f>COUNTIFS(S$3:S2257,"="&amp;S2257,AI$3:AI2257,"="&amp;AI2257)</f>
        <v>1</v>
      </c>
      <c r="BT2257" t="str">
        <f>IFERROR(VLOOKUP(BB2257&amp;BU2257&amp;X2257,game_rosters!U:W,3,FALSE),"")</f>
        <v>P100061</v>
      </c>
      <c r="BU2257" t="str">
        <f t="shared" si="2418"/>
        <v>Nelson</v>
      </c>
    </row>
    <row r="2258" spans="1:73" x14ac:dyDescent="0.2">
      <c r="A2258">
        <f t="shared" si="2404"/>
        <v>1</v>
      </c>
      <c r="J2258" s="44" t="str">
        <f t="shared" si="2419"/>
        <v>o</v>
      </c>
      <c r="K2258" t="s">
        <v>238</v>
      </c>
      <c r="L2258" t="s">
        <v>174</v>
      </c>
      <c r="M2258" t="s">
        <v>87</v>
      </c>
      <c r="S2258">
        <v>1198</v>
      </c>
      <c r="W2258" t="str">
        <f t="shared" si="2395"/>
        <v>h</v>
      </c>
      <c r="X2258">
        <v>23</v>
      </c>
      <c r="Y2258" t="b">
        <f>IF(X2258&lt;&gt;"",VLOOKUP(X2258,game_rosters!$C$43:$E$64,3,FALSE))</f>
        <v>0</v>
      </c>
      <c r="Z2258" cm="1">
        <f t="array" ref="Z2258">IFERROR(IF(_xlfn._xlws.FILTER(game_rosters!$J:$J,(game_rosters!$G:$G=events!$AN2258)*(game_rosters!$J:$J=events!$X2258))&gt;0,1,""),"")</f>
        <v>1</v>
      </c>
      <c r="AA2258">
        <f t="shared" si="2353"/>
        <v>2198</v>
      </c>
      <c r="AB2258" t="str">
        <f t="shared" si="2354"/>
        <v/>
      </c>
      <c r="AC2258">
        <f t="shared" si="2392"/>
        <v>2198</v>
      </c>
      <c r="AD2258" s="6">
        <v>3</v>
      </c>
      <c r="AE2258" t="s">
        <v>940</v>
      </c>
      <c r="AF2258" t="s">
        <v>921</v>
      </c>
      <c r="AG2258" t="s">
        <v>756</v>
      </c>
      <c r="AH2258" t="s">
        <v>756</v>
      </c>
      <c r="AI2258" t="s">
        <v>367</v>
      </c>
      <c r="AJ2258" t="str">
        <f t="shared" ref="AJ2258:AK2258" si="2432">IF($J2258&lt;&gt;"",$J2258,IF($AC2258=$AC2257,AJ2257,""))</f>
        <v>o</v>
      </c>
      <c r="AK2258" t="str">
        <f t="shared" si="2432"/>
        <v>o</v>
      </c>
      <c r="AL2258" t="str">
        <f t="shared" si="2397"/>
        <v>o</v>
      </c>
      <c r="AN2258" t="s">
        <v>861</v>
      </c>
      <c r="AO2258" t="str">
        <f t="shared" si="2398"/>
        <v>h</v>
      </c>
      <c r="AP2258" t="str">
        <f t="shared" si="2406"/>
        <v>o</v>
      </c>
      <c r="AQ2258" t="str">
        <f t="shared" si="2407"/>
        <v/>
      </c>
      <c r="AR2258" t="str">
        <f t="shared" si="2408"/>
        <v>Home</v>
      </c>
      <c r="AS2258" t="str">
        <f t="shared" si="2409"/>
        <v>h</v>
      </c>
      <c r="AT2258" t="str">
        <f t="shared" si="2410"/>
        <v>Offensive</v>
      </c>
      <c r="BA2258" s="6">
        <f t="shared" si="2399"/>
        <v>512</v>
      </c>
      <c r="BB2258">
        <f t="shared" si="2400"/>
        <v>18981</v>
      </c>
      <c r="BC2258" t="str">
        <f t="shared" si="2401"/>
        <v>Nelson</v>
      </c>
      <c r="BD2258" t="str">
        <f t="shared" si="2402"/>
        <v>Velodrome</v>
      </c>
      <c r="BE2258" t="s">
        <v>238</v>
      </c>
      <c r="BF2258" t="s">
        <v>174</v>
      </c>
      <c r="BG2258" t="s">
        <v>87</v>
      </c>
      <c r="BI2258" cm="1">
        <f t="array" ref="BI2258">IFERROR(_xlfn._xlws.FILTER(shifts!A:A,(shifts!B:B=events!AD2258)*(shifts!AG:AG&gt;=events!BK2258)*(shifts!AH:AH&lt;=events!BL2258)),BI2257)</f>
        <v>99</v>
      </c>
      <c r="BJ2258" s="15">
        <f t="shared" si="2403"/>
        <v>0</v>
      </c>
      <c r="BK2258">
        <f t="shared" si="2411"/>
        <v>233</v>
      </c>
      <c r="BL2258">
        <f t="shared" si="2412"/>
        <v>233</v>
      </c>
      <c r="BM2258" s="15">
        <f>SUMIFS(BJ$2:BJ2258,K$2:K2258,"=Intermission")+SUMIFS(BJ$2:BJ2258,K$2:K2258,"=Timeout")</f>
        <v>142</v>
      </c>
      <c r="BN2258">
        <f t="shared" si="2413"/>
        <v>2302</v>
      </c>
      <c r="BO2258" s="19">
        <f t="shared" si="2414"/>
        <v>3149</v>
      </c>
      <c r="BP2258">
        <f t="shared" si="2415"/>
        <v>3144</v>
      </c>
      <c r="BQ2258" s="17">
        <f t="shared" si="2416"/>
        <v>3149</v>
      </c>
      <c r="BR2258" t="str">
        <f t="shared" si="2417"/>
        <v>event_team_player_1</v>
      </c>
      <c r="BS2258">
        <f>COUNTIFS(S$3:S2258,"="&amp;S2258,AI$3:AI2258,"="&amp;AI2258)</f>
        <v>1</v>
      </c>
      <c r="BT2258" t="str">
        <f>IFERROR(VLOOKUP(BB2258&amp;BU2258&amp;X2258,game_rosters!U:W,3,FALSE),"")</f>
        <v>P100061</v>
      </c>
      <c r="BU2258" t="str">
        <f t="shared" si="2418"/>
        <v>Nelson</v>
      </c>
    </row>
    <row r="2259" spans="1:73" x14ac:dyDescent="0.2">
      <c r="A2259">
        <f t="shared" si="2404"/>
        <v>1</v>
      </c>
      <c r="J2259" s="44" t="str">
        <f t="shared" si="2419"/>
        <v/>
      </c>
      <c r="K2259" t="s">
        <v>9</v>
      </c>
      <c r="L2259" t="s">
        <v>173</v>
      </c>
      <c r="M2259" t="s">
        <v>354</v>
      </c>
      <c r="S2259">
        <v>1199</v>
      </c>
      <c r="W2259" t="str">
        <f t="shared" si="2395"/>
        <v>h</v>
      </c>
      <c r="X2259">
        <v>23</v>
      </c>
      <c r="Y2259" t="b">
        <f>IF(X2259&lt;&gt;"",VLOOKUP(X2259,game_rosters!$C$43:$E$64,3,FALSE))</f>
        <v>0</v>
      </c>
      <c r="Z2259" cm="1">
        <f t="array" ref="Z2259">IFERROR(IF(_xlfn._xlws.FILTER(game_rosters!$J:$J,(game_rosters!$G:$G=events!$AN2259)*(game_rosters!$J:$J=events!$X2259))&gt;0,1,""),"")</f>
        <v>1</v>
      </c>
      <c r="AA2259">
        <f t="shared" si="2353"/>
        <v>2199</v>
      </c>
      <c r="AB2259" t="str">
        <f t="shared" si="2354"/>
        <v/>
      </c>
      <c r="AC2259">
        <f t="shared" si="2392"/>
        <v>2199</v>
      </c>
      <c r="AD2259" s="6">
        <v>3</v>
      </c>
      <c r="AE2259" t="s">
        <v>940</v>
      </c>
      <c r="AF2259" t="s">
        <v>921</v>
      </c>
      <c r="AG2259" t="s">
        <v>756</v>
      </c>
      <c r="AH2259" t="s">
        <v>756</v>
      </c>
      <c r="AI2259" t="s">
        <v>367</v>
      </c>
      <c r="AJ2259" t="str">
        <f t="shared" ref="AJ2259:AK2259" si="2433">IF($J2259&lt;&gt;"",$J2259,IF($AC2259=$AC2258,AJ2258,""))</f>
        <v/>
      </c>
      <c r="AK2259" t="str">
        <f t="shared" si="2433"/>
        <v/>
      </c>
      <c r="AL2259" t="str">
        <f t="shared" si="2397"/>
        <v/>
      </c>
      <c r="AN2259" t="s">
        <v>861</v>
      </c>
      <c r="AO2259" t="str">
        <f t="shared" si="2398"/>
        <v>h</v>
      </c>
      <c r="AP2259" t="str">
        <f t="shared" si="2406"/>
        <v/>
      </c>
      <c r="AQ2259" t="str">
        <f t="shared" si="2407"/>
        <v/>
      </c>
      <c r="AR2259" t="str">
        <f t="shared" si="2408"/>
        <v>Home</v>
      </c>
      <c r="AS2259" t="str">
        <f t="shared" si="2409"/>
        <v>h</v>
      </c>
      <c r="AT2259" t="str">
        <f t="shared" si="2410"/>
        <v>Offensive</v>
      </c>
      <c r="BA2259" s="6">
        <f t="shared" si="2399"/>
        <v>512</v>
      </c>
      <c r="BB2259">
        <f t="shared" si="2400"/>
        <v>18981</v>
      </c>
      <c r="BC2259" t="str">
        <f t="shared" si="2401"/>
        <v>Nelson</v>
      </c>
      <c r="BD2259" t="str">
        <f t="shared" si="2402"/>
        <v>Velodrome</v>
      </c>
      <c r="BE2259" t="s">
        <v>9</v>
      </c>
      <c r="BF2259" t="s">
        <v>173</v>
      </c>
      <c r="BG2259" t="s">
        <v>354</v>
      </c>
      <c r="BI2259" cm="1">
        <f t="array" ref="BI2259">IFERROR(_xlfn._xlws.FILTER(shifts!A:A,(shifts!B:B=events!AD2259)*(shifts!AG:AG&gt;=events!BK2259)*(shifts!AH:AH&lt;=events!BL2259)),BI2258)</f>
        <v>99</v>
      </c>
      <c r="BJ2259" s="15">
        <f t="shared" si="2403"/>
        <v>0</v>
      </c>
      <c r="BK2259">
        <f t="shared" si="2411"/>
        <v>233</v>
      </c>
      <c r="BL2259">
        <f t="shared" si="2412"/>
        <v>233</v>
      </c>
      <c r="BM2259" s="15">
        <f>SUMIFS(BJ$2:BJ2259,K$2:K2259,"=Intermission")+SUMIFS(BJ$2:BJ2259,K$2:K2259,"=Timeout")</f>
        <v>142</v>
      </c>
      <c r="BN2259">
        <f t="shared" si="2413"/>
        <v>2302</v>
      </c>
      <c r="BO2259" s="19">
        <f t="shared" si="2414"/>
        <v>3149</v>
      </c>
      <c r="BP2259">
        <f t="shared" si="2415"/>
        <v>3144</v>
      </c>
      <c r="BQ2259" s="17">
        <f t="shared" si="2416"/>
        <v>3149</v>
      </c>
      <c r="BR2259" t="str">
        <f t="shared" si="2417"/>
        <v>event_team_player_1</v>
      </c>
      <c r="BS2259">
        <f>COUNTIFS(S$3:S2259,"="&amp;S2259,AI$3:AI2259,"="&amp;AI2259)</f>
        <v>1</v>
      </c>
      <c r="BT2259" t="str">
        <f>IFERROR(VLOOKUP(BB2259&amp;BU2259&amp;X2259,game_rosters!U:W,3,FALSE),"")</f>
        <v>P100061</v>
      </c>
      <c r="BU2259" t="str">
        <f t="shared" si="2418"/>
        <v>Nelson</v>
      </c>
    </row>
    <row r="2260" spans="1:73" x14ac:dyDescent="0.2">
      <c r="A2260">
        <f t="shared" si="2404"/>
        <v>1</v>
      </c>
      <c r="J2260" s="44" t="str">
        <f t="shared" si="2419"/>
        <v>d</v>
      </c>
      <c r="K2260" t="s">
        <v>238</v>
      </c>
      <c r="L2260" t="s">
        <v>184</v>
      </c>
      <c r="M2260" t="s">
        <v>90</v>
      </c>
      <c r="S2260">
        <v>1200</v>
      </c>
      <c r="W2260" t="str">
        <f t="shared" si="2395"/>
        <v>a</v>
      </c>
      <c r="X2260">
        <v>93</v>
      </c>
      <c r="Y2260" t="e">
        <f>IF(X2260&lt;&gt;"",VLOOKUP(X2260,game_rosters!$C$43:$E$64,3,FALSE))</f>
        <v>#N/A</v>
      </c>
      <c r="Z2260" cm="1">
        <f t="array" ref="Z2260">IFERROR(IF(_xlfn._xlws.FILTER(game_rosters!$J:$J,(game_rosters!$G:$G=events!$AN2260)*(game_rosters!$J:$J=events!$X2260))&gt;0,1,""),"")</f>
        <v>1</v>
      </c>
      <c r="AA2260">
        <f t="shared" si="2353"/>
        <v>2200</v>
      </c>
      <c r="AB2260" t="str">
        <f t="shared" si="2354"/>
        <v/>
      </c>
      <c r="AC2260">
        <f t="shared" si="2392"/>
        <v>2200</v>
      </c>
      <c r="AD2260" s="6">
        <v>3</v>
      </c>
      <c r="AE2260" t="s">
        <v>940</v>
      </c>
      <c r="AF2260" t="s">
        <v>897</v>
      </c>
      <c r="AG2260" t="s">
        <v>756</v>
      </c>
      <c r="AH2260" t="s">
        <v>756</v>
      </c>
      <c r="AI2260" t="s">
        <v>367</v>
      </c>
      <c r="AJ2260" t="str">
        <f t="shared" ref="AJ2260:AK2260" si="2434">IF($J2260&lt;&gt;"",$J2260,IF($AC2260=$AC2259,AJ2259,""))</f>
        <v>d</v>
      </c>
      <c r="AK2260" t="str">
        <f t="shared" si="2434"/>
        <v>d</v>
      </c>
      <c r="AL2260" t="str">
        <f t="shared" si="2397"/>
        <v>o</v>
      </c>
      <c r="AN2260" t="s">
        <v>862</v>
      </c>
      <c r="AO2260" t="str">
        <f t="shared" si="2398"/>
        <v>a</v>
      </c>
      <c r="AP2260" t="str">
        <f t="shared" si="2406"/>
        <v>o</v>
      </c>
      <c r="AQ2260" t="str">
        <f t="shared" si="2407"/>
        <v/>
      </c>
      <c r="AR2260" t="str">
        <f t="shared" si="2408"/>
        <v>Away</v>
      </c>
      <c r="AS2260" t="str">
        <f t="shared" si="2409"/>
        <v>a</v>
      </c>
      <c r="AT2260" t="str">
        <f t="shared" si="2410"/>
        <v>Offensive</v>
      </c>
      <c r="BA2260" s="6">
        <f t="shared" si="2399"/>
        <v>513</v>
      </c>
      <c r="BB2260">
        <f t="shared" si="2400"/>
        <v>18981</v>
      </c>
      <c r="BC2260" t="str">
        <f t="shared" si="2401"/>
        <v>Nelson</v>
      </c>
      <c r="BD2260" t="str">
        <f t="shared" si="2402"/>
        <v>Velodrome</v>
      </c>
      <c r="BE2260" t="s">
        <v>238</v>
      </c>
      <c r="BF2260" t="s">
        <v>184</v>
      </c>
      <c r="BG2260" t="s">
        <v>90</v>
      </c>
      <c r="BI2260" cm="1">
        <f t="array" ref="BI2260">IFERROR(_xlfn._xlws.FILTER(shifts!A:A,(shifts!B:B=events!AD2260)*(shifts!AG:AG&gt;=events!BK2260)*(shifts!AH:AH&lt;=events!BL2260)),BI2259)</f>
        <v>99</v>
      </c>
      <c r="BJ2260" s="15">
        <f t="shared" si="2403"/>
        <v>0</v>
      </c>
      <c r="BK2260">
        <f t="shared" si="2411"/>
        <v>232</v>
      </c>
      <c r="BL2260">
        <f t="shared" si="2412"/>
        <v>232</v>
      </c>
      <c r="BM2260" s="15">
        <f>SUMIFS(BJ$2:BJ2260,K$2:K2260,"=Intermission")+SUMIFS(BJ$2:BJ2260,K$2:K2260,"=Timeout")</f>
        <v>142</v>
      </c>
      <c r="BN2260">
        <f t="shared" si="2413"/>
        <v>2302</v>
      </c>
      <c r="BO2260" s="19">
        <f t="shared" si="2414"/>
        <v>3150</v>
      </c>
      <c r="BP2260">
        <f t="shared" si="2415"/>
        <v>3145</v>
      </c>
      <c r="BQ2260" s="17">
        <f t="shared" si="2416"/>
        <v>3150</v>
      </c>
      <c r="BR2260" t="str">
        <f t="shared" si="2417"/>
        <v>event_team_player_1</v>
      </c>
      <c r="BS2260">
        <f>COUNTIFS(S$3:S2260,"="&amp;S2260,AI$3:AI2260,"="&amp;AI2260)</f>
        <v>1</v>
      </c>
      <c r="BT2260" t="str">
        <f>IFERROR(VLOOKUP(BB2260&amp;BU2260&amp;X2260,game_rosters!U:W,3,FALSE),"")</f>
        <v>P100093</v>
      </c>
      <c r="BU2260" t="str">
        <f t="shared" si="2418"/>
        <v>Velodrome</v>
      </c>
    </row>
    <row r="2261" spans="1:73" x14ac:dyDescent="0.2">
      <c r="A2261">
        <f t="shared" si="2404"/>
        <v>1</v>
      </c>
      <c r="J2261" s="44" t="str">
        <f t="shared" si="2419"/>
        <v>o</v>
      </c>
      <c r="K2261" t="s">
        <v>238</v>
      </c>
      <c r="L2261" t="s">
        <v>174</v>
      </c>
      <c r="M2261" t="s">
        <v>375</v>
      </c>
      <c r="S2261">
        <v>1201</v>
      </c>
      <c r="W2261" t="str">
        <f t="shared" si="2395"/>
        <v>a</v>
      </c>
      <c r="X2261">
        <v>93</v>
      </c>
      <c r="Y2261" t="e">
        <f>IF(X2261&lt;&gt;"",VLOOKUP(X2261,game_rosters!$C$43:$E$64,3,FALSE))</f>
        <v>#N/A</v>
      </c>
      <c r="Z2261" cm="1">
        <f t="array" ref="Z2261">IFERROR(IF(_xlfn._xlws.FILTER(game_rosters!$J:$J,(game_rosters!$G:$G=events!$AN2261)*(game_rosters!$J:$J=events!$X2261))&gt;0,1,""),"")</f>
        <v>1</v>
      </c>
      <c r="AA2261">
        <f t="shared" si="2353"/>
        <v>2201</v>
      </c>
      <c r="AB2261" t="str">
        <f t="shared" si="2354"/>
        <v/>
      </c>
      <c r="AC2261">
        <f t="shared" si="2392"/>
        <v>2201</v>
      </c>
      <c r="AD2261" s="6">
        <v>3</v>
      </c>
      <c r="AE2261" t="s">
        <v>940</v>
      </c>
      <c r="AF2261" t="s">
        <v>897</v>
      </c>
      <c r="AG2261" t="s">
        <v>756</v>
      </c>
      <c r="AH2261" t="s">
        <v>756</v>
      </c>
      <c r="AI2261" t="s">
        <v>367</v>
      </c>
      <c r="AJ2261" t="str">
        <f t="shared" ref="AJ2261:AK2261" si="2435">IF($J2261&lt;&gt;"",$J2261,IF($AC2261=$AC2260,AJ2260,""))</f>
        <v>o</v>
      </c>
      <c r="AK2261" t="str">
        <f t="shared" si="2435"/>
        <v>o</v>
      </c>
      <c r="AL2261" t="str">
        <f t="shared" si="2397"/>
        <v>d</v>
      </c>
      <c r="AN2261" t="s">
        <v>862</v>
      </c>
      <c r="AO2261" t="str">
        <f t="shared" si="2398"/>
        <v>a</v>
      </c>
      <c r="AP2261" t="str">
        <f t="shared" si="2406"/>
        <v>d</v>
      </c>
      <c r="AQ2261" t="str">
        <f t="shared" si="2407"/>
        <v/>
      </c>
      <c r="AR2261" t="str">
        <f t="shared" si="2408"/>
        <v>Away</v>
      </c>
      <c r="AS2261" t="str">
        <f t="shared" si="2409"/>
        <v>a</v>
      </c>
      <c r="AT2261" t="str">
        <f t="shared" si="2410"/>
        <v>Offensive</v>
      </c>
      <c r="BA2261" s="6">
        <f t="shared" si="2399"/>
        <v>514</v>
      </c>
      <c r="BB2261">
        <f t="shared" si="2400"/>
        <v>18981</v>
      </c>
      <c r="BC2261" t="str">
        <f t="shared" si="2401"/>
        <v>Nelson</v>
      </c>
      <c r="BD2261" t="str">
        <f t="shared" si="2402"/>
        <v>Velodrome</v>
      </c>
      <c r="BE2261" t="s">
        <v>238</v>
      </c>
      <c r="BF2261" t="s">
        <v>174</v>
      </c>
      <c r="BG2261" t="s">
        <v>375</v>
      </c>
      <c r="BI2261" cm="1">
        <f t="array" ref="BI2261">IFERROR(_xlfn._xlws.FILTER(shifts!A:A,(shifts!B:B=events!AD2261)*(shifts!AG:AG&gt;=events!BK2261)*(shifts!AH:AH&lt;=events!BL2261)),BI2260)</f>
        <v>99</v>
      </c>
      <c r="BJ2261" s="15">
        <f t="shared" si="2403"/>
        <v>0</v>
      </c>
      <c r="BK2261">
        <f t="shared" si="2411"/>
        <v>232</v>
      </c>
      <c r="BL2261">
        <f t="shared" si="2412"/>
        <v>232</v>
      </c>
      <c r="BM2261" s="15">
        <f>SUMIFS(BJ$2:BJ2261,K$2:K2261,"=Intermission")+SUMIFS(BJ$2:BJ2261,K$2:K2261,"=Timeout")</f>
        <v>142</v>
      </c>
      <c r="BN2261">
        <f t="shared" si="2413"/>
        <v>2302</v>
      </c>
      <c r="BO2261" s="19">
        <f t="shared" si="2414"/>
        <v>3150</v>
      </c>
      <c r="BP2261">
        <f t="shared" si="2415"/>
        <v>3145</v>
      </c>
      <c r="BQ2261" s="17">
        <f t="shared" si="2416"/>
        <v>3150</v>
      </c>
      <c r="BR2261" t="str">
        <f t="shared" si="2417"/>
        <v>event_team_player_1</v>
      </c>
      <c r="BS2261">
        <f>COUNTIFS(S$3:S2261,"="&amp;S2261,AI$3:AI2261,"="&amp;AI2261)</f>
        <v>1</v>
      </c>
      <c r="BT2261" t="str">
        <f>IFERROR(VLOOKUP(BB2261&amp;BU2261&amp;X2261,game_rosters!U:W,3,FALSE),"")</f>
        <v>P100093</v>
      </c>
      <c r="BU2261" t="str">
        <f t="shared" si="2418"/>
        <v>Velodrome</v>
      </c>
    </row>
    <row r="2262" spans="1:73" x14ac:dyDescent="0.2">
      <c r="A2262">
        <f t="shared" si="2404"/>
        <v>1</v>
      </c>
      <c r="J2262" s="44" t="str">
        <f t="shared" si="2419"/>
        <v/>
      </c>
      <c r="K2262" t="s">
        <v>9</v>
      </c>
      <c r="L2262" t="s">
        <v>173</v>
      </c>
      <c r="M2262" t="s">
        <v>354</v>
      </c>
      <c r="S2262">
        <v>1202</v>
      </c>
      <c r="W2262" t="str">
        <f t="shared" si="2395"/>
        <v>a</v>
      </c>
      <c r="X2262">
        <v>93</v>
      </c>
      <c r="Y2262" t="e">
        <f>IF(X2262&lt;&gt;"",VLOOKUP(X2262,game_rosters!$C$43:$E$64,3,FALSE))</f>
        <v>#N/A</v>
      </c>
      <c r="Z2262" cm="1">
        <f t="array" ref="Z2262">IFERROR(IF(_xlfn._xlws.FILTER(game_rosters!$J:$J,(game_rosters!$G:$G=events!$AN2262)*(game_rosters!$J:$J=events!$X2262))&gt;0,1,""),"")</f>
        <v>1</v>
      </c>
      <c r="AA2262">
        <f t="shared" si="2353"/>
        <v>2202</v>
      </c>
      <c r="AB2262" t="str">
        <f t="shared" si="2354"/>
        <v/>
      </c>
      <c r="AC2262">
        <f t="shared" si="2392"/>
        <v>2202</v>
      </c>
      <c r="AD2262" s="6">
        <v>3</v>
      </c>
      <c r="AE2262" t="s">
        <v>940</v>
      </c>
      <c r="AF2262" t="s">
        <v>897</v>
      </c>
      <c r="AG2262" t="s">
        <v>756</v>
      </c>
      <c r="AH2262" t="s">
        <v>756</v>
      </c>
      <c r="AI2262" t="s">
        <v>367</v>
      </c>
      <c r="AJ2262" t="str">
        <f t="shared" ref="AJ2262:AK2262" si="2436">IF($J2262&lt;&gt;"",$J2262,IF($AC2262=$AC2261,AJ2261,""))</f>
        <v/>
      </c>
      <c r="AK2262" t="str">
        <f t="shared" si="2436"/>
        <v/>
      </c>
      <c r="AL2262" t="str">
        <f t="shared" si="2397"/>
        <v/>
      </c>
      <c r="AN2262" t="s">
        <v>862</v>
      </c>
      <c r="AO2262" t="str">
        <f t="shared" si="2398"/>
        <v>a</v>
      </c>
      <c r="AP2262" t="str">
        <f t="shared" si="2406"/>
        <v/>
      </c>
      <c r="AQ2262" t="str">
        <f t="shared" si="2407"/>
        <v/>
      </c>
      <c r="AR2262" t="str">
        <f t="shared" si="2408"/>
        <v>Away</v>
      </c>
      <c r="AS2262" t="str">
        <f t="shared" si="2409"/>
        <v>a</v>
      </c>
      <c r="AT2262" t="str">
        <f t="shared" si="2410"/>
        <v>Offensive</v>
      </c>
      <c r="BA2262" s="6">
        <f t="shared" si="2399"/>
        <v>514</v>
      </c>
      <c r="BB2262">
        <f t="shared" si="2400"/>
        <v>18981</v>
      </c>
      <c r="BC2262" t="str">
        <f t="shared" si="2401"/>
        <v>Nelson</v>
      </c>
      <c r="BD2262" t="str">
        <f t="shared" si="2402"/>
        <v>Velodrome</v>
      </c>
      <c r="BE2262" t="s">
        <v>9</v>
      </c>
      <c r="BF2262" t="s">
        <v>173</v>
      </c>
      <c r="BG2262" t="s">
        <v>354</v>
      </c>
      <c r="BI2262" cm="1">
        <f t="array" ref="BI2262">IFERROR(_xlfn._xlws.FILTER(shifts!A:A,(shifts!B:B=events!AD2262)*(shifts!AG:AG&gt;=events!BK2262)*(shifts!AH:AH&lt;=events!BL2262)),BI2261)</f>
        <v>99</v>
      </c>
      <c r="BJ2262" s="15">
        <f t="shared" si="2403"/>
        <v>0</v>
      </c>
      <c r="BK2262">
        <f t="shared" si="2411"/>
        <v>232</v>
      </c>
      <c r="BL2262">
        <f t="shared" si="2412"/>
        <v>232</v>
      </c>
      <c r="BM2262" s="15">
        <f>SUMIFS(BJ$2:BJ2262,K$2:K2262,"=Intermission")+SUMIFS(BJ$2:BJ2262,K$2:K2262,"=Timeout")</f>
        <v>142</v>
      </c>
      <c r="BN2262">
        <f t="shared" si="2413"/>
        <v>2302</v>
      </c>
      <c r="BO2262" s="19">
        <f t="shared" si="2414"/>
        <v>3150</v>
      </c>
      <c r="BP2262">
        <f t="shared" si="2415"/>
        <v>3145</v>
      </c>
      <c r="BQ2262" s="17">
        <f t="shared" si="2416"/>
        <v>3150</v>
      </c>
      <c r="BR2262" t="str">
        <f t="shared" si="2417"/>
        <v>event_team_player_1</v>
      </c>
      <c r="BS2262">
        <f>COUNTIFS(S$3:S2262,"="&amp;S2262,AI$3:AI2262,"="&amp;AI2262)</f>
        <v>1</v>
      </c>
      <c r="BT2262" t="str">
        <f>IFERROR(VLOOKUP(BB2262&amp;BU2262&amp;X2262,game_rosters!U:W,3,FALSE),"")</f>
        <v>P100093</v>
      </c>
      <c r="BU2262" t="str">
        <f t="shared" si="2418"/>
        <v>Velodrome</v>
      </c>
    </row>
    <row r="2263" spans="1:73" x14ac:dyDescent="0.2">
      <c r="A2263">
        <f t="shared" si="2404"/>
        <v>1</v>
      </c>
      <c r="J2263" s="44" t="str">
        <f t="shared" si="2419"/>
        <v/>
      </c>
      <c r="K2263" t="s">
        <v>13</v>
      </c>
      <c r="L2263" t="s">
        <v>756</v>
      </c>
      <c r="M2263" t="s">
        <v>756</v>
      </c>
      <c r="S2263">
        <v>1203</v>
      </c>
      <c r="W2263" t="str">
        <f t="shared" si="2395"/>
        <v>h</v>
      </c>
      <c r="X2263">
        <v>37</v>
      </c>
      <c r="Y2263" t="b">
        <f>IF(X2263&lt;&gt;"",VLOOKUP(X2263,game_rosters!$C$43:$E$64,3,FALSE))</f>
        <v>0</v>
      </c>
      <c r="Z2263" cm="1">
        <f t="array" ref="Z2263">IFERROR(IF(_xlfn._xlws.FILTER(game_rosters!$J:$J,(game_rosters!$G:$G=events!$AN2263)*(game_rosters!$J:$J=events!$X2263))&gt;0,1,""),"")</f>
        <v>1</v>
      </c>
      <c r="AA2263">
        <f t="shared" si="2353"/>
        <v>2203</v>
      </c>
      <c r="AB2263" t="str">
        <f t="shared" si="2354"/>
        <v/>
      </c>
      <c r="AC2263">
        <f t="shared" si="2392"/>
        <v>2203</v>
      </c>
      <c r="AD2263" s="6">
        <v>3</v>
      </c>
      <c r="AE2263" t="s">
        <v>940</v>
      </c>
      <c r="AF2263" t="s">
        <v>737</v>
      </c>
      <c r="AG2263" t="s">
        <v>940</v>
      </c>
      <c r="AH2263" t="s">
        <v>902</v>
      </c>
      <c r="AI2263" t="s">
        <v>367</v>
      </c>
      <c r="AJ2263" t="str">
        <f t="shared" ref="AJ2263:AK2263" si="2437">IF($J2263&lt;&gt;"",$J2263,IF($AC2263=$AC2262,AJ2262,""))</f>
        <v/>
      </c>
      <c r="AK2263" t="str">
        <f t="shared" si="2437"/>
        <v/>
      </c>
      <c r="AL2263" t="str">
        <f t="shared" si="2397"/>
        <v/>
      </c>
      <c r="AN2263" t="s">
        <v>861</v>
      </c>
      <c r="AO2263" t="str">
        <f t="shared" si="2398"/>
        <v>h</v>
      </c>
      <c r="AP2263" t="str">
        <f t="shared" si="2406"/>
        <v/>
      </c>
      <c r="AQ2263" t="str">
        <f t="shared" si="2407"/>
        <v/>
      </c>
      <c r="AR2263" t="str">
        <f t="shared" si="2408"/>
        <v>Home</v>
      </c>
      <c r="AS2263" t="str">
        <f t="shared" si="2409"/>
        <v>h</v>
      </c>
      <c r="AT2263" t="str">
        <f t="shared" si="2410"/>
        <v>Offensive</v>
      </c>
      <c r="BA2263" s="6">
        <f t="shared" si="2399"/>
        <v>514</v>
      </c>
      <c r="BB2263">
        <f t="shared" si="2400"/>
        <v>18981</v>
      </c>
      <c r="BC2263" t="str">
        <f t="shared" si="2401"/>
        <v>Nelson</v>
      </c>
      <c r="BD2263" t="str">
        <f t="shared" si="2402"/>
        <v>Velodrome</v>
      </c>
      <c r="BE2263" t="s">
        <v>13</v>
      </c>
      <c r="BF2263" t="s">
        <v>756</v>
      </c>
      <c r="BG2263" t="s">
        <v>756</v>
      </c>
      <c r="BI2263" cm="1">
        <f t="array" ref="BI2263">IFERROR(_xlfn._xlws.FILTER(shifts!A:A,(shifts!B:B=events!AD2263)*(shifts!AG:AG&gt;=events!BK2263)*(shifts!AH:AH&lt;=events!BL2263)),BI2262)</f>
        <v>99</v>
      </c>
      <c r="BJ2263" s="15">
        <f t="shared" si="2403"/>
        <v>4</v>
      </c>
      <c r="BK2263">
        <f t="shared" si="2411"/>
        <v>226</v>
      </c>
      <c r="BL2263">
        <f t="shared" si="2412"/>
        <v>222</v>
      </c>
      <c r="BM2263" s="15">
        <f>SUMIFS(BJ$2:BJ2263,K$2:K2263,"=Intermission")+SUMIFS(BJ$2:BJ2263,K$2:K2263,"=Timeout")</f>
        <v>142</v>
      </c>
      <c r="BN2263">
        <f t="shared" si="2413"/>
        <v>2302</v>
      </c>
      <c r="BO2263" s="19">
        <f t="shared" si="2414"/>
        <v>3156</v>
      </c>
      <c r="BP2263">
        <f t="shared" si="2415"/>
        <v>3151</v>
      </c>
      <c r="BQ2263" s="17">
        <f t="shared" si="2416"/>
        <v>3160</v>
      </c>
      <c r="BR2263" t="str">
        <f t="shared" si="2417"/>
        <v>event_team_player_1</v>
      </c>
      <c r="BS2263">
        <f>COUNTIFS(S$3:S2263,"="&amp;S2263,AI$3:AI2263,"="&amp;AI2263)</f>
        <v>1</v>
      </c>
      <c r="BT2263" t="str">
        <f>IFERROR(VLOOKUP(BB2263&amp;BU2263&amp;X2263,game_rosters!U:W,3,FALSE),"")</f>
        <v>P100119</v>
      </c>
      <c r="BU2263" t="str">
        <f t="shared" si="2418"/>
        <v>Nelson</v>
      </c>
    </row>
    <row r="2264" spans="1:73" x14ac:dyDescent="0.2">
      <c r="A2264">
        <f t="shared" si="2404"/>
        <v>1</v>
      </c>
      <c r="J2264" s="44" t="str">
        <f t="shared" si="2419"/>
        <v/>
      </c>
      <c r="K2264" t="s">
        <v>7</v>
      </c>
      <c r="L2264" t="s">
        <v>182</v>
      </c>
      <c r="M2264" t="s">
        <v>445</v>
      </c>
      <c r="S2264">
        <v>1204</v>
      </c>
      <c r="W2264" t="str">
        <f t="shared" si="2395"/>
        <v>h</v>
      </c>
      <c r="X2264">
        <v>37</v>
      </c>
      <c r="Y2264" t="b">
        <f>IF(X2264&lt;&gt;"",VLOOKUP(X2264,game_rosters!$C$43:$E$64,3,FALSE))</f>
        <v>0</v>
      </c>
      <c r="Z2264" cm="1">
        <f t="array" ref="Z2264">IFERROR(IF(_xlfn._xlws.FILTER(game_rosters!$J:$J,(game_rosters!$G:$G=events!$AN2264)*(game_rosters!$J:$J=events!$X2264))&gt;0,1,""),"")</f>
        <v>1</v>
      </c>
      <c r="AA2264">
        <f t="shared" si="2353"/>
        <v>2204</v>
      </c>
      <c r="AB2264" t="str">
        <f t="shared" si="2354"/>
        <v/>
      </c>
      <c r="AC2264">
        <f t="shared" si="2392"/>
        <v>2204</v>
      </c>
      <c r="AD2264" s="6">
        <v>3</v>
      </c>
      <c r="AE2264" t="s">
        <v>940</v>
      </c>
      <c r="AF2264" t="s">
        <v>902</v>
      </c>
      <c r="AG2264" t="s">
        <v>756</v>
      </c>
      <c r="AH2264" t="s">
        <v>756</v>
      </c>
      <c r="AI2264" t="s">
        <v>367</v>
      </c>
      <c r="AJ2264" t="str">
        <f t="shared" ref="AJ2264:AK2264" si="2438">IF($J2264&lt;&gt;"",$J2264,IF($AC2264=$AC2263,AJ2263,""))</f>
        <v/>
      </c>
      <c r="AK2264" t="str">
        <f t="shared" si="2438"/>
        <v/>
      </c>
      <c r="AL2264" t="str">
        <f t="shared" si="2397"/>
        <v/>
      </c>
      <c r="AN2264" t="s">
        <v>861</v>
      </c>
      <c r="AO2264" t="str">
        <f t="shared" si="2398"/>
        <v>h</v>
      </c>
      <c r="AP2264" t="str">
        <f t="shared" si="2406"/>
        <v/>
      </c>
      <c r="AQ2264" t="str">
        <f t="shared" si="2407"/>
        <v/>
      </c>
      <c r="AR2264" t="str">
        <f t="shared" si="2408"/>
        <v>Home</v>
      </c>
      <c r="AS2264" t="str">
        <f t="shared" si="2409"/>
        <v>h</v>
      </c>
      <c r="AT2264" t="str">
        <f t="shared" si="2410"/>
        <v>Offensive</v>
      </c>
      <c r="BA2264" s="6">
        <f t="shared" si="2399"/>
        <v>514</v>
      </c>
      <c r="BB2264">
        <f t="shared" si="2400"/>
        <v>18981</v>
      </c>
      <c r="BC2264" t="str">
        <f t="shared" si="2401"/>
        <v>Nelson</v>
      </c>
      <c r="BD2264" t="str">
        <f t="shared" si="2402"/>
        <v>Velodrome</v>
      </c>
      <c r="BE2264" t="s">
        <v>7</v>
      </c>
      <c r="BF2264" t="s">
        <v>182</v>
      </c>
      <c r="BG2264" t="s">
        <v>445</v>
      </c>
      <c r="BI2264" cm="1">
        <f t="array" ref="BI2264">IFERROR(_xlfn._xlws.FILTER(shifts!A:A,(shifts!B:B=events!AD2264)*(shifts!AG:AG&gt;=events!BK2264)*(shifts!AH:AH&lt;=events!BL2264)),BI2263)</f>
        <v>100</v>
      </c>
      <c r="BJ2264" s="15">
        <f t="shared" si="2403"/>
        <v>0</v>
      </c>
      <c r="BK2264">
        <f t="shared" si="2411"/>
        <v>222</v>
      </c>
      <c r="BL2264">
        <f t="shared" si="2412"/>
        <v>222</v>
      </c>
      <c r="BM2264" s="15">
        <f>SUMIFS(BJ$2:BJ2264,K$2:K2264,"=Intermission")+SUMIFS(BJ$2:BJ2264,K$2:K2264,"=Timeout")</f>
        <v>142</v>
      </c>
      <c r="BN2264">
        <f t="shared" si="2413"/>
        <v>2302</v>
      </c>
      <c r="BO2264" s="19">
        <f t="shared" si="2414"/>
        <v>3160</v>
      </c>
      <c r="BP2264">
        <f t="shared" si="2415"/>
        <v>3155</v>
      </c>
      <c r="BQ2264" s="17">
        <f t="shared" si="2416"/>
        <v>3160</v>
      </c>
      <c r="BR2264" t="str">
        <f t="shared" si="2417"/>
        <v>event_team_player_1</v>
      </c>
      <c r="BS2264">
        <f>COUNTIFS(S$3:S2264,"="&amp;S2264,AI$3:AI2264,"="&amp;AI2264)</f>
        <v>1</v>
      </c>
      <c r="BT2264" t="str">
        <f>IFERROR(VLOOKUP(BB2264&amp;BU2264&amp;X2264,game_rosters!U:W,3,FALSE),"")</f>
        <v>P100119</v>
      </c>
      <c r="BU2264" t="str">
        <f t="shared" si="2418"/>
        <v>Nelson</v>
      </c>
    </row>
    <row r="2265" spans="1:73" x14ac:dyDescent="0.2">
      <c r="A2265">
        <f t="shared" si="2404"/>
        <v>1</v>
      </c>
      <c r="J2265" s="44" t="str">
        <f t="shared" si="2419"/>
        <v/>
      </c>
      <c r="K2265" t="s">
        <v>7</v>
      </c>
      <c r="L2265" t="s">
        <v>182</v>
      </c>
      <c r="M2265" t="s">
        <v>445</v>
      </c>
      <c r="S2265">
        <v>1204</v>
      </c>
      <c r="W2265" t="str">
        <f t="shared" si="2395"/>
        <v>h</v>
      </c>
      <c r="X2265">
        <v>44</v>
      </c>
      <c r="Y2265" t="b">
        <f>IF(X2265&lt;&gt;"",VLOOKUP(X2265,game_rosters!$C$43:$E$64,3,FALSE))</f>
        <v>0</v>
      </c>
      <c r="Z2265" cm="1">
        <f t="array" ref="Z2265">IFERROR(IF(_xlfn._xlws.FILTER(game_rosters!$J:$J,(game_rosters!$G:$G=events!$AN2265)*(game_rosters!$J:$J=events!$X2265))&gt;0,1,""),"")</f>
        <v>1</v>
      </c>
      <c r="AA2265">
        <f t="shared" si="2353"/>
        <v>2204</v>
      </c>
      <c r="AB2265" t="str">
        <f t="shared" si="2354"/>
        <v/>
      </c>
      <c r="AC2265">
        <f t="shared" si="2392"/>
        <v>2204</v>
      </c>
      <c r="AD2265" s="6">
        <v>3</v>
      </c>
      <c r="AE2265" t="s">
        <v>940</v>
      </c>
      <c r="AF2265" t="s">
        <v>902</v>
      </c>
      <c r="AG2265" t="s">
        <v>756</v>
      </c>
      <c r="AH2265" t="s">
        <v>756</v>
      </c>
      <c r="AI2265" t="s">
        <v>367</v>
      </c>
      <c r="AJ2265" t="str">
        <f t="shared" ref="AJ2265:AK2265" si="2439">IF($J2265&lt;&gt;"",$J2265,IF($AC2265=$AC2264,AJ2264,""))</f>
        <v/>
      </c>
      <c r="AK2265" t="str">
        <f t="shared" si="2439"/>
        <v/>
      </c>
      <c r="AL2265" t="str">
        <f t="shared" si="2397"/>
        <v/>
      </c>
      <c r="AN2265" t="s">
        <v>861</v>
      </c>
      <c r="AO2265" t="str">
        <f t="shared" si="2398"/>
        <v>h</v>
      </c>
      <c r="AP2265" t="str">
        <f t="shared" si="2406"/>
        <v/>
      </c>
      <c r="AQ2265" t="str">
        <f t="shared" si="2407"/>
        <v/>
      </c>
      <c r="AR2265" t="str">
        <f t="shared" si="2408"/>
        <v>Home</v>
      </c>
      <c r="AS2265" t="str">
        <f t="shared" si="2409"/>
        <v>h</v>
      </c>
      <c r="AT2265" t="str">
        <f t="shared" si="2410"/>
        <v>Offensive</v>
      </c>
      <c r="BA2265" s="6">
        <f t="shared" si="2399"/>
        <v>514</v>
      </c>
      <c r="BB2265">
        <f t="shared" si="2400"/>
        <v>18981</v>
      </c>
      <c r="BC2265" t="str">
        <f t="shared" si="2401"/>
        <v>Nelson</v>
      </c>
      <c r="BD2265" t="str">
        <f t="shared" si="2402"/>
        <v>Velodrome</v>
      </c>
      <c r="BE2265" t="s">
        <v>7</v>
      </c>
      <c r="BF2265" t="s">
        <v>182</v>
      </c>
      <c r="BG2265" t="s">
        <v>445</v>
      </c>
      <c r="BI2265" cm="1">
        <f t="array" ref="BI2265">IFERROR(_xlfn._xlws.FILTER(shifts!A:A,(shifts!B:B=events!AD2265)*(shifts!AG:AG&gt;=events!BK2265)*(shifts!AH:AH&lt;=events!BL2265)),BI2264)</f>
        <v>100</v>
      </c>
      <c r="BJ2265" s="15">
        <f t="shared" si="2403"/>
        <v>0</v>
      </c>
      <c r="BK2265">
        <f t="shared" si="2411"/>
        <v>222</v>
      </c>
      <c r="BL2265">
        <f t="shared" si="2412"/>
        <v>222</v>
      </c>
      <c r="BM2265" s="15">
        <f>SUMIFS(BJ$2:BJ2265,K$2:K2265,"=Intermission")+SUMIFS(BJ$2:BJ2265,K$2:K2265,"=Timeout")</f>
        <v>142</v>
      </c>
      <c r="BN2265">
        <f t="shared" si="2413"/>
        <v>2302</v>
      </c>
      <c r="BO2265" s="19">
        <f t="shared" si="2414"/>
        <v>3160</v>
      </c>
      <c r="BP2265">
        <f t="shared" si="2415"/>
        <v>3155</v>
      </c>
      <c r="BQ2265" s="17">
        <f t="shared" si="2416"/>
        <v>3160</v>
      </c>
      <c r="BR2265" t="str">
        <f t="shared" si="2417"/>
        <v>event_team_player_2</v>
      </c>
      <c r="BS2265">
        <f>COUNTIFS(S$3:S2265,"="&amp;S2265,AI$3:AI2265,"="&amp;AI2265)</f>
        <v>2</v>
      </c>
      <c r="BT2265" t="str">
        <f>IFERROR(VLOOKUP(BB2265&amp;BU2265&amp;X2265,game_rosters!U:W,3,FALSE),"")</f>
        <v>P100079</v>
      </c>
      <c r="BU2265" t="str">
        <f t="shared" si="2418"/>
        <v>Nelson</v>
      </c>
    </row>
    <row r="2266" spans="1:73" x14ac:dyDescent="0.2">
      <c r="A2266">
        <f t="shared" si="2404"/>
        <v>1</v>
      </c>
      <c r="J2266" s="44" t="str">
        <f t="shared" si="2419"/>
        <v>d</v>
      </c>
      <c r="K2266" t="s">
        <v>238</v>
      </c>
      <c r="L2266" t="s">
        <v>184</v>
      </c>
      <c r="M2266" t="s">
        <v>376</v>
      </c>
      <c r="S2266">
        <v>1205</v>
      </c>
      <c r="W2266" t="str">
        <f t="shared" si="2395"/>
        <v>h</v>
      </c>
      <c r="X2266">
        <v>37</v>
      </c>
      <c r="Y2266" t="b">
        <f>IF(X2266&lt;&gt;"",VLOOKUP(X2266,game_rosters!$C$43:$E$64,3,FALSE))</f>
        <v>0</v>
      </c>
      <c r="Z2266" cm="1">
        <f t="array" ref="Z2266">IFERROR(IF(_xlfn._xlws.FILTER(game_rosters!$J:$J,(game_rosters!$G:$G=events!$AN2266)*(game_rosters!$J:$J=events!$X2266))&gt;0,1,""),"")</f>
        <v>1</v>
      </c>
      <c r="AA2266">
        <f t="shared" si="2353"/>
        <v>2205</v>
      </c>
      <c r="AB2266" t="str">
        <f t="shared" si="2354"/>
        <v/>
      </c>
      <c r="AC2266">
        <f t="shared" si="2392"/>
        <v>2205</v>
      </c>
      <c r="AD2266" s="6">
        <v>3</v>
      </c>
      <c r="AE2266" t="s">
        <v>940</v>
      </c>
      <c r="AF2266" t="s">
        <v>902</v>
      </c>
      <c r="AG2266" t="s">
        <v>756</v>
      </c>
      <c r="AH2266" t="s">
        <v>756</v>
      </c>
      <c r="AI2266" t="s">
        <v>367</v>
      </c>
      <c r="AJ2266" t="str">
        <f t="shared" ref="AJ2266:AK2266" si="2440">IF($J2266&lt;&gt;"",$J2266,IF($AC2266=$AC2265,AJ2265,""))</f>
        <v>d</v>
      </c>
      <c r="AK2266" t="str">
        <f t="shared" si="2440"/>
        <v>d</v>
      </c>
      <c r="AL2266" t="str">
        <f t="shared" si="2397"/>
        <v>d</v>
      </c>
      <c r="AN2266" t="s">
        <v>861</v>
      </c>
      <c r="AO2266" t="str">
        <f t="shared" si="2398"/>
        <v>h</v>
      </c>
      <c r="AP2266" t="str">
        <f t="shared" si="2406"/>
        <v>d</v>
      </c>
      <c r="AQ2266" t="str">
        <f t="shared" si="2407"/>
        <v/>
      </c>
      <c r="AR2266" t="str">
        <f t="shared" si="2408"/>
        <v>Home</v>
      </c>
      <c r="AS2266" t="str">
        <f t="shared" si="2409"/>
        <v>h</v>
      </c>
      <c r="AT2266" t="str">
        <f t="shared" si="2410"/>
        <v>Offensive</v>
      </c>
      <c r="BA2266" s="6">
        <f t="shared" si="2399"/>
        <v>515</v>
      </c>
      <c r="BB2266">
        <f t="shared" si="2400"/>
        <v>18981</v>
      </c>
      <c r="BC2266" t="str">
        <f t="shared" si="2401"/>
        <v>Nelson</v>
      </c>
      <c r="BD2266" t="str">
        <f t="shared" si="2402"/>
        <v>Velodrome</v>
      </c>
      <c r="BE2266" t="s">
        <v>238</v>
      </c>
      <c r="BF2266" t="s">
        <v>184</v>
      </c>
      <c r="BG2266" t="s">
        <v>376</v>
      </c>
      <c r="BI2266" cm="1">
        <f t="array" ref="BI2266">IFERROR(_xlfn._xlws.FILTER(shifts!A:A,(shifts!B:B=events!AD2266)*(shifts!AG:AG&gt;=events!BK2266)*(shifts!AH:AH&lt;=events!BL2266)),BI2265)</f>
        <v>100</v>
      </c>
      <c r="BJ2266" s="15">
        <f t="shared" si="2403"/>
        <v>0</v>
      </c>
      <c r="BK2266">
        <f t="shared" si="2411"/>
        <v>222</v>
      </c>
      <c r="BL2266">
        <f t="shared" si="2412"/>
        <v>222</v>
      </c>
      <c r="BM2266" s="15">
        <f>SUMIFS(BJ$2:BJ2266,K$2:K2266,"=Intermission")+SUMIFS(BJ$2:BJ2266,K$2:K2266,"=Timeout")</f>
        <v>142</v>
      </c>
      <c r="BN2266">
        <f t="shared" si="2413"/>
        <v>2302</v>
      </c>
      <c r="BO2266" s="19">
        <f t="shared" si="2414"/>
        <v>3160</v>
      </c>
      <c r="BP2266">
        <f t="shared" si="2415"/>
        <v>3155</v>
      </c>
      <c r="BQ2266" s="17">
        <f t="shared" si="2416"/>
        <v>3160</v>
      </c>
      <c r="BR2266" t="str">
        <f t="shared" si="2417"/>
        <v>event_team_player_1</v>
      </c>
      <c r="BS2266">
        <f>COUNTIFS(S$3:S2266,"="&amp;S2266,AI$3:AI2266,"="&amp;AI2266)</f>
        <v>1</v>
      </c>
      <c r="BT2266" t="str">
        <f>IFERROR(VLOOKUP(BB2266&amp;BU2266&amp;X2266,game_rosters!U:W,3,FALSE),"")</f>
        <v>P100119</v>
      </c>
      <c r="BU2266" t="str">
        <f t="shared" si="2418"/>
        <v>Nelson</v>
      </c>
    </row>
    <row r="2267" spans="1:73" x14ac:dyDescent="0.2">
      <c r="A2267">
        <f t="shared" si="2404"/>
        <v>1</v>
      </c>
      <c r="J2267" s="44" t="str">
        <f t="shared" si="2419"/>
        <v>d</v>
      </c>
      <c r="K2267" t="s">
        <v>238</v>
      </c>
      <c r="L2267" t="s">
        <v>184</v>
      </c>
      <c r="M2267" t="s">
        <v>376</v>
      </c>
      <c r="S2267">
        <v>1205</v>
      </c>
      <c r="W2267" t="str">
        <f t="shared" si="2395"/>
        <v>h</v>
      </c>
      <c r="X2267">
        <v>44</v>
      </c>
      <c r="Y2267" t="b">
        <f>IF(X2267&lt;&gt;"",VLOOKUP(X2267,game_rosters!$C$43:$E$64,3,FALSE))</f>
        <v>0</v>
      </c>
      <c r="Z2267" cm="1">
        <f t="array" ref="Z2267">IFERROR(IF(_xlfn._xlws.FILTER(game_rosters!$J:$J,(game_rosters!$G:$G=events!$AN2267)*(game_rosters!$J:$J=events!$X2267))&gt;0,1,""),"")</f>
        <v>1</v>
      </c>
      <c r="AA2267">
        <f t="shared" si="2353"/>
        <v>2205</v>
      </c>
      <c r="AB2267" t="str">
        <f t="shared" si="2354"/>
        <v/>
      </c>
      <c r="AC2267">
        <f t="shared" si="2392"/>
        <v>2205</v>
      </c>
      <c r="AD2267" s="6">
        <v>3</v>
      </c>
      <c r="AE2267" t="s">
        <v>940</v>
      </c>
      <c r="AF2267" t="s">
        <v>902</v>
      </c>
      <c r="AG2267" t="s">
        <v>756</v>
      </c>
      <c r="AH2267" t="s">
        <v>756</v>
      </c>
      <c r="AI2267" t="s">
        <v>367</v>
      </c>
      <c r="AJ2267" t="str">
        <f t="shared" ref="AJ2267:AK2267" si="2441">IF($J2267&lt;&gt;"",$J2267,IF($AC2267=$AC2266,AJ2266,""))</f>
        <v>d</v>
      </c>
      <c r="AK2267" t="str">
        <f t="shared" si="2441"/>
        <v>d</v>
      </c>
      <c r="AL2267" t="str">
        <f t="shared" si="2397"/>
        <v>d</v>
      </c>
      <c r="AN2267" t="s">
        <v>861</v>
      </c>
      <c r="AO2267" t="str">
        <f t="shared" si="2398"/>
        <v>h</v>
      </c>
      <c r="AP2267" t="str">
        <f t="shared" si="2406"/>
        <v>d</v>
      </c>
      <c r="AQ2267" t="str">
        <f t="shared" si="2407"/>
        <v/>
      </c>
      <c r="AR2267" t="str">
        <f t="shared" si="2408"/>
        <v>Home</v>
      </c>
      <c r="AS2267" t="str">
        <f t="shared" si="2409"/>
        <v>h</v>
      </c>
      <c r="AT2267" t="str">
        <f t="shared" si="2410"/>
        <v>Offensive</v>
      </c>
      <c r="BA2267" s="6">
        <f t="shared" si="2399"/>
        <v>516</v>
      </c>
      <c r="BB2267">
        <f t="shared" si="2400"/>
        <v>18981</v>
      </c>
      <c r="BC2267" t="str">
        <f t="shared" si="2401"/>
        <v>Nelson</v>
      </c>
      <c r="BD2267" t="str">
        <f t="shared" si="2402"/>
        <v>Velodrome</v>
      </c>
      <c r="BE2267" t="s">
        <v>238</v>
      </c>
      <c r="BF2267" t="s">
        <v>184</v>
      </c>
      <c r="BG2267" t="s">
        <v>376</v>
      </c>
      <c r="BI2267" cm="1">
        <f t="array" ref="BI2267">IFERROR(_xlfn._xlws.FILTER(shifts!A:A,(shifts!B:B=events!AD2267)*(shifts!AG:AG&gt;=events!BK2267)*(shifts!AH:AH&lt;=events!BL2267)),BI2266)</f>
        <v>100</v>
      </c>
      <c r="BJ2267" s="15">
        <f t="shared" si="2403"/>
        <v>0</v>
      </c>
      <c r="BK2267">
        <f t="shared" si="2411"/>
        <v>222</v>
      </c>
      <c r="BL2267">
        <f t="shared" si="2412"/>
        <v>222</v>
      </c>
      <c r="BM2267" s="15">
        <f>SUMIFS(BJ$2:BJ2267,K$2:K2267,"=Intermission")+SUMIFS(BJ$2:BJ2267,K$2:K2267,"=Timeout")</f>
        <v>142</v>
      </c>
      <c r="BN2267">
        <f t="shared" si="2413"/>
        <v>2302</v>
      </c>
      <c r="BO2267" s="19">
        <f t="shared" si="2414"/>
        <v>3160</v>
      </c>
      <c r="BP2267">
        <f t="shared" si="2415"/>
        <v>3155</v>
      </c>
      <c r="BQ2267" s="17">
        <f t="shared" si="2416"/>
        <v>3160</v>
      </c>
      <c r="BR2267" t="str">
        <f t="shared" si="2417"/>
        <v>event_team_player_2</v>
      </c>
      <c r="BS2267">
        <f>COUNTIFS(S$3:S2267,"="&amp;S2267,AI$3:AI2267,"="&amp;AI2267)</f>
        <v>2</v>
      </c>
      <c r="BT2267" t="str">
        <f>IFERROR(VLOOKUP(BB2267&amp;BU2267&amp;X2267,game_rosters!U:W,3,FALSE),"")</f>
        <v>P100079</v>
      </c>
      <c r="BU2267" t="str">
        <f t="shared" si="2418"/>
        <v>Nelson</v>
      </c>
    </row>
    <row r="2268" spans="1:73" x14ac:dyDescent="0.2">
      <c r="A2268">
        <f t="shared" si="2404"/>
        <v>1</v>
      </c>
      <c r="J2268" s="44" t="str">
        <f t="shared" si="2419"/>
        <v/>
      </c>
      <c r="K2268" t="s">
        <v>13</v>
      </c>
      <c r="L2268" t="s">
        <v>756</v>
      </c>
      <c r="M2268" t="s">
        <v>756</v>
      </c>
      <c r="S2268">
        <v>1206</v>
      </c>
      <c r="W2268" t="str">
        <f t="shared" si="2395"/>
        <v>h</v>
      </c>
      <c r="X2268">
        <v>44</v>
      </c>
      <c r="Y2268" t="b">
        <f>IF(X2268&lt;&gt;"",VLOOKUP(X2268,game_rosters!$C$43:$E$64,3,FALSE))</f>
        <v>0</v>
      </c>
      <c r="Z2268" cm="1">
        <f t="array" ref="Z2268">IFERROR(IF(_xlfn._xlws.FILTER(game_rosters!$J:$J,(game_rosters!$G:$G=events!$AN2268)*(game_rosters!$J:$J=events!$X2268))&gt;0,1,""),"")</f>
        <v>1</v>
      </c>
      <c r="AA2268">
        <f t="shared" si="2353"/>
        <v>2206</v>
      </c>
      <c r="AB2268" t="str">
        <f t="shared" si="2354"/>
        <v/>
      </c>
      <c r="AC2268">
        <f t="shared" si="2392"/>
        <v>2206</v>
      </c>
      <c r="AD2268" s="6">
        <v>3</v>
      </c>
      <c r="AE2268" t="s">
        <v>940</v>
      </c>
      <c r="AF2268" t="s">
        <v>903</v>
      </c>
      <c r="AG2268" t="s">
        <v>940</v>
      </c>
      <c r="AH2268" t="s">
        <v>749</v>
      </c>
      <c r="AI2268" t="s">
        <v>367</v>
      </c>
      <c r="AJ2268" t="str">
        <f t="shared" ref="AJ2268:AK2268" si="2442">IF($J2268&lt;&gt;"",$J2268,IF($AC2268=$AC2267,AJ2267,""))</f>
        <v/>
      </c>
      <c r="AK2268" t="str">
        <f t="shared" si="2442"/>
        <v/>
      </c>
      <c r="AL2268" t="str">
        <f t="shared" si="2397"/>
        <v/>
      </c>
      <c r="AN2268" t="s">
        <v>861</v>
      </c>
      <c r="AO2268" t="str">
        <f t="shared" si="2398"/>
        <v>h</v>
      </c>
      <c r="AP2268" t="str">
        <f t="shared" si="2406"/>
        <v/>
      </c>
      <c r="AQ2268" t="str">
        <f t="shared" si="2407"/>
        <v/>
      </c>
      <c r="AR2268" t="str">
        <f t="shared" si="2408"/>
        <v>Home</v>
      </c>
      <c r="AS2268" t="str">
        <f t="shared" si="2409"/>
        <v>h</v>
      </c>
      <c r="AT2268" t="str">
        <f t="shared" si="2410"/>
        <v>Offensive</v>
      </c>
      <c r="BA2268" s="6">
        <f t="shared" si="2399"/>
        <v>516</v>
      </c>
      <c r="BB2268">
        <f t="shared" si="2400"/>
        <v>18981</v>
      </c>
      <c r="BC2268" t="str">
        <f t="shared" si="2401"/>
        <v>Nelson</v>
      </c>
      <c r="BD2268" t="str">
        <f t="shared" si="2402"/>
        <v>Velodrome</v>
      </c>
      <c r="BE2268" t="s">
        <v>13</v>
      </c>
      <c r="BF2268" t="s">
        <v>756</v>
      </c>
      <c r="BG2268" t="s">
        <v>756</v>
      </c>
      <c r="BI2268" cm="1">
        <f t="array" ref="BI2268">IFERROR(_xlfn._xlws.FILTER(shifts!A:A,(shifts!B:B=events!AD2268)*(shifts!AG:AG&gt;=events!BK2268)*(shifts!AH:AH&lt;=events!BL2268)),BI2267)</f>
        <v>100</v>
      </c>
      <c r="BJ2268" s="15">
        <f t="shared" si="2403"/>
        <v>1</v>
      </c>
      <c r="BK2268">
        <f t="shared" si="2411"/>
        <v>220</v>
      </c>
      <c r="BL2268">
        <f t="shared" si="2412"/>
        <v>219</v>
      </c>
      <c r="BM2268" s="15">
        <f>SUMIFS(BJ$2:BJ2268,K$2:K2268,"=Intermission")+SUMIFS(BJ$2:BJ2268,K$2:K2268,"=Timeout")</f>
        <v>142</v>
      </c>
      <c r="BN2268">
        <f t="shared" si="2413"/>
        <v>2302</v>
      </c>
      <c r="BO2268" s="19">
        <f t="shared" si="2414"/>
        <v>3162</v>
      </c>
      <c r="BP2268">
        <f t="shared" si="2415"/>
        <v>3157</v>
      </c>
      <c r="BQ2268" s="17">
        <f t="shared" si="2416"/>
        <v>3163</v>
      </c>
      <c r="BR2268" t="str">
        <f t="shared" si="2417"/>
        <v>event_team_player_1</v>
      </c>
      <c r="BS2268">
        <f>COUNTIFS(S$3:S2268,"="&amp;S2268,AI$3:AI2268,"="&amp;AI2268)</f>
        <v>1</v>
      </c>
      <c r="BT2268" t="str">
        <f>IFERROR(VLOOKUP(BB2268&amp;BU2268&amp;X2268,game_rosters!U:W,3,FALSE),"")</f>
        <v>P100079</v>
      </c>
      <c r="BU2268" t="str">
        <f t="shared" si="2418"/>
        <v>Nelson</v>
      </c>
    </row>
    <row r="2269" spans="1:73" x14ac:dyDescent="0.2">
      <c r="A2269">
        <f t="shared" si="2404"/>
        <v>1</v>
      </c>
      <c r="J2269" s="44" t="str">
        <f t="shared" si="2419"/>
        <v>o</v>
      </c>
      <c r="K2269" t="s">
        <v>238</v>
      </c>
      <c r="L2269" t="s">
        <v>174</v>
      </c>
      <c r="M2269" t="s">
        <v>85</v>
      </c>
      <c r="S2269">
        <v>1207</v>
      </c>
      <c r="W2269" t="str">
        <f t="shared" si="2395"/>
        <v>h</v>
      </c>
      <c r="X2269">
        <v>44</v>
      </c>
      <c r="Y2269" t="b">
        <f>IF(X2269&lt;&gt;"",VLOOKUP(X2269,game_rosters!$C$43:$E$64,3,FALSE))</f>
        <v>0</v>
      </c>
      <c r="Z2269" cm="1">
        <f t="array" ref="Z2269">IFERROR(IF(_xlfn._xlws.FILTER(game_rosters!$J:$J,(game_rosters!$G:$G=events!$AN2269)*(game_rosters!$J:$J=events!$X2269))&gt;0,1,""),"")</f>
        <v>1</v>
      </c>
      <c r="AA2269">
        <f t="shared" ref="AA2269:AA2332" si="2443">S2269+1000</f>
        <v>2207</v>
      </c>
      <c r="AB2269" t="str">
        <f t="shared" ref="AB2269:AB2332" si="2444">IF(T2269&lt;&gt;"",9000+T2269,"")</f>
        <v/>
      </c>
      <c r="AC2269">
        <f t="shared" si="2392"/>
        <v>2207</v>
      </c>
      <c r="AD2269" s="6">
        <v>3</v>
      </c>
      <c r="AE2269" t="s">
        <v>940</v>
      </c>
      <c r="AF2269" t="s">
        <v>749</v>
      </c>
      <c r="AG2269" t="s">
        <v>940</v>
      </c>
      <c r="AH2269" t="s">
        <v>928</v>
      </c>
      <c r="AI2269" t="s">
        <v>367</v>
      </c>
      <c r="AJ2269" t="str">
        <f t="shared" ref="AJ2269:AK2269" si="2445">IF($J2269&lt;&gt;"",$J2269,IF($AC2269=$AC2268,AJ2268,""))</f>
        <v>o</v>
      </c>
      <c r="AK2269" t="str">
        <f t="shared" si="2445"/>
        <v>o</v>
      </c>
      <c r="AL2269" t="str">
        <f t="shared" si="2397"/>
        <v>o</v>
      </c>
      <c r="AN2269" t="s">
        <v>861</v>
      </c>
      <c r="AO2269" t="str">
        <f t="shared" si="2398"/>
        <v>h</v>
      </c>
      <c r="AP2269" t="str">
        <f t="shared" si="2406"/>
        <v>o</v>
      </c>
      <c r="AQ2269" t="str">
        <f t="shared" si="2407"/>
        <v/>
      </c>
      <c r="AR2269" t="str">
        <f t="shared" si="2408"/>
        <v>Home</v>
      </c>
      <c r="AS2269" t="str">
        <f t="shared" si="2409"/>
        <v>h</v>
      </c>
      <c r="AT2269" t="str">
        <f t="shared" si="2410"/>
        <v>Offensive</v>
      </c>
      <c r="BA2269" s="6">
        <f t="shared" si="2399"/>
        <v>517</v>
      </c>
      <c r="BB2269">
        <f t="shared" si="2400"/>
        <v>18981</v>
      </c>
      <c r="BC2269" t="str">
        <f t="shared" si="2401"/>
        <v>Nelson</v>
      </c>
      <c r="BD2269" t="str">
        <f t="shared" si="2402"/>
        <v>Velodrome</v>
      </c>
      <c r="BE2269" t="s">
        <v>238</v>
      </c>
      <c r="BF2269" t="s">
        <v>174</v>
      </c>
      <c r="BG2269" t="s">
        <v>85</v>
      </c>
      <c r="BI2269" cm="1">
        <f t="array" ref="BI2269">IFERROR(_xlfn._xlws.FILTER(shifts!A:A,(shifts!B:B=events!AD2269)*(shifts!AG:AG&gt;=events!BK2269)*(shifts!AH:AH&lt;=events!BL2269)),BI2268)</f>
        <v>100</v>
      </c>
      <c r="BJ2269" s="15">
        <f t="shared" si="2403"/>
        <v>2</v>
      </c>
      <c r="BK2269">
        <f t="shared" si="2411"/>
        <v>219</v>
      </c>
      <c r="BL2269">
        <f t="shared" si="2412"/>
        <v>217</v>
      </c>
      <c r="BM2269" s="15">
        <f>SUMIFS(BJ$2:BJ2269,K$2:K2269,"=Intermission")+SUMIFS(BJ$2:BJ2269,K$2:K2269,"=Timeout")</f>
        <v>142</v>
      </c>
      <c r="BN2269">
        <f t="shared" si="2413"/>
        <v>2302</v>
      </c>
      <c r="BO2269" s="19">
        <f t="shared" si="2414"/>
        <v>3163</v>
      </c>
      <c r="BP2269">
        <f t="shared" si="2415"/>
        <v>3158</v>
      </c>
      <c r="BQ2269" s="17">
        <f t="shared" si="2416"/>
        <v>3165</v>
      </c>
      <c r="BR2269" t="str">
        <f t="shared" si="2417"/>
        <v>event_team_player_1</v>
      </c>
      <c r="BS2269">
        <f>COUNTIFS(S$3:S2269,"="&amp;S2269,AI$3:AI2269,"="&amp;AI2269)</f>
        <v>1</v>
      </c>
      <c r="BT2269" t="str">
        <f>IFERROR(VLOOKUP(BB2269&amp;BU2269&amp;X2269,game_rosters!U:W,3,FALSE),"")</f>
        <v>P100079</v>
      </c>
      <c r="BU2269" t="str">
        <f t="shared" si="2418"/>
        <v>Nelson</v>
      </c>
    </row>
    <row r="2270" spans="1:73" x14ac:dyDescent="0.2">
      <c r="A2270">
        <f t="shared" si="2404"/>
        <v>1</v>
      </c>
      <c r="J2270" s="44" t="str">
        <f t="shared" si="2419"/>
        <v>o</v>
      </c>
      <c r="K2270" t="s">
        <v>238</v>
      </c>
      <c r="L2270" t="s">
        <v>174</v>
      </c>
      <c r="M2270" t="s">
        <v>85</v>
      </c>
      <c r="S2270">
        <v>1207</v>
      </c>
      <c r="W2270" t="str">
        <f t="shared" si="2395"/>
        <v>h</v>
      </c>
      <c r="X2270">
        <v>14</v>
      </c>
      <c r="Y2270" t="e">
        <f>IF(X2270&lt;&gt;"",VLOOKUP(X2270,game_rosters!$C$43:$E$64,3,FALSE))</f>
        <v>#N/A</v>
      </c>
      <c r="Z2270" t="str" cm="1">
        <f t="array" ref="Z2270">IFERROR(IF(_xlfn._xlws.FILTER(game_rosters!$J:$J,(game_rosters!$G:$G=events!$AN2270)*(game_rosters!$J:$J=events!$X2270))&gt;0,1,""),"")</f>
        <v/>
      </c>
      <c r="AA2270">
        <f t="shared" si="2443"/>
        <v>2207</v>
      </c>
      <c r="AB2270" t="str">
        <f t="shared" si="2444"/>
        <v/>
      </c>
      <c r="AC2270">
        <f t="shared" si="2392"/>
        <v>2207</v>
      </c>
      <c r="AD2270" s="6">
        <v>3</v>
      </c>
      <c r="AE2270" t="s">
        <v>940</v>
      </c>
      <c r="AF2270" t="s">
        <v>749</v>
      </c>
      <c r="AG2270" t="s">
        <v>940</v>
      </c>
      <c r="AH2270" t="s">
        <v>928</v>
      </c>
      <c r="AI2270" t="s">
        <v>368</v>
      </c>
      <c r="AJ2270" t="str">
        <f t="shared" ref="AJ2270:AK2270" si="2446">IF($J2270&lt;&gt;"",$J2270,IF($AC2270=$AC2269,AJ2269,""))</f>
        <v>o</v>
      </c>
      <c r="AK2270" t="str">
        <f t="shared" si="2446"/>
        <v>o</v>
      </c>
      <c r="AL2270" t="str">
        <f t="shared" si="2397"/>
        <v>o</v>
      </c>
      <c r="AN2270" t="s">
        <v>861</v>
      </c>
      <c r="AO2270" t="str">
        <f t="shared" si="2398"/>
        <v>h</v>
      </c>
      <c r="AP2270" t="str">
        <f t="shared" si="2406"/>
        <v>o</v>
      </c>
      <c r="AQ2270" t="str">
        <f t="shared" si="2407"/>
        <v/>
      </c>
      <c r="AR2270" t="str">
        <f t="shared" si="2408"/>
        <v>Home</v>
      </c>
      <c r="AS2270" t="str">
        <f t="shared" si="2409"/>
        <v>h</v>
      </c>
      <c r="AT2270" t="str">
        <f t="shared" si="2410"/>
        <v>Defensive</v>
      </c>
      <c r="BA2270" s="6">
        <f t="shared" si="2399"/>
        <v>518</v>
      </c>
      <c r="BB2270">
        <f t="shared" si="2400"/>
        <v>18981</v>
      </c>
      <c r="BC2270" t="str">
        <f t="shared" si="2401"/>
        <v>Nelson</v>
      </c>
      <c r="BD2270" t="str">
        <f t="shared" si="2402"/>
        <v>Velodrome</v>
      </c>
      <c r="BE2270" t="s">
        <v>238</v>
      </c>
      <c r="BF2270" t="s">
        <v>174</v>
      </c>
      <c r="BG2270" t="s">
        <v>85</v>
      </c>
      <c r="BI2270" cm="1">
        <f t="array" ref="BI2270">IFERROR(_xlfn._xlws.FILTER(shifts!A:A,(shifts!B:B=events!AD2270)*(shifts!AG:AG&gt;=events!BK2270)*(shifts!AH:AH&lt;=events!BL2270)),BI2269)</f>
        <v>100</v>
      </c>
      <c r="BJ2270" s="15">
        <f t="shared" si="2403"/>
        <v>2</v>
      </c>
      <c r="BK2270">
        <f t="shared" si="2411"/>
        <v>219</v>
      </c>
      <c r="BL2270">
        <f t="shared" si="2412"/>
        <v>217</v>
      </c>
      <c r="BM2270" s="15">
        <f>SUMIFS(BJ$2:BJ2270,K$2:K2270,"=Intermission")+SUMIFS(BJ$2:BJ2270,K$2:K2270,"=Timeout")</f>
        <v>142</v>
      </c>
      <c r="BN2270">
        <f t="shared" si="2413"/>
        <v>2302</v>
      </c>
      <c r="BO2270" s="19">
        <f t="shared" si="2414"/>
        <v>3163</v>
      </c>
      <c r="BP2270">
        <f t="shared" si="2415"/>
        <v>3158</v>
      </c>
      <c r="BQ2270" s="17">
        <f t="shared" si="2416"/>
        <v>3165</v>
      </c>
      <c r="BR2270" t="str">
        <f t="shared" si="2417"/>
        <v>opp_team_player_1</v>
      </c>
      <c r="BS2270">
        <f>COUNTIFS(S$3:S2270,"="&amp;S2270,AI$3:AI2270,"="&amp;AI2270)</f>
        <v>1</v>
      </c>
      <c r="BT2270" t="str">
        <f>IFERROR(VLOOKUP(BB2270&amp;BU2270&amp;X2270,game_rosters!U:W,3,FALSE),"")</f>
        <v>P100132</v>
      </c>
      <c r="BU2270" t="str">
        <f t="shared" si="2418"/>
        <v>Velodrome</v>
      </c>
    </row>
    <row r="2271" spans="1:73" x14ac:dyDescent="0.2">
      <c r="A2271">
        <f t="shared" si="2404"/>
        <v>1</v>
      </c>
      <c r="J2271" s="44" t="str">
        <f t="shared" si="2419"/>
        <v>o</v>
      </c>
      <c r="K2271" t="s">
        <v>238</v>
      </c>
      <c r="L2271" t="s">
        <v>174</v>
      </c>
      <c r="M2271" t="s">
        <v>85</v>
      </c>
      <c r="S2271">
        <v>1207</v>
      </c>
      <c r="W2271" t="str">
        <f t="shared" si="2395"/>
        <v>h</v>
      </c>
      <c r="X2271">
        <v>22</v>
      </c>
      <c r="Y2271" t="e">
        <f>IF(X2271&lt;&gt;"",VLOOKUP(X2271,game_rosters!$C$43:$E$64,3,FALSE))</f>
        <v>#N/A</v>
      </c>
      <c r="Z2271" t="str" cm="1">
        <f t="array" ref="Z2271">IFERROR(IF(_xlfn._xlws.FILTER(game_rosters!$J:$J,(game_rosters!$G:$G=events!$AN2271)*(game_rosters!$J:$J=events!$X2271))&gt;0,1,""),"")</f>
        <v/>
      </c>
      <c r="AA2271">
        <f t="shared" si="2443"/>
        <v>2207</v>
      </c>
      <c r="AB2271" t="str">
        <f t="shared" si="2444"/>
        <v/>
      </c>
      <c r="AC2271">
        <f t="shared" si="2392"/>
        <v>2207</v>
      </c>
      <c r="AD2271" s="6">
        <v>3</v>
      </c>
      <c r="AE2271" t="s">
        <v>940</v>
      </c>
      <c r="AF2271" t="s">
        <v>749</v>
      </c>
      <c r="AG2271" t="s">
        <v>940</v>
      </c>
      <c r="AH2271" t="s">
        <v>928</v>
      </c>
      <c r="AI2271" t="s">
        <v>368</v>
      </c>
      <c r="AJ2271" t="str">
        <f t="shared" ref="AJ2271:AK2271" si="2447">IF($J2271&lt;&gt;"",$J2271,IF($AC2271=$AC2270,AJ2270,""))</f>
        <v>o</v>
      </c>
      <c r="AK2271" t="str">
        <f t="shared" si="2447"/>
        <v>o</v>
      </c>
      <c r="AL2271" t="str">
        <f t="shared" si="2397"/>
        <v>o</v>
      </c>
      <c r="AN2271" t="s">
        <v>861</v>
      </c>
      <c r="AO2271" t="str">
        <f t="shared" si="2398"/>
        <v>h</v>
      </c>
      <c r="AP2271" t="str">
        <f t="shared" si="2406"/>
        <v>o</v>
      </c>
      <c r="AQ2271" t="str">
        <f t="shared" si="2407"/>
        <v/>
      </c>
      <c r="AR2271" t="str">
        <f t="shared" si="2408"/>
        <v>Home</v>
      </c>
      <c r="AS2271" t="str">
        <f t="shared" si="2409"/>
        <v>h</v>
      </c>
      <c r="AT2271" t="str">
        <f t="shared" si="2410"/>
        <v>Defensive</v>
      </c>
      <c r="BA2271" s="6">
        <f t="shared" si="2399"/>
        <v>519</v>
      </c>
      <c r="BB2271">
        <f t="shared" si="2400"/>
        <v>18981</v>
      </c>
      <c r="BC2271" t="str">
        <f t="shared" si="2401"/>
        <v>Nelson</v>
      </c>
      <c r="BD2271" t="str">
        <f t="shared" si="2402"/>
        <v>Velodrome</v>
      </c>
      <c r="BE2271" t="s">
        <v>238</v>
      </c>
      <c r="BF2271" t="s">
        <v>174</v>
      </c>
      <c r="BG2271" t="s">
        <v>85</v>
      </c>
      <c r="BI2271" cm="1">
        <f t="array" ref="BI2271">IFERROR(_xlfn._xlws.FILTER(shifts!A:A,(shifts!B:B=events!AD2271)*(shifts!AG:AG&gt;=events!BK2271)*(shifts!AH:AH&lt;=events!BL2271)),BI2270)</f>
        <v>100</v>
      </c>
      <c r="BJ2271" s="15">
        <f t="shared" si="2403"/>
        <v>2</v>
      </c>
      <c r="BK2271">
        <f t="shared" si="2411"/>
        <v>219</v>
      </c>
      <c r="BL2271">
        <f t="shared" si="2412"/>
        <v>217</v>
      </c>
      <c r="BM2271" s="15">
        <f>SUMIFS(BJ$2:BJ2271,K$2:K2271,"=Intermission")+SUMIFS(BJ$2:BJ2271,K$2:K2271,"=Timeout")</f>
        <v>142</v>
      </c>
      <c r="BN2271">
        <f t="shared" si="2413"/>
        <v>2302</v>
      </c>
      <c r="BO2271" s="19">
        <f t="shared" si="2414"/>
        <v>3163</v>
      </c>
      <c r="BP2271">
        <f t="shared" si="2415"/>
        <v>3158</v>
      </c>
      <c r="BQ2271" s="17">
        <f t="shared" si="2416"/>
        <v>3165</v>
      </c>
      <c r="BR2271" t="str">
        <f t="shared" si="2417"/>
        <v>opp_team_player_2</v>
      </c>
      <c r="BS2271">
        <f>COUNTIFS(S$3:S2271,"="&amp;S2271,AI$3:AI2271,"="&amp;AI2271)</f>
        <v>2</v>
      </c>
      <c r="BT2271" t="str">
        <f>IFERROR(VLOOKUP(BB2271&amp;BU2271&amp;X2271,game_rosters!U:W,3,FALSE),"")</f>
        <v>P100108</v>
      </c>
      <c r="BU2271" t="str">
        <f t="shared" si="2418"/>
        <v>Velodrome</v>
      </c>
    </row>
    <row r="2272" spans="1:73" x14ac:dyDescent="0.2">
      <c r="A2272">
        <f t="shared" si="2404"/>
        <v>1</v>
      </c>
      <c r="J2272" s="44" t="str">
        <f t="shared" si="2419"/>
        <v>o</v>
      </c>
      <c r="K2272" t="s">
        <v>238</v>
      </c>
      <c r="L2272" t="s">
        <v>174</v>
      </c>
      <c r="M2272" t="s">
        <v>85</v>
      </c>
      <c r="S2272">
        <v>1207</v>
      </c>
      <c r="W2272" t="str">
        <f t="shared" si="2395"/>
        <v>h</v>
      </c>
      <c r="X2272">
        <v>52</v>
      </c>
      <c r="Y2272" t="e">
        <f>IF(X2272&lt;&gt;"",VLOOKUP(X2272,game_rosters!$C$43:$E$64,3,FALSE))</f>
        <v>#N/A</v>
      </c>
      <c r="Z2272" t="str" cm="1">
        <f t="array" ref="Z2272">IFERROR(IF(_xlfn._xlws.FILTER(game_rosters!$J:$J,(game_rosters!$G:$G=events!$AN2272)*(game_rosters!$J:$J=events!$X2272))&gt;0,1,""),"")</f>
        <v/>
      </c>
      <c r="AA2272">
        <f t="shared" si="2443"/>
        <v>2207</v>
      </c>
      <c r="AB2272" t="str">
        <f t="shared" si="2444"/>
        <v/>
      </c>
      <c r="AC2272">
        <f t="shared" si="2392"/>
        <v>2207</v>
      </c>
      <c r="AD2272" s="6">
        <v>3</v>
      </c>
      <c r="AE2272" t="s">
        <v>940</v>
      </c>
      <c r="AF2272" t="s">
        <v>749</v>
      </c>
      <c r="AG2272" t="s">
        <v>940</v>
      </c>
      <c r="AH2272" t="s">
        <v>928</v>
      </c>
      <c r="AI2272" t="s">
        <v>368</v>
      </c>
      <c r="AJ2272" t="str">
        <f t="shared" ref="AJ2272:AK2272" si="2448">IF($J2272&lt;&gt;"",$J2272,IF($AC2272=$AC2271,AJ2271,""))</f>
        <v>o</v>
      </c>
      <c r="AK2272" t="str">
        <f t="shared" si="2448"/>
        <v>o</v>
      </c>
      <c r="AL2272" t="str">
        <f t="shared" si="2397"/>
        <v>o</v>
      </c>
      <c r="AN2272" t="s">
        <v>861</v>
      </c>
      <c r="AO2272" t="str">
        <f t="shared" si="2398"/>
        <v>h</v>
      </c>
      <c r="AP2272" t="str">
        <f t="shared" si="2406"/>
        <v>o</v>
      </c>
      <c r="AQ2272" t="str">
        <f t="shared" si="2407"/>
        <v/>
      </c>
      <c r="AR2272" t="str">
        <f t="shared" si="2408"/>
        <v>Home</v>
      </c>
      <c r="AS2272" t="str">
        <f t="shared" si="2409"/>
        <v>h</v>
      </c>
      <c r="AT2272" t="str">
        <f t="shared" si="2410"/>
        <v>Defensive</v>
      </c>
      <c r="BA2272" s="6">
        <f t="shared" si="2399"/>
        <v>520</v>
      </c>
      <c r="BB2272">
        <f t="shared" si="2400"/>
        <v>18981</v>
      </c>
      <c r="BC2272" t="str">
        <f t="shared" si="2401"/>
        <v>Nelson</v>
      </c>
      <c r="BD2272" t="str">
        <f t="shared" si="2402"/>
        <v>Velodrome</v>
      </c>
      <c r="BE2272" t="s">
        <v>238</v>
      </c>
      <c r="BF2272" t="s">
        <v>174</v>
      </c>
      <c r="BG2272" t="s">
        <v>85</v>
      </c>
      <c r="BI2272" cm="1">
        <f t="array" ref="BI2272">IFERROR(_xlfn._xlws.FILTER(shifts!A:A,(shifts!B:B=events!AD2272)*(shifts!AG:AG&gt;=events!BK2272)*(shifts!AH:AH&lt;=events!BL2272)),BI2271)</f>
        <v>100</v>
      </c>
      <c r="BJ2272" s="15">
        <f t="shared" si="2403"/>
        <v>2</v>
      </c>
      <c r="BK2272">
        <f t="shared" si="2411"/>
        <v>219</v>
      </c>
      <c r="BL2272">
        <f t="shared" si="2412"/>
        <v>217</v>
      </c>
      <c r="BM2272" s="15">
        <f>SUMIFS(BJ$2:BJ2272,K$2:K2272,"=Intermission")+SUMIFS(BJ$2:BJ2272,K$2:K2272,"=Timeout")</f>
        <v>142</v>
      </c>
      <c r="BN2272">
        <f t="shared" si="2413"/>
        <v>2302</v>
      </c>
      <c r="BO2272" s="19">
        <f t="shared" si="2414"/>
        <v>3163</v>
      </c>
      <c r="BP2272">
        <f t="shared" si="2415"/>
        <v>3158</v>
      </c>
      <c r="BQ2272" s="17">
        <f t="shared" si="2416"/>
        <v>3165</v>
      </c>
      <c r="BR2272" t="str">
        <f t="shared" si="2417"/>
        <v>opp_team_player_3</v>
      </c>
      <c r="BS2272">
        <f>COUNTIFS(S$3:S2272,"="&amp;S2272,AI$3:AI2272,"="&amp;AI2272)</f>
        <v>3</v>
      </c>
      <c r="BT2272" t="str">
        <f>IFERROR(VLOOKUP(BB2272&amp;BU2272&amp;X2272,game_rosters!U:W,3,FALSE),"")</f>
        <v>P100070</v>
      </c>
      <c r="BU2272" t="str">
        <f t="shared" si="2418"/>
        <v>Velodrome</v>
      </c>
    </row>
    <row r="2273" spans="1:73" x14ac:dyDescent="0.2">
      <c r="A2273">
        <f t="shared" si="2404"/>
        <v>1</v>
      </c>
      <c r="J2273" s="44" t="str">
        <f t="shared" si="2419"/>
        <v/>
      </c>
      <c r="K2273" t="s">
        <v>9</v>
      </c>
      <c r="L2273" t="s">
        <v>183</v>
      </c>
      <c r="M2273" t="s">
        <v>80</v>
      </c>
      <c r="S2273">
        <v>1208</v>
      </c>
      <c r="W2273" t="str">
        <f t="shared" si="2395"/>
        <v>a</v>
      </c>
      <c r="X2273">
        <v>14</v>
      </c>
      <c r="Y2273" t="e">
        <f>IF(X2273&lt;&gt;"",VLOOKUP(X2273,game_rosters!$C$43:$E$64,3,FALSE))</f>
        <v>#N/A</v>
      </c>
      <c r="Z2273" cm="1">
        <f t="array" ref="Z2273">IFERROR(IF(_xlfn._xlws.FILTER(game_rosters!$J:$J,(game_rosters!$G:$G=events!$AN2273)*(game_rosters!$J:$J=events!$X2273))&gt;0,1,""),"")</f>
        <v>1</v>
      </c>
      <c r="AA2273">
        <f t="shared" si="2443"/>
        <v>2208</v>
      </c>
      <c r="AB2273" t="str">
        <f t="shared" si="2444"/>
        <v/>
      </c>
      <c r="AC2273">
        <f t="shared" si="2392"/>
        <v>2208</v>
      </c>
      <c r="AD2273" s="6">
        <v>3</v>
      </c>
      <c r="AE2273" t="s">
        <v>940</v>
      </c>
      <c r="AF2273" t="s">
        <v>928</v>
      </c>
      <c r="AG2273" t="s">
        <v>756</v>
      </c>
      <c r="AH2273" t="s">
        <v>756</v>
      </c>
      <c r="AI2273" t="s">
        <v>367</v>
      </c>
      <c r="AJ2273" t="str">
        <f t="shared" ref="AJ2273:AK2273" si="2449">IF($J2273&lt;&gt;"",$J2273,IF($AC2273=$AC2272,AJ2272,""))</f>
        <v/>
      </c>
      <c r="AK2273" t="str">
        <f t="shared" si="2449"/>
        <v/>
      </c>
      <c r="AL2273" t="str">
        <f t="shared" si="2397"/>
        <v/>
      </c>
      <c r="AN2273" t="s">
        <v>862</v>
      </c>
      <c r="AO2273" t="str">
        <f t="shared" si="2398"/>
        <v>a</v>
      </c>
      <c r="AP2273" t="str">
        <f t="shared" si="2406"/>
        <v/>
      </c>
      <c r="AQ2273" t="str">
        <f t="shared" si="2407"/>
        <v/>
      </c>
      <c r="AR2273" t="str">
        <f t="shared" si="2408"/>
        <v>Away</v>
      </c>
      <c r="AS2273" t="str">
        <f t="shared" si="2409"/>
        <v>a</v>
      </c>
      <c r="AT2273" t="str">
        <f t="shared" si="2410"/>
        <v>Defensive</v>
      </c>
      <c r="BA2273" s="6">
        <f t="shared" si="2399"/>
        <v>520</v>
      </c>
      <c r="BB2273">
        <f t="shared" si="2400"/>
        <v>18981</v>
      </c>
      <c r="BC2273" t="str">
        <f t="shared" si="2401"/>
        <v>Nelson</v>
      </c>
      <c r="BD2273" t="str">
        <f t="shared" si="2402"/>
        <v>Velodrome</v>
      </c>
      <c r="BE2273" t="s">
        <v>9</v>
      </c>
      <c r="BF2273" t="s">
        <v>183</v>
      </c>
      <c r="BG2273" t="s">
        <v>80</v>
      </c>
      <c r="BI2273" cm="1">
        <f t="array" ref="BI2273">IFERROR(_xlfn._xlws.FILTER(shifts!A:A,(shifts!B:B=events!AD2273)*(shifts!AG:AG&gt;=events!BK2273)*(shifts!AH:AH&lt;=events!BL2273)),BI2272)</f>
        <v>100</v>
      </c>
      <c r="BJ2273" s="15">
        <f t="shared" si="2403"/>
        <v>0</v>
      </c>
      <c r="BK2273">
        <f t="shared" si="2411"/>
        <v>217</v>
      </c>
      <c r="BL2273">
        <f t="shared" si="2412"/>
        <v>217</v>
      </c>
      <c r="BM2273" s="15">
        <f>SUMIFS(BJ$2:BJ2273,K$2:K2273,"=Intermission")+SUMIFS(BJ$2:BJ2273,K$2:K2273,"=Timeout")</f>
        <v>142</v>
      </c>
      <c r="BN2273">
        <f t="shared" si="2413"/>
        <v>2302</v>
      </c>
      <c r="BO2273" s="19">
        <f t="shared" si="2414"/>
        <v>3165</v>
      </c>
      <c r="BP2273">
        <f t="shared" si="2415"/>
        <v>3160</v>
      </c>
      <c r="BQ2273" s="17">
        <f t="shared" si="2416"/>
        <v>3165</v>
      </c>
      <c r="BR2273" t="str">
        <f t="shared" si="2417"/>
        <v>event_team_player_1</v>
      </c>
      <c r="BS2273">
        <f>COUNTIFS(S$3:S2273,"="&amp;S2273,AI$3:AI2273,"="&amp;AI2273)</f>
        <v>1</v>
      </c>
      <c r="BT2273" t="str">
        <f>IFERROR(VLOOKUP(BB2273&amp;BU2273&amp;X2273,game_rosters!U:W,3,FALSE),"")</f>
        <v>P100132</v>
      </c>
      <c r="BU2273" t="str">
        <f t="shared" si="2418"/>
        <v>Velodrome</v>
      </c>
    </row>
    <row r="2274" spans="1:73" x14ac:dyDescent="0.2">
      <c r="A2274">
        <f t="shared" si="2404"/>
        <v>1</v>
      </c>
      <c r="J2274" s="44" t="str">
        <f t="shared" si="2419"/>
        <v/>
      </c>
      <c r="K2274" t="s">
        <v>9</v>
      </c>
      <c r="L2274" t="s">
        <v>183</v>
      </c>
      <c r="M2274" t="s">
        <v>80</v>
      </c>
      <c r="S2274">
        <v>1208</v>
      </c>
      <c r="W2274" t="str">
        <f t="shared" si="2395"/>
        <v>a</v>
      </c>
      <c r="X2274">
        <v>44</v>
      </c>
      <c r="Y2274" t="b">
        <f>IF(X2274&lt;&gt;"",VLOOKUP(X2274,game_rosters!$C$43:$E$64,3,FALSE))</f>
        <v>0</v>
      </c>
      <c r="Z2274" t="str" cm="1">
        <f t="array" ref="Z2274">IFERROR(IF(_xlfn._xlws.FILTER(game_rosters!$J:$J,(game_rosters!$G:$G=events!$AN2274)*(game_rosters!$J:$J=events!$X2274))&gt;0,1,""),"")</f>
        <v/>
      </c>
      <c r="AA2274">
        <f t="shared" si="2443"/>
        <v>2208</v>
      </c>
      <c r="AB2274" t="str">
        <f t="shared" si="2444"/>
        <v/>
      </c>
      <c r="AC2274">
        <f t="shared" si="2392"/>
        <v>2208</v>
      </c>
      <c r="AD2274" s="6">
        <v>3</v>
      </c>
      <c r="AE2274" t="s">
        <v>940</v>
      </c>
      <c r="AF2274" t="s">
        <v>928</v>
      </c>
      <c r="AG2274" t="s">
        <v>756</v>
      </c>
      <c r="AH2274" t="s">
        <v>756</v>
      </c>
      <c r="AI2274" t="s">
        <v>368</v>
      </c>
      <c r="AJ2274" t="str">
        <f t="shared" ref="AJ2274:AK2274" si="2450">IF($J2274&lt;&gt;"",$J2274,IF($AC2274=$AC2273,AJ2273,""))</f>
        <v/>
      </c>
      <c r="AK2274" t="str">
        <f t="shared" si="2450"/>
        <v/>
      </c>
      <c r="AL2274" t="str">
        <f t="shared" si="2397"/>
        <v/>
      </c>
      <c r="AN2274" t="s">
        <v>862</v>
      </c>
      <c r="AO2274" t="str">
        <f t="shared" si="2398"/>
        <v>a</v>
      </c>
      <c r="AP2274" t="str">
        <f t="shared" si="2406"/>
        <v/>
      </c>
      <c r="AQ2274" t="str">
        <f t="shared" si="2407"/>
        <v/>
      </c>
      <c r="AR2274" t="str">
        <f t="shared" si="2408"/>
        <v>Away</v>
      </c>
      <c r="AS2274" t="str">
        <f t="shared" si="2409"/>
        <v>a</v>
      </c>
      <c r="AT2274" t="str">
        <f t="shared" si="2410"/>
        <v>Offensive</v>
      </c>
      <c r="BA2274" s="6">
        <f t="shared" si="2399"/>
        <v>520</v>
      </c>
      <c r="BB2274">
        <f t="shared" si="2400"/>
        <v>18981</v>
      </c>
      <c r="BC2274" t="str">
        <f t="shared" si="2401"/>
        <v>Nelson</v>
      </c>
      <c r="BD2274" t="str">
        <f t="shared" si="2402"/>
        <v>Velodrome</v>
      </c>
      <c r="BE2274" t="s">
        <v>9</v>
      </c>
      <c r="BF2274" t="s">
        <v>183</v>
      </c>
      <c r="BG2274" t="s">
        <v>80</v>
      </c>
      <c r="BI2274" cm="1">
        <f t="array" ref="BI2274">IFERROR(_xlfn._xlws.FILTER(shifts!A:A,(shifts!B:B=events!AD2274)*(shifts!AG:AG&gt;=events!BK2274)*(shifts!AH:AH&lt;=events!BL2274)),BI2273)</f>
        <v>100</v>
      </c>
      <c r="BJ2274" s="15">
        <f t="shared" si="2403"/>
        <v>0</v>
      </c>
      <c r="BK2274">
        <f t="shared" si="2411"/>
        <v>217</v>
      </c>
      <c r="BL2274">
        <f t="shared" si="2412"/>
        <v>217</v>
      </c>
      <c r="BM2274" s="15">
        <f>SUMIFS(BJ$2:BJ2274,K$2:K2274,"=Intermission")+SUMIFS(BJ$2:BJ2274,K$2:K2274,"=Timeout")</f>
        <v>142</v>
      </c>
      <c r="BN2274">
        <f t="shared" si="2413"/>
        <v>2302</v>
      </c>
      <c r="BO2274" s="19">
        <f t="shared" si="2414"/>
        <v>3165</v>
      </c>
      <c r="BP2274">
        <f t="shared" si="2415"/>
        <v>3160</v>
      </c>
      <c r="BQ2274" s="17">
        <f t="shared" si="2416"/>
        <v>3165</v>
      </c>
      <c r="BR2274" t="str">
        <f t="shared" si="2417"/>
        <v>opp_team_player_1</v>
      </c>
      <c r="BS2274">
        <f>COUNTIFS(S$3:S2274,"="&amp;S2274,AI$3:AI2274,"="&amp;AI2274)</f>
        <v>1</v>
      </c>
      <c r="BT2274" t="str">
        <f>IFERROR(VLOOKUP(BB2274&amp;BU2274&amp;X2274,game_rosters!U:W,3,FALSE),"")</f>
        <v>P100079</v>
      </c>
      <c r="BU2274" t="str">
        <f t="shared" si="2418"/>
        <v>Nelson</v>
      </c>
    </row>
    <row r="2275" spans="1:73" x14ac:dyDescent="0.2">
      <c r="A2275">
        <f t="shared" si="2404"/>
        <v>1</v>
      </c>
      <c r="J2275" s="44" t="str">
        <f t="shared" si="2419"/>
        <v>d</v>
      </c>
      <c r="K2275" t="s">
        <v>238</v>
      </c>
      <c r="L2275" t="s">
        <v>184</v>
      </c>
      <c r="M2275" t="s">
        <v>88</v>
      </c>
      <c r="S2275">
        <v>1209</v>
      </c>
      <c r="W2275" t="str">
        <f t="shared" si="2395"/>
        <v>a</v>
      </c>
      <c r="X2275">
        <v>14</v>
      </c>
      <c r="Y2275" t="e">
        <f>IF(X2275&lt;&gt;"",VLOOKUP(X2275,game_rosters!$C$43:$E$64,3,FALSE))</f>
        <v>#N/A</v>
      </c>
      <c r="Z2275" cm="1">
        <f t="array" ref="Z2275">IFERROR(IF(_xlfn._xlws.FILTER(game_rosters!$J:$J,(game_rosters!$G:$G=events!$AN2275)*(game_rosters!$J:$J=events!$X2275))&gt;0,1,""),"")</f>
        <v>1</v>
      </c>
      <c r="AA2275">
        <f t="shared" si="2443"/>
        <v>2209</v>
      </c>
      <c r="AB2275" t="str">
        <f t="shared" si="2444"/>
        <v/>
      </c>
      <c r="AC2275">
        <f t="shared" si="2392"/>
        <v>2209</v>
      </c>
      <c r="AD2275" s="6">
        <v>3</v>
      </c>
      <c r="AE2275" t="s">
        <v>940</v>
      </c>
      <c r="AF2275" t="s">
        <v>750</v>
      </c>
      <c r="AG2275" t="s">
        <v>940</v>
      </c>
      <c r="AH2275" t="s">
        <v>929</v>
      </c>
      <c r="AI2275" t="s">
        <v>367</v>
      </c>
      <c r="AJ2275" t="str">
        <f t="shared" ref="AJ2275:AK2275" si="2451">IF($J2275&lt;&gt;"",$J2275,IF($AC2275=$AC2274,AJ2274,""))</f>
        <v>d</v>
      </c>
      <c r="AK2275" t="str">
        <f t="shared" si="2451"/>
        <v>d</v>
      </c>
      <c r="AL2275" t="str">
        <f t="shared" si="2397"/>
        <v>o</v>
      </c>
      <c r="AN2275" t="s">
        <v>862</v>
      </c>
      <c r="AO2275" t="str">
        <f t="shared" si="2398"/>
        <v>a</v>
      </c>
      <c r="AP2275" t="str">
        <f t="shared" si="2406"/>
        <v>o</v>
      </c>
      <c r="AQ2275" t="str">
        <f t="shared" si="2407"/>
        <v/>
      </c>
      <c r="AR2275" t="str">
        <f t="shared" si="2408"/>
        <v>Away</v>
      </c>
      <c r="AS2275" t="str">
        <f t="shared" si="2409"/>
        <v>a</v>
      </c>
      <c r="AT2275" t="str">
        <f t="shared" si="2410"/>
        <v>Offensive</v>
      </c>
      <c r="BA2275" s="6">
        <f t="shared" si="2399"/>
        <v>521</v>
      </c>
      <c r="BB2275">
        <f t="shared" si="2400"/>
        <v>18981</v>
      </c>
      <c r="BC2275" t="str">
        <f t="shared" si="2401"/>
        <v>Nelson</v>
      </c>
      <c r="BD2275" t="str">
        <f t="shared" si="2402"/>
        <v>Velodrome</v>
      </c>
      <c r="BE2275" t="s">
        <v>238</v>
      </c>
      <c r="BF2275" t="s">
        <v>184</v>
      </c>
      <c r="BG2275" t="s">
        <v>88</v>
      </c>
      <c r="BI2275" cm="1">
        <f t="array" ref="BI2275">IFERROR(_xlfn._xlws.FILTER(shifts!A:A,(shifts!B:B=events!AD2275)*(shifts!AG:AG&gt;=events!BK2275)*(shifts!AH:AH&lt;=events!BL2275)),BI2274)</f>
        <v>100</v>
      </c>
      <c r="BJ2275" s="15">
        <f t="shared" si="2403"/>
        <v>1</v>
      </c>
      <c r="BK2275">
        <f t="shared" si="2411"/>
        <v>215</v>
      </c>
      <c r="BL2275">
        <f t="shared" si="2412"/>
        <v>214</v>
      </c>
      <c r="BM2275" s="15">
        <f>SUMIFS(BJ$2:BJ2275,K$2:K2275,"=Intermission")+SUMIFS(BJ$2:BJ2275,K$2:K2275,"=Timeout")</f>
        <v>142</v>
      </c>
      <c r="BN2275">
        <f t="shared" si="2413"/>
        <v>2302</v>
      </c>
      <c r="BO2275" s="19">
        <f t="shared" si="2414"/>
        <v>3167</v>
      </c>
      <c r="BP2275">
        <f t="shared" si="2415"/>
        <v>3162</v>
      </c>
      <c r="BQ2275" s="17">
        <f t="shared" si="2416"/>
        <v>3168</v>
      </c>
      <c r="BR2275" t="str">
        <f t="shared" si="2417"/>
        <v>event_team_player_1</v>
      </c>
      <c r="BS2275">
        <f>COUNTIFS(S$3:S2275,"="&amp;S2275,AI$3:AI2275,"="&amp;AI2275)</f>
        <v>1</v>
      </c>
      <c r="BT2275" t="str">
        <f>IFERROR(VLOOKUP(BB2275&amp;BU2275&amp;X2275,game_rosters!U:W,3,FALSE),"")</f>
        <v>P100132</v>
      </c>
      <c r="BU2275" t="str">
        <f t="shared" si="2418"/>
        <v>Velodrome</v>
      </c>
    </row>
    <row r="2276" spans="1:73" x14ac:dyDescent="0.2">
      <c r="A2276">
        <f t="shared" si="2404"/>
        <v>1</v>
      </c>
      <c r="J2276" s="44" t="str">
        <f t="shared" si="2419"/>
        <v>d</v>
      </c>
      <c r="K2276" t="s">
        <v>238</v>
      </c>
      <c r="L2276" t="s">
        <v>184</v>
      </c>
      <c r="M2276" t="s">
        <v>88</v>
      </c>
      <c r="S2276">
        <v>1209</v>
      </c>
      <c r="W2276" t="str">
        <f t="shared" si="2395"/>
        <v>a</v>
      </c>
      <c r="X2276">
        <v>44</v>
      </c>
      <c r="Y2276" t="b">
        <f>IF(X2276&lt;&gt;"",VLOOKUP(X2276,game_rosters!$C$43:$E$64,3,FALSE))</f>
        <v>0</v>
      </c>
      <c r="Z2276" t="str" cm="1">
        <f t="array" ref="Z2276">IFERROR(IF(_xlfn._xlws.FILTER(game_rosters!$J:$J,(game_rosters!$G:$G=events!$AN2276)*(game_rosters!$J:$J=events!$X2276))&gt;0,1,""),"")</f>
        <v/>
      </c>
      <c r="AA2276">
        <f t="shared" si="2443"/>
        <v>2209</v>
      </c>
      <c r="AB2276" t="str">
        <f t="shared" si="2444"/>
        <v/>
      </c>
      <c r="AC2276">
        <f t="shared" si="2392"/>
        <v>2209</v>
      </c>
      <c r="AD2276" s="6">
        <v>3</v>
      </c>
      <c r="AE2276" t="s">
        <v>940</v>
      </c>
      <c r="AF2276" t="s">
        <v>750</v>
      </c>
      <c r="AG2276" t="s">
        <v>940</v>
      </c>
      <c r="AH2276" t="s">
        <v>929</v>
      </c>
      <c r="AI2276" t="s">
        <v>368</v>
      </c>
      <c r="AJ2276" t="str">
        <f t="shared" ref="AJ2276:AK2276" si="2452">IF($J2276&lt;&gt;"",$J2276,IF($AC2276=$AC2275,AJ2275,""))</f>
        <v>d</v>
      </c>
      <c r="AK2276" t="str">
        <f t="shared" si="2452"/>
        <v>d</v>
      </c>
      <c r="AL2276" t="str">
        <f t="shared" si="2397"/>
        <v>o</v>
      </c>
      <c r="AN2276" t="s">
        <v>862</v>
      </c>
      <c r="AO2276" t="str">
        <f t="shared" si="2398"/>
        <v>a</v>
      </c>
      <c r="AP2276" t="str">
        <f t="shared" si="2406"/>
        <v>o</v>
      </c>
      <c r="AQ2276" t="str">
        <f t="shared" si="2407"/>
        <v/>
      </c>
      <c r="AR2276" t="str">
        <f t="shared" si="2408"/>
        <v>Away</v>
      </c>
      <c r="AS2276" t="str">
        <f t="shared" si="2409"/>
        <v>a</v>
      </c>
      <c r="AT2276" t="str">
        <f t="shared" si="2410"/>
        <v>Defensive</v>
      </c>
      <c r="BA2276" s="6">
        <f t="shared" si="2399"/>
        <v>522</v>
      </c>
      <c r="BB2276">
        <f t="shared" si="2400"/>
        <v>18981</v>
      </c>
      <c r="BC2276" t="str">
        <f t="shared" si="2401"/>
        <v>Nelson</v>
      </c>
      <c r="BD2276" t="str">
        <f t="shared" si="2402"/>
        <v>Velodrome</v>
      </c>
      <c r="BE2276" t="s">
        <v>238</v>
      </c>
      <c r="BF2276" t="s">
        <v>184</v>
      </c>
      <c r="BG2276" t="s">
        <v>88</v>
      </c>
      <c r="BI2276" cm="1">
        <f t="array" ref="BI2276">IFERROR(_xlfn._xlws.FILTER(shifts!A:A,(shifts!B:B=events!AD2276)*(shifts!AG:AG&gt;=events!BK2276)*(shifts!AH:AH&lt;=events!BL2276)),BI2275)</f>
        <v>100</v>
      </c>
      <c r="BJ2276" s="15">
        <f t="shared" si="2403"/>
        <v>1</v>
      </c>
      <c r="BK2276">
        <f t="shared" si="2411"/>
        <v>215</v>
      </c>
      <c r="BL2276">
        <f t="shared" si="2412"/>
        <v>214</v>
      </c>
      <c r="BM2276" s="15">
        <f>SUMIFS(BJ$2:BJ2276,K$2:K2276,"=Intermission")+SUMIFS(BJ$2:BJ2276,K$2:K2276,"=Timeout")</f>
        <v>142</v>
      </c>
      <c r="BN2276">
        <f t="shared" si="2413"/>
        <v>2302</v>
      </c>
      <c r="BO2276" s="19">
        <f t="shared" si="2414"/>
        <v>3167</v>
      </c>
      <c r="BP2276">
        <f t="shared" si="2415"/>
        <v>3162</v>
      </c>
      <c r="BQ2276" s="17">
        <f t="shared" si="2416"/>
        <v>3168</v>
      </c>
      <c r="BR2276" t="str">
        <f t="shared" si="2417"/>
        <v>opp_team_player_1</v>
      </c>
      <c r="BS2276">
        <f>COUNTIFS(S$3:S2276,"="&amp;S2276,AI$3:AI2276,"="&amp;AI2276)</f>
        <v>1</v>
      </c>
      <c r="BT2276" t="str">
        <f>IFERROR(VLOOKUP(BB2276&amp;BU2276&amp;X2276,game_rosters!U:W,3,FALSE),"")</f>
        <v>P100079</v>
      </c>
      <c r="BU2276" t="str">
        <f t="shared" si="2418"/>
        <v>Nelson</v>
      </c>
    </row>
    <row r="2277" spans="1:73" x14ac:dyDescent="0.2">
      <c r="A2277">
        <f t="shared" si="2404"/>
        <v>1</v>
      </c>
      <c r="J2277" s="44" t="str">
        <f t="shared" si="2419"/>
        <v/>
      </c>
      <c r="K2277" t="s">
        <v>417</v>
      </c>
      <c r="L2277" t="s">
        <v>756</v>
      </c>
      <c r="M2277" t="s">
        <v>756</v>
      </c>
      <c r="S2277">
        <v>1210</v>
      </c>
      <c r="W2277" t="str">
        <f t="shared" si="2395"/>
        <v>h</v>
      </c>
      <c r="X2277">
        <v>44</v>
      </c>
      <c r="Y2277" t="b">
        <f>IF(X2277&lt;&gt;"",VLOOKUP(X2277,game_rosters!$C$43:$E$64,3,FALSE))</f>
        <v>0</v>
      </c>
      <c r="Z2277" cm="1">
        <f t="array" ref="Z2277">IFERROR(IF(_xlfn._xlws.FILTER(game_rosters!$J:$J,(game_rosters!$G:$G=events!$AN2277)*(game_rosters!$J:$J=events!$X2277))&gt;0,1,""),"")</f>
        <v>1</v>
      </c>
      <c r="AA2277">
        <f t="shared" si="2443"/>
        <v>2210</v>
      </c>
      <c r="AB2277" t="str">
        <f t="shared" si="2444"/>
        <v/>
      </c>
      <c r="AC2277">
        <f t="shared" si="2392"/>
        <v>2210</v>
      </c>
      <c r="AD2277" s="6">
        <v>3</v>
      </c>
      <c r="AE2277" t="s">
        <v>940</v>
      </c>
      <c r="AF2277" t="s">
        <v>929</v>
      </c>
      <c r="AG2277" t="s">
        <v>756</v>
      </c>
      <c r="AH2277" t="s">
        <v>756</v>
      </c>
      <c r="AI2277" t="s">
        <v>367</v>
      </c>
      <c r="AJ2277" t="str">
        <f t="shared" ref="AJ2277:AK2277" si="2453">IF($J2277&lt;&gt;"",$J2277,IF($AC2277=$AC2276,AJ2276,""))</f>
        <v/>
      </c>
      <c r="AK2277" t="str">
        <f t="shared" si="2453"/>
        <v/>
      </c>
      <c r="AL2277" t="str">
        <f t="shared" si="2397"/>
        <v/>
      </c>
      <c r="AN2277" t="s">
        <v>861</v>
      </c>
      <c r="AO2277" t="str">
        <f t="shared" si="2398"/>
        <v>h</v>
      </c>
      <c r="AP2277" t="str">
        <f t="shared" si="2406"/>
        <v/>
      </c>
      <c r="AQ2277" t="str">
        <f t="shared" si="2407"/>
        <v/>
      </c>
      <c r="AR2277" t="str">
        <f t="shared" si="2408"/>
        <v>Home</v>
      </c>
      <c r="AS2277" t="str">
        <f t="shared" si="2409"/>
        <v>h</v>
      </c>
      <c r="AT2277" t="str">
        <f t="shared" si="2410"/>
        <v>Offensive</v>
      </c>
      <c r="BA2277" s="6">
        <f t="shared" si="2399"/>
        <v>522</v>
      </c>
      <c r="BB2277">
        <f t="shared" si="2400"/>
        <v>18981</v>
      </c>
      <c r="BC2277" t="str">
        <f t="shared" si="2401"/>
        <v>Nelson</v>
      </c>
      <c r="BD2277" t="str">
        <f t="shared" si="2402"/>
        <v>Velodrome</v>
      </c>
      <c r="BE2277" t="s">
        <v>417</v>
      </c>
      <c r="BF2277" t="s">
        <v>756</v>
      </c>
      <c r="BG2277" t="s">
        <v>756</v>
      </c>
      <c r="BI2277" cm="1">
        <f t="array" ref="BI2277">IFERROR(_xlfn._xlws.FILTER(shifts!A:A,(shifts!B:B=events!AD2277)*(shifts!AG:AG&gt;=events!BK2277)*(shifts!AH:AH&lt;=events!BL2277)),BI2276)</f>
        <v>100</v>
      </c>
      <c r="BJ2277" s="15">
        <f t="shared" si="2403"/>
        <v>0</v>
      </c>
      <c r="BK2277">
        <f t="shared" si="2411"/>
        <v>214</v>
      </c>
      <c r="BL2277">
        <f t="shared" si="2412"/>
        <v>214</v>
      </c>
      <c r="BM2277" s="15">
        <f>SUMIFS(BJ$2:BJ2277,K$2:K2277,"=Intermission")+SUMIFS(BJ$2:BJ2277,K$2:K2277,"=Timeout")</f>
        <v>142</v>
      </c>
      <c r="BN2277">
        <f t="shared" si="2413"/>
        <v>2302</v>
      </c>
      <c r="BO2277" s="19">
        <f t="shared" si="2414"/>
        <v>3168</v>
      </c>
      <c r="BP2277">
        <f t="shared" si="2415"/>
        <v>3163</v>
      </c>
      <c r="BQ2277" s="17">
        <f t="shared" si="2416"/>
        <v>3168</v>
      </c>
      <c r="BR2277" t="str">
        <f t="shared" si="2417"/>
        <v>event_team_player_1</v>
      </c>
      <c r="BS2277">
        <f>COUNTIFS(S$3:S2277,"="&amp;S2277,AI$3:AI2277,"="&amp;AI2277)</f>
        <v>1</v>
      </c>
      <c r="BT2277" t="str">
        <f>IFERROR(VLOOKUP(BB2277&amp;BU2277&amp;X2277,game_rosters!U:W,3,FALSE),"")</f>
        <v>P100079</v>
      </c>
      <c r="BU2277" t="str">
        <f t="shared" si="2418"/>
        <v>Nelson</v>
      </c>
    </row>
    <row r="2278" spans="1:73" x14ac:dyDescent="0.2">
      <c r="A2278">
        <f t="shared" si="2404"/>
        <v>1</v>
      </c>
      <c r="J2278" s="44" t="str">
        <f t="shared" si="2419"/>
        <v/>
      </c>
      <c r="K2278" t="s">
        <v>417</v>
      </c>
      <c r="L2278" t="s">
        <v>756</v>
      </c>
      <c r="M2278" t="s">
        <v>756</v>
      </c>
      <c r="S2278">
        <v>1210</v>
      </c>
      <c r="W2278" t="str">
        <f t="shared" si="2395"/>
        <v>h</v>
      </c>
      <c r="X2278">
        <v>14</v>
      </c>
      <c r="Y2278" t="e">
        <f>IF(X2278&lt;&gt;"",VLOOKUP(X2278,game_rosters!$C$43:$E$64,3,FALSE))</f>
        <v>#N/A</v>
      </c>
      <c r="Z2278" t="str" cm="1">
        <f t="array" ref="Z2278">IFERROR(IF(_xlfn._xlws.FILTER(game_rosters!$J:$J,(game_rosters!$G:$G=events!$AN2278)*(game_rosters!$J:$J=events!$X2278))&gt;0,1,""),"")</f>
        <v/>
      </c>
      <c r="AA2278">
        <f t="shared" si="2443"/>
        <v>2210</v>
      </c>
      <c r="AB2278" t="str">
        <f t="shared" si="2444"/>
        <v/>
      </c>
      <c r="AC2278">
        <f t="shared" si="2392"/>
        <v>2210</v>
      </c>
      <c r="AD2278" s="6">
        <v>3</v>
      </c>
      <c r="AE2278" t="s">
        <v>940</v>
      </c>
      <c r="AF2278" t="s">
        <v>929</v>
      </c>
      <c r="AG2278" t="s">
        <v>756</v>
      </c>
      <c r="AH2278" t="s">
        <v>756</v>
      </c>
      <c r="AI2278" t="s">
        <v>368</v>
      </c>
      <c r="AJ2278" t="str">
        <f t="shared" ref="AJ2278:AK2278" si="2454">IF($J2278&lt;&gt;"",$J2278,IF($AC2278=$AC2277,AJ2277,""))</f>
        <v/>
      </c>
      <c r="AK2278" t="str">
        <f t="shared" si="2454"/>
        <v/>
      </c>
      <c r="AL2278" t="str">
        <f t="shared" si="2397"/>
        <v/>
      </c>
      <c r="AN2278" t="s">
        <v>861</v>
      </c>
      <c r="AO2278" t="str">
        <f t="shared" si="2398"/>
        <v>h</v>
      </c>
      <c r="AP2278" t="str">
        <f t="shared" si="2406"/>
        <v/>
      </c>
      <c r="AQ2278" t="str">
        <f t="shared" si="2407"/>
        <v/>
      </c>
      <c r="AR2278" t="str">
        <f t="shared" si="2408"/>
        <v>Home</v>
      </c>
      <c r="AS2278" t="str">
        <f t="shared" si="2409"/>
        <v>h</v>
      </c>
      <c r="AT2278" t="str">
        <f t="shared" si="2410"/>
        <v>Defensive</v>
      </c>
      <c r="BA2278" s="6">
        <f t="shared" si="2399"/>
        <v>522</v>
      </c>
      <c r="BB2278">
        <f t="shared" si="2400"/>
        <v>18981</v>
      </c>
      <c r="BC2278" t="str">
        <f t="shared" si="2401"/>
        <v>Nelson</v>
      </c>
      <c r="BD2278" t="str">
        <f t="shared" si="2402"/>
        <v>Velodrome</v>
      </c>
      <c r="BE2278" t="s">
        <v>417</v>
      </c>
      <c r="BF2278" t="s">
        <v>756</v>
      </c>
      <c r="BG2278" t="s">
        <v>756</v>
      </c>
      <c r="BI2278" cm="1">
        <f t="array" ref="BI2278">IFERROR(_xlfn._xlws.FILTER(shifts!A:A,(shifts!B:B=events!AD2278)*(shifts!AG:AG&gt;=events!BK2278)*(shifts!AH:AH&lt;=events!BL2278)),BI2277)</f>
        <v>100</v>
      </c>
      <c r="BJ2278" s="15">
        <f t="shared" si="2403"/>
        <v>0</v>
      </c>
      <c r="BK2278">
        <f t="shared" si="2411"/>
        <v>214</v>
      </c>
      <c r="BL2278">
        <f t="shared" si="2412"/>
        <v>214</v>
      </c>
      <c r="BM2278" s="15">
        <f>SUMIFS(BJ$2:BJ2278,K$2:K2278,"=Intermission")+SUMIFS(BJ$2:BJ2278,K$2:K2278,"=Timeout")</f>
        <v>142</v>
      </c>
      <c r="BN2278">
        <f t="shared" si="2413"/>
        <v>2302</v>
      </c>
      <c r="BO2278" s="19">
        <f t="shared" si="2414"/>
        <v>3168</v>
      </c>
      <c r="BP2278">
        <f t="shared" si="2415"/>
        <v>3163</v>
      </c>
      <c r="BQ2278" s="17">
        <f t="shared" si="2416"/>
        <v>3168</v>
      </c>
      <c r="BR2278" t="str">
        <f t="shared" si="2417"/>
        <v>opp_team_player_1</v>
      </c>
      <c r="BS2278">
        <f>COUNTIFS(S$3:S2278,"="&amp;S2278,AI$3:AI2278,"="&amp;AI2278)</f>
        <v>1</v>
      </c>
      <c r="BT2278" t="str">
        <f>IFERROR(VLOOKUP(BB2278&amp;BU2278&amp;X2278,game_rosters!U:W,3,FALSE),"")</f>
        <v>P100132</v>
      </c>
      <c r="BU2278" t="str">
        <f t="shared" si="2418"/>
        <v>Velodrome</v>
      </c>
    </row>
    <row r="2279" spans="1:73" x14ac:dyDescent="0.2">
      <c r="A2279">
        <f t="shared" si="2404"/>
        <v>1</v>
      </c>
      <c r="J2279" s="44" t="str">
        <f t="shared" si="2419"/>
        <v/>
      </c>
      <c r="K2279" t="s">
        <v>13</v>
      </c>
      <c r="L2279" t="s">
        <v>756</v>
      </c>
      <c r="M2279" t="s">
        <v>756</v>
      </c>
      <c r="S2279">
        <v>1211</v>
      </c>
      <c r="W2279" t="str">
        <f t="shared" si="2395"/>
        <v>a</v>
      </c>
      <c r="X2279">
        <v>49</v>
      </c>
      <c r="Y2279" t="e">
        <f>IF(X2279&lt;&gt;"",VLOOKUP(X2279,game_rosters!$C$43:$E$64,3,FALSE))</f>
        <v>#N/A</v>
      </c>
      <c r="Z2279" cm="1">
        <f t="array" ref="Z2279">IFERROR(IF(_xlfn._xlws.FILTER(game_rosters!$J:$J,(game_rosters!$G:$G=events!$AN2279)*(game_rosters!$J:$J=events!$X2279))&gt;0,1,""),"")</f>
        <v>1</v>
      </c>
      <c r="AA2279">
        <f t="shared" si="2443"/>
        <v>2211</v>
      </c>
      <c r="AB2279" t="str">
        <f t="shared" si="2444"/>
        <v/>
      </c>
      <c r="AC2279">
        <f t="shared" si="2392"/>
        <v>2211</v>
      </c>
      <c r="AD2279" s="6">
        <v>3</v>
      </c>
      <c r="AE2279" t="s">
        <v>940</v>
      </c>
      <c r="AF2279" t="s">
        <v>929</v>
      </c>
      <c r="AG2279" t="s">
        <v>940</v>
      </c>
      <c r="AH2279" t="s">
        <v>905</v>
      </c>
      <c r="AI2279" t="s">
        <v>367</v>
      </c>
      <c r="AJ2279" t="str">
        <f t="shared" ref="AJ2279:AK2279" si="2455">IF($J2279&lt;&gt;"",$J2279,IF($AC2279=$AC2278,AJ2278,""))</f>
        <v/>
      </c>
      <c r="AK2279" t="str">
        <f t="shared" si="2455"/>
        <v/>
      </c>
      <c r="AL2279" t="str">
        <f t="shared" si="2397"/>
        <v/>
      </c>
      <c r="AN2279" t="s">
        <v>862</v>
      </c>
      <c r="AO2279" t="str">
        <f t="shared" si="2398"/>
        <v>a</v>
      </c>
      <c r="AP2279" t="str">
        <f t="shared" si="2406"/>
        <v/>
      </c>
      <c r="AQ2279" t="str">
        <f t="shared" si="2407"/>
        <v/>
      </c>
      <c r="AR2279" t="str">
        <f t="shared" si="2408"/>
        <v>Away</v>
      </c>
      <c r="AS2279" t="str">
        <f t="shared" si="2409"/>
        <v>a</v>
      </c>
      <c r="AT2279" t="str">
        <f t="shared" si="2410"/>
        <v>Offensive</v>
      </c>
      <c r="BA2279" s="6">
        <f t="shared" si="2399"/>
        <v>522</v>
      </c>
      <c r="BB2279">
        <f t="shared" si="2400"/>
        <v>18981</v>
      </c>
      <c r="BC2279" t="str">
        <f t="shared" si="2401"/>
        <v>Nelson</v>
      </c>
      <c r="BD2279" t="str">
        <f t="shared" si="2402"/>
        <v>Velodrome</v>
      </c>
      <c r="BE2279" t="s">
        <v>13</v>
      </c>
      <c r="BF2279" t="s">
        <v>756</v>
      </c>
      <c r="BG2279" t="s">
        <v>756</v>
      </c>
      <c r="BI2279" cm="1">
        <f t="array" ref="BI2279">IFERROR(_xlfn._xlws.FILTER(shifts!A:A,(shifts!B:B=events!AD2279)*(shifts!AG:AG&gt;=events!BK2279)*(shifts!AH:AH&lt;=events!BL2279)),BI2278)</f>
        <v>100</v>
      </c>
      <c r="BJ2279" s="15">
        <f t="shared" si="2403"/>
        <v>2</v>
      </c>
      <c r="BK2279">
        <f t="shared" si="2411"/>
        <v>214</v>
      </c>
      <c r="BL2279">
        <f t="shared" si="2412"/>
        <v>212</v>
      </c>
      <c r="BM2279" s="15">
        <f>SUMIFS(BJ$2:BJ2279,K$2:K2279,"=Intermission")+SUMIFS(BJ$2:BJ2279,K$2:K2279,"=Timeout")</f>
        <v>142</v>
      </c>
      <c r="BN2279">
        <f t="shared" si="2413"/>
        <v>2302</v>
      </c>
      <c r="BO2279" s="19">
        <f t="shared" si="2414"/>
        <v>3168</v>
      </c>
      <c r="BP2279">
        <f t="shared" si="2415"/>
        <v>3163</v>
      </c>
      <c r="BQ2279" s="17">
        <f t="shared" si="2416"/>
        <v>3170</v>
      </c>
      <c r="BR2279" t="str">
        <f t="shared" si="2417"/>
        <v>event_team_player_1</v>
      </c>
      <c r="BS2279">
        <f>COUNTIFS(S$3:S2279,"="&amp;S2279,AI$3:AI2279,"="&amp;AI2279)</f>
        <v>1</v>
      </c>
      <c r="BT2279" t="str">
        <f>IFERROR(VLOOKUP(BB2279&amp;BU2279&amp;X2279,game_rosters!U:W,3,FALSE),"")</f>
        <v>P100161</v>
      </c>
      <c r="BU2279" t="str">
        <f t="shared" si="2418"/>
        <v>Velodrome</v>
      </c>
    </row>
    <row r="2280" spans="1:73" x14ac:dyDescent="0.2">
      <c r="A2280">
        <f t="shared" si="2404"/>
        <v>1</v>
      </c>
      <c r="J2280" s="44" t="str">
        <f t="shared" si="2419"/>
        <v>o</v>
      </c>
      <c r="K2280" t="s">
        <v>238</v>
      </c>
      <c r="L2280" t="s">
        <v>174</v>
      </c>
      <c r="M2280" t="s">
        <v>85</v>
      </c>
      <c r="S2280">
        <v>1212</v>
      </c>
      <c r="W2280" t="str">
        <f t="shared" si="2395"/>
        <v>a</v>
      </c>
      <c r="X2280">
        <v>49</v>
      </c>
      <c r="Y2280" t="e">
        <f>IF(X2280&lt;&gt;"",VLOOKUP(X2280,game_rosters!$C$43:$E$64,3,FALSE))</f>
        <v>#N/A</v>
      </c>
      <c r="Z2280" cm="1">
        <f t="array" ref="Z2280">IFERROR(IF(_xlfn._xlws.FILTER(game_rosters!$J:$J,(game_rosters!$G:$G=events!$AN2280)*(game_rosters!$J:$J=events!$X2280))&gt;0,1,""),"")</f>
        <v>1</v>
      </c>
      <c r="AA2280">
        <f t="shared" si="2443"/>
        <v>2212</v>
      </c>
      <c r="AB2280" t="str">
        <f t="shared" si="2444"/>
        <v/>
      </c>
      <c r="AC2280">
        <f t="shared" si="2392"/>
        <v>2212</v>
      </c>
      <c r="AD2280" s="6">
        <v>3</v>
      </c>
      <c r="AE2280" t="s">
        <v>940</v>
      </c>
      <c r="AF2280" t="s">
        <v>905</v>
      </c>
      <c r="AG2280" t="s">
        <v>940</v>
      </c>
      <c r="AH2280" t="s">
        <v>915</v>
      </c>
      <c r="AI2280" t="s">
        <v>367</v>
      </c>
      <c r="AJ2280" t="str">
        <f t="shared" ref="AJ2280:AK2280" si="2456">IF($J2280&lt;&gt;"",$J2280,IF($AC2280=$AC2279,AJ2279,""))</f>
        <v>o</v>
      </c>
      <c r="AK2280" t="str">
        <f t="shared" si="2456"/>
        <v>o</v>
      </c>
      <c r="AL2280" t="str">
        <f t="shared" si="2397"/>
        <v>d</v>
      </c>
      <c r="AN2280" t="s">
        <v>862</v>
      </c>
      <c r="AO2280" t="str">
        <f t="shared" si="2398"/>
        <v>a</v>
      </c>
      <c r="AP2280" t="str">
        <f t="shared" si="2406"/>
        <v>d</v>
      </c>
      <c r="AQ2280" t="str">
        <f t="shared" si="2407"/>
        <v/>
      </c>
      <c r="AR2280" t="str">
        <f t="shared" si="2408"/>
        <v>Away</v>
      </c>
      <c r="AS2280" t="str">
        <f t="shared" si="2409"/>
        <v>a</v>
      </c>
      <c r="AT2280" t="str">
        <f t="shared" si="2410"/>
        <v>Offensive</v>
      </c>
      <c r="BA2280" s="6">
        <f t="shared" si="2399"/>
        <v>523</v>
      </c>
      <c r="BB2280">
        <f t="shared" si="2400"/>
        <v>18981</v>
      </c>
      <c r="BC2280" t="str">
        <f t="shared" si="2401"/>
        <v>Nelson</v>
      </c>
      <c r="BD2280" t="str">
        <f t="shared" si="2402"/>
        <v>Velodrome</v>
      </c>
      <c r="BE2280" t="s">
        <v>238</v>
      </c>
      <c r="BF2280" t="s">
        <v>174</v>
      </c>
      <c r="BG2280" t="s">
        <v>85</v>
      </c>
      <c r="BI2280" cm="1">
        <f t="array" ref="BI2280">IFERROR(_xlfn._xlws.FILTER(shifts!A:A,(shifts!B:B=events!AD2280)*(shifts!AG:AG&gt;=events!BK2280)*(shifts!AH:AH&lt;=events!BL2280)),BI2279)</f>
        <v>100</v>
      </c>
      <c r="BJ2280" s="15">
        <f t="shared" si="2403"/>
        <v>2</v>
      </c>
      <c r="BK2280">
        <f t="shared" si="2411"/>
        <v>212</v>
      </c>
      <c r="BL2280">
        <f t="shared" si="2412"/>
        <v>210</v>
      </c>
      <c r="BM2280" s="15">
        <f>SUMIFS(BJ$2:BJ2280,K$2:K2280,"=Intermission")+SUMIFS(BJ$2:BJ2280,K$2:K2280,"=Timeout")</f>
        <v>142</v>
      </c>
      <c r="BN2280">
        <f t="shared" si="2413"/>
        <v>2302</v>
      </c>
      <c r="BO2280" s="19">
        <f t="shared" si="2414"/>
        <v>3170</v>
      </c>
      <c r="BP2280">
        <f t="shared" si="2415"/>
        <v>3165</v>
      </c>
      <c r="BQ2280" s="17">
        <f t="shared" si="2416"/>
        <v>3172</v>
      </c>
      <c r="BR2280" t="str">
        <f t="shared" si="2417"/>
        <v>event_team_player_1</v>
      </c>
      <c r="BS2280">
        <f>COUNTIFS(S$3:S2280,"="&amp;S2280,AI$3:AI2280,"="&amp;AI2280)</f>
        <v>1</v>
      </c>
      <c r="BT2280" t="str">
        <f>IFERROR(VLOOKUP(BB2280&amp;BU2280&amp;X2280,game_rosters!U:W,3,FALSE),"")</f>
        <v>P100161</v>
      </c>
      <c r="BU2280" t="str">
        <f t="shared" si="2418"/>
        <v>Velodrome</v>
      </c>
    </row>
    <row r="2281" spans="1:73" x14ac:dyDescent="0.2">
      <c r="A2281">
        <f t="shared" si="2404"/>
        <v>1</v>
      </c>
      <c r="J2281" s="44" t="str">
        <f t="shared" si="2419"/>
        <v>o</v>
      </c>
      <c r="K2281" t="s">
        <v>238</v>
      </c>
      <c r="L2281" t="s">
        <v>174</v>
      </c>
      <c r="M2281" t="s">
        <v>85</v>
      </c>
      <c r="S2281">
        <v>1212</v>
      </c>
      <c r="W2281" t="str">
        <f t="shared" si="2395"/>
        <v>a</v>
      </c>
      <c r="X2281">
        <v>23</v>
      </c>
      <c r="Y2281" t="b">
        <f>IF(X2281&lt;&gt;"",VLOOKUP(X2281,game_rosters!$C$43:$E$64,3,FALSE))</f>
        <v>0</v>
      </c>
      <c r="Z2281" t="str" cm="1">
        <f t="array" ref="Z2281">IFERROR(IF(_xlfn._xlws.FILTER(game_rosters!$J:$J,(game_rosters!$G:$G=events!$AN2281)*(game_rosters!$J:$J=events!$X2281))&gt;0,1,""),"")</f>
        <v/>
      </c>
      <c r="AA2281">
        <f t="shared" si="2443"/>
        <v>2212</v>
      </c>
      <c r="AB2281" t="str">
        <f t="shared" si="2444"/>
        <v/>
      </c>
      <c r="AC2281">
        <f t="shared" si="2392"/>
        <v>2212</v>
      </c>
      <c r="AD2281" s="6">
        <v>3</v>
      </c>
      <c r="AE2281" t="s">
        <v>940</v>
      </c>
      <c r="AF2281" t="s">
        <v>905</v>
      </c>
      <c r="AG2281" t="s">
        <v>940</v>
      </c>
      <c r="AH2281" t="s">
        <v>915</v>
      </c>
      <c r="AI2281" t="s">
        <v>368</v>
      </c>
      <c r="AJ2281" t="str">
        <f t="shared" ref="AJ2281:AK2281" si="2457">IF($J2281&lt;&gt;"",$J2281,IF($AC2281=$AC2280,AJ2280,""))</f>
        <v>o</v>
      </c>
      <c r="AK2281" t="str">
        <f t="shared" si="2457"/>
        <v>o</v>
      </c>
      <c r="AL2281" t="str">
        <f t="shared" si="2397"/>
        <v>d</v>
      </c>
      <c r="AN2281" t="s">
        <v>862</v>
      </c>
      <c r="AO2281" t="str">
        <f t="shared" si="2398"/>
        <v>a</v>
      </c>
      <c r="AP2281" t="str">
        <f t="shared" si="2406"/>
        <v>d</v>
      </c>
      <c r="AQ2281" t="str">
        <f t="shared" si="2407"/>
        <v/>
      </c>
      <c r="AR2281" t="str">
        <f t="shared" si="2408"/>
        <v>Away</v>
      </c>
      <c r="AS2281" t="str">
        <f t="shared" si="2409"/>
        <v>a</v>
      </c>
      <c r="AT2281" t="str">
        <f t="shared" si="2410"/>
        <v>Defensive</v>
      </c>
      <c r="BA2281" s="6">
        <f t="shared" si="2399"/>
        <v>524</v>
      </c>
      <c r="BB2281">
        <f t="shared" si="2400"/>
        <v>18981</v>
      </c>
      <c r="BC2281" t="str">
        <f t="shared" si="2401"/>
        <v>Nelson</v>
      </c>
      <c r="BD2281" t="str">
        <f t="shared" si="2402"/>
        <v>Velodrome</v>
      </c>
      <c r="BE2281" t="s">
        <v>238</v>
      </c>
      <c r="BF2281" t="s">
        <v>174</v>
      </c>
      <c r="BG2281" t="s">
        <v>85</v>
      </c>
      <c r="BI2281" cm="1">
        <f t="array" ref="BI2281">IFERROR(_xlfn._xlws.FILTER(shifts!A:A,(shifts!B:B=events!AD2281)*(shifts!AG:AG&gt;=events!BK2281)*(shifts!AH:AH&lt;=events!BL2281)),BI2280)</f>
        <v>100</v>
      </c>
      <c r="BJ2281" s="15">
        <f t="shared" si="2403"/>
        <v>2</v>
      </c>
      <c r="BK2281">
        <f t="shared" si="2411"/>
        <v>212</v>
      </c>
      <c r="BL2281">
        <f t="shared" si="2412"/>
        <v>210</v>
      </c>
      <c r="BM2281" s="15">
        <f>SUMIFS(BJ$2:BJ2281,K$2:K2281,"=Intermission")+SUMIFS(BJ$2:BJ2281,K$2:K2281,"=Timeout")</f>
        <v>142</v>
      </c>
      <c r="BN2281">
        <f t="shared" si="2413"/>
        <v>2302</v>
      </c>
      <c r="BO2281" s="19">
        <f t="shared" si="2414"/>
        <v>3170</v>
      </c>
      <c r="BP2281">
        <f t="shared" si="2415"/>
        <v>3165</v>
      </c>
      <c r="BQ2281" s="17">
        <f t="shared" si="2416"/>
        <v>3172</v>
      </c>
      <c r="BR2281" t="str">
        <f t="shared" si="2417"/>
        <v>opp_team_player_1</v>
      </c>
      <c r="BS2281">
        <f>COUNTIFS(S$3:S2281,"="&amp;S2281,AI$3:AI2281,"="&amp;AI2281)</f>
        <v>1</v>
      </c>
      <c r="BT2281" t="str">
        <f>IFERROR(VLOOKUP(BB2281&amp;BU2281&amp;X2281,game_rosters!U:W,3,FALSE),"")</f>
        <v>P100061</v>
      </c>
      <c r="BU2281" t="str">
        <f t="shared" si="2418"/>
        <v>Nelson</v>
      </c>
    </row>
    <row r="2282" spans="1:73" x14ac:dyDescent="0.2">
      <c r="A2282">
        <f t="shared" si="2404"/>
        <v>1</v>
      </c>
      <c r="J2282" s="44" t="str">
        <f t="shared" si="2419"/>
        <v>o</v>
      </c>
      <c r="K2282" t="s">
        <v>238</v>
      </c>
      <c r="L2282" t="s">
        <v>174</v>
      </c>
      <c r="M2282" t="s">
        <v>85</v>
      </c>
      <c r="S2282">
        <v>1212</v>
      </c>
      <c r="W2282" t="str">
        <f t="shared" si="2395"/>
        <v>a</v>
      </c>
      <c r="X2282">
        <v>37</v>
      </c>
      <c r="Y2282" t="b">
        <f>IF(X2282&lt;&gt;"",VLOOKUP(X2282,game_rosters!$C$43:$E$64,3,FALSE))</f>
        <v>0</v>
      </c>
      <c r="Z2282" t="str" cm="1">
        <f t="array" ref="Z2282">IFERROR(IF(_xlfn._xlws.FILTER(game_rosters!$J:$J,(game_rosters!$G:$G=events!$AN2282)*(game_rosters!$J:$J=events!$X2282))&gt;0,1,""),"")</f>
        <v/>
      </c>
      <c r="AA2282">
        <f t="shared" si="2443"/>
        <v>2212</v>
      </c>
      <c r="AB2282" t="str">
        <f t="shared" si="2444"/>
        <v/>
      </c>
      <c r="AC2282">
        <f t="shared" si="2392"/>
        <v>2212</v>
      </c>
      <c r="AD2282" s="6">
        <v>3</v>
      </c>
      <c r="AE2282" t="s">
        <v>940</v>
      </c>
      <c r="AF2282" t="s">
        <v>905</v>
      </c>
      <c r="AG2282" t="s">
        <v>940</v>
      </c>
      <c r="AH2282" t="s">
        <v>915</v>
      </c>
      <c r="AI2282" t="s">
        <v>368</v>
      </c>
      <c r="AJ2282" t="str">
        <f t="shared" ref="AJ2282:AK2282" si="2458">IF($J2282&lt;&gt;"",$J2282,IF($AC2282=$AC2281,AJ2281,""))</f>
        <v>o</v>
      </c>
      <c r="AK2282" t="str">
        <f t="shared" si="2458"/>
        <v>o</v>
      </c>
      <c r="AL2282" t="str">
        <f t="shared" si="2397"/>
        <v>d</v>
      </c>
      <c r="AN2282" t="s">
        <v>862</v>
      </c>
      <c r="AO2282" t="str">
        <f t="shared" si="2398"/>
        <v>a</v>
      </c>
      <c r="AP2282" t="str">
        <f t="shared" si="2406"/>
        <v>d</v>
      </c>
      <c r="AQ2282" t="str">
        <f t="shared" si="2407"/>
        <v/>
      </c>
      <c r="AR2282" t="str">
        <f t="shared" si="2408"/>
        <v>Away</v>
      </c>
      <c r="AS2282" t="str">
        <f t="shared" si="2409"/>
        <v>a</v>
      </c>
      <c r="AT2282" t="str">
        <f t="shared" si="2410"/>
        <v>Defensive</v>
      </c>
      <c r="BA2282" s="6">
        <f t="shared" si="2399"/>
        <v>525</v>
      </c>
      <c r="BB2282">
        <f t="shared" si="2400"/>
        <v>18981</v>
      </c>
      <c r="BC2282" t="str">
        <f t="shared" si="2401"/>
        <v>Nelson</v>
      </c>
      <c r="BD2282" t="str">
        <f t="shared" si="2402"/>
        <v>Velodrome</v>
      </c>
      <c r="BE2282" t="s">
        <v>238</v>
      </c>
      <c r="BF2282" t="s">
        <v>174</v>
      </c>
      <c r="BG2282" t="s">
        <v>85</v>
      </c>
      <c r="BI2282" cm="1">
        <f t="array" ref="BI2282">IFERROR(_xlfn._xlws.FILTER(shifts!A:A,(shifts!B:B=events!AD2282)*(shifts!AG:AG&gt;=events!BK2282)*(shifts!AH:AH&lt;=events!BL2282)),BI2281)</f>
        <v>100</v>
      </c>
      <c r="BJ2282" s="15">
        <f t="shared" si="2403"/>
        <v>2</v>
      </c>
      <c r="BK2282">
        <f t="shared" si="2411"/>
        <v>212</v>
      </c>
      <c r="BL2282">
        <f t="shared" si="2412"/>
        <v>210</v>
      </c>
      <c r="BM2282" s="15">
        <f>SUMIFS(BJ$2:BJ2282,K$2:K2282,"=Intermission")+SUMIFS(BJ$2:BJ2282,K$2:K2282,"=Timeout")</f>
        <v>142</v>
      </c>
      <c r="BN2282">
        <f t="shared" si="2413"/>
        <v>2302</v>
      </c>
      <c r="BO2282" s="19">
        <f t="shared" si="2414"/>
        <v>3170</v>
      </c>
      <c r="BP2282">
        <f t="shared" si="2415"/>
        <v>3165</v>
      </c>
      <c r="BQ2282" s="17">
        <f t="shared" si="2416"/>
        <v>3172</v>
      </c>
      <c r="BR2282" t="str">
        <f t="shared" si="2417"/>
        <v>opp_team_player_2</v>
      </c>
      <c r="BS2282">
        <f>COUNTIFS(S$3:S2282,"="&amp;S2282,AI$3:AI2282,"="&amp;AI2282)</f>
        <v>2</v>
      </c>
      <c r="BT2282" t="str">
        <f>IFERROR(VLOOKUP(BB2282&amp;BU2282&amp;X2282,game_rosters!U:W,3,FALSE),"")</f>
        <v>P100119</v>
      </c>
      <c r="BU2282" t="str">
        <f t="shared" si="2418"/>
        <v>Nelson</v>
      </c>
    </row>
    <row r="2283" spans="1:73" x14ac:dyDescent="0.2">
      <c r="A2283">
        <f t="shared" si="2404"/>
        <v>1</v>
      </c>
      <c r="J2283" s="44" t="str">
        <f t="shared" si="2419"/>
        <v/>
      </c>
      <c r="K2283" t="s">
        <v>7</v>
      </c>
      <c r="L2283" t="s">
        <v>172</v>
      </c>
      <c r="M2283" t="s">
        <v>67</v>
      </c>
      <c r="S2283">
        <v>1213</v>
      </c>
      <c r="W2283" t="str">
        <f t="shared" si="2395"/>
        <v>a</v>
      </c>
      <c r="X2283">
        <v>49</v>
      </c>
      <c r="Y2283" t="e">
        <f>IF(X2283&lt;&gt;"",VLOOKUP(X2283,game_rosters!$C$43:$E$64,3,FALSE))</f>
        <v>#N/A</v>
      </c>
      <c r="Z2283" cm="1">
        <f t="array" ref="Z2283">IFERROR(IF(_xlfn._xlws.FILTER(game_rosters!$J:$J,(game_rosters!$G:$G=events!$AN2283)*(game_rosters!$J:$J=events!$X2283))&gt;0,1,""),"")</f>
        <v>1</v>
      </c>
      <c r="AA2283">
        <f t="shared" si="2443"/>
        <v>2213</v>
      </c>
      <c r="AB2283" t="str">
        <f t="shared" si="2444"/>
        <v/>
      </c>
      <c r="AC2283">
        <f t="shared" si="2392"/>
        <v>2213</v>
      </c>
      <c r="AD2283" s="6">
        <v>3</v>
      </c>
      <c r="AE2283" t="s">
        <v>940</v>
      </c>
      <c r="AF2283" t="s">
        <v>915</v>
      </c>
      <c r="AG2283" t="s">
        <v>756</v>
      </c>
      <c r="AH2283" t="s">
        <v>756</v>
      </c>
      <c r="AI2283" t="s">
        <v>367</v>
      </c>
      <c r="AJ2283" t="str">
        <f t="shared" ref="AJ2283:AK2283" si="2459">IF($J2283&lt;&gt;"",$J2283,IF($AC2283=$AC2282,AJ2282,""))</f>
        <v/>
      </c>
      <c r="AK2283" t="str">
        <f t="shared" si="2459"/>
        <v/>
      </c>
      <c r="AL2283" t="str">
        <f t="shared" si="2397"/>
        <v/>
      </c>
      <c r="AN2283" t="s">
        <v>862</v>
      </c>
      <c r="AO2283" t="str">
        <f t="shared" si="2398"/>
        <v>a</v>
      </c>
      <c r="AP2283" t="str">
        <f t="shared" si="2406"/>
        <v/>
      </c>
      <c r="AQ2283" t="str">
        <f t="shared" si="2407"/>
        <v/>
      </c>
      <c r="AR2283" t="str">
        <f t="shared" si="2408"/>
        <v>Away</v>
      </c>
      <c r="AS2283" t="str">
        <f t="shared" si="2409"/>
        <v>a</v>
      </c>
      <c r="AT2283" t="str">
        <f t="shared" si="2410"/>
        <v>Offensive</v>
      </c>
      <c r="BA2283" s="6">
        <f t="shared" si="2399"/>
        <v>525</v>
      </c>
      <c r="BB2283">
        <f t="shared" si="2400"/>
        <v>18981</v>
      </c>
      <c r="BC2283" t="str">
        <f t="shared" si="2401"/>
        <v>Nelson</v>
      </c>
      <c r="BD2283" t="str">
        <f t="shared" si="2402"/>
        <v>Velodrome</v>
      </c>
      <c r="BE2283" t="s">
        <v>7</v>
      </c>
      <c r="BF2283" t="s">
        <v>172</v>
      </c>
      <c r="BG2283" t="s">
        <v>67</v>
      </c>
      <c r="BI2283">
        <v>100</v>
      </c>
      <c r="BJ2283" s="15">
        <f t="shared" si="2403"/>
        <v>0</v>
      </c>
      <c r="BK2283">
        <f t="shared" si="2411"/>
        <v>210</v>
      </c>
      <c r="BL2283">
        <f t="shared" si="2412"/>
        <v>210</v>
      </c>
      <c r="BM2283" s="15">
        <f>SUMIFS(BJ$2:BJ2283,K$2:K2283,"=Intermission")+SUMIFS(BJ$2:BJ2283,K$2:K2283,"=Timeout")</f>
        <v>142</v>
      </c>
      <c r="BN2283">
        <f t="shared" si="2413"/>
        <v>2302</v>
      </c>
      <c r="BO2283" s="19">
        <f t="shared" si="2414"/>
        <v>3172</v>
      </c>
      <c r="BP2283">
        <f t="shared" si="2415"/>
        <v>3167</v>
      </c>
      <c r="BQ2283" s="17">
        <f t="shared" si="2416"/>
        <v>3172</v>
      </c>
      <c r="BR2283" t="str">
        <f t="shared" si="2417"/>
        <v>event_team_player_1</v>
      </c>
      <c r="BS2283">
        <f>COUNTIFS(S$3:S2283,"="&amp;S2283,AI$3:AI2283,"="&amp;AI2283)</f>
        <v>1</v>
      </c>
      <c r="BT2283" t="str">
        <f>IFERROR(VLOOKUP(BB2283&amp;BU2283&amp;X2283,game_rosters!U:W,3,FALSE),"")</f>
        <v>P100161</v>
      </c>
      <c r="BU2283" t="str">
        <f t="shared" si="2418"/>
        <v>Velodrome</v>
      </c>
    </row>
    <row r="2284" spans="1:73" x14ac:dyDescent="0.2">
      <c r="A2284">
        <f t="shared" si="2404"/>
        <v>1</v>
      </c>
      <c r="J2284" s="44" t="str">
        <f t="shared" si="2419"/>
        <v/>
      </c>
      <c r="K2284" t="s">
        <v>7</v>
      </c>
      <c r="L2284" t="s">
        <v>172</v>
      </c>
      <c r="M2284" t="s">
        <v>67</v>
      </c>
      <c r="S2284">
        <v>1213</v>
      </c>
      <c r="W2284" t="str">
        <f t="shared" si="2395"/>
        <v>a</v>
      </c>
      <c r="X2284">
        <v>61</v>
      </c>
      <c r="Y2284" t="e">
        <f>IF(X2284&lt;&gt;"",VLOOKUP(X2284,game_rosters!$C$43:$E$64,3,FALSE))</f>
        <v>#N/A</v>
      </c>
      <c r="Z2284" cm="1">
        <f t="array" ref="Z2284">IFERROR(IF(_xlfn._xlws.FILTER(game_rosters!$J:$J,(game_rosters!$G:$G=events!$AN2284)*(game_rosters!$J:$J=events!$X2284))&gt;0,1,""),"")</f>
        <v>1</v>
      </c>
      <c r="AA2284">
        <f t="shared" si="2443"/>
        <v>2213</v>
      </c>
      <c r="AB2284" t="str">
        <f t="shared" si="2444"/>
        <v/>
      </c>
      <c r="AC2284">
        <f t="shared" si="2392"/>
        <v>2213</v>
      </c>
      <c r="AD2284" s="6">
        <v>3</v>
      </c>
      <c r="AE2284" t="s">
        <v>940</v>
      </c>
      <c r="AF2284" t="s">
        <v>915</v>
      </c>
      <c r="AG2284" t="s">
        <v>756</v>
      </c>
      <c r="AH2284" t="s">
        <v>756</v>
      </c>
      <c r="AI2284" t="s">
        <v>367</v>
      </c>
      <c r="AJ2284" t="str">
        <f t="shared" ref="AJ2284:AK2284" si="2460">IF($J2284&lt;&gt;"",$J2284,IF($AC2284=$AC2283,AJ2283,""))</f>
        <v/>
      </c>
      <c r="AK2284" t="str">
        <f t="shared" si="2460"/>
        <v/>
      </c>
      <c r="AL2284" t="str">
        <f t="shared" si="2397"/>
        <v/>
      </c>
      <c r="AN2284" t="s">
        <v>862</v>
      </c>
      <c r="AO2284" t="str">
        <f t="shared" si="2398"/>
        <v>a</v>
      </c>
      <c r="AP2284" t="str">
        <f t="shared" si="2406"/>
        <v/>
      </c>
      <c r="AQ2284" t="str">
        <f t="shared" si="2407"/>
        <v/>
      </c>
      <c r="AR2284" t="str">
        <f t="shared" si="2408"/>
        <v>Away</v>
      </c>
      <c r="AS2284" t="str">
        <f t="shared" si="2409"/>
        <v>a</v>
      </c>
      <c r="AT2284" t="str">
        <f t="shared" si="2410"/>
        <v>Offensive</v>
      </c>
      <c r="BA2284" s="6">
        <f t="shared" si="2399"/>
        <v>525</v>
      </c>
      <c r="BB2284">
        <f t="shared" si="2400"/>
        <v>18981</v>
      </c>
      <c r="BC2284" t="str">
        <f t="shared" si="2401"/>
        <v>Nelson</v>
      </c>
      <c r="BD2284" t="str">
        <f t="shared" si="2402"/>
        <v>Velodrome</v>
      </c>
      <c r="BE2284" t="s">
        <v>7</v>
      </c>
      <c r="BF2284" t="s">
        <v>172</v>
      </c>
      <c r="BG2284" t="s">
        <v>67</v>
      </c>
      <c r="BI2284">
        <v>100</v>
      </c>
      <c r="BJ2284" s="15">
        <f t="shared" si="2403"/>
        <v>0</v>
      </c>
      <c r="BK2284">
        <f t="shared" si="2411"/>
        <v>210</v>
      </c>
      <c r="BL2284">
        <f t="shared" si="2412"/>
        <v>210</v>
      </c>
      <c r="BM2284" s="15">
        <f>SUMIFS(BJ$2:BJ2284,K$2:K2284,"=Intermission")+SUMIFS(BJ$2:BJ2284,K$2:K2284,"=Timeout")</f>
        <v>142</v>
      </c>
      <c r="BN2284">
        <f t="shared" si="2413"/>
        <v>2302</v>
      </c>
      <c r="BO2284" s="19">
        <f t="shared" si="2414"/>
        <v>3172</v>
      </c>
      <c r="BP2284">
        <f t="shared" si="2415"/>
        <v>3167</v>
      </c>
      <c r="BQ2284" s="17">
        <f t="shared" si="2416"/>
        <v>3172</v>
      </c>
      <c r="BR2284" t="str">
        <f t="shared" si="2417"/>
        <v>event_team_player_2</v>
      </c>
      <c r="BS2284">
        <f>COUNTIFS(S$3:S2284,"="&amp;S2284,AI$3:AI2284,"="&amp;AI2284)</f>
        <v>2</v>
      </c>
      <c r="BT2284" t="str">
        <f>IFERROR(VLOOKUP(BB2284&amp;BU2284&amp;X2284,game_rosters!U:W,3,FALSE),"")</f>
        <v>P100224</v>
      </c>
      <c r="BU2284" t="str">
        <f t="shared" si="2418"/>
        <v>Velodrome</v>
      </c>
    </row>
    <row r="2285" spans="1:73" x14ac:dyDescent="0.2">
      <c r="A2285">
        <f t="shared" si="2404"/>
        <v>1</v>
      </c>
      <c r="J2285" s="44" t="str">
        <f t="shared" si="2419"/>
        <v/>
      </c>
      <c r="K2285" t="s">
        <v>13</v>
      </c>
      <c r="L2285" t="s">
        <v>756</v>
      </c>
      <c r="M2285" t="s">
        <v>756</v>
      </c>
      <c r="S2285">
        <v>1214</v>
      </c>
      <c r="W2285" t="str">
        <f t="shared" si="2395"/>
        <v>a</v>
      </c>
      <c r="X2285">
        <v>61</v>
      </c>
      <c r="Y2285" t="e">
        <f>IF(X2285&lt;&gt;"",VLOOKUP(X2285,game_rosters!$C$43:$E$64,3,FALSE))</f>
        <v>#N/A</v>
      </c>
      <c r="Z2285" cm="1">
        <f t="array" ref="Z2285">IFERROR(IF(_xlfn._xlws.FILTER(game_rosters!$J:$J,(game_rosters!$G:$G=events!$AN2285)*(game_rosters!$J:$J=events!$X2285))&gt;0,1,""),"")</f>
        <v>1</v>
      </c>
      <c r="AA2285">
        <f t="shared" si="2443"/>
        <v>2214</v>
      </c>
      <c r="AB2285" t="str">
        <f t="shared" si="2444"/>
        <v/>
      </c>
      <c r="AC2285">
        <f t="shared" si="2392"/>
        <v>2214</v>
      </c>
      <c r="AD2285" s="6">
        <v>3</v>
      </c>
      <c r="AE2285" t="s">
        <v>940</v>
      </c>
      <c r="AF2285" t="s">
        <v>915</v>
      </c>
      <c r="AG2285" t="s">
        <v>940</v>
      </c>
      <c r="AH2285" t="s">
        <v>930</v>
      </c>
      <c r="AI2285" t="s">
        <v>367</v>
      </c>
      <c r="AJ2285" t="str">
        <f t="shared" ref="AJ2285:AK2285" si="2461">IF($J2285&lt;&gt;"",$J2285,IF($AC2285=$AC2284,AJ2284,""))</f>
        <v/>
      </c>
      <c r="AK2285" t="str">
        <f t="shared" si="2461"/>
        <v/>
      </c>
      <c r="AL2285" t="str">
        <f t="shared" si="2397"/>
        <v/>
      </c>
      <c r="AN2285" t="s">
        <v>862</v>
      </c>
      <c r="AO2285" t="str">
        <f t="shared" si="2398"/>
        <v>a</v>
      </c>
      <c r="AP2285" t="str">
        <f t="shared" si="2406"/>
        <v/>
      </c>
      <c r="AQ2285" t="str">
        <f t="shared" si="2407"/>
        <v/>
      </c>
      <c r="AR2285" t="str">
        <f t="shared" si="2408"/>
        <v>Away</v>
      </c>
      <c r="AS2285" t="str">
        <f t="shared" si="2409"/>
        <v>a</v>
      </c>
      <c r="AT2285" t="str">
        <f t="shared" si="2410"/>
        <v>Offensive</v>
      </c>
      <c r="BA2285" s="6">
        <f t="shared" si="2399"/>
        <v>525</v>
      </c>
      <c r="BB2285">
        <f t="shared" si="2400"/>
        <v>18981</v>
      </c>
      <c r="BC2285" t="str">
        <f t="shared" si="2401"/>
        <v>Nelson</v>
      </c>
      <c r="BD2285" t="str">
        <f t="shared" si="2402"/>
        <v>Velodrome</v>
      </c>
      <c r="BE2285" t="s">
        <v>13</v>
      </c>
      <c r="BF2285" t="s">
        <v>756</v>
      </c>
      <c r="BG2285" t="s">
        <v>756</v>
      </c>
      <c r="BI2285" cm="1">
        <f t="array" ref="BI2285">IFERROR(_xlfn._xlws.FILTER(shifts!A:A,(shifts!B:B=events!AD2285)*(shifts!AG:AG&gt;=events!BK2285)*(shifts!AH:AH&lt;=events!BL2285)),BI2284)</f>
        <v>101</v>
      </c>
      <c r="BJ2285" s="15">
        <f t="shared" si="2403"/>
        <v>2</v>
      </c>
      <c r="BK2285">
        <f t="shared" si="2411"/>
        <v>210</v>
      </c>
      <c r="BL2285">
        <f t="shared" si="2412"/>
        <v>208</v>
      </c>
      <c r="BM2285" s="15">
        <f>SUMIFS(BJ$2:BJ2285,K$2:K2285,"=Intermission")+SUMIFS(BJ$2:BJ2285,K$2:K2285,"=Timeout")</f>
        <v>142</v>
      </c>
      <c r="BN2285">
        <f t="shared" si="2413"/>
        <v>2302</v>
      </c>
      <c r="BO2285" s="19">
        <f t="shared" si="2414"/>
        <v>3172</v>
      </c>
      <c r="BP2285">
        <f t="shared" si="2415"/>
        <v>3167</v>
      </c>
      <c r="BQ2285" s="17">
        <f t="shared" si="2416"/>
        <v>3174</v>
      </c>
      <c r="BR2285" t="str">
        <f t="shared" si="2417"/>
        <v>event_team_player_1</v>
      </c>
      <c r="BS2285">
        <f>COUNTIFS(S$3:S2285,"="&amp;S2285,AI$3:AI2285,"="&amp;AI2285)</f>
        <v>1</v>
      </c>
      <c r="BT2285" t="str">
        <f>IFERROR(VLOOKUP(BB2285&amp;BU2285&amp;X2285,game_rosters!U:W,3,FALSE),"")</f>
        <v>P100224</v>
      </c>
      <c r="BU2285" t="str">
        <f t="shared" si="2418"/>
        <v>Velodrome</v>
      </c>
    </row>
    <row r="2286" spans="1:73" x14ac:dyDescent="0.2">
      <c r="A2286">
        <f t="shared" si="2404"/>
        <v>1</v>
      </c>
      <c r="J2286" s="44" t="str">
        <f t="shared" si="2419"/>
        <v>o</v>
      </c>
      <c r="K2286" t="s">
        <v>6</v>
      </c>
      <c r="L2286" t="s">
        <v>181</v>
      </c>
      <c r="M2286" t="s">
        <v>51</v>
      </c>
      <c r="S2286">
        <v>1215</v>
      </c>
      <c r="W2286" t="str">
        <f t="shared" si="2395"/>
        <v>a</v>
      </c>
      <c r="X2286">
        <v>61</v>
      </c>
      <c r="Y2286" t="e">
        <f>IF(X2286&lt;&gt;"",VLOOKUP(X2286,game_rosters!$C$43:$E$64,3,FALSE))</f>
        <v>#N/A</v>
      </c>
      <c r="Z2286" cm="1">
        <f t="array" ref="Z2286">IFERROR(IF(_xlfn._xlws.FILTER(game_rosters!$J:$J,(game_rosters!$G:$G=events!$AN2286)*(game_rosters!$J:$J=events!$X2286))&gt;0,1,""),"")</f>
        <v>1</v>
      </c>
      <c r="AA2286">
        <f t="shared" si="2443"/>
        <v>2215</v>
      </c>
      <c r="AB2286" t="str">
        <f t="shared" si="2444"/>
        <v/>
      </c>
      <c r="AC2286">
        <f t="shared" si="2392"/>
        <v>2215</v>
      </c>
      <c r="AD2286" s="6">
        <v>3</v>
      </c>
      <c r="AE2286" t="s">
        <v>940</v>
      </c>
      <c r="AF2286" t="s">
        <v>930</v>
      </c>
      <c r="AG2286" t="s">
        <v>756</v>
      </c>
      <c r="AH2286" t="s">
        <v>756</v>
      </c>
      <c r="AI2286" t="s">
        <v>367</v>
      </c>
      <c r="AJ2286" t="str">
        <f t="shared" ref="AJ2286:AK2286" si="2462">IF($J2286&lt;&gt;"",$J2286,IF($AC2286=$AC2285,AJ2285,""))</f>
        <v>o</v>
      </c>
      <c r="AK2286" t="str">
        <f t="shared" si="2462"/>
        <v>o</v>
      </c>
      <c r="AL2286" t="str">
        <f t="shared" si="2397"/>
        <v>d</v>
      </c>
      <c r="AN2286" t="s">
        <v>862</v>
      </c>
      <c r="AO2286" t="str">
        <f t="shared" si="2398"/>
        <v>a</v>
      </c>
      <c r="AP2286" t="str">
        <f t="shared" si="2406"/>
        <v>d</v>
      </c>
      <c r="AQ2286" t="str">
        <f t="shared" si="2407"/>
        <v/>
      </c>
      <c r="AR2286" t="str">
        <f t="shared" si="2408"/>
        <v>Away</v>
      </c>
      <c r="AS2286" t="str">
        <f t="shared" si="2409"/>
        <v>a</v>
      </c>
      <c r="AT2286" t="str">
        <f t="shared" si="2410"/>
        <v>Offensive</v>
      </c>
      <c r="BA2286" s="6">
        <f t="shared" si="2399"/>
        <v>525</v>
      </c>
      <c r="BB2286">
        <f t="shared" si="2400"/>
        <v>18981</v>
      </c>
      <c r="BC2286" t="str">
        <f t="shared" si="2401"/>
        <v>Nelson</v>
      </c>
      <c r="BD2286" t="str">
        <f t="shared" si="2402"/>
        <v>Velodrome</v>
      </c>
      <c r="BE2286" t="s">
        <v>6</v>
      </c>
      <c r="BF2286" t="s">
        <v>181</v>
      </c>
      <c r="BG2286" t="s">
        <v>51</v>
      </c>
      <c r="BI2286" cm="1">
        <f t="array" ref="BI2286">IFERROR(_xlfn._xlws.FILTER(shifts!A:A,(shifts!B:B=events!AD2286)*(shifts!AG:AG&gt;=events!BK2286)*(shifts!AH:AH&lt;=events!BL2286)),BI2285)</f>
        <v>101</v>
      </c>
      <c r="BJ2286" s="15">
        <f t="shared" si="2403"/>
        <v>0</v>
      </c>
      <c r="BK2286">
        <f t="shared" si="2411"/>
        <v>208</v>
      </c>
      <c r="BL2286">
        <f t="shared" si="2412"/>
        <v>208</v>
      </c>
      <c r="BM2286" s="15">
        <f>SUMIFS(BJ$2:BJ2286,K$2:K2286,"=Intermission")+SUMIFS(BJ$2:BJ2286,K$2:K2286,"=Timeout")</f>
        <v>142</v>
      </c>
      <c r="BN2286">
        <f t="shared" si="2413"/>
        <v>2302</v>
      </c>
      <c r="BO2286" s="19">
        <f t="shared" si="2414"/>
        <v>3174</v>
      </c>
      <c r="BP2286">
        <f t="shared" si="2415"/>
        <v>3169</v>
      </c>
      <c r="BQ2286" s="17">
        <f t="shared" si="2416"/>
        <v>3174</v>
      </c>
      <c r="BR2286" t="str">
        <f t="shared" si="2417"/>
        <v>event_team_player_1</v>
      </c>
      <c r="BS2286">
        <f>COUNTIFS(S$3:S2286,"="&amp;S2286,AI$3:AI2286,"="&amp;AI2286)</f>
        <v>1</v>
      </c>
      <c r="BT2286" t="str">
        <f>IFERROR(VLOOKUP(BB2286&amp;BU2286&amp;X2286,game_rosters!U:W,3,FALSE),"")</f>
        <v>P100224</v>
      </c>
      <c r="BU2286" t="str">
        <f t="shared" si="2418"/>
        <v>Velodrome</v>
      </c>
    </row>
    <row r="2287" spans="1:73" x14ac:dyDescent="0.2">
      <c r="A2287">
        <f t="shared" si="2404"/>
        <v>1</v>
      </c>
      <c r="J2287" s="44" t="str">
        <f t="shared" si="2419"/>
        <v/>
      </c>
      <c r="K2287" t="s">
        <v>7</v>
      </c>
      <c r="L2287" t="s">
        <v>172</v>
      </c>
      <c r="M2287" t="s">
        <v>66</v>
      </c>
      <c r="S2287">
        <v>1216</v>
      </c>
      <c r="W2287" t="str">
        <f t="shared" si="2395"/>
        <v>a</v>
      </c>
      <c r="X2287">
        <v>14</v>
      </c>
      <c r="Y2287" t="e">
        <f>IF(X2287&lt;&gt;"",VLOOKUP(X2287,game_rosters!$C$43:$E$64,3,FALSE))</f>
        <v>#N/A</v>
      </c>
      <c r="Z2287" cm="1">
        <f t="array" ref="Z2287">IFERROR(IF(_xlfn._xlws.FILTER(game_rosters!$J:$J,(game_rosters!$G:$G=events!$AN2287)*(game_rosters!$J:$J=events!$X2287))&gt;0,1,""),"")</f>
        <v>1</v>
      </c>
      <c r="AA2287">
        <f t="shared" si="2443"/>
        <v>2216</v>
      </c>
      <c r="AB2287" t="str">
        <f t="shared" si="2444"/>
        <v/>
      </c>
      <c r="AC2287">
        <f t="shared" si="2392"/>
        <v>2216</v>
      </c>
      <c r="AD2287" s="6">
        <v>3</v>
      </c>
      <c r="AE2287" t="s">
        <v>940</v>
      </c>
      <c r="AF2287" t="s">
        <v>916</v>
      </c>
      <c r="AG2287" t="s">
        <v>756</v>
      </c>
      <c r="AH2287" t="s">
        <v>756</v>
      </c>
      <c r="AI2287" t="s">
        <v>367</v>
      </c>
      <c r="AJ2287" t="str">
        <f t="shared" ref="AJ2287:AK2287" si="2463">IF($J2287&lt;&gt;"",$J2287,IF($AC2287=$AC2286,AJ2286,""))</f>
        <v/>
      </c>
      <c r="AK2287" t="str">
        <f t="shared" si="2463"/>
        <v/>
      </c>
      <c r="AL2287" t="str">
        <f t="shared" si="2397"/>
        <v/>
      </c>
      <c r="AN2287" t="s">
        <v>862</v>
      </c>
      <c r="AO2287" t="str">
        <f t="shared" si="2398"/>
        <v>a</v>
      </c>
      <c r="AP2287" t="str">
        <f t="shared" si="2406"/>
        <v/>
      </c>
      <c r="AQ2287" t="str">
        <f t="shared" si="2407"/>
        <v/>
      </c>
      <c r="AR2287" t="str">
        <f t="shared" si="2408"/>
        <v>Away</v>
      </c>
      <c r="AS2287" t="str">
        <f t="shared" si="2409"/>
        <v>a</v>
      </c>
      <c r="AT2287" t="str">
        <f t="shared" si="2410"/>
        <v>Offensive</v>
      </c>
      <c r="BA2287" s="6">
        <f t="shared" si="2399"/>
        <v>525</v>
      </c>
      <c r="BB2287">
        <f t="shared" si="2400"/>
        <v>18981</v>
      </c>
      <c r="BC2287" t="str">
        <f t="shared" si="2401"/>
        <v>Nelson</v>
      </c>
      <c r="BD2287" t="str">
        <f t="shared" si="2402"/>
        <v>Velodrome</v>
      </c>
      <c r="BE2287" t="s">
        <v>7</v>
      </c>
      <c r="BF2287" t="s">
        <v>172</v>
      </c>
      <c r="BG2287" t="s">
        <v>66</v>
      </c>
      <c r="BI2287" cm="1">
        <f t="array" ref="BI2287">IFERROR(_xlfn._xlws.FILTER(shifts!A:A,(shifts!B:B=events!AD2287)*(shifts!AG:AG&gt;=events!BK2287)*(shifts!AH:AH&lt;=events!BL2287)),BI2286)</f>
        <v>101</v>
      </c>
      <c r="BJ2287" s="15">
        <f t="shared" si="2403"/>
        <v>0</v>
      </c>
      <c r="BK2287">
        <f t="shared" si="2411"/>
        <v>207</v>
      </c>
      <c r="BL2287">
        <f t="shared" si="2412"/>
        <v>207</v>
      </c>
      <c r="BM2287" s="15">
        <f>SUMIFS(BJ$2:BJ2287,K$2:K2287,"=Intermission")+SUMIFS(BJ$2:BJ2287,K$2:K2287,"=Timeout")</f>
        <v>142</v>
      </c>
      <c r="BN2287">
        <f t="shared" si="2413"/>
        <v>2302</v>
      </c>
      <c r="BO2287" s="19">
        <f t="shared" si="2414"/>
        <v>3175</v>
      </c>
      <c r="BP2287">
        <f t="shared" si="2415"/>
        <v>3170</v>
      </c>
      <c r="BQ2287" s="17">
        <f t="shared" si="2416"/>
        <v>3175</v>
      </c>
      <c r="BR2287" t="str">
        <f t="shared" si="2417"/>
        <v>event_team_player_1</v>
      </c>
      <c r="BS2287">
        <f>COUNTIFS(S$3:S2287,"="&amp;S2287,AI$3:AI2287,"="&amp;AI2287)</f>
        <v>1</v>
      </c>
      <c r="BT2287" t="str">
        <f>IFERROR(VLOOKUP(BB2287&amp;BU2287&amp;X2287,game_rosters!U:W,3,FALSE),"")</f>
        <v>P100132</v>
      </c>
      <c r="BU2287" t="str">
        <f t="shared" si="2418"/>
        <v>Velodrome</v>
      </c>
    </row>
    <row r="2288" spans="1:73" x14ac:dyDescent="0.2">
      <c r="A2288">
        <f t="shared" si="2404"/>
        <v>1</v>
      </c>
      <c r="J2288" s="44" t="str">
        <f t="shared" si="2419"/>
        <v/>
      </c>
      <c r="K2288" t="s">
        <v>7</v>
      </c>
      <c r="L2288" t="s">
        <v>172</v>
      </c>
      <c r="M2288" t="s">
        <v>66</v>
      </c>
      <c r="S2288">
        <v>1216</v>
      </c>
      <c r="W2288" t="str">
        <f t="shared" si="2395"/>
        <v>a</v>
      </c>
      <c r="X2288">
        <v>49</v>
      </c>
      <c r="Y2288" t="e">
        <f>IF(X2288&lt;&gt;"",VLOOKUP(X2288,game_rosters!$C$43:$E$64,3,FALSE))</f>
        <v>#N/A</v>
      </c>
      <c r="Z2288" cm="1">
        <f t="array" ref="Z2288">IFERROR(IF(_xlfn._xlws.FILTER(game_rosters!$J:$J,(game_rosters!$G:$G=events!$AN2288)*(game_rosters!$J:$J=events!$X2288))&gt;0,1,""),"")</f>
        <v>1</v>
      </c>
      <c r="AA2288">
        <f t="shared" si="2443"/>
        <v>2216</v>
      </c>
      <c r="AB2288" t="str">
        <f t="shared" si="2444"/>
        <v/>
      </c>
      <c r="AC2288">
        <f t="shared" si="2392"/>
        <v>2216</v>
      </c>
      <c r="AD2288" s="6">
        <v>3</v>
      </c>
      <c r="AE2288" t="s">
        <v>940</v>
      </c>
      <c r="AF2288" t="s">
        <v>916</v>
      </c>
      <c r="AG2288" t="s">
        <v>756</v>
      </c>
      <c r="AH2288" t="s">
        <v>756</v>
      </c>
      <c r="AI2288" t="s">
        <v>367</v>
      </c>
      <c r="AJ2288" t="str">
        <f t="shared" ref="AJ2288:AK2288" si="2464">IF($J2288&lt;&gt;"",$J2288,IF($AC2288=$AC2287,AJ2287,""))</f>
        <v/>
      </c>
      <c r="AK2288" t="str">
        <f t="shared" si="2464"/>
        <v/>
      </c>
      <c r="AL2288" t="str">
        <f t="shared" si="2397"/>
        <v/>
      </c>
      <c r="AN2288" t="s">
        <v>862</v>
      </c>
      <c r="AO2288" t="str">
        <f t="shared" si="2398"/>
        <v>a</v>
      </c>
      <c r="AP2288" t="str">
        <f t="shared" si="2406"/>
        <v/>
      </c>
      <c r="AQ2288" t="str">
        <f t="shared" si="2407"/>
        <v/>
      </c>
      <c r="AR2288" t="str">
        <f t="shared" si="2408"/>
        <v>Away</v>
      </c>
      <c r="AS2288" t="str">
        <f t="shared" si="2409"/>
        <v>a</v>
      </c>
      <c r="AT2288" t="str">
        <f t="shared" si="2410"/>
        <v>Offensive</v>
      </c>
      <c r="BA2288" s="6">
        <f t="shared" si="2399"/>
        <v>525</v>
      </c>
      <c r="BB2288">
        <f t="shared" si="2400"/>
        <v>18981</v>
      </c>
      <c r="BC2288" t="str">
        <f t="shared" si="2401"/>
        <v>Nelson</v>
      </c>
      <c r="BD2288" t="str">
        <f t="shared" si="2402"/>
        <v>Velodrome</v>
      </c>
      <c r="BE2288" t="s">
        <v>7</v>
      </c>
      <c r="BF2288" t="s">
        <v>172</v>
      </c>
      <c r="BG2288" t="s">
        <v>66</v>
      </c>
      <c r="BI2288" cm="1">
        <f t="array" ref="BI2288">IFERROR(_xlfn._xlws.FILTER(shifts!A:A,(shifts!B:B=events!AD2288)*(shifts!AG:AG&gt;=events!BK2288)*(shifts!AH:AH&lt;=events!BL2288)),BI2287)</f>
        <v>101</v>
      </c>
      <c r="BJ2288" s="15">
        <f t="shared" si="2403"/>
        <v>0</v>
      </c>
      <c r="BK2288">
        <f t="shared" si="2411"/>
        <v>207</v>
      </c>
      <c r="BL2288">
        <f t="shared" si="2412"/>
        <v>207</v>
      </c>
      <c r="BM2288" s="15">
        <f>SUMIFS(BJ$2:BJ2288,K$2:K2288,"=Intermission")+SUMIFS(BJ$2:BJ2288,K$2:K2288,"=Timeout")</f>
        <v>142</v>
      </c>
      <c r="BN2288">
        <f t="shared" si="2413"/>
        <v>2302</v>
      </c>
      <c r="BO2288" s="19">
        <f t="shared" si="2414"/>
        <v>3175</v>
      </c>
      <c r="BP2288">
        <f t="shared" si="2415"/>
        <v>3170</v>
      </c>
      <c r="BQ2288" s="17">
        <f t="shared" si="2416"/>
        <v>3175</v>
      </c>
      <c r="BR2288" t="str">
        <f t="shared" si="2417"/>
        <v>event_team_player_2</v>
      </c>
      <c r="BS2288">
        <f>COUNTIFS(S$3:S2288,"="&amp;S2288,AI$3:AI2288,"="&amp;AI2288)</f>
        <v>2</v>
      </c>
      <c r="BT2288" t="str">
        <f>IFERROR(VLOOKUP(BB2288&amp;BU2288&amp;X2288,game_rosters!U:W,3,FALSE),"")</f>
        <v>P100161</v>
      </c>
      <c r="BU2288" t="str">
        <f t="shared" si="2418"/>
        <v>Velodrome</v>
      </c>
    </row>
    <row r="2289" spans="1:73" x14ac:dyDescent="0.2">
      <c r="A2289">
        <f t="shared" si="2404"/>
        <v>1</v>
      </c>
      <c r="J2289" s="44" t="str">
        <f t="shared" si="2419"/>
        <v/>
      </c>
      <c r="K2289" t="s">
        <v>7</v>
      </c>
      <c r="L2289" t="s">
        <v>172</v>
      </c>
      <c r="M2289" t="s">
        <v>66</v>
      </c>
      <c r="S2289">
        <v>1216</v>
      </c>
      <c r="W2289" t="str">
        <f t="shared" si="2395"/>
        <v>a</v>
      </c>
      <c r="X2289">
        <v>15</v>
      </c>
      <c r="Y2289" t="b">
        <f>IF(X2289&lt;&gt;"",VLOOKUP(X2289,game_rosters!$C$43:$E$64,3,FALSE))</f>
        <v>0</v>
      </c>
      <c r="Z2289" t="str" cm="1">
        <f t="array" ref="Z2289">IFERROR(IF(_xlfn._xlws.FILTER(game_rosters!$J:$J,(game_rosters!$G:$G=events!$AN2289)*(game_rosters!$J:$J=events!$X2289))&gt;0,1,""),"")</f>
        <v/>
      </c>
      <c r="AA2289">
        <f t="shared" si="2443"/>
        <v>2216</v>
      </c>
      <c r="AB2289" t="str">
        <f t="shared" si="2444"/>
        <v/>
      </c>
      <c r="AC2289">
        <f t="shared" si="2392"/>
        <v>2216</v>
      </c>
      <c r="AD2289" s="6">
        <v>3</v>
      </c>
      <c r="AE2289" t="s">
        <v>940</v>
      </c>
      <c r="AF2289" t="s">
        <v>916</v>
      </c>
      <c r="AG2289" t="s">
        <v>756</v>
      </c>
      <c r="AH2289" t="s">
        <v>756</v>
      </c>
      <c r="AI2289" t="s">
        <v>368</v>
      </c>
      <c r="AJ2289" t="str">
        <f t="shared" ref="AJ2289:AK2289" si="2465">IF($J2289&lt;&gt;"",$J2289,IF($AC2289=$AC2288,AJ2288,""))</f>
        <v/>
      </c>
      <c r="AK2289" t="str">
        <f t="shared" si="2465"/>
        <v/>
      </c>
      <c r="AL2289" t="str">
        <f t="shared" si="2397"/>
        <v/>
      </c>
      <c r="AN2289" t="s">
        <v>862</v>
      </c>
      <c r="AO2289" t="str">
        <f t="shared" si="2398"/>
        <v>a</v>
      </c>
      <c r="AP2289" t="str">
        <f t="shared" si="2406"/>
        <v/>
      </c>
      <c r="AQ2289" t="str">
        <f t="shared" si="2407"/>
        <v/>
      </c>
      <c r="AR2289" t="str">
        <f t="shared" si="2408"/>
        <v>Away</v>
      </c>
      <c r="AS2289" t="str">
        <f t="shared" si="2409"/>
        <v>a</v>
      </c>
      <c r="AT2289" t="str">
        <f t="shared" si="2410"/>
        <v>Defensive</v>
      </c>
      <c r="BA2289" s="6">
        <f t="shared" si="2399"/>
        <v>525</v>
      </c>
      <c r="BB2289">
        <f t="shared" si="2400"/>
        <v>18981</v>
      </c>
      <c r="BC2289" t="str">
        <f t="shared" si="2401"/>
        <v>Nelson</v>
      </c>
      <c r="BD2289" t="str">
        <f t="shared" si="2402"/>
        <v>Velodrome</v>
      </c>
      <c r="BE2289" t="s">
        <v>7</v>
      </c>
      <c r="BF2289" t="s">
        <v>172</v>
      </c>
      <c r="BG2289" t="s">
        <v>66</v>
      </c>
      <c r="BI2289" cm="1">
        <f t="array" ref="BI2289">IFERROR(_xlfn._xlws.FILTER(shifts!A:A,(shifts!B:B=events!AD2289)*(shifts!AG:AG&gt;=events!BK2289)*(shifts!AH:AH&lt;=events!BL2289)),BI2288)</f>
        <v>101</v>
      </c>
      <c r="BJ2289" s="15">
        <f t="shared" si="2403"/>
        <v>0</v>
      </c>
      <c r="BK2289">
        <f t="shared" si="2411"/>
        <v>207</v>
      </c>
      <c r="BL2289">
        <f t="shared" si="2412"/>
        <v>207</v>
      </c>
      <c r="BM2289" s="15">
        <f>SUMIFS(BJ$2:BJ2289,K$2:K2289,"=Intermission")+SUMIFS(BJ$2:BJ2289,K$2:K2289,"=Timeout")</f>
        <v>142</v>
      </c>
      <c r="BN2289">
        <f t="shared" si="2413"/>
        <v>2302</v>
      </c>
      <c r="BO2289" s="19">
        <f t="shared" si="2414"/>
        <v>3175</v>
      </c>
      <c r="BP2289">
        <f t="shared" si="2415"/>
        <v>3170</v>
      </c>
      <c r="BQ2289" s="17">
        <f t="shared" si="2416"/>
        <v>3175</v>
      </c>
      <c r="BR2289" t="str">
        <f t="shared" si="2417"/>
        <v>opp_team_player_1</v>
      </c>
      <c r="BS2289">
        <f>COUNTIFS(S$3:S2289,"="&amp;S2289,AI$3:AI2289,"="&amp;AI2289)</f>
        <v>1</v>
      </c>
      <c r="BT2289" t="str">
        <f>IFERROR(VLOOKUP(BB2289&amp;BU2289&amp;X2289,game_rosters!U:W,3,FALSE),"")</f>
        <v>P100071</v>
      </c>
      <c r="BU2289" t="str">
        <f t="shared" si="2418"/>
        <v>Nelson</v>
      </c>
    </row>
    <row r="2290" spans="1:73" x14ac:dyDescent="0.2">
      <c r="A2290">
        <f t="shared" si="2404"/>
        <v>1</v>
      </c>
      <c r="J2290" s="44" t="str">
        <f t="shared" si="2419"/>
        <v/>
      </c>
      <c r="K2290" t="s">
        <v>13</v>
      </c>
      <c r="L2290" t="s">
        <v>756</v>
      </c>
      <c r="M2290" t="s">
        <v>756</v>
      </c>
      <c r="S2290">
        <v>1217</v>
      </c>
      <c r="W2290" t="str">
        <f t="shared" si="2395"/>
        <v>a</v>
      </c>
      <c r="X2290">
        <v>49</v>
      </c>
      <c r="Y2290" t="e">
        <f>IF(X2290&lt;&gt;"",VLOOKUP(X2290,game_rosters!$C$43:$E$64,3,FALSE))</f>
        <v>#N/A</v>
      </c>
      <c r="Z2290" cm="1">
        <f t="array" ref="Z2290">IFERROR(IF(_xlfn._xlws.FILTER(game_rosters!$J:$J,(game_rosters!$G:$G=events!$AN2290)*(game_rosters!$J:$J=events!$X2290))&gt;0,1,""),"")</f>
        <v>1</v>
      </c>
      <c r="AA2290">
        <f t="shared" si="2443"/>
        <v>2217</v>
      </c>
      <c r="AB2290" t="str">
        <f t="shared" si="2444"/>
        <v/>
      </c>
      <c r="AC2290">
        <f t="shared" si="2392"/>
        <v>2217</v>
      </c>
      <c r="AD2290" s="6">
        <v>3</v>
      </c>
      <c r="AE2290" t="s">
        <v>940</v>
      </c>
      <c r="AF2290" t="s">
        <v>739</v>
      </c>
      <c r="AG2290" t="s">
        <v>940</v>
      </c>
      <c r="AH2290" t="s">
        <v>907</v>
      </c>
      <c r="AI2290" t="s">
        <v>367</v>
      </c>
      <c r="AJ2290" t="str">
        <f t="shared" ref="AJ2290:AK2290" si="2466">IF($J2290&lt;&gt;"",$J2290,IF($AC2290=$AC2289,AJ2289,""))</f>
        <v/>
      </c>
      <c r="AK2290" t="str">
        <f t="shared" si="2466"/>
        <v/>
      </c>
      <c r="AL2290" t="str">
        <f t="shared" si="2397"/>
        <v/>
      </c>
      <c r="AN2290" t="s">
        <v>862</v>
      </c>
      <c r="AO2290" t="str">
        <f t="shared" si="2398"/>
        <v>a</v>
      </c>
      <c r="AP2290" t="str">
        <f t="shared" si="2406"/>
        <v/>
      </c>
      <c r="AQ2290" t="str">
        <f t="shared" si="2407"/>
        <v/>
      </c>
      <c r="AR2290" t="str">
        <f t="shared" si="2408"/>
        <v>Away</v>
      </c>
      <c r="AS2290" t="str">
        <f t="shared" si="2409"/>
        <v>a</v>
      </c>
      <c r="AT2290" t="str">
        <f t="shared" si="2410"/>
        <v>Offensive</v>
      </c>
      <c r="BA2290" s="6">
        <f t="shared" si="2399"/>
        <v>525</v>
      </c>
      <c r="BB2290">
        <f t="shared" si="2400"/>
        <v>18981</v>
      </c>
      <c r="BC2290" t="str">
        <f t="shared" si="2401"/>
        <v>Nelson</v>
      </c>
      <c r="BD2290" t="str">
        <f t="shared" si="2402"/>
        <v>Velodrome</v>
      </c>
      <c r="BE2290" t="s">
        <v>13</v>
      </c>
      <c r="BF2290" t="s">
        <v>756</v>
      </c>
      <c r="BG2290" t="s">
        <v>756</v>
      </c>
      <c r="BI2290" cm="1">
        <f t="array" ref="BI2290">IFERROR(_xlfn._xlws.FILTER(shifts!A:A,(shifts!B:B=events!AD2290)*(shifts!AG:AG&gt;=events!BK2290)*(shifts!AH:AH&lt;=events!BL2290)),BI2289)</f>
        <v>101</v>
      </c>
      <c r="BJ2290" s="15">
        <f t="shared" si="2403"/>
        <v>2</v>
      </c>
      <c r="BK2290">
        <f t="shared" si="2411"/>
        <v>206</v>
      </c>
      <c r="BL2290">
        <f t="shared" si="2412"/>
        <v>204</v>
      </c>
      <c r="BM2290" s="15">
        <f>SUMIFS(BJ$2:BJ2290,K$2:K2290,"=Intermission")+SUMIFS(BJ$2:BJ2290,K$2:K2290,"=Timeout")</f>
        <v>142</v>
      </c>
      <c r="BN2290">
        <f t="shared" si="2413"/>
        <v>2302</v>
      </c>
      <c r="BO2290" s="19">
        <f t="shared" si="2414"/>
        <v>3176</v>
      </c>
      <c r="BP2290">
        <f t="shared" si="2415"/>
        <v>3171</v>
      </c>
      <c r="BQ2290" s="17">
        <f t="shared" si="2416"/>
        <v>3178</v>
      </c>
      <c r="BR2290" t="str">
        <f t="shared" si="2417"/>
        <v>event_team_player_1</v>
      </c>
      <c r="BS2290">
        <f>COUNTIFS(S$3:S2290,"="&amp;S2290,AI$3:AI2290,"="&amp;AI2290)</f>
        <v>1</v>
      </c>
      <c r="BT2290" t="str">
        <f>IFERROR(VLOOKUP(BB2290&amp;BU2290&amp;X2290,game_rosters!U:W,3,FALSE),"")</f>
        <v>P100161</v>
      </c>
      <c r="BU2290" t="str">
        <f t="shared" si="2418"/>
        <v>Velodrome</v>
      </c>
    </row>
    <row r="2291" spans="1:73" x14ac:dyDescent="0.2">
      <c r="A2291">
        <f t="shared" si="2404"/>
        <v>1</v>
      </c>
      <c r="J2291" s="44" t="str">
        <f t="shared" si="2419"/>
        <v/>
      </c>
      <c r="K2291" t="s">
        <v>13</v>
      </c>
      <c r="L2291" t="s">
        <v>756</v>
      </c>
      <c r="M2291" t="s">
        <v>756</v>
      </c>
      <c r="S2291">
        <v>1217</v>
      </c>
      <c r="W2291" t="str">
        <f t="shared" si="2395"/>
        <v>a</v>
      </c>
      <c r="X2291">
        <v>37</v>
      </c>
      <c r="Y2291" t="b">
        <f>IF(X2291&lt;&gt;"",VLOOKUP(X2291,game_rosters!$C$43:$E$64,3,FALSE))</f>
        <v>0</v>
      </c>
      <c r="Z2291" t="str" cm="1">
        <f t="array" ref="Z2291">IFERROR(IF(_xlfn._xlws.FILTER(game_rosters!$J:$J,(game_rosters!$G:$G=events!$AN2291)*(game_rosters!$J:$J=events!$X2291))&gt;0,1,""),"")</f>
        <v/>
      </c>
      <c r="AA2291">
        <f t="shared" si="2443"/>
        <v>2217</v>
      </c>
      <c r="AB2291" t="str">
        <f t="shared" si="2444"/>
        <v/>
      </c>
      <c r="AC2291">
        <f t="shared" si="2392"/>
        <v>2217</v>
      </c>
      <c r="AD2291" s="6">
        <v>3</v>
      </c>
      <c r="AE2291" t="s">
        <v>940</v>
      </c>
      <c r="AF2291" t="s">
        <v>739</v>
      </c>
      <c r="AG2291" t="s">
        <v>940</v>
      </c>
      <c r="AH2291" t="s">
        <v>907</v>
      </c>
      <c r="AI2291" t="s">
        <v>368</v>
      </c>
      <c r="AJ2291" t="str">
        <f t="shared" ref="AJ2291:AK2291" si="2467">IF($J2291&lt;&gt;"",$J2291,IF($AC2291=$AC2290,AJ2290,""))</f>
        <v/>
      </c>
      <c r="AK2291" t="str">
        <f t="shared" si="2467"/>
        <v/>
      </c>
      <c r="AL2291" t="str">
        <f t="shared" si="2397"/>
        <v/>
      </c>
      <c r="AN2291" t="s">
        <v>862</v>
      </c>
      <c r="AO2291" t="str">
        <f t="shared" si="2398"/>
        <v>a</v>
      </c>
      <c r="AP2291" t="str">
        <f t="shared" si="2406"/>
        <v/>
      </c>
      <c r="AQ2291" t="str">
        <f t="shared" si="2407"/>
        <v/>
      </c>
      <c r="AR2291" t="str">
        <f t="shared" si="2408"/>
        <v>Away</v>
      </c>
      <c r="AS2291" t="str">
        <f t="shared" si="2409"/>
        <v>a</v>
      </c>
      <c r="AT2291" t="str">
        <f t="shared" si="2410"/>
        <v>Defensive</v>
      </c>
      <c r="BA2291" s="6">
        <f t="shared" si="2399"/>
        <v>525</v>
      </c>
      <c r="BB2291">
        <f t="shared" si="2400"/>
        <v>18981</v>
      </c>
      <c r="BC2291" t="str">
        <f t="shared" si="2401"/>
        <v>Nelson</v>
      </c>
      <c r="BD2291" t="str">
        <f t="shared" si="2402"/>
        <v>Velodrome</v>
      </c>
      <c r="BE2291" t="s">
        <v>13</v>
      </c>
      <c r="BF2291" t="s">
        <v>756</v>
      </c>
      <c r="BG2291" t="s">
        <v>756</v>
      </c>
      <c r="BI2291" cm="1">
        <f t="array" ref="BI2291">IFERROR(_xlfn._xlws.FILTER(shifts!A:A,(shifts!B:B=events!AD2291)*(shifts!AG:AG&gt;=events!BK2291)*(shifts!AH:AH&lt;=events!BL2291)),BI2290)</f>
        <v>101</v>
      </c>
      <c r="BJ2291" s="15">
        <f t="shared" si="2403"/>
        <v>2</v>
      </c>
      <c r="BK2291">
        <f t="shared" si="2411"/>
        <v>206</v>
      </c>
      <c r="BL2291">
        <f t="shared" si="2412"/>
        <v>204</v>
      </c>
      <c r="BM2291" s="15">
        <f>SUMIFS(BJ$2:BJ2291,K$2:K2291,"=Intermission")+SUMIFS(BJ$2:BJ2291,K$2:K2291,"=Timeout")</f>
        <v>142</v>
      </c>
      <c r="BN2291">
        <f t="shared" si="2413"/>
        <v>2302</v>
      </c>
      <c r="BO2291" s="19">
        <f t="shared" si="2414"/>
        <v>3176</v>
      </c>
      <c r="BP2291">
        <f t="shared" si="2415"/>
        <v>3171</v>
      </c>
      <c r="BQ2291" s="17">
        <f t="shared" si="2416"/>
        <v>3178</v>
      </c>
      <c r="BR2291" t="str">
        <f t="shared" si="2417"/>
        <v>opp_team_player_1</v>
      </c>
      <c r="BS2291">
        <f>COUNTIFS(S$3:S2291,"="&amp;S2291,AI$3:AI2291,"="&amp;AI2291)</f>
        <v>1</v>
      </c>
      <c r="BT2291" t="str">
        <f>IFERROR(VLOOKUP(BB2291&amp;BU2291&amp;X2291,game_rosters!U:W,3,FALSE),"")</f>
        <v>P100119</v>
      </c>
      <c r="BU2291" t="str">
        <f t="shared" si="2418"/>
        <v>Nelson</v>
      </c>
    </row>
    <row r="2292" spans="1:73" x14ac:dyDescent="0.2">
      <c r="A2292">
        <f t="shared" si="2404"/>
        <v>1</v>
      </c>
      <c r="J2292" s="44" t="str">
        <f t="shared" si="2419"/>
        <v/>
      </c>
      <c r="K2292" t="s">
        <v>7</v>
      </c>
      <c r="L2292" t="s">
        <v>172</v>
      </c>
      <c r="M2292" t="s">
        <v>67</v>
      </c>
      <c r="S2292">
        <v>1218</v>
      </c>
      <c r="W2292" t="str">
        <f t="shared" si="2395"/>
        <v>a</v>
      </c>
      <c r="X2292">
        <v>49</v>
      </c>
      <c r="Y2292" t="e">
        <f>IF(X2292&lt;&gt;"",VLOOKUP(X2292,game_rosters!$C$43:$E$64,3,FALSE))</f>
        <v>#N/A</v>
      </c>
      <c r="Z2292" cm="1">
        <f t="array" ref="Z2292">IFERROR(IF(_xlfn._xlws.FILTER(game_rosters!$J:$J,(game_rosters!$G:$G=events!$AN2292)*(game_rosters!$J:$J=events!$X2292))&gt;0,1,""),"")</f>
        <v>1</v>
      </c>
      <c r="AA2292">
        <f t="shared" si="2443"/>
        <v>2218</v>
      </c>
      <c r="AB2292" t="str">
        <f t="shared" si="2444"/>
        <v/>
      </c>
      <c r="AC2292">
        <f t="shared" si="2392"/>
        <v>2218</v>
      </c>
      <c r="AD2292" s="6">
        <v>3</v>
      </c>
      <c r="AE2292" t="s">
        <v>940</v>
      </c>
      <c r="AF2292" t="s">
        <v>907</v>
      </c>
      <c r="AG2292" t="s">
        <v>756</v>
      </c>
      <c r="AH2292" t="s">
        <v>756</v>
      </c>
      <c r="AI2292" t="s">
        <v>367</v>
      </c>
      <c r="AJ2292" t="str">
        <f t="shared" ref="AJ2292:AK2292" si="2468">IF($J2292&lt;&gt;"",$J2292,IF($AC2292=$AC2291,AJ2291,""))</f>
        <v/>
      </c>
      <c r="AK2292" t="str">
        <f t="shared" si="2468"/>
        <v/>
      </c>
      <c r="AL2292" t="str">
        <f t="shared" si="2397"/>
        <v/>
      </c>
      <c r="AN2292" t="s">
        <v>862</v>
      </c>
      <c r="AO2292" t="str">
        <f t="shared" si="2398"/>
        <v>a</v>
      </c>
      <c r="AP2292" t="str">
        <f t="shared" si="2406"/>
        <v/>
      </c>
      <c r="AQ2292" t="str">
        <f t="shared" si="2407"/>
        <v/>
      </c>
      <c r="AR2292" t="str">
        <f t="shared" si="2408"/>
        <v>Away</v>
      </c>
      <c r="AS2292" t="str">
        <f t="shared" si="2409"/>
        <v>a</v>
      </c>
      <c r="AT2292" t="str">
        <f t="shared" si="2410"/>
        <v>Offensive</v>
      </c>
      <c r="BA2292" s="6">
        <f t="shared" si="2399"/>
        <v>525</v>
      </c>
      <c r="BB2292">
        <f t="shared" si="2400"/>
        <v>18981</v>
      </c>
      <c r="BC2292" t="str">
        <f t="shared" si="2401"/>
        <v>Nelson</v>
      </c>
      <c r="BD2292" t="str">
        <f t="shared" si="2402"/>
        <v>Velodrome</v>
      </c>
      <c r="BE2292" t="s">
        <v>7</v>
      </c>
      <c r="BF2292" t="s">
        <v>172</v>
      </c>
      <c r="BG2292" t="s">
        <v>67</v>
      </c>
      <c r="BI2292" cm="1">
        <f t="array" ref="BI2292">IFERROR(_xlfn._xlws.FILTER(shifts!A:A,(shifts!B:B=events!AD2292)*(shifts!AG:AG&gt;=events!BK2292)*(shifts!AH:AH&lt;=events!BL2292)),BI2291)</f>
        <v>101</v>
      </c>
      <c r="BJ2292" s="15">
        <f t="shared" si="2403"/>
        <v>0</v>
      </c>
      <c r="BK2292">
        <f t="shared" si="2411"/>
        <v>204</v>
      </c>
      <c r="BL2292">
        <f t="shared" si="2412"/>
        <v>204</v>
      </c>
      <c r="BM2292" s="15">
        <f>SUMIFS(BJ$2:BJ2292,K$2:K2292,"=Intermission")+SUMIFS(BJ$2:BJ2292,K$2:K2292,"=Timeout")</f>
        <v>142</v>
      </c>
      <c r="BN2292">
        <f t="shared" si="2413"/>
        <v>2302</v>
      </c>
      <c r="BO2292" s="19">
        <f t="shared" si="2414"/>
        <v>3178</v>
      </c>
      <c r="BP2292">
        <f t="shared" si="2415"/>
        <v>3173</v>
      </c>
      <c r="BQ2292" s="17">
        <f t="shared" si="2416"/>
        <v>3178</v>
      </c>
      <c r="BR2292" t="str">
        <f t="shared" si="2417"/>
        <v>event_team_player_1</v>
      </c>
      <c r="BS2292">
        <f>COUNTIFS(S$3:S2292,"="&amp;S2292,AI$3:AI2292,"="&amp;AI2292)</f>
        <v>1</v>
      </c>
      <c r="BT2292" t="str">
        <f>IFERROR(VLOOKUP(BB2292&amp;BU2292&amp;X2292,game_rosters!U:W,3,FALSE),"")</f>
        <v>P100161</v>
      </c>
      <c r="BU2292" t="str">
        <f t="shared" si="2418"/>
        <v>Velodrome</v>
      </c>
    </row>
    <row r="2293" spans="1:73" x14ac:dyDescent="0.2">
      <c r="A2293">
        <f t="shared" si="2404"/>
        <v>1</v>
      </c>
      <c r="J2293" s="44" t="str">
        <f t="shared" si="2419"/>
        <v/>
      </c>
      <c r="K2293" t="s">
        <v>7</v>
      </c>
      <c r="L2293" t="s">
        <v>172</v>
      </c>
      <c r="M2293" t="s">
        <v>67</v>
      </c>
      <c r="S2293">
        <v>1218</v>
      </c>
      <c r="W2293" t="str">
        <f t="shared" si="2395"/>
        <v>a</v>
      </c>
      <c r="X2293">
        <v>9</v>
      </c>
      <c r="Y2293" t="e">
        <f>IF(X2293&lt;&gt;"",VLOOKUP(X2293,game_rosters!$C$43:$E$64,3,FALSE))</f>
        <v>#N/A</v>
      </c>
      <c r="Z2293" cm="1">
        <f t="array" ref="Z2293">IFERROR(IF(_xlfn._xlws.FILTER(game_rosters!$J:$J,(game_rosters!$G:$G=events!$AN2293)*(game_rosters!$J:$J=events!$X2293))&gt;0,1,""),"")</f>
        <v>1</v>
      </c>
      <c r="AA2293">
        <f t="shared" si="2443"/>
        <v>2218</v>
      </c>
      <c r="AB2293" t="str">
        <f t="shared" si="2444"/>
        <v/>
      </c>
      <c r="AC2293">
        <f t="shared" si="2392"/>
        <v>2218</v>
      </c>
      <c r="AD2293" s="6">
        <v>3</v>
      </c>
      <c r="AE2293" t="s">
        <v>940</v>
      </c>
      <c r="AF2293" t="s">
        <v>907</v>
      </c>
      <c r="AG2293" t="s">
        <v>756</v>
      </c>
      <c r="AH2293" t="s">
        <v>756</v>
      </c>
      <c r="AI2293" t="s">
        <v>367</v>
      </c>
      <c r="AJ2293" t="str">
        <f t="shared" ref="AJ2293:AK2293" si="2469">IF($J2293&lt;&gt;"",$J2293,IF($AC2293=$AC2292,AJ2292,""))</f>
        <v/>
      </c>
      <c r="AK2293" t="str">
        <f t="shared" si="2469"/>
        <v/>
      </c>
      <c r="AL2293" t="str">
        <f t="shared" si="2397"/>
        <v/>
      </c>
      <c r="AN2293" t="s">
        <v>862</v>
      </c>
      <c r="AO2293" t="str">
        <f t="shared" si="2398"/>
        <v>a</v>
      </c>
      <c r="AP2293" t="str">
        <f t="shared" si="2406"/>
        <v/>
      </c>
      <c r="AQ2293" t="str">
        <f t="shared" si="2407"/>
        <v/>
      </c>
      <c r="AR2293" t="str">
        <f t="shared" si="2408"/>
        <v>Away</v>
      </c>
      <c r="AS2293" t="str">
        <f t="shared" si="2409"/>
        <v>a</v>
      </c>
      <c r="AT2293" t="str">
        <f t="shared" si="2410"/>
        <v>Offensive</v>
      </c>
      <c r="BA2293" s="6">
        <f t="shared" si="2399"/>
        <v>525</v>
      </c>
      <c r="BB2293">
        <f t="shared" si="2400"/>
        <v>18981</v>
      </c>
      <c r="BC2293" t="str">
        <f t="shared" si="2401"/>
        <v>Nelson</v>
      </c>
      <c r="BD2293" t="str">
        <f t="shared" si="2402"/>
        <v>Velodrome</v>
      </c>
      <c r="BE2293" t="s">
        <v>7</v>
      </c>
      <c r="BF2293" t="s">
        <v>172</v>
      </c>
      <c r="BG2293" t="s">
        <v>67</v>
      </c>
      <c r="BI2293" cm="1">
        <f t="array" ref="BI2293">IFERROR(_xlfn._xlws.FILTER(shifts!A:A,(shifts!B:B=events!AD2293)*(shifts!AG:AG&gt;=events!BK2293)*(shifts!AH:AH&lt;=events!BL2293)),BI2292)</f>
        <v>101</v>
      </c>
      <c r="BJ2293" s="15">
        <f t="shared" si="2403"/>
        <v>0</v>
      </c>
      <c r="BK2293">
        <f t="shared" si="2411"/>
        <v>204</v>
      </c>
      <c r="BL2293">
        <f t="shared" si="2412"/>
        <v>204</v>
      </c>
      <c r="BM2293" s="15">
        <f>SUMIFS(BJ$2:BJ2293,K$2:K2293,"=Intermission")+SUMIFS(BJ$2:BJ2293,K$2:K2293,"=Timeout")</f>
        <v>142</v>
      </c>
      <c r="BN2293">
        <f t="shared" si="2413"/>
        <v>2302</v>
      </c>
      <c r="BO2293" s="19">
        <f t="shared" si="2414"/>
        <v>3178</v>
      </c>
      <c r="BP2293">
        <f t="shared" si="2415"/>
        <v>3173</v>
      </c>
      <c r="BQ2293" s="17">
        <f t="shared" si="2416"/>
        <v>3178</v>
      </c>
      <c r="BR2293" t="str">
        <f t="shared" si="2417"/>
        <v>event_team_player_2</v>
      </c>
      <c r="BS2293">
        <f>COUNTIFS(S$3:S2293,"="&amp;S2293,AI$3:AI2293,"="&amp;AI2293)</f>
        <v>2</v>
      </c>
      <c r="BT2293" t="str">
        <f>IFERROR(VLOOKUP(BB2293&amp;BU2293&amp;X2293,game_rosters!U:W,3,FALSE),"")</f>
        <v>P100105</v>
      </c>
      <c r="BU2293" t="str">
        <f t="shared" si="2418"/>
        <v>Velodrome</v>
      </c>
    </row>
    <row r="2294" spans="1:73" x14ac:dyDescent="0.2">
      <c r="A2294">
        <f t="shared" si="2404"/>
        <v>1</v>
      </c>
      <c r="J2294" s="44" t="str">
        <f t="shared" si="2419"/>
        <v/>
      </c>
      <c r="K2294" t="s">
        <v>7</v>
      </c>
      <c r="L2294" t="s">
        <v>172</v>
      </c>
      <c r="M2294" t="s">
        <v>67</v>
      </c>
      <c r="S2294">
        <v>1218</v>
      </c>
      <c r="W2294" t="str">
        <f t="shared" si="2395"/>
        <v>a</v>
      </c>
      <c r="X2294">
        <v>37</v>
      </c>
      <c r="Y2294" t="b">
        <f>IF(X2294&lt;&gt;"",VLOOKUP(X2294,game_rosters!$C$43:$E$64,3,FALSE))</f>
        <v>0</v>
      </c>
      <c r="Z2294" t="str" cm="1">
        <f t="array" ref="Z2294">IFERROR(IF(_xlfn._xlws.FILTER(game_rosters!$J:$J,(game_rosters!$G:$G=events!$AN2294)*(game_rosters!$J:$J=events!$X2294))&gt;0,1,""),"")</f>
        <v/>
      </c>
      <c r="AA2294">
        <f t="shared" si="2443"/>
        <v>2218</v>
      </c>
      <c r="AB2294" t="str">
        <f t="shared" si="2444"/>
        <v/>
      </c>
      <c r="AC2294">
        <f t="shared" si="2392"/>
        <v>2218</v>
      </c>
      <c r="AD2294" s="6">
        <v>3</v>
      </c>
      <c r="AE2294" t="s">
        <v>940</v>
      </c>
      <c r="AF2294" t="s">
        <v>907</v>
      </c>
      <c r="AG2294" t="s">
        <v>756</v>
      </c>
      <c r="AH2294" t="s">
        <v>756</v>
      </c>
      <c r="AI2294" t="s">
        <v>368</v>
      </c>
      <c r="AJ2294" t="str">
        <f t="shared" ref="AJ2294:AK2294" si="2470">IF($J2294&lt;&gt;"",$J2294,IF($AC2294=$AC2293,AJ2293,""))</f>
        <v/>
      </c>
      <c r="AK2294" t="str">
        <f t="shared" si="2470"/>
        <v/>
      </c>
      <c r="AL2294" t="str">
        <f t="shared" si="2397"/>
        <v/>
      </c>
      <c r="AN2294" t="s">
        <v>862</v>
      </c>
      <c r="AO2294" t="str">
        <f t="shared" si="2398"/>
        <v>a</v>
      </c>
      <c r="AP2294" t="str">
        <f t="shared" si="2406"/>
        <v/>
      </c>
      <c r="AQ2294" t="str">
        <f t="shared" si="2407"/>
        <v/>
      </c>
      <c r="AR2294" t="str">
        <f t="shared" si="2408"/>
        <v>Away</v>
      </c>
      <c r="AS2294" t="str">
        <f t="shared" si="2409"/>
        <v>a</v>
      </c>
      <c r="AT2294" t="str">
        <f t="shared" si="2410"/>
        <v>Defensive</v>
      </c>
      <c r="BA2294" s="6">
        <f t="shared" si="2399"/>
        <v>525</v>
      </c>
      <c r="BB2294">
        <f t="shared" si="2400"/>
        <v>18981</v>
      </c>
      <c r="BC2294" t="str">
        <f t="shared" si="2401"/>
        <v>Nelson</v>
      </c>
      <c r="BD2294" t="str">
        <f t="shared" si="2402"/>
        <v>Velodrome</v>
      </c>
      <c r="BE2294" t="s">
        <v>7</v>
      </c>
      <c r="BF2294" t="s">
        <v>172</v>
      </c>
      <c r="BG2294" t="s">
        <v>67</v>
      </c>
      <c r="BI2294" cm="1">
        <f t="array" ref="BI2294">IFERROR(_xlfn._xlws.FILTER(shifts!A:A,(shifts!B:B=events!AD2294)*(shifts!AG:AG&gt;=events!BK2294)*(shifts!AH:AH&lt;=events!BL2294)),BI2293)</f>
        <v>101</v>
      </c>
      <c r="BJ2294" s="15">
        <f t="shared" si="2403"/>
        <v>0</v>
      </c>
      <c r="BK2294">
        <f t="shared" si="2411"/>
        <v>204</v>
      </c>
      <c r="BL2294">
        <f t="shared" si="2412"/>
        <v>204</v>
      </c>
      <c r="BM2294" s="15">
        <f>SUMIFS(BJ$2:BJ2294,K$2:K2294,"=Intermission")+SUMIFS(BJ$2:BJ2294,K$2:K2294,"=Timeout")</f>
        <v>142</v>
      </c>
      <c r="BN2294">
        <f t="shared" si="2413"/>
        <v>2302</v>
      </c>
      <c r="BO2294" s="19">
        <f t="shared" si="2414"/>
        <v>3178</v>
      </c>
      <c r="BP2294">
        <f t="shared" si="2415"/>
        <v>3173</v>
      </c>
      <c r="BQ2294" s="17">
        <f t="shared" si="2416"/>
        <v>3178</v>
      </c>
      <c r="BR2294" t="str">
        <f t="shared" si="2417"/>
        <v>opp_team_player_1</v>
      </c>
      <c r="BS2294">
        <f>COUNTIFS(S$3:S2294,"="&amp;S2294,AI$3:AI2294,"="&amp;AI2294)</f>
        <v>1</v>
      </c>
      <c r="BT2294" t="str">
        <f>IFERROR(VLOOKUP(BB2294&amp;BU2294&amp;X2294,game_rosters!U:W,3,FALSE),"")</f>
        <v>P100119</v>
      </c>
      <c r="BU2294" t="str">
        <f t="shared" si="2418"/>
        <v>Nelson</v>
      </c>
    </row>
    <row r="2295" spans="1:73" x14ac:dyDescent="0.2">
      <c r="A2295">
        <f t="shared" si="2404"/>
        <v>1</v>
      </c>
      <c r="J2295" s="44" t="str">
        <f t="shared" si="2419"/>
        <v>o</v>
      </c>
      <c r="K2295" t="s">
        <v>6</v>
      </c>
      <c r="L2295" t="s">
        <v>191</v>
      </c>
      <c r="M2295" t="s">
        <v>51</v>
      </c>
      <c r="S2295">
        <v>1219</v>
      </c>
      <c r="W2295" t="str">
        <f t="shared" si="2395"/>
        <v>a</v>
      </c>
      <c r="X2295">
        <v>9</v>
      </c>
      <c r="Y2295" t="e">
        <f>IF(X2295&lt;&gt;"",VLOOKUP(X2295,game_rosters!$C$43:$E$64,3,FALSE))</f>
        <v>#N/A</v>
      </c>
      <c r="Z2295" cm="1">
        <f t="array" ref="Z2295">IFERROR(IF(_xlfn._xlws.FILTER(game_rosters!$J:$J,(game_rosters!$G:$G=events!$AN2295)*(game_rosters!$J:$J=events!$X2295))&gt;0,1,""),"")</f>
        <v>1</v>
      </c>
      <c r="AA2295">
        <f t="shared" si="2443"/>
        <v>2219</v>
      </c>
      <c r="AB2295" t="str">
        <f t="shared" si="2444"/>
        <v/>
      </c>
      <c r="AC2295">
        <f t="shared" si="2392"/>
        <v>2219</v>
      </c>
      <c r="AD2295" s="6">
        <v>3</v>
      </c>
      <c r="AE2295" t="s">
        <v>940</v>
      </c>
      <c r="AF2295" t="s">
        <v>918</v>
      </c>
      <c r="AG2295" t="s">
        <v>756</v>
      </c>
      <c r="AH2295" t="s">
        <v>756</v>
      </c>
      <c r="AI2295" t="s">
        <v>367</v>
      </c>
      <c r="AJ2295" t="str">
        <f t="shared" ref="AJ2295:AK2295" si="2471">IF($J2295&lt;&gt;"",$J2295,IF($AC2295=$AC2294,AJ2294,""))</f>
        <v>o</v>
      </c>
      <c r="AK2295" t="str">
        <f t="shared" si="2471"/>
        <v>o</v>
      </c>
      <c r="AL2295" t="str">
        <f t="shared" si="2397"/>
        <v>d</v>
      </c>
      <c r="AN2295" t="s">
        <v>862</v>
      </c>
      <c r="AO2295" t="str">
        <f t="shared" si="2398"/>
        <v>a</v>
      </c>
      <c r="AP2295" t="str">
        <f t="shared" si="2406"/>
        <v>d</v>
      </c>
      <c r="AQ2295" t="str">
        <f t="shared" si="2407"/>
        <v/>
      </c>
      <c r="AR2295" t="str">
        <f t="shared" si="2408"/>
        <v>Away</v>
      </c>
      <c r="AS2295" t="str">
        <f t="shared" si="2409"/>
        <v>a</v>
      </c>
      <c r="AT2295" t="str">
        <f t="shared" si="2410"/>
        <v>Offensive</v>
      </c>
      <c r="BA2295" s="6">
        <f t="shared" si="2399"/>
        <v>525</v>
      </c>
      <c r="BB2295">
        <f t="shared" si="2400"/>
        <v>18981</v>
      </c>
      <c r="BC2295" t="str">
        <f t="shared" si="2401"/>
        <v>Nelson</v>
      </c>
      <c r="BD2295" t="str">
        <f t="shared" si="2402"/>
        <v>Velodrome</v>
      </c>
      <c r="BE2295" t="s">
        <v>6</v>
      </c>
      <c r="BF2295" t="s">
        <v>191</v>
      </c>
      <c r="BG2295" t="s">
        <v>51</v>
      </c>
      <c r="BI2295" cm="1">
        <f t="array" ref="BI2295">IFERROR(_xlfn._xlws.FILTER(shifts!A:A,(shifts!B:B=events!AD2295)*(shifts!AG:AG&gt;=events!BK2295)*(shifts!AH:AH&lt;=events!BL2295)),BI2294)</f>
        <v>101</v>
      </c>
      <c r="BJ2295" s="15">
        <f t="shared" si="2403"/>
        <v>0</v>
      </c>
      <c r="BK2295">
        <f t="shared" si="2411"/>
        <v>202</v>
      </c>
      <c r="BL2295">
        <f t="shared" si="2412"/>
        <v>202</v>
      </c>
      <c r="BM2295" s="15">
        <f>SUMIFS(BJ$2:BJ2295,K$2:K2295,"=Intermission")+SUMIFS(BJ$2:BJ2295,K$2:K2295,"=Timeout")</f>
        <v>142</v>
      </c>
      <c r="BN2295">
        <f t="shared" si="2413"/>
        <v>2302</v>
      </c>
      <c r="BO2295" s="19">
        <f t="shared" si="2414"/>
        <v>3180</v>
      </c>
      <c r="BP2295">
        <f t="shared" si="2415"/>
        <v>3175</v>
      </c>
      <c r="BQ2295" s="17">
        <f t="shared" si="2416"/>
        <v>3180</v>
      </c>
      <c r="BR2295" t="str">
        <f t="shared" si="2417"/>
        <v>event_team_player_1</v>
      </c>
      <c r="BS2295">
        <f>COUNTIFS(S$3:S2295,"="&amp;S2295,AI$3:AI2295,"="&amp;AI2295)</f>
        <v>1</v>
      </c>
      <c r="BT2295" t="str">
        <f>IFERROR(VLOOKUP(BB2295&amp;BU2295&amp;X2295,game_rosters!U:W,3,FALSE),"")</f>
        <v>P100105</v>
      </c>
      <c r="BU2295" t="str">
        <f t="shared" si="2418"/>
        <v>Velodrome</v>
      </c>
    </row>
    <row r="2296" spans="1:73" x14ac:dyDescent="0.2">
      <c r="A2296">
        <f t="shared" si="2404"/>
        <v>1</v>
      </c>
      <c r="J2296" s="44" t="str">
        <f t="shared" si="2419"/>
        <v>o</v>
      </c>
      <c r="K2296" t="s">
        <v>6</v>
      </c>
      <c r="L2296" t="s">
        <v>191</v>
      </c>
      <c r="M2296" t="s">
        <v>51</v>
      </c>
      <c r="S2296">
        <v>1219</v>
      </c>
      <c r="W2296" t="str">
        <f t="shared" si="2395"/>
        <v>a</v>
      </c>
      <c r="X2296">
        <v>23</v>
      </c>
      <c r="Y2296" t="b">
        <f>IF(X2296&lt;&gt;"",VLOOKUP(X2296,game_rosters!$C$43:$E$64,3,FALSE))</f>
        <v>0</v>
      </c>
      <c r="Z2296" t="str" cm="1">
        <f t="array" ref="Z2296">IFERROR(IF(_xlfn._xlws.FILTER(game_rosters!$J:$J,(game_rosters!$G:$G=events!$AN2296)*(game_rosters!$J:$J=events!$X2296))&gt;0,1,""),"")</f>
        <v/>
      </c>
      <c r="AA2296">
        <f t="shared" si="2443"/>
        <v>2219</v>
      </c>
      <c r="AB2296" t="str">
        <f t="shared" si="2444"/>
        <v/>
      </c>
      <c r="AC2296">
        <f t="shared" si="2392"/>
        <v>2219</v>
      </c>
      <c r="AD2296" s="6">
        <v>3</v>
      </c>
      <c r="AE2296" t="s">
        <v>940</v>
      </c>
      <c r="AF2296" t="s">
        <v>918</v>
      </c>
      <c r="AG2296" t="s">
        <v>756</v>
      </c>
      <c r="AH2296" t="s">
        <v>756</v>
      </c>
      <c r="AI2296" t="s">
        <v>368</v>
      </c>
      <c r="AJ2296" t="str">
        <f t="shared" ref="AJ2296:AK2296" si="2472">IF($J2296&lt;&gt;"",$J2296,IF($AC2296=$AC2295,AJ2295,""))</f>
        <v>o</v>
      </c>
      <c r="AK2296" t="str">
        <f t="shared" si="2472"/>
        <v>o</v>
      </c>
      <c r="AL2296" t="str">
        <f t="shared" si="2397"/>
        <v>d</v>
      </c>
      <c r="AN2296" t="s">
        <v>862</v>
      </c>
      <c r="AO2296" t="str">
        <f t="shared" si="2398"/>
        <v>a</v>
      </c>
      <c r="AP2296" t="str">
        <f t="shared" si="2406"/>
        <v>d</v>
      </c>
      <c r="AQ2296" t="str">
        <f t="shared" si="2407"/>
        <v/>
      </c>
      <c r="AR2296" t="str">
        <f t="shared" si="2408"/>
        <v>Away</v>
      </c>
      <c r="AS2296" t="str">
        <f t="shared" si="2409"/>
        <v>a</v>
      </c>
      <c r="AT2296" t="str">
        <f t="shared" si="2410"/>
        <v>Defensive</v>
      </c>
      <c r="BA2296" s="6">
        <f t="shared" si="2399"/>
        <v>525</v>
      </c>
      <c r="BB2296">
        <f t="shared" si="2400"/>
        <v>18981</v>
      </c>
      <c r="BC2296" t="str">
        <f t="shared" si="2401"/>
        <v>Nelson</v>
      </c>
      <c r="BD2296" t="str">
        <f t="shared" si="2402"/>
        <v>Velodrome</v>
      </c>
      <c r="BE2296" t="s">
        <v>6</v>
      </c>
      <c r="BF2296" t="s">
        <v>191</v>
      </c>
      <c r="BG2296" t="s">
        <v>51</v>
      </c>
      <c r="BI2296" cm="1">
        <f t="array" ref="BI2296">IFERROR(_xlfn._xlws.FILTER(shifts!A:A,(shifts!B:B=events!AD2296)*(shifts!AG:AG&gt;=events!BK2296)*(shifts!AH:AH&lt;=events!BL2296)),BI2295)</f>
        <v>101</v>
      </c>
      <c r="BJ2296" s="15">
        <f t="shared" si="2403"/>
        <v>0</v>
      </c>
      <c r="BK2296">
        <f t="shared" si="2411"/>
        <v>202</v>
      </c>
      <c r="BL2296">
        <f t="shared" si="2412"/>
        <v>202</v>
      </c>
      <c r="BM2296" s="15">
        <f>SUMIFS(BJ$2:BJ2296,K$2:K2296,"=Intermission")+SUMIFS(BJ$2:BJ2296,K$2:K2296,"=Timeout")</f>
        <v>142</v>
      </c>
      <c r="BN2296">
        <f t="shared" si="2413"/>
        <v>2302</v>
      </c>
      <c r="BO2296" s="19">
        <f t="shared" si="2414"/>
        <v>3180</v>
      </c>
      <c r="BP2296">
        <f t="shared" si="2415"/>
        <v>3175</v>
      </c>
      <c r="BQ2296" s="17">
        <f t="shared" si="2416"/>
        <v>3180</v>
      </c>
      <c r="BR2296" t="str">
        <f t="shared" si="2417"/>
        <v>opp_team_player_1</v>
      </c>
      <c r="BS2296">
        <f>COUNTIFS(S$3:S2296,"="&amp;S2296,AI$3:AI2296,"="&amp;AI2296)</f>
        <v>1</v>
      </c>
      <c r="BT2296" t="str">
        <f>IFERROR(VLOOKUP(BB2296&amp;BU2296&amp;X2296,game_rosters!U:W,3,FALSE),"")</f>
        <v>P100061</v>
      </c>
      <c r="BU2296" t="str">
        <f t="shared" si="2418"/>
        <v>Nelson</v>
      </c>
    </row>
    <row r="2297" spans="1:73" x14ac:dyDescent="0.2">
      <c r="A2297">
        <f t="shared" si="2404"/>
        <v>1</v>
      </c>
      <c r="J2297" s="44" t="str">
        <f t="shared" si="2419"/>
        <v/>
      </c>
      <c r="K2297" t="s">
        <v>10</v>
      </c>
      <c r="L2297" t="s">
        <v>175</v>
      </c>
      <c r="M2297" t="s">
        <v>139</v>
      </c>
      <c r="S2297">
        <v>1220</v>
      </c>
      <c r="W2297" t="str">
        <f t="shared" si="2395"/>
        <v>h</v>
      </c>
      <c r="X2297">
        <v>44</v>
      </c>
      <c r="Y2297" t="b">
        <f>IF(X2297&lt;&gt;"",VLOOKUP(X2297,game_rosters!$C$43:$E$64,3,FALSE))</f>
        <v>0</v>
      </c>
      <c r="Z2297" cm="1">
        <f t="array" ref="Z2297">IFERROR(IF(_xlfn._xlws.FILTER(game_rosters!$J:$J,(game_rosters!$G:$G=events!$AN2297)*(game_rosters!$J:$J=events!$X2297))&gt;0,1,""),"")</f>
        <v>1</v>
      </c>
      <c r="AA2297">
        <f t="shared" si="2443"/>
        <v>2220</v>
      </c>
      <c r="AB2297" t="str">
        <f t="shared" si="2444"/>
        <v/>
      </c>
      <c r="AC2297">
        <f t="shared" si="2392"/>
        <v>2220</v>
      </c>
      <c r="AD2297" s="6">
        <v>3</v>
      </c>
      <c r="AE2297" t="s">
        <v>940</v>
      </c>
      <c r="AF2297" t="s">
        <v>919</v>
      </c>
      <c r="AG2297" t="s">
        <v>756</v>
      </c>
      <c r="AH2297" t="s">
        <v>756</v>
      </c>
      <c r="AI2297" t="s">
        <v>367</v>
      </c>
      <c r="AJ2297" t="str">
        <f t="shared" ref="AJ2297:AK2297" si="2473">IF($J2297&lt;&gt;"",$J2297,IF($AC2297=$AC2296,AJ2296,""))</f>
        <v/>
      </c>
      <c r="AK2297" t="str">
        <f t="shared" si="2473"/>
        <v/>
      </c>
      <c r="AL2297" t="str">
        <f t="shared" si="2397"/>
        <v/>
      </c>
      <c r="AN2297" t="s">
        <v>861</v>
      </c>
      <c r="AO2297" t="str">
        <f t="shared" si="2398"/>
        <v>h</v>
      </c>
      <c r="AP2297" t="str">
        <f t="shared" si="2406"/>
        <v/>
      </c>
      <c r="AQ2297" t="str">
        <f t="shared" si="2407"/>
        <v/>
      </c>
      <c r="AR2297" t="str">
        <f t="shared" si="2408"/>
        <v>Home</v>
      </c>
      <c r="AS2297" t="str">
        <f t="shared" si="2409"/>
        <v>h</v>
      </c>
      <c r="AT2297" t="str">
        <f t="shared" si="2410"/>
        <v>Offensive</v>
      </c>
      <c r="BA2297" s="6">
        <f t="shared" si="2399"/>
        <v>525</v>
      </c>
      <c r="BB2297">
        <f t="shared" si="2400"/>
        <v>18981</v>
      </c>
      <c r="BC2297" t="str">
        <f t="shared" si="2401"/>
        <v>Nelson</v>
      </c>
      <c r="BD2297" t="str">
        <f t="shared" si="2402"/>
        <v>Velodrome</v>
      </c>
      <c r="BE2297" t="s">
        <v>10</v>
      </c>
      <c r="BF2297" t="s">
        <v>175</v>
      </c>
      <c r="BG2297" t="s">
        <v>139</v>
      </c>
      <c r="BI2297" cm="1">
        <f t="array" ref="BI2297">IFERROR(_xlfn._xlws.FILTER(shifts!A:A,(shifts!B:B=events!AD2297)*(shifts!AG:AG&gt;=events!BK2297)*(shifts!AH:AH&lt;=events!BL2297)),BI2296)</f>
        <v>102</v>
      </c>
      <c r="BJ2297" s="15">
        <f t="shared" si="2403"/>
        <v>0</v>
      </c>
      <c r="BK2297">
        <f t="shared" si="2411"/>
        <v>200</v>
      </c>
      <c r="BL2297">
        <f t="shared" si="2412"/>
        <v>200</v>
      </c>
      <c r="BM2297" s="15">
        <f>SUMIFS(BJ$2:BJ2297,K$2:K2297,"=Intermission")+SUMIFS(BJ$2:BJ2297,K$2:K2297,"=Timeout")</f>
        <v>142</v>
      </c>
      <c r="BN2297">
        <f t="shared" si="2413"/>
        <v>2302</v>
      </c>
      <c r="BO2297" s="19">
        <f t="shared" si="2414"/>
        <v>3182</v>
      </c>
      <c r="BP2297">
        <f t="shared" si="2415"/>
        <v>3177</v>
      </c>
      <c r="BQ2297" s="17">
        <f t="shared" si="2416"/>
        <v>3182</v>
      </c>
      <c r="BR2297" t="str">
        <f t="shared" si="2417"/>
        <v>event_team_player_1</v>
      </c>
      <c r="BS2297">
        <f>COUNTIFS(S$3:S2297,"="&amp;S2297,AI$3:AI2297,"="&amp;AI2297)</f>
        <v>1</v>
      </c>
      <c r="BT2297" t="str">
        <f>IFERROR(VLOOKUP(BB2297&amp;BU2297&amp;X2297,game_rosters!U:W,3,FALSE),"")</f>
        <v>P100079</v>
      </c>
      <c r="BU2297" t="str">
        <f t="shared" si="2418"/>
        <v>Nelson</v>
      </c>
    </row>
    <row r="2298" spans="1:73" x14ac:dyDescent="0.2">
      <c r="A2298">
        <f t="shared" si="2404"/>
        <v>1</v>
      </c>
      <c r="J2298" s="44" t="str">
        <f t="shared" si="2419"/>
        <v/>
      </c>
      <c r="K2298" t="s">
        <v>11</v>
      </c>
      <c r="L2298" t="s">
        <v>187</v>
      </c>
      <c r="M2298" t="s">
        <v>41</v>
      </c>
      <c r="S2298">
        <v>1221</v>
      </c>
      <c r="W2298" t="str">
        <f t="shared" si="2395"/>
        <v>h</v>
      </c>
      <c r="X2298">
        <v>44</v>
      </c>
      <c r="Y2298" t="b">
        <f>IF(X2298&lt;&gt;"",VLOOKUP(X2298,game_rosters!$C$43:$E$64,3,FALSE))</f>
        <v>0</v>
      </c>
      <c r="Z2298" cm="1">
        <f t="array" ref="Z2298">IFERROR(IF(_xlfn._xlws.FILTER(game_rosters!$J:$J,(game_rosters!$G:$G=events!$AN2298)*(game_rosters!$J:$J=events!$X2298))&gt;0,1,""),"")</f>
        <v>1</v>
      </c>
      <c r="AA2298">
        <f t="shared" si="2443"/>
        <v>2221</v>
      </c>
      <c r="AB2298" t="str">
        <f t="shared" si="2444"/>
        <v/>
      </c>
      <c r="AC2298">
        <f t="shared" si="2392"/>
        <v>2221</v>
      </c>
      <c r="AD2298" s="6">
        <v>3</v>
      </c>
      <c r="AE2298" t="s">
        <v>940</v>
      </c>
      <c r="AF2298" t="s">
        <v>919</v>
      </c>
      <c r="AG2298" t="s">
        <v>756</v>
      </c>
      <c r="AH2298" t="s">
        <v>756</v>
      </c>
      <c r="AI2298" t="s">
        <v>367</v>
      </c>
      <c r="AJ2298" t="str">
        <f t="shared" ref="AJ2298:AK2298" si="2474">IF($J2298&lt;&gt;"",$J2298,IF($AC2298=$AC2297,AJ2297,""))</f>
        <v/>
      </c>
      <c r="AK2298" t="str">
        <f t="shared" si="2474"/>
        <v/>
      </c>
      <c r="AL2298" t="str">
        <f t="shared" si="2397"/>
        <v/>
      </c>
      <c r="AN2298" t="s">
        <v>861</v>
      </c>
      <c r="AO2298" t="str">
        <f t="shared" si="2398"/>
        <v>h</v>
      </c>
      <c r="AP2298" t="str">
        <f t="shared" si="2406"/>
        <v/>
      </c>
      <c r="AQ2298" t="str">
        <f t="shared" si="2407"/>
        <v/>
      </c>
      <c r="AR2298" t="str">
        <f t="shared" si="2408"/>
        <v>Home</v>
      </c>
      <c r="AS2298" t="str">
        <f t="shared" si="2409"/>
        <v>h</v>
      </c>
      <c r="AT2298" t="str">
        <f t="shared" si="2410"/>
        <v/>
      </c>
      <c r="BA2298" s="6">
        <f t="shared" si="2399"/>
        <v>525</v>
      </c>
      <c r="BB2298">
        <f t="shared" si="2400"/>
        <v>18981</v>
      </c>
      <c r="BC2298" t="str">
        <f t="shared" si="2401"/>
        <v>Nelson</v>
      </c>
      <c r="BD2298" t="str">
        <f t="shared" si="2402"/>
        <v>Velodrome</v>
      </c>
      <c r="BE2298" t="s">
        <v>11</v>
      </c>
      <c r="BF2298" t="s">
        <v>187</v>
      </c>
      <c r="BG2298" t="s">
        <v>41</v>
      </c>
      <c r="BI2298" cm="1">
        <f t="array" ref="BI2298">IFERROR(_xlfn._xlws.FILTER(shifts!A:A,(shifts!B:B=events!AD2298)*(shifts!AG:AG&gt;=events!BK2298)*(shifts!AH:AH&lt;=events!BL2298)),BI2297)</f>
        <v>102</v>
      </c>
      <c r="BJ2298" s="15">
        <f t="shared" si="2403"/>
        <v>0</v>
      </c>
      <c r="BK2298">
        <f t="shared" si="2411"/>
        <v>200</v>
      </c>
      <c r="BL2298">
        <f t="shared" si="2412"/>
        <v>200</v>
      </c>
      <c r="BM2298" s="15">
        <f>SUMIFS(BJ$2:BJ2298,K$2:K2298,"=Intermission")+SUMIFS(BJ$2:BJ2298,K$2:K2298,"=Timeout")</f>
        <v>142</v>
      </c>
      <c r="BN2298">
        <f t="shared" si="2413"/>
        <v>2302</v>
      </c>
      <c r="BO2298" s="19">
        <f t="shared" si="2414"/>
        <v>3182</v>
      </c>
      <c r="BP2298">
        <f t="shared" si="2415"/>
        <v>3177</v>
      </c>
      <c r="BQ2298" s="17">
        <f t="shared" si="2416"/>
        <v>3182</v>
      </c>
      <c r="BR2298" t="str">
        <f t="shared" si="2417"/>
        <v>event_team_player_1</v>
      </c>
      <c r="BS2298">
        <f>COUNTIFS(S$3:S2298,"="&amp;S2298,AI$3:AI2298,"="&amp;AI2298)</f>
        <v>1</v>
      </c>
      <c r="BT2298" t="str">
        <f>IFERROR(VLOOKUP(BB2298&amp;BU2298&amp;X2298,game_rosters!U:W,3,FALSE),"")</f>
        <v>P100079</v>
      </c>
      <c r="BU2298" t="str">
        <f t="shared" si="2418"/>
        <v>Nelson</v>
      </c>
    </row>
    <row r="2299" spans="1:73" x14ac:dyDescent="0.2">
      <c r="A2299">
        <f t="shared" si="2404"/>
        <v>1</v>
      </c>
      <c r="J2299" s="44" t="str">
        <f t="shared" si="2419"/>
        <v/>
      </c>
      <c r="K2299" t="s">
        <v>241</v>
      </c>
      <c r="L2299" t="s">
        <v>756</v>
      </c>
      <c r="M2299" t="s">
        <v>756</v>
      </c>
      <c r="S2299">
        <v>1222</v>
      </c>
      <c r="W2299" t="str">
        <f t="shared" si="2395"/>
        <v>h</v>
      </c>
      <c r="X2299">
        <v>44</v>
      </c>
      <c r="Y2299" t="b">
        <f>IF(X2299&lt;&gt;"",VLOOKUP(X2299,game_rosters!$C$43:$E$64,3,FALSE))</f>
        <v>0</v>
      </c>
      <c r="Z2299" cm="1">
        <f t="array" ref="Z2299">IFERROR(IF(_xlfn._xlws.FILTER(game_rosters!$J:$J,(game_rosters!$G:$G=events!$AN2299)*(game_rosters!$J:$J=events!$X2299))&gt;0,1,""),"")</f>
        <v>1</v>
      </c>
      <c r="AA2299">
        <f t="shared" si="2443"/>
        <v>2222</v>
      </c>
      <c r="AB2299" t="str">
        <f t="shared" si="2444"/>
        <v/>
      </c>
      <c r="AC2299">
        <f t="shared" si="2392"/>
        <v>2222</v>
      </c>
      <c r="AD2299" s="6">
        <v>3</v>
      </c>
      <c r="AE2299" t="s">
        <v>940</v>
      </c>
      <c r="AF2299" t="s">
        <v>919</v>
      </c>
      <c r="AG2299" t="s">
        <v>942</v>
      </c>
      <c r="AH2299" t="s">
        <v>934</v>
      </c>
      <c r="AI2299" t="s">
        <v>367</v>
      </c>
      <c r="AJ2299" t="str">
        <f t="shared" ref="AJ2299:AK2299" si="2475">IF($J2299&lt;&gt;"",$J2299,IF($AC2299=$AC2298,AJ2298,""))</f>
        <v/>
      </c>
      <c r="AK2299" t="str">
        <f t="shared" si="2475"/>
        <v/>
      </c>
      <c r="AL2299" t="str">
        <f t="shared" si="2397"/>
        <v/>
      </c>
      <c r="AN2299" t="s">
        <v>861</v>
      </c>
      <c r="AO2299" t="str">
        <f t="shared" si="2398"/>
        <v>h</v>
      </c>
      <c r="AP2299" t="str">
        <f t="shared" si="2406"/>
        <v/>
      </c>
      <c r="AQ2299" t="str">
        <f t="shared" si="2407"/>
        <v/>
      </c>
      <c r="AR2299" t="str">
        <f t="shared" si="2408"/>
        <v>Home</v>
      </c>
      <c r="AS2299" t="str">
        <f t="shared" si="2409"/>
        <v>h</v>
      </c>
      <c r="AT2299" t="str">
        <f t="shared" si="2410"/>
        <v/>
      </c>
      <c r="BA2299" s="6">
        <f t="shared" si="2399"/>
        <v>525</v>
      </c>
      <c r="BB2299">
        <f t="shared" si="2400"/>
        <v>18981</v>
      </c>
      <c r="BC2299" t="str">
        <f t="shared" si="2401"/>
        <v>Nelson</v>
      </c>
      <c r="BD2299" t="str">
        <f t="shared" si="2402"/>
        <v>Velodrome</v>
      </c>
      <c r="BE2299" t="s">
        <v>241</v>
      </c>
      <c r="BF2299" t="s">
        <v>756</v>
      </c>
      <c r="BG2299" t="s">
        <v>756</v>
      </c>
      <c r="BI2299" cm="1">
        <f t="array" ref="BI2299">IFERROR(_xlfn._xlws.FILTER(shifts!A:A,(shifts!B:B=events!AD2299)*(shifts!AG:AG&gt;=events!BK2299)*(shifts!AH:AH&lt;=events!BL2299)),BI2298)</f>
        <v>102</v>
      </c>
      <c r="BJ2299" s="15">
        <f t="shared" si="2403"/>
        <v>26</v>
      </c>
      <c r="BK2299">
        <f t="shared" si="2411"/>
        <v>200</v>
      </c>
      <c r="BL2299">
        <f t="shared" si="2412"/>
        <v>174</v>
      </c>
      <c r="BM2299" s="15">
        <f>SUMIFS(BJ$2:BJ2299,K$2:K2299,"=Intermission")+SUMIFS(BJ$2:BJ2299,K$2:K2299,"=Timeout")</f>
        <v>142</v>
      </c>
      <c r="BN2299">
        <f t="shared" si="2413"/>
        <v>2302</v>
      </c>
      <c r="BO2299" s="19">
        <f t="shared" si="2414"/>
        <v>3182</v>
      </c>
      <c r="BP2299">
        <f t="shared" si="2415"/>
        <v>3177</v>
      </c>
      <c r="BQ2299" s="17">
        <f t="shared" si="2416"/>
        <v>3208</v>
      </c>
      <c r="BR2299" t="str">
        <f t="shared" si="2417"/>
        <v>event_team_player_1</v>
      </c>
      <c r="BS2299">
        <f>COUNTIFS(S$3:S2299,"="&amp;S2299,AI$3:AI2299,"="&amp;AI2299)</f>
        <v>1</v>
      </c>
      <c r="BT2299" t="str">
        <f>IFERROR(VLOOKUP(BB2299&amp;BU2299&amp;X2299,game_rosters!U:W,3,FALSE),"")</f>
        <v>P100079</v>
      </c>
      <c r="BU2299" t="str">
        <f t="shared" si="2418"/>
        <v>Nelson</v>
      </c>
    </row>
    <row r="2300" spans="1:73" x14ac:dyDescent="0.2">
      <c r="A2300">
        <f t="shared" si="2404"/>
        <v>1</v>
      </c>
      <c r="J2300" s="44" t="str">
        <f t="shared" si="2419"/>
        <v/>
      </c>
      <c r="K2300" t="s">
        <v>5</v>
      </c>
      <c r="L2300" t="s">
        <v>180</v>
      </c>
      <c r="M2300" t="s">
        <v>756</v>
      </c>
      <c r="S2300">
        <v>1223</v>
      </c>
      <c r="W2300" t="str">
        <f t="shared" si="2395"/>
        <v>h</v>
      </c>
      <c r="X2300">
        <v>79</v>
      </c>
      <c r="Y2300" t="b">
        <f>IF(X2300&lt;&gt;"",VLOOKUP(X2300,game_rosters!$C$43:$E$64,3,FALSE))</f>
        <v>0</v>
      </c>
      <c r="Z2300" cm="1">
        <f t="array" ref="Z2300">IFERROR(IF(_xlfn._xlws.FILTER(game_rosters!$J:$J,(game_rosters!$G:$G=events!$AN2300)*(game_rosters!$J:$J=events!$X2300))&gt;0,1,""),"")</f>
        <v>1</v>
      </c>
      <c r="AA2300">
        <f t="shared" si="2443"/>
        <v>2223</v>
      </c>
      <c r="AB2300" t="str">
        <f t="shared" si="2444"/>
        <v/>
      </c>
      <c r="AC2300">
        <f t="shared" si="2392"/>
        <v>2223</v>
      </c>
      <c r="AD2300" s="6">
        <v>3</v>
      </c>
      <c r="AE2300" t="s">
        <v>942</v>
      </c>
      <c r="AF2300" t="s">
        <v>934</v>
      </c>
      <c r="AG2300" t="s">
        <v>756</v>
      </c>
      <c r="AH2300" t="s">
        <v>756</v>
      </c>
      <c r="AI2300" t="s">
        <v>367</v>
      </c>
      <c r="AJ2300" t="str">
        <f t="shared" ref="AJ2300:AK2300" si="2476">IF($J2300&lt;&gt;"",$J2300,IF($AC2300=$AC2299,AJ2299,""))</f>
        <v/>
      </c>
      <c r="AK2300" t="str">
        <f t="shared" si="2476"/>
        <v/>
      </c>
      <c r="AL2300" t="str">
        <f t="shared" si="2397"/>
        <v/>
      </c>
      <c r="AN2300" t="s">
        <v>861</v>
      </c>
      <c r="AO2300" t="str">
        <f t="shared" si="2398"/>
        <v>h</v>
      </c>
      <c r="AP2300" t="str">
        <f t="shared" si="2406"/>
        <v/>
      </c>
      <c r="AQ2300" t="str">
        <f t="shared" si="2407"/>
        <v/>
      </c>
      <c r="AR2300" t="str">
        <f t="shared" si="2408"/>
        <v>Home</v>
      </c>
      <c r="AS2300" t="str">
        <f t="shared" si="2409"/>
        <v>h</v>
      </c>
      <c r="AT2300" t="str">
        <f t="shared" si="2410"/>
        <v>Offensive</v>
      </c>
      <c r="BA2300" s="6">
        <f t="shared" si="2399"/>
        <v>525</v>
      </c>
      <c r="BB2300">
        <f t="shared" si="2400"/>
        <v>18981</v>
      </c>
      <c r="BC2300" t="str">
        <f t="shared" si="2401"/>
        <v>Nelson</v>
      </c>
      <c r="BD2300" t="str">
        <f t="shared" si="2402"/>
        <v>Velodrome</v>
      </c>
      <c r="BE2300" t="s">
        <v>5</v>
      </c>
      <c r="BF2300" t="s">
        <v>180</v>
      </c>
      <c r="BG2300" t="s">
        <v>756</v>
      </c>
      <c r="BI2300" cm="1">
        <f t="array" ref="BI2300">IFERROR(_xlfn._xlws.FILTER(shifts!A:A,(shifts!B:B=events!AD2300)*(shifts!AG:AG&gt;=events!BK2300)*(shifts!AH:AH&lt;=events!BL2300)),BI2299)</f>
        <v>102</v>
      </c>
      <c r="BJ2300" s="15">
        <f t="shared" si="2403"/>
        <v>0</v>
      </c>
      <c r="BK2300">
        <f t="shared" si="2411"/>
        <v>174</v>
      </c>
      <c r="BL2300">
        <f t="shared" si="2412"/>
        <v>174</v>
      </c>
      <c r="BM2300" s="15">
        <f>SUMIFS(BJ$2:BJ2300,K$2:K2300,"=Intermission")+SUMIFS(BJ$2:BJ2300,K$2:K2300,"=Timeout")</f>
        <v>142</v>
      </c>
      <c r="BN2300">
        <f t="shared" si="2413"/>
        <v>2302</v>
      </c>
      <c r="BO2300" s="19">
        <f t="shared" si="2414"/>
        <v>3208</v>
      </c>
      <c r="BP2300">
        <f t="shared" si="2415"/>
        <v>3203</v>
      </c>
      <c r="BQ2300" s="17">
        <f t="shared" si="2416"/>
        <v>3208</v>
      </c>
      <c r="BR2300" t="str">
        <f t="shared" si="2417"/>
        <v>event_team_player_1</v>
      </c>
      <c r="BS2300">
        <f>COUNTIFS(S$3:S2300,"="&amp;S2300,AI$3:AI2300,"="&amp;AI2300)</f>
        <v>1</v>
      </c>
      <c r="BT2300" t="str">
        <f>IFERROR(VLOOKUP(BB2300&amp;BU2300&amp;X2300,game_rosters!U:W,3,FALSE),"")</f>
        <v>P100066</v>
      </c>
      <c r="BU2300" t="str">
        <f t="shared" si="2418"/>
        <v>Nelson</v>
      </c>
    </row>
    <row r="2301" spans="1:73" x14ac:dyDescent="0.2">
      <c r="A2301">
        <f t="shared" si="2404"/>
        <v>1</v>
      </c>
      <c r="J2301" s="44" t="str">
        <f t="shared" si="2419"/>
        <v/>
      </c>
      <c r="K2301" t="s">
        <v>5</v>
      </c>
      <c r="L2301" t="s">
        <v>180</v>
      </c>
      <c r="M2301" t="s">
        <v>756</v>
      </c>
      <c r="S2301">
        <v>1223</v>
      </c>
      <c r="W2301" t="str">
        <f t="shared" si="2395"/>
        <v>h</v>
      </c>
      <c r="X2301">
        <v>8</v>
      </c>
      <c r="Y2301" t="b">
        <f>IF(X2301&lt;&gt;"",VLOOKUP(X2301,game_rosters!$C$43:$E$64,3,FALSE))</f>
        <v>0</v>
      </c>
      <c r="Z2301" cm="1">
        <f t="array" ref="Z2301">IFERROR(IF(_xlfn._xlws.FILTER(game_rosters!$J:$J,(game_rosters!$G:$G=events!$AN2301)*(game_rosters!$J:$J=events!$X2301))&gt;0,1,""),"")</f>
        <v>1</v>
      </c>
      <c r="AA2301">
        <f t="shared" si="2443"/>
        <v>2223</v>
      </c>
      <c r="AB2301" t="str">
        <f t="shared" si="2444"/>
        <v/>
      </c>
      <c r="AC2301">
        <f t="shared" si="2392"/>
        <v>2223</v>
      </c>
      <c r="AD2301" s="6">
        <v>3</v>
      </c>
      <c r="AE2301" t="s">
        <v>942</v>
      </c>
      <c r="AF2301" t="s">
        <v>934</v>
      </c>
      <c r="AG2301" t="s">
        <v>756</v>
      </c>
      <c r="AH2301" t="s">
        <v>756</v>
      </c>
      <c r="AI2301" t="s">
        <v>367</v>
      </c>
      <c r="AJ2301" t="str">
        <f t="shared" ref="AJ2301:AK2301" si="2477">IF($J2301&lt;&gt;"",$J2301,IF($AC2301=$AC2300,AJ2300,""))</f>
        <v/>
      </c>
      <c r="AK2301" t="str">
        <f t="shared" si="2477"/>
        <v/>
      </c>
      <c r="AL2301" t="str">
        <f t="shared" si="2397"/>
        <v/>
      </c>
      <c r="AN2301" t="s">
        <v>861</v>
      </c>
      <c r="AO2301" t="str">
        <f t="shared" si="2398"/>
        <v>h</v>
      </c>
      <c r="AP2301" t="str">
        <f t="shared" si="2406"/>
        <v/>
      </c>
      <c r="AQ2301" t="str">
        <f t="shared" si="2407"/>
        <v/>
      </c>
      <c r="AR2301" t="str">
        <f t="shared" si="2408"/>
        <v>Home</v>
      </c>
      <c r="AS2301" t="str">
        <f t="shared" si="2409"/>
        <v>h</v>
      </c>
      <c r="AT2301" t="str">
        <f t="shared" si="2410"/>
        <v>Offensive</v>
      </c>
      <c r="BA2301" s="6">
        <f t="shared" si="2399"/>
        <v>525</v>
      </c>
      <c r="BB2301">
        <f t="shared" si="2400"/>
        <v>18981</v>
      </c>
      <c r="BC2301" t="str">
        <f t="shared" si="2401"/>
        <v>Nelson</v>
      </c>
      <c r="BD2301" t="str">
        <f t="shared" si="2402"/>
        <v>Velodrome</v>
      </c>
      <c r="BE2301" t="s">
        <v>5</v>
      </c>
      <c r="BF2301" t="s">
        <v>180</v>
      </c>
      <c r="BG2301" t="s">
        <v>756</v>
      </c>
      <c r="BI2301" cm="1">
        <f t="array" ref="BI2301">IFERROR(_xlfn._xlws.FILTER(shifts!A:A,(shifts!B:B=events!AD2301)*(shifts!AG:AG&gt;=events!BK2301)*(shifts!AH:AH&lt;=events!BL2301)),BI2300)</f>
        <v>102</v>
      </c>
      <c r="BJ2301" s="15">
        <f t="shared" si="2403"/>
        <v>0</v>
      </c>
      <c r="BK2301">
        <f t="shared" si="2411"/>
        <v>174</v>
      </c>
      <c r="BL2301">
        <f t="shared" si="2412"/>
        <v>174</v>
      </c>
      <c r="BM2301" s="15">
        <f>SUMIFS(BJ$2:BJ2301,K$2:K2301,"=Intermission")+SUMIFS(BJ$2:BJ2301,K$2:K2301,"=Timeout")</f>
        <v>142</v>
      </c>
      <c r="BN2301">
        <f t="shared" si="2413"/>
        <v>2302</v>
      </c>
      <c r="BO2301" s="19">
        <f t="shared" si="2414"/>
        <v>3208</v>
      </c>
      <c r="BP2301">
        <f t="shared" si="2415"/>
        <v>3203</v>
      </c>
      <c r="BQ2301" s="17">
        <f t="shared" si="2416"/>
        <v>3208</v>
      </c>
      <c r="BR2301" t="str">
        <f t="shared" si="2417"/>
        <v>event_team_player_2</v>
      </c>
      <c r="BS2301">
        <f>COUNTIFS(S$3:S2301,"="&amp;S2301,AI$3:AI2301,"="&amp;AI2301)</f>
        <v>2</v>
      </c>
      <c r="BT2301" t="str">
        <f>IFERROR(VLOOKUP(BB2301&amp;BU2301&amp;X2301,game_rosters!U:W,3,FALSE),"")</f>
        <v>P100074</v>
      </c>
      <c r="BU2301" t="str">
        <f t="shared" si="2418"/>
        <v>Nelson</v>
      </c>
    </row>
    <row r="2302" spans="1:73" x14ac:dyDescent="0.2">
      <c r="A2302">
        <f t="shared" si="2404"/>
        <v>1</v>
      </c>
      <c r="J2302" s="44" t="str">
        <f t="shared" si="2419"/>
        <v/>
      </c>
      <c r="K2302" t="s">
        <v>5</v>
      </c>
      <c r="L2302" t="s">
        <v>180</v>
      </c>
      <c r="M2302" t="s">
        <v>756</v>
      </c>
      <c r="S2302">
        <v>1223</v>
      </c>
      <c r="W2302" t="str">
        <f t="shared" si="2395"/>
        <v>h</v>
      </c>
      <c r="X2302">
        <v>70</v>
      </c>
      <c r="Y2302" t="e">
        <f>IF(X2302&lt;&gt;"",VLOOKUP(X2302,game_rosters!$C$43:$E$64,3,FALSE))</f>
        <v>#N/A</v>
      </c>
      <c r="Z2302" t="str" cm="1">
        <f t="array" ref="Z2302">IFERROR(IF(_xlfn._xlws.FILTER(game_rosters!$J:$J,(game_rosters!$G:$G=events!$AN2302)*(game_rosters!$J:$J=events!$X2302))&gt;0,1,""),"")</f>
        <v/>
      </c>
      <c r="AA2302">
        <f t="shared" si="2443"/>
        <v>2223</v>
      </c>
      <c r="AB2302" t="str">
        <f t="shared" si="2444"/>
        <v/>
      </c>
      <c r="AC2302">
        <f t="shared" si="2392"/>
        <v>2223</v>
      </c>
      <c r="AD2302" s="6">
        <v>3</v>
      </c>
      <c r="AE2302" t="s">
        <v>942</v>
      </c>
      <c r="AF2302" t="s">
        <v>934</v>
      </c>
      <c r="AG2302" t="s">
        <v>756</v>
      </c>
      <c r="AH2302" t="s">
        <v>756</v>
      </c>
      <c r="AI2302" t="s">
        <v>368</v>
      </c>
      <c r="AJ2302" t="str">
        <f t="shared" ref="AJ2302:AK2302" si="2478">IF($J2302&lt;&gt;"",$J2302,IF($AC2302=$AC2301,AJ2301,""))</f>
        <v/>
      </c>
      <c r="AK2302" t="str">
        <f t="shared" si="2478"/>
        <v/>
      </c>
      <c r="AL2302" t="str">
        <f t="shared" si="2397"/>
        <v/>
      </c>
      <c r="AN2302" t="s">
        <v>861</v>
      </c>
      <c r="AO2302" t="str">
        <f t="shared" si="2398"/>
        <v>h</v>
      </c>
      <c r="AP2302" t="str">
        <f t="shared" si="2406"/>
        <v/>
      </c>
      <c r="AQ2302" t="str">
        <f t="shared" si="2407"/>
        <v/>
      </c>
      <c r="AR2302" t="str">
        <f t="shared" si="2408"/>
        <v>Home</v>
      </c>
      <c r="AS2302" t="str">
        <f t="shared" si="2409"/>
        <v>h</v>
      </c>
      <c r="AT2302" t="str">
        <f t="shared" si="2410"/>
        <v>Defensive</v>
      </c>
      <c r="BA2302" s="6">
        <f t="shared" si="2399"/>
        <v>525</v>
      </c>
      <c r="BB2302">
        <f t="shared" si="2400"/>
        <v>18981</v>
      </c>
      <c r="BC2302" t="str">
        <f t="shared" si="2401"/>
        <v>Nelson</v>
      </c>
      <c r="BD2302" t="str">
        <f t="shared" si="2402"/>
        <v>Velodrome</v>
      </c>
      <c r="BE2302" t="s">
        <v>5</v>
      </c>
      <c r="BF2302" t="s">
        <v>180</v>
      </c>
      <c r="BG2302" t="s">
        <v>756</v>
      </c>
      <c r="BI2302" cm="1">
        <f t="array" ref="BI2302">IFERROR(_xlfn._xlws.FILTER(shifts!A:A,(shifts!B:B=events!AD2302)*(shifts!AG:AG&gt;=events!BK2302)*(shifts!AH:AH&lt;=events!BL2302)),BI2301)</f>
        <v>102</v>
      </c>
      <c r="BJ2302" s="15">
        <f t="shared" si="2403"/>
        <v>0</v>
      </c>
      <c r="BK2302">
        <f t="shared" si="2411"/>
        <v>174</v>
      </c>
      <c r="BL2302">
        <f t="shared" si="2412"/>
        <v>174</v>
      </c>
      <c r="BM2302" s="15">
        <f>SUMIFS(BJ$2:BJ2302,K$2:K2302,"=Intermission")+SUMIFS(BJ$2:BJ2302,K$2:K2302,"=Timeout")</f>
        <v>142</v>
      </c>
      <c r="BN2302">
        <f t="shared" si="2413"/>
        <v>2302</v>
      </c>
      <c r="BO2302" s="19">
        <f t="shared" si="2414"/>
        <v>3208</v>
      </c>
      <c r="BP2302">
        <f t="shared" si="2415"/>
        <v>3203</v>
      </c>
      <c r="BQ2302" s="17">
        <f t="shared" si="2416"/>
        <v>3208</v>
      </c>
      <c r="BR2302" t="str">
        <f t="shared" si="2417"/>
        <v>opp_team_player_1</v>
      </c>
      <c r="BS2302">
        <f>COUNTIFS(S$3:S2302,"="&amp;S2302,AI$3:AI2302,"="&amp;AI2302)</f>
        <v>1</v>
      </c>
      <c r="BT2302" t="str">
        <f>IFERROR(VLOOKUP(BB2302&amp;BU2302&amp;X2302,game_rosters!U:W,3,FALSE),"")</f>
        <v>P100001</v>
      </c>
      <c r="BU2302" t="str">
        <f t="shared" si="2418"/>
        <v>Velodrome</v>
      </c>
    </row>
    <row r="2303" spans="1:73" x14ac:dyDescent="0.2">
      <c r="A2303">
        <f t="shared" si="2404"/>
        <v>1</v>
      </c>
      <c r="J2303" s="44" t="str">
        <f t="shared" si="2419"/>
        <v>d</v>
      </c>
      <c r="K2303" t="s">
        <v>238</v>
      </c>
      <c r="L2303" t="s">
        <v>184</v>
      </c>
      <c r="M2303" t="s">
        <v>90</v>
      </c>
      <c r="S2303">
        <v>1224</v>
      </c>
      <c r="W2303" t="str">
        <f t="shared" si="2395"/>
        <v>h</v>
      </c>
      <c r="X2303">
        <v>8</v>
      </c>
      <c r="Y2303" t="b">
        <f>IF(X2303&lt;&gt;"",VLOOKUP(X2303,game_rosters!$C$43:$E$64,3,FALSE))</f>
        <v>0</v>
      </c>
      <c r="Z2303" cm="1">
        <f t="array" ref="Z2303">IFERROR(IF(_xlfn._xlws.FILTER(game_rosters!$J:$J,(game_rosters!$G:$G=events!$AN2303)*(game_rosters!$J:$J=events!$X2303))&gt;0,1,""),"")</f>
        <v>1</v>
      </c>
      <c r="AA2303">
        <f t="shared" si="2443"/>
        <v>2224</v>
      </c>
      <c r="AB2303" t="str">
        <f t="shared" si="2444"/>
        <v/>
      </c>
      <c r="AC2303">
        <f t="shared" si="2392"/>
        <v>2224</v>
      </c>
      <c r="AD2303" s="6">
        <v>3</v>
      </c>
      <c r="AE2303" t="s">
        <v>942</v>
      </c>
      <c r="AF2303" t="s">
        <v>921</v>
      </c>
      <c r="AG2303" t="s">
        <v>756</v>
      </c>
      <c r="AH2303" t="s">
        <v>756</v>
      </c>
      <c r="AI2303" t="s">
        <v>367</v>
      </c>
      <c r="AJ2303" t="str">
        <f t="shared" ref="AJ2303:AK2303" si="2479">IF($J2303&lt;&gt;"",$J2303,IF($AC2303=$AC2302,AJ2302,""))</f>
        <v>d</v>
      </c>
      <c r="AK2303" t="str">
        <f t="shared" si="2479"/>
        <v>d</v>
      </c>
      <c r="AL2303" t="str">
        <f t="shared" si="2397"/>
        <v>d</v>
      </c>
      <c r="AN2303" t="s">
        <v>861</v>
      </c>
      <c r="AO2303" t="str">
        <f t="shared" si="2398"/>
        <v>h</v>
      </c>
      <c r="AP2303" t="str">
        <f t="shared" si="2406"/>
        <v>d</v>
      </c>
      <c r="AQ2303" t="str">
        <f t="shared" si="2407"/>
        <v/>
      </c>
      <c r="AR2303" t="str">
        <f t="shared" si="2408"/>
        <v>Home</v>
      </c>
      <c r="AS2303" t="str">
        <f t="shared" si="2409"/>
        <v>h</v>
      </c>
      <c r="AT2303" t="str">
        <f t="shared" si="2410"/>
        <v>Offensive</v>
      </c>
      <c r="BA2303" s="6">
        <f t="shared" si="2399"/>
        <v>526</v>
      </c>
      <c r="BB2303">
        <f t="shared" si="2400"/>
        <v>18981</v>
      </c>
      <c r="BC2303" t="str">
        <f t="shared" si="2401"/>
        <v>Nelson</v>
      </c>
      <c r="BD2303" t="str">
        <f t="shared" si="2402"/>
        <v>Velodrome</v>
      </c>
      <c r="BE2303" t="s">
        <v>238</v>
      </c>
      <c r="BF2303" t="s">
        <v>184</v>
      </c>
      <c r="BG2303" t="s">
        <v>90</v>
      </c>
      <c r="BI2303" cm="1">
        <f t="array" ref="BI2303">IFERROR(_xlfn._xlws.FILTER(shifts!A:A,(shifts!B:B=events!AD2303)*(shifts!AG:AG&gt;=events!BK2303)*(shifts!AH:AH&lt;=events!BL2303)),BI2302)</f>
        <v>102</v>
      </c>
      <c r="BJ2303" s="15">
        <f t="shared" si="2403"/>
        <v>0</v>
      </c>
      <c r="BK2303">
        <f t="shared" si="2411"/>
        <v>173</v>
      </c>
      <c r="BL2303">
        <f t="shared" si="2412"/>
        <v>173</v>
      </c>
      <c r="BM2303" s="15">
        <f>SUMIFS(BJ$2:BJ2303,K$2:K2303,"=Intermission")+SUMIFS(BJ$2:BJ2303,K$2:K2303,"=Timeout")</f>
        <v>142</v>
      </c>
      <c r="BN2303">
        <f t="shared" si="2413"/>
        <v>2302</v>
      </c>
      <c r="BO2303" s="19">
        <f t="shared" si="2414"/>
        <v>3209</v>
      </c>
      <c r="BP2303">
        <f t="shared" si="2415"/>
        <v>3204</v>
      </c>
      <c r="BQ2303" s="17">
        <f t="shared" si="2416"/>
        <v>3209</v>
      </c>
      <c r="BR2303" t="str">
        <f t="shared" si="2417"/>
        <v>event_team_player_1</v>
      </c>
      <c r="BS2303">
        <f>COUNTIFS(S$3:S2303,"="&amp;S2303,AI$3:AI2303,"="&amp;AI2303)</f>
        <v>1</v>
      </c>
      <c r="BT2303" t="str">
        <f>IFERROR(VLOOKUP(BB2303&amp;BU2303&amp;X2303,game_rosters!U:W,3,FALSE),"")</f>
        <v>P100074</v>
      </c>
      <c r="BU2303" t="str">
        <f t="shared" si="2418"/>
        <v>Nelson</v>
      </c>
    </row>
    <row r="2304" spans="1:73" x14ac:dyDescent="0.2">
      <c r="A2304">
        <f t="shared" si="2404"/>
        <v>1</v>
      </c>
      <c r="J2304" s="44" t="str">
        <f t="shared" si="2419"/>
        <v>o</v>
      </c>
      <c r="K2304" t="s">
        <v>238</v>
      </c>
      <c r="L2304" t="s">
        <v>174</v>
      </c>
      <c r="M2304" t="s">
        <v>375</v>
      </c>
      <c r="S2304">
        <v>1225</v>
      </c>
      <c r="W2304" t="str">
        <f t="shared" si="2395"/>
        <v>h</v>
      </c>
      <c r="X2304">
        <v>8</v>
      </c>
      <c r="Y2304" t="b">
        <f>IF(X2304&lt;&gt;"",VLOOKUP(X2304,game_rosters!$C$43:$E$64,3,FALSE))</f>
        <v>0</v>
      </c>
      <c r="Z2304" cm="1">
        <f t="array" ref="Z2304">IFERROR(IF(_xlfn._xlws.FILTER(game_rosters!$J:$J,(game_rosters!$G:$G=events!$AN2304)*(game_rosters!$J:$J=events!$X2304))&gt;0,1,""),"")</f>
        <v>1</v>
      </c>
      <c r="AA2304">
        <f t="shared" si="2443"/>
        <v>2225</v>
      </c>
      <c r="AB2304" t="str">
        <f t="shared" si="2444"/>
        <v/>
      </c>
      <c r="AC2304">
        <f t="shared" si="2392"/>
        <v>2225</v>
      </c>
      <c r="AD2304" s="6">
        <v>3</v>
      </c>
      <c r="AE2304" t="s">
        <v>942</v>
      </c>
      <c r="AF2304" t="s">
        <v>921</v>
      </c>
      <c r="AG2304" t="s">
        <v>756</v>
      </c>
      <c r="AH2304" t="s">
        <v>756</v>
      </c>
      <c r="AI2304" t="s">
        <v>367</v>
      </c>
      <c r="AJ2304" t="str">
        <f t="shared" ref="AJ2304:AK2304" si="2480">IF($J2304&lt;&gt;"",$J2304,IF($AC2304=$AC2303,AJ2303,""))</f>
        <v>o</v>
      </c>
      <c r="AK2304" t="str">
        <f t="shared" si="2480"/>
        <v>o</v>
      </c>
      <c r="AL2304" t="str">
        <f t="shared" si="2397"/>
        <v>o</v>
      </c>
      <c r="AN2304" t="s">
        <v>861</v>
      </c>
      <c r="AO2304" t="str">
        <f t="shared" si="2398"/>
        <v>h</v>
      </c>
      <c r="AP2304" t="str">
        <f t="shared" si="2406"/>
        <v>o</v>
      </c>
      <c r="AQ2304" t="str">
        <f t="shared" si="2407"/>
        <v/>
      </c>
      <c r="AR2304" t="str">
        <f t="shared" si="2408"/>
        <v>Home</v>
      </c>
      <c r="AS2304" t="str">
        <f t="shared" si="2409"/>
        <v>h</v>
      </c>
      <c r="AT2304" t="str">
        <f t="shared" si="2410"/>
        <v>Offensive</v>
      </c>
      <c r="BA2304" s="6">
        <f t="shared" si="2399"/>
        <v>527</v>
      </c>
      <c r="BB2304">
        <f t="shared" si="2400"/>
        <v>18981</v>
      </c>
      <c r="BC2304" t="str">
        <f t="shared" si="2401"/>
        <v>Nelson</v>
      </c>
      <c r="BD2304" t="str">
        <f t="shared" si="2402"/>
        <v>Velodrome</v>
      </c>
      <c r="BE2304" t="s">
        <v>238</v>
      </c>
      <c r="BF2304" t="s">
        <v>174</v>
      </c>
      <c r="BG2304" t="s">
        <v>375</v>
      </c>
      <c r="BI2304" cm="1">
        <f t="array" ref="BI2304">IFERROR(_xlfn._xlws.FILTER(shifts!A:A,(shifts!B:B=events!AD2304)*(shifts!AG:AG&gt;=events!BK2304)*(shifts!AH:AH&lt;=events!BL2304)),BI2303)</f>
        <v>102</v>
      </c>
      <c r="BJ2304" s="15">
        <f t="shared" si="2403"/>
        <v>0</v>
      </c>
      <c r="BK2304">
        <f t="shared" si="2411"/>
        <v>173</v>
      </c>
      <c r="BL2304">
        <f t="shared" si="2412"/>
        <v>173</v>
      </c>
      <c r="BM2304" s="15">
        <f>SUMIFS(BJ$2:BJ2304,K$2:K2304,"=Intermission")+SUMIFS(BJ$2:BJ2304,K$2:K2304,"=Timeout")</f>
        <v>142</v>
      </c>
      <c r="BN2304">
        <f t="shared" si="2413"/>
        <v>2302</v>
      </c>
      <c r="BO2304" s="19">
        <f t="shared" si="2414"/>
        <v>3209</v>
      </c>
      <c r="BP2304">
        <f t="shared" si="2415"/>
        <v>3204</v>
      </c>
      <c r="BQ2304" s="17">
        <f t="shared" si="2416"/>
        <v>3209</v>
      </c>
      <c r="BR2304" t="str">
        <f t="shared" si="2417"/>
        <v>event_team_player_1</v>
      </c>
      <c r="BS2304">
        <f>COUNTIFS(S$3:S2304,"="&amp;S2304,AI$3:AI2304,"="&amp;AI2304)</f>
        <v>1</v>
      </c>
      <c r="BT2304" t="str">
        <f>IFERROR(VLOOKUP(BB2304&amp;BU2304&amp;X2304,game_rosters!U:W,3,FALSE),"")</f>
        <v>P100074</v>
      </c>
      <c r="BU2304" t="str">
        <f t="shared" si="2418"/>
        <v>Nelson</v>
      </c>
    </row>
    <row r="2305" spans="1:73" x14ac:dyDescent="0.2">
      <c r="A2305">
        <f t="shared" si="2404"/>
        <v>1</v>
      </c>
      <c r="J2305" s="44" t="str">
        <f t="shared" si="2419"/>
        <v/>
      </c>
      <c r="K2305" t="s">
        <v>13</v>
      </c>
      <c r="L2305" t="s">
        <v>756</v>
      </c>
      <c r="M2305" t="s">
        <v>756</v>
      </c>
      <c r="S2305">
        <v>1226</v>
      </c>
      <c r="W2305" t="str">
        <f t="shared" si="2395"/>
        <v>a</v>
      </c>
      <c r="X2305">
        <v>39</v>
      </c>
      <c r="Y2305" t="e">
        <f>IF(X2305&lt;&gt;"",VLOOKUP(X2305,game_rosters!$C$43:$E$64,3,FALSE))</f>
        <v>#N/A</v>
      </c>
      <c r="Z2305" cm="1">
        <f t="array" ref="Z2305">IFERROR(IF(_xlfn._xlws.FILTER(game_rosters!$J:$J,(game_rosters!$G:$G=events!$AN2305)*(game_rosters!$J:$J=events!$X2305))&gt;0,1,""),"")</f>
        <v>1</v>
      </c>
      <c r="AA2305">
        <f t="shared" si="2443"/>
        <v>2226</v>
      </c>
      <c r="AB2305" t="str">
        <f t="shared" si="2444"/>
        <v/>
      </c>
      <c r="AC2305">
        <f t="shared" si="2392"/>
        <v>2226</v>
      </c>
      <c r="AD2305" s="6">
        <v>3</v>
      </c>
      <c r="AE2305" t="s">
        <v>942</v>
      </c>
      <c r="AF2305" t="s">
        <v>737</v>
      </c>
      <c r="AG2305" t="s">
        <v>942</v>
      </c>
      <c r="AH2305" t="s">
        <v>901</v>
      </c>
      <c r="AI2305" t="s">
        <v>367</v>
      </c>
      <c r="AJ2305" t="str">
        <f t="shared" ref="AJ2305:AK2305" si="2481">IF($J2305&lt;&gt;"",$J2305,IF($AC2305=$AC2304,AJ2304,""))</f>
        <v/>
      </c>
      <c r="AK2305" t="str">
        <f t="shared" si="2481"/>
        <v/>
      </c>
      <c r="AL2305" t="str">
        <f t="shared" si="2397"/>
        <v/>
      </c>
      <c r="AN2305" t="s">
        <v>862</v>
      </c>
      <c r="AO2305" t="str">
        <f t="shared" si="2398"/>
        <v>a</v>
      </c>
      <c r="AP2305" t="str">
        <f t="shared" si="2406"/>
        <v/>
      </c>
      <c r="AQ2305" t="str">
        <f t="shared" si="2407"/>
        <v/>
      </c>
      <c r="AR2305" t="str">
        <f t="shared" si="2408"/>
        <v>Away</v>
      </c>
      <c r="AS2305" t="str">
        <f t="shared" si="2409"/>
        <v>a</v>
      </c>
      <c r="AT2305" t="str">
        <f t="shared" si="2410"/>
        <v>Offensive</v>
      </c>
      <c r="BA2305" s="6">
        <f t="shared" si="2399"/>
        <v>527</v>
      </c>
      <c r="BB2305">
        <f t="shared" si="2400"/>
        <v>18981</v>
      </c>
      <c r="BC2305" t="str">
        <f t="shared" si="2401"/>
        <v>Nelson</v>
      </c>
      <c r="BD2305" t="str">
        <f t="shared" si="2402"/>
        <v>Velodrome</v>
      </c>
      <c r="BE2305" t="s">
        <v>13</v>
      </c>
      <c r="BF2305" t="s">
        <v>756</v>
      </c>
      <c r="BG2305" t="s">
        <v>756</v>
      </c>
      <c r="BI2305" cm="1">
        <f t="array" ref="BI2305">IFERROR(_xlfn._xlws.FILTER(shifts!A:A,(shifts!B:B=events!AD2305)*(shifts!AG:AG&gt;=events!BK2305)*(shifts!AH:AH&lt;=events!BL2305)),BI2304)</f>
        <v>102</v>
      </c>
      <c r="BJ2305" s="15">
        <f t="shared" si="2403"/>
        <v>3</v>
      </c>
      <c r="BK2305">
        <f t="shared" si="2411"/>
        <v>166</v>
      </c>
      <c r="BL2305">
        <f t="shared" si="2412"/>
        <v>163</v>
      </c>
      <c r="BM2305" s="15">
        <f>SUMIFS(BJ$2:BJ2305,K$2:K2305,"=Intermission")+SUMIFS(BJ$2:BJ2305,K$2:K2305,"=Timeout")</f>
        <v>142</v>
      </c>
      <c r="BN2305">
        <f t="shared" si="2413"/>
        <v>2302</v>
      </c>
      <c r="BO2305" s="19">
        <f t="shared" si="2414"/>
        <v>3216</v>
      </c>
      <c r="BP2305">
        <f t="shared" si="2415"/>
        <v>3211</v>
      </c>
      <c r="BQ2305" s="17">
        <f t="shared" si="2416"/>
        <v>3219</v>
      </c>
      <c r="BR2305" t="str">
        <f t="shared" si="2417"/>
        <v>event_team_player_1</v>
      </c>
      <c r="BS2305">
        <f>COUNTIFS(S$3:S2305,"="&amp;S2305,AI$3:AI2305,"="&amp;AI2305)</f>
        <v>1</v>
      </c>
      <c r="BT2305" t="str">
        <f>IFERROR(VLOOKUP(BB2305&amp;BU2305&amp;X2305,game_rosters!U:W,3,FALSE),"")</f>
        <v>P100016</v>
      </c>
      <c r="BU2305" t="str">
        <f t="shared" si="2418"/>
        <v>Velodrome</v>
      </c>
    </row>
    <row r="2306" spans="1:73" x14ac:dyDescent="0.2">
      <c r="A2306">
        <f t="shared" si="2404"/>
        <v>1</v>
      </c>
      <c r="J2306" s="44" t="str">
        <f t="shared" si="2419"/>
        <v>d</v>
      </c>
      <c r="K2306" t="s">
        <v>238</v>
      </c>
      <c r="L2306" t="s">
        <v>184</v>
      </c>
      <c r="M2306" t="s">
        <v>88</v>
      </c>
      <c r="S2306">
        <v>1227</v>
      </c>
      <c r="W2306" t="str">
        <f t="shared" si="2395"/>
        <v>a</v>
      </c>
      <c r="X2306">
        <v>84</v>
      </c>
      <c r="Y2306" t="e">
        <f>IF(X2306&lt;&gt;"",VLOOKUP(X2306,game_rosters!$C$43:$E$64,3,FALSE))</f>
        <v>#N/A</v>
      </c>
      <c r="Z2306" cm="1">
        <f t="array" ref="Z2306">IFERROR(IF(_xlfn._xlws.FILTER(game_rosters!$J:$J,(game_rosters!$G:$G=events!$AN2306)*(game_rosters!$J:$J=events!$X2306))&gt;0,1,""),"")</f>
        <v>1</v>
      </c>
      <c r="AA2306">
        <f t="shared" si="2443"/>
        <v>2227</v>
      </c>
      <c r="AB2306" t="str">
        <f t="shared" si="2444"/>
        <v/>
      </c>
      <c r="AC2306">
        <f t="shared" ref="AC2306:AC2369" si="2482">IF(AB2306&lt;&gt;"",AB2306,S2306+1000)</f>
        <v>2227</v>
      </c>
      <c r="AD2306" s="6">
        <v>3</v>
      </c>
      <c r="AE2306" t="s">
        <v>942</v>
      </c>
      <c r="AF2306" t="s">
        <v>901</v>
      </c>
      <c r="AG2306" t="s">
        <v>942</v>
      </c>
      <c r="AH2306" t="s">
        <v>928</v>
      </c>
      <c r="AI2306" t="s">
        <v>367</v>
      </c>
      <c r="AJ2306" t="str">
        <f t="shared" ref="AJ2306:AK2306" si="2483">IF($J2306&lt;&gt;"",$J2306,IF($AC2306=$AC2305,AJ2305,""))</f>
        <v>d</v>
      </c>
      <c r="AK2306" t="str">
        <f t="shared" si="2483"/>
        <v>d</v>
      </c>
      <c r="AL2306" t="str">
        <f t="shared" si="2397"/>
        <v>o</v>
      </c>
      <c r="AN2306" t="s">
        <v>862</v>
      </c>
      <c r="AO2306" t="str">
        <f t="shared" si="2398"/>
        <v>a</v>
      </c>
      <c r="AP2306" t="str">
        <f t="shared" si="2406"/>
        <v>o</v>
      </c>
      <c r="AQ2306" t="str">
        <f t="shared" si="2407"/>
        <v/>
      </c>
      <c r="AR2306" t="str">
        <f t="shared" si="2408"/>
        <v>Away</v>
      </c>
      <c r="AS2306" t="str">
        <f t="shared" si="2409"/>
        <v>a</v>
      </c>
      <c r="AT2306" t="str">
        <f t="shared" si="2410"/>
        <v>Offensive</v>
      </c>
      <c r="BA2306" s="6">
        <f t="shared" si="2399"/>
        <v>528</v>
      </c>
      <c r="BB2306">
        <f t="shared" si="2400"/>
        <v>18981</v>
      </c>
      <c r="BC2306" t="str">
        <f t="shared" si="2401"/>
        <v>Nelson</v>
      </c>
      <c r="BD2306" t="str">
        <f t="shared" si="2402"/>
        <v>Velodrome</v>
      </c>
      <c r="BE2306" t="s">
        <v>238</v>
      </c>
      <c r="BF2306" t="s">
        <v>184</v>
      </c>
      <c r="BG2306" t="s">
        <v>88</v>
      </c>
      <c r="BI2306" cm="1">
        <f t="array" ref="BI2306">IFERROR(_xlfn._xlws.FILTER(shifts!A:A,(shifts!B:B=events!AD2306)*(shifts!AG:AG&gt;=events!BK2306)*(shifts!AH:AH&lt;=events!BL2306)),BI2305)</f>
        <v>102</v>
      </c>
      <c r="BJ2306" s="15">
        <f t="shared" si="2403"/>
        <v>6</v>
      </c>
      <c r="BK2306">
        <f t="shared" si="2411"/>
        <v>163</v>
      </c>
      <c r="BL2306">
        <f t="shared" si="2412"/>
        <v>157</v>
      </c>
      <c r="BM2306" s="15">
        <f>SUMIFS(BJ$2:BJ2306,K$2:K2306,"=Intermission")+SUMIFS(BJ$2:BJ2306,K$2:K2306,"=Timeout")</f>
        <v>142</v>
      </c>
      <c r="BN2306">
        <f t="shared" si="2413"/>
        <v>2302</v>
      </c>
      <c r="BO2306" s="19">
        <f t="shared" si="2414"/>
        <v>3219</v>
      </c>
      <c r="BP2306">
        <f t="shared" si="2415"/>
        <v>3214</v>
      </c>
      <c r="BQ2306" s="17">
        <f t="shared" si="2416"/>
        <v>3225</v>
      </c>
      <c r="BR2306" t="str">
        <f t="shared" si="2417"/>
        <v>event_team_player_1</v>
      </c>
      <c r="BS2306">
        <f>COUNTIFS(S$3:S2306,"="&amp;S2306,AI$3:AI2306,"="&amp;AI2306)</f>
        <v>1</v>
      </c>
      <c r="BT2306" t="str">
        <f>IFERROR(VLOOKUP(BB2306&amp;BU2306&amp;X2306,game_rosters!U:W,3,FALSE),"")</f>
        <v>P100198</v>
      </c>
      <c r="BU2306" t="str">
        <f t="shared" si="2418"/>
        <v>Velodrome</v>
      </c>
    </row>
    <row r="2307" spans="1:73" x14ac:dyDescent="0.2">
      <c r="A2307">
        <f t="shared" si="2404"/>
        <v>1</v>
      </c>
      <c r="J2307" s="44" t="str">
        <f t="shared" si="2419"/>
        <v/>
      </c>
      <c r="K2307" t="s">
        <v>13</v>
      </c>
      <c r="L2307" t="s">
        <v>756</v>
      </c>
      <c r="M2307" t="s">
        <v>756</v>
      </c>
      <c r="S2307">
        <v>1228</v>
      </c>
      <c r="W2307" t="str">
        <f t="shared" si="2395"/>
        <v>a</v>
      </c>
      <c r="X2307">
        <v>84</v>
      </c>
      <c r="Y2307" t="e">
        <f>IF(X2307&lt;&gt;"",VLOOKUP(X2307,game_rosters!$C$43:$E$64,3,FALSE))</f>
        <v>#N/A</v>
      </c>
      <c r="Z2307" cm="1">
        <f t="array" ref="Z2307">IFERROR(IF(_xlfn._xlws.FILTER(game_rosters!$J:$J,(game_rosters!$G:$G=events!$AN2307)*(game_rosters!$J:$J=events!$X2307))&gt;0,1,""),"")</f>
        <v>1</v>
      </c>
      <c r="AA2307">
        <f t="shared" si="2443"/>
        <v>2228</v>
      </c>
      <c r="AB2307" t="str">
        <f t="shared" si="2444"/>
        <v/>
      </c>
      <c r="AC2307">
        <f t="shared" si="2482"/>
        <v>2228</v>
      </c>
      <c r="AD2307" s="6">
        <v>3</v>
      </c>
      <c r="AE2307" t="s">
        <v>942</v>
      </c>
      <c r="AF2307" t="s">
        <v>928</v>
      </c>
      <c r="AG2307" t="s">
        <v>942</v>
      </c>
      <c r="AH2307" t="s">
        <v>904</v>
      </c>
      <c r="AI2307" t="s">
        <v>367</v>
      </c>
      <c r="AJ2307" t="str">
        <f t="shared" ref="AJ2307:AK2307" si="2484">IF($J2307&lt;&gt;"",$J2307,IF($AC2307=$AC2306,AJ2306,""))</f>
        <v/>
      </c>
      <c r="AK2307" t="str">
        <f t="shared" si="2484"/>
        <v/>
      </c>
      <c r="AL2307" t="str">
        <f t="shared" si="2397"/>
        <v/>
      </c>
      <c r="AN2307" t="s">
        <v>862</v>
      </c>
      <c r="AO2307" t="str">
        <f t="shared" si="2398"/>
        <v>a</v>
      </c>
      <c r="AP2307" t="str">
        <f t="shared" si="2406"/>
        <v/>
      </c>
      <c r="AQ2307" t="str">
        <f t="shared" si="2407"/>
        <v/>
      </c>
      <c r="AR2307" t="str">
        <f t="shared" si="2408"/>
        <v>Away</v>
      </c>
      <c r="AS2307" t="str">
        <f t="shared" si="2409"/>
        <v>a</v>
      </c>
      <c r="AT2307" t="str">
        <f t="shared" si="2410"/>
        <v>Offensive</v>
      </c>
      <c r="BA2307" s="6">
        <f t="shared" si="2399"/>
        <v>528</v>
      </c>
      <c r="BB2307">
        <f t="shared" si="2400"/>
        <v>18981</v>
      </c>
      <c r="BC2307" t="str">
        <f t="shared" si="2401"/>
        <v>Nelson</v>
      </c>
      <c r="BD2307" t="str">
        <f t="shared" si="2402"/>
        <v>Velodrome</v>
      </c>
      <c r="BE2307" t="s">
        <v>13</v>
      </c>
      <c r="BF2307" t="s">
        <v>756</v>
      </c>
      <c r="BG2307" t="s">
        <v>756</v>
      </c>
      <c r="BI2307" cm="1">
        <f t="array" ref="BI2307">IFERROR(_xlfn._xlws.FILTER(shifts!A:A,(shifts!B:B=events!AD2307)*(shifts!AG:AG&gt;=events!BK2307)*(shifts!AH:AH&lt;=events!BL2307)),BI2306)</f>
        <v>102</v>
      </c>
      <c r="BJ2307" s="15">
        <f t="shared" si="2403"/>
        <v>1</v>
      </c>
      <c r="BK2307">
        <f t="shared" si="2411"/>
        <v>157</v>
      </c>
      <c r="BL2307">
        <f t="shared" si="2412"/>
        <v>156</v>
      </c>
      <c r="BM2307" s="15">
        <f>SUMIFS(BJ$2:BJ2307,K$2:K2307,"=Intermission")+SUMIFS(BJ$2:BJ2307,K$2:K2307,"=Timeout")</f>
        <v>142</v>
      </c>
      <c r="BN2307">
        <f t="shared" si="2413"/>
        <v>2302</v>
      </c>
      <c r="BO2307" s="19">
        <f t="shared" si="2414"/>
        <v>3225</v>
      </c>
      <c r="BP2307">
        <f t="shared" si="2415"/>
        <v>3220</v>
      </c>
      <c r="BQ2307" s="17">
        <f t="shared" si="2416"/>
        <v>3226</v>
      </c>
      <c r="BR2307" t="str">
        <f t="shared" si="2417"/>
        <v>event_team_player_1</v>
      </c>
      <c r="BS2307">
        <f>COUNTIFS(S$3:S2307,"="&amp;S2307,AI$3:AI2307,"="&amp;AI2307)</f>
        <v>1</v>
      </c>
      <c r="BT2307" t="str">
        <f>IFERROR(VLOOKUP(BB2307&amp;BU2307&amp;X2307,game_rosters!U:W,3,FALSE),"")</f>
        <v>P100198</v>
      </c>
      <c r="BU2307" t="str">
        <f t="shared" si="2418"/>
        <v>Velodrome</v>
      </c>
    </row>
    <row r="2308" spans="1:73" x14ac:dyDescent="0.2">
      <c r="A2308">
        <f t="shared" si="2404"/>
        <v>1</v>
      </c>
      <c r="J2308" s="44" t="str">
        <f t="shared" si="2419"/>
        <v/>
      </c>
      <c r="K2308" t="s">
        <v>9</v>
      </c>
      <c r="L2308" t="s">
        <v>183</v>
      </c>
      <c r="M2308" t="s">
        <v>80</v>
      </c>
      <c r="S2308">
        <v>1229</v>
      </c>
      <c r="W2308" t="str">
        <f t="shared" ref="W2308:W2371" si="2485">IF(AN2308="Away","a",IF(AN2308="Home","h",""))</f>
        <v>h</v>
      </c>
      <c r="X2308">
        <v>79</v>
      </c>
      <c r="Y2308" t="b">
        <f>IF(X2308&lt;&gt;"",VLOOKUP(X2308,game_rosters!$C$43:$E$64,3,FALSE))</f>
        <v>0</v>
      </c>
      <c r="Z2308" cm="1">
        <f t="array" ref="Z2308">IFERROR(IF(_xlfn._xlws.FILTER(game_rosters!$J:$J,(game_rosters!$G:$G=events!$AN2308)*(game_rosters!$J:$J=events!$X2308))&gt;0,1,""),"")</f>
        <v>1</v>
      </c>
      <c r="AA2308">
        <f t="shared" si="2443"/>
        <v>2229</v>
      </c>
      <c r="AB2308" t="str">
        <f t="shared" si="2444"/>
        <v/>
      </c>
      <c r="AC2308">
        <f t="shared" si="2482"/>
        <v>2229</v>
      </c>
      <c r="AD2308" s="6">
        <v>3</v>
      </c>
      <c r="AE2308" t="s">
        <v>942</v>
      </c>
      <c r="AF2308" t="s">
        <v>904</v>
      </c>
      <c r="AG2308" t="s">
        <v>756</v>
      </c>
      <c r="AH2308" t="s">
        <v>756</v>
      </c>
      <c r="AI2308" t="s">
        <v>367</v>
      </c>
      <c r="AJ2308" t="str">
        <f t="shared" ref="AJ2308:AK2308" si="2486">IF($J2308&lt;&gt;"",$J2308,IF($AC2308=$AC2307,AJ2307,""))</f>
        <v/>
      </c>
      <c r="AK2308" t="str">
        <f t="shared" si="2486"/>
        <v/>
      </c>
      <c r="AL2308" t="str">
        <f t="shared" ref="AL2308:AL2371" si="2487">IF($W2308="","",IF($AJ2308="","",IF($W2308="h",$AJ2308,IF($AJ2308="n","n",IF(AND($W2308="a",$AJ2308="d"),"o",IF(AND($W2308="a",$AJ2308="o"),"d"))))))</f>
        <v/>
      </c>
      <c r="AN2308" t="s">
        <v>861</v>
      </c>
      <c r="AO2308" t="str">
        <f t="shared" ref="AO2308:AO2371" si="2488">IF($W2308&lt;&gt;"",$W2308,IF($AC2308=$AC2307,AO2307,""))</f>
        <v>h</v>
      </c>
      <c r="AP2308" t="str">
        <f t="shared" si="2406"/>
        <v/>
      </c>
      <c r="AQ2308" t="str">
        <f t="shared" si="2407"/>
        <v/>
      </c>
      <c r="AR2308" t="str">
        <f t="shared" si="2408"/>
        <v>Home</v>
      </c>
      <c r="AS2308" t="str">
        <f t="shared" si="2409"/>
        <v>h</v>
      </c>
      <c r="AT2308" t="str">
        <f t="shared" si="2410"/>
        <v>Defensive</v>
      </c>
      <c r="BA2308" s="6">
        <f t="shared" ref="BA2308:BA2371" si="2489">IF(OR(L2308="Zone_Entry",L2308="Zone_Exit"),BA2307+1,BA2307)</f>
        <v>528</v>
      </c>
      <c r="BB2308">
        <f t="shared" ref="BB2308:BB2371" si="2490">BB2307</f>
        <v>18981</v>
      </c>
      <c r="BC2308" t="str">
        <f t="shared" ref="BC2308:BC2371" si="2491">BC2307</f>
        <v>Nelson</v>
      </c>
      <c r="BD2308" t="str">
        <f t="shared" ref="BD2308:BD2371" si="2492">BD2307</f>
        <v>Velodrome</v>
      </c>
      <c r="BE2308" t="s">
        <v>9</v>
      </c>
      <c r="BF2308" t="s">
        <v>183</v>
      </c>
      <c r="BG2308" t="s">
        <v>80</v>
      </c>
      <c r="BI2308" cm="1">
        <f t="array" ref="BI2308">IFERROR(_xlfn._xlws.FILTER(shifts!A:A,(shifts!B:B=events!AD2308)*(shifts!AG:AG&gt;=events!BK2308)*(shifts!AH:AH&lt;=events!BL2308)),BI2307)</f>
        <v>102</v>
      </c>
      <c r="BJ2308" s="15">
        <f t="shared" ref="BJ2308:BJ2371" si="2493">IF(AND(AG2308="",AH2308=""),0,((AE2308*60)+AF2308)-((AG2308*60)+AH2308))</f>
        <v>0</v>
      </c>
      <c r="BK2308">
        <f t="shared" si="2411"/>
        <v>156</v>
      </c>
      <c r="BL2308">
        <f t="shared" si="2412"/>
        <v>156</v>
      </c>
      <c r="BM2308" s="15">
        <f>SUMIFS(BJ$2:BJ2308,K$2:K2308,"=Intermission")+SUMIFS(BJ$2:BJ2308,K$2:K2308,"=Timeout")</f>
        <v>142</v>
      </c>
      <c r="BN2308">
        <f t="shared" si="2413"/>
        <v>2302</v>
      </c>
      <c r="BO2308" s="19">
        <f t="shared" si="2414"/>
        <v>3226</v>
      </c>
      <c r="BP2308">
        <f t="shared" si="2415"/>
        <v>3221</v>
      </c>
      <c r="BQ2308" s="17">
        <f t="shared" si="2416"/>
        <v>3226</v>
      </c>
      <c r="BR2308" t="str">
        <f t="shared" si="2417"/>
        <v>event_team_player_1</v>
      </c>
      <c r="BS2308">
        <f>COUNTIFS(S$3:S2308,"="&amp;S2308,AI$3:AI2308,"="&amp;AI2308)</f>
        <v>1</v>
      </c>
      <c r="BT2308" t="str">
        <f>IFERROR(VLOOKUP(BB2308&amp;BU2308&amp;X2308,game_rosters!U:W,3,FALSE),"")</f>
        <v>P100066</v>
      </c>
      <c r="BU2308" t="str">
        <f t="shared" si="2418"/>
        <v>Nelson</v>
      </c>
    </row>
    <row r="2309" spans="1:73" x14ac:dyDescent="0.2">
      <c r="A2309">
        <f t="shared" ref="A2309:A2372" si="2494">IF(K2309&lt;&gt;"",1,IF(D2309="x","x",""))</f>
        <v>1</v>
      </c>
      <c r="J2309" s="44" t="str">
        <f t="shared" si="2419"/>
        <v/>
      </c>
      <c r="K2309" t="s">
        <v>9</v>
      </c>
      <c r="L2309" t="s">
        <v>183</v>
      </c>
      <c r="M2309" t="s">
        <v>80</v>
      </c>
      <c r="S2309">
        <v>1229</v>
      </c>
      <c r="W2309" t="str">
        <f t="shared" si="2485"/>
        <v>h</v>
      </c>
      <c r="X2309">
        <v>84</v>
      </c>
      <c r="Y2309" t="e">
        <f>IF(X2309&lt;&gt;"",VLOOKUP(X2309,game_rosters!$C$43:$E$64,3,FALSE))</f>
        <v>#N/A</v>
      </c>
      <c r="Z2309" t="str" cm="1">
        <f t="array" ref="Z2309">IFERROR(IF(_xlfn._xlws.FILTER(game_rosters!$J:$J,(game_rosters!$G:$G=events!$AN2309)*(game_rosters!$J:$J=events!$X2309))&gt;0,1,""),"")</f>
        <v/>
      </c>
      <c r="AA2309">
        <f t="shared" si="2443"/>
        <v>2229</v>
      </c>
      <c r="AB2309" t="str">
        <f t="shared" si="2444"/>
        <v/>
      </c>
      <c r="AC2309">
        <f t="shared" si="2482"/>
        <v>2229</v>
      </c>
      <c r="AD2309" s="6">
        <v>3</v>
      </c>
      <c r="AE2309" t="s">
        <v>942</v>
      </c>
      <c r="AF2309" t="s">
        <v>904</v>
      </c>
      <c r="AG2309" t="s">
        <v>756</v>
      </c>
      <c r="AH2309" t="s">
        <v>756</v>
      </c>
      <c r="AI2309" t="s">
        <v>368</v>
      </c>
      <c r="AJ2309" t="str">
        <f t="shared" ref="AJ2309:AK2309" si="2495">IF($J2309&lt;&gt;"",$J2309,IF($AC2309=$AC2308,AJ2308,""))</f>
        <v/>
      </c>
      <c r="AK2309" t="str">
        <f t="shared" si="2495"/>
        <v/>
      </c>
      <c r="AL2309" t="str">
        <f t="shared" si="2487"/>
        <v/>
      </c>
      <c r="AN2309" t="s">
        <v>861</v>
      </c>
      <c r="AO2309" t="str">
        <f t="shared" si="2488"/>
        <v>h</v>
      </c>
      <c r="AP2309" t="str">
        <f t="shared" ref="AP2309:AP2372" si="2496">IF(AL2309&lt;&gt;"",AL2309,IF($AC2309=$AC2308,AP2308,""))</f>
        <v/>
      </c>
      <c r="AQ2309" t="str">
        <f t="shared" ref="AQ2309:AQ2372" si="2497">IF(AM2309&lt;&gt;"",AM2309,IF($AC2309=$AC2308,AQ2308,""))</f>
        <v/>
      </c>
      <c r="AR2309" t="str">
        <f t="shared" ref="AR2309:AR2372" si="2498">IF(AN2309&lt;&gt;"",AN2309,IF($AC2309=$AC2308,AR2308,""))</f>
        <v>Home</v>
      </c>
      <c r="AS2309" t="str">
        <f t="shared" ref="AS2309:AS2372" si="2499">IF(AO2309&lt;&gt;"",AO2309,IF($AC2309=$AC2308,AS2308,""))</f>
        <v>h</v>
      </c>
      <c r="AT2309" t="str">
        <f t="shared" ref="AT2309:AT2372" si="2500">IF(AND(AI2309="e",OR(BE2309="Save",BF2309="Turnover_Takeaway",BF2309="Play_Defensive")),"Defensive",IF(AND(AI2309="o",OR(BE2309="Save",BF2309="Turnover_Takeaway",BF2309="Play_Defensive")),"Offensive",IF(OR(BE2309="Deadice",BE2309="Stoppage",BE2309="Intermission"),"",IF(AI2309="e","Offensive",IF(AI2309="o","Defensive","")))))</f>
        <v>Offensive</v>
      </c>
      <c r="BA2309" s="6">
        <f t="shared" si="2489"/>
        <v>528</v>
      </c>
      <c r="BB2309">
        <f t="shared" si="2490"/>
        <v>18981</v>
      </c>
      <c r="BC2309" t="str">
        <f t="shared" si="2491"/>
        <v>Nelson</v>
      </c>
      <c r="BD2309" t="str">
        <f t="shared" si="2492"/>
        <v>Velodrome</v>
      </c>
      <c r="BE2309" t="s">
        <v>9</v>
      </c>
      <c r="BF2309" t="s">
        <v>183</v>
      </c>
      <c r="BG2309" t="s">
        <v>80</v>
      </c>
      <c r="BI2309" cm="1">
        <f t="array" ref="BI2309">IFERROR(_xlfn._xlws.FILTER(shifts!A:A,(shifts!B:B=events!AD2309)*(shifts!AG:AG&gt;=events!BK2309)*(shifts!AH:AH&lt;=events!BL2309)),BI2308)</f>
        <v>102</v>
      </c>
      <c r="BJ2309" s="15">
        <f t="shared" si="2493"/>
        <v>0</v>
      </c>
      <c r="BK2309">
        <f t="shared" ref="BK2309:BK2372" si="2501">(AE2309*60)+AF2309</f>
        <v>156</v>
      </c>
      <c r="BL2309">
        <f t="shared" ref="BL2309:BL2372" si="2502">IF(AND(AG2309="",AH2309=""),BK2309,((AG2309*60)+AH2309))</f>
        <v>156</v>
      </c>
      <c r="BM2309" s="15">
        <f>SUMIFS(BJ$2:BJ2309,K$2:K2309,"=Intermission")+SUMIFS(BJ$2:BJ2309,K$2:K2309,"=Timeout")</f>
        <v>142</v>
      </c>
      <c r="BN2309">
        <f t="shared" ref="BN2309:BN2372" si="2503">IF(AD2309=1,0,IF(AD2309=2,1080+BM2309,IF(AD2309=3,(1080*2)+BM2309,0)))</f>
        <v>2302</v>
      </c>
      <c r="BO2309" s="19">
        <f t="shared" ref="BO2309:BO2372" si="2504">IF(K2309="Intermission",BO2308,((1080)-((AE2309*60)+AF2309))+BN2309)</f>
        <v>3226</v>
      </c>
      <c r="BP2309">
        <f t="shared" ref="BP2309:BP2372" si="2505">IF(BO2309&lt;5,0,BO2309-5)</f>
        <v>3221</v>
      </c>
      <c r="BQ2309" s="17">
        <f t="shared" ref="BQ2309:BQ2372" si="2506">BP2309+BJ2309+5</f>
        <v>3226</v>
      </c>
      <c r="BR2309" t="str">
        <f t="shared" ref="BR2309:BR2372" si="2507">IF(AI2309="e","event_team_player_"&amp;BS2309,IF(AI2309="o","opp_team_player_"&amp;BS2309,""))</f>
        <v>opp_team_player_1</v>
      </c>
      <c r="BS2309">
        <f>COUNTIFS(S$3:S2309,"="&amp;S2309,AI$3:AI2309,"="&amp;AI2309)</f>
        <v>1</v>
      </c>
      <c r="BT2309" t="str">
        <f>IFERROR(VLOOKUP(BB2309&amp;BU2309&amp;X2309,game_rosters!U:W,3,FALSE),"")</f>
        <v>P100198</v>
      </c>
      <c r="BU2309" t="str">
        <f t="shared" ref="BU2309:BU2372" si="2508">IF(AR2309="","",IF(AND(AR2309="Away",AI2309="e"),BD2309,IF(AND(AR2309="Home",AI2309="e"),BC2309,IF(AND(AR2309="Away",AI2309="o"),BC2309,IF(AND(AR2309="Home",AI2309="o"),BD2309)))))</f>
        <v>Velodrome</v>
      </c>
    </row>
    <row r="2310" spans="1:73" x14ac:dyDescent="0.2">
      <c r="A2310">
        <f t="shared" si="2494"/>
        <v>1</v>
      </c>
      <c r="J2310" s="44" t="str">
        <f t="shared" ref="J2310:J2373" si="2509">IF(OR(K2310="Goal",K2310="Shot",L2310="Zone_Entry",M2310="Stoppage-Goal",M2309="Stoppage-Goal"),"o",IF(OR(K2310="Save",K2310="Rebound",L2310="Zone_Exit",M2310="Stoppage-GoalieStoppage",M2309="Stoppage-GoalieStoppage"),"d",IF(OR(L2310="Faceoff_AfterGoal",L2310="Faceoff_PeriodStart",698="Faceoff_GameStart",M2309="Stoppage-Goal"),"n","")))</f>
        <v>o</v>
      </c>
      <c r="K2310" t="s">
        <v>238</v>
      </c>
      <c r="L2310" t="s">
        <v>174</v>
      </c>
      <c r="M2310" t="s">
        <v>87</v>
      </c>
      <c r="S2310">
        <v>1230</v>
      </c>
      <c r="W2310" t="str">
        <f t="shared" si="2485"/>
        <v>h</v>
      </c>
      <c r="X2310">
        <v>79</v>
      </c>
      <c r="Y2310" t="b">
        <f>IF(X2310&lt;&gt;"",VLOOKUP(X2310,game_rosters!$C$43:$E$64,3,FALSE))</f>
        <v>0</v>
      </c>
      <c r="Z2310" cm="1">
        <f t="array" ref="Z2310">IFERROR(IF(_xlfn._xlws.FILTER(game_rosters!$J:$J,(game_rosters!$G:$G=events!$AN2310)*(game_rosters!$J:$J=events!$X2310))&gt;0,1,""),"")</f>
        <v>1</v>
      </c>
      <c r="AA2310">
        <f t="shared" si="2443"/>
        <v>2230</v>
      </c>
      <c r="AB2310" t="str">
        <f t="shared" si="2444"/>
        <v/>
      </c>
      <c r="AC2310">
        <f t="shared" si="2482"/>
        <v>2230</v>
      </c>
      <c r="AD2310" s="6">
        <v>3</v>
      </c>
      <c r="AE2310" t="s">
        <v>942</v>
      </c>
      <c r="AF2310" t="s">
        <v>904</v>
      </c>
      <c r="AG2310" t="s">
        <v>756</v>
      </c>
      <c r="AH2310" t="s">
        <v>756</v>
      </c>
      <c r="AI2310" t="s">
        <v>367</v>
      </c>
      <c r="AJ2310" t="str">
        <f t="shared" ref="AJ2310:AK2310" si="2510">IF($J2310&lt;&gt;"",$J2310,IF($AC2310=$AC2309,AJ2309,""))</f>
        <v>o</v>
      </c>
      <c r="AK2310" t="str">
        <f t="shared" si="2510"/>
        <v>o</v>
      </c>
      <c r="AL2310" t="str">
        <f t="shared" si="2487"/>
        <v>o</v>
      </c>
      <c r="AN2310" t="s">
        <v>861</v>
      </c>
      <c r="AO2310" t="str">
        <f t="shared" si="2488"/>
        <v>h</v>
      </c>
      <c r="AP2310" t="str">
        <f t="shared" si="2496"/>
        <v>o</v>
      </c>
      <c r="AQ2310" t="str">
        <f t="shared" si="2497"/>
        <v/>
      </c>
      <c r="AR2310" t="str">
        <f t="shared" si="2498"/>
        <v>Home</v>
      </c>
      <c r="AS2310" t="str">
        <f t="shared" si="2499"/>
        <v>h</v>
      </c>
      <c r="AT2310" t="str">
        <f t="shared" si="2500"/>
        <v>Offensive</v>
      </c>
      <c r="BA2310" s="6">
        <f t="shared" si="2489"/>
        <v>529</v>
      </c>
      <c r="BB2310">
        <f t="shared" si="2490"/>
        <v>18981</v>
      </c>
      <c r="BC2310" t="str">
        <f t="shared" si="2491"/>
        <v>Nelson</v>
      </c>
      <c r="BD2310" t="str">
        <f t="shared" si="2492"/>
        <v>Velodrome</v>
      </c>
      <c r="BE2310" t="s">
        <v>238</v>
      </c>
      <c r="BF2310" t="s">
        <v>174</v>
      </c>
      <c r="BG2310" t="s">
        <v>87</v>
      </c>
      <c r="BI2310" cm="1">
        <f t="array" ref="BI2310">IFERROR(_xlfn._xlws.FILTER(shifts!A:A,(shifts!B:B=events!AD2310)*(shifts!AG:AG&gt;=events!BK2310)*(shifts!AH:AH&lt;=events!BL2310)),BI2309)</f>
        <v>102</v>
      </c>
      <c r="BJ2310" s="15">
        <f t="shared" si="2493"/>
        <v>0</v>
      </c>
      <c r="BK2310">
        <f t="shared" si="2501"/>
        <v>156</v>
      </c>
      <c r="BL2310">
        <f t="shared" si="2502"/>
        <v>156</v>
      </c>
      <c r="BM2310" s="15">
        <f>SUMIFS(BJ$2:BJ2310,K$2:K2310,"=Intermission")+SUMIFS(BJ$2:BJ2310,K$2:K2310,"=Timeout")</f>
        <v>142</v>
      </c>
      <c r="BN2310">
        <f t="shared" si="2503"/>
        <v>2302</v>
      </c>
      <c r="BO2310" s="19">
        <f t="shared" si="2504"/>
        <v>3226</v>
      </c>
      <c r="BP2310">
        <f t="shared" si="2505"/>
        <v>3221</v>
      </c>
      <c r="BQ2310" s="17">
        <f t="shared" si="2506"/>
        <v>3226</v>
      </c>
      <c r="BR2310" t="str">
        <f t="shared" si="2507"/>
        <v>event_team_player_1</v>
      </c>
      <c r="BS2310">
        <f>COUNTIFS(S$3:S2310,"="&amp;S2310,AI$3:AI2310,"="&amp;AI2310)</f>
        <v>1</v>
      </c>
      <c r="BT2310" t="str">
        <f>IFERROR(VLOOKUP(BB2310&amp;BU2310&amp;X2310,game_rosters!U:W,3,FALSE),"")</f>
        <v>P100066</v>
      </c>
      <c r="BU2310" t="str">
        <f t="shared" si="2508"/>
        <v>Nelson</v>
      </c>
    </row>
    <row r="2311" spans="1:73" x14ac:dyDescent="0.2">
      <c r="A2311">
        <f t="shared" si="2494"/>
        <v>1</v>
      </c>
      <c r="J2311" s="44" t="str">
        <f t="shared" si="2509"/>
        <v/>
      </c>
      <c r="K2311" t="s">
        <v>13</v>
      </c>
      <c r="L2311" t="s">
        <v>756</v>
      </c>
      <c r="M2311" t="s">
        <v>756</v>
      </c>
      <c r="S2311">
        <v>1231</v>
      </c>
      <c r="W2311" t="str">
        <f t="shared" si="2485"/>
        <v>a</v>
      </c>
      <c r="X2311">
        <v>22</v>
      </c>
      <c r="Y2311" t="e">
        <f>IF(X2311&lt;&gt;"",VLOOKUP(X2311,game_rosters!$C$43:$E$64,3,FALSE))</f>
        <v>#N/A</v>
      </c>
      <c r="Z2311" cm="1">
        <f t="array" ref="Z2311">IFERROR(IF(_xlfn._xlws.FILTER(game_rosters!$J:$J,(game_rosters!$G:$G=events!$AN2311)*(game_rosters!$J:$J=events!$X2311))&gt;0,1,""),"")</f>
        <v>1</v>
      </c>
      <c r="AA2311">
        <f t="shared" si="2443"/>
        <v>2231</v>
      </c>
      <c r="AB2311" t="str">
        <f t="shared" si="2444"/>
        <v/>
      </c>
      <c r="AC2311">
        <f t="shared" si="2482"/>
        <v>2231</v>
      </c>
      <c r="AD2311" s="6">
        <v>3</v>
      </c>
      <c r="AE2311" t="s">
        <v>942</v>
      </c>
      <c r="AF2311" t="s">
        <v>906</v>
      </c>
      <c r="AG2311" t="s">
        <v>942</v>
      </c>
      <c r="AH2311" t="s">
        <v>739</v>
      </c>
      <c r="AI2311" t="s">
        <v>367</v>
      </c>
      <c r="AJ2311" t="str">
        <f t="shared" ref="AJ2311:AK2311" si="2511">IF($J2311&lt;&gt;"",$J2311,IF($AC2311=$AC2310,AJ2310,""))</f>
        <v/>
      </c>
      <c r="AK2311" t="str">
        <f t="shared" si="2511"/>
        <v/>
      </c>
      <c r="AL2311" t="str">
        <f t="shared" si="2487"/>
        <v/>
      </c>
      <c r="AN2311" t="s">
        <v>862</v>
      </c>
      <c r="AO2311" t="str">
        <f t="shared" si="2488"/>
        <v>a</v>
      </c>
      <c r="AP2311" t="str">
        <f t="shared" si="2496"/>
        <v/>
      </c>
      <c r="AQ2311" t="str">
        <f t="shared" si="2497"/>
        <v/>
      </c>
      <c r="AR2311" t="str">
        <f t="shared" si="2498"/>
        <v>Away</v>
      </c>
      <c r="AS2311" t="str">
        <f t="shared" si="2499"/>
        <v>a</v>
      </c>
      <c r="AT2311" t="str">
        <f t="shared" si="2500"/>
        <v>Offensive</v>
      </c>
      <c r="BA2311" s="6">
        <f t="shared" si="2489"/>
        <v>529</v>
      </c>
      <c r="BB2311">
        <f t="shared" si="2490"/>
        <v>18981</v>
      </c>
      <c r="BC2311" t="str">
        <f t="shared" si="2491"/>
        <v>Nelson</v>
      </c>
      <c r="BD2311" t="str">
        <f t="shared" si="2492"/>
        <v>Velodrome</v>
      </c>
      <c r="BE2311" t="s">
        <v>13</v>
      </c>
      <c r="BF2311" t="s">
        <v>756</v>
      </c>
      <c r="BG2311" t="s">
        <v>756</v>
      </c>
      <c r="BI2311" cm="1">
        <f t="array" ref="BI2311">IFERROR(_xlfn._xlws.FILTER(shifts!A:A,(shifts!B:B=events!AD2311)*(shifts!AG:AG&gt;=events!BK2311)*(shifts!AH:AH&lt;=events!BL2311)),BI2310)</f>
        <v>102</v>
      </c>
      <c r="BJ2311" s="15">
        <f t="shared" si="2493"/>
        <v>3</v>
      </c>
      <c r="BK2311">
        <f t="shared" si="2501"/>
        <v>149</v>
      </c>
      <c r="BL2311">
        <f t="shared" si="2502"/>
        <v>146</v>
      </c>
      <c r="BM2311" s="15">
        <f>SUMIFS(BJ$2:BJ2311,K$2:K2311,"=Intermission")+SUMIFS(BJ$2:BJ2311,K$2:K2311,"=Timeout")</f>
        <v>142</v>
      </c>
      <c r="BN2311">
        <f t="shared" si="2503"/>
        <v>2302</v>
      </c>
      <c r="BO2311" s="19">
        <f t="shared" si="2504"/>
        <v>3233</v>
      </c>
      <c r="BP2311">
        <f t="shared" si="2505"/>
        <v>3228</v>
      </c>
      <c r="BQ2311" s="17">
        <f t="shared" si="2506"/>
        <v>3236</v>
      </c>
      <c r="BR2311" t="str">
        <f t="shared" si="2507"/>
        <v>event_team_player_1</v>
      </c>
      <c r="BS2311">
        <f>COUNTIFS(S$3:S2311,"="&amp;S2311,AI$3:AI2311,"="&amp;AI2311)</f>
        <v>1</v>
      </c>
      <c r="BT2311" t="str">
        <f>IFERROR(VLOOKUP(BB2311&amp;BU2311&amp;X2311,game_rosters!U:W,3,FALSE),"")</f>
        <v>P100108</v>
      </c>
      <c r="BU2311" t="str">
        <f t="shared" si="2508"/>
        <v>Velodrome</v>
      </c>
    </row>
    <row r="2312" spans="1:73" x14ac:dyDescent="0.2">
      <c r="A2312">
        <f t="shared" si="2494"/>
        <v>1</v>
      </c>
      <c r="J2312" s="44" t="str">
        <f t="shared" si="2509"/>
        <v/>
      </c>
      <c r="K2312" t="s">
        <v>7</v>
      </c>
      <c r="L2312" t="s">
        <v>199</v>
      </c>
      <c r="M2312" t="s">
        <v>65</v>
      </c>
      <c r="S2312">
        <v>1232</v>
      </c>
      <c r="W2312" t="str">
        <f t="shared" si="2485"/>
        <v>a</v>
      </c>
      <c r="X2312">
        <v>22</v>
      </c>
      <c r="Y2312" t="e">
        <f>IF(X2312&lt;&gt;"",VLOOKUP(X2312,game_rosters!$C$43:$E$64,3,FALSE))</f>
        <v>#N/A</v>
      </c>
      <c r="Z2312" cm="1">
        <f t="array" ref="Z2312">IFERROR(IF(_xlfn._xlws.FILTER(game_rosters!$J:$J,(game_rosters!$G:$G=events!$AN2312)*(game_rosters!$J:$J=events!$X2312))&gt;0,1,""),"")</f>
        <v>1</v>
      </c>
      <c r="AA2312">
        <f t="shared" si="2443"/>
        <v>2232</v>
      </c>
      <c r="AB2312" t="str">
        <f t="shared" si="2444"/>
        <v/>
      </c>
      <c r="AC2312">
        <f t="shared" si="2482"/>
        <v>2232</v>
      </c>
      <c r="AD2312" s="6">
        <v>3</v>
      </c>
      <c r="AE2312" t="s">
        <v>942</v>
      </c>
      <c r="AF2312" t="s">
        <v>739</v>
      </c>
      <c r="AG2312" t="s">
        <v>756</v>
      </c>
      <c r="AH2312" t="s">
        <v>756</v>
      </c>
      <c r="AI2312" t="s">
        <v>367</v>
      </c>
      <c r="AJ2312" t="str">
        <f t="shared" ref="AJ2312:AK2312" si="2512">IF($J2312&lt;&gt;"",$J2312,IF($AC2312=$AC2311,AJ2311,""))</f>
        <v/>
      </c>
      <c r="AK2312" t="str">
        <f t="shared" si="2512"/>
        <v/>
      </c>
      <c r="AL2312" t="str">
        <f t="shared" si="2487"/>
        <v/>
      </c>
      <c r="AN2312" t="s">
        <v>862</v>
      </c>
      <c r="AO2312" t="str">
        <f t="shared" si="2488"/>
        <v>a</v>
      </c>
      <c r="AP2312" t="str">
        <f t="shared" si="2496"/>
        <v/>
      </c>
      <c r="AQ2312" t="str">
        <f t="shared" si="2497"/>
        <v/>
      </c>
      <c r="AR2312" t="str">
        <f t="shared" si="2498"/>
        <v>Away</v>
      </c>
      <c r="AS2312" t="str">
        <f t="shared" si="2499"/>
        <v>a</v>
      </c>
      <c r="AT2312" t="str">
        <f t="shared" si="2500"/>
        <v>Offensive</v>
      </c>
      <c r="BA2312" s="6">
        <f t="shared" si="2489"/>
        <v>529</v>
      </c>
      <c r="BB2312">
        <f t="shared" si="2490"/>
        <v>18981</v>
      </c>
      <c r="BC2312" t="str">
        <f t="shared" si="2491"/>
        <v>Nelson</v>
      </c>
      <c r="BD2312" t="str">
        <f t="shared" si="2492"/>
        <v>Velodrome</v>
      </c>
      <c r="BE2312" t="s">
        <v>7</v>
      </c>
      <c r="BF2312" t="s">
        <v>199</v>
      </c>
      <c r="BG2312" t="s">
        <v>65</v>
      </c>
      <c r="BI2312" cm="1">
        <f t="array" ref="BI2312">IFERROR(_xlfn._xlws.FILTER(shifts!A:A,(shifts!B:B=events!AD2312)*(shifts!AG:AG&gt;=events!BK2312)*(shifts!AH:AH&lt;=events!BL2312)),BI2311)</f>
        <v>102</v>
      </c>
      <c r="BJ2312" s="15">
        <f t="shared" si="2493"/>
        <v>0</v>
      </c>
      <c r="BK2312">
        <f t="shared" si="2501"/>
        <v>146</v>
      </c>
      <c r="BL2312">
        <f t="shared" si="2502"/>
        <v>146</v>
      </c>
      <c r="BM2312" s="15">
        <f>SUMIFS(BJ$2:BJ2312,K$2:K2312,"=Intermission")+SUMIFS(BJ$2:BJ2312,K$2:K2312,"=Timeout")</f>
        <v>142</v>
      </c>
      <c r="BN2312">
        <f t="shared" si="2503"/>
        <v>2302</v>
      </c>
      <c r="BO2312" s="19">
        <f t="shared" si="2504"/>
        <v>3236</v>
      </c>
      <c r="BP2312">
        <f t="shared" si="2505"/>
        <v>3231</v>
      </c>
      <c r="BQ2312" s="17">
        <f t="shared" si="2506"/>
        <v>3236</v>
      </c>
      <c r="BR2312" t="str">
        <f t="shared" si="2507"/>
        <v>event_team_player_1</v>
      </c>
      <c r="BS2312">
        <f>COUNTIFS(S$3:S2312,"="&amp;S2312,AI$3:AI2312,"="&amp;AI2312)</f>
        <v>1</v>
      </c>
      <c r="BT2312" t="str">
        <f>IFERROR(VLOOKUP(BB2312&amp;BU2312&amp;X2312,game_rosters!U:W,3,FALSE),"")</f>
        <v>P100108</v>
      </c>
      <c r="BU2312" t="str">
        <f t="shared" si="2508"/>
        <v>Velodrome</v>
      </c>
    </row>
    <row r="2313" spans="1:73" x14ac:dyDescent="0.2">
      <c r="A2313">
        <f t="shared" si="2494"/>
        <v>1</v>
      </c>
      <c r="J2313" s="44" t="str">
        <f t="shared" si="2509"/>
        <v/>
      </c>
      <c r="K2313" t="s">
        <v>7</v>
      </c>
      <c r="L2313" t="s">
        <v>199</v>
      </c>
      <c r="M2313" t="s">
        <v>65</v>
      </c>
      <c r="S2313">
        <v>1232</v>
      </c>
      <c r="W2313" t="str">
        <f t="shared" si="2485"/>
        <v>a</v>
      </c>
      <c r="X2313">
        <v>87</v>
      </c>
      <c r="Y2313" t="e">
        <f>IF(X2313&lt;&gt;"",VLOOKUP(X2313,game_rosters!$C$43:$E$64,3,FALSE))</f>
        <v>#N/A</v>
      </c>
      <c r="Z2313" cm="1">
        <f t="array" ref="Z2313">IFERROR(IF(_xlfn._xlws.FILTER(game_rosters!$J:$J,(game_rosters!$G:$G=events!$AN2313)*(game_rosters!$J:$J=events!$X2313))&gt;0,1,""),"")</f>
        <v>1</v>
      </c>
      <c r="AA2313">
        <f t="shared" si="2443"/>
        <v>2232</v>
      </c>
      <c r="AB2313" t="str">
        <f t="shared" si="2444"/>
        <v/>
      </c>
      <c r="AC2313">
        <f t="shared" si="2482"/>
        <v>2232</v>
      </c>
      <c r="AD2313" s="6">
        <v>3</v>
      </c>
      <c r="AE2313" t="s">
        <v>942</v>
      </c>
      <c r="AF2313" t="s">
        <v>739</v>
      </c>
      <c r="AG2313" t="s">
        <v>756</v>
      </c>
      <c r="AH2313" t="s">
        <v>756</v>
      </c>
      <c r="AI2313" t="s">
        <v>367</v>
      </c>
      <c r="AJ2313" t="str">
        <f t="shared" ref="AJ2313:AK2313" si="2513">IF($J2313&lt;&gt;"",$J2313,IF($AC2313=$AC2312,AJ2312,""))</f>
        <v/>
      </c>
      <c r="AK2313" t="str">
        <f t="shared" si="2513"/>
        <v/>
      </c>
      <c r="AL2313" t="str">
        <f t="shared" si="2487"/>
        <v/>
      </c>
      <c r="AN2313" t="s">
        <v>862</v>
      </c>
      <c r="AO2313" t="str">
        <f t="shared" si="2488"/>
        <v>a</v>
      </c>
      <c r="AP2313" t="str">
        <f t="shared" si="2496"/>
        <v/>
      </c>
      <c r="AQ2313" t="str">
        <f t="shared" si="2497"/>
        <v/>
      </c>
      <c r="AR2313" t="str">
        <f t="shared" si="2498"/>
        <v>Away</v>
      </c>
      <c r="AS2313" t="str">
        <f t="shared" si="2499"/>
        <v>a</v>
      </c>
      <c r="AT2313" t="str">
        <f t="shared" si="2500"/>
        <v>Offensive</v>
      </c>
      <c r="BA2313" s="6">
        <f t="shared" si="2489"/>
        <v>529</v>
      </c>
      <c r="BB2313">
        <f t="shared" si="2490"/>
        <v>18981</v>
      </c>
      <c r="BC2313" t="str">
        <f t="shared" si="2491"/>
        <v>Nelson</v>
      </c>
      <c r="BD2313" t="str">
        <f t="shared" si="2492"/>
        <v>Velodrome</v>
      </c>
      <c r="BE2313" t="s">
        <v>7</v>
      </c>
      <c r="BF2313" t="s">
        <v>199</v>
      </c>
      <c r="BG2313" t="s">
        <v>65</v>
      </c>
      <c r="BI2313" cm="1">
        <f t="array" ref="BI2313">IFERROR(_xlfn._xlws.FILTER(shifts!A:A,(shifts!B:B=events!AD2313)*(shifts!AG:AG&gt;=events!BK2313)*(shifts!AH:AH&lt;=events!BL2313)),BI2312)</f>
        <v>102</v>
      </c>
      <c r="BJ2313" s="15">
        <f t="shared" si="2493"/>
        <v>0</v>
      </c>
      <c r="BK2313">
        <f t="shared" si="2501"/>
        <v>146</v>
      </c>
      <c r="BL2313">
        <f t="shared" si="2502"/>
        <v>146</v>
      </c>
      <c r="BM2313" s="15">
        <f>SUMIFS(BJ$2:BJ2313,K$2:K2313,"=Intermission")+SUMIFS(BJ$2:BJ2313,K$2:K2313,"=Timeout")</f>
        <v>142</v>
      </c>
      <c r="BN2313">
        <f t="shared" si="2503"/>
        <v>2302</v>
      </c>
      <c r="BO2313" s="19">
        <f t="shared" si="2504"/>
        <v>3236</v>
      </c>
      <c r="BP2313">
        <f t="shared" si="2505"/>
        <v>3231</v>
      </c>
      <c r="BQ2313" s="17">
        <f t="shared" si="2506"/>
        <v>3236</v>
      </c>
      <c r="BR2313" t="str">
        <f t="shared" si="2507"/>
        <v>event_team_player_2</v>
      </c>
      <c r="BS2313">
        <f>COUNTIFS(S$3:S2313,"="&amp;S2313,AI$3:AI2313,"="&amp;AI2313)</f>
        <v>2</v>
      </c>
      <c r="BT2313" t="str">
        <f>IFERROR(VLOOKUP(BB2313&amp;BU2313&amp;X2313,game_rosters!U:W,3,FALSE),"")</f>
        <v>P100159</v>
      </c>
      <c r="BU2313" t="str">
        <f t="shared" si="2508"/>
        <v>Velodrome</v>
      </c>
    </row>
    <row r="2314" spans="1:73" x14ac:dyDescent="0.2">
      <c r="A2314">
        <f t="shared" si="2494"/>
        <v>1</v>
      </c>
      <c r="J2314" s="44" t="str">
        <f t="shared" si="2509"/>
        <v/>
      </c>
      <c r="K2314" t="s">
        <v>7</v>
      </c>
      <c r="L2314" t="s">
        <v>199</v>
      </c>
      <c r="M2314" t="s">
        <v>65</v>
      </c>
      <c r="S2314">
        <v>1232</v>
      </c>
      <c r="W2314" t="str">
        <f t="shared" si="2485"/>
        <v>a</v>
      </c>
      <c r="X2314">
        <v>79</v>
      </c>
      <c r="Y2314" t="b">
        <f>IF(X2314&lt;&gt;"",VLOOKUP(X2314,game_rosters!$C$43:$E$64,3,FALSE))</f>
        <v>0</v>
      </c>
      <c r="Z2314" t="str" cm="1">
        <f t="array" ref="Z2314">IFERROR(IF(_xlfn._xlws.FILTER(game_rosters!$J:$J,(game_rosters!$G:$G=events!$AN2314)*(game_rosters!$J:$J=events!$X2314))&gt;0,1,""),"")</f>
        <v/>
      </c>
      <c r="AA2314">
        <f t="shared" si="2443"/>
        <v>2232</v>
      </c>
      <c r="AB2314" t="str">
        <f t="shared" si="2444"/>
        <v/>
      </c>
      <c r="AC2314">
        <f t="shared" si="2482"/>
        <v>2232</v>
      </c>
      <c r="AD2314" s="6">
        <v>3</v>
      </c>
      <c r="AE2314" t="s">
        <v>942</v>
      </c>
      <c r="AF2314" t="s">
        <v>739</v>
      </c>
      <c r="AG2314" t="s">
        <v>756</v>
      </c>
      <c r="AH2314" t="s">
        <v>756</v>
      </c>
      <c r="AI2314" t="s">
        <v>368</v>
      </c>
      <c r="AJ2314" t="str">
        <f t="shared" ref="AJ2314:AK2314" si="2514">IF($J2314&lt;&gt;"",$J2314,IF($AC2314=$AC2313,AJ2313,""))</f>
        <v/>
      </c>
      <c r="AK2314" t="str">
        <f t="shared" si="2514"/>
        <v/>
      </c>
      <c r="AL2314" t="str">
        <f t="shared" si="2487"/>
        <v/>
      </c>
      <c r="AN2314" t="s">
        <v>862</v>
      </c>
      <c r="AO2314" t="str">
        <f t="shared" si="2488"/>
        <v>a</v>
      </c>
      <c r="AP2314" t="str">
        <f t="shared" si="2496"/>
        <v/>
      </c>
      <c r="AQ2314" t="str">
        <f t="shared" si="2497"/>
        <v/>
      </c>
      <c r="AR2314" t="str">
        <f t="shared" si="2498"/>
        <v>Away</v>
      </c>
      <c r="AS2314" t="str">
        <f t="shared" si="2499"/>
        <v>a</v>
      </c>
      <c r="AT2314" t="str">
        <f t="shared" si="2500"/>
        <v>Defensive</v>
      </c>
      <c r="BA2314" s="6">
        <f t="shared" si="2489"/>
        <v>529</v>
      </c>
      <c r="BB2314">
        <f t="shared" si="2490"/>
        <v>18981</v>
      </c>
      <c r="BC2314" t="str">
        <f t="shared" si="2491"/>
        <v>Nelson</v>
      </c>
      <c r="BD2314" t="str">
        <f t="shared" si="2492"/>
        <v>Velodrome</v>
      </c>
      <c r="BE2314" t="s">
        <v>7</v>
      </c>
      <c r="BF2314" t="s">
        <v>199</v>
      </c>
      <c r="BG2314" t="s">
        <v>65</v>
      </c>
      <c r="BI2314" cm="1">
        <f t="array" ref="BI2314">IFERROR(_xlfn._xlws.FILTER(shifts!A:A,(shifts!B:B=events!AD2314)*(shifts!AG:AG&gt;=events!BK2314)*(shifts!AH:AH&lt;=events!BL2314)),BI2313)</f>
        <v>102</v>
      </c>
      <c r="BJ2314" s="15">
        <f t="shared" si="2493"/>
        <v>0</v>
      </c>
      <c r="BK2314">
        <f t="shared" si="2501"/>
        <v>146</v>
      </c>
      <c r="BL2314">
        <f t="shared" si="2502"/>
        <v>146</v>
      </c>
      <c r="BM2314" s="15">
        <f>SUMIFS(BJ$2:BJ2314,K$2:K2314,"=Intermission")+SUMIFS(BJ$2:BJ2314,K$2:K2314,"=Timeout")</f>
        <v>142</v>
      </c>
      <c r="BN2314">
        <f t="shared" si="2503"/>
        <v>2302</v>
      </c>
      <c r="BO2314" s="19">
        <f t="shared" si="2504"/>
        <v>3236</v>
      </c>
      <c r="BP2314">
        <f t="shared" si="2505"/>
        <v>3231</v>
      </c>
      <c r="BQ2314" s="17">
        <f t="shared" si="2506"/>
        <v>3236</v>
      </c>
      <c r="BR2314" t="str">
        <f t="shared" si="2507"/>
        <v>opp_team_player_1</v>
      </c>
      <c r="BS2314">
        <f>COUNTIFS(S$3:S2314,"="&amp;S2314,AI$3:AI2314,"="&amp;AI2314)</f>
        <v>1</v>
      </c>
      <c r="BT2314" t="str">
        <f>IFERROR(VLOOKUP(BB2314&amp;BU2314&amp;X2314,game_rosters!U:W,3,FALSE),"")</f>
        <v>P100066</v>
      </c>
      <c r="BU2314" t="str">
        <f t="shared" si="2508"/>
        <v>Nelson</v>
      </c>
    </row>
    <row r="2315" spans="1:73" x14ac:dyDescent="0.2">
      <c r="A2315">
        <f t="shared" si="2494"/>
        <v>1</v>
      </c>
      <c r="J2315" s="44" t="str">
        <f t="shared" si="2509"/>
        <v>d</v>
      </c>
      <c r="K2315" t="s">
        <v>238</v>
      </c>
      <c r="L2315" t="s">
        <v>184</v>
      </c>
      <c r="M2315" t="s">
        <v>376</v>
      </c>
      <c r="S2315">
        <v>1233</v>
      </c>
      <c r="W2315" t="str">
        <f t="shared" si="2485"/>
        <v>a</v>
      </c>
      <c r="X2315">
        <v>22</v>
      </c>
      <c r="Y2315" t="e">
        <f>IF(X2315&lt;&gt;"",VLOOKUP(X2315,game_rosters!$C$43:$E$64,3,FALSE))</f>
        <v>#N/A</v>
      </c>
      <c r="Z2315" cm="1">
        <f t="array" ref="Z2315">IFERROR(IF(_xlfn._xlws.FILTER(game_rosters!$J:$J,(game_rosters!$G:$G=events!$AN2315)*(game_rosters!$J:$J=events!$X2315))&gt;0,1,""),"")</f>
        <v>1</v>
      </c>
      <c r="AA2315">
        <f t="shared" si="2443"/>
        <v>2233</v>
      </c>
      <c r="AB2315" t="str">
        <f t="shared" si="2444"/>
        <v/>
      </c>
      <c r="AC2315">
        <f t="shared" si="2482"/>
        <v>2233</v>
      </c>
      <c r="AD2315" s="6">
        <v>3</v>
      </c>
      <c r="AE2315" t="s">
        <v>942</v>
      </c>
      <c r="AF2315" t="s">
        <v>739</v>
      </c>
      <c r="AG2315" t="s">
        <v>756</v>
      </c>
      <c r="AH2315" t="s">
        <v>756</v>
      </c>
      <c r="AI2315" t="s">
        <v>367</v>
      </c>
      <c r="AJ2315" t="str">
        <f t="shared" ref="AJ2315:AK2315" si="2515">IF($J2315&lt;&gt;"",$J2315,IF($AC2315=$AC2314,AJ2314,""))</f>
        <v>d</v>
      </c>
      <c r="AK2315" t="str">
        <f t="shared" si="2515"/>
        <v>d</v>
      </c>
      <c r="AL2315" t="str">
        <f t="shared" si="2487"/>
        <v>o</v>
      </c>
      <c r="AN2315" t="s">
        <v>862</v>
      </c>
      <c r="AO2315" t="str">
        <f t="shared" si="2488"/>
        <v>a</v>
      </c>
      <c r="AP2315" t="str">
        <f t="shared" si="2496"/>
        <v>o</v>
      </c>
      <c r="AQ2315" t="str">
        <f t="shared" si="2497"/>
        <v/>
      </c>
      <c r="AR2315" t="str">
        <f t="shared" si="2498"/>
        <v>Away</v>
      </c>
      <c r="AS2315" t="str">
        <f t="shared" si="2499"/>
        <v>a</v>
      </c>
      <c r="AT2315" t="str">
        <f t="shared" si="2500"/>
        <v>Offensive</v>
      </c>
      <c r="BA2315" s="6">
        <f t="shared" si="2489"/>
        <v>530</v>
      </c>
      <c r="BB2315">
        <f t="shared" si="2490"/>
        <v>18981</v>
      </c>
      <c r="BC2315" t="str">
        <f t="shared" si="2491"/>
        <v>Nelson</v>
      </c>
      <c r="BD2315" t="str">
        <f t="shared" si="2492"/>
        <v>Velodrome</v>
      </c>
      <c r="BE2315" t="s">
        <v>238</v>
      </c>
      <c r="BF2315" t="s">
        <v>184</v>
      </c>
      <c r="BG2315" t="s">
        <v>376</v>
      </c>
      <c r="BI2315" cm="1">
        <f t="array" ref="BI2315">IFERROR(_xlfn._xlws.FILTER(shifts!A:A,(shifts!B:B=events!AD2315)*(shifts!AG:AG&gt;=events!BK2315)*(shifts!AH:AH&lt;=events!BL2315)),BI2314)</f>
        <v>102</v>
      </c>
      <c r="BJ2315" s="15">
        <f t="shared" si="2493"/>
        <v>0</v>
      </c>
      <c r="BK2315">
        <f t="shared" si="2501"/>
        <v>146</v>
      </c>
      <c r="BL2315">
        <f t="shared" si="2502"/>
        <v>146</v>
      </c>
      <c r="BM2315" s="15">
        <f>SUMIFS(BJ$2:BJ2315,K$2:K2315,"=Intermission")+SUMIFS(BJ$2:BJ2315,K$2:K2315,"=Timeout")</f>
        <v>142</v>
      </c>
      <c r="BN2315">
        <f t="shared" si="2503"/>
        <v>2302</v>
      </c>
      <c r="BO2315" s="19">
        <f t="shared" si="2504"/>
        <v>3236</v>
      </c>
      <c r="BP2315">
        <f t="shared" si="2505"/>
        <v>3231</v>
      </c>
      <c r="BQ2315" s="17">
        <f t="shared" si="2506"/>
        <v>3236</v>
      </c>
      <c r="BR2315" t="str">
        <f t="shared" si="2507"/>
        <v>event_team_player_1</v>
      </c>
      <c r="BS2315">
        <f>COUNTIFS(S$3:S2315,"="&amp;S2315,AI$3:AI2315,"="&amp;AI2315)</f>
        <v>1</v>
      </c>
      <c r="BT2315" t="str">
        <f>IFERROR(VLOOKUP(BB2315&amp;BU2315&amp;X2315,game_rosters!U:W,3,FALSE),"")</f>
        <v>P100108</v>
      </c>
      <c r="BU2315" t="str">
        <f t="shared" si="2508"/>
        <v>Velodrome</v>
      </c>
    </row>
    <row r="2316" spans="1:73" x14ac:dyDescent="0.2">
      <c r="A2316">
        <f t="shared" si="2494"/>
        <v>1</v>
      </c>
      <c r="J2316" s="44" t="str">
        <f t="shared" si="2509"/>
        <v>d</v>
      </c>
      <c r="K2316" t="s">
        <v>238</v>
      </c>
      <c r="L2316" t="s">
        <v>184</v>
      </c>
      <c r="M2316" t="s">
        <v>376</v>
      </c>
      <c r="S2316">
        <v>1233</v>
      </c>
      <c r="W2316" t="str">
        <f t="shared" si="2485"/>
        <v>a</v>
      </c>
      <c r="X2316">
        <v>87</v>
      </c>
      <c r="Y2316" t="e">
        <f>IF(X2316&lt;&gt;"",VLOOKUP(X2316,game_rosters!$C$43:$E$64,3,FALSE))</f>
        <v>#N/A</v>
      </c>
      <c r="Z2316" cm="1">
        <f t="array" ref="Z2316">IFERROR(IF(_xlfn._xlws.FILTER(game_rosters!$J:$J,(game_rosters!$G:$G=events!$AN2316)*(game_rosters!$J:$J=events!$X2316))&gt;0,1,""),"")</f>
        <v>1</v>
      </c>
      <c r="AA2316">
        <f t="shared" si="2443"/>
        <v>2233</v>
      </c>
      <c r="AB2316" t="str">
        <f t="shared" si="2444"/>
        <v/>
      </c>
      <c r="AC2316">
        <f t="shared" si="2482"/>
        <v>2233</v>
      </c>
      <c r="AD2316" s="6">
        <v>3</v>
      </c>
      <c r="AE2316" t="s">
        <v>942</v>
      </c>
      <c r="AF2316" t="s">
        <v>739</v>
      </c>
      <c r="AG2316" t="s">
        <v>756</v>
      </c>
      <c r="AH2316" t="s">
        <v>756</v>
      </c>
      <c r="AI2316" t="s">
        <v>367</v>
      </c>
      <c r="AJ2316" t="str">
        <f t="shared" ref="AJ2316:AK2316" si="2516">IF($J2316&lt;&gt;"",$J2316,IF($AC2316=$AC2315,AJ2315,""))</f>
        <v>d</v>
      </c>
      <c r="AK2316" t="str">
        <f t="shared" si="2516"/>
        <v>d</v>
      </c>
      <c r="AL2316" t="str">
        <f t="shared" si="2487"/>
        <v>o</v>
      </c>
      <c r="AN2316" t="s">
        <v>862</v>
      </c>
      <c r="AO2316" t="str">
        <f t="shared" si="2488"/>
        <v>a</v>
      </c>
      <c r="AP2316" t="str">
        <f t="shared" si="2496"/>
        <v>o</v>
      </c>
      <c r="AQ2316" t="str">
        <f t="shared" si="2497"/>
        <v/>
      </c>
      <c r="AR2316" t="str">
        <f t="shared" si="2498"/>
        <v>Away</v>
      </c>
      <c r="AS2316" t="str">
        <f t="shared" si="2499"/>
        <v>a</v>
      </c>
      <c r="AT2316" t="str">
        <f t="shared" si="2500"/>
        <v>Offensive</v>
      </c>
      <c r="BA2316" s="6">
        <f t="shared" si="2489"/>
        <v>531</v>
      </c>
      <c r="BB2316">
        <f t="shared" si="2490"/>
        <v>18981</v>
      </c>
      <c r="BC2316" t="str">
        <f t="shared" si="2491"/>
        <v>Nelson</v>
      </c>
      <c r="BD2316" t="str">
        <f t="shared" si="2492"/>
        <v>Velodrome</v>
      </c>
      <c r="BE2316" t="s">
        <v>238</v>
      </c>
      <c r="BF2316" t="s">
        <v>184</v>
      </c>
      <c r="BG2316" t="s">
        <v>376</v>
      </c>
      <c r="BI2316" cm="1">
        <f t="array" ref="BI2316">IFERROR(_xlfn._xlws.FILTER(shifts!A:A,(shifts!B:B=events!AD2316)*(shifts!AG:AG&gt;=events!BK2316)*(shifts!AH:AH&lt;=events!BL2316)),BI2315)</f>
        <v>102</v>
      </c>
      <c r="BJ2316" s="15">
        <f t="shared" si="2493"/>
        <v>0</v>
      </c>
      <c r="BK2316">
        <f t="shared" si="2501"/>
        <v>146</v>
      </c>
      <c r="BL2316">
        <f t="shared" si="2502"/>
        <v>146</v>
      </c>
      <c r="BM2316" s="15">
        <f>SUMIFS(BJ$2:BJ2316,K$2:K2316,"=Intermission")+SUMIFS(BJ$2:BJ2316,K$2:K2316,"=Timeout")</f>
        <v>142</v>
      </c>
      <c r="BN2316">
        <f t="shared" si="2503"/>
        <v>2302</v>
      </c>
      <c r="BO2316" s="19">
        <f t="shared" si="2504"/>
        <v>3236</v>
      </c>
      <c r="BP2316">
        <f t="shared" si="2505"/>
        <v>3231</v>
      </c>
      <c r="BQ2316" s="17">
        <f t="shared" si="2506"/>
        <v>3236</v>
      </c>
      <c r="BR2316" t="str">
        <f t="shared" si="2507"/>
        <v>event_team_player_2</v>
      </c>
      <c r="BS2316">
        <f>COUNTIFS(S$3:S2316,"="&amp;S2316,AI$3:AI2316,"="&amp;AI2316)</f>
        <v>2</v>
      </c>
      <c r="BT2316" t="str">
        <f>IFERROR(VLOOKUP(BB2316&amp;BU2316&amp;X2316,game_rosters!U:W,3,FALSE),"")</f>
        <v>P100159</v>
      </c>
      <c r="BU2316" t="str">
        <f t="shared" si="2508"/>
        <v>Velodrome</v>
      </c>
    </row>
    <row r="2317" spans="1:73" x14ac:dyDescent="0.2">
      <c r="A2317">
        <f t="shared" si="2494"/>
        <v>1</v>
      </c>
      <c r="J2317" s="44" t="str">
        <f t="shared" si="2509"/>
        <v>d</v>
      </c>
      <c r="K2317" t="s">
        <v>238</v>
      </c>
      <c r="L2317" t="s">
        <v>184</v>
      </c>
      <c r="M2317" t="s">
        <v>376</v>
      </c>
      <c r="S2317">
        <v>1233</v>
      </c>
      <c r="W2317" t="str">
        <f t="shared" si="2485"/>
        <v>a</v>
      </c>
      <c r="X2317">
        <v>79</v>
      </c>
      <c r="Y2317" t="b">
        <f>IF(X2317&lt;&gt;"",VLOOKUP(X2317,game_rosters!$C$43:$E$64,3,FALSE))</f>
        <v>0</v>
      </c>
      <c r="Z2317" t="str" cm="1">
        <f t="array" ref="Z2317">IFERROR(IF(_xlfn._xlws.FILTER(game_rosters!$J:$J,(game_rosters!$G:$G=events!$AN2317)*(game_rosters!$J:$J=events!$X2317))&gt;0,1,""),"")</f>
        <v/>
      </c>
      <c r="AA2317">
        <f t="shared" si="2443"/>
        <v>2233</v>
      </c>
      <c r="AB2317" t="str">
        <f t="shared" si="2444"/>
        <v/>
      </c>
      <c r="AC2317">
        <f t="shared" si="2482"/>
        <v>2233</v>
      </c>
      <c r="AD2317" s="6">
        <v>3</v>
      </c>
      <c r="AE2317" t="s">
        <v>942</v>
      </c>
      <c r="AF2317" t="s">
        <v>739</v>
      </c>
      <c r="AG2317" t="s">
        <v>756</v>
      </c>
      <c r="AH2317" t="s">
        <v>756</v>
      </c>
      <c r="AI2317" t="s">
        <v>368</v>
      </c>
      <c r="AJ2317" t="str">
        <f t="shared" ref="AJ2317:AK2317" si="2517">IF($J2317&lt;&gt;"",$J2317,IF($AC2317=$AC2316,AJ2316,""))</f>
        <v>d</v>
      </c>
      <c r="AK2317" t="str">
        <f t="shared" si="2517"/>
        <v>d</v>
      </c>
      <c r="AL2317" t="str">
        <f t="shared" si="2487"/>
        <v>o</v>
      </c>
      <c r="AN2317" t="s">
        <v>862</v>
      </c>
      <c r="AO2317" t="str">
        <f t="shared" si="2488"/>
        <v>a</v>
      </c>
      <c r="AP2317" t="str">
        <f t="shared" si="2496"/>
        <v>o</v>
      </c>
      <c r="AQ2317" t="str">
        <f t="shared" si="2497"/>
        <v/>
      </c>
      <c r="AR2317" t="str">
        <f t="shared" si="2498"/>
        <v>Away</v>
      </c>
      <c r="AS2317" t="str">
        <f t="shared" si="2499"/>
        <v>a</v>
      </c>
      <c r="AT2317" t="str">
        <f t="shared" si="2500"/>
        <v>Defensive</v>
      </c>
      <c r="BA2317" s="6">
        <f t="shared" si="2489"/>
        <v>532</v>
      </c>
      <c r="BB2317">
        <f t="shared" si="2490"/>
        <v>18981</v>
      </c>
      <c r="BC2317" t="str">
        <f t="shared" si="2491"/>
        <v>Nelson</v>
      </c>
      <c r="BD2317" t="str">
        <f t="shared" si="2492"/>
        <v>Velodrome</v>
      </c>
      <c r="BE2317" t="s">
        <v>238</v>
      </c>
      <c r="BF2317" t="s">
        <v>184</v>
      </c>
      <c r="BG2317" t="s">
        <v>376</v>
      </c>
      <c r="BI2317" cm="1">
        <f t="array" ref="BI2317">IFERROR(_xlfn._xlws.FILTER(shifts!A:A,(shifts!B:B=events!AD2317)*(shifts!AG:AG&gt;=events!BK2317)*(shifts!AH:AH&lt;=events!BL2317)),BI2316)</f>
        <v>102</v>
      </c>
      <c r="BJ2317" s="15">
        <f t="shared" si="2493"/>
        <v>0</v>
      </c>
      <c r="BK2317">
        <f t="shared" si="2501"/>
        <v>146</v>
      </c>
      <c r="BL2317">
        <f t="shared" si="2502"/>
        <v>146</v>
      </c>
      <c r="BM2317" s="15">
        <f>SUMIFS(BJ$2:BJ2317,K$2:K2317,"=Intermission")+SUMIFS(BJ$2:BJ2317,K$2:K2317,"=Timeout")</f>
        <v>142</v>
      </c>
      <c r="BN2317">
        <f t="shared" si="2503"/>
        <v>2302</v>
      </c>
      <c r="BO2317" s="19">
        <f t="shared" si="2504"/>
        <v>3236</v>
      </c>
      <c r="BP2317">
        <f t="shared" si="2505"/>
        <v>3231</v>
      </c>
      <c r="BQ2317" s="17">
        <f t="shared" si="2506"/>
        <v>3236</v>
      </c>
      <c r="BR2317" t="str">
        <f t="shared" si="2507"/>
        <v>opp_team_player_1</v>
      </c>
      <c r="BS2317">
        <f>COUNTIFS(S$3:S2317,"="&amp;S2317,AI$3:AI2317,"="&amp;AI2317)</f>
        <v>1</v>
      </c>
      <c r="BT2317" t="str">
        <f>IFERROR(VLOOKUP(BB2317&amp;BU2317&amp;X2317,game_rosters!U:W,3,FALSE),"")</f>
        <v>P100066</v>
      </c>
      <c r="BU2317" t="str">
        <f t="shared" si="2508"/>
        <v>Nelson</v>
      </c>
    </row>
    <row r="2318" spans="1:73" x14ac:dyDescent="0.2">
      <c r="A2318">
        <f t="shared" si="2494"/>
        <v>1</v>
      </c>
      <c r="J2318" s="44" t="str">
        <f t="shared" si="2509"/>
        <v/>
      </c>
      <c r="K2318" t="s">
        <v>9</v>
      </c>
      <c r="L2318" t="s">
        <v>173</v>
      </c>
      <c r="M2318" t="s">
        <v>73</v>
      </c>
      <c r="S2318">
        <v>1234</v>
      </c>
      <c r="W2318" t="str">
        <f t="shared" si="2485"/>
        <v>a</v>
      </c>
      <c r="X2318">
        <v>22</v>
      </c>
      <c r="Y2318" t="e">
        <f>IF(X2318&lt;&gt;"",VLOOKUP(X2318,game_rosters!$C$43:$E$64,3,FALSE))</f>
        <v>#N/A</v>
      </c>
      <c r="Z2318" cm="1">
        <f t="array" ref="Z2318">IFERROR(IF(_xlfn._xlws.FILTER(game_rosters!$J:$J,(game_rosters!$G:$G=events!$AN2318)*(game_rosters!$J:$J=events!$X2318))&gt;0,1,""),"")</f>
        <v>1</v>
      </c>
      <c r="AA2318">
        <f t="shared" si="2443"/>
        <v>2234</v>
      </c>
      <c r="AB2318" t="str">
        <f t="shared" si="2444"/>
        <v/>
      </c>
      <c r="AC2318">
        <f t="shared" si="2482"/>
        <v>2234</v>
      </c>
      <c r="AD2318" s="6">
        <v>3</v>
      </c>
      <c r="AE2318" t="s">
        <v>942</v>
      </c>
      <c r="AF2318" t="s">
        <v>739</v>
      </c>
      <c r="AG2318" t="s">
        <v>756</v>
      </c>
      <c r="AH2318" t="s">
        <v>756</v>
      </c>
      <c r="AI2318" t="s">
        <v>367</v>
      </c>
      <c r="AJ2318" t="str">
        <f t="shared" ref="AJ2318:AK2318" si="2518">IF($J2318&lt;&gt;"",$J2318,IF($AC2318=$AC2317,AJ2317,""))</f>
        <v/>
      </c>
      <c r="AK2318" t="str">
        <f t="shared" si="2518"/>
        <v/>
      </c>
      <c r="AL2318" t="str">
        <f t="shared" si="2487"/>
        <v/>
      </c>
      <c r="AN2318" t="s">
        <v>862</v>
      </c>
      <c r="AO2318" t="str">
        <f t="shared" si="2488"/>
        <v>a</v>
      </c>
      <c r="AP2318" t="str">
        <f t="shared" si="2496"/>
        <v/>
      </c>
      <c r="AQ2318" t="str">
        <f t="shared" si="2497"/>
        <v/>
      </c>
      <c r="AR2318" t="str">
        <f t="shared" si="2498"/>
        <v>Away</v>
      </c>
      <c r="AS2318" t="str">
        <f t="shared" si="2499"/>
        <v>a</v>
      </c>
      <c r="AT2318" t="str">
        <f t="shared" si="2500"/>
        <v>Offensive</v>
      </c>
      <c r="BA2318" s="6">
        <f t="shared" si="2489"/>
        <v>532</v>
      </c>
      <c r="BB2318">
        <f t="shared" si="2490"/>
        <v>18981</v>
      </c>
      <c r="BC2318" t="str">
        <f t="shared" si="2491"/>
        <v>Nelson</v>
      </c>
      <c r="BD2318" t="str">
        <f t="shared" si="2492"/>
        <v>Velodrome</v>
      </c>
      <c r="BE2318" t="s">
        <v>9</v>
      </c>
      <c r="BF2318" t="s">
        <v>173</v>
      </c>
      <c r="BG2318" t="s">
        <v>73</v>
      </c>
      <c r="BI2318" cm="1">
        <f t="array" ref="BI2318">IFERROR(_xlfn._xlws.FILTER(shifts!A:A,(shifts!B:B=events!AD2318)*(shifts!AG:AG&gt;=events!BK2318)*(shifts!AH:AH&lt;=events!BL2318)),BI2317)</f>
        <v>102</v>
      </c>
      <c r="BJ2318" s="15">
        <f t="shared" si="2493"/>
        <v>0</v>
      </c>
      <c r="BK2318">
        <f t="shared" si="2501"/>
        <v>146</v>
      </c>
      <c r="BL2318">
        <f t="shared" si="2502"/>
        <v>146</v>
      </c>
      <c r="BM2318" s="15">
        <f>SUMIFS(BJ$2:BJ2318,K$2:K2318,"=Intermission")+SUMIFS(BJ$2:BJ2318,K$2:K2318,"=Timeout")</f>
        <v>142</v>
      </c>
      <c r="BN2318">
        <f t="shared" si="2503"/>
        <v>2302</v>
      </c>
      <c r="BO2318" s="19">
        <f t="shared" si="2504"/>
        <v>3236</v>
      </c>
      <c r="BP2318">
        <f t="shared" si="2505"/>
        <v>3231</v>
      </c>
      <c r="BQ2318" s="17">
        <f t="shared" si="2506"/>
        <v>3236</v>
      </c>
      <c r="BR2318" t="str">
        <f t="shared" si="2507"/>
        <v>event_team_player_1</v>
      </c>
      <c r="BS2318">
        <f>COUNTIFS(S$3:S2318,"="&amp;S2318,AI$3:AI2318,"="&amp;AI2318)</f>
        <v>1</v>
      </c>
      <c r="BT2318" t="str">
        <f>IFERROR(VLOOKUP(BB2318&amp;BU2318&amp;X2318,game_rosters!U:W,3,FALSE),"")</f>
        <v>P100108</v>
      </c>
      <c r="BU2318" t="str">
        <f t="shared" si="2508"/>
        <v>Velodrome</v>
      </c>
    </row>
    <row r="2319" spans="1:73" x14ac:dyDescent="0.2">
      <c r="A2319">
        <f t="shared" si="2494"/>
        <v>1</v>
      </c>
      <c r="J2319" s="44" t="str">
        <f t="shared" si="2509"/>
        <v/>
      </c>
      <c r="K2319" t="s">
        <v>9</v>
      </c>
      <c r="L2319" t="s">
        <v>173</v>
      </c>
      <c r="M2319" t="s">
        <v>73</v>
      </c>
      <c r="S2319">
        <v>1234</v>
      </c>
      <c r="W2319" t="str">
        <f t="shared" si="2485"/>
        <v>a</v>
      </c>
      <c r="X2319">
        <v>87</v>
      </c>
      <c r="Y2319" t="e">
        <f>IF(X2319&lt;&gt;"",VLOOKUP(X2319,game_rosters!$C$43:$E$64,3,FALSE))</f>
        <v>#N/A</v>
      </c>
      <c r="Z2319" cm="1">
        <f t="array" ref="Z2319">IFERROR(IF(_xlfn._xlws.FILTER(game_rosters!$J:$J,(game_rosters!$G:$G=events!$AN2319)*(game_rosters!$J:$J=events!$X2319))&gt;0,1,""),"")</f>
        <v>1</v>
      </c>
      <c r="AA2319">
        <f t="shared" si="2443"/>
        <v>2234</v>
      </c>
      <c r="AB2319" t="str">
        <f t="shared" si="2444"/>
        <v/>
      </c>
      <c r="AC2319">
        <f t="shared" si="2482"/>
        <v>2234</v>
      </c>
      <c r="AD2319" s="6">
        <v>3</v>
      </c>
      <c r="AE2319" t="s">
        <v>942</v>
      </c>
      <c r="AF2319" t="s">
        <v>739</v>
      </c>
      <c r="AG2319" t="s">
        <v>756</v>
      </c>
      <c r="AH2319" t="s">
        <v>756</v>
      </c>
      <c r="AI2319" t="s">
        <v>367</v>
      </c>
      <c r="AJ2319" t="str">
        <f t="shared" ref="AJ2319:AK2319" si="2519">IF($J2319&lt;&gt;"",$J2319,IF($AC2319=$AC2318,AJ2318,""))</f>
        <v/>
      </c>
      <c r="AK2319" t="str">
        <f t="shared" si="2519"/>
        <v/>
      </c>
      <c r="AL2319" t="str">
        <f t="shared" si="2487"/>
        <v/>
      </c>
      <c r="AN2319" t="s">
        <v>862</v>
      </c>
      <c r="AO2319" t="str">
        <f t="shared" si="2488"/>
        <v>a</v>
      </c>
      <c r="AP2319" t="str">
        <f t="shared" si="2496"/>
        <v/>
      </c>
      <c r="AQ2319" t="str">
        <f t="shared" si="2497"/>
        <v/>
      </c>
      <c r="AR2319" t="str">
        <f t="shared" si="2498"/>
        <v>Away</v>
      </c>
      <c r="AS2319" t="str">
        <f t="shared" si="2499"/>
        <v>a</v>
      </c>
      <c r="AT2319" t="str">
        <f t="shared" si="2500"/>
        <v>Offensive</v>
      </c>
      <c r="BA2319" s="6">
        <f t="shared" si="2489"/>
        <v>532</v>
      </c>
      <c r="BB2319">
        <f t="shared" si="2490"/>
        <v>18981</v>
      </c>
      <c r="BC2319" t="str">
        <f t="shared" si="2491"/>
        <v>Nelson</v>
      </c>
      <c r="BD2319" t="str">
        <f t="shared" si="2492"/>
        <v>Velodrome</v>
      </c>
      <c r="BE2319" t="s">
        <v>9</v>
      </c>
      <c r="BF2319" t="s">
        <v>173</v>
      </c>
      <c r="BG2319" t="s">
        <v>73</v>
      </c>
      <c r="BI2319" cm="1">
        <f t="array" ref="BI2319">IFERROR(_xlfn._xlws.FILTER(shifts!A:A,(shifts!B:B=events!AD2319)*(shifts!AG:AG&gt;=events!BK2319)*(shifts!AH:AH&lt;=events!BL2319)),BI2318)</f>
        <v>102</v>
      </c>
      <c r="BJ2319" s="15">
        <f t="shared" si="2493"/>
        <v>0</v>
      </c>
      <c r="BK2319">
        <f t="shared" si="2501"/>
        <v>146</v>
      </c>
      <c r="BL2319">
        <f t="shared" si="2502"/>
        <v>146</v>
      </c>
      <c r="BM2319" s="15">
        <f>SUMIFS(BJ$2:BJ2319,K$2:K2319,"=Intermission")+SUMIFS(BJ$2:BJ2319,K$2:K2319,"=Timeout")</f>
        <v>142</v>
      </c>
      <c r="BN2319">
        <f t="shared" si="2503"/>
        <v>2302</v>
      </c>
      <c r="BO2319" s="19">
        <f t="shared" si="2504"/>
        <v>3236</v>
      </c>
      <c r="BP2319">
        <f t="shared" si="2505"/>
        <v>3231</v>
      </c>
      <c r="BQ2319" s="17">
        <f t="shared" si="2506"/>
        <v>3236</v>
      </c>
      <c r="BR2319" t="str">
        <f t="shared" si="2507"/>
        <v>event_team_player_2</v>
      </c>
      <c r="BS2319">
        <f>COUNTIFS(S$3:S2319,"="&amp;S2319,AI$3:AI2319,"="&amp;AI2319)</f>
        <v>2</v>
      </c>
      <c r="BT2319" t="str">
        <f>IFERROR(VLOOKUP(BB2319&amp;BU2319&amp;X2319,game_rosters!U:W,3,FALSE),"")</f>
        <v>P100159</v>
      </c>
      <c r="BU2319" t="str">
        <f t="shared" si="2508"/>
        <v>Velodrome</v>
      </c>
    </row>
    <row r="2320" spans="1:73" x14ac:dyDescent="0.2">
      <c r="A2320">
        <f t="shared" si="2494"/>
        <v>1</v>
      </c>
      <c r="J2320" s="44" t="str">
        <f t="shared" si="2509"/>
        <v/>
      </c>
      <c r="K2320" t="s">
        <v>9</v>
      </c>
      <c r="L2320" t="s">
        <v>173</v>
      </c>
      <c r="M2320" t="s">
        <v>73</v>
      </c>
      <c r="S2320">
        <v>1234</v>
      </c>
      <c r="W2320" t="str">
        <f t="shared" si="2485"/>
        <v>a</v>
      </c>
      <c r="X2320">
        <v>79</v>
      </c>
      <c r="Y2320" t="b">
        <f>IF(X2320&lt;&gt;"",VLOOKUP(X2320,game_rosters!$C$43:$E$64,3,FALSE))</f>
        <v>0</v>
      </c>
      <c r="Z2320" t="str" cm="1">
        <f t="array" ref="Z2320">IFERROR(IF(_xlfn._xlws.FILTER(game_rosters!$J:$J,(game_rosters!$G:$G=events!$AN2320)*(game_rosters!$J:$J=events!$X2320))&gt;0,1,""),"")</f>
        <v/>
      </c>
      <c r="AA2320">
        <f t="shared" si="2443"/>
        <v>2234</v>
      </c>
      <c r="AB2320" t="str">
        <f t="shared" si="2444"/>
        <v/>
      </c>
      <c r="AC2320">
        <f t="shared" si="2482"/>
        <v>2234</v>
      </c>
      <c r="AD2320" s="6">
        <v>3</v>
      </c>
      <c r="AE2320" t="s">
        <v>942</v>
      </c>
      <c r="AF2320" t="s">
        <v>739</v>
      </c>
      <c r="AG2320" t="s">
        <v>756</v>
      </c>
      <c r="AH2320" t="s">
        <v>756</v>
      </c>
      <c r="AI2320" t="s">
        <v>368</v>
      </c>
      <c r="AJ2320" t="str">
        <f t="shared" ref="AJ2320:AK2320" si="2520">IF($J2320&lt;&gt;"",$J2320,IF($AC2320=$AC2319,AJ2319,""))</f>
        <v/>
      </c>
      <c r="AK2320" t="str">
        <f t="shared" si="2520"/>
        <v/>
      </c>
      <c r="AL2320" t="str">
        <f t="shared" si="2487"/>
        <v/>
      </c>
      <c r="AN2320" t="s">
        <v>862</v>
      </c>
      <c r="AO2320" t="str">
        <f t="shared" si="2488"/>
        <v>a</v>
      </c>
      <c r="AP2320" t="str">
        <f t="shared" si="2496"/>
        <v/>
      </c>
      <c r="AQ2320" t="str">
        <f t="shared" si="2497"/>
        <v/>
      </c>
      <c r="AR2320" t="str">
        <f t="shared" si="2498"/>
        <v>Away</v>
      </c>
      <c r="AS2320" t="str">
        <f t="shared" si="2499"/>
        <v>a</v>
      </c>
      <c r="AT2320" t="str">
        <f t="shared" si="2500"/>
        <v>Defensive</v>
      </c>
      <c r="BA2320" s="6">
        <f t="shared" si="2489"/>
        <v>532</v>
      </c>
      <c r="BB2320">
        <f t="shared" si="2490"/>
        <v>18981</v>
      </c>
      <c r="BC2320" t="str">
        <f t="shared" si="2491"/>
        <v>Nelson</v>
      </c>
      <c r="BD2320" t="str">
        <f t="shared" si="2492"/>
        <v>Velodrome</v>
      </c>
      <c r="BE2320" t="s">
        <v>9</v>
      </c>
      <c r="BF2320" t="s">
        <v>173</v>
      </c>
      <c r="BG2320" t="s">
        <v>73</v>
      </c>
      <c r="BI2320" cm="1">
        <f t="array" ref="BI2320">IFERROR(_xlfn._xlws.FILTER(shifts!A:A,(shifts!B:B=events!AD2320)*(shifts!AG:AG&gt;=events!BK2320)*(shifts!AH:AH&lt;=events!BL2320)),BI2319)</f>
        <v>102</v>
      </c>
      <c r="BJ2320" s="15">
        <f t="shared" si="2493"/>
        <v>0</v>
      </c>
      <c r="BK2320">
        <f t="shared" si="2501"/>
        <v>146</v>
      </c>
      <c r="BL2320">
        <f t="shared" si="2502"/>
        <v>146</v>
      </c>
      <c r="BM2320" s="15">
        <f>SUMIFS(BJ$2:BJ2320,K$2:K2320,"=Intermission")+SUMIFS(BJ$2:BJ2320,K$2:K2320,"=Timeout")</f>
        <v>142</v>
      </c>
      <c r="BN2320">
        <f t="shared" si="2503"/>
        <v>2302</v>
      </c>
      <c r="BO2320" s="19">
        <f t="shared" si="2504"/>
        <v>3236</v>
      </c>
      <c r="BP2320">
        <f t="shared" si="2505"/>
        <v>3231</v>
      </c>
      <c r="BQ2320" s="17">
        <f t="shared" si="2506"/>
        <v>3236</v>
      </c>
      <c r="BR2320" t="str">
        <f t="shared" si="2507"/>
        <v>opp_team_player_1</v>
      </c>
      <c r="BS2320">
        <f>COUNTIFS(S$3:S2320,"="&amp;S2320,AI$3:AI2320,"="&amp;AI2320)</f>
        <v>1</v>
      </c>
      <c r="BT2320" t="str">
        <f>IFERROR(VLOOKUP(BB2320&amp;BU2320&amp;X2320,game_rosters!U:W,3,FALSE),"")</f>
        <v>P100066</v>
      </c>
      <c r="BU2320" t="str">
        <f t="shared" si="2508"/>
        <v>Nelson</v>
      </c>
    </row>
    <row r="2321" spans="1:73" x14ac:dyDescent="0.2">
      <c r="A2321">
        <f t="shared" si="2494"/>
        <v>1</v>
      </c>
      <c r="J2321" s="44" t="str">
        <f t="shared" si="2509"/>
        <v>o</v>
      </c>
      <c r="K2321" t="s">
        <v>238</v>
      </c>
      <c r="L2321" t="s">
        <v>174</v>
      </c>
      <c r="M2321" t="s">
        <v>87</v>
      </c>
      <c r="S2321">
        <v>1235</v>
      </c>
      <c r="W2321" t="str">
        <f t="shared" si="2485"/>
        <v>h</v>
      </c>
      <c r="X2321">
        <v>79</v>
      </c>
      <c r="Y2321" t="b">
        <f>IF(X2321&lt;&gt;"",VLOOKUP(X2321,game_rosters!$C$43:$E$64,3,FALSE))</f>
        <v>0</v>
      </c>
      <c r="Z2321" cm="1">
        <f t="array" ref="Z2321">IFERROR(IF(_xlfn._xlws.FILTER(game_rosters!$J:$J,(game_rosters!$G:$G=events!$AN2321)*(game_rosters!$J:$J=events!$X2321))&gt;0,1,""),"")</f>
        <v>1</v>
      </c>
      <c r="AA2321">
        <f t="shared" si="2443"/>
        <v>2235</v>
      </c>
      <c r="AB2321" t="str">
        <f t="shared" si="2444"/>
        <v/>
      </c>
      <c r="AC2321">
        <f t="shared" si="2482"/>
        <v>2235</v>
      </c>
      <c r="AD2321" s="6">
        <v>3</v>
      </c>
      <c r="AE2321" t="s">
        <v>942</v>
      </c>
      <c r="AF2321" t="s">
        <v>907</v>
      </c>
      <c r="AG2321" t="s">
        <v>756</v>
      </c>
      <c r="AH2321" t="s">
        <v>756</v>
      </c>
      <c r="AI2321" t="s">
        <v>367</v>
      </c>
      <c r="AJ2321" t="str">
        <f t="shared" ref="AJ2321:AK2321" si="2521">IF($J2321&lt;&gt;"",$J2321,IF($AC2321=$AC2320,AJ2320,""))</f>
        <v>o</v>
      </c>
      <c r="AK2321" t="str">
        <f t="shared" si="2521"/>
        <v>o</v>
      </c>
      <c r="AL2321" t="str">
        <f t="shared" si="2487"/>
        <v>o</v>
      </c>
      <c r="AN2321" t="s">
        <v>861</v>
      </c>
      <c r="AO2321" t="str">
        <f t="shared" si="2488"/>
        <v>h</v>
      </c>
      <c r="AP2321" t="str">
        <f t="shared" si="2496"/>
        <v>o</v>
      </c>
      <c r="AQ2321" t="str">
        <f t="shared" si="2497"/>
        <v/>
      </c>
      <c r="AR2321" t="str">
        <f t="shared" si="2498"/>
        <v>Home</v>
      </c>
      <c r="AS2321" t="str">
        <f t="shared" si="2499"/>
        <v>h</v>
      </c>
      <c r="AT2321" t="str">
        <f t="shared" si="2500"/>
        <v>Offensive</v>
      </c>
      <c r="BA2321" s="6">
        <f t="shared" si="2489"/>
        <v>533</v>
      </c>
      <c r="BB2321">
        <f t="shared" si="2490"/>
        <v>18981</v>
      </c>
      <c r="BC2321" t="str">
        <f t="shared" si="2491"/>
        <v>Nelson</v>
      </c>
      <c r="BD2321" t="str">
        <f t="shared" si="2492"/>
        <v>Velodrome</v>
      </c>
      <c r="BE2321" t="s">
        <v>238</v>
      </c>
      <c r="BF2321" t="s">
        <v>174</v>
      </c>
      <c r="BG2321" t="s">
        <v>87</v>
      </c>
      <c r="BI2321" cm="1">
        <f t="array" ref="BI2321">IFERROR(_xlfn._xlws.FILTER(shifts!A:A,(shifts!B:B=events!AD2321)*(shifts!AG:AG&gt;=events!BK2321)*(shifts!AH:AH&lt;=events!BL2321)),BI2320)</f>
        <v>102</v>
      </c>
      <c r="BJ2321" s="15">
        <f t="shared" si="2493"/>
        <v>0</v>
      </c>
      <c r="BK2321">
        <f t="shared" si="2501"/>
        <v>144</v>
      </c>
      <c r="BL2321">
        <f t="shared" si="2502"/>
        <v>144</v>
      </c>
      <c r="BM2321" s="15">
        <f>SUMIFS(BJ$2:BJ2321,K$2:K2321,"=Intermission")+SUMIFS(BJ$2:BJ2321,K$2:K2321,"=Timeout")</f>
        <v>142</v>
      </c>
      <c r="BN2321">
        <f t="shared" si="2503"/>
        <v>2302</v>
      </c>
      <c r="BO2321" s="19">
        <f t="shared" si="2504"/>
        <v>3238</v>
      </c>
      <c r="BP2321">
        <f t="shared" si="2505"/>
        <v>3233</v>
      </c>
      <c r="BQ2321" s="17">
        <f t="shared" si="2506"/>
        <v>3238</v>
      </c>
      <c r="BR2321" t="str">
        <f t="shared" si="2507"/>
        <v>event_team_player_1</v>
      </c>
      <c r="BS2321">
        <f>COUNTIFS(S$3:S2321,"="&amp;S2321,AI$3:AI2321,"="&amp;AI2321)</f>
        <v>1</v>
      </c>
      <c r="BT2321" t="str">
        <f>IFERROR(VLOOKUP(BB2321&amp;BU2321&amp;X2321,game_rosters!U:W,3,FALSE),"")</f>
        <v>P100066</v>
      </c>
      <c r="BU2321" t="str">
        <f t="shared" si="2508"/>
        <v>Nelson</v>
      </c>
    </row>
    <row r="2322" spans="1:73" x14ac:dyDescent="0.2">
      <c r="A2322">
        <f t="shared" si="2494"/>
        <v>1</v>
      </c>
      <c r="J2322" s="44" t="str">
        <f t="shared" si="2509"/>
        <v/>
      </c>
      <c r="K2322" t="s">
        <v>13</v>
      </c>
      <c r="L2322" t="s">
        <v>756</v>
      </c>
      <c r="M2322" t="s">
        <v>756</v>
      </c>
      <c r="S2322">
        <v>1236</v>
      </c>
      <c r="W2322" t="str">
        <f t="shared" si="2485"/>
        <v>a</v>
      </c>
      <c r="X2322">
        <v>22</v>
      </c>
      <c r="Y2322" t="e">
        <f>IF(X2322&lt;&gt;"",VLOOKUP(X2322,game_rosters!$C$43:$E$64,3,FALSE))</f>
        <v>#N/A</v>
      </c>
      <c r="Z2322" cm="1">
        <f t="array" ref="Z2322">IFERROR(IF(_xlfn._xlws.FILTER(game_rosters!$J:$J,(game_rosters!$G:$G=events!$AN2322)*(game_rosters!$J:$J=events!$X2322))&gt;0,1,""),"")</f>
        <v>1</v>
      </c>
      <c r="AA2322">
        <f t="shared" si="2443"/>
        <v>2236</v>
      </c>
      <c r="AB2322" t="str">
        <f t="shared" si="2444"/>
        <v/>
      </c>
      <c r="AC2322">
        <f t="shared" si="2482"/>
        <v>2236</v>
      </c>
      <c r="AD2322" s="6">
        <v>3</v>
      </c>
      <c r="AE2322" t="s">
        <v>942</v>
      </c>
      <c r="AF2322" t="s">
        <v>741</v>
      </c>
      <c r="AG2322" t="s">
        <v>942</v>
      </c>
      <c r="AH2322" t="s">
        <v>744</v>
      </c>
      <c r="AI2322" t="s">
        <v>367</v>
      </c>
      <c r="AJ2322" t="str">
        <f t="shared" ref="AJ2322:AK2322" si="2522">IF($J2322&lt;&gt;"",$J2322,IF($AC2322=$AC2321,AJ2321,""))</f>
        <v/>
      </c>
      <c r="AK2322" t="str">
        <f t="shared" si="2522"/>
        <v/>
      </c>
      <c r="AL2322" t="str">
        <f t="shared" si="2487"/>
        <v/>
      </c>
      <c r="AN2322" t="s">
        <v>862</v>
      </c>
      <c r="AO2322" t="str">
        <f t="shared" si="2488"/>
        <v>a</v>
      </c>
      <c r="AP2322" t="str">
        <f t="shared" si="2496"/>
        <v/>
      </c>
      <c r="AQ2322" t="str">
        <f t="shared" si="2497"/>
        <v/>
      </c>
      <c r="AR2322" t="str">
        <f t="shared" si="2498"/>
        <v>Away</v>
      </c>
      <c r="AS2322" t="str">
        <f t="shared" si="2499"/>
        <v>a</v>
      </c>
      <c r="AT2322" t="str">
        <f t="shared" si="2500"/>
        <v>Offensive</v>
      </c>
      <c r="BA2322" s="6">
        <f t="shared" si="2489"/>
        <v>533</v>
      </c>
      <c r="BB2322">
        <f t="shared" si="2490"/>
        <v>18981</v>
      </c>
      <c r="BC2322" t="str">
        <f t="shared" si="2491"/>
        <v>Nelson</v>
      </c>
      <c r="BD2322" t="str">
        <f t="shared" si="2492"/>
        <v>Velodrome</v>
      </c>
      <c r="BE2322" t="s">
        <v>13</v>
      </c>
      <c r="BF2322" t="s">
        <v>756</v>
      </c>
      <c r="BG2322" t="s">
        <v>756</v>
      </c>
      <c r="BI2322" cm="1">
        <f t="array" ref="BI2322">IFERROR(_xlfn._xlws.FILTER(shifts!A:A,(shifts!B:B=events!AD2322)*(shifts!AG:AG&gt;=events!BK2322)*(shifts!AH:AH&lt;=events!BL2322)),BI2321)</f>
        <v>102</v>
      </c>
      <c r="BJ2322" s="15">
        <f t="shared" si="2493"/>
        <v>6</v>
      </c>
      <c r="BK2322">
        <f t="shared" si="2501"/>
        <v>141</v>
      </c>
      <c r="BL2322">
        <f t="shared" si="2502"/>
        <v>135</v>
      </c>
      <c r="BM2322" s="15">
        <f>SUMIFS(BJ$2:BJ2322,K$2:K2322,"=Intermission")+SUMIFS(BJ$2:BJ2322,K$2:K2322,"=Timeout")</f>
        <v>142</v>
      </c>
      <c r="BN2322">
        <f t="shared" si="2503"/>
        <v>2302</v>
      </c>
      <c r="BO2322" s="19">
        <f t="shared" si="2504"/>
        <v>3241</v>
      </c>
      <c r="BP2322">
        <f t="shared" si="2505"/>
        <v>3236</v>
      </c>
      <c r="BQ2322" s="17">
        <f t="shared" si="2506"/>
        <v>3247</v>
      </c>
      <c r="BR2322" t="str">
        <f t="shared" si="2507"/>
        <v>event_team_player_1</v>
      </c>
      <c r="BS2322">
        <f>COUNTIFS(S$3:S2322,"="&amp;S2322,AI$3:AI2322,"="&amp;AI2322)</f>
        <v>1</v>
      </c>
      <c r="BT2322" t="str">
        <f>IFERROR(VLOOKUP(BB2322&amp;BU2322&amp;X2322,game_rosters!U:W,3,FALSE),"")</f>
        <v>P100108</v>
      </c>
      <c r="BU2322" t="str">
        <f t="shared" si="2508"/>
        <v>Velodrome</v>
      </c>
    </row>
    <row r="2323" spans="1:73" x14ac:dyDescent="0.2">
      <c r="A2323">
        <f t="shared" si="2494"/>
        <v>1</v>
      </c>
      <c r="J2323" s="44" t="str">
        <f t="shared" si="2509"/>
        <v>d</v>
      </c>
      <c r="K2323" t="s">
        <v>238</v>
      </c>
      <c r="L2323" t="s">
        <v>184</v>
      </c>
      <c r="M2323" t="s">
        <v>376</v>
      </c>
      <c r="S2323">
        <v>1237</v>
      </c>
      <c r="W2323" t="str">
        <f t="shared" si="2485"/>
        <v>a</v>
      </c>
      <c r="X2323">
        <v>22</v>
      </c>
      <c r="Y2323" t="e">
        <f>IF(X2323&lt;&gt;"",VLOOKUP(X2323,game_rosters!$C$43:$E$64,3,FALSE))</f>
        <v>#N/A</v>
      </c>
      <c r="Z2323" cm="1">
        <f t="array" ref="Z2323">IFERROR(IF(_xlfn._xlws.FILTER(game_rosters!$J:$J,(game_rosters!$G:$G=events!$AN2323)*(game_rosters!$J:$J=events!$X2323))&gt;0,1,""),"")</f>
        <v>1</v>
      </c>
      <c r="AA2323">
        <f t="shared" si="2443"/>
        <v>2237</v>
      </c>
      <c r="AB2323" t="str">
        <f t="shared" si="2444"/>
        <v/>
      </c>
      <c r="AC2323">
        <f t="shared" si="2482"/>
        <v>2237</v>
      </c>
      <c r="AD2323" s="6">
        <v>3</v>
      </c>
      <c r="AE2323" t="s">
        <v>942</v>
      </c>
      <c r="AF2323" t="s">
        <v>744</v>
      </c>
      <c r="AG2323" t="s">
        <v>756</v>
      </c>
      <c r="AH2323" t="s">
        <v>756</v>
      </c>
      <c r="AI2323" t="s">
        <v>367</v>
      </c>
      <c r="AJ2323" t="str">
        <f t="shared" ref="AJ2323:AK2323" si="2523">IF($J2323&lt;&gt;"",$J2323,IF($AC2323=$AC2322,AJ2322,""))</f>
        <v>d</v>
      </c>
      <c r="AK2323" t="str">
        <f t="shared" si="2523"/>
        <v>d</v>
      </c>
      <c r="AL2323" t="str">
        <f t="shared" si="2487"/>
        <v>o</v>
      </c>
      <c r="AN2323" t="s">
        <v>862</v>
      </c>
      <c r="AO2323" t="str">
        <f t="shared" si="2488"/>
        <v>a</v>
      </c>
      <c r="AP2323" t="str">
        <f t="shared" si="2496"/>
        <v>o</v>
      </c>
      <c r="AQ2323" t="str">
        <f t="shared" si="2497"/>
        <v/>
      </c>
      <c r="AR2323" t="str">
        <f t="shared" si="2498"/>
        <v>Away</v>
      </c>
      <c r="AS2323" t="str">
        <f t="shared" si="2499"/>
        <v>a</v>
      </c>
      <c r="AT2323" t="str">
        <f t="shared" si="2500"/>
        <v>Offensive</v>
      </c>
      <c r="BA2323" s="6">
        <f t="shared" si="2489"/>
        <v>534</v>
      </c>
      <c r="BB2323">
        <f t="shared" si="2490"/>
        <v>18981</v>
      </c>
      <c r="BC2323" t="str">
        <f t="shared" si="2491"/>
        <v>Nelson</v>
      </c>
      <c r="BD2323" t="str">
        <f t="shared" si="2492"/>
        <v>Velodrome</v>
      </c>
      <c r="BE2323" t="s">
        <v>238</v>
      </c>
      <c r="BF2323" t="s">
        <v>184</v>
      </c>
      <c r="BG2323" t="s">
        <v>376</v>
      </c>
      <c r="BI2323" cm="1">
        <f t="array" ref="BI2323">IFERROR(_xlfn._xlws.FILTER(shifts!A:A,(shifts!B:B=events!AD2323)*(shifts!AG:AG&gt;=events!BK2323)*(shifts!AH:AH&lt;=events!BL2323)),BI2322)</f>
        <v>102</v>
      </c>
      <c r="BJ2323" s="15">
        <f t="shared" si="2493"/>
        <v>0</v>
      </c>
      <c r="BK2323">
        <f t="shared" si="2501"/>
        <v>135</v>
      </c>
      <c r="BL2323">
        <f t="shared" si="2502"/>
        <v>135</v>
      </c>
      <c r="BM2323" s="15">
        <f>SUMIFS(BJ$2:BJ2323,K$2:K2323,"=Intermission")+SUMIFS(BJ$2:BJ2323,K$2:K2323,"=Timeout")</f>
        <v>142</v>
      </c>
      <c r="BN2323">
        <f t="shared" si="2503"/>
        <v>2302</v>
      </c>
      <c r="BO2323" s="19">
        <f t="shared" si="2504"/>
        <v>3247</v>
      </c>
      <c r="BP2323">
        <f t="shared" si="2505"/>
        <v>3242</v>
      </c>
      <c r="BQ2323" s="17">
        <f t="shared" si="2506"/>
        <v>3247</v>
      </c>
      <c r="BR2323" t="str">
        <f t="shared" si="2507"/>
        <v>event_team_player_1</v>
      </c>
      <c r="BS2323">
        <f>COUNTIFS(S$3:S2323,"="&amp;S2323,AI$3:AI2323,"="&amp;AI2323)</f>
        <v>1</v>
      </c>
      <c r="BT2323" t="str">
        <f>IFERROR(VLOOKUP(BB2323&amp;BU2323&amp;X2323,game_rosters!U:W,3,FALSE),"")</f>
        <v>P100108</v>
      </c>
      <c r="BU2323" t="str">
        <f t="shared" si="2508"/>
        <v>Velodrome</v>
      </c>
    </row>
    <row r="2324" spans="1:73" x14ac:dyDescent="0.2">
      <c r="A2324">
        <f t="shared" si="2494"/>
        <v>1</v>
      </c>
      <c r="J2324" s="44" t="str">
        <f t="shared" si="2509"/>
        <v>d</v>
      </c>
      <c r="K2324" t="s">
        <v>238</v>
      </c>
      <c r="L2324" t="s">
        <v>184</v>
      </c>
      <c r="M2324" t="s">
        <v>376</v>
      </c>
      <c r="S2324">
        <v>1237</v>
      </c>
      <c r="W2324" t="str">
        <f t="shared" si="2485"/>
        <v>a</v>
      </c>
      <c r="X2324">
        <v>70</v>
      </c>
      <c r="Y2324" t="e">
        <f>IF(X2324&lt;&gt;"",VLOOKUP(X2324,game_rosters!$C$43:$E$64,3,FALSE))</f>
        <v>#N/A</v>
      </c>
      <c r="Z2324" cm="1">
        <f t="array" ref="Z2324">IFERROR(IF(_xlfn._xlws.FILTER(game_rosters!$J:$J,(game_rosters!$G:$G=events!$AN2324)*(game_rosters!$J:$J=events!$X2324))&gt;0,1,""),"")</f>
        <v>1</v>
      </c>
      <c r="AA2324">
        <f t="shared" si="2443"/>
        <v>2237</v>
      </c>
      <c r="AB2324" t="str">
        <f t="shared" si="2444"/>
        <v/>
      </c>
      <c r="AC2324">
        <f t="shared" si="2482"/>
        <v>2237</v>
      </c>
      <c r="AD2324" s="6">
        <v>3</v>
      </c>
      <c r="AE2324" t="s">
        <v>942</v>
      </c>
      <c r="AF2324" t="s">
        <v>744</v>
      </c>
      <c r="AG2324" t="s">
        <v>756</v>
      </c>
      <c r="AH2324" t="s">
        <v>756</v>
      </c>
      <c r="AI2324" t="s">
        <v>367</v>
      </c>
      <c r="AJ2324" t="str">
        <f t="shared" ref="AJ2324:AK2324" si="2524">IF($J2324&lt;&gt;"",$J2324,IF($AC2324=$AC2323,AJ2323,""))</f>
        <v>d</v>
      </c>
      <c r="AK2324" t="str">
        <f t="shared" si="2524"/>
        <v>d</v>
      </c>
      <c r="AL2324" t="str">
        <f t="shared" si="2487"/>
        <v>o</v>
      </c>
      <c r="AN2324" t="s">
        <v>862</v>
      </c>
      <c r="AO2324" t="str">
        <f t="shared" si="2488"/>
        <v>a</v>
      </c>
      <c r="AP2324" t="str">
        <f t="shared" si="2496"/>
        <v>o</v>
      </c>
      <c r="AQ2324" t="str">
        <f t="shared" si="2497"/>
        <v/>
      </c>
      <c r="AR2324" t="str">
        <f t="shared" si="2498"/>
        <v>Away</v>
      </c>
      <c r="AS2324" t="str">
        <f t="shared" si="2499"/>
        <v>a</v>
      </c>
      <c r="AT2324" t="str">
        <f t="shared" si="2500"/>
        <v>Offensive</v>
      </c>
      <c r="BA2324" s="6">
        <f t="shared" si="2489"/>
        <v>535</v>
      </c>
      <c r="BB2324">
        <f t="shared" si="2490"/>
        <v>18981</v>
      </c>
      <c r="BC2324" t="str">
        <f t="shared" si="2491"/>
        <v>Nelson</v>
      </c>
      <c r="BD2324" t="str">
        <f t="shared" si="2492"/>
        <v>Velodrome</v>
      </c>
      <c r="BE2324" t="s">
        <v>238</v>
      </c>
      <c r="BF2324" t="s">
        <v>184</v>
      </c>
      <c r="BG2324" t="s">
        <v>376</v>
      </c>
      <c r="BI2324" cm="1">
        <f t="array" ref="BI2324">IFERROR(_xlfn._xlws.FILTER(shifts!A:A,(shifts!B:B=events!AD2324)*(shifts!AG:AG&gt;=events!BK2324)*(shifts!AH:AH&lt;=events!BL2324)),BI2323)</f>
        <v>102</v>
      </c>
      <c r="BJ2324" s="15">
        <f t="shared" si="2493"/>
        <v>0</v>
      </c>
      <c r="BK2324">
        <f t="shared" si="2501"/>
        <v>135</v>
      </c>
      <c r="BL2324">
        <f t="shared" si="2502"/>
        <v>135</v>
      </c>
      <c r="BM2324" s="15">
        <f>SUMIFS(BJ$2:BJ2324,K$2:K2324,"=Intermission")+SUMIFS(BJ$2:BJ2324,K$2:K2324,"=Timeout")</f>
        <v>142</v>
      </c>
      <c r="BN2324">
        <f t="shared" si="2503"/>
        <v>2302</v>
      </c>
      <c r="BO2324" s="19">
        <f t="shared" si="2504"/>
        <v>3247</v>
      </c>
      <c r="BP2324">
        <f t="shared" si="2505"/>
        <v>3242</v>
      </c>
      <c r="BQ2324" s="17">
        <f t="shared" si="2506"/>
        <v>3247</v>
      </c>
      <c r="BR2324" t="str">
        <f t="shared" si="2507"/>
        <v>event_team_player_2</v>
      </c>
      <c r="BS2324">
        <f>COUNTIFS(S$3:S2324,"="&amp;S2324,AI$3:AI2324,"="&amp;AI2324)</f>
        <v>2</v>
      </c>
      <c r="BT2324" t="str">
        <f>IFERROR(VLOOKUP(BB2324&amp;BU2324&amp;X2324,game_rosters!U:W,3,FALSE),"")</f>
        <v>P100001</v>
      </c>
      <c r="BU2324" t="str">
        <f t="shared" si="2508"/>
        <v>Velodrome</v>
      </c>
    </row>
    <row r="2325" spans="1:73" x14ac:dyDescent="0.2">
      <c r="A2325">
        <f t="shared" si="2494"/>
        <v>1</v>
      </c>
      <c r="J2325" s="44" t="str">
        <f t="shared" si="2509"/>
        <v/>
      </c>
      <c r="K2325" t="s">
        <v>7</v>
      </c>
      <c r="L2325" t="s">
        <v>182</v>
      </c>
      <c r="M2325" t="s">
        <v>68</v>
      </c>
      <c r="S2325">
        <v>1238</v>
      </c>
      <c r="W2325" t="str">
        <f t="shared" si="2485"/>
        <v>a</v>
      </c>
      <c r="X2325">
        <v>22</v>
      </c>
      <c r="Y2325" t="e">
        <f>IF(X2325&lt;&gt;"",VLOOKUP(X2325,game_rosters!$C$43:$E$64,3,FALSE))</f>
        <v>#N/A</v>
      </c>
      <c r="Z2325" cm="1">
        <f t="array" ref="Z2325">IFERROR(IF(_xlfn._xlws.FILTER(game_rosters!$J:$J,(game_rosters!$G:$G=events!$AN2325)*(game_rosters!$J:$J=events!$X2325))&gt;0,1,""),"")</f>
        <v>1</v>
      </c>
      <c r="AA2325">
        <f t="shared" si="2443"/>
        <v>2238</v>
      </c>
      <c r="AB2325" t="str">
        <f t="shared" si="2444"/>
        <v/>
      </c>
      <c r="AC2325">
        <f t="shared" si="2482"/>
        <v>2238</v>
      </c>
      <c r="AD2325" s="6">
        <v>3</v>
      </c>
      <c r="AE2325" t="s">
        <v>942</v>
      </c>
      <c r="AF2325" t="s">
        <v>744</v>
      </c>
      <c r="AG2325" t="s">
        <v>756</v>
      </c>
      <c r="AH2325" t="s">
        <v>756</v>
      </c>
      <c r="AI2325" t="s">
        <v>367</v>
      </c>
      <c r="AJ2325" t="str">
        <f t="shared" ref="AJ2325:AK2325" si="2525">IF($J2325&lt;&gt;"",$J2325,IF($AC2325=$AC2324,AJ2324,""))</f>
        <v/>
      </c>
      <c r="AK2325" t="str">
        <f t="shared" si="2525"/>
        <v/>
      </c>
      <c r="AL2325" t="str">
        <f t="shared" si="2487"/>
        <v/>
      </c>
      <c r="AN2325" t="s">
        <v>862</v>
      </c>
      <c r="AO2325" t="str">
        <f t="shared" si="2488"/>
        <v>a</v>
      </c>
      <c r="AP2325" t="str">
        <f t="shared" si="2496"/>
        <v/>
      </c>
      <c r="AQ2325" t="str">
        <f t="shared" si="2497"/>
        <v/>
      </c>
      <c r="AR2325" t="str">
        <f t="shared" si="2498"/>
        <v>Away</v>
      </c>
      <c r="AS2325" t="str">
        <f t="shared" si="2499"/>
        <v>a</v>
      </c>
      <c r="AT2325" t="str">
        <f t="shared" si="2500"/>
        <v>Offensive</v>
      </c>
      <c r="BA2325" s="6">
        <f t="shared" si="2489"/>
        <v>535</v>
      </c>
      <c r="BB2325">
        <f t="shared" si="2490"/>
        <v>18981</v>
      </c>
      <c r="BC2325" t="str">
        <f t="shared" si="2491"/>
        <v>Nelson</v>
      </c>
      <c r="BD2325" t="str">
        <f t="shared" si="2492"/>
        <v>Velodrome</v>
      </c>
      <c r="BE2325" t="s">
        <v>7</v>
      </c>
      <c r="BF2325" t="s">
        <v>182</v>
      </c>
      <c r="BG2325" t="s">
        <v>68</v>
      </c>
      <c r="BI2325" cm="1">
        <f t="array" ref="BI2325">IFERROR(_xlfn._xlws.FILTER(shifts!A:A,(shifts!B:B=events!AD2325)*(shifts!AG:AG&gt;=events!BK2325)*(shifts!AH:AH&lt;=events!BL2325)),BI2324)</f>
        <v>102</v>
      </c>
      <c r="BJ2325" s="15">
        <f t="shared" si="2493"/>
        <v>0</v>
      </c>
      <c r="BK2325">
        <f t="shared" si="2501"/>
        <v>135</v>
      </c>
      <c r="BL2325">
        <f t="shared" si="2502"/>
        <v>135</v>
      </c>
      <c r="BM2325" s="15">
        <f>SUMIFS(BJ$2:BJ2325,K$2:K2325,"=Intermission")+SUMIFS(BJ$2:BJ2325,K$2:K2325,"=Timeout")</f>
        <v>142</v>
      </c>
      <c r="BN2325">
        <f t="shared" si="2503"/>
        <v>2302</v>
      </c>
      <c r="BO2325" s="19">
        <f t="shared" si="2504"/>
        <v>3247</v>
      </c>
      <c r="BP2325">
        <f t="shared" si="2505"/>
        <v>3242</v>
      </c>
      <c r="BQ2325" s="17">
        <f t="shared" si="2506"/>
        <v>3247</v>
      </c>
      <c r="BR2325" t="str">
        <f t="shared" si="2507"/>
        <v>event_team_player_1</v>
      </c>
      <c r="BS2325">
        <f>COUNTIFS(S$3:S2325,"="&amp;S2325,AI$3:AI2325,"="&amp;AI2325)</f>
        <v>1</v>
      </c>
      <c r="BT2325" t="str">
        <f>IFERROR(VLOOKUP(BB2325&amp;BU2325&amp;X2325,game_rosters!U:W,3,FALSE),"")</f>
        <v>P100108</v>
      </c>
      <c r="BU2325" t="str">
        <f t="shared" si="2508"/>
        <v>Velodrome</v>
      </c>
    </row>
    <row r="2326" spans="1:73" x14ac:dyDescent="0.2">
      <c r="A2326">
        <f t="shared" si="2494"/>
        <v>1</v>
      </c>
      <c r="J2326" s="44" t="str">
        <f t="shared" si="2509"/>
        <v/>
      </c>
      <c r="K2326" t="s">
        <v>7</v>
      </c>
      <c r="L2326" t="s">
        <v>182</v>
      </c>
      <c r="M2326" t="s">
        <v>68</v>
      </c>
      <c r="S2326">
        <v>1238</v>
      </c>
      <c r="W2326" t="str">
        <f t="shared" si="2485"/>
        <v>a</v>
      </c>
      <c r="X2326">
        <v>70</v>
      </c>
      <c r="Y2326" t="e">
        <f>IF(X2326&lt;&gt;"",VLOOKUP(X2326,game_rosters!$C$43:$E$64,3,FALSE))</f>
        <v>#N/A</v>
      </c>
      <c r="Z2326" cm="1">
        <f t="array" ref="Z2326">IFERROR(IF(_xlfn._xlws.FILTER(game_rosters!$J:$J,(game_rosters!$G:$G=events!$AN2326)*(game_rosters!$J:$J=events!$X2326))&gt;0,1,""),"")</f>
        <v>1</v>
      </c>
      <c r="AA2326">
        <f t="shared" si="2443"/>
        <v>2238</v>
      </c>
      <c r="AB2326" t="str">
        <f t="shared" si="2444"/>
        <v/>
      </c>
      <c r="AC2326">
        <f t="shared" si="2482"/>
        <v>2238</v>
      </c>
      <c r="AD2326" s="6">
        <v>3</v>
      </c>
      <c r="AE2326" t="s">
        <v>942</v>
      </c>
      <c r="AF2326" t="s">
        <v>744</v>
      </c>
      <c r="AG2326" t="s">
        <v>756</v>
      </c>
      <c r="AH2326" t="s">
        <v>756</v>
      </c>
      <c r="AI2326" t="s">
        <v>367</v>
      </c>
      <c r="AJ2326" t="str">
        <f t="shared" ref="AJ2326:AK2326" si="2526">IF($J2326&lt;&gt;"",$J2326,IF($AC2326=$AC2325,AJ2325,""))</f>
        <v/>
      </c>
      <c r="AK2326" t="str">
        <f t="shared" si="2526"/>
        <v/>
      </c>
      <c r="AL2326" t="str">
        <f t="shared" si="2487"/>
        <v/>
      </c>
      <c r="AN2326" t="s">
        <v>862</v>
      </c>
      <c r="AO2326" t="str">
        <f t="shared" si="2488"/>
        <v>a</v>
      </c>
      <c r="AP2326" t="str">
        <f t="shared" si="2496"/>
        <v/>
      </c>
      <c r="AQ2326" t="str">
        <f t="shared" si="2497"/>
        <v/>
      </c>
      <c r="AR2326" t="str">
        <f t="shared" si="2498"/>
        <v>Away</v>
      </c>
      <c r="AS2326" t="str">
        <f t="shared" si="2499"/>
        <v>a</v>
      </c>
      <c r="AT2326" t="str">
        <f t="shared" si="2500"/>
        <v>Offensive</v>
      </c>
      <c r="BA2326" s="6">
        <f t="shared" si="2489"/>
        <v>535</v>
      </c>
      <c r="BB2326">
        <f t="shared" si="2490"/>
        <v>18981</v>
      </c>
      <c r="BC2326" t="str">
        <f t="shared" si="2491"/>
        <v>Nelson</v>
      </c>
      <c r="BD2326" t="str">
        <f t="shared" si="2492"/>
        <v>Velodrome</v>
      </c>
      <c r="BE2326" t="s">
        <v>7</v>
      </c>
      <c r="BF2326" t="s">
        <v>182</v>
      </c>
      <c r="BG2326" t="s">
        <v>68</v>
      </c>
      <c r="BI2326" cm="1">
        <f t="array" ref="BI2326">IFERROR(_xlfn._xlws.FILTER(shifts!A:A,(shifts!B:B=events!AD2326)*(shifts!AG:AG&gt;=events!BK2326)*(shifts!AH:AH&lt;=events!BL2326)),BI2325)</f>
        <v>102</v>
      </c>
      <c r="BJ2326" s="15">
        <f t="shared" si="2493"/>
        <v>0</v>
      </c>
      <c r="BK2326">
        <f t="shared" si="2501"/>
        <v>135</v>
      </c>
      <c r="BL2326">
        <f t="shared" si="2502"/>
        <v>135</v>
      </c>
      <c r="BM2326" s="15">
        <f>SUMIFS(BJ$2:BJ2326,K$2:K2326,"=Intermission")+SUMIFS(BJ$2:BJ2326,K$2:K2326,"=Timeout")</f>
        <v>142</v>
      </c>
      <c r="BN2326">
        <f t="shared" si="2503"/>
        <v>2302</v>
      </c>
      <c r="BO2326" s="19">
        <f t="shared" si="2504"/>
        <v>3247</v>
      </c>
      <c r="BP2326">
        <f t="shared" si="2505"/>
        <v>3242</v>
      </c>
      <c r="BQ2326" s="17">
        <f t="shared" si="2506"/>
        <v>3247</v>
      </c>
      <c r="BR2326" t="str">
        <f t="shared" si="2507"/>
        <v>event_team_player_2</v>
      </c>
      <c r="BS2326">
        <f>COUNTIFS(S$3:S2326,"="&amp;S2326,AI$3:AI2326,"="&amp;AI2326)</f>
        <v>2</v>
      </c>
      <c r="BT2326" t="str">
        <f>IFERROR(VLOOKUP(BB2326&amp;BU2326&amp;X2326,game_rosters!U:W,3,FALSE),"")</f>
        <v>P100001</v>
      </c>
      <c r="BU2326" t="str">
        <f t="shared" si="2508"/>
        <v>Velodrome</v>
      </c>
    </row>
    <row r="2327" spans="1:73" x14ac:dyDescent="0.2">
      <c r="A2327">
        <f t="shared" si="2494"/>
        <v>1</v>
      </c>
      <c r="J2327" s="44" t="str">
        <f t="shared" si="2509"/>
        <v/>
      </c>
      <c r="K2327" t="s">
        <v>9</v>
      </c>
      <c r="L2327" t="s">
        <v>173</v>
      </c>
      <c r="M2327" t="s">
        <v>74</v>
      </c>
      <c r="S2327">
        <v>1239</v>
      </c>
      <c r="W2327" t="str">
        <f t="shared" si="2485"/>
        <v>a</v>
      </c>
      <c r="X2327">
        <v>22</v>
      </c>
      <c r="Y2327" t="e">
        <f>IF(X2327&lt;&gt;"",VLOOKUP(X2327,game_rosters!$C$43:$E$64,3,FALSE))</f>
        <v>#N/A</v>
      </c>
      <c r="Z2327" cm="1">
        <f t="array" ref="Z2327">IFERROR(IF(_xlfn._xlws.FILTER(game_rosters!$J:$J,(game_rosters!$G:$G=events!$AN2327)*(game_rosters!$J:$J=events!$X2327))&gt;0,1,""),"")</f>
        <v>1</v>
      </c>
      <c r="AA2327">
        <f t="shared" si="2443"/>
        <v>2239</v>
      </c>
      <c r="AB2327" t="str">
        <f t="shared" si="2444"/>
        <v/>
      </c>
      <c r="AC2327">
        <f t="shared" si="2482"/>
        <v>2239</v>
      </c>
      <c r="AD2327" s="6">
        <v>3</v>
      </c>
      <c r="AE2327" t="s">
        <v>942</v>
      </c>
      <c r="AF2327" t="s">
        <v>744</v>
      </c>
      <c r="AG2327" t="s">
        <v>756</v>
      </c>
      <c r="AH2327" t="s">
        <v>756</v>
      </c>
      <c r="AI2327" t="s">
        <v>367</v>
      </c>
      <c r="AJ2327" t="str">
        <f t="shared" ref="AJ2327:AK2327" si="2527">IF($J2327&lt;&gt;"",$J2327,IF($AC2327=$AC2326,AJ2326,""))</f>
        <v/>
      </c>
      <c r="AK2327" t="str">
        <f t="shared" si="2527"/>
        <v/>
      </c>
      <c r="AL2327" t="str">
        <f t="shared" si="2487"/>
        <v/>
      </c>
      <c r="AN2327" t="s">
        <v>862</v>
      </c>
      <c r="AO2327" t="str">
        <f t="shared" si="2488"/>
        <v>a</v>
      </c>
      <c r="AP2327" t="str">
        <f t="shared" si="2496"/>
        <v/>
      </c>
      <c r="AQ2327" t="str">
        <f t="shared" si="2497"/>
        <v/>
      </c>
      <c r="AR2327" t="str">
        <f t="shared" si="2498"/>
        <v>Away</v>
      </c>
      <c r="AS2327" t="str">
        <f t="shared" si="2499"/>
        <v>a</v>
      </c>
      <c r="AT2327" t="str">
        <f t="shared" si="2500"/>
        <v>Offensive</v>
      </c>
      <c r="BA2327" s="6">
        <f t="shared" si="2489"/>
        <v>535</v>
      </c>
      <c r="BB2327">
        <f t="shared" si="2490"/>
        <v>18981</v>
      </c>
      <c r="BC2327" t="str">
        <f t="shared" si="2491"/>
        <v>Nelson</v>
      </c>
      <c r="BD2327" t="str">
        <f t="shared" si="2492"/>
        <v>Velodrome</v>
      </c>
      <c r="BE2327" t="s">
        <v>9</v>
      </c>
      <c r="BF2327" t="s">
        <v>173</v>
      </c>
      <c r="BG2327" t="s">
        <v>74</v>
      </c>
      <c r="BI2327" cm="1">
        <f t="array" ref="BI2327">IFERROR(_xlfn._xlws.FILTER(shifts!A:A,(shifts!B:B=events!AD2327)*(shifts!AG:AG&gt;=events!BK2327)*(shifts!AH:AH&lt;=events!BL2327)),BI2326)</f>
        <v>102</v>
      </c>
      <c r="BJ2327" s="15">
        <f t="shared" si="2493"/>
        <v>0</v>
      </c>
      <c r="BK2327">
        <f t="shared" si="2501"/>
        <v>135</v>
      </c>
      <c r="BL2327">
        <f t="shared" si="2502"/>
        <v>135</v>
      </c>
      <c r="BM2327" s="15">
        <f>SUMIFS(BJ$2:BJ2327,K$2:K2327,"=Intermission")+SUMIFS(BJ$2:BJ2327,K$2:K2327,"=Timeout")</f>
        <v>142</v>
      </c>
      <c r="BN2327">
        <f t="shared" si="2503"/>
        <v>2302</v>
      </c>
      <c r="BO2327" s="19">
        <f t="shared" si="2504"/>
        <v>3247</v>
      </c>
      <c r="BP2327">
        <f t="shared" si="2505"/>
        <v>3242</v>
      </c>
      <c r="BQ2327" s="17">
        <f t="shared" si="2506"/>
        <v>3247</v>
      </c>
      <c r="BR2327" t="str">
        <f t="shared" si="2507"/>
        <v>event_team_player_1</v>
      </c>
      <c r="BS2327">
        <f>COUNTIFS(S$3:S2327,"="&amp;S2327,AI$3:AI2327,"="&amp;AI2327)</f>
        <v>1</v>
      </c>
      <c r="BT2327" t="str">
        <f>IFERROR(VLOOKUP(BB2327&amp;BU2327&amp;X2327,game_rosters!U:W,3,FALSE),"")</f>
        <v>P100108</v>
      </c>
      <c r="BU2327" t="str">
        <f t="shared" si="2508"/>
        <v>Velodrome</v>
      </c>
    </row>
    <row r="2328" spans="1:73" x14ac:dyDescent="0.2">
      <c r="A2328">
        <f t="shared" si="2494"/>
        <v>1</v>
      </c>
      <c r="J2328" s="44" t="str">
        <f t="shared" si="2509"/>
        <v>o</v>
      </c>
      <c r="K2328" t="s">
        <v>238</v>
      </c>
      <c r="L2328" t="s">
        <v>174</v>
      </c>
      <c r="M2328" t="s">
        <v>87</v>
      </c>
      <c r="S2328">
        <v>1240</v>
      </c>
      <c r="W2328" t="str">
        <f t="shared" si="2485"/>
        <v>h</v>
      </c>
      <c r="X2328">
        <v>80</v>
      </c>
      <c r="Y2328" t="b">
        <f>IF(X2328&lt;&gt;"",VLOOKUP(X2328,game_rosters!$C$43:$E$64,3,FALSE))</f>
        <v>0</v>
      </c>
      <c r="Z2328" cm="1">
        <f t="array" ref="Z2328">IFERROR(IF(_xlfn._xlws.FILTER(game_rosters!$J:$J,(game_rosters!$G:$G=events!$AN2328)*(game_rosters!$J:$J=events!$X2328))&gt;0,1,""),"")</f>
        <v>1</v>
      </c>
      <c r="AA2328">
        <f t="shared" si="2443"/>
        <v>2240</v>
      </c>
      <c r="AB2328" t="str">
        <f t="shared" si="2444"/>
        <v/>
      </c>
      <c r="AC2328">
        <f t="shared" si="2482"/>
        <v>2240</v>
      </c>
      <c r="AD2328" s="6">
        <v>3</v>
      </c>
      <c r="AE2328" t="s">
        <v>942</v>
      </c>
      <c r="AF2328" t="s">
        <v>746</v>
      </c>
      <c r="AG2328" t="s">
        <v>756</v>
      </c>
      <c r="AH2328" t="s">
        <v>756</v>
      </c>
      <c r="AI2328" t="s">
        <v>367</v>
      </c>
      <c r="AJ2328" t="str">
        <f t="shared" ref="AJ2328:AK2328" si="2528">IF($J2328&lt;&gt;"",$J2328,IF($AC2328=$AC2327,AJ2327,""))</f>
        <v>o</v>
      </c>
      <c r="AK2328" t="str">
        <f t="shared" si="2528"/>
        <v>o</v>
      </c>
      <c r="AL2328" t="str">
        <f t="shared" si="2487"/>
        <v>o</v>
      </c>
      <c r="AN2328" t="s">
        <v>861</v>
      </c>
      <c r="AO2328" t="str">
        <f t="shared" si="2488"/>
        <v>h</v>
      </c>
      <c r="AP2328" t="str">
        <f t="shared" si="2496"/>
        <v>o</v>
      </c>
      <c r="AQ2328" t="str">
        <f t="shared" si="2497"/>
        <v/>
      </c>
      <c r="AR2328" t="str">
        <f t="shared" si="2498"/>
        <v>Home</v>
      </c>
      <c r="AS2328" t="str">
        <f t="shared" si="2499"/>
        <v>h</v>
      </c>
      <c r="AT2328" t="str">
        <f t="shared" si="2500"/>
        <v>Offensive</v>
      </c>
      <c r="BA2328" s="6">
        <f t="shared" si="2489"/>
        <v>536</v>
      </c>
      <c r="BB2328">
        <f t="shared" si="2490"/>
        <v>18981</v>
      </c>
      <c r="BC2328" t="str">
        <f t="shared" si="2491"/>
        <v>Nelson</v>
      </c>
      <c r="BD2328" t="str">
        <f t="shared" si="2492"/>
        <v>Velodrome</v>
      </c>
      <c r="BE2328" t="s">
        <v>238</v>
      </c>
      <c r="BF2328" t="s">
        <v>174</v>
      </c>
      <c r="BG2328" t="s">
        <v>87</v>
      </c>
      <c r="BI2328" cm="1">
        <f t="array" ref="BI2328">IFERROR(_xlfn._xlws.FILTER(shifts!A:A,(shifts!B:B=events!AD2328)*(shifts!AG:AG&gt;=events!BK2328)*(shifts!AH:AH&lt;=events!BL2328)),BI2327)</f>
        <v>102</v>
      </c>
      <c r="BJ2328" s="15">
        <f t="shared" si="2493"/>
        <v>0</v>
      </c>
      <c r="BK2328">
        <f t="shared" si="2501"/>
        <v>132</v>
      </c>
      <c r="BL2328">
        <f t="shared" si="2502"/>
        <v>132</v>
      </c>
      <c r="BM2328" s="15">
        <f>SUMIFS(BJ$2:BJ2328,K$2:K2328,"=Intermission")+SUMIFS(BJ$2:BJ2328,K$2:K2328,"=Timeout")</f>
        <v>142</v>
      </c>
      <c r="BN2328">
        <f t="shared" si="2503"/>
        <v>2302</v>
      </c>
      <c r="BO2328" s="19">
        <f t="shared" si="2504"/>
        <v>3250</v>
      </c>
      <c r="BP2328">
        <f t="shared" si="2505"/>
        <v>3245</v>
      </c>
      <c r="BQ2328" s="17">
        <f t="shared" si="2506"/>
        <v>3250</v>
      </c>
      <c r="BR2328" t="str">
        <f t="shared" si="2507"/>
        <v>event_team_player_1</v>
      </c>
      <c r="BS2328">
        <f>COUNTIFS(S$3:S2328,"="&amp;S2328,AI$3:AI2328,"="&amp;AI2328)</f>
        <v>1</v>
      </c>
      <c r="BT2328" t="str">
        <f>IFERROR(VLOOKUP(BB2328&amp;BU2328&amp;X2328,game_rosters!U:W,3,FALSE),"")</f>
        <v>P100197</v>
      </c>
      <c r="BU2328" t="str">
        <f t="shared" si="2508"/>
        <v>Nelson</v>
      </c>
    </row>
    <row r="2329" spans="1:73" x14ac:dyDescent="0.2">
      <c r="A2329">
        <f t="shared" si="2494"/>
        <v>1</v>
      </c>
      <c r="J2329" s="44" t="str">
        <f t="shared" si="2509"/>
        <v/>
      </c>
      <c r="K2329" t="s">
        <v>7</v>
      </c>
      <c r="L2329" t="s">
        <v>182</v>
      </c>
      <c r="M2329" t="s">
        <v>68</v>
      </c>
      <c r="S2329">
        <v>1241</v>
      </c>
      <c r="W2329" t="str">
        <f t="shared" si="2485"/>
        <v>a</v>
      </c>
      <c r="X2329">
        <v>84</v>
      </c>
      <c r="Y2329" t="e">
        <f>IF(X2329&lt;&gt;"",VLOOKUP(X2329,game_rosters!$C$43:$E$64,3,FALSE))</f>
        <v>#N/A</v>
      </c>
      <c r="Z2329" cm="1">
        <f t="array" ref="Z2329">IFERROR(IF(_xlfn._xlws.FILTER(game_rosters!$J:$J,(game_rosters!$G:$G=events!$AN2329)*(game_rosters!$J:$J=events!$X2329))&gt;0,1,""),"")</f>
        <v>1</v>
      </c>
      <c r="AA2329">
        <f t="shared" si="2443"/>
        <v>2241</v>
      </c>
      <c r="AB2329" t="str">
        <f t="shared" si="2444"/>
        <v/>
      </c>
      <c r="AC2329">
        <f t="shared" si="2482"/>
        <v>2241</v>
      </c>
      <c r="AD2329" s="6">
        <v>3</v>
      </c>
      <c r="AE2329" t="s">
        <v>942</v>
      </c>
      <c r="AF2329" t="s">
        <v>931</v>
      </c>
      <c r="AG2329" t="s">
        <v>756</v>
      </c>
      <c r="AH2329" t="s">
        <v>756</v>
      </c>
      <c r="AI2329" t="s">
        <v>367</v>
      </c>
      <c r="AJ2329" t="str">
        <f t="shared" ref="AJ2329:AK2329" si="2529">IF($J2329&lt;&gt;"",$J2329,IF($AC2329=$AC2328,AJ2328,""))</f>
        <v/>
      </c>
      <c r="AK2329" t="str">
        <f t="shared" si="2529"/>
        <v/>
      </c>
      <c r="AL2329" t="str">
        <f t="shared" si="2487"/>
        <v/>
      </c>
      <c r="AN2329" t="s">
        <v>862</v>
      </c>
      <c r="AO2329" t="str">
        <f t="shared" si="2488"/>
        <v>a</v>
      </c>
      <c r="AP2329" t="str">
        <f t="shared" si="2496"/>
        <v/>
      </c>
      <c r="AQ2329" t="str">
        <f t="shared" si="2497"/>
        <v/>
      </c>
      <c r="AR2329" t="str">
        <f t="shared" si="2498"/>
        <v>Away</v>
      </c>
      <c r="AS2329" t="str">
        <f t="shared" si="2499"/>
        <v>a</v>
      </c>
      <c r="AT2329" t="str">
        <f t="shared" si="2500"/>
        <v>Offensive</v>
      </c>
      <c r="BA2329" s="6">
        <f t="shared" si="2489"/>
        <v>536</v>
      </c>
      <c r="BB2329">
        <f t="shared" si="2490"/>
        <v>18981</v>
      </c>
      <c r="BC2329" t="str">
        <f t="shared" si="2491"/>
        <v>Nelson</v>
      </c>
      <c r="BD2329" t="str">
        <f t="shared" si="2492"/>
        <v>Velodrome</v>
      </c>
      <c r="BE2329" t="s">
        <v>7</v>
      </c>
      <c r="BF2329" t="s">
        <v>182</v>
      </c>
      <c r="BG2329" t="s">
        <v>68</v>
      </c>
      <c r="BI2329" cm="1">
        <f t="array" ref="BI2329">IFERROR(_xlfn._xlws.FILTER(shifts!A:A,(shifts!B:B=events!AD2329)*(shifts!AG:AG&gt;=events!BK2329)*(shifts!AH:AH&lt;=events!BL2329)),BI2328)</f>
        <v>102</v>
      </c>
      <c r="BJ2329" s="15">
        <f t="shared" si="2493"/>
        <v>0</v>
      </c>
      <c r="BK2329">
        <f t="shared" si="2501"/>
        <v>124</v>
      </c>
      <c r="BL2329">
        <f t="shared" si="2502"/>
        <v>124</v>
      </c>
      <c r="BM2329" s="15">
        <f>SUMIFS(BJ$2:BJ2329,K$2:K2329,"=Intermission")+SUMIFS(BJ$2:BJ2329,K$2:K2329,"=Timeout")</f>
        <v>142</v>
      </c>
      <c r="BN2329">
        <f t="shared" si="2503"/>
        <v>2302</v>
      </c>
      <c r="BO2329" s="19">
        <f t="shared" si="2504"/>
        <v>3258</v>
      </c>
      <c r="BP2329">
        <f t="shared" si="2505"/>
        <v>3253</v>
      </c>
      <c r="BQ2329" s="17">
        <f t="shared" si="2506"/>
        <v>3258</v>
      </c>
      <c r="BR2329" t="str">
        <f t="shared" si="2507"/>
        <v>event_team_player_1</v>
      </c>
      <c r="BS2329">
        <f>COUNTIFS(S$3:S2329,"="&amp;S2329,AI$3:AI2329,"="&amp;AI2329)</f>
        <v>1</v>
      </c>
      <c r="BT2329" t="str">
        <f>IFERROR(VLOOKUP(BB2329&amp;BU2329&amp;X2329,game_rosters!U:W,3,FALSE),"")</f>
        <v>P100198</v>
      </c>
      <c r="BU2329" t="str">
        <f t="shared" si="2508"/>
        <v>Velodrome</v>
      </c>
    </row>
    <row r="2330" spans="1:73" x14ac:dyDescent="0.2">
      <c r="A2330">
        <f t="shared" si="2494"/>
        <v>1</v>
      </c>
      <c r="J2330" s="44" t="str">
        <f t="shared" si="2509"/>
        <v/>
      </c>
      <c r="K2330" t="s">
        <v>7</v>
      </c>
      <c r="L2330" t="s">
        <v>182</v>
      </c>
      <c r="M2330" t="s">
        <v>68</v>
      </c>
      <c r="S2330">
        <v>1241</v>
      </c>
      <c r="W2330" t="str">
        <f t="shared" si="2485"/>
        <v>a</v>
      </c>
      <c r="X2330">
        <v>70</v>
      </c>
      <c r="Y2330" t="e">
        <f>IF(X2330&lt;&gt;"",VLOOKUP(X2330,game_rosters!$C$43:$E$64,3,FALSE))</f>
        <v>#N/A</v>
      </c>
      <c r="Z2330" cm="1">
        <f t="array" ref="Z2330">IFERROR(IF(_xlfn._xlws.FILTER(game_rosters!$J:$J,(game_rosters!$G:$G=events!$AN2330)*(game_rosters!$J:$J=events!$X2330))&gt;0,1,""),"")</f>
        <v>1</v>
      </c>
      <c r="AA2330">
        <f t="shared" si="2443"/>
        <v>2241</v>
      </c>
      <c r="AB2330" t="str">
        <f t="shared" si="2444"/>
        <v/>
      </c>
      <c r="AC2330">
        <f t="shared" si="2482"/>
        <v>2241</v>
      </c>
      <c r="AD2330" s="6">
        <v>3</v>
      </c>
      <c r="AE2330" t="s">
        <v>942</v>
      </c>
      <c r="AF2330" t="s">
        <v>931</v>
      </c>
      <c r="AG2330" t="s">
        <v>756</v>
      </c>
      <c r="AH2330" t="s">
        <v>756</v>
      </c>
      <c r="AI2330" t="s">
        <v>367</v>
      </c>
      <c r="AJ2330" t="str">
        <f t="shared" ref="AJ2330:AK2330" si="2530">IF($J2330&lt;&gt;"",$J2330,IF($AC2330=$AC2329,AJ2329,""))</f>
        <v/>
      </c>
      <c r="AK2330" t="str">
        <f t="shared" si="2530"/>
        <v/>
      </c>
      <c r="AL2330" t="str">
        <f t="shared" si="2487"/>
        <v/>
      </c>
      <c r="AN2330" t="s">
        <v>862</v>
      </c>
      <c r="AO2330" t="str">
        <f t="shared" si="2488"/>
        <v>a</v>
      </c>
      <c r="AP2330" t="str">
        <f t="shared" si="2496"/>
        <v/>
      </c>
      <c r="AQ2330" t="str">
        <f t="shared" si="2497"/>
        <v/>
      </c>
      <c r="AR2330" t="str">
        <f t="shared" si="2498"/>
        <v>Away</v>
      </c>
      <c r="AS2330" t="str">
        <f t="shared" si="2499"/>
        <v>a</v>
      </c>
      <c r="AT2330" t="str">
        <f t="shared" si="2500"/>
        <v>Offensive</v>
      </c>
      <c r="BA2330" s="6">
        <f t="shared" si="2489"/>
        <v>536</v>
      </c>
      <c r="BB2330">
        <f t="shared" si="2490"/>
        <v>18981</v>
      </c>
      <c r="BC2330" t="str">
        <f t="shared" si="2491"/>
        <v>Nelson</v>
      </c>
      <c r="BD2330" t="str">
        <f t="shared" si="2492"/>
        <v>Velodrome</v>
      </c>
      <c r="BE2330" t="s">
        <v>7</v>
      </c>
      <c r="BF2330" t="s">
        <v>182</v>
      </c>
      <c r="BG2330" t="s">
        <v>68</v>
      </c>
      <c r="BI2330" cm="1">
        <f t="array" ref="BI2330">IFERROR(_xlfn._xlws.FILTER(shifts!A:A,(shifts!B:B=events!AD2330)*(shifts!AG:AG&gt;=events!BK2330)*(shifts!AH:AH&lt;=events!BL2330)),BI2329)</f>
        <v>102</v>
      </c>
      <c r="BJ2330" s="15">
        <f t="shared" si="2493"/>
        <v>0</v>
      </c>
      <c r="BK2330">
        <f t="shared" si="2501"/>
        <v>124</v>
      </c>
      <c r="BL2330">
        <f t="shared" si="2502"/>
        <v>124</v>
      </c>
      <c r="BM2330" s="15">
        <f>SUMIFS(BJ$2:BJ2330,K$2:K2330,"=Intermission")+SUMIFS(BJ$2:BJ2330,K$2:K2330,"=Timeout")</f>
        <v>142</v>
      </c>
      <c r="BN2330">
        <f t="shared" si="2503"/>
        <v>2302</v>
      </c>
      <c r="BO2330" s="19">
        <f t="shared" si="2504"/>
        <v>3258</v>
      </c>
      <c r="BP2330">
        <f t="shared" si="2505"/>
        <v>3253</v>
      </c>
      <c r="BQ2330" s="17">
        <f t="shared" si="2506"/>
        <v>3258</v>
      </c>
      <c r="BR2330" t="str">
        <f t="shared" si="2507"/>
        <v>event_team_player_2</v>
      </c>
      <c r="BS2330">
        <f>COUNTIFS(S$3:S2330,"="&amp;S2330,AI$3:AI2330,"="&amp;AI2330)</f>
        <v>2</v>
      </c>
      <c r="BT2330" t="str">
        <f>IFERROR(VLOOKUP(BB2330&amp;BU2330&amp;X2330,game_rosters!U:W,3,FALSE),"")</f>
        <v>P100001</v>
      </c>
      <c r="BU2330" t="str">
        <f t="shared" si="2508"/>
        <v>Velodrome</v>
      </c>
    </row>
    <row r="2331" spans="1:73" x14ac:dyDescent="0.2">
      <c r="A2331">
        <f t="shared" si="2494"/>
        <v>1</v>
      </c>
      <c r="J2331" s="44" t="str">
        <f t="shared" si="2509"/>
        <v/>
      </c>
      <c r="K2331" t="s">
        <v>7</v>
      </c>
      <c r="L2331" t="s">
        <v>182</v>
      </c>
      <c r="M2331" t="s">
        <v>68</v>
      </c>
      <c r="S2331">
        <v>1241</v>
      </c>
      <c r="W2331" t="str">
        <f t="shared" si="2485"/>
        <v>a</v>
      </c>
      <c r="X2331">
        <v>79</v>
      </c>
      <c r="Y2331" t="b">
        <f>IF(X2331&lt;&gt;"",VLOOKUP(X2331,game_rosters!$C$43:$E$64,3,FALSE))</f>
        <v>0</v>
      </c>
      <c r="Z2331" t="str" cm="1">
        <f t="array" ref="Z2331">IFERROR(IF(_xlfn._xlws.FILTER(game_rosters!$J:$J,(game_rosters!$G:$G=events!$AN2331)*(game_rosters!$J:$J=events!$X2331))&gt;0,1,""),"")</f>
        <v/>
      </c>
      <c r="AA2331">
        <f t="shared" si="2443"/>
        <v>2241</v>
      </c>
      <c r="AB2331" t="str">
        <f t="shared" si="2444"/>
        <v/>
      </c>
      <c r="AC2331">
        <f t="shared" si="2482"/>
        <v>2241</v>
      </c>
      <c r="AD2331" s="6">
        <v>3</v>
      </c>
      <c r="AE2331" t="s">
        <v>942</v>
      </c>
      <c r="AF2331" t="s">
        <v>931</v>
      </c>
      <c r="AG2331" t="s">
        <v>756</v>
      </c>
      <c r="AH2331" t="s">
        <v>756</v>
      </c>
      <c r="AI2331" t="s">
        <v>368</v>
      </c>
      <c r="AJ2331" t="str">
        <f t="shared" ref="AJ2331:AK2331" si="2531">IF($J2331&lt;&gt;"",$J2331,IF($AC2331=$AC2330,AJ2330,""))</f>
        <v/>
      </c>
      <c r="AK2331" t="str">
        <f t="shared" si="2531"/>
        <v/>
      </c>
      <c r="AL2331" t="str">
        <f t="shared" si="2487"/>
        <v/>
      </c>
      <c r="AN2331" t="s">
        <v>862</v>
      </c>
      <c r="AO2331" t="str">
        <f t="shared" si="2488"/>
        <v>a</v>
      </c>
      <c r="AP2331" t="str">
        <f t="shared" si="2496"/>
        <v/>
      </c>
      <c r="AQ2331" t="str">
        <f t="shared" si="2497"/>
        <v/>
      </c>
      <c r="AR2331" t="str">
        <f t="shared" si="2498"/>
        <v>Away</v>
      </c>
      <c r="AS2331" t="str">
        <f t="shared" si="2499"/>
        <v>a</v>
      </c>
      <c r="AT2331" t="str">
        <f t="shared" si="2500"/>
        <v>Defensive</v>
      </c>
      <c r="BA2331" s="6">
        <f t="shared" si="2489"/>
        <v>536</v>
      </c>
      <c r="BB2331">
        <f t="shared" si="2490"/>
        <v>18981</v>
      </c>
      <c r="BC2331" t="str">
        <f t="shared" si="2491"/>
        <v>Nelson</v>
      </c>
      <c r="BD2331" t="str">
        <f t="shared" si="2492"/>
        <v>Velodrome</v>
      </c>
      <c r="BE2331" t="s">
        <v>7</v>
      </c>
      <c r="BF2331" t="s">
        <v>182</v>
      </c>
      <c r="BG2331" t="s">
        <v>68</v>
      </c>
      <c r="BI2331" cm="1">
        <f t="array" ref="BI2331">IFERROR(_xlfn._xlws.FILTER(shifts!A:A,(shifts!B:B=events!AD2331)*(shifts!AG:AG&gt;=events!BK2331)*(shifts!AH:AH&lt;=events!BL2331)),BI2330)</f>
        <v>102</v>
      </c>
      <c r="BJ2331" s="15">
        <f t="shared" si="2493"/>
        <v>0</v>
      </c>
      <c r="BK2331">
        <f t="shared" si="2501"/>
        <v>124</v>
      </c>
      <c r="BL2331">
        <f t="shared" si="2502"/>
        <v>124</v>
      </c>
      <c r="BM2331" s="15">
        <f>SUMIFS(BJ$2:BJ2331,K$2:K2331,"=Intermission")+SUMIFS(BJ$2:BJ2331,K$2:K2331,"=Timeout")</f>
        <v>142</v>
      </c>
      <c r="BN2331">
        <f t="shared" si="2503"/>
        <v>2302</v>
      </c>
      <c r="BO2331" s="19">
        <f t="shared" si="2504"/>
        <v>3258</v>
      </c>
      <c r="BP2331">
        <f t="shared" si="2505"/>
        <v>3253</v>
      </c>
      <c r="BQ2331" s="17">
        <f t="shared" si="2506"/>
        <v>3258</v>
      </c>
      <c r="BR2331" t="str">
        <f t="shared" si="2507"/>
        <v>opp_team_player_1</v>
      </c>
      <c r="BS2331">
        <f>COUNTIFS(S$3:S2331,"="&amp;S2331,AI$3:AI2331,"="&amp;AI2331)</f>
        <v>1</v>
      </c>
      <c r="BT2331" t="str">
        <f>IFERROR(VLOOKUP(BB2331&amp;BU2331&amp;X2331,game_rosters!U:W,3,FALSE),"")</f>
        <v>P100066</v>
      </c>
      <c r="BU2331" t="str">
        <f t="shared" si="2508"/>
        <v>Nelson</v>
      </c>
    </row>
    <row r="2332" spans="1:73" x14ac:dyDescent="0.2">
      <c r="A2332">
        <f t="shared" si="2494"/>
        <v>1</v>
      </c>
      <c r="J2332" s="44" t="str">
        <f t="shared" si="2509"/>
        <v>d</v>
      </c>
      <c r="K2332" t="s">
        <v>238</v>
      </c>
      <c r="L2332" t="s">
        <v>184</v>
      </c>
      <c r="M2332" t="s">
        <v>376</v>
      </c>
      <c r="S2332">
        <v>1242</v>
      </c>
      <c r="W2332" t="str">
        <f t="shared" si="2485"/>
        <v>a</v>
      </c>
      <c r="X2332">
        <v>84</v>
      </c>
      <c r="Y2332" t="e">
        <f>IF(X2332&lt;&gt;"",VLOOKUP(X2332,game_rosters!$C$43:$E$64,3,FALSE))</f>
        <v>#N/A</v>
      </c>
      <c r="Z2332" cm="1">
        <f t="array" ref="Z2332">IFERROR(IF(_xlfn._xlws.FILTER(game_rosters!$J:$J,(game_rosters!$G:$G=events!$AN2332)*(game_rosters!$J:$J=events!$X2332))&gt;0,1,""),"")</f>
        <v>1</v>
      </c>
      <c r="AA2332">
        <f t="shared" si="2443"/>
        <v>2242</v>
      </c>
      <c r="AB2332" t="str">
        <f t="shared" si="2444"/>
        <v/>
      </c>
      <c r="AC2332">
        <f t="shared" si="2482"/>
        <v>2242</v>
      </c>
      <c r="AD2332" s="6">
        <v>3</v>
      </c>
      <c r="AE2332" t="s">
        <v>942</v>
      </c>
      <c r="AF2332" t="s">
        <v>931</v>
      </c>
      <c r="AG2332" t="s">
        <v>756</v>
      </c>
      <c r="AH2332" t="s">
        <v>756</v>
      </c>
      <c r="AI2332" t="s">
        <v>367</v>
      </c>
      <c r="AJ2332" t="str">
        <f t="shared" ref="AJ2332:AK2332" si="2532">IF($J2332&lt;&gt;"",$J2332,IF($AC2332=$AC2331,AJ2331,""))</f>
        <v>d</v>
      </c>
      <c r="AK2332" t="str">
        <f t="shared" si="2532"/>
        <v>d</v>
      </c>
      <c r="AL2332" t="str">
        <f t="shared" si="2487"/>
        <v>o</v>
      </c>
      <c r="AN2332" t="s">
        <v>862</v>
      </c>
      <c r="AO2332" t="str">
        <f t="shared" si="2488"/>
        <v>a</v>
      </c>
      <c r="AP2332" t="str">
        <f t="shared" si="2496"/>
        <v>o</v>
      </c>
      <c r="AQ2332" t="str">
        <f t="shared" si="2497"/>
        <v/>
      </c>
      <c r="AR2332" t="str">
        <f t="shared" si="2498"/>
        <v>Away</v>
      </c>
      <c r="AS2332" t="str">
        <f t="shared" si="2499"/>
        <v>a</v>
      </c>
      <c r="AT2332" t="str">
        <f t="shared" si="2500"/>
        <v>Offensive</v>
      </c>
      <c r="BA2332" s="6">
        <f t="shared" si="2489"/>
        <v>537</v>
      </c>
      <c r="BB2332">
        <f t="shared" si="2490"/>
        <v>18981</v>
      </c>
      <c r="BC2332" t="str">
        <f t="shared" si="2491"/>
        <v>Nelson</v>
      </c>
      <c r="BD2332" t="str">
        <f t="shared" si="2492"/>
        <v>Velodrome</v>
      </c>
      <c r="BE2332" t="s">
        <v>238</v>
      </c>
      <c r="BF2332" t="s">
        <v>184</v>
      </c>
      <c r="BG2332" t="s">
        <v>376</v>
      </c>
      <c r="BI2332" cm="1">
        <f t="array" ref="BI2332">IFERROR(_xlfn._xlws.FILTER(shifts!A:A,(shifts!B:B=events!AD2332)*(shifts!AG:AG&gt;=events!BK2332)*(shifts!AH:AH&lt;=events!BL2332)),BI2331)</f>
        <v>102</v>
      </c>
      <c r="BJ2332" s="15">
        <f t="shared" si="2493"/>
        <v>0</v>
      </c>
      <c r="BK2332">
        <f t="shared" si="2501"/>
        <v>124</v>
      </c>
      <c r="BL2332">
        <f t="shared" si="2502"/>
        <v>124</v>
      </c>
      <c r="BM2332" s="15">
        <f>SUMIFS(BJ$2:BJ2332,K$2:K2332,"=Intermission")+SUMIFS(BJ$2:BJ2332,K$2:K2332,"=Timeout")</f>
        <v>142</v>
      </c>
      <c r="BN2332">
        <f t="shared" si="2503"/>
        <v>2302</v>
      </c>
      <c r="BO2332" s="19">
        <f t="shared" si="2504"/>
        <v>3258</v>
      </c>
      <c r="BP2332">
        <f t="shared" si="2505"/>
        <v>3253</v>
      </c>
      <c r="BQ2332" s="17">
        <f t="shared" si="2506"/>
        <v>3258</v>
      </c>
      <c r="BR2332" t="str">
        <f t="shared" si="2507"/>
        <v>event_team_player_1</v>
      </c>
      <c r="BS2332">
        <f>COUNTIFS(S$3:S2332,"="&amp;S2332,AI$3:AI2332,"="&amp;AI2332)</f>
        <v>1</v>
      </c>
      <c r="BT2332" t="str">
        <f>IFERROR(VLOOKUP(BB2332&amp;BU2332&amp;X2332,game_rosters!U:W,3,FALSE),"")</f>
        <v>P100198</v>
      </c>
      <c r="BU2332" t="str">
        <f t="shared" si="2508"/>
        <v>Velodrome</v>
      </c>
    </row>
    <row r="2333" spans="1:73" x14ac:dyDescent="0.2">
      <c r="A2333">
        <f t="shared" si="2494"/>
        <v>1</v>
      </c>
      <c r="J2333" s="44" t="str">
        <f t="shared" si="2509"/>
        <v>d</v>
      </c>
      <c r="K2333" t="s">
        <v>238</v>
      </c>
      <c r="L2333" t="s">
        <v>184</v>
      </c>
      <c r="M2333" t="s">
        <v>376</v>
      </c>
      <c r="S2333">
        <v>1242</v>
      </c>
      <c r="W2333" t="str">
        <f t="shared" si="2485"/>
        <v>a</v>
      </c>
      <c r="X2333">
        <v>70</v>
      </c>
      <c r="Y2333" t="e">
        <f>IF(X2333&lt;&gt;"",VLOOKUP(X2333,game_rosters!$C$43:$E$64,3,FALSE))</f>
        <v>#N/A</v>
      </c>
      <c r="Z2333" cm="1">
        <f t="array" ref="Z2333">IFERROR(IF(_xlfn._xlws.FILTER(game_rosters!$J:$J,(game_rosters!$G:$G=events!$AN2333)*(game_rosters!$J:$J=events!$X2333))&gt;0,1,""),"")</f>
        <v>1</v>
      </c>
      <c r="AA2333">
        <f t="shared" ref="AA2333:AA2396" si="2533">S2333+1000</f>
        <v>2242</v>
      </c>
      <c r="AB2333" t="str">
        <f t="shared" ref="AB2333:AB2396" si="2534">IF(T2333&lt;&gt;"",9000+T2333,"")</f>
        <v/>
      </c>
      <c r="AC2333">
        <f t="shared" si="2482"/>
        <v>2242</v>
      </c>
      <c r="AD2333" s="6">
        <v>3</v>
      </c>
      <c r="AE2333" t="s">
        <v>942</v>
      </c>
      <c r="AF2333" t="s">
        <v>931</v>
      </c>
      <c r="AG2333" t="s">
        <v>756</v>
      </c>
      <c r="AH2333" t="s">
        <v>756</v>
      </c>
      <c r="AI2333" t="s">
        <v>367</v>
      </c>
      <c r="AJ2333" t="str">
        <f t="shared" ref="AJ2333:AK2333" si="2535">IF($J2333&lt;&gt;"",$J2333,IF($AC2333=$AC2332,AJ2332,""))</f>
        <v>d</v>
      </c>
      <c r="AK2333" t="str">
        <f t="shared" si="2535"/>
        <v>d</v>
      </c>
      <c r="AL2333" t="str">
        <f t="shared" si="2487"/>
        <v>o</v>
      </c>
      <c r="AN2333" t="s">
        <v>862</v>
      </c>
      <c r="AO2333" t="str">
        <f t="shared" si="2488"/>
        <v>a</v>
      </c>
      <c r="AP2333" t="str">
        <f t="shared" si="2496"/>
        <v>o</v>
      </c>
      <c r="AQ2333" t="str">
        <f t="shared" si="2497"/>
        <v/>
      </c>
      <c r="AR2333" t="str">
        <f t="shared" si="2498"/>
        <v>Away</v>
      </c>
      <c r="AS2333" t="str">
        <f t="shared" si="2499"/>
        <v>a</v>
      </c>
      <c r="AT2333" t="str">
        <f t="shared" si="2500"/>
        <v>Offensive</v>
      </c>
      <c r="BA2333" s="6">
        <f t="shared" si="2489"/>
        <v>538</v>
      </c>
      <c r="BB2333">
        <f t="shared" si="2490"/>
        <v>18981</v>
      </c>
      <c r="BC2333" t="str">
        <f t="shared" si="2491"/>
        <v>Nelson</v>
      </c>
      <c r="BD2333" t="str">
        <f t="shared" si="2492"/>
        <v>Velodrome</v>
      </c>
      <c r="BE2333" t="s">
        <v>238</v>
      </c>
      <c r="BF2333" t="s">
        <v>184</v>
      </c>
      <c r="BG2333" t="s">
        <v>376</v>
      </c>
      <c r="BI2333" cm="1">
        <f t="array" ref="BI2333">IFERROR(_xlfn._xlws.FILTER(shifts!A:A,(shifts!B:B=events!AD2333)*(shifts!AG:AG&gt;=events!BK2333)*(shifts!AH:AH&lt;=events!BL2333)),BI2332)</f>
        <v>102</v>
      </c>
      <c r="BJ2333" s="15">
        <f t="shared" si="2493"/>
        <v>0</v>
      </c>
      <c r="BK2333">
        <f t="shared" si="2501"/>
        <v>124</v>
      </c>
      <c r="BL2333">
        <f t="shared" si="2502"/>
        <v>124</v>
      </c>
      <c r="BM2333" s="15">
        <f>SUMIFS(BJ$2:BJ2333,K$2:K2333,"=Intermission")+SUMIFS(BJ$2:BJ2333,K$2:K2333,"=Timeout")</f>
        <v>142</v>
      </c>
      <c r="BN2333">
        <f t="shared" si="2503"/>
        <v>2302</v>
      </c>
      <c r="BO2333" s="19">
        <f t="shared" si="2504"/>
        <v>3258</v>
      </c>
      <c r="BP2333">
        <f t="shared" si="2505"/>
        <v>3253</v>
      </c>
      <c r="BQ2333" s="17">
        <f t="shared" si="2506"/>
        <v>3258</v>
      </c>
      <c r="BR2333" t="str">
        <f t="shared" si="2507"/>
        <v>event_team_player_2</v>
      </c>
      <c r="BS2333">
        <f>COUNTIFS(S$3:S2333,"="&amp;S2333,AI$3:AI2333,"="&amp;AI2333)</f>
        <v>2</v>
      </c>
      <c r="BT2333" t="str">
        <f>IFERROR(VLOOKUP(BB2333&amp;BU2333&amp;X2333,game_rosters!U:W,3,FALSE),"")</f>
        <v>P100001</v>
      </c>
      <c r="BU2333" t="str">
        <f t="shared" si="2508"/>
        <v>Velodrome</v>
      </c>
    </row>
    <row r="2334" spans="1:73" x14ac:dyDescent="0.2">
      <c r="A2334">
        <f t="shared" si="2494"/>
        <v>1</v>
      </c>
      <c r="J2334" s="44" t="str">
        <f t="shared" si="2509"/>
        <v>d</v>
      </c>
      <c r="K2334" t="s">
        <v>238</v>
      </c>
      <c r="L2334" t="s">
        <v>184</v>
      </c>
      <c r="M2334" t="s">
        <v>376</v>
      </c>
      <c r="S2334">
        <v>1242</v>
      </c>
      <c r="W2334" t="str">
        <f t="shared" si="2485"/>
        <v>a</v>
      </c>
      <c r="X2334">
        <v>79</v>
      </c>
      <c r="Y2334" t="b">
        <f>IF(X2334&lt;&gt;"",VLOOKUP(X2334,game_rosters!$C$43:$E$64,3,FALSE))</f>
        <v>0</v>
      </c>
      <c r="Z2334" t="str" cm="1">
        <f t="array" ref="Z2334">IFERROR(IF(_xlfn._xlws.FILTER(game_rosters!$J:$J,(game_rosters!$G:$G=events!$AN2334)*(game_rosters!$J:$J=events!$X2334))&gt;0,1,""),"")</f>
        <v/>
      </c>
      <c r="AA2334">
        <f t="shared" si="2533"/>
        <v>2242</v>
      </c>
      <c r="AB2334" t="str">
        <f t="shared" si="2534"/>
        <v/>
      </c>
      <c r="AC2334">
        <f t="shared" si="2482"/>
        <v>2242</v>
      </c>
      <c r="AD2334" s="6">
        <v>3</v>
      </c>
      <c r="AE2334" t="s">
        <v>942</v>
      </c>
      <c r="AF2334" t="s">
        <v>931</v>
      </c>
      <c r="AG2334" t="s">
        <v>756</v>
      </c>
      <c r="AH2334" t="s">
        <v>756</v>
      </c>
      <c r="AI2334" t="s">
        <v>368</v>
      </c>
      <c r="AJ2334" t="str">
        <f t="shared" ref="AJ2334:AK2334" si="2536">IF($J2334&lt;&gt;"",$J2334,IF($AC2334=$AC2333,AJ2333,""))</f>
        <v>d</v>
      </c>
      <c r="AK2334" t="str">
        <f t="shared" si="2536"/>
        <v>d</v>
      </c>
      <c r="AL2334" t="str">
        <f t="shared" si="2487"/>
        <v>o</v>
      </c>
      <c r="AN2334" t="s">
        <v>862</v>
      </c>
      <c r="AO2334" t="str">
        <f t="shared" si="2488"/>
        <v>a</v>
      </c>
      <c r="AP2334" t="str">
        <f t="shared" si="2496"/>
        <v>o</v>
      </c>
      <c r="AQ2334" t="str">
        <f t="shared" si="2497"/>
        <v/>
      </c>
      <c r="AR2334" t="str">
        <f t="shared" si="2498"/>
        <v>Away</v>
      </c>
      <c r="AS2334" t="str">
        <f t="shared" si="2499"/>
        <v>a</v>
      </c>
      <c r="AT2334" t="str">
        <f t="shared" si="2500"/>
        <v>Defensive</v>
      </c>
      <c r="BA2334" s="6">
        <f t="shared" si="2489"/>
        <v>539</v>
      </c>
      <c r="BB2334">
        <f t="shared" si="2490"/>
        <v>18981</v>
      </c>
      <c r="BC2334" t="str">
        <f t="shared" si="2491"/>
        <v>Nelson</v>
      </c>
      <c r="BD2334" t="str">
        <f t="shared" si="2492"/>
        <v>Velodrome</v>
      </c>
      <c r="BE2334" t="s">
        <v>238</v>
      </c>
      <c r="BF2334" t="s">
        <v>184</v>
      </c>
      <c r="BG2334" t="s">
        <v>376</v>
      </c>
      <c r="BI2334" cm="1">
        <f t="array" ref="BI2334">IFERROR(_xlfn._xlws.FILTER(shifts!A:A,(shifts!B:B=events!AD2334)*(shifts!AG:AG&gt;=events!BK2334)*(shifts!AH:AH&lt;=events!BL2334)),BI2333)</f>
        <v>102</v>
      </c>
      <c r="BJ2334" s="15">
        <f t="shared" si="2493"/>
        <v>0</v>
      </c>
      <c r="BK2334">
        <f t="shared" si="2501"/>
        <v>124</v>
      </c>
      <c r="BL2334">
        <f t="shared" si="2502"/>
        <v>124</v>
      </c>
      <c r="BM2334" s="15">
        <f>SUMIFS(BJ$2:BJ2334,K$2:K2334,"=Intermission")+SUMIFS(BJ$2:BJ2334,K$2:K2334,"=Timeout")</f>
        <v>142</v>
      </c>
      <c r="BN2334">
        <f t="shared" si="2503"/>
        <v>2302</v>
      </c>
      <c r="BO2334" s="19">
        <f t="shared" si="2504"/>
        <v>3258</v>
      </c>
      <c r="BP2334">
        <f t="shared" si="2505"/>
        <v>3253</v>
      </c>
      <c r="BQ2334" s="17">
        <f t="shared" si="2506"/>
        <v>3258</v>
      </c>
      <c r="BR2334" t="str">
        <f t="shared" si="2507"/>
        <v>opp_team_player_1</v>
      </c>
      <c r="BS2334">
        <f>COUNTIFS(S$3:S2334,"="&amp;S2334,AI$3:AI2334,"="&amp;AI2334)</f>
        <v>1</v>
      </c>
      <c r="BT2334" t="str">
        <f>IFERROR(VLOOKUP(BB2334&amp;BU2334&amp;X2334,game_rosters!U:W,3,FALSE),"")</f>
        <v>P100066</v>
      </c>
      <c r="BU2334" t="str">
        <f t="shared" si="2508"/>
        <v>Nelson</v>
      </c>
    </row>
    <row r="2335" spans="1:73" x14ac:dyDescent="0.2">
      <c r="A2335">
        <f t="shared" si="2494"/>
        <v>1</v>
      </c>
      <c r="J2335" s="44" t="str">
        <f t="shared" si="2509"/>
        <v>o</v>
      </c>
      <c r="K2335" t="s">
        <v>238</v>
      </c>
      <c r="L2335" t="s">
        <v>174</v>
      </c>
      <c r="M2335" t="s">
        <v>390</v>
      </c>
      <c r="S2335">
        <v>1243</v>
      </c>
      <c r="W2335" t="str">
        <f t="shared" si="2485"/>
        <v>a</v>
      </c>
      <c r="X2335">
        <v>84</v>
      </c>
      <c r="Y2335" t="e">
        <f>IF(X2335&lt;&gt;"",VLOOKUP(X2335,game_rosters!$C$43:$E$64,3,FALSE))</f>
        <v>#N/A</v>
      </c>
      <c r="Z2335" cm="1">
        <f t="array" ref="Z2335">IFERROR(IF(_xlfn._xlws.FILTER(game_rosters!$J:$J,(game_rosters!$G:$G=events!$AN2335)*(game_rosters!$J:$J=events!$X2335))&gt;0,1,""),"")</f>
        <v>1</v>
      </c>
      <c r="AA2335">
        <f t="shared" si="2533"/>
        <v>2243</v>
      </c>
      <c r="AB2335" t="str">
        <f t="shared" si="2534"/>
        <v/>
      </c>
      <c r="AC2335">
        <f t="shared" si="2482"/>
        <v>2243</v>
      </c>
      <c r="AD2335" s="6">
        <v>3</v>
      </c>
      <c r="AE2335" t="s">
        <v>942</v>
      </c>
      <c r="AF2335" t="s">
        <v>931</v>
      </c>
      <c r="AG2335" t="s">
        <v>756</v>
      </c>
      <c r="AH2335" t="s">
        <v>756</v>
      </c>
      <c r="AI2335" t="s">
        <v>367</v>
      </c>
      <c r="AJ2335" t="str">
        <f t="shared" ref="AJ2335:AK2335" si="2537">IF($J2335&lt;&gt;"",$J2335,IF($AC2335=$AC2334,AJ2334,""))</f>
        <v>o</v>
      </c>
      <c r="AK2335" t="str">
        <f t="shared" si="2537"/>
        <v>o</v>
      </c>
      <c r="AL2335" t="str">
        <f t="shared" si="2487"/>
        <v>d</v>
      </c>
      <c r="AN2335" t="s">
        <v>862</v>
      </c>
      <c r="AO2335" t="str">
        <f t="shared" si="2488"/>
        <v>a</v>
      </c>
      <c r="AP2335" t="str">
        <f t="shared" si="2496"/>
        <v>d</v>
      </c>
      <c r="AQ2335" t="str">
        <f t="shared" si="2497"/>
        <v/>
      </c>
      <c r="AR2335" t="str">
        <f t="shared" si="2498"/>
        <v>Away</v>
      </c>
      <c r="AS2335" t="str">
        <f t="shared" si="2499"/>
        <v>a</v>
      </c>
      <c r="AT2335" t="str">
        <f t="shared" si="2500"/>
        <v>Offensive</v>
      </c>
      <c r="BA2335" s="6">
        <f t="shared" si="2489"/>
        <v>540</v>
      </c>
      <c r="BB2335">
        <f t="shared" si="2490"/>
        <v>18981</v>
      </c>
      <c r="BC2335" t="str">
        <f t="shared" si="2491"/>
        <v>Nelson</v>
      </c>
      <c r="BD2335" t="str">
        <f t="shared" si="2492"/>
        <v>Velodrome</v>
      </c>
      <c r="BE2335" t="s">
        <v>238</v>
      </c>
      <c r="BF2335" t="s">
        <v>174</v>
      </c>
      <c r="BG2335" t="s">
        <v>390</v>
      </c>
      <c r="BI2335" cm="1">
        <f t="array" ref="BI2335">IFERROR(_xlfn._xlws.FILTER(shifts!A:A,(shifts!B:B=events!AD2335)*(shifts!AG:AG&gt;=events!BK2335)*(shifts!AH:AH&lt;=events!BL2335)),BI2334)</f>
        <v>102</v>
      </c>
      <c r="BJ2335" s="15">
        <f t="shared" si="2493"/>
        <v>0</v>
      </c>
      <c r="BK2335">
        <f t="shared" si="2501"/>
        <v>124</v>
      </c>
      <c r="BL2335">
        <f t="shared" si="2502"/>
        <v>124</v>
      </c>
      <c r="BM2335" s="15">
        <f>SUMIFS(BJ$2:BJ2335,K$2:K2335,"=Intermission")+SUMIFS(BJ$2:BJ2335,K$2:K2335,"=Timeout")</f>
        <v>142</v>
      </c>
      <c r="BN2335">
        <f t="shared" si="2503"/>
        <v>2302</v>
      </c>
      <c r="BO2335" s="19">
        <f t="shared" si="2504"/>
        <v>3258</v>
      </c>
      <c r="BP2335">
        <f t="shared" si="2505"/>
        <v>3253</v>
      </c>
      <c r="BQ2335" s="17">
        <f t="shared" si="2506"/>
        <v>3258</v>
      </c>
      <c r="BR2335" t="str">
        <f t="shared" si="2507"/>
        <v>event_team_player_1</v>
      </c>
      <c r="BS2335">
        <f>COUNTIFS(S$3:S2335,"="&amp;S2335,AI$3:AI2335,"="&amp;AI2335)</f>
        <v>1</v>
      </c>
      <c r="BT2335" t="str">
        <f>IFERROR(VLOOKUP(BB2335&amp;BU2335&amp;X2335,game_rosters!U:W,3,FALSE),"")</f>
        <v>P100198</v>
      </c>
      <c r="BU2335" t="str">
        <f t="shared" si="2508"/>
        <v>Velodrome</v>
      </c>
    </row>
    <row r="2336" spans="1:73" x14ac:dyDescent="0.2">
      <c r="A2336">
        <f t="shared" si="2494"/>
        <v>1</v>
      </c>
      <c r="J2336" s="44" t="str">
        <f t="shared" si="2509"/>
        <v/>
      </c>
      <c r="K2336" t="s">
        <v>9</v>
      </c>
      <c r="L2336" t="s">
        <v>173</v>
      </c>
      <c r="M2336" t="s">
        <v>74</v>
      </c>
      <c r="S2336">
        <v>1244</v>
      </c>
      <c r="W2336" t="str">
        <f t="shared" si="2485"/>
        <v>a</v>
      </c>
      <c r="X2336">
        <v>84</v>
      </c>
      <c r="Y2336" t="e">
        <f>IF(X2336&lt;&gt;"",VLOOKUP(X2336,game_rosters!$C$43:$E$64,3,FALSE))</f>
        <v>#N/A</v>
      </c>
      <c r="Z2336" cm="1">
        <f t="array" ref="Z2336">IFERROR(IF(_xlfn._xlws.FILTER(game_rosters!$J:$J,(game_rosters!$G:$G=events!$AN2336)*(game_rosters!$J:$J=events!$X2336))&gt;0,1,""),"")</f>
        <v>1</v>
      </c>
      <c r="AA2336">
        <f t="shared" si="2533"/>
        <v>2244</v>
      </c>
      <c r="AB2336" t="str">
        <f t="shared" si="2534"/>
        <v/>
      </c>
      <c r="AC2336">
        <f t="shared" si="2482"/>
        <v>2244</v>
      </c>
      <c r="AD2336" s="6">
        <v>3</v>
      </c>
      <c r="AE2336" t="s">
        <v>942</v>
      </c>
      <c r="AF2336" t="s">
        <v>931</v>
      </c>
      <c r="AG2336" t="s">
        <v>756</v>
      </c>
      <c r="AH2336" t="s">
        <v>756</v>
      </c>
      <c r="AI2336" t="s">
        <v>367</v>
      </c>
      <c r="AJ2336" t="str">
        <f t="shared" ref="AJ2336:AK2336" si="2538">IF($J2336&lt;&gt;"",$J2336,IF($AC2336=$AC2335,AJ2335,""))</f>
        <v/>
      </c>
      <c r="AK2336" t="str">
        <f t="shared" si="2538"/>
        <v/>
      </c>
      <c r="AL2336" t="str">
        <f t="shared" si="2487"/>
        <v/>
      </c>
      <c r="AN2336" t="s">
        <v>862</v>
      </c>
      <c r="AO2336" t="str">
        <f t="shared" si="2488"/>
        <v>a</v>
      </c>
      <c r="AP2336" t="str">
        <f t="shared" si="2496"/>
        <v/>
      </c>
      <c r="AQ2336" t="str">
        <f t="shared" si="2497"/>
        <v/>
      </c>
      <c r="AR2336" t="str">
        <f t="shared" si="2498"/>
        <v>Away</v>
      </c>
      <c r="AS2336" t="str">
        <f t="shared" si="2499"/>
        <v>a</v>
      </c>
      <c r="AT2336" t="str">
        <f t="shared" si="2500"/>
        <v>Offensive</v>
      </c>
      <c r="BA2336" s="6">
        <f t="shared" si="2489"/>
        <v>540</v>
      </c>
      <c r="BB2336">
        <f t="shared" si="2490"/>
        <v>18981</v>
      </c>
      <c r="BC2336" t="str">
        <f t="shared" si="2491"/>
        <v>Nelson</v>
      </c>
      <c r="BD2336" t="str">
        <f t="shared" si="2492"/>
        <v>Velodrome</v>
      </c>
      <c r="BE2336" t="s">
        <v>9</v>
      </c>
      <c r="BF2336" t="s">
        <v>173</v>
      </c>
      <c r="BG2336" t="s">
        <v>74</v>
      </c>
      <c r="BI2336" cm="1">
        <f t="array" ref="BI2336">IFERROR(_xlfn._xlws.FILTER(shifts!A:A,(shifts!B:B=events!AD2336)*(shifts!AG:AG&gt;=events!BK2336)*(shifts!AH:AH&lt;=events!BL2336)),BI2335)</f>
        <v>102</v>
      </c>
      <c r="BJ2336" s="15">
        <f t="shared" si="2493"/>
        <v>0</v>
      </c>
      <c r="BK2336">
        <f t="shared" si="2501"/>
        <v>124</v>
      </c>
      <c r="BL2336">
        <f t="shared" si="2502"/>
        <v>124</v>
      </c>
      <c r="BM2336" s="15">
        <f>SUMIFS(BJ$2:BJ2336,K$2:K2336,"=Intermission")+SUMIFS(BJ$2:BJ2336,K$2:K2336,"=Timeout")</f>
        <v>142</v>
      </c>
      <c r="BN2336">
        <f t="shared" si="2503"/>
        <v>2302</v>
      </c>
      <c r="BO2336" s="19">
        <f t="shared" si="2504"/>
        <v>3258</v>
      </c>
      <c r="BP2336">
        <f t="shared" si="2505"/>
        <v>3253</v>
      </c>
      <c r="BQ2336" s="17">
        <f t="shared" si="2506"/>
        <v>3258</v>
      </c>
      <c r="BR2336" t="str">
        <f t="shared" si="2507"/>
        <v>event_team_player_1</v>
      </c>
      <c r="BS2336">
        <f>COUNTIFS(S$3:S2336,"="&amp;S2336,AI$3:AI2336,"="&amp;AI2336)</f>
        <v>1</v>
      </c>
      <c r="BT2336" t="str">
        <f>IFERROR(VLOOKUP(BB2336&amp;BU2336&amp;X2336,game_rosters!U:W,3,FALSE),"")</f>
        <v>P100198</v>
      </c>
      <c r="BU2336" t="str">
        <f t="shared" si="2508"/>
        <v>Velodrome</v>
      </c>
    </row>
    <row r="2337" spans="1:73" x14ac:dyDescent="0.2">
      <c r="A2337">
        <f t="shared" si="2494"/>
        <v>1</v>
      </c>
      <c r="J2337" s="44" t="str">
        <f t="shared" si="2509"/>
        <v/>
      </c>
      <c r="K2337" t="s">
        <v>13</v>
      </c>
      <c r="L2337" t="s">
        <v>756</v>
      </c>
      <c r="M2337" t="s">
        <v>756</v>
      </c>
      <c r="S2337">
        <v>1245</v>
      </c>
      <c r="W2337" t="str">
        <f t="shared" si="2485"/>
        <v>h</v>
      </c>
      <c r="X2337">
        <v>80</v>
      </c>
      <c r="Y2337" t="b">
        <f>IF(X2337&lt;&gt;"",VLOOKUP(X2337,game_rosters!$C$43:$E$64,3,FALSE))</f>
        <v>0</v>
      </c>
      <c r="Z2337" cm="1">
        <f t="array" ref="Z2337">IFERROR(IF(_xlfn._xlws.FILTER(game_rosters!$J:$J,(game_rosters!$G:$G=events!$AN2337)*(game_rosters!$J:$J=events!$X2337))&gt;0,1,""),"")</f>
        <v>1</v>
      </c>
      <c r="AA2337">
        <f t="shared" si="2533"/>
        <v>2245</v>
      </c>
      <c r="AB2337" t="str">
        <f t="shared" si="2534"/>
        <v/>
      </c>
      <c r="AC2337">
        <f t="shared" si="2482"/>
        <v>2245</v>
      </c>
      <c r="AD2337" s="6">
        <v>3</v>
      </c>
      <c r="AE2337" t="s">
        <v>942</v>
      </c>
      <c r="AF2337" t="s">
        <v>748</v>
      </c>
      <c r="AG2337" t="s">
        <v>943</v>
      </c>
      <c r="AH2337" t="s">
        <v>932</v>
      </c>
      <c r="AI2337" t="s">
        <v>367</v>
      </c>
      <c r="AJ2337" t="str">
        <f t="shared" ref="AJ2337:AK2337" si="2539">IF($J2337&lt;&gt;"",$J2337,IF($AC2337=$AC2336,AJ2336,""))</f>
        <v/>
      </c>
      <c r="AK2337" t="str">
        <f t="shared" si="2539"/>
        <v/>
      </c>
      <c r="AL2337" t="str">
        <f t="shared" si="2487"/>
        <v/>
      </c>
      <c r="AN2337" t="s">
        <v>861</v>
      </c>
      <c r="AO2337" t="str">
        <f t="shared" si="2488"/>
        <v>h</v>
      </c>
      <c r="AP2337" t="str">
        <f t="shared" si="2496"/>
        <v/>
      </c>
      <c r="AQ2337" t="str">
        <f t="shared" si="2497"/>
        <v/>
      </c>
      <c r="AR2337" t="str">
        <f t="shared" si="2498"/>
        <v>Home</v>
      </c>
      <c r="AS2337" t="str">
        <f t="shared" si="2499"/>
        <v>h</v>
      </c>
      <c r="AT2337" t="str">
        <f t="shared" si="2500"/>
        <v>Offensive</v>
      </c>
      <c r="BA2337" s="6">
        <f t="shared" si="2489"/>
        <v>540</v>
      </c>
      <c r="BB2337">
        <f t="shared" si="2490"/>
        <v>18981</v>
      </c>
      <c r="BC2337" t="str">
        <f t="shared" si="2491"/>
        <v>Nelson</v>
      </c>
      <c r="BD2337" t="str">
        <f t="shared" si="2492"/>
        <v>Velodrome</v>
      </c>
      <c r="BE2337" t="s">
        <v>13</v>
      </c>
      <c r="BF2337" t="s">
        <v>756</v>
      </c>
      <c r="BG2337" t="s">
        <v>756</v>
      </c>
      <c r="BI2337" cm="1">
        <f t="array" ref="BI2337">IFERROR(_xlfn._xlws.FILTER(shifts!A:A,(shifts!B:B=events!AD2337)*(shifts!AG:AG&gt;=events!BK2337)*(shifts!AH:AH&lt;=events!BL2337)),BI2336)</f>
        <v>102</v>
      </c>
      <c r="BJ2337" s="15">
        <f t="shared" si="2493"/>
        <v>3</v>
      </c>
      <c r="BK2337">
        <f t="shared" si="2501"/>
        <v>121</v>
      </c>
      <c r="BL2337">
        <f t="shared" si="2502"/>
        <v>118</v>
      </c>
      <c r="BM2337" s="15">
        <f>SUMIFS(BJ$2:BJ2337,K$2:K2337,"=Intermission")+SUMIFS(BJ$2:BJ2337,K$2:K2337,"=Timeout")</f>
        <v>142</v>
      </c>
      <c r="BN2337">
        <f t="shared" si="2503"/>
        <v>2302</v>
      </c>
      <c r="BO2337" s="19">
        <f t="shared" si="2504"/>
        <v>3261</v>
      </c>
      <c r="BP2337">
        <f t="shared" si="2505"/>
        <v>3256</v>
      </c>
      <c r="BQ2337" s="17">
        <f t="shared" si="2506"/>
        <v>3264</v>
      </c>
      <c r="BR2337" t="str">
        <f t="shared" si="2507"/>
        <v>event_team_player_1</v>
      </c>
      <c r="BS2337">
        <f>COUNTIFS(S$3:S2337,"="&amp;S2337,AI$3:AI2337,"="&amp;AI2337)</f>
        <v>1</v>
      </c>
      <c r="BT2337" t="str">
        <f>IFERROR(VLOOKUP(BB2337&amp;BU2337&amp;X2337,game_rosters!U:W,3,FALSE),"")</f>
        <v>P100197</v>
      </c>
      <c r="BU2337" t="str">
        <f t="shared" si="2508"/>
        <v>Nelson</v>
      </c>
    </row>
    <row r="2338" spans="1:73" x14ac:dyDescent="0.2">
      <c r="A2338">
        <f t="shared" si="2494"/>
        <v>1</v>
      </c>
      <c r="J2338" s="44" t="str">
        <f t="shared" si="2509"/>
        <v>d</v>
      </c>
      <c r="K2338" t="s">
        <v>238</v>
      </c>
      <c r="L2338" t="s">
        <v>184</v>
      </c>
      <c r="M2338" t="s">
        <v>90</v>
      </c>
      <c r="S2338">
        <v>1246</v>
      </c>
      <c r="W2338" t="str">
        <f t="shared" si="2485"/>
        <v>h</v>
      </c>
      <c r="X2338">
        <v>80</v>
      </c>
      <c r="Y2338" t="b">
        <f>IF(X2338&lt;&gt;"",VLOOKUP(X2338,game_rosters!$C$43:$E$64,3,FALSE))</f>
        <v>0</v>
      </c>
      <c r="Z2338" cm="1">
        <f t="array" ref="Z2338">IFERROR(IF(_xlfn._xlws.FILTER(game_rosters!$J:$J,(game_rosters!$G:$G=events!$AN2338)*(game_rosters!$J:$J=events!$X2338))&gt;0,1,""),"")</f>
        <v>1</v>
      </c>
      <c r="AA2338">
        <f t="shared" si="2533"/>
        <v>2246</v>
      </c>
      <c r="AB2338" t="str">
        <f t="shared" si="2534"/>
        <v/>
      </c>
      <c r="AC2338">
        <f t="shared" si="2482"/>
        <v>2246</v>
      </c>
      <c r="AD2338" s="6">
        <v>3</v>
      </c>
      <c r="AE2338" t="s">
        <v>943</v>
      </c>
      <c r="AF2338" t="s">
        <v>932</v>
      </c>
      <c r="AG2338" t="s">
        <v>756</v>
      </c>
      <c r="AH2338" t="s">
        <v>756</v>
      </c>
      <c r="AI2338" t="s">
        <v>367</v>
      </c>
      <c r="AJ2338" t="str">
        <f t="shared" ref="AJ2338:AK2338" si="2540">IF($J2338&lt;&gt;"",$J2338,IF($AC2338=$AC2337,AJ2337,""))</f>
        <v>d</v>
      </c>
      <c r="AK2338" t="str">
        <f t="shared" si="2540"/>
        <v>d</v>
      </c>
      <c r="AL2338" t="str">
        <f t="shared" si="2487"/>
        <v>d</v>
      </c>
      <c r="AN2338" t="s">
        <v>861</v>
      </c>
      <c r="AO2338" t="str">
        <f t="shared" si="2488"/>
        <v>h</v>
      </c>
      <c r="AP2338" t="str">
        <f t="shared" si="2496"/>
        <v>d</v>
      </c>
      <c r="AQ2338" t="str">
        <f t="shared" si="2497"/>
        <v/>
      </c>
      <c r="AR2338" t="str">
        <f t="shared" si="2498"/>
        <v>Home</v>
      </c>
      <c r="AS2338" t="str">
        <f t="shared" si="2499"/>
        <v>h</v>
      </c>
      <c r="AT2338" t="str">
        <f t="shared" si="2500"/>
        <v>Offensive</v>
      </c>
      <c r="BA2338" s="6">
        <f t="shared" si="2489"/>
        <v>541</v>
      </c>
      <c r="BB2338">
        <f t="shared" si="2490"/>
        <v>18981</v>
      </c>
      <c r="BC2338" t="str">
        <f t="shared" si="2491"/>
        <v>Nelson</v>
      </c>
      <c r="BD2338" t="str">
        <f t="shared" si="2492"/>
        <v>Velodrome</v>
      </c>
      <c r="BE2338" t="s">
        <v>238</v>
      </c>
      <c r="BF2338" t="s">
        <v>184</v>
      </c>
      <c r="BG2338" t="s">
        <v>90</v>
      </c>
      <c r="BI2338" cm="1">
        <f t="array" ref="BI2338">IFERROR(_xlfn._xlws.FILTER(shifts!A:A,(shifts!B:B=events!AD2338)*(shifts!AG:AG&gt;=events!BK2338)*(shifts!AH:AH&lt;=events!BL2338)),BI2337)</f>
        <v>102</v>
      </c>
      <c r="BJ2338" s="15">
        <f t="shared" si="2493"/>
        <v>0</v>
      </c>
      <c r="BK2338">
        <f t="shared" si="2501"/>
        <v>118</v>
      </c>
      <c r="BL2338">
        <f t="shared" si="2502"/>
        <v>118</v>
      </c>
      <c r="BM2338" s="15">
        <f>SUMIFS(BJ$2:BJ2338,K$2:K2338,"=Intermission")+SUMIFS(BJ$2:BJ2338,K$2:K2338,"=Timeout")</f>
        <v>142</v>
      </c>
      <c r="BN2338">
        <f t="shared" si="2503"/>
        <v>2302</v>
      </c>
      <c r="BO2338" s="19">
        <f t="shared" si="2504"/>
        <v>3264</v>
      </c>
      <c r="BP2338">
        <f t="shared" si="2505"/>
        <v>3259</v>
      </c>
      <c r="BQ2338" s="17">
        <f t="shared" si="2506"/>
        <v>3264</v>
      </c>
      <c r="BR2338" t="str">
        <f t="shared" si="2507"/>
        <v>event_team_player_1</v>
      </c>
      <c r="BS2338">
        <f>COUNTIFS(S$3:S2338,"="&amp;S2338,AI$3:AI2338,"="&amp;AI2338)</f>
        <v>1</v>
      </c>
      <c r="BT2338" t="str">
        <f>IFERROR(VLOOKUP(BB2338&amp;BU2338&amp;X2338,game_rosters!U:W,3,FALSE),"")</f>
        <v>P100197</v>
      </c>
      <c r="BU2338" t="str">
        <f t="shared" si="2508"/>
        <v>Nelson</v>
      </c>
    </row>
    <row r="2339" spans="1:73" x14ac:dyDescent="0.2">
      <c r="A2339">
        <f t="shared" si="2494"/>
        <v>1</v>
      </c>
      <c r="J2339" s="44" t="str">
        <f t="shared" si="2509"/>
        <v/>
      </c>
      <c r="K2339" t="s">
        <v>11</v>
      </c>
      <c r="L2339" t="s">
        <v>187</v>
      </c>
      <c r="M2339" t="s">
        <v>105</v>
      </c>
      <c r="S2339">
        <v>1247</v>
      </c>
      <c r="W2339" t="str">
        <f t="shared" si="2485"/>
        <v>h</v>
      </c>
      <c r="X2339">
        <v>80</v>
      </c>
      <c r="Y2339" t="b">
        <f>IF(X2339&lt;&gt;"",VLOOKUP(X2339,game_rosters!$C$43:$E$64,3,FALSE))</f>
        <v>0</v>
      </c>
      <c r="Z2339" cm="1">
        <f t="array" ref="Z2339">IFERROR(IF(_xlfn._xlws.FILTER(game_rosters!$J:$J,(game_rosters!$G:$G=events!$AN2339)*(game_rosters!$J:$J=events!$X2339))&gt;0,1,""),"")</f>
        <v>1</v>
      </c>
      <c r="AA2339">
        <f t="shared" si="2533"/>
        <v>2247</v>
      </c>
      <c r="AB2339" t="str">
        <f t="shared" si="2534"/>
        <v/>
      </c>
      <c r="AC2339">
        <f t="shared" si="2482"/>
        <v>2247</v>
      </c>
      <c r="AD2339" s="6">
        <v>3</v>
      </c>
      <c r="AE2339" t="s">
        <v>943</v>
      </c>
      <c r="AF2339" t="s">
        <v>932</v>
      </c>
      <c r="AG2339" t="s">
        <v>756</v>
      </c>
      <c r="AH2339" t="s">
        <v>756</v>
      </c>
      <c r="AI2339" t="s">
        <v>367</v>
      </c>
      <c r="AJ2339" t="str">
        <f t="shared" ref="AJ2339:AK2339" si="2541">IF($J2339&lt;&gt;"",$J2339,IF($AC2339=$AC2338,AJ2338,""))</f>
        <v/>
      </c>
      <c r="AK2339" t="str">
        <f t="shared" si="2541"/>
        <v/>
      </c>
      <c r="AL2339" t="str">
        <f t="shared" si="2487"/>
        <v/>
      </c>
      <c r="AN2339" t="s">
        <v>861</v>
      </c>
      <c r="AO2339" t="str">
        <f t="shared" si="2488"/>
        <v>h</v>
      </c>
      <c r="AP2339" t="str">
        <f t="shared" si="2496"/>
        <v/>
      </c>
      <c r="AQ2339" t="str">
        <f t="shared" si="2497"/>
        <v/>
      </c>
      <c r="AR2339" t="str">
        <f t="shared" si="2498"/>
        <v>Home</v>
      </c>
      <c r="AS2339" t="str">
        <f t="shared" si="2499"/>
        <v>h</v>
      </c>
      <c r="AT2339" t="str">
        <f t="shared" si="2500"/>
        <v/>
      </c>
      <c r="BA2339" s="6">
        <f t="shared" si="2489"/>
        <v>541</v>
      </c>
      <c r="BB2339">
        <f t="shared" si="2490"/>
        <v>18981</v>
      </c>
      <c r="BC2339" t="str">
        <f t="shared" si="2491"/>
        <v>Nelson</v>
      </c>
      <c r="BD2339" t="str">
        <f t="shared" si="2492"/>
        <v>Velodrome</v>
      </c>
      <c r="BE2339" t="s">
        <v>11</v>
      </c>
      <c r="BF2339" t="s">
        <v>187</v>
      </c>
      <c r="BG2339" t="s">
        <v>105</v>
      </c>
      <c r="BI2339" cm="1">
        <f t="array" ref="BI2339">IFERROR(_xlfn._xlws.FILTER(shifts!A:A,(shifts!B:B=events!AD2339)*(shifts!AG:AG&gt;=events!BK2339)*(shifts!AH:AH&lt;=events!BL2339)),BI2338)</f>
        <v>102</v>
      </c>
      <c r="BJ2339" s="15">
        <f t="shared" si="2493"/>
        <v>0</v>
      </c>
      <c r="BK2339">
        <f t="shared" si="2501"/>
        <v>118</v>
      </c>
      <c r="BL2339">
        <f t="shared" si="2502"/>
        <v>118</v>
      </c>
      <c r="BM2339" s="15">
        <f>SUMIFS(BJ$2:BJ2339,K$2:K2339,"=Intermission")+SUMIFS(BJ$2:BJ2339,K$2:K2339,"=Timeout")</f>
        <v>142</v>
      </c>
      <c r="BN2339">
        <f t="shared" si="2503"/>
        <v>2302</v>
      </c>
      <c r="BO2339" s="19">
        <f t="shared" si="2504"/>
        <v>3264</v>
      </c>
      <c r="BP2339">
        <f t="shared" si="2505"/>
        <v>3259</v>
      </c>
      <c r="BQ2339" s="17">
        <f t="shared" si="2506"/>
        <v>3264</v>
      </c>
      <c r="BR2339" t="str">
        <f t="shared" si="2507"/>
        <v>event_team_player_1</v>
      </c>
      <c r="BS2339">
        <f>COUNTIFS(S$3:S2339,"="&amp;S2339,AI$3:AI2339,"="&amp;AI2339)</f>
        <v>1</v>
      </c>
      <c r="BT2339" t="str">
        <f>IFERROR(VLOOKUP(BB2339&amp;BU2339&amp;X2339,game_rosters!U:W,3,FALSE),"")</f>
        <v>P100197</v>
      </c>
      <c r="BU2339" t="str">
        <f t="shared" si="2508"/>
        <v>Nelson</v>
      </c>
    </row>
    <row r="2340" spans="1:73" x14ac:dyDescent="0.2">
      <c r="A2340">
        <f t="shared" si="2494"/>
        <v>1</v>
      </c>
      <c r="J2340" s="44" t="str">
        <f t="shared" si="2509"/>
        <v/>
      </c>
      <c r="K2340" t="s">
        <v>241</v>
      </c>
      <c r="L2340" t="s">
        <v>756</v>
      </c>
      <c r="M2340" t="s">
        <v>756</v>
      </c>
      <c r="S2340">
        <v>1248</v>
      </c>
      <c r="W2340" t="str">
        <f t="shared" si="2485"/>
        <v>h</v>
      </c>
      <c r="X2340">
        <v>80</v>
      </c>
      <c r="Y2340" t="b">
        <f>IF(X2340&lt;&gt;"",VLOOKUP(X2340,game_rosters!$C$43:$E$64,3,FALSE))</f>
        <v>0</v>
      </c>
      <c r="Z2340" cm="1">
        <f t="array" ref="Z2340">IFERROR(IF(_xlfn._xlws.FILTER(game_rosters!$J:$J,(game_rosters!$G:$G=events!$AN2340)*(game_rosters!$J:$J=events!$X2340))&gt;0,1,""),"")</f>
        <v>1</v>
      </c>
      <c r="AA2340">
        <f t="shared" si="2533"/>
        <v>2248</v>
      </c>
      <c r="AB2340" t="str">
        <f t="shared" si="2534"/>
        <v/>
      </c>
      <c r="AC2340">
        <f t="shared" si="2482"/>
        <v>2248</v>
      </c>
      <c r="AD2340" s="6">
        <v>3</v>
      </c>
      <c r="AE2340" t="s">
        <v>943</v>
      </c>
      <c r="AF2340" t="s">
        <v>932</v>
      </c>
      <c r="AG2340" t="s">
        <v>943</v>
      </c>
      <c r="AH2340" t="s">
        <v>928</v>
      </c>
      <c r="AI2340" t="s">
        <v>367</v>
      </c>
      <c r="AJ2340" t="str">
        <f t="shared" ref="AJ2340:AK2340" si="2542">IF($J2340&lt;&gt;"",$J2340,IF($AC2340=$AC2339,AJ2339,""))</f>
        <v/>
      </c>
      <c r="AK2340" t="str">
        <f t="shared" si="2542"/>
        <v/>
      </c>
      <c r="AL2340" t="str">
        <f t="shared" si="2487"/>
        <v/>
      </c>
      <c r="AN2340" t="s">
        <v>861</v>
      </c>
      <c r="AO2340" t="str">
        <f t="shared" si="2488"/>
        <v>h</v>
      </c>
      <c r="AP2340" t="str">
        <f t="shared" si="2496"/>
        <v/>
      </c>
      <c r="AQ2340" t="str">
        <f t="shared" si="2497"/>
        <v/>
      </c>
      <c r="AR2340" t="str">
        <f t="shared" si="2498"/>
        <v>Home</v>
      </c>
      <c r="AS2340" t="str">
        <f t="shared" si="2499"/>
        <v>h</v>
      </c>
      <c r="AT2340" t="str">
        <f t="shared" si="2500"/>
        <v/>
      </c>
      <c r="BA2340" s="6">
        <f t="shared" si="2489"/>
        <v>541</v>
      </c>
      <c r="BB2340">
        <f t="shared" si="2490"/>
        <v>18981</v>
      </c>
      <c r="BC2340" t="str">
        <f t="shared" si="2491"/>
        <v>Nelson</v>
      </c>
      <c r="BD2340" t="str">
        <f t="shared" si="2492"/>
        <v>Velodrome</v>
      </c>
      <c r="BE2340" t="s">
        <v>241</v>
      </c>
      <c r="BF2340" t="s">
        <v>756</v>
      </c>
      <c r="BG2340" t="s">
        <v>756</v>
      </c>
      <c r="BI2340" cm="1">
        <f t="array" ref="BI2340">IFERROR(_xlfn._xlws.FILTER(shifts!A:A,(shifts!B:B=events!AD2340)*(shifts!AG:AG&gt;=events!BK2340)*(shifts!AH:AH&lt;=events!BL2340)),BI2339)</f>
        <v>102</v>
      </c>
      <c r="BJ2340" s="15">
        <f t="shared" si="2493"/>
        <v>21</v>
      </c>
      <c r="BK2340">
        <f t="shared" si="2501"/>
        <v>118</v>
      </c>
      <c r="BL2340">
        <f t="shared" si="2502"/>
        <v>97</v>
      </c>
      <c r="BM2340" s="15">
        <f>SUMIFS(BJ$2:BJ2340,K$2:K2340,"=Intermission")+SUMIFS(BJ$2:BJ2340,K$2:K2340,"=Timeout")</f>
        <v>142</v>
      </c>
      <c r="BN2340">
        <f t="shared" si="2503"/>
        <v>2302</v>
      </c>
      <c r="BO2340" s="19">
        <f t="shared" si="2504"/>
        <v>3264</v>
      </c>
      <c r="BP2340">
        <f t="shared" si="2505"/>
        <v>3259</v>
      </c>
      <c r="BQ2340" s="17">
        <f t="shared" si="2506"/>
        <v>3285</v>
      </c>
      <c r="BR2340" t="str">
        <f t="shared" si="2507"/>
        <v>event_team_player_1</v>
      </c>
      <c r="BS2340">
        <f>COUNTIFS(S$3:S2340,"="&amp;S2340,AI$3:AI2340,"="&amp;AI2340)</f>
        <v>1</v>
      </c>
      <c r="BT2340" t="str">
        <f>IFERROR(VLOOKUP(BB2340&amp;BU2340&amp;X2340,game_rosters!U:W,3,FALSE),"")</f>
        <v>P100197</v>
      </c>
      <c r="BU2340" t="str">
        <f t="shared" si="2508"/>
        <v>Nelson</v>
      </c>
    </row>
    <row r="2341" spans="1:73" x14ac:dyDescent="0.2">
      <c r="A2341">
        <f t="shared" si="2494"/>
        <v>1</v>
      </c>
      <c r="J2341" s="44" t="str">
        <f t="shared" si="2509"/>
        <v/>
      </c>
      <c r="K2341" t="s">
        <v>5</v>
      </c>
      <c r="L2341" t="s">
        <v>236</v>
      </c>
      <c r="M2341" t="s">
        <v>756</v>
      </c>
      <c r="S2341">
        <v>1249</v>
      </c>
      <c r="W2341" t="str">
        <f t="shared" si="2485"/>
        <v>a</v>
      </c>
      <c r="X2341">
        <v>70</v>
      </c>
      <c r="Y2341" t="e">
        <f>IF(X2341&lt;&gt;"",VLOOKUP(X2341,game_rosters!$C$43:$E$64,3,FALSE))</f>
        <v>#N/A</v>
      </c>
      <c r="Z2341" cm="1">
        <f t="array" ref="Z2341">IFERROR(IF(_xlfn._xlws.FILTER(game_rosters!$J:$J,(game_rosters!$G:$G=events!$AN2341)*(game_rosters!$J:$J=events!$X2341))&gt;0,1,""),"")</f>
        <v>1</v>
      </c>
      <c r="AA2341">
        <f t="shared" si="2533"/>
        <v>2249</v>
      </c>
      <c r="AB2341" t="str">
        <f t="shared" si="2534"/>
        <v/>
      </c>
      <c r="AC2341">
        <f t="shared" si="2482"/>
        <v>2249</v>
      </c>
      <c r="AD2341" s="6">
        <v>3</v>
      </c>
      <c r="AE2341" t="s">
        <v>943</v>
      </c>
      <c r="AF2341" t="s">
        <v>928</v>
      </c>
      <c r="AG2341" t="s">
        <v>756</v>
      </c>
      <c r="AH2341" t="s">
        <v>756</v>
      </c>
      <c r="AI2341" t="s">
        <v>367</v>
      </c>
      <c r="AJ2341" t="str">
        <f t="shared" ref="AJ2341:AK2341" si="2543">IF($J2341&lt;&gt;"",$J2341,IF($AC2341=$AC2340,AJ2340,""))</f>
        <v/>
      </c>
      <c r="AK2341" t="str">
        <f t="shared" si="2543"/>
        <v/>
      </c>
      <c r="AL2341" t="str">
        <f t="shared" si="2487"/>
        <v/>
      </c>
      <c r="AN2341" t="s">
        <v>862</v>
      </c>
      <c r="AO2341" t="str">
        <f t="shared" si="2488"/>
        <v>a</v>
      </c>
      <c r="AP2341" t="str">
        <f t="shared" si="2496"/>
        <v/>
      </c>
      <c r="AQ2341" t="str">
        <f t="shared" si="2497"/>
        <v/>
      </c>
      <c r="AR2341" t="str">
        <f t="shared" si="2498"/>
        <v>Away</v>
      </c>
      <c r="AS2341" t="str">
        <f t="shared" si="2499"/>
        <v>a</v>
      </c>
      <c r="AT2341" t="str">
        <f t="shared" si="2500"/>
        <v>Offensive</v>
      </c>
      <c r="BA2341" s="6">
        <f t="shared" si="2489"/>
        <v>541</v>
      </c>
      <c r="BB2341">
        <f t="shared" si="2490"/>
        <v>18981</v>
      </c>
      <c r="BC2341" t="str">
        <f t="shared" si="2491"/>
        <v>Nelson</v>
      </c>
      <c r="BD2341" t="str">
        <f t="shared" si="2492"/>
        <v>Velodrome</v>
      </c>
      <c r="BE2341" t="s">
        <v>5</v>
      </c>
      <c r="BF2341" t="s">
        <v>236</v>
      </c>
      <c r="BG2341" t="s">
        <v>756</v>
      </c>
      <c r="BI2341" cm="1">
        <f t="array" ref="BI2341">IFERROR(_xlfn._xlws.FILTER(shifts!A:A,(shifts!B:B=events!AD2341)*(shifts!AG:AG&gt;=events!BK2341)*(shifts!AH:AH&lt;=events!BL2341)),BI2340)</f>
        <v>103</v>
      </c>
      <c r="BJ2341" s="15">
        <f t="shared" si="2493"/>
        <v>0</v>
      </c>
      <c r="BK2341">
        <f t="shared" si="2501"/>
        <v>97</v>
      </c>
      <c r="BL2341">
        <f t="shared" si="2502"/>
        <v>97</v>
      </c>
      <c r="BM2341" s="15">
        <f>SUMIFS(BJ$2:BJ2341,K$2:K2341,"=Intermission")+SUMIFS(BJ$2:BJ2341,K$2:K2341,"=Timeout")</f>
        <v>142</v>
      </c>
      <c r="BN2341">
        <f t="shared" si="2503"/>
        <v>2302</v>
      </c>
      <c r="BO2341" s="19">
        <f t="shared" si="2504"/>
        <v>3285</v>
      </c>
      <c r="BP2341">
        <f t="shared" si="2505"/>
        <v>3280</v>
      </c>
      <c r="BQ2341" s="17">
        <f t="shared" si="2506"/>
        <v>3285</v>
      </c>
      <c r="BR2341" t="str">
        <f t="shared" si="2507"/>
        <v>event_team_player_1</v>
      </c>
      <c r="BS2341">
        <f>COUNTIFS(S$3:S2341,"="&amp;S2341,AI$3:AI2341,"="&amp;AI2341)</f>
        <v>1</v>
      </c>
      <c r="BT2341" t="str">
        <f>IFERROR(VLOOKUP(BB2341&amp;BU2341&amp;X2341,game_rosters!U:W,3,FALSE),"")</f>
        <v>P100001</v>
      </c>
      <c r="BU2341" t="str">
        <f t="shared" si="2508"/>
        <v>Velodrome</v>
      </c>
    </row>
    <row r="2342" spans="1:73" x14ac:dyDescent="0.2">
      <c r="A2342">
        <f t="shared" si="2494"/>
        <v>1</v>
      </c>
      <c r="J2342" s="44" t="str">
        <f t="shared" si="2509"/>
        <v/>
      </c>
      <c r="K2342" t="s">
        <v>5</v>
      </c>
      <c r="L2342" t="s">
        <v>236</v>
      </c>
      <c r="M2342" t="s">
        <v>756</v>
      </c>
      <c r="S2342">
        <v>1249</v>
      </c>
      <c r="W2342" t="str">
        <f t="shared" si="2485"/>
        <v>a</v>
      </c>
      <c r="X2342">
        <v>84</v>
      </c>
      <c r="Y2342" t="e">
        <f>IF(X2342&lt;&gt;"",VLOOKUP(X2342,game_rosters!$C$43:$E$64,3,FALSE))</f>
        <v>#N/A</v>
      </c>
      <c r="Z2342" cm="1">
        <f t="array" ref="Z2342">IFERROR(IF(_xlfn._xlws.FILTER(game_rosters!$J:$J,(game_rosters!$G:$G=events!$AN2342)*(game_rosters!$J:$J=events!$X2342))&gt;0,1,""),"")</f>
        <v>1</v>
      </c>
      <c r="AA2342">
        <f t="shared" si="2533"/>
        <v>2249</v>
      </c>
      <c r="AB2342" t="str">
        <f t="shared" si="2534"/>
        <v/>
      </c>
      <c r="AC2342">
        <f t="shared" si="2482"/>
        <v>2249</v>
      </c>
      <c r="AD2342" s="6">
        <v>3</v>
      </c>
      <c r="AE2342" t="s">
        <v>943</v>
      </c>
      <c r="AF2342" t="s">
        <v>928</v>
      </c>
      <c r="AG2342" t="s">
        <v>756</v>
      </c>
      <c r="AH2342" t="s">
        <v>756</v>
      </c>
      <c r="AI2342" t="s">
        <v>367</v>
      </c>
      <c r="AJ2342" t="str">
        <f t="shared" ref="AJ2342:AK2342" si="2544">IF($J2342&lt;&gt;"",$J2342,IF($AC2342=$AC2341,AJ2341,""))</f>
        <v/>
      </c>
      <c r="AK2342" t="str">
        <f t="shared" si="2544"/>
        <v/>
      </c>
      <c r="AL2342" t="str">
        <f t="shared" si="2487"/>
        <v/>
      </c>
      <c r="AN2342" t="s">
        <v>862</v>
      </c>
      <c r="AO2342" t="str">
        <f t="shared" si="2488"/>
        <v>a</v>
      </c>
      <c r="AP2342" t="str">
        <f t="shared" si="2496"/>
        <v/>
      </c>
      <c r="AQ2342" t="str">
        <f t="shared" si="2497"/>
        <v/>
      </c>
      <c r="AR2342" t="str">
        <f t="shared" si="2498"/>
        <v>Away</v>
      </c>
      <c r="AS2342" t="str">
        <f t="shared" si="2499"/>
        <v>a</v>
      </c>
      <c r="AT2342" t="str">
        <f t="shared" si="2500"/>
        <v>Offensive</v>
      </c>
      <c r="BA2342" s="6">
        <f t="shared" si="2489"/>
        <v>541</v>
      </c>
      <c r="BB2342">
        <f t="shared" si="2490"/>
        <v>18981</v>
      </c>
      <c r="BC2342" t="str">
        <f t="shared" si="2491"/>
        <v>Nelson</v>
      </c>
      <c r="BD2342" t="str">
        <f t="shared" si="2492"/>
        <v>Velodrome</v>
      </c>
      <c r="BE2342" t="s">
        <v>5</v>
      </c>
      <c r="BF2342" t="s">
        <v>236</v>
      </c>
      <c r="BG2342" t="s">
        <v>756</v>
      </c>
      <c r="BI2342" cm="1">
        <f t="array" ref="BI2342">IFERROR(_xlfn._xlws.FILTER(shifts!A:A,(shifts!B:B=events!AD2342)*(shifts!AG:AG&gt;=events!BK2342)*(shifts!AH:AH&lt;=events!BL2342)),BI2341)</f>
        <v>103</v>
      </c>
      <c r="BJ2342" s="15">
        <f t="shared" si="2493"/>
        <v>0</v>
      </c>
      <c r="BK2342">
        <f t="shared" si="2501"/>
        <v>97</v>
      </c>
      <c r="BL2342">
        <f t="shared" si="2502"/>
        <v>97</v>
      </c>
      <c r="BM2342" s="15">
        <f>SUMIFS(BJ$2:BJ2342,K$2:K2342,"=Intermission")+SUMIFS(BJ$2:BJ2342,K$2:K2342,"=Timeout")</f>
        <v>142</v>
      </c>
      <c r="BN2342">
        <f t="shared" si="2503"/>
        <v>2302</v>
      </c>
      <c r="BO2342" s="19">
        <f t="shared" si="2504"/>
        <v>3285</v>
      </c>
      <c r="BP2342">
        <f t="shared" si="2505"/>
        <v>3280</v>
      </c>
      <c r="BQ2342" s="17">
        <f t="shared" si="2506"/>
        <v>3285</v>
      </c>
      <c r="BR2342" t="str">
        <f t="shared" si="2507"/>
        <v>event_team_player_2</v>
      </c>
      <c r="BS2342">
        <f>COUNTIFS(S$3:S2342,"="&amp;S2342,AI$3:AI2342,"="&amp;AI2342)</f>
        <v>2</v>
      </c>
      <c r="BT2342" t="str">
        <f>IFERROR(VLOOKUP(BB2342&amp;BU2342&amp;X2342,game_rosters!U:W,3,FALSE),"")</f>
        <v>P100198</v>
      </c>
      <c r="BU2342" t="str">
        <f t="shared" si="2508"/>
        <v>Velodrome</v>
      </c>
    </row>
    <row r="2343" spans="1:73" x14ac:dyDescent="0.2">
      <c r="A2343">
        <f t="shared" si="2494"/>
        <v>1</v>
      </c>
      <c r="J2343" s="44" t="str">
        <f t="shared" si="2509"/>
        <v/>
      </c>
      <c r="K2343" t="s">
        <v>5</v>
      </c>
      <c r="L2343" t="s">
        <v>236</v>
      </c>
      <c r="M2343" t="s">
        <v>756</v>
      </c>
      <c r="S2343">
        <v>1249</v>
      </c>
      <c r="W2343" t="str">
        <f t="shared" si="2485"/>
        <v>a</v>
      </c>
      <c r="X2343">
        <v>10</v>
      </c>
      <c r="Y2343" t="b">
        <f>IF(X2343&lt;&gt;"",VLOOKUP(X2343,game_rosters!$C$43:$E$64,3,FALSE))</f>
        <v>0</v>
      </c>
      <c r="Z2343" t="str" cm="1">
        <f t="array" ref="Z2343">IFERROR(IF(_xlfn._xlws.FILTER(game_rosters!$J:$J,(game_rosters!$G:$G=events!$AN2343)*(game_rosters!$J:$J=events!$X2343))&gt;0,1,""),"")</f>
        <v/>
      </c>
      <c r="AA2343">
        <f t="shared" si="2533"/>
        <v>2249</v>
      </c>
      <c r="AB2343" t="str">
        <f t="shared" si="2534"/>
        <v/>
      </c>
      <c r="AC2343">
        <f t="shared" si="2482"/>
        <v>2249</v>
      </c>
      <c r="AD2343" s="6">
        <v>3</v>
      </c>
      <c r="AE2343" t="s">
        <v>943</v>
      </c>
      <c r="AF2343" t="s">
        <v>928</v>
      </c>
      <c r="AG2343" t="s">
        <v>756</v>
      </c>
      <c r="AH2343" t="s">
        <v>756</v>
      </c>
      <c r="AI2343" t="s">
        <v>368</v>
      </c>
      <c r="AJ2343" t="str">
        <f t="shared" ref="AJ2343:AK2343" si="2545">IF($J2343&lt;&gt;"",$J2343,IF($AC2343=$AC2342,AJ2342,""))</f>
        <v/>
      </c>
      <c r="AK2343" t="str">
        <f t="shared" si="2545"/>
        <v/>
      </c>
      <c r="AL2343" t="str">
        <f t="shared" si="2487"/>
        <v/>
      </c>
      <c r="AN2343" t="s">
        <v>862</v>
      </c>
      <c r="AO2343" t="str">
        <f t="shared" si="2488"/>
        <v>a</v>
      </c>
      <c r="AP2343" t="str">
        <f t="shared" si="2496"/>
        <v/>
      </c>
      <c r="AQ2343" t="str">
        <f t="shared" si="2497"/>
        <v/>
      </c>
      <c r="AR2343" t="str">
        <f t="shared" si="2498"/>
        <v>Away</v>
      </c>
      <c r="AS2343" t="str">
        <f t="shared" si="2499"/>
        <v>a</v>
      </c>
      <c r="AT2343" t="str">
        <f t="shared" si="2500"/>
        <v>Defensive</v>
      </c>
      <c r="BA2343" s="6">
        <f t="shared" si="2489"/>
        <v>541</v>
      </c>
      <c r="BB2343">
        <f t="shared" si="2490"/>
        <v>18981</v>
      </c>
      <c r="BC2343" t="str">
        <f t="shared" si="2491"/>
        <v>Nelson</v>
      </c>
      <c r="BD2343" t="str">
        <f t="shared" si="2492"/>
        <v>Velodrome</v>
      </c>
      <c r="BE2343" t="s">
        <v>5</v>
      </c>
      <c r="BF2343" t="s">
        <v>236</v>
      </c>
      <c r="BG2343" t="s">
        <v>756</v>
      </c>
      <c r="BI2343" cm="1">
        <f t="array" ref="BI2343">IFERROR(_xlfn._xlws.FILTER(shifts!A:A,(shifts!B:B=events!AD2343)*(shifts!AG:AG&gt;=events!BK2343)*(shifts!AH:AH&lt;=events!BL2343)),BI2342)</f>
        <v>103</v>
      </c>
      <c r="BJ2343" s="15">
        <f t="shared" si="2493"/>
        <v>0</v>
      </c>
      <c r="BK2343">
        <f t="shared" si="2501"/>
        <v>97</v>
      </c>
      <c r="BL2343">
        <f t="shared" si="2502"/>
        <v>97</v>
      </c>
      <c r="BM2343" s="15">
        <f>SUMIFS(BJ$2:BJ2343,K$2:K2343,"=Intermission")+SUMIFS(BJ$2:BJ2343,K$2:K2343,"=Timeout")</f>
        <v>142</v>
      </c>
      <c r="BN2343">
        <f t="shared" si="2503"/>
        <v>2302</v>
      </c>
      <c r="BO2343" s="19">
        <f t="shared" si="2504"/>
        <v>3285</v>
      </c>
      <c r="BP2343">
        <f t="shared" si="2505"/>
        <v>3280</v>
      </c>
      <c r="BQ2343" s="17">
        <f t="shared" si="2506"/>
        <v>3285</v>
      </c>
      <c r="BR2343" t="str">
        <f t="shared" si="2507"/>
        <v>opp_team_player_1</v>
      </c>
      <c r="BS2343">
        <f>COUNTIFS(S$3:S2343,"="&amp;S2343,AI$3:AI2343,"="&amp;AI2343)</f>
        <v>1</v>
      </c>
      <c r="BT2343" t="str">
        <f>IFERROR(VLOOKUP(BB2343&amp;BU2343&amp;X2343,game_rosters!U:W,3,FALSE),"")</f>
        <v>P100078</v>
      </c>
      <c r="BU2343" t="str">
        <f t="shared" si="2508"/>
        <v>Nelson</v>
      </c>
    </row>
    <row r="2344" spans="1:73" x14ac:dyDescent="0.2">
      <c r="A2344">
        <f t="shared" si="2494"/>
        <v>1</v>
      </c>
      <c r="J2344" s="44" t="str">
        <f t="shared" si="2509"/>
        <v/>
      </c>
      <c r="K2344" t="s">
        <v>7</v>
      </c>
      <c r="L2344" t="s">
        <v>172</v>
      </c>
      <c r="M2344" t="s">
        <v>68</v>
      </c>
      <c r="S2344">
        <v>1250</v>
      </c>
      <c r="W2344" t="str">
        <f t="shared" si="2485"/>
        <v>a</v>
      </c>
      <c r="X2344">
        <v>84</v>
      </c>
      <c r="Y2344" t="e">
        <f>IF(X2344&lt;&gt;"",VLOOKUP(X2344,game_rosters!$C$43:$E$64,3,FALSE))</f>
        <v>#N/A</v>
      </c>
      <c r="Z2344" cm="1">
        <f t="array" ref="Z2344">IFERROR(IF(_xlfn._xlws.FILTER(game_rosters!$J:$J,(game_rosters!$G:$G=events!$AN2344)*(game_rosters!$J:$J=events!$X2344))&gt;0,1,""),"")</f>
        <v>1</v>
      </c>
      <c r="AA2344">
        <f t="shared" si="2533"/>
        <v>2250</v>
      </c>
      <c r="AB2344" t="str">
        <f t="shared" si="2534"/>
        <v/>
      </c>
      <c r="AC2344">
        <f t="shared" si="2482"/>
        <v>2250</v>
      </c>
      <c r="AD2344" s="6">
        <v>3</v>
      </c>
      <c r="AE2344" t="s">
        <v>943</v>
      </c>
      <c r="AF2344" t="s">
        <v>929</v>
      </c>
      <c r="AG2344" t="s">
        <v>756</v>
      </c>
      <c r="AH2344" t="s">
        <v>756</v>
      </c>
      <c r="AI2344" t="s">
        <v>367</v>
      </c>
      <c r="AJ2344" t="str">
        <f t="shared" ref="AJ2344:AK2344" si="2546">IF($J2344&lt;&gt;"",$J2344,IF($AC2344=$AC2343,AJ2343,""))</f>
        <v/>
      </c>
      <c r="AK2344" t="str">
        <f t="shared" si="2546"/>
        <v/>
      </c>
      <c r="AL2344" t="str">
        <f t="shared" si="2487"/>
        <v/>
      </c>
      <c r="AN2344" t="s">
        <v>862</v>
      </c>
      <c r="AO2344" t="str">
        <f t="shared" si="2488"/>
        <v>a</v>
      </c>
      <c r="AP2344" t="str">
        <f t="shared" si="2496"/>
        <v/>
      </c>
      <c r="AQ2344" t="str">
        <f t="shared" si="2497"/>
        <v/>
      </c>
      <c r="AR2344" t="str">
        <f t="shared" si="2498"/>
        <v>Away</v>
      </c>
      <c r="AS2344" t="str">
        <f t="shared" si="2499"/>
        <v>a</v>
      </c>
      <c r="AT2344" t="str">
        <f t="shared" si="2500"/>
        <v>Offensive</v>
      </c>
      <c r="BA2344" s="6">
        <f t="shared" si="2489"/>
        <v>541</v>
      </c>
      <c r="BB2344">
        <f t="shared" si="2490"/>
        <v>18981</v>
      </c>
      <c r="BC2344" t="str">
        <f t="shared" si="2491"/>
        <v>Nelson</v>
      </c>
      <c r="BD2344" t="str">
        <f t="shared" si="2492"/>
        <v>Velodrome</v>
      </c>
      <c r="BE2344" t="s">
        <v>7</v>
      </c>
      <c r="BF2344" t="s">
        <v>172</v>
      </c>
      <c r="BG2344" t="s">
        <v>68</v>
      </c>
      <c r="BI2344" cm="1">
        <f t="array" ref="BI2344">IFERROR(_xlfn._xlws.FILTER(shifts!A:A,(shifts!B:B=events!AD2344)*(shifts!AG:AG&gt;=events!BK2344)*(shifts!AH:AH&lt;=events!BL2344)),BI2343)</f>
        <v>103</v>
      </c>
      <c r="BJ2344" s="15">
        <f t="shared" si="2493"/>
        <v>0</v>
      </c>
      <c r="BK2344">
        <f t="shared" si="2501"/>
        <v>94</v>
      </c>
      <c r="BL2344">
        <f t="shared" si="2502"/>
        <v>94</v>
      </c>
      <c r="BM2344" s="15">
        <f>SUMIFS(BJ$2:BJ2344,K$2:K2344,"=Intermission")+SUMIFS(BJ$2:BJ2344,K$2:K2344,"=Timeout")</f>
        <v>142</v>
      </c>
      <c r="BN2344">
        <f t="shared" si="2503"/>
        <v>2302</v>
      </c>
      <c r="BO2344" s="19">
        <f t="shared" si="2504"/>
        <v>3288</v>
      </c>
      <c r="BP2344">
        <f t="shared" si="2505"/>
        <v>3283</v>
      </c>
      <c r="BQ2344" s="17">
        <f t="shared" si="2506"/>
        <v>3288</v>
      </c>
      <c r="BR2344" t="str">
        <f t="shared" si="2507"/>
        <v>event_team_player_1</v>
      </c>
      <c r="BS2344">
        <f>COUNTIFS(S$3:S2344,"="&amp;S2344,AI$3:AI2344,"="&amp;AI2344)</f>
        <v>1</v>
      </c>
      <c r="BT2344" t="str">
        <f>IFERROR(VLOOKUP(BB2344&amp;BU2344&amp;X2344,game_rosters!U:W,3,FALSE),"")</f>
        <v>P100198</v>
      </c>
      <c r="BU2344" t="str">
        <f t="shared" si="2508"/>
        <v>Velodrome</v>
      </c>
    </row>
    <row r="2345" spans="1:73" x14ac:dyDescent="0.2">
      <c r="A2345">
        <f t="shared" si="2494"/>
        <v>1</v>
      </c>
      <c r="J2345" s="44" t="str">
        <f t="shared" si="2509"/>
        <v/>
      </c>
      <c r="K2345" t="s">
        <v>7</v>
      </c>
      <c r="L2345" t="s">
        <v>172</v>
      </c>
      <c r="M2345" t="s">
        <v>68</v>
      </c>
      <c r="S2345">
        <v>1250</v>
      </c>
      <c r="W2345" t="str">
        <f t="shared" si="2485"/>
        <v>a</v>
      </c>
      <c r="X2345">
        <v>87</v>
      </c>
      <c r="Y2345" t="e">
        <f>IF(X2345&lt;&gt;"",VLOOKUP(X2345,game_rosters!$C$43:$E$64,3,FALSE))</f>
        <v>#N/A</v>
      </c>
      <c r="Z2345" cm="1">
        <f t="array" ref="Z2345">IFERROR(IF(_xlfn._xlws.FILTER(game_rosters!$J:$J,(game_rosters!$G:$G=events!$AN2345)*(game_rosters!$J:$J=events!$X2345))&gt;0,1,""),"")</f>
        <v>1</v>
      </c>
      <c r="AA2345">
        <f t="shared" si="2533"/>
        <v>2250</v>
      </c>
      <c r="AB2345" t="str">
        <f t="shared" si="2534"/>
        <v/>
      </c>
      <c r="AC2345">
        <f t="shared" si="2482"/>
        <v>2250</v>
      </c>
      <c r="AD2345" s="6">
        <v>3</v>
      </c>
      <c r="AE2345" t="s">
        <v>943</v>
      </c>
      <c r="AF2345" t="s">
        <v>929</v>
      </c>
      <c r="AG2345" t="s">
        <v>756</v>
      </c>
      <c r="AH2345" t="s">
        <v>756</v>
      </c>
      <c r="AI2345" t="s">
        <v>367</v>
      </c>
      <c r="AJ2345" t="str">
        <f t="shared" ref="AJ2345:AK2345" si="2547">IF($J2345&lt;&gt;"",$J2345,IF($AC2345=$AC2344,AJ2344,""))</f>
        <v/>
      </c>
      <c r="AK2345" t="str">
        <f t="shared" si="2547"/>
        <v/>
      </c>
      <c r="AL2345" t="str">
        <f t="shared" si="2487"/>
        <v/>
      </c>
      <c r="AN2345" t="s">
        <v>862</v>
      </c>
      <c r="AO2345" t="str">
        <f t="shared" si="2488"/>
        <v>a</v>
      </c>
      <c r="AP2345" t="str">
        <f t="shared" si="2496"/>
        <v/>
      </c>
      <c r="AQ2345" t="str">
        <f t="shared" si="2497"/>
        <v/>
      </c>
      <c r="AR2345" t="str">
        <f t="shared" si="2498"/>
        <v>Away</v>
      </c>
      <c r="AS2345" t="str">
        <f t="shared" si="2499"/>
        <v>a</v>
      </c>
      <c r="AT2345" t="str">
        <f t="shared" si="2500"/>
        <v>Offensive</v>
      </c>
      <c r="BA2345" s="6">
        <f t="shared" si="2489"/>
        <v>541</v>
      </c>
      <c r="BB2345">
        <f t="shared" si="2490"/>
        <v>18981</v>
      </c>
      <c r="BC2345" t="str">
        <f t="shared" si="2491"/>
        <v>Nelson</v>
      </c>
      <c r="BD2345" t="str">
        <f t="shared" si="2492"/>
        <v>Velodrome</v>
      </c>
      <c r="BE2345" t="s">
        <v>7</v>
      </c>
      <c r="BF2345" t="s">
        <v>172</v>
      </c>
      <c r="BG2345" t="s">
        <v>68</v>
      </c>
      <c r="BI2345" cm="1">
        <f t="array" ref="BI2345">IFERROR(_xlfn._xlws.FILTER(shifts!A:A,(shifts!B:B=events!AD2345)*(shifts!AG:AG&gt;=events!BK2345)*(shifts!AH:AH&lt;=events!BL2345)),BI2344)</f>
        <v>103</v>
      </c>
      <c r="BJ2345" s="15">
        <f t="shared" si="2493"/>
        <v>0</v>
      </c>
      <c r="BK2345">
        <f t="shared" si="2501"/>
        <v>94</v>
      </c>
      <c r="BL2345">
        <f t="shared" si="2502"/>
        <v>94</v>
      </c>
      <c r="BM2345" s="15">
        <f>SUMIFS(BJ$2:BJ2345,K$2:K2345,"=Intermission")+SUMIFS(BJ$2:BJ2345,K$2:K2345,"=Timeout")</f>
        <v>142</v>
      </c>
      <c r="BN2345">
        <f t="shared" si="2503"/>
        <v>2302</v>
      </c>
      <c r="BO2345" s="19">
        <f t="shared" si="2504"/>
        <v>3288</v>
      </c>
      <c r="BP2345">
        <f t="shared" si="2505"/>
        <v>3283</v>
      </c>
      <c r="BQ2345" s="17">
        <f t="shared" si="2506"/>
        <v>3288</v>
      </c>
      <c r="BR2345" t="str">
        <f t="shared" si="2507"/>
        <v>event_team_player_2</v>
      </c>
      <c r="BS2345">
        <f>COUNTIFS(S$3:S2345,"="&amp;S2345,AI$3:AI2345,"="&amp;AI2345)</f>
        <v>2</v>
      </c>
      <c r="BT2345" t="str">
        <f>IFERROR(VLOOKUP(BB2345&amp;BU2345&amp;X2345,game_rosters!U:W,3,FALSE),"")</f>
        <v>P100159</v>
      </c>
      <c r="BU2345" t="str">
        <f t="shared" si="2508"/>
        <v>Velodrome</v>
      </c>
    </row>
    <row r="2346" spans="1:73" x14ac:dyDescent="0.2">
      <c r="A2346">
        <f t="shared" si="2494"/>
        <v>1</v>
      </c>
      <c r="J2346" s="44" t="str">
        <f t="shared" si="2509"/>
        <v/>
      </c>
      <c r="K2346" t="s">
        <v>13</v>
      </c>
      <c r="L2346" t="s">
        <v>756</v>
      </c>
      <c r="M2346" t="s">
        <v>756</v>
      </c>
      <c r="S2346">
        <v>1251</v>
      </c>
      <c r="W2346" t="str">
        <f t="shared" si="2485"/>
        <v>a</v>
      </c>
      <c r="X2346">
        <v>87</v>
      </c>
      <c r="Y2346" t="e">
        <f>IF(X2346&lt;&gt;"",VLOOKUP(X2346,game_rosters!$C$43:$E$64,3,FALSE))</f>
        <v>#N/A</v>
      </c>
      <c r="Z2346" cm="1">
        <f t="array" ref="Z2346">IFERROR(IF(_xlfn._xlws.FILTER(game_rosters!$J:$J,(game_rosters!$G:$G=events!$AN2346)*(game_rosters!$J:$J=events!$X2346))&gt;0,1,""),"")</f>
        <v>1</v>
      </c>
      <c r="AA2346">
        <f t="shared" si="2533"/>
        <v>2251</v>
      </c>
      <c r="AB2346" t="str">
        <f t="shared" si="2534"/>
        <v/>
      </c>
      <c r="AC2346">
        <f t="shared" si="2482"/>
        <v>2251</v>
      </c>
      <c r="AD2346" s="6">
        <v>3</v>
      </c>
      <c r="AE2346" t="s">
        <v>943</v>
      </c>
      <c r="AF2346" t="s">
        <v>914</v>
      </c>
      <c r="AG2346" t="s">
        <v>943</v>
      </c>
      <c r="AH2346" t="s">
        <v>915</v>
      </c>
      <c r="AI2346" t="s">
        <v>367</v>
      </c>
      <c r="AJ2346" t="str">
        <f t="shared" ref="AJ2346:AK2346" si="2548">IF($J2346&lt;&gt;"",$J2346,IF($AC2346=$AC2345,AJ2345,""))</f>
        <v/>
      </c>
      <c r="AK2346" t="str">
        <f t="shared" si="2548"/>
        <v/>
      </c>
      <c r="AL2346" t="str">
        <f t="shared" si="2487"/>
        <v/>
      </c>
      <c r="AN2346" t="s">
        <v>862</v>
      </c>
      <c r="AO2346" t="str">
        <f t="shared" si="2488"/>
        <v>a</v>
      </c>
      <c r="AP2346" t="str">
        <f t="shared" si="2496"/>
        <v/>
      </c>
      <c r="AQ2346" t="str">
        <f t="shared" si="2497"/>
        <v/>
      </c>
      <c r="AR2346" t="str">
        <f t="shared" si="2498"/>
        <v>Away</v>
      </c>
      <c r="AS2346" t="str">
        <f t="shared" si="2499"/>
        <v>a</v>
      </c>
      <c r="AT2346" t="str">
        <f t="shared" si="2500"/>
        <v>Offensive</v>
      </c>
      <c r="BA2346" s="6">
        <f t="shared" si="2489"/>
        <v>541</v>
      </c>
      <c r="BB2346">
        <f t="shared" si="2490"/>
        <v>18981</v>
      </c>
      <c r="BC2346" t="str">
        <f t="shared" si="2491"/>
        <v>Nelson</v>
      </c>
      <c r="BD2346" t="str">
        <f t="shared" si="2492"/>
        <v>Velodrome</v>
      </c>
      <c r="BE2346" t="s">
        <v>13</v>
      </c>
      <c r="BF2346" t="s">
        <v>756</v>
      </c>
      <c r="BG2346" t="s">
        <v>756</v>
      </c>
      <c r="BI2346" cm="1">
        <f t="array" ref="BI2346">IFERROR(_xlfn._xlws.FILTER(shifts!A:A,(shifts!B:B=events!AD2346)*(shifts!AG:AG&gt;=events!BK2346)*(shifts!AH:AH&lt;=events!BL2346)),BI2345)</f>
        <v>103</v>
      </c>
      <c r="BJ2346" s="15">
        <f t="shared" si="2493"/>
        <v>3</v>
      </c>
      <c r="BK2346">
        <f t="shared" si="2501"/>
        <v>93</v>
      </c>
      <c r="BL2346">
        <f t="shared" si="2502"/>
        <v>90</v>
      </c>
      <c r="BM2346" s="15">
        <f>SUMIFS(BJ$2:BJ2346,K$2:K2346,"=Intermission")+SUMIFS(BJ$2:BJ2346,K$2:K2346,"=Timeout")</f>
        <v>142</v>
      </c>
      <c r="BN2346">
        <f t="shared" si="2503"/>
        <v>2302</v>
      </c>
      <c r="BO2346" s="19">
        <f t="shared" si="2504"/>
        <v>3289</v>
      </c>
      <c r="BP2346">
        <f t="shared" si="2505"/>
        <v>3284</v>
      </c>
      <c r="BQ2346" s="17">
        <f t="shared" si="2506"/>
        <v>3292</v>
      </c>
      <c r="BR2346" t="str">
        <f t="shared" si="2507"/>
        <v>event_team_player_1</v>
      </c>
      <c r="BS2346">
        <f>COUNTIFS(S$3:S2346,"="&amp;S2346,AI$3:AI2346,"="&amp;AI2346)</f>
        <v>1</v>
      </c>
      <c r="BT2346" t="str">
        <f>IFERROR(VLOOKUP(BB2346&amp;BU2346&amp;X2346,game_rosters!U:W,3,FALSE),"")</f>
        <v>P100159</v>
      </c>
      <c r="BU2346" t="str">
        <f t="shared" si="2508"/>
        <v>Velodrome</v>
      </c>
    </row>
    <row r="2347" spans="1:73" x14ac:dyDescent="0.2">
      <c r="A2347">
        <f t="shared" si="2494"/>
        <v>1</v>
      </c>
      <c r="J2347" s="44" t="str">
        <f t="shared" si="2509"/>
        <v>o</v>
      </c>
      <c r="K2347" t="s">
        <v>238</v>
      </c>
      <c r="L2347" t="s">
        <v>174</v>
      </c>
      <c r="M2347" t="s">
        <v>85</v>
      </c>
      <c r="S2347">
        <v>1252</v>
      </c>
      <c r="W2347" t="str">
        <f t="shared" si="2485"/>
        <v>a</v>
      </c>
      <c r="X2347">
        <v>87</v>
      </c>
      <c r="Y2347" t="e">
        <f>IF(X2347&lt;&gt;"",VLOOKUP(X2347,game_rosters!$C$43:$E$64,3,FALSE))</f>
        <v>#N/A</v>
      </c>
      <c r="Z2347" cm="1">
        <f t="array" ref="Z2347">IFERROR(IF(_xlfn._xlws.FILTER(game_rosters!$J:$J,(game_rosters!$G:$G=events!$AN2347)*(game_rosters!$J:$J=events!$X2347))&gt;0,1,""),"")</f>
        <v>1</v>
      </c>
      <c r="AA2347">
        <f t="shared" si="2533"/>
        <v>2252</v>
      </c>
      <c r="AB2347" t="str">
        <f t="shared" si="2534"/>
        <v/>
      </c>
      <c r="AC2347">
        <f t="shared" si="2482"/>
        <v>2252</v>
      </c>
      <c r="AD2347" s="6">
        <v>3</v>
      </c>
      <c r="AE2347" t="s">
        <v>943</v>
      </c>
      <c r="AF2347" t="s">
        <v>915</v>
      </c>
      <c r="AG2347" t="s">
        <v>943</v>
      </c>
      <c r="AH2347" t="s">
        <v>739</v>
      </c>
      <c r="AI2347" t="s">
        <v>367</v>
      </c>
      <c r="AJ2347" t="str">
        <f t="shared" ref="AJ2347:AK2347" si="2549">IF($J2347&lt;&gt;"",$J2347,IF($AC2347=$AC2346,AJ2346,""))</f>
        <v>o</v>
      </c>
      <c r="AK2347" t="str">
        <f t="shared" si="2549"/>
        <v>o</v>
      </c>
      <c r="AL2347" t="str">
        <f t="shared" si="2487"/>
        <v>d</v>
      </c>
      <c r="AN2347" t="s">
        <v>862</v>
      </c>
      <c r="AO2347" t="str">
        <f t="shared" si="2488"/>
        <v>a</v>
      </c>
      <c r="AP2347" t="str">
        <f t="shared" si="2496"/>
        <v>d</v>
      </c>
      <c r="AQ2347" t="str">
        <f t="shared" si="2497"/>
        <v/>
      </c>
      <c r="AR2347" t="str">
        <f t="shared" si="2498"/>
        <v>Away</v>
      </c>
      <c r="AS2347" t="str">
        <f t="shared" si="2499"/>
        <v>a</v>
      </c>
      <c r="AT2347" t="str">
        <f t="shared" si="2500"/>
        <v>Offensive</v>
      </c>
      <c r="BA2347" s="6">
        <f t="shared" si="2489"/>
        <v>542</v>
      </c>
      <c r="BB2347">
        <f t="shared" si="2490"/>
        <v>18981</v>
      </c>
      <c r="BC2347" t="str">
        <f t="shared" si="2491"/>
        <v>Nelson</v>
      </c>
      <c r="BD2347" t="str">
        <f t="shared" si="2492"/>
        <v>Velodrome</v>
      </c>
      <c r="BE2347" t="s">
        <v>238</v>
      </c>
      <c r="BF2347" t="s">
        <v>174</v>
      </c>
      <c r="BG2347" t="s">
        <v>85</v>
      </c>
      <c r="BI2347" cm="1">
        <f t="array" ref="BI2347">IFERROR(_xlfn._xlws.FILTER(shifts!A:A,(shifts!B:B=events!AD2347)*(shifts!AG:AG&gt;=events!BK2347)*(shifts!AH:AH&lt;=events!BL2347)),BI2346)</f>
        <v>103</v>
      </c>
      <c r="BJ2347" s="15">
        <f t="shared" si="2493"/>
        <v>4</v>
      </c>
      <c r="BK2347">
        <f t="shared" si="2501"/>
        <v>90</v>
      </c>
      <c r="BL2347">
        <f t="shared" si="2502"/>
        <v>86</v>
      </c>
      <c r="BM2347" s="15">
        <f>SUMIFS(BJ$2:BJ2347,K$2:K2347,"=Intermission")+SUMIFS(BJ$2:BJ2347,K$2:K2347,"=Timeout")</f>
        <v>142</v>
      </c>
      <c r="BN2347">
        <f t="shared" si="2503"/>
        <v>2302</v>
      </c>
      <c r="BO2347" s="19">
        <f t="shared" si="2504"/>
        <v>3292</v>
      </c>
      <c r="BP2347">
        <f t="shared" si="2505"/>
        <v>3287</v>
      </c>
      <c r="BQ2347" s="17">
        <f t="shared" si="2506"/>
        <v>3296</v>
      </c>
      <c r="BR2347" t="str">
        <f t="shared" si="2507"/>
        <v>event_team_player_1</v>
      </c>
      <c r="BS2347">
        <f>COUNTIFS(S$3:S2347,"="&amp;S2347,AI$3:AI2347,"="&amp;AI2347)</f>
        <v>1</v>
      </c>
      <c r="BT2347" t="str">
        <f>IFERROR(VLOOKUP(BB2347&amp;BU2347&amp;X2347,game_rosters!U:W,3,FALSE),"")</f>
        <v>P100159</v>
      </c>
      <c r="BU2347" t="str">
        <f t="shared" si="2508"/>
        <v>Velodrome</v>
      </c>
    </row>
    <row r="2348" spans="1:73" x14ac:dyDescent="0.2">
      <c r="A2348">
        <f t="shared" si="2494"/>
        <v>1</v>
      </c>
      <c r="J2348" s="44" t="str">
        <f t="shared" si="2509"/>
        <v>o</v>
      </c>
      <c r="K2348" t="s">
        <v>238</v>
      </c>
      <c r="L2348" t="s">
        <v>174</v>
      </c>
      <c r="M2348" t="s">
        <v>85</v>
      </c>
      <c r="S2348">
        <v>1252</v>
      </c>
      <c r="W2348" t="str">
        <f t="shared" si="2485"/>
        <v>a</v>
      </c>
      <c r="X2348">
        <v>70</v>
      </c>
      <c r="Y2348" t="e">
        <f>IF(X2348&lt;&gt;"",VLOOKUP(X2348,game_rosters!$C$43:$E$64,3,FALSE))</f>
        <v>#N/A</v>
      </c>
      <c r="Z2348" cm="1">
        <f t="array" ref="Z2348">IFERROR(IF(_xlfn._xlws.FILTER(game_rosters!$J:$J,(game_rosters!$G:$G=events!$AN2348)*(game_rosters!$J:$J=events!$X2348))&gt;0,1,""),"")</f>
        <v>1</v>
      </c>
      <c r="AA2348">
        <f t="shared" si="2533"/>
        <v>2252</v>
      </c>
      <c r="AB2348" t="str">
        <f t="shared" si="2534"/>
        <v/>
      </c>
      <c r="AC2348">
        <f t="shared" si="2482"/>
        <v>2252</v>
      </c>
      <c r="AD2348" s="6">
        <v>3</v>
      </c>
      <c r="AE2348" t="s">
        <v>943</v>
      </c>
      <c r="AF2348" t="s">
        <v>915</v>
      </c>
      <c r="AG2348" t="s">
        <v>943</v>
      </c>
      <c r="AH2348" t="s">
        <v>739</v>
      </c>
      <c r="AI2348" t="s">
        <v>367</v>
      </c>
      <c r="AJ2348" t="str">
        <f t="shared" ref="AJ2348:AK2348" si="2550">IF($J2348&lt;&gt;"",$J2348,IF($AC2348=$AC2347,AJ2347,""))</f>
        <v>o</v>
      </c>
      <c r="AK2348" t="str">
        <f t="shared" si="2550"/>
        <v>o</v>
      </c>
      <c r="AL2348" t="str">
        <f t="shared" si="2487"/>
        <v>d</v>
      </c>
      <c r="AN2348" t="s">
        <v>862</v>
      </c>
      <c r="AO2348" t="str">
        <f t="shared" si="2488"/>
        <v>a</v>
      </c>
      <c r="AP2348" t="str">
        <f t="shared" si="2496"/>
        <v>d</v>
      </c>
      <c r="AQ2348" t="str">
        <f t="shared" si="2497"/>
        <v/>
      </c>
      <c r="AR2348" t="str">
        <f t="shared" si="2498"/>
        <v>Away</v>
      </c>
      <c r="AS2348" t="str">
        <f t="shared" si="2499"/>
        <v>a</v>
      </c>
      <c r="AT2348" t="str">
        <f t="shared" si="2500"/>
        <v>Offensive</v>
      </c>
      <c r="BA2348" s="6">
        <f t="shared" si="2489"/>
        <v>543</v>
      </c>
      <c r="BB2348">
        <f t="shared" si="2490"/>
        <v>18981</v>
      </c>
      <c r="BC2348" t="str">
        <f t="shared" si="2491"/>
        <v>Nelson</v>
      </c>
      <c r="BD2348" t="str">
        <f t="shared" si="2492"/>
        <v>Velodrome</v>
      </c>
      <c r="BE2348" t="s">
        <v>238</v>
      </c>
      <c r="BF2348" t="s">
        <v>174</v>
      </c>
      <c r="BG2348" t="s">
        <v>85</v>
      </c>
      <c r="BI2348" cm="1">
        <f t="array" ref="BI2348">IFERROR(_xlfn._xlws.FILTER(shifts!A:A,(shifts!B:B=events!AD2348)*(shifts!AG:AG&gt;=events!BK2348)*(shifts!AH:AH&lt;=events!BL2348)),BI2347)</f>
        <v>103</v>
      </c>
      <c r="BJ2348" s="15">
        <f t="shared" si="2493"/>
        <v>4</v>
      </c>
      <c r="BK2348">
        <f t="shared" si="2501"/>
        <v>90</v>
      </c>
      <c r="BL2348">
        <f t="shared" si="2502"/>
        <v>86</v>
      </c>
      <c r="BM2348" s="15">
        <f>SUMIFS(BJ$2:BJ2348,K$2:K2348,"=Intermission")+SUMIFS(BJ$2:BJ2348,K$2:K2348,"=Timeout")</f>
        <v>142</v>
      </c>
      <c r="BN2348">
        <f t="shared" si="2503"/>
        <v>2302</v>
      </c>
      <c r="BO2348" s="19">
        <f t="shared" si="2504"/>
        <v>3292</v>
      </c>
      <c r="BP2348">
        <f t="shared" si="2505"/>
        <v>3287</v>
      </c>
      <c r="BQ2348" s="17">
        <f t="shared" si="2506"/>
        <v>3296</v>
      </c>
      <c r="BR2348" t="str">
        <f t="shared" si="2507"/>
        <v>event_team_player_2</v>
      </c>
      <c r="BS2348">
        <f>COUNTIFS(S$3:S2348,"="&amp;S2348,AI$3:AI2348,"="&amp;AI2348)</f>
        <v>2</v>
      </c>
      <c r="BT2348" t="str">
        <f>IFERROR(VLOOKUP(BB2348&amp;BU2348&amp;X2348,game_rosters!U:W,3,FALSE),"")</f>
        <v>P100001</v>
      </c>
      <c r="BU2348" t="str">
        <f t="shared" si="2508"/>
        <v>Velodrome</v>
      </c>
    </row>
    <row r="2349" spans="1:73" x14ac:dyDescent="0.2">
      <c r="A2349">
        <f t="shared" si="2494"/>
        <v>1</v>
      </c>
      <c r="J2349" s="44" t="str">
        <f t="shared" si="2509"/>
        <v>o</v>
      </c>
      <c r="K2349" t="s">
        <v>238</v>
      </c>
      <c r="L2349" t="s">
        <v>174</v>
      </c>
      <c r="M2349" t="s">
        <v>85</v>
      </c>
      <c r="S2349">
        <v>1252</v>
      </c>
      <c r="W2349" t="str">
        <f t="shared" si="2485"/>
        <v>a</v>
      </c>
      <c r="X2349">
        <v>15</v>
      </c>
      <c r="Y2349" t="b">
        <f>IF(X2349&lt;&gt;"",VLOOKUP(X2349,game_rosters!$C$43:$E$64,3,FALSE))</f>
        <v>0</v>
      </c>
      <c r="Z2349" t="str" cm="1">
        <f t="array" ref="Z2349">IFERROR(IF(_xlfn._xlws.FILTER(game_rosters!$J:$J,(game_rosters!$G:$G=events!$AN2349)*(game_rosters!$J:$J=events!$X2349))&gt;0,1,""),"")</f>
        <v/>
      </c>
      <c r="AA2349">
        <f t="shared" si="2533"/>
        <v>2252</v>
      </c>
      <c r="AB2349" t="str">
        <f t="shared" si="2534"/>
        <v/>
      </c>
      <c r="AC2349">
        <f t="shared" si="2482"/>
        <v>2252</v>
      </c>
      <c r="AD2349" s="6">
        <v>3</v>
      </c>
      <c r="AE2349" t="s">
        <v>943</v>
      </c>
      <c r="AF2349" t="s">
        <v>915</v>
      </c>
      <c r="AG2349" t="s">
        <v>943</v>
      </c>
      <c r="AH2349" t="s">
        <v>739</v>
      </c>
      <c r="AI2349" t="s">
        <v>368</v>
      </c>
      <c r="AJ2349" t="str">
        <f t="shared" ref="AJ2349:AK2349" si="2551">IF($J2349&lt;&gt;"",$J2349,IF($AC2349=$AC2348,AJ2348,""))</f>
        <v>o</v>
      </c>
      <c r="AK2349" t="str">
        <f t="shared" si="2551"/>
        <v>o</v>
      </c>
      <c r="AL2349" t="str">
        <f t="shared" si="2487"/>
        <v>d</v>
      </c>
      <c r="AN2349" t="s">
        <v>862</v>
      </c>
      <c r="AO2349" t="str">
        <f t="shared" si="2488"/>
        <v>a</v>
      </c>
      <c r="AP2349" t="str">
        <f t="shared" si="2496"/>
        <v>d</v>
      </c>
      <c r="AQ2349" t="str">
        <f t="shared" si="2497"/>
        <v/>
      </c>
      <c r="AR2349" t="str">
        <f t="shared" si="2498"/>
        <v>Away</v>
      </c>
      <c r="AS2349" t="str">
        <f t="shared" si="2499"/>
        <v>a</v>
      </c>
      <c r="AT2349" t="str">
        <f t="shared" si="2500"/>
        <v>Defensive</v>
      </c>
      <c r="BA2349" s="6">
        <f t="shared" si="2489"/>
        <v>544</v>
      </c>
      <c r="BB2349">
        <f t="shared" si="2490"/>
        <v>18981</v>
      </c>
      <c r="BC2349" t="str">
        <f t="shared" si="2491"/>
        <v>Nelson</v>
      </c>
      <c r="BD2349" t="str">
        <f t="shared" si="2492"/>
        <v>Velodrome</v>
      </c>
      <c r="BE2349" t="s">
        <v>238</v>
      </c>
      <c r="BF2349" t="s">
        <v>174</v>
      </c>
      <c r="BG2349" t="s">
        <v>85</v>
      </c>
      <c r="BI2349" cm="1">
        <f t="array" ref="BI2349">IFERROR(_xlfn._xlws.FILTER(shifts!A:A,(shifts!B:B=events!AD2349)*(shifts!AG:AG&gt;=events!BK2349)*(shifts!AH:AH&lt;=events!BL2349)),BI2348)</f>
        <v>103</v>
      </c>
      <c r="BJ2349" s="15">
        <f t="shared" si="2493"/>
        <v>4</v>
      </c>
      <c r="BK2349">
        <f t="shared" si="2501"/>
        <v>90</v>
      </c>
      <c r="BL2349">
        <f t="shared" si="2502"/>
        <v>86</v>
      </c>
      <c r="BM2349" s="15">
        <f>SUMIFS(BJ$2:BJ2349,K$2:K2349,"=Intermission")+SUMIFS(BJ$2:BJ2349,K$2:K2349,"=Timeout")</f>
        <v>142</v>
      </c>
      <c r="BN2349">
        <f t="shared" si="2503"/>
        <v>2302</v>
      </c>
      <c r="BO2349" s="19">
        <f t="shared" si="2504"/>
        <v>3292</v>
      </c>
      <c r="BP2349">
        <f t="shared" si="2505"/>
        <v>3287</v>
      </c>
      <c r="BQ2349" s="17">
        <f t="shared" si="2506"/>
        <v>3296</v>
      </c>
      <c r="BR2349" t="str">
        <f t="shared" si="2507"/>
        <v>opp_team_player_1</v>
      </c>
      <c r="BS2349">
        <f>COUNTIFS(S$3:S2349,"="&amp;S2349,AI$3:AI2349,"="&amp;AI2349)</f>
        <v>1</v>
      </c>
      <c r="BT2349" t="str">
        <f>IFERROR(VLOOKUP(BB2349&amp;BU2349&amp;X2349,game_rosters!U:W,3,FALSE),"")</f>
        <v>P100071</v>
      </c>
      <c r="BU2349" t="str">
        <f t="shared" si="2508"/>
        <v>Nelson</v>
      </c>
    </row>
    <row r="2350" spans="1:73" x14ac:dyDescent="0.2">
      <c r="A2350">
        <f t="shared" si="2494"/>
        <v>1</v>
      </c>
      <c r="J2350" s="44" t="str">
        <f t="shared" si="2509"/>
        <v>o</v>
      </c>
      <c r="K2350" t="s">
        <v>238</v>
      </c>
      <c r="L2350" t="s">
        <v>174</v>
      </c>
      <c r="M2350" t="s">
        <v>85</v>
      </c>
      <c r="S2350">
        <v>1252</v>
      </c>
      <c r="W2350" t="str">
        <f t="shared" si="2485"/>
        <v>a</v>
      </c>
      <c r="X2350">
        <v>8</v>
      </c>
      <c r="Y2350" t="b">
        <f>IF(X2350&lt;&gt;"",VLOOKUP(X2350,game_rosters!$C$43:$E$64,3,FALSE))</f>
        <v>0</v>
      </c>
      <c r="Z2350" t="str" cm="1">
        <f t="array" ref="Z2350">IFERROR(IF(_xlfn._xlws.FILTER(game_rosters!$J:$J,(game_rosters!$G:$G=events!$AN2350)*(game_rosters!$J:$J=events!$X2350))&gt;0,1,""),"")</f>
        <v/>
      </c>
      <c r="AA2350">
        <f t="shared" si="2533"/>
        <v>2252</v>
      </c>
      <c r="AB2350" t="str">
        <f t="shared" si="2534"/>
        <v/>
      </c>
      <c r="AC2350">
        <f t="shared" si="2482"/>
        <v>2252</v>
      </c>
      <c r="AD2350" s="6">
        <v>3</v>
      </c>
      <c r="AE2350" t="s">
        <v>943</v>
      </c>
      <c r="AF2350" t="s">
        <v>915</v>
      </c>
      <c r="AG2350" t="s">
        <v>943</v>
      </c>
      <c r="AH2350" t="s">
        <v>739</v>
      </c>
      <c r="AI2350" t="s">
        <v>368</v>
      </c>
      <c r="AJ2350" t="str">
        <f t="shared" ref="AJ2350:AK2350" si="2552">IF($J2350&lt;&gt;"",$J2350,IF($AC2350=$AC2349,AJ2349,""))</f>
        <v>o</v>
      </c>
      <c r="AK2350" t="str">
        <f t="shared" si="2552"/>
        <v>o</v>
      </c>
      <c r="AL2350" t="str">
        <f t="shared" si="2487"/>
        <v>d</v>
      </c>
      <c r="AN2350" t="s">
        <v>862</v>
      </c>
      <c r="AO2350" t="str">
        <f t="shared" si="2488"/>
        <v>a</v>
      </c>
      <c r="AP2350" t="str">
        <f t="shared" si="2496"/>
        <v>d</v>
      </c>
      <c r="AQ2350" t="str">
        <f t="shared" si="2497"/>
        <v/>
      </c>
      <c r="AR2350" t="str">
        <f t="shared" si="2498"/>
        <v>Away</v>
      </c>
      <c r="AS2350" t="str">
        <f t="shared" si="2499"/>
        <v>a</v>
      </c>
      <c r="AT2350" t="str">
        <f t="shared" si="2500"/>
        <v>Defensive</v>
      </c>
      <c r="BA2350" s="6">
        <f t="shared" si="2489"/>
        <v>545</v>
      </c>
      <c r="BB2350">
        <f t="shared" si="2490"/>
        <v>18981</v>
      </c>
      <c r="BC2350" t="str">
        <f t="shared" si="2491"/>
        <v>Nelson</v>
      </c>
      <c r="BD2350" t="str">
        <f t="shared" si="2492"/>
        <v>Velodrome</v>
      </c>
      <c r="BE2350" t="s">
        <v>238</v>
      </c>
      <c r="BF2350" t="s">
        <v>174</v>
      </c>
      <c r="BG2350" t="s">
        <v>85</v>
      </c>
      <c r="BI2350" cm="1">
        <f t="array" ref="BI2350">IFERROR(_xlfn._xlws.FILTER(shifts!A:A,(shifts!B:B=events!AD2350)*(shifts!AG:AG&gt;=events!BK2350)*(shifts!AH:AH&lt;=events!BL2350)),BI2349)</f>
        <v>103</v>
      </c>
      <c r="BJ2350" s="15">
        <f t="shared" si="2493"/>
        <v>4</v>
      </c>
      <c r="BK2350">
        <f t="shared" si="2501"/>
        <v>90</v>
      </c>
      <c r="BL2350">
        <f t="shared" si="2502"/>
        <v>86</v>
      </c>
      <c r="BM2350" s="15">
        <f>SUMIFS(BJ$2:BJ2350,K$2:K2350,"=Intermission")+SUMIFS(BJ$2:BJ2350,K$2:K2350,"=Timeout")</f>
        <v>142</v>
      </c>
      <c r="BN2350">
        <f t="shared" si="2503"/>
        <v>2302</v>
      </c>
      <c r="BO2350" s="19">
        <f t="shared" si="2504"/>
        <v>3292</v>
      </c>
      <c r="BP2350">
        <f t="shared" si="2505"/>
        <v>3287</v>
      </c>
      <c r="BQ2350" s="17">
        <f t="shared" si="2506"/>
        <v>3296</v>
      </c>
      <c r="BR2350" t="str">
        <f t="shared" si="2507"/>
        <v>opp_team_player_2</v>
      </c>
      <c r="BS2350">
        <f>COUNTIFS(S$3:S2350,"="&amp;S2350,AI$3:AI2350,"="&amp;AI2350)</f>
        <v>2</v>
      </c>
      <c r="BT2350" t="str">
        <f>IFERROR(VLOOKUP(BB2350&amp;BU2350&amp;X2350,game_rosters!U:W,3,FALSE),"")</f>
        <v>P100074</v>
      </c>
      <c r="BU2350" t="str">
        <f t="shared" si="2508"/>
        <v>Nelson</v>
      </c>
    </row>
    <row r="2351" spans="1:73" x14ac:dyDescent="0.2">
      <c r="A2351">
        <f t="shared" si="2494"/>
        <v>1</v>
      </c>
      <c r="J2351" s="44" t="str">
        <f t="shared" si="2509"/>
        <v>o</v>
      </c>
      <c r="K2351" t="s">
        <v>238</v>
      </c>
      <c r="L2351" t="s">
        <v>174</v>
      </c>
      <c r="M2351" t="s">
        <v>85</v>
      </c>
      <c r="S2351">
        <v>1252</v>
      </c>
      <c r="W2351" t="str">
        <f t="shared" si="2485"/>
        <v>a</v>
      </c>
      <c r="X2351">
        <v>80</v>
      </c>
      <c r="Y2351" t="b">
        <f>IF(X2351&lt;&gt;"",VLOOKUP(X2351,game_rosters!$C$43:$E$64,3,FALSE))</f>
        <v>0</v>
      </c>
      <c r="Z2351" t="str" cm="1">
        <f t="array" ref="Z2351">IFERROR(IF(_xlfn._xlws.FILTER(game_rosters!$J:$J,(game_rosters!$G:$G=events!$AN2351)*(game_rosters!$J:$J=events!$X2351))&gt;0,1,""),"")</f>
        <v/>
      </c>
      <c r="AA2351">
        <f t="shared" si="2533"/>
        <v>2252</v>
      </c>
      <c r="AB2351" t="str">
        <f t="shared" si="2534"/>
        <v/>
      </c>
      <c r="AC2351">
        <f t="shared" si="2482"/>
        <v>2252</v>
      </c>
      <c r="AD2351" s="6">
        <v>3</v>
      </c>
      <c r="AE2351" t="s">
        <v>943</v>
      </c>
      <c r="AF2351" t="s">
        <v>915</v>
      </c>
      <c r="AG2351" t="s">
        <v>943</v>
      </c>
      <c r="AH2351" t="s">
        <v>739</v>
      </c>
      <c r="AI2351" t="s">
        <v>368</v>
      </c>
      <c r="AJ2351" t="str">
        <f t="shared" ref="AJ2351:AK2351" si="2553">IF($J2351&lt;&gt;"",$J2351,IF($AC2351=$AC2350,AJ2350,""))</f>
        <v>o</v>
      </c>
      <c r="AK2351" t="str">
        <f t="shared" si="2553"/>
        <v>o</v>
      </c>
      <c r="AL2351" t="str">
        <f t="shared" si="2487"/>
        <v>d</v>
      </c>
      <c r="AN2351" t="s">
        <v>862</v>
      </c>
      <c r="AO2351" t="str">
        <f t="shared" si="2488"/>
        <v>a</v>
      </c>
      <c r="AP2351" t="str">
        <f t="shared" si="2496"/>
        <v>d</v>
      </c>
      <c r="AQ2351" t="str">
        <f t="shared" si="2497"/>
        <v/>
      </c>
      <c r="AR2351" t="str">
        <f t="shared" si="2498"/>
        <v>Away</v>
      </c>
      <c r="AS2351" t="str">
        <f t="shared" si="2499"/>
        <v>a</v>
      </c>
      <c r="AT2351" t="str">
        <f t="shared" si="2500"/>
        <v>Defensive</v>
      </c>
      <c r="BA2351" s="6">
        <f t="shared" si="2489"/>
        <v>546</v>
      </c>
      <c r="BB2351">
        <f t="shared" si="2490"/>
        <v>18981</v>
      </c>
      <c r="BC2351" t="str">
        <f t="shared" si="2491"/>
        <v>Nelson</v>
      </c>
      <c r="BD2351" t="str">
        <f t="shared" si="2492"/>
        <v>Velodrome</v>
      </c>
      <c r="BE2351" t="s">
        <v>238</v>
      </c>
      <c r="BF2351" t="s">
        <v>174</v>
      </c>
      <c r="BG2351" t="s">
        <v>85</v>
      </c>
      <c r="BI2351" cm="1">
        <f t="array" ref="BI2351">IFERROR(_xlfn._xlws.FILTER(shifts!A:A,(shifts!B:B=events!AD2351)*(shifts!AG:AG&gt;=events!BK2351)*(shifts!AH:AH&lt;=events!BL2351)),BI2350)</f>
        <v>103</v>
      </c>
      <c r="BJ2351" s="15">
        <f t="shared" si="2493"/>
        <v>4</v>
      </c>
      <c r="BK2351">
        <f t="shared" si="2501"/>
        <v>90</v>
      </c>
      <c r="BL2351">
        <f t="shared" si="2502"/>
        <v>86</v>
      </c>
      <c r="BM2351" s="15">
        <f>SUMIFS(BJ$2:BJ2351,K$2:K2351,"=Intermission")+SUMIFS(BJ$2:BJ2351,K$2:K2351,"=Timeout")</f>
        <v>142</v>
      </c>
      <c r="BN2351">
        <f t="shared" si="2503"/>
        <v>2302</v>
      </c>
      <c r="BO2351" s="19">
        <f t="shared" si="2504"/>
        <v>3292</v>
      </c>
      <c r="BP2351">
        <f t="shared" si="2505"/>
        <v>3287</v>
      </c>
      <c r="BQ2351" s="17">
        <f t="shared" si="2506"/>
        <v>3296</v>
      </c>
      <c r="BR2351" t="str">
        <f t="shared" si="2507"/>
        <v>opp_team_player_3</v>
      </c>
      <c r="BS2351">
        <f>COUNTIFS(S$3:S2351,"="&amp;S2351,AI$3:AI2351,"="&amp;AI2351)</f>
        <v>3</v>
      </c>
      <c r="BT2351" t="str">
        <f>IFERROR(VLOOKUP(BB2351&amp;BU2351&amp;X2351,game_rosters!U:W,3,FALSE),"")</f>
        <v>P100197</v>
      </c>
      <c r="BU2351" t="str">
        <f t="shared" si="2508"/>
        <v>Nelson</v>
      </c>
    </row>
    <row r="2352" spans="1:73" x14ac:dyDescent="0.2">
      <c r="A2352">
        <f t="shared" si="2494"/>
        <v>1</v>
      </c>
      <c r="J2352" s="44" t="str">
        <f t="shared" si="2509"/>
        <v/>
      </c>
      <c r="K2352" t="s">
        <v>7</v>
      </c>
      <c r="L2352" t="s">
        <v>172</v>
      </c>
      <c r="M2352" t="s">
        <v>67</v>
      </c>
      <c r="S2352">
        <v>1253</v>
      </c>
      <c r="W2352" t="str">
        <f t="shared" si="2485"/>
        <v>a</v>
      </c>
      <c r="X2352">
        <v>70</v>
      </c>
      <c r="Y2352" t="e">
        <f>IF(X2352&lt;&gt;"",VLOOKUP(X2352,game_rosters!$C$43:$E$64,3,FALSE))</f>
        <v>#N/A</v>
      </c>
      <c r="Z2352" cm="1">
        <f t="array" ref="Z2352">IFERROR(IF(_xlfn._xlws.FILTER(game_rosters!$J:$J,(game_rosters!$G:$G=events!$AN2352)*(game_rosters!$J:$J=events!$X2352))&gt;0,1,""),"")</f>
        <v>1</v>
      </c>
      <c r="AA2352">
        <f t="shared" si="2533"/>
        <v>2253</v>
      </c>
      <c r="AB2352" t="str">
        <f t="shared" si="2534"/>
        <v/>
      </c>
      <c r="AC2352">
        <f t="shared" si="2482"/>
        <v>2253</v>
      </c>
      <c r="AD2352" s="6">
        <v>3</v>
      </c>
      <c r="AE2352" t="s">
        <v>943</v>
      </c>
      <c r="AF2352" t="s">
        <v>907</v>
      </c>
      <c r="AG2352" t="s">
        <v>756</v>
      </c>
      <c r="AH2352" t="s">
        <v>756</v>
      </c>
      <c r="AI2352" t="s">
        <v>367</v>
      </c>
      <c r="AJ2352" t="str">
        <f t="shared" ref="AJ2352:AK2352" si="2554">IF($J2352&lt;&gt;"",$J2352,IF($AC2352=$AC2351,AJ2351,""))</f>
        <v/>
      </c>
      <c r="AK2352" t="str">
        <f t="shared" si="2554"/>
        <v/>
      </c>
      <c r="AL2352" t="str">
        <f t="shared" si="2487"/>
        <v/>
      </c>
      <c r="AN2352" t="s">
        <v>862</v>
      </c>
      <c r="AO2352" t="str">
        <f t="shared" si="2488"/>
        <v>a</v>
      </c>
      <c r="AP2352" t="str">
        <f t="shared" si="2496"/>
        <v/>
      </c>
      <c r="AQ2352" t="str">
        <f t="shared" si="2497"/>
        <v/>
      </c>
      <c r="AR2352" t="str">
        <f t="shared" si="2498"/>
        <v>Away</v>
      </c>
      <c r="AS2352" t="str">
        <f t="shared" si="2499"/>
        <v>a</v>
      </c>
      <c r="AT2352" t="str">
        <f t="shared" si="2500"/>
        <v>Offensive</v>
      </c>
      <c r="BA2352" s="6">
        <f t="shared" si="2489"/>
        <v>546</v>
      </c>
      <c r="BB2352">
        <f t="shared" si="2490"/>
        <v>18981</v>
      </c>
      <c r="BC2352" t="str">
        <f t="shared" si="2491"/>
        <v>Nelson</v>
      </c>
      <c r="BD2352" t="str">
        <f t="shared" si="2492"/>
        <v>Velodrome</v>
      </c>
      <c r="BE2352" t="s">
        <v>7</v>
      </c>
      <c r="BF2352" t="s">
        <v>172</v>
      </c>
      <c r="BG2352" t="s">
        <v>67</v>
      </c>
      <c r="BI2352" cm="1">
        <f t="array" ref="BI2352">IFERROR(_xlfn._xlws.FILTER(shifts!A:A,(shifts!B:B=events!AD2352)*(shifts!AG:AG&gt;=events!BK2352)*(shifts!AH:AH&lt;=events!BL2352)),BI2351)</f>
        <v>103</v>
      </c>
      <c r="BJ2352" s="15">
        <f t="shared" si="2493"/>
        <v>0</v>
      </c>
      <c r="BK2352">
        <f t="shared" si="2501"/>
        <v>84</v>
      </c>
      <c r="BL2352">
        <f t="shared" si="2502"/>
        <v>84</v>
      </c>
      <c r="BM2352" s="15">
        <f>SUMIFS(BJ$2:BJ2352,K$2:K2352,"=Intermission")+SUMIFS(BJ$2:BJ2352,K$2:K2352,"=Timeout")</f>
        <v>142</v>
      </c>
      <c r="BN2352">
        <f t="shared" si="2503"/>
        <v>2302</v>
      </c>
      <c r="BO2352" s="19">
        <f t="shared" si="2504"/>
        <v>3298</v>
      </c>
      <c r="BP2352">
        <f t="shared" si="2505"/>
        <v>3293</v>
      </c>
      <c r="BQ2352" s="17">
        <f t="shared" si="2506"/>
        <v>3298</v>
      </c>
      <c r="BR2352" t="str">
        <f t="shared" si="2507"/>
        <v>event_team_player_1</v>
      </c>
      <c r="BS2352">
        <f>COUNTIFS(S$3:S2352,"="&amp;S2352,AI$3:AI2352,"="&amp;AI2352)</f>
        <v>1</v>
      </c>
      <c r="BT2352" t="str">
        <f>IFERROR(VLOOKUP(BB2352&amp;BU2352&amp;X2352,game_rosters!U:W,3,FALSE),"")</f>
        <v>P100001</v>
      </c>
      <c r="BU2352" t="str">
        <f t="shared" si="2508"/>
        <v>Velodrome</v>
      </c>
    </row>
    <row r="2353" spans="1:73" x14ac:dyDescent="0.2">
      <c r="A2353">
        <f t="shared" si="2494"/>
        <v>1</v>
      </c>
      <c r="J2353" s="44" t="str">
        <f t="shared" si="2509"/>
        <v/>
      </c>
      <c r="K2353" t="s">
        <v>7</v>
      </c>
      <c r="L2353" t="s">
        <v>172</v>
      </c>
      <c r="M2353" t="s">
        <v>67</v>
      </c>
      <c r="S2353">
        <v>1253</v>
      </c>
      <c r="W2353" t="str">
        <f t="shared" si="2485"/>
        <v>a</v>
      </c>
      <c r="X2353">
        <v>87</v>
      </c>
      <c r="Y2353" t="e">
        <f>IF(X2353&lt;&gt;"",VLOOKUP(X2353,game_rosters!$C$43:$E$64,3,FALSE))</f>
        <v>#N/A</v>
      </c>
      <c r="Z2353" cm="1">
        <f t="array" ref="Z2353">IFERROR(IF(_xlfn._xlws.FILTER(game_rosters!$J:$J,(game_rosters!$G:$G=events!$AN2353)*(game_rosters!$J:$J=events!$X2353))&gt;0,1,""),"")</f>
        <v>1</v>
      </c>
      <c r="AA2353">
        <f t="shared" si="2533"/>
        <v>2253</v>
      </c>
      <c r="AB2353" t="str">
        <f t="shared" si="2534"/>
        <v/>
      </c>
      <c r="AC2353">
        <f t="shared" si="2482"/>
        <v>2253</v>
      </c>
      <c r="AD2353" s="6">
        <v>3</v>
      </c>
      <c r="AE2353" t="s">
        <v>943</v>
      </c>
      <c r="AF2353" t="s">
        <v>907</v>
      </c>
      <c r="AG2353" t="s">
        <v>756</v>
      </c>
      <c r="AH2353" t="s">
        <v>756</v>
      </c>
      <c r="AI2353" t="s">
        <v>367</v>
      </c>
      <c r="AJ2353" t="str">
        <f t="shared" ref="AJ2353:AK2353" si="2555">IF($J2353&lt;&gt;"",$J2353,IF($AC2353=$AC2352,AJ2352,""))</f>
        <v/>
      </c>
      <c r="AK2353" t="str">
        <f t="shared" si="2555"/>
        <v/>
      </c>
      <c r="AL2353" t="str">
        <f t="shared" si="2487"/>
        <v/>
      </c>
      <c r="AN2353" t="s">
        <v>862</v>
      </c>
      <c r="AO2353" t="str">
        <f t="shared" si="2488"/>
        <v>a</v>
      </c>
      <c r="AP2353" t="str">
        <f t="shared" si="2496"/>
        <v/>
      </c>
      <c r="AQ2353" t="str">
        <f t="shared" si="2497"/>
        <v/>
      </c>
      <c r="AR2353" t="str">
        <f t="shared" si="2498"/>
        <v>Away</v>
      </c>
      <c r="AS2353" t="str">
        <f t="shared" si="2499"/>
        <v>a</v>
      </c>
      <c r="AT2353" t="str">
        <f t="shared" si="2500"/>
        <v>Offensive</v>
      </c>
      <c r="BA2353" s="6">
        <f t="shared" si="2489"/>
        <v>546</v>
      </c>
      <c r="BB2353">
        <f t="shared" si="2490"/>
        <v>18981</v>
      </c>
      <c r="BC2353" t="str">
        <f t="shared" si="2491"/>
        <v>Nelson</v>
      </c>
      <c r="BD2353" t="str">
        <f t="shared" si="2492"/>
        <v>Velodrome</v>
      </c>
      <c r="BE2353" t="s">
        <v>7</v>
      </c>
      <c r="BF2353" t="s">
        <v>172</v>
      </c>
      <c r="BG2353" t="s">
        <v>67</v>
      </c>
      <c r="BI2353" cm="1">
        <f t="array" ref="BI2353">IFERROR(_xlfn._xlws.FILTER(shifts!A:A,(shifts!B:B=events!AD2353)*(shifts!AG:AG&gt;=events!BK2353)*(shifts!AH:AH&lt;=events!BL2353)),BI2352)</f>
        <v>103</v>
      </c>
      <c r="BJ2353" s="15">
        <f t="shared" si="2493"/>
        <v>0</v>
      </c>
      <c r="BK2353">
        <f t="shared" si="2501"/>
        <v>84</v>
      </c>
      <c r="BL2353">
        <f t="shared" si="2502"/>
        <v>84</v>
      </c>
      <c r="BM2353" s="15">
        <f>SUMIFS(BJ$2:BJ2353,K$2:K2353,"=Intermission")+SUMIFS(BJ$2:BJ2353,K$2:K2353,"=Timeout")</f>
        <v>142</v>
      </c>
      <c r="BN2353">
        <f t="shared" si="2503"/>
        <v>2302</v>
      </c>
      <c r="BO2353" s="19">
        <f t="shared" si="2504"/>
        <v>3298</v>
      </c>
      <c r="BP2353">
        <f t="shared" si="2505"/>
        <v>3293</v>
      </c>
      <c r="BQ2353" s="17">
        <f t="shared" si="2506"/>
        <v>3298</v>
      </c>
      <c r="BR2353" t="str">
        <f t="shared" si="2507"/>
        <v>event_team_player_2</v>
      </c>
      <c r="BS2353">
        <f>COUNTIFS(S$3:S2353,"="&amp;S2353,AI$3:AI2353,"="&amp;AI2353)</f>
        <v>2</v>
      </c>
      <c r="BT2353" t="str">
        <f>IFERROR(VLOOKUP(BB2353&amp;BU2353&amp;X2353,game_rosters!U:W,3,FALSE),"")</f>
        <v>P100159</v>
      </c>
      <c r="BU2353" t="str">
        <f t="shared" si="2508"/>
        <v>Velodrome</v>
      </c>
    </row>
    <row r="2354" spans="1:73" x14ac:dyDescent="0.2">
      <c r="A2354">
        <f t="shared" si="2494"/>
        <v>1</v>
      </c>
      <c r="J2354" s="44" t="str">
        <f t="shared" si="2509"/>
        <v/>
      </c>
      <c r="K2354" t="s">
        <v>7</v>
      </c>
      <c r="L2354" t="s">
        <v>172</v>
      </c>
      <c r="M2354" t="s">
        <v>67</v>
      </c>
      <c r="S2354">
        <v>1253</v>
      </c>
      <c r="W2354" t="str">
        <f t="shared" si="2485"/>
        <v>a</v>
      </c>
      <c r="X2354">
        <v>8</v>
      </c>
      <c r="Y2354" t="b">
        <f>IF(X2354&lt;&gt;"",VLOOKUP(X2354,game_rosters!$C$43:$E$64,3,FALSE))</f>
        <v>0</v>
      </c>
      <c r="Z2354" t="str" cm="1">
        <f t="array" ref="Z2354">IFERROR(IF(_xlfn._xlws.FILTER(game_rosters!$J:$J,(game_rosters!$G:$G=events!$AN2354)*(game_rosters!$J:$J=events!$X2354))&gt;0,1,""),"")</f>
        <v/>
      </c>
      <c r="AA2354">
        <f t="shared" si="2533"/>
        <v>2253</v>
      </c>
      <c r="AB2354" t="str">
        <f t="shared" si="2534"/>
        <v/>
      </c>
      <c r="AC2354">
        <f t="shared" si="2482"/>
        <v>2253</v>
      </c>
      <c r="AD2354" s="6">
        <v>3</v>
      </c>
      <c r="AE2354" t="s">
        <v>943</v>
      </c>
      <c r="AF2354" t="s">
        <v>907</v>
      </c>
      <c r="AG2354" t="s">
        <v>756</v>
      </c>
      <c r="AH2354" t="s">
        <v>756</v>
      </c>
      <c r="AI2354" t="s">
        <v>368</v>
      </c>
      <c r="AJ2354" t="str">
        <f t="shared" ref="AJ2354:AK2354" si="2556">IF($J2354&lt;&gt;"",$J2354,IF($AC2354=$AC2353,AJ2353,""))</f>
        <v/>
      </c>
      <c r="AK2354" t="str">
        <f t="shared" si="2556"/>
        <v/>
      </c>
      <c r="AL2354" t="str">
        <f t="shared" si="2487"/>
        <v/>
      </c>
      <c r="AN2354" t="s">
        <v>862</v>
      </c>
      <c r="AO2354" t="str">
        <f t="shared" si="2488"/>
        <v>a</v>
      </c>
      <c r="AP2354" t="str">
        <f t="shared" si="2496"/>
        <v/>
      </c>
      <c r="AQ2354" t="str">
        <f t="shared" si="2497"/>
        <v/>
      </c>
      <c r="AR2354" t="str">
        <f t="shared" si="2498"/>
        <v>Away</v>
      </c>
      <c r="AS2354" t="str">
        <f t="shared" si="2499"/>
        <v>a</v>
      </c>
      <c r="AT2354" t="str">
        <f t="shared" si="2500"/>
        <v>Defensive</v>
      </c>
      <c r="BA2354" s="6">
        <f t="shared" si="2489"/>
        <v>546</v>
      </c>
      <c r="BB2354">
        <f t="shared" si="2490"/>
        <v>18981</v>
      </c>
      <c r="BC2354" t="str">
        <f t="shared" si="2491"/>
        <v>Nelson</v>
      </c>
      <c r="BD2354" t="str">
        <f t="shared" si="2492"/>
        <v>Velodrome</v>
      </c>
      <c r="BE2354" t="s">
        <v>7</v>
      </c>
      <c r="BF2354" t="s">
        <v>172</v>
      </c>
      <c r="BG2354" t="s">
        <v>67</v>
      </c>
      <c r="BI2354" cm="1">
        <f t="array" ref="BI2354">IFERROR(_xlfn._xlws.FILTER(shifts!A:A,(shifts!B:B=events!AD2354)*(shifts!AG:AG&gt;=events!BK2354)*(shifts!AH:AH&lt;=events!BL2354)),BI2353)</f>
        <v>103</v>
      </c>
      <c r="BJ2354" s="15">
        <f t="shared" si="2493"/>
        <v>0</v>
      </c>
      <c r="BK2354">
        <f t="shared" si="2501"/>
        <v>84</v>
      </c>
      <c r="BL2354">
        <f t="shared" si="2502"/>
        <v>84</v>
      </c>
      <c r="BM2354" s="15">
        <f>SUMIFS(BJ$2:BJ2354,K$2:K2354,"=Intermission")+SUMIFS(BJ$2:BJ2354,K$2:K2354,"=Timeout")</f>
        <v>142</v>
      </c>
      <c r="BN2354">
        <f t="shared" si="2503"/>
        <v>2302</v>
      </c>
      <c r="BO2354" s="19">
        <f t="shared" si="2504"/>
        <v>3298</v>
      </c>
      <c r="BP2354">
        <f t="shared" si="2505"/>
        <v>3293</v>
      </c>
      <c r="BQ2354" s="17">
        <f t="shared" si="2506"/>
        <v>3298</v>
      </c>
      <c r="BR2354" t="str">
        <f t="shared" si="2507"/>
        <v>opp_team_player_1</v>
      </c>
      <c r="BS2354">
        <f>COUNTIFS(S$3:S2354,"="&amp;S2354,AI$3:AI2354,"="&amp;AI2354)</f>
        <v>1</v>
      </c>
      <c r="BT2354" t="str">
        <f>IFERROR(VLOOKUP(BB2354&amp;BU2354&amp;X2354,game_rosters!U:W,3,FALSE),"")</f>
        <v>P100074</v>
      </c>
      <c r="BU2354" t="str">
        <f t="shared" si="2508"/>
        <v>Nelson</v>
      </c>
    </row>
    <row r="2355" spans="1:73" x14ac:dyDescent="0.2">
      <c r="A2355">
        <f t="shared" si="2494"/>
        <v>1</v>
      </c>
      <c r="J2355" s="44" t="str">
        <f t="shared" si="2509"/>
        <v/>
      </c>
      <c r="K2355" t="s">
        <v>13</v>
      </c>
      <c r="L2355" t="s">
        <v>756</v>
      </c>
      <c r="M2355" t="s">
        <v>756</v>
      </c>
      <c r="S2355">
        <v>1254</v>
      </c>
      <c r="W2355" t="str">
        <f t="shared" si="2485"/>
        <v>a</v>
      </c>
      <c r="X2355">
        <v>87</v>
      </c>
      <c r="Y2355" t="e">
        <f>IF(X2355&lt;&gt;"",VLOOKUP(X2355,game_rosters!$C$43:$E$64,3,FALSE))</f>
        <v>#N/A</v>
      </c>
      <c r="Z2355" cm="1">
        <f t="array" ref="Z2355">IFERROR(IF(_xlfn._xlws.FILTER(game_rosters!$J:$J,(game_rosters!$G:$G=events!$AN2355)*(game_rosters!$J:$J=events!$X2355))&gt;0,1,""),"")</f>
        <v>1</v>
      </c>
      <c r="AA2355">
        <f t="shared" si="2533"/>
        <v>2254</v>
      </c>
      <c r="AB2355" t="str">
        <f t="shared" si="2534"/>
        <v/>
      </c>
      <c r="AC2355">
        <f t="shared" si="2482"/>
        <v>2254</v>
      </c>
      <c r="AD2355" s="6">
        <v>3</v>
      </c>
      <c r="AE2355" t="s">
        <v>943</v>
      </c>
      <c r="AF2355" t="s">
        <v>907</v>
      </c>
      <c r="AG2355" t="s">
        <v>943</v>
      </c>
      <c r="AH2355" t="s">
        <v>741</v>
      </c>
      <c r="AI2355" t="s">
        <v>367</v>
      </c>
      <c r="AJ2355" t="str">
        <f t="shared" ref="AJ2355:AK2355" si="2557">IF($J2355&lt;&gt;"",$J2355,IF($AC2355=$AC2354,AJ2354,""))</f>
        <v/>
      </c>
      <c r="AK2355" t="str">
        <f t="shared" si="2557"/>
        <v/>
      </c>
      <c r="AL2355" t="str">
        <f t="shared" si="2487"/>
        <v/>
      </c>
      <c r="AN2355" t="s">
        <v>862</v>
      </c>
      <c r="AO2355" t="str">
        <f t="shared" si="2488"/>
        <v>a</v>
      </c>
      <c r="AP2355" t="str">
        <f t="shared" si="2496"/>
        <v/>
      </c>
      <c r="AQ2355" t="str">
        <f t="shared" si="2497"/>
        <v/>
      </c>
      <c r="AR2355" t="str">
        <f t="shared" si="2498"/>
        <v>Away</v>
      </c>
      <c r="AS2355" t="str">
        <f t="shared" si="2499"/>
        <v>a</v>
      </c>
      <c r="AT2355" t="str">
        <f t="shared" si="2500"/>
        <v>Offensive</v>
      </c>
      <c r="BA2355" s="6">
        <f t="shared" si="2489"/>
        <v>546</v>
      </c>
      <c r="BB2355">
        <f t="shared" si="2490"/>
        <v>18981</v>
      </c>
      <c r="BC2355" t="str">
        <f t="shared" si="2491"/>
        <v>Nelson</v>
      </c>
      <c r="BD2355" t="str">
        <f t="shared" si="2492"/>
        <v>Velodrome</v>
      </c>
      <c r="BE2355" t="s">
        <v>13</v>
      </c>
      <c r="BF2355" t="s">
        <v>756</v>
      </c>
      <c r="BG2355" t="s">
        <v>756</v>
      </c>
      <c r="BI2355" cm="1">
        <f t="array" ref="BI2355">IFERROR(_xlfn._xlws.FILTER(shifts!A:A,(shifts!B:B=events!AD2355)*(shifts!AG:AG&gt;=events!BK2355)*(shifts!AH:AH&lt;=events!BL2355)),BI2354)</f>
        <v>103</v>
      </c>
      <c r="BJ2355" s="15">
        <f t="shared" si="2493"/>
        <v>3</v>
      </c>
      <c r="BK2355">
        <f t="shared" si="2501"/>
        <v>84</v>
      </c>
      <c r="BL2355">
        <f t="shared" si="2502"/>
        <v>81</v>
      </c>
      <c r="BM2355" s="15">
        <f>SUMIFS(BJ$2:BJ2355,K$2:K2355,"=Intermission")+SUMIFS(BJ$2:BJ2355,K$2:K2355,"=Timeout")</f>
        <v>142</v>
      </c>
      <c r="BN2355">
        <f t="shared" si="2503"/>
        <v>2302</v>
      </c>
      <c r="BO2355" s="19">
        <f t="shared" si="2504"/>
        <v>3298</v>
      </c>
      <c r="BP2355">
        <f t="shared" si="2505"/>
        <v>3293</v>
      </c>
      <c r="BQ2355" s="17">
        <f t="shared" si="2506"/>
        <v>3301</v>
      </c>
      <c r="BR2355" t="str">
        <f t="shared" si="2507"/>
        <v>event_team_player_1</v>
      </c>
      <c r="BS2355">
        <f>COUNTIFS(S$3:S2355,"="&amp;S2355,AI$3:AI2355,"="&amp;AI2355)</f>
        <v>1</v>
      </c>
      <c r="BT2355" t="str">
        <f>IFERROR(VLOOKUP(BB2355&amp;BU2355&amp;X2355,game_rosters!U:W,3,FALSE),"")</f>
        <v>P100159</v>
      </c>
      <c r="BU2355" t="str">
        <f t="shared" si="2508"/>
        <v>Velodrome</v>
      </c>
    </row>
    <row r="2356" spans="1:73" x14ac:dyDescent="0.2">
      <c r="A2356">
        <f t="shared" si="2494"/>
        <v>1</v>
      </c>
      <c r="J2356" s="44" t="str">
        <f t="shared" si="2509"/>
        <v>o</v>
      </c>
      <c r="K2356" t="s">
        <v>6</v>
      </c>
      <c r="L2356" t="s">
        <v>205</v>
      </c>
      <c r="M2356" t="s">
        <v>51</v>
      </c>
      <c r="S2356">
        <v>1255</v>
      </c>
      <c r="W2356" t="str">
        <f t="shared" si="2485"/>
        <v>a</v>
      </c>
      <c r="X2356">
        <v>87</v>
      </c>
      <c r="Y2356" t="e">
        <f>IF(X2356&lt;&gt;"",VLOOKUP(X2356,game_rosters!$C$43:$E$64,3,FALSE))</f>
        <v>#N/A</v>
      </c>
      <c r="Z2356" cm="1">
        <f t="array" ref="Z2356">IFERROR(IF(_xlfn._xlws.FILTER(game_rosters!$J:$J,(game_rosters!$G:$G=events!$AN2356)*(game_rosters!$J:$J=events!$X2356))&gt;0,1,""),"")</f>
        <v>1</v>
      </c>
      <c r="AA2356">
        <f t="shared" si="2533"/>
        <v>2255</v>
      </c>
      <c r="AB2356" t="str">
        <f t="shared" si="2534"/>
        <v/>
      </c>
      <c r="AC2356">
        <f t="shared" si="2482"/>
        <v>2255</v>
      </c>
      <c r="AD2356" s="6">
        <v>3</v>
      </c>
      <c r="AE2356" t="s">
        <v>943</v>
      </c>
      <c r="AF2356" t="s">
        <v>741</v>
      </c>
      <c r="AG2356" t="s">
        <v>756</v>
      </c>
      <c r="AH2356" t="s">
        <v>756</v>
      </c>
      <c r="AI2356" t="s">
        <v>367</v>
      </c>
      <c r="AJ2356" t="str">
        <f t="shared" ref="AJ2356:AK2356" si="2558">IF($J2356&lt;&gt;"",$J2356,IF($AC2356=$AC2355,AJ2355,""))</f>
        <v>o</v>
      </c>
      <c r="AK2356" t="str">
        <f t="shared" si="2558"/>
        <v>o</v>
      </c>
      <c r="AL2356" t="str">
        <f t="shared" si="2487"/>
        <v>d</v>
      </c>
      <c r="AN2356" t="s">
        <v>862</v>
      </c>
      <c r="AO2356" t="str">
        <f t="shared" si="2488"/>
        <v>a</v>
      </c>
      <c r="AP2356" t="str">
        <f t="shared" si="2496"/>
        <v>d</v>
      </c>
      <c r="AQ2356" t="str">
        <f t="shared" si="2497"/>
        <v/>
      </c>
      <c r="AR2356" t="str">
        <f t="shared" si="2498"/>
        <v>Away</v>
      </c>
      <c r="AS2356" t="str">
        <f t="shared" si="2499"/>
        <v>a</v>
      </c>
      <c r="AT2356" t="str">
        <f t="shared" si="2500"/>
        <v>Offensive</v>
      </c>
      <c r="BA2356" s="6">
        <f t="shared" si="2489"/>
        <v>546</v>
      </c>
      <c r="BB2356">
        <f t="shared" si="2490"/>
        <v>18981</v>
      </c>
      <c r="BC2356" t="str">
        <f t="shared" si="2491"/>
        <v>Nelson</v>
      </c>
      <c r="BD2356" t="str">
        <f t="shared" si="2492"/>
        <v>Velodrome</v>
      </c>
      <c r="BE2356" t="s">
        <v>6</v>
      </c>
      <c r="BF2356" t="s">
        <v>205</v>
      </c>
      <c r="BG2356" t="s">
        <v>51</v>
      </c>
      <c r="BI2356" cm="1">
        <f t="array" ref="BI2356">IFERROR(_xlfn._xlws.FILTER(shifts!A:A,(shifts!B:B=events!AD2356)*(shifts!AG:AG&gt;=events!BK2356)*(shifts!AH:AH&lt;=events!BL2356)),BI2355)</f>
        <v>103</v>
      </c>
      <c r="BJ2356" s="15">
        <f t="shared" si="2493"/>
        <v>0</v>
      </c>
      <c r="BK2356">
        <f t="shared" si="2501"/>
        <v>81</v>
      </c>
      <c r="BL2356">
        <f t="shared" si="2502"/>
        <v>81</v>
      </c>
      <c r="BM2356" s="15">
        <f>SUMIFS(BJ$2:BJ2356,K$2:K2356,"=Intermission")+SUMIFS(BJ$2:BJ2356,K$2:K2356,"=Timeout")</f>
        <v>142</v>
      </c>
      <c r="BN2356">
        <f t="shared" si="2503"/>
        <v>2302</v>
      </c>
      <c r="BO2356" s="19">
        <f t="shared" si="2504"/>
        <v>3301</v>
      </c>
      <c r="BP2356">
        <f t="shared" si="2505"/>
        <v>3296</v>
      </c>
      <c r="BQ2356" s="17">
        <f t="shared" si="2506"/>
        <v>3301</v>
      </c>
      <c r="BR2356" t="str">
        <f t="shared" si="2507"/>
        <v>event_team_player_1</v>
      </c>
      <c r="BS2356">
        <f>COUNTIFS(S$3:S2356,"="&amp;S2356,AI$3:AI2356,"="&amp;AI2356)</f>
        <v>1</v>
      </c>
      <c r="BT2356" t="str">
        <f>IFERROR(VLOOKUP(BB2356&amp;BU2356&amp;X2356,game_rosters!U:W,3,FALSE),"")</f>
        <v>P100159</v>
      </c>
      <c r="BU2356" t="str">
        <f t="shared" si="2508"/>
        <v>Velodrome</v>
      </c>
    </row>
    <row r="2357" spans="1:73" x14ac:dyDescent="0.2">
      <c r="A2357">
        <f t="shared" si="2494"/>
        <v>1</v>
      </c>
      <c r="J2357" s="44" t="str">
        <f t="shared" si="2509"/>
        <v>o</v>
      </c>
      <c r="K2357" t="s">
        <v>6</v>
      </c>
      <c r="L2357" t="s">
        <v>205</v>
      </c>
      <c r="M2357" t="s">
        <v>51</v>
      </c>
      <c r="S2357">
        <v>1255</v>
      </c>
      <c r="W2357" t="str">
        <f t="shared" si="2485"/>
        <v>a</v>
      </c>
      <c r="X2357">
        <v>31</v>
      </c>
      <c r="Y2357" t="b">
        <f>IF(X2357&lt;&gt;"",VLOOKUP(X2357,game_rosters!$C$43:$E$64,3,FALSE))</f>
        <v>0</v>
      </c>
      <c r="Z2357" t="str" cm="1">
        <f t="array" ref="Z2357">IFERROR(IF(_xlfn._xlws.FILTER(game_rosters!$J:$J,(game_rosters!$G:$G=events!$AN2357)*(game_rosters!$J:$J=events!$X2357))&gt;0,1,""),"")</f>
        <v/>
      </c>
      <c r="AA2357">
        <f t="shared" si="2533"/>
        <v>2255</v>
      </c>
      <c r="AB2357" t="str">
        <f t="shared" si="2534"/>
        <v/>
      </c>
      <c r="AC2357">
        <f t="shared" si="2482"/>
        <v>2255</v>
      </c>
      <c r="AD2357" s="6">
        <v>3</v>
      </c>
      <c r="AE2357" t="s">
        <v>943</v>
      </c>
      <c r="AF2357" t="s">
        <v>741</v>
      </c>
      <c r="AG2357" t="s">
        <v>756</v>
      </c>
      <c r="AH2357" t="s">
        <v>756</v>
      </c>
      <c r="AI2357" t="s">
        <v>368</v>
      </c>
      <c r="AJ2357" t="str">
        <f t="shared" ref="AJ2357:AK2357" si="2559">IF($J2357&lt;&gt;"",$J2357,IF($AC2357=$AC2356,AJ2356,""))</f>
        <v>o</v>
      </c>
      <c r="AK2357" t="str">
        <f t="shared" si="2559"/>
        <v>o</v>
      </c>
      <c r="AL2357" t="str">
        <f t="shared" si="2487"/>
        <v>d</v>
      </c>
      <c r="AN2357" t="s">
        <v>862</v>
      </c>
      <c r="AO2357" t="str">
        <f t="shared" si="2488"/>
        <v>a</v>
      </c>
      <c r="AP2357" t="str">
        <f t="shared" si="2496"/>
        <v>d</v>
      </c>
      <c r="AQ2357" t="str">
        <f t="shared" si="2497"/>
        <v/>
      </c>
      <c r="AR2357" t="str">
        <f t="shared" si="2498"/>
        <v>Away</v>
      </c>
      <c r="AS2357" t="str">
        <f t="shared" si="2499"/>
        <v>a</v>
      </c>
      <c r="AT2357" t="str">
        <f t="shared" si="2500"/>
        <v>Defensive</v>
      </c>
      <c r="BA2357" s="6">
        <f t="shared" si="2489"/>
        <v>546</v>
      </c>
      <c r="BB2357">
        <f t="shared" si="2490"/>
        <v>18981</v>
      </c>
      <c r="BC2357" t="str">
        <f t="shared" si="2491"/>
        <v>Nelson</v>
      </c>
      <c r="BD2357" t="str">
        <f t="shared" si="2492"/>
        <v>Velodrome</v>
      </c>
      <c r="BE2357" t="s">
        <v>6</v>
      </c>
      <c r="BF2357" t="s">
        <v>205</v>
      </c>
      <c r="BG2357" t="s">
        <v>51</v>
      </c>
      <c r="BI2357" cm="1">
        <f t="array" ref="BI2357">IFERROR(_xlfn._xlws.FILTER(shifts!A:A,(shifts!B:B=events!AD2357)*(shifts!AG:AG&gt;=events!BK2357)*(shifts!AH:AH&lt;=events!BL2357)),BI2356)</f>
        <v>103</v>
      </c>
      <c r="BJ2357" s="15">
        <f t="shared" si="2493"/>
        <v>0</v>
      </c>
      <c r="BK2357">
        <f t="shared" si="2501"/>
        <v>81</v>
      </c>
      <c r="BL2357">
        <f t="shared" si="2502"/>
        <v>81</v>
      </c>
      <c r="BM2357" s="15">
        <f>SUMIFS(BJ$2:BJ2357,K$2:K2357,"=Intermission")+SUMIFS(BJ$2:BJ2357,K$2:K2357,"=Timeout")</f>
        <v>142</v>
      </c>
      <c r="BN2357">
        <f t="shared" si="2503"/>
        <v>2302</v>
      </c>
      <c r="BO2357" s="19">
        <f t="shared" si="2504"/>
        <v>3301</v>
      </c>
      <c r="BP2357">
        <f t="shared" si="2505"/>
        <v>3296</v>
      </c>
      <c r="BQ2357" s="17">
        <f t="shared" si="2506"/>
        <v>3301</v>
      </c>
      <c r="BR2357" t="str">
        <f t="shared" si="2507"/>
        <v>opp_team_player_1</v>
      </c>
      <c r="BS2357">
        <f>COUNTIFS(S$3:S2357,"="&amp;S2357,AI$3:AI2357,"="&amp;AI2357)</f>
        <v>1</v>
      </c>
      <c r="BT2357" t="str">
        <f>IFERROR(VLOOKUP(BB2357&amp;BU2357&amp;X2357,game_rosters!U:W,3,FALSE),"")</f>
        <v>P100138</v>
      </c>
      <c r="BU2357" t="str">
        <f t="shared" si="2508"/>
        <v>Nelson</v>
      </c>
    </row>
    <row r="2358" spans="1:73" x14ac:dyDescent="0.2">
      <c r="A2358">
        <f t="shared" si="2494"/>
        <v>1</v>
      </c>
      <c r="J2358" s="44" t="str">
        <f t="shared" si="2509"/>
        <v>d</v>
      </c>
      <c r="K2358" t="s">
        <v>15</v>
      </c>
      <c r="L2358" t="s">
        <v>179</v>
      </c>
      <c r="M2358" t="s">
        <v>101</v>
      </c>
      <c r="S2358">
        <v>1256</v>
      </c>
      <c r="W2358" t="str">
        <f t="shared" si="2485"/>
        <v>h</v>
      </c>
      <c r="X2358">
        <v>31</v>
      </c>
      <c r="Y2358" t="b">
        <f>IF(X2358&lt;&gt;"",VLOOKUP(X2358,game_rosters!$C$43:$E$64,3,FALSE))</f>
        <v>0</v>
      </c>
      <c r="Z2358" cm="1">
        <f t="array" ref="Z2358">IFERROR(IF(_xlfn._xlws.FILTER(game_rosters!$J:$J,(game_rosters!$G:$G=events!$AN2358)*(game_rosters!$J:$J=events!$X2358))&gt;0,1,""),"")</f>
        <v>1</v>
      </c>
      <c r="AA2358">
        <f t="shared" si="2533"/>
        <v>2256</v>
      </c>
      <c r="AB2358" t="str">
        <f t="shared" si="2534"/>
        <v/>
      </c>
      <c r="AC2358">
        <f t="shared" si="2482"/>
        <v>2256</v>
      </c>
      <c r="AD2358" s="6">
        <v>3</v>
      </c>
      <c r="AE2358" t="s">
        <v>943</v>
      </c>
      <c r="AF2358" t="s">
        <v>741</v>
      </c>
      <c r="AG2358" t="s">
        <v>756</v>
      </c>
      <c r="AH2358" t="s">
        <v>756</v>
      </c>
      <c r="AI2358" t="s">
        <v>367</v>
      </c>
      <c r="AJ2358" t="str">
        <f t="shared" ref="AJ2358:AK2358" si="2560">IF($J2358&lt;&gt;"",$J2358,IF($AC2358=$AC2357,AJ2357,""))</f>
        <v>d</v>
      </c>
      <c r="AK2358" t="str">
        <f t="shared" si="2560"/>
        <v>d</v>
      </c>
      <c r="AL2358" t="str">
        <f t="shared" si="2487"/>
        <v>d</v>
      </c>
      <c r="AN2358" t="s">
        <v>861</v>
      </c>
      <c r="AO2358" t="str">
        <f t="shared" si="2488"/>
        <v>h</v>
      </c>
      <c r="AP2358" t="str">
        <f t="shared" si="2496"/>
        <v>d</v>
      </c>
      <c r="AQ2358" t="str">
        <f t="shared" si="2497"/>
        <v/>
      </c>
      <c r="AR2358" t="str">
        <f t="shared" si="2498"/>
        <v>Home</v>
      </c>
      <c r="AS2358" t="str">
        <f t="shared" si="2499"/>
        <v>h</v>
      </c>
      <c r="AT2358" t="str">
        <f t="shared" si="2500"/>
        <v>Defensive</v>
      </c>
      <c r="BA2358" s="6">
        <f t="shared" si="2489"/>
        <v>546</v>
      </c>
      <c r="BB2358">
        <f t="shared" si="2490"/>
        <v>18981</v>
      </c>
      <c r="BC2358" t="str">
        <f t="shared" si="2491"/>
        <v>Nelson</v>
      </c>
      <c r="BD2358" t="str">
        <f t="shared" si="2492"/>
        <v>Velodrome</v>
      </c>
      <c r="BE2358" t="s">
        <v>15</v>
      </c>
      <c r="BF2358" t="s">
        <v>179</v>
      </c>
      <c r="BG2358" t="s">
        <v>101</v>
      </c>
      <c r="BI2358" cm="1">
        <f t="array" ref="BI2358">IFERROR(_xlfn._xlws.FILTER(shifts!A:A,(shifts!B:B=events!AD2358)*(shifts!AG:AG&gt;=events!BK2358)*(shifts!AH:AH&lt;=events!BL2358)),BI2357)</f>
        <v>103</v>
      </c>
      <c r="BJ2358" s="15">
        <f t="shared" si="2493"/>
        <v>0</v>
      </c>
      <c r="BK2358">
        <f t="shared" si="2501"/>
        <v>81</v>
      </c>
      <c r="BL2358">
        <f t="shared" si="2502"/>
        <v>81</v>
      </c>
      <c r="BM2358" s="15">
        <f>SUMIFS(BJ$2:BJ2358,K$2:K2358,"=Intermission")+SUMIFS(BJ$2:BJ2358,K$2:K2358,"=Timeout")</f>
        <v>142</v>
      </c>
      <c r="BN2358">
        <f t="shared" si="2503"/>
        <v>2302</v>
      </c>
      <c r="BO2358" s="19">
        <f t="shared" si="2504"/>
        <v>3301</v>
      </c>
      <c r="BP2358">
        <f t="shared" si="2505"/>
        <v>3296</v>
      </c>
      <c r="BQ2358" s="17">
        <f t="shared" si="2506"/>
        <v>3301</v>
      </c>
      <c r="BR2358" t="str">
        <f t="shared" si="2507"/>
        <v>event_team_player_1</v>
      </c>
      <c r="BS2358">
        <f>COUNTIFS(S$3:S2358,"="&amp;S2358,AI$3:AI2358,"="&amp;AI2358)</f>
        <v>1</v>
      </c>
      <c r="BT2358" t="str">
        <f>IFERROR(VLOOKUP(BB2358&amp;BU2358&amp;X2358,game_rosters!U:W,3,FALSE),"")</f>
        <v>P100138</v>
      </c>
      <c r="BU2358" t="str">
        <f t="shared" si="2508"/>
        <v>Nelson</v>
      </c>
    </row>
    <row r="2359" spans="1:73" x14ac:dyDescent="0.2">
      <c r="A2359">
        <f t="shared" si="2494"/>
        <v>1</v>
      </c>
      <c r="J2359" s="44" t="str">
        <f t="shared" si="2509"/>
        <v>d</v>
      </c>
      <c r="K2359" t="s">
        <v>15</v>
      </c>
      <c r="L2359" t="s">
        <v>179</v>
      </c>
      <c r="M2359" t="s">
        <v>101</v>
      </c>
      <c r="S2359">
        <v>1256</v>
      </c>
      <c r="W2359" t="str">
        <f t="shared" si="2485"/>
        <v>h</v>
      </c>
      <c r="X2359">
        <v>87</v>
      </c>
      <c r="Y2359" t="e">
        <f>IF(X2359&lt;&gt;"",VLOOKUP(X2359,game_rosters!$C$43:$E$64,3,FALSE))</f>
        <v>#N/A</v>
      </c>
      <c r="Z2359" t="str" cm="1">
        <f t="array" ref="Z2359">IFERROR(IF(_xlfn._xlws.FILTER(game_rosters!$J:$J,(game_rosters!$G:$G=events!$AN2359)*(game_rosters!$J:$J=events!$X2359))&gt;0,1,""),"")</f>
        <v/>
      </c>
      <c r="AA2359">
        <f t="shared" si="2533"/>
        <v>2256</v>
      </c>
      <c r="AB2359" t="str">
        <f t="shared" si="2534"/>
        <v/>
      </c>
      <c r="AC2359">
        <f t="shared" si="2482"/>
        <v>2256</v>
      </c>
      <c r="AD2359" s="6">
        <v>3</v>
      </c>
      <c r="AE2359" t="s">
        <v>943</v>
      </c>
      <c r="AF2359" t="s">
        <v>741</v>
      </c>
      <c r="AG2359" t="s">
        <v>756</v>
      </c>
      <c r="AH2359" t="s">
        <v>756</v>
      </c>
      <c r="AI2359" t="s">
        <v>368</v>
      </c>
      <c r="AJ2359" t="str">
        <f t="shared" ref="AJ2359:AK2359" si="2561">IF($J2359&lt;&gt;"",$J2359,IF($AC2359=$AC2358,AJ2358,""))</f>
        <v>d</v>
      </c>
      <c r="AK2359" t="str">
        <f t="shared" si="2561"/>
        <v>d</v>
      </c>
      <c r="AL2359" t="str">
        <f t="shared" si="2487"/>
        <v>d</v>
      </c>
      <c r="AN2359" t="s">
        <v>861</v>
      </c>
      <c r="AO2359" t="str">
        <f t="shared" si="2488"/>
        <v>h</v>
      </c>
      <c r="AP2359" t="str">
        <f t="shared" si="2496"/>
        <v>d</v>
      </c>
      <c r="AQ2359" t="str">
        <f t="shared" si="2497"/>
        <v/>
      </c>
      <c r="AR2359" t="str">
        <f t="shared" si="2498"/>
        <v>Home</v>
      </c>
      <c r="AS2359" t="str">
        <f t="shared" si="2499"/>
        <v>h</v>
      </c>
      <c r="AT2359" t="str">
        <f t="shared" si="2500"/>
        <v>Offensive</v>
      </c>
      <c r="BA2359" s="6">
        <f t="shared" si="2489"/>
        <v>546</v>
      </c>
      <c r="BB2359">
        <f t="shared" si="2490"/>
        <v>18981</v>
      </c>
      <c r="BC2359" t="str">
        <f t="shared" si="2491"/>
        <v>Nelson</v>
      </c>
      <c r="BD2359" t="str">
        <f t="shared" si="2492"/>
        <v>Velodrome</v>
      </c>
      <c r="BE2359" t="s">
        <v>15</v>
      </c>
      <c r="BF2359" t="s">
        <v>179</v>
      </c>
      <c r="BG2359" t="s">
        <v>101</v>
      </c>
      <c r="BI2359" cm="1">
        <f t="array" ref="BI2359">IFERROR(_xlfn._xlws.FILTER(shifts!A:A,(shifts!B:B=events!AD2359)*(shifts!AG:AG&gt;=events!BK2359)*(shifts!AH:AH&lt;=events!BL2359)),BI2358)</f>
        <v>103</v>
      </c>
      <c r="BJ2359" s="15">
        <f t="shared" si="2493"/>
        <v>0</v>
      </c>
      <c r="BK2359">
        <f t="shared" si="2501"/>
        <v>81</v>
      </c>
      <c r="BL2359">
        <f t="shared" si="2502"/>
        <v>81</v>
      </c>
      <c r="BM2359" s="15">
        <f>SUMIFS(BJ$2:BJ2359,K$2:K2359,"=Intermission")+SUMIFS(BJ$2:BJ2359,K$2:K2359,"=Timeout")</f>
        <v>142</v>
      </c>
      <c r="BN2359">
        <f t="shared" si="2503"/>
        <v>2302</v>
      </c>
      <c r="BO2359" s="19">
        <f t="shared" si="2504"/>
        <v>3301</v>
      </c>
      <c r="BP2359">
        <f t="shared" si="2505"/>
        <v>3296</v>
      </c>
      <c r="BQ2359" s="17">
        <f t="shared" si="2506"/>
        <v>3301</v>
      </c>
      <c r="BR2359" t="str">
        <f t="shared" si="2507"/>
        <v>opp_team_player_1</v>
      </c>
      <c r="BS2359">
        <f>COUNTIFS(S$3:S2359,"="&amp;S2359,AI$3:AI2359,"="&amp;AI2359)</f>
        <v>1</v>
      </c>
      <c r="BT2359" t="str">
        <f>IFERROR(VLOOKUP(BB2359&amp;BU2359&amp;X2359,game_rosters!U:W,3,FALSE),"")</f>
        <v>P100159</v>
      </c>
      <c r="BU2359" t="str">
        <f t="shared" si="2508"/>
        <v>Velodrome</v>
      </c>
    </row>
    <row r="2360" spans="1:73" x14ac:dyDescent="0.2">
      <c r="A2360">
        <f t="shared" si="2494"/>
        <v>1</v>
      </c>
      <c r="J2360" s="44" t="str">
        <f t="shared" si="2509"/>
        <v>d</v>
      </c>
      <c r="K2360" t="s">
        <v>231</v>
      </c>
      <c r="L2360" t="s">
        <v>234</v>
      </c>
      <c r="M2360" t="s">
        <v>756</v>
      </c>
      <c r="S2360">
        <v>1257</v>
      </c>
      <c r="W2360" t="str">
        <f t="shared" si="2485"/>
        <v>h</v>
      </c>
      <c r="X2360">
        <v>31</v>
      </c>
      <c r="Y2360" t="b">
        <f>IF(X2360&lt;&gt;"",VLOOKUP(X2360,game_rosters!$C$43:$E$64,3,FALSE))</f>
        <v>0</v>
      </c>
      <c r="Z2360" cm="1">
        <f t="array" ref="Z2360">IFERROR(IF(_xlfn._xlws.FILTER(game_rosters!$J:$J,(game_rosters!$G:$G=events!$AN2360)*(game_rosters!$J:$J=events!$X2360))&gt;0,1,""),"")</f>
        <v>1</v>
      </c>
      <c r="AA2360">
        <f t="shared" si="2533"/>
        <v>2257</v>
      </c>
      <c r="AB2360" t="str">
        <f t="shared" si="2534"/>
        <v/>
      </c>
      <c r="AC2360">
        <f t="shared" si="2482"/>
        <v>2257</v>
      </c>
      <c r="AD2360" s="6">
        <v>3</v>
      </c>
      <c r="AE2360" t="s">
        <v>943</v>
      </c>
      <c r="AF2360" t="s">
        <v>741</v>
      </c>
      <c r="AG2360" t="s">
        <v>756</v>
      </c>
      <c r="AH2360" t="s">
        <v>756</v>
      </c>
      <c r="AI2360" t="s">
        <v>367</v>
      </c>
      <c r="AJ2360" t="str">
        <f t="shared" ref="AJ2360:AK2360" si="2562">IF($J2360&lt;&gt;"",$J2360,IF($AC2360=$AC2359,AJ2359,""))</f>
        <v>d</v>
      </c>
      <c r="AK2360" t="str">
        <f t="shared" si="2562"/>
        <v>d</v>
      </c>
      <c r="AL2360" t="str">
        <f t="shared" si="2487"/>
        <v>d</v>
      </c>
      <c r="AN2360" t="s">
        <v>861</v>
      </c>
      <c r="AO2360" t="str">
        <f t="shared" si="2488"/>
        <v>h</v>
      </c>
      <c r="AP2360" t="str">
        <f t="shared" si="2496"/>
        <v>d</v>
      </c>
      <c r="AQ2360" t="str">
        <f t="shared" si="2497"/>
        <v/>
      </c>
      <c r="AR2360" t="str">
        <f t="shared" si="2498"/>
        <v>Home</v>
      </c>
      <c r="AS2360" t="str">
        <f t="shared" si="2499"/>
        <v>h</v>
      </c>
      <c r="AT2360" t="str">
        <f t="shared" si="2500"/>
        <v>Offensive</v>
      </c>
      <c r="BA2360" s="6">
        <f t="shared" si="2489"/>
        <v>546</v>
      </c>
      <c r="BB2360">
        <f t="shared" si="2490"/>
        <v>18981</v>
      </c>
      <c r="BC2360" t="str">
        <f t="shared" si="2491"/>
        <v>Nelson</v>
      </c>
      <c r="BD2360" t="str">
        <f t="shared" si="2492"/>
        <v>Velodrome</v>
      </c>
      <c r="BE2360" t="s">
        <v>231</v>
      </c>
      <c r="BF2360" t="s">
        <v>234</v>
      </c>
      <c r="BG2360" t="s">
        <v>756</v>
      </c>
      <c r="BI2360" cm="1">
        <f t="array" ref="BI2360">IFERROR(_xlfn._xlws.FILTER(shifts!A:A,(shifts!B:B=events!AD2360)*(shifts!AG:AG&gt;=events!BK2360)*(shifts!AH:AH&lt;=events!BL2360)),BI2359)</f>
        <v>103</v>
      </c>
      <c r="BJ2360" s="15">
        <f t="shared" si="2493"/>
        <v>0</v>
      </c>
      <c r="BK2360">
        <f t="shared" si="2501"/>
        <v>81</v>
      </c>
      <c r="BL2360">
        <f t="shared" si="2502"/>
        <v>81</v>
      </c>
      <c r="BM2360" s="15">
        <f>SUMIFS(BJ$2:BJ2360,K$2:K2360,"=Intermission")+SUMIFS(BJ$2:BJ2360,K$2:K2360,"=Timeout")</f>
        <v>142</v>
      </c>
      <c r="BN2360">
        <f t="shared" si="2503"/>
        <v>2302</v>
      </c>
      <c r="BO2360" s="19">
        <f t="shared" si="2504"/>
        <v>3301</v>
      </c>
      <c r="BP2360">
        <f t="shared" si="2505"/>
        <v>3296</v>
      </c>
      <c r="BQ2360" s="17">
        <f t="shared" si="2506"/>
        <v>3301</v>
      </c>
      <c r="BR2360" t="str">
        <f t="shared" si="2507"/>
        <v>event_team_player_1</v>
      </c>
      <c r="BS2360">
        <f>COUNTIFS(S$3:S2360,"="&amp;S2360,AI$3:AI2360,"="&amp;AI2360)</f>
        <v>1</v>
      </c>
      <c r="BT2360" t="str">
        <f>IFERROR(VLOOKUP(BB2360&amp;BU2360&amp;X2360,game_rosters!U:W,3,FALSE),"")</f>
        <v>P100138</v>
      </c>
      <c r="BU2360" t="str">
        <f t="shared" si="2508"/>
        <v>Nelson</v>
      </c>
    </row>
    <row r="2361" spans="1:73" x14ac:dyDescent="0.2">
      <c r="A2361">
        <f t="shared" si="2494"/>
        <v>1</v>
      </c>
      <c r="J2361" s="44" t="str">
        <f t="shared" si="2509"/>
        <v/>
      </c>
      <c r="K2361" t="s">
        <v>13</v>
      </c>
      <c r="L2361" t="s">
        <v>756</v>
      </c>
      <c r="M2361" t="s">
        <v>756</v>
      </c>
      <c r="S2361">
        <v>1258</v>
      </c>
      <c r="W2361" t="str">
        <f t="shared" si="2485"/>
        <v>a</v>
      </c>
      <c r="X2361">
        <v>87</v>
      </c>
      <c r="Y2361" t="e">
        <f>IF(X2361&lt;&gt;"",VLOOKUP(X2361,game_rosters!$C$43:$E$64,3,FALSE))</f>
        <v>#N/A</v>
      </c>
      <c r="Z2361" cm="1">
        <f t="array" ref="Z2361">IFERROR(IF(_xlfn._xlws.FILTER(game_rosters!$J:$J,(game_rosters!$G:$G=events!$AN2361)*(game_rosters!$J:$J=events!$X2361))&gt;0,1,""),"")</f>
        <v>1</v>
      </c>
      <c r="AA2361">
        <f t="shared" si="2533"/>
        <v>2258</v>
      </c>
      <c r="AB2361" t="str">
        <f t="shared" si="2534"/>
        <v/>
      </c>
      <c r="AC2361">
        <f t="shared" si="2482"/>
        <v>2258</v>
      </c>
      <c r="AD2361" s="6">
        <v>3</v>
      </c>
      <c r="AE2361" t="s">
        <v>943</v>
      </c>
      <c r="AF2361" t="s">
        <v>741</v>
      </c>
      <c r="AG2361" t="s">
        <v>943</v>
      </c>
      <c r="AH2361" t="s">
        <v>908</v>
      </c>
      <c r="AI2361" t="s">
        <v>367</v>
      </c>
      <c r="AJ2361" t="str">
        <f t="shared" ref="AJ2361:AK2361" si="2563">IF($J2361&lt;&gt;"",$J2361,IF($AC2361=$AC2360,AJ2360,""))</f>
        <v/>
      </c>
      <c r="AK2361" t="str">
        <f t="shared" si="2563"/>
        <v/>
      </c>
      <c r="AL2361" t="str">
        <f t="shared" si="2487"/>
        <v/>
      </c>
      <c r="AN2361" t="s">
        <v>862</v>
      </c>
      <c r="AO2361" t="str">
        <f t="shared" si="2488"/>
        <v>a</v>
      </c>
      <c r="AP2361" t="str">
        <f t="shared" si="2496"/>
        <v/>
      </c>
      <c r="AQ2361" t="str">
        <f t="shared" si="2497"/>
        <v/>
      </c>
      <c r="AR2361" t="str">
        <f t="shared" si="2498"/>
        <v>Away</v>
      </c>
      <c r="AS2361" t="str">
        <f t="shared" si="2499"/>
        <v>a</v>
      </c>
      <c r="AT2361" t="str">
        <f t="shared" si="2500"/>
        <v>Offensive</v>
      </c>
      <c r="BA2361" s="6">
        <f t="shared" si="2489"/>
        <v>546</v>
      </c>
      <c r="BB2361">
        <f t="shared" si="2490"/>
        <v>18981</v>
      </c>
      <c r="BC2361" t="str">
        <f t="shared" si="2491"/>
        <v>Nelson</v>
      </c>
      <c r="BD2361" t="str">
        <f t="shared" si="2492"/>
        <v>Velodrome</v>
      </c>
      <c r="BE2361" t="s">
        <v>13</v>
      </c>
      <c r="BF2361" t="s">
        <v>756</v>
      </c>
      <c r="BG2361" t="s">
        <v>756</v>
      </c>
      <c r="BI2361" cm="1">
        <f t="array" ref="BI2361">IFERROR(_xlfn._xlws.FILTER(shifts!A:A,(shifts!B:B=events!AD2361)*(shifts!AG:AG&gt;=events!BK2361)*(shifts!AH:AH&lt;=events!BL2361)),BI2360)</f>
        <v>103</v>
      </c>
      <c r="BJ2361" s="15">
        <f t="shared" si="2493"/>
        <v>2</v>
      </c>
      <c r="BK2361">
        <f t="shared" si="2501"/>
        <v>81</v>
      </c>
      <c r="BL2361">
        <f t="shared" si="2502"/>
        <v>79</v>
      </c>
      <c r="BM2361" s="15">
        <f>SUMIFS(BJ$2:BJ2361,K$2:K2361,"=Intermission")+SUMIFS(BJ$2:BJ2361,K$2:K2361,"=Timeout")</f>
        <v>142</v>
      </c>
      <c r="BN2361">
        <f t="shared" si="2503"/>
        <v>2302</v>
      </c>
      <c r="BO2361" s="19">
        <f t="shared" si="2504"/>
        <v>3301</v>
      </c>
      <c r="BP2361">
        <f t="shared" si="2505"/>
        <v>3296</v>
      </c>
      <c r="BQ2361" s="17">
        <f t="shared" si="2506"/>
        <v>3303</v>
      </c>
      <c r="BR2361" t="str">
        <f t="shared" si="2507"/>
        <v>event_team_player_1</v>
      </c>
      <c r="BS2361">
        <f>COUNTIFS(S$3:S2361,"="&amp;S2361,AI$3:AI2361,"="&amp;AI2361)</f>
        <v>1</v>
      </c>
      <c r="BT2361" t="str">
        <f>IFERROR(VLOOKUP(BB2361&amp;BU2361&amp;X2361,game_rosters!U:W,3,FALSE),"")</f>
        <v>P100159</v>
      </c>
      <c r="BU2361" t="str">
        <f t="shared" si="2508"/>
        <v>Velodrome</v>
      </c>
    </row>
    <row r="2362" spans="1:73" x14ac:dyDescent="0.2">
      <c r="A2362">
        <f t="shared" si="2494"/>
        <v>1</v>
      </c>
      <c r="J2362" s="44" t="str">
        <f t="shared" si="2509"/>
        <v>o</v>
      </c>
      <c r="K2362" t="s">
        <v>6</v>
      </c>
      <c r="L2362" t="s">
        <v>181</v>
      </c>
      <c r="M2362" t="s">
        <v>51</v>
      </c>
      <c r="S2362">
        <v>1259</v>
      </c>
      <c r="W2362" t="str">
        <f t="shared" si="2485"/>
        <v>a</v>
      </c>
      <c r="X2362">
        <v>87</v>
      </c>
      <c r="Y2362" t="e">
        <f>IF(X2362&lt;&gt;"",VLOOKUP(X2362,game_rosters!$C$43:$E$64,3,FALSE))</f>
        <v>#N/A</v>
      </c>
      <c r="Z2362" cm="1">
        <f t="array" ref="Z2362">IFERROR(IF(_xlfn._xlws.FILTER(game_rosters!$J:$J,(game_rosters!$G:$G=events!$AN2362)*(game_rosters!$J:$J=events!$X2362))&gt;0,1,""),"")</f>
        <v>1</v>
      </c>
      <c r="AA2362">
        <f t="shared" si="2533"/>
        <v>2259</v>
      </c>
      <c r="AB2362" t="str">
        <f t="shared" si="2534"/>
        <v/>
      </c>
      <c r="AC2362">
        <f t="shared" si="2482"/>
        <v>2259</v>
      </c>
      <c r="AD2362" s="6">
        <v>3</v>
      </c>
      <c r="AE2362" t="s">
        <v>943</v>
      </c>
      <c r="AF2362" t="s">
        <v>908</v>
      </c>
      <c r="AG2362" t="s">
        <v>756</v>
      </c>
      <c r="AH2362" t="s">
        <v>756</v>
      </c>
      <c r="AI2362" t="s">
        <v>367</v>
      </c>
      <c r="AJ2362" t="str">
        <f t="shared" ref="AJ2362:AK2362" si="2564">IF($J2362&lt;&gt;"",$J2362,IF($AC2362=$AC2361,AJ2361,""))</f>
        <v>o</v>
      </c>
      <c r="AK2362" t="str">
        <f t="shared" si="2564"/>
        <v>o</v>
      </c>
      <c r="AL2362" t="str">
        <f t="shared" si="2487"/>
        <v>d</v>
      </c>
      <c r="AN2362" t="s">
        <v>862</v>
      </c>
      <c r="AO2362" t="str">
        <f t="shared" si="2488"/>
        <v>a</v>
      </c>
      <c r="AP2362" t="str">
        <f t="shared" si="2496"/>
        <v>d</v>
      </c>
      <c r="AQ2362" t="str">
        <f t="shared" si="2497"/>
        <v/>
      </c>
      <c r="AR2362" t="str">
        <f t="shared" si="2498"/>
        <v>Away</v>
      </c>
      <c r="AS2362" t="str">
        <f t="shared" si="2499"/>
        <v>a</v>
      </c>
      <c r="AT2362" t="str">
        <f t="shared" si="2500"/>
        <v>Offensive</v>
      </c>
      <c r="BA2362" s="6">
        <f t="shared" si="2489"/>
        <v>546</v>
      </c>
      <c r="BB2362">
        <f t="shared" si="2490"/>
        <v>18981</v>
      </c>
      <c r="BC2362" t="str">
        <f t="shared" si="2491"/>
        <v>Nelson</v>
      </c>
      <c r="BD2362" t="str">
        <f t="shared" si="2492"/>
        <v>Velodrome</v>
      </c>
      <c r="BE2362" t="s">
        <v>6</v>
      </c>
      <c r="BF2362" t="s">
        <v>181</v>
      </c>
      <c r="BG2362" t="s">
        <v>51</v>
      </c>
      <c r="BI2362" cm="1">
        <f t="array" ref="BI2362">IFERROR(_xlfn._xlws.FILTER(shifts!A:A,(shifts!B:B=events!AD2362)*(shifts!AG:AG&gt;=events!BK2362)*(shifts!AH:AH&lt;=events!BL2362)),BI2361)</f>
        <v>104</v>
      </c>
      <c r="BJ2362" s="15">
        <f t="shared" si="2493"/>
        <v>0</v>
      </c>
      <c r="BK2362">
        <f t="shared" si="2501"/>
        <v>79</v>
      </c>
      <c r="BL2362">
        <f t="shared" si="2502"/>
        <v>79</v>
      </c>
      <c r="BM2362" s="15">
        <f>SUMIFS(BJ$2:BJ2362,K$2:K2362,"=Intermission")+SUMIFS(BJ$2:BJ2362,K$2:K2362,"=Timeout")</f>
        <v>142</v>
      </c>
      <c r="BN2362">
        <f t="shared" si="2503"/>
        <v>2302</v>
      </c>
      <c r="BO2362" s="19">
        <f t="shared" si="2504"/>
        <v>3303</v>
      </c>
      <c r="BP2362">
        <f t="shared" si="2505"/>
        <v>3298</v>
      </c>
      <c r="BQ2362" s="17">
        <f t="shared" si="2506"/>
        <v>3303</v>
      </c>
      <c r="BR2362" t="str">
        <f t="shared" si="2507"/>
        <v>event_team_player_1</v>
      </c>
      <c r="BS2362">
        <f>COUNTIFS(S$3:S2362,"="&amp;S2362,AI$3:AI2362,"="&amp;AI2362)</f>
        <v>1</v>
      </c>
      <c r="BT2362" t="str">
        <f>IFERROR(VLOOKUP(BB2362&amp;BU2362&amp;X2362,game_rosters!U:W,3,FALSE),"")</f>
        <v>P100159</v>
      </c>
      <c r="BU2362" t="str">
        <f t="shared" si="2508"/>
        <v>Velodrome</v>
      </c>
    </row>
    <row r="2363" spans="1:73" x14ac:dyDescent="0.2">
      <c r="A2363">
        <f t="shared" si="2494"/>
        <v>1</v>
      </c>
      <c r="J2363" s="44" t="str">
        <f t="shared" si="2509"/>
        <v>o</v>
      </c>
      <c r="K2363" t="s">
        <v>6</v>
      </c>
      <c r="L2363" t="s">
        <v>181</v>
      </c>
      <c r="M2363" t="s">
        <v>51</v>
      </c>
      <c r="S2363">
        <v>1259</v>
      </c>
      <c r="W2363" t="str">
        <f t="shared" si="2485"/>
        <v>a</v>
      </c>
      <c r="X2363">
        <v>8</v>
      </c>
      <c r="Y2363" t="b">
        <f>IF(X2363&lt;&gt;"",VLOOKUP(X2363,game_rosters!$C$43:$E$64,3,FALSE))</f>
        <v>0</v>
      </c>
      <c r="Z2363" t="str" cm="1">
        <f t="array" ref="Z2363">IFERROR(IF(_xlfn._xlws.FILTER(game_rosters!$J:$J,(game_rosters!$G:$G=events!$AN2363)*(game_rosters!$J:$J=events!$X2363))&gt;0,1,""),"")</f>
        <v/>
      </c>
      <c r="AA2363">
        <f t="shared" si="2533"/>
        <v>2259</v>
      </c>
      <c r="AB2363" t="str">
        <f t="shared" si="2534"/>
        <v/>
      </c>
      <c r="AC2363">
        <f t="shared" si="2482"/>
        <v>2259</v>
      </c>
      <c r="AD2363" s="6">
        <v>3</v>
      </c>
      <c r="AE2363" t="s">
        <v>943</v>
      </c>
      <c r="AF2363" t="s">
        <v>908</v>
      </c>
      <c r="AG2363" t="s">
        <v>756</v>
      </c>
      <c r="AH2363" t="s">
        <v>756</v>
      </c>
      <c r="AI2363" t="s">
        <v>368</v>
      </c>
      <c r="AJ2363" t="str">
        <f t="shared" ref="AJ2363:AK2363" si="2565">IF($J2363&lt;&gt;"",$J2363,IF($AC2363=$AC2362,AJ2362,""))</f>
        <v>o</v>
      </c>
      <c r="AK2363" t="str">
        <f t="shared" si="2565"/>
        <v>o</v>
      </c>
      <c r="AL2363" t="str">
        <f t="shared" si="2487"/>
        <v>d</v>
      </c>
      <c r="AN2363" t="s">
        <v>862</v>
      </c>
      <c r="AO2363" t="str">
        <f t="shared" si="2488"/>
        <v>a</v>
      </c>
      <c r="AP2363" t="str">
        <f t="shared" si="2496"/>
        <v>d</v>
      </c>
      <c r="AQ2363" t="str">
        <f t="shared" si="2497"/>
        <v/>
      </c>
      <c r="AR2363" t="str">
        <f t="shared" si="2498"/>
        <v>Away</v>
      </c>
      <c r="AS2363" t="str">
        <f t="shared" si="2499"/>
        <v>a</v>
      </c>
      <c r="AT2363" t="str">
        <f t="shared" si="2500"/>
        <v>Defensive</v>
      </c>
      <c r="BA2363" s="6">
        <f t="shared" si="2489"/>
        <v>546</v>
      </c>
      <c r="BB2363">
        <f t="shared" si="2490"/>
        <v>18981</v>
      </c>
      <c r="BC2363" t="str">
        <f t="shared" si="2491"/>
        <v>Nelson</v>
      </c>
      <c r="BD2363" t="str">
        <f t="shared" si="2492"/>
        <v>Velodrome</v>
      </c>
      <c r="BE2363" t="s">
        <v>6</v>
      </c>
      <c r="BF2363" t="s">
        <v>181</v>
      </c>
      <c r="BG2363" t="s">
        <v>51</v>
      </c>
      <c r="BI2363" cm="1">
        <f t="array" ref="BI2363">IFERROR(_xlfn._xlws.FILTER(shifts!A:A,(shifts!B:B=events!AD2363)*(shifts!AG:AG&gt;=events!BK2363)*(shifts!AH:AH&lt;=events!BL2363)),BI2362)</f>
        <v>104</v>
      </c>
      <c r="BJ2363" s="15">
        <f t="shared" si="2493"/>
        <v>0</v>
      </c>
      <c r="BK2363">
        <f t="shared" si="2501"/>
        <v>79</v>
      </c>
      <c r="BL2363">
        <f t="shared" si="2502"/>
        <v>79</v>
      </c>
      <c r="BM2363" s="15">
        <f>SUMIFS(BJ$2:BJ2363,K$2:K2363,"=Intermission")+SUMIFS(BJ$2:BJ2363,K$2:K2363,"=Timeout")</f>
        <v>142</v>
      </c>
      <c r="BN2363">
        <f t="shared" si="2503"/>
        <v>2302</v>
      </c>
      <c r="BO2363" s="19">
        <f t="shared" si="2504"/>
        <v>3303</v>
      </c>
      <c r="BP2363">
        <f t="shared" si="2505"/>
        <v>3298</v>
      </c>
      <c r="BQ2363" s="17">
        <f t="shared" si="2506"/>
        <v>3303</v>
      </c>
      <c r="BR2363" t="str">
        <f t="shared" si="2507"/>
        <v>opp_team_player_1</v>
      </c>
      <c r="BS2363">
        <f>COUNTIFS(S$3:S2363,"="&amp;S2363,AI$3:AI2363,"="&amp;AI2363)</f>
        <v>1</v>
      </c>
      <c r="BT2363" t="str">
        <f>IFERROR(VLOOKUP(BB2363&amp;BU2363&amp;X2363,game_rosters!U:W,3,FALSE),"")</f>
        <v>P100074</v>
      </c>
      <c r="BU2363" t="str">
        <f t="shared" si="2508"/>
        <v>Nelson</v>
      </c>
    </row>
    <row r="2364" spans="1:73" x14ac:dyDescent="0.2">
      <c r="A2364">
        <f t="shared" si="2494"/>
        <v>1</v>
      </c>
      <c r="J2364" s="44" t="str">
        <f t="shared" si="2509"/>
        <v>d</v>
      </c>
      <c r="K2364" t="s">
        <v>238</v>
      </c>
      <c r="L2364" t="s">
        <v>184</v>
      </c>
      <c r="M2364" t="s">
        <v>378</v>
      </c>
      <c r="S2364">
        <v>1260</v>
      </c>
      <c r="W2364" t="str">
        <f t="shared" si="2485"/>
        <v>h</v>
      </c>
      <c r="X2364">
        <v>8</v>
      </c>
      <c r="Y2364" t="b">
        <f>IF(X2364&lt;&gt;"",VLOOKUP(X2364,game_rosters!$C$43:$E$64,3,FALSE))</f>
        <v>0</v>
      </c>
      <c r="Z2364" cm="1">
        <f t="array" ref="Z2364">IFERROR(IF(_xlfn._xlws.FILTER(game_rosters!$J:$J,(game_rosters!$G:$G=events!$AN2364)*(game_rosters!$J:$J=events!$X2364))&gt;0,1,""),"")</f>
        <v>1</v>
      </c>
      <c r="AA2364">
        <f t="shared" si="2533"/>
        <v>2260</v>
      </c>
      <c r="AB2364" t="str">
        <f t="shared" si="2534"/>
        <v/>
      </c>
      <c r="AC2364">
        <f t="shared" si="2482"/>
        <v>2260</v>
      </c>
      <c r="AD2364" s="6">
        <v>3</v>
      </c>
      <c r="AE2364" t="s">
        <v>943</v>
      </c>
      <c r="AF2364" t="s">
        <v>909</v>
      </c>
      <c r="AG2364" t="s">
        <v>756</v>
      </c>
      <c r="AH2364" t="s">
        <v>756</v>
      </c>
      <c r="AI2364" t="s">
        <v>367</v>
      </c>
      <c r="AJ2364" t="str">
        <f t="shared" ref="AJ2364:AK2364" si="2566">IF($J2364&lt;&gt;"",$J2364,IF($AC2364=$AC2363,AJ2363,""))</f>
        <v>d</v>
      </c>
      <c r="AK2364" t="str">
        <f t="shared" si="2566"/>
        <v>d</v>
      </c>
      <c r="AL2364" t="str">
        <f t="shared" si="2487"/>
        <v>d</v>
      </c>
      <c r="AN2364" t="s">
        <v>861</v>
      </c>
      <c r="AO2364" t="str">
        <f t="shared" si="2488"/>
        <v>h</v>
      </c>
      <c r="AP2364" t="str">
        <f t="shared" si="2496"/>
        <v>d</v>
      </c>
      <c r="AQ2364" t="str">
        <f t="shared" si="2497"/>
        <v/>
      </c>
      <c r="AR2364" t="str">
        <f t="shared" si="2498"/>
        <v>Home</v>
      </c>
      <c r="AS2364" t="str">
        <f t="shared" si="2499"/>
        <v>h</v>
      </c>
      <c r="AT2364" t="str">
        <f t="shared" si="2500"/>
        <v>Offensive</v>
      </c>
      <c r="BA2364" s="6">
        <f t="shared" si="2489"/>
        <v>547</v>
      </c>
      <c r="BB2364">
        <f t="shared" si="2490"/>
        <v>18981</v>
      </c>
      <c r="BC2364" t="str">
        <f t="shared" si="2491"/>
        <v>Nelson</v>
      </c>
      <c r="BD2364" t="str">
        <f t="shared" si="2492"/>
        <v>Velodrome</v>
      </c>
      <c r="BE2364" t="s">
        <v>238</v>
      </c>
      <c r="BF2364" t="s">
        <v>184</v>
      </c>
      <c r="BG2364" t="s">
        <v>378</v>
      </c>
      <c r="BI2364" cm="1">
        <f t="array" ref="BI2364">IFERROR(_xlfn._xlws.FILTER(shifts!A:A,(shifts!B:B=events!AD2364)*(shifts!AG:AG&gt;=events!BK2364)*(shifts!AH:AH&lt;=events!BL2364)),BI2363)</f>
        <v>104</v>
      </c>
      <c r="BJ2364" s="15">
        <f t="shared" si="2493"/>
        <v>0</v>
      </c>
      <c r="BK2364">
        <f t="shared" si="2501"/>
        <v>76</v>
      </c>
      <c r="BL2364">
        <f t="shared" si="2502"/>
        <v>76</v>
      </c>
      <c r="BM2364" s="15">
        <f>SUMIFS(BJ$2:BJ2364,K$2:K2364,"=Intermission")+SUMIFS(BJ$2:BJ2364,K$2:K2364,"=Timeout")</f>
        <v>142</v>
      </c>
      <c r="BN2364">
        <f t="shared" si="2503"/>
        <v>2302</v>
      </c>
      <c r="BO2364" s="19">
        <f t="shared" si="2504"/>
        <v>3306</v>
      </c>
      <c r="BP2364">
        <f t="shared" si="2505"/>
        <v>3301</v>
      </c>
      <c r="BQ2364" s="17">
        <f t="shared" si="2506"/>
        <v>3306</v>
      </c>
      <c r="BR2364" t="str">
        <f t="shared" si="2507"/>
        <v>event_team_player_1</v>
      </c>
      <c r="BS2364">
        <f>COUNTIFS(S$3:S2364,"="&amp;S2364,AI$3:AI2364,"="&amp;AI2364)</f>
        <v>1</v>
      </c>
      <c r="BT2364" t="str">
        <f>IFERROR(VLOOKUP(BB2364&amp;BU2364&amp;X2364,game_rosters!U:W,3,FALSE),"")</f>
        <v>P100074</v>
      </c>
      <c r="BU2364" t="str">
        <f t="shared" si="2508"/>
        <v>Nelson</v>
      </c>
    </row>
    <row r="2365" spans="1:73" x14ac:dyDescent="0.2">
      <c r="A2365">
        <f t="shared" si="2494"/>
        <v>1</v>
      </c>
      <c r="J2365" s="44" t="str">
        <f t="shared" si="2509"/>
        <v/>
      </c>
      <c r="K2365" t="s">
        <v>13</v>
      </c>
      <c r="L2365" t="s">
        <v>756</v>
      </c>
      <c r="M2365" t="s">
        <v>756</v>
      </c>
      <c r="S2365">
        <v>1261</v>
      </c>
      <c r="W2365" t="str">
        <f t="shared" si="2485"/>
        <v>a</v>
      </c>
      <c r="X2365">
        <v>52</v>
      </c>
      <c r="Y2365" t="e">
        <f>IF(X2365&lt;&gt;"",VLOOKUP(X2365,game_rosters!$C$43:$E$64,3,FALSE))</f>
        <v>#N/A</v>
      </c>
      <c r="Z2365" cm="1">
        <f t="array" ref="Z2365">IFERROR(IF(_xlfn._xlws.FILTER(game_rosters!$J:$J,(game_rosters!$G:$G=events!$AN2365)*(game_rosters!$J:$J=events!$X2365))&gt;0,1,""),"")</f>
        <v>1</v>
      </c>
      <c r="AA2365">
        <f t="shared" si="2533"/>
        <v>2261</v>
      </c>
      <c r="AB2365" t="str">
        <f t="shared" si="2534"/>
        <v/>
      </c>
      <c r="AC2365">
        <f t="shared" si="2482"/>
        <v>2261</v>
      </c>
      <c r="AD2365" s="6">
        <v>3</v>
      </c>
      <c r="AE2365" t="s">
        <v>943</v>
      </c>
      <c r="AF2365" t="s">
        <v>926</v>
      </c>
      <c r="AG2365" t="s">
        <v>943</v>
      </c>
      <c r="AH2365" t="s">
        <v>910</v>
      </c>
      <c r="AI2365" t="s">
        <v>367</v>
      </c>
      <c r="AJ2365" t="str">
        <f t="shared" ref="AJ2365:AK2365" si="2567">IF($J2365&lt;&gt;"",$J2365,IF($AC2365=$AC2364,AJ2364,""))</f>
        <v/>
      </c>
      <c r="AK2365" t="str">
        <f t="shared" si="2567"/>
        <v/>
      </c>
      <c r="AL2365" t="str">
        <f t="shared" si="2487"/>
        <v/>
      </c>
      <c r="AN2365" t="s">
        <v>862</v>
      </c>
      <c r="AO2365" t="str">
        <f t="shared" si="2488"/>
        <v>a</v>
      </c>
      <c r="AP2365" t="str">
        <f t="shared" si="2496"/>
        <v/>
      </c>
      <c r="AQ2365" t="str">
        <f t="shared" si="2497"/>
        <v/>
      </c>
      <c r="AR2365" t="str">
        <f t="shared" si="2498"/>
        <v>Away</v>
      </c>
      <c r="AS2365" t="str">
        <f t="shared" si="2499"/>
        <v>a</v>
      </c>
      <c r="AT2365" t="str">
        <f t="shared" si="2500"/>
        <v>Offensive</v>
      </c>
      <c r="BA2365" s="6">
        <f t="shared" si="2489"/>
        <v>547</v>
      </c>
      <c r="BB2365">
        <f t="shared" si="2490"/>
        <v>18981</v>
      </c>
      <c r="BC2365" t="str">
        <f t="shared" si="2491"/>
        <v>Nelson</v>
      </c>
      <c r="BD2365" t="str">
        <f t="shared" si="2492"/>
        <v>Velodrome</v>
      </c>
      <c r="BE2365" t="s">
        <v>13</v>
      </c>
      <c r="BF2365" t="s">
        <v>756</v>
      </c>
      <c r="BG2365" t="s">
        <v>756</v>
      </c>
      <c r="BI2365" cm="1">
        <f t="array" ref="BI2365">IFERROR(_xlfn._xlws.FILTER(shifts!A:A,(shifts!B:B=events!AD2365)*(shifts!AG:AG&gt;=events!BK2365)*(shifts!AH:AH&lt;=events!BL2365)),BI2364)</f>
        <v>104</v>
      </c>
      <c r="BJ2365" s="15">
        <f t="shared" si="2493"/>
        <v>3</v>
      </c>
      <c r="BK2365">
        <f t="shared" si="2501"/>
        <v>73</v>
      </c>
      <c r="BL2365">
        <f t="shared" si="2502"/>
        <v>70</v>
      </c>
      <c r="BM2365" s="15">
        <f>SUMIFS(BJ$2:BJ2365,K$2:K2365,"=Intermission")+SUMIFS(BJ$2:BJ2365,K$2:K2365,"=Timeout")</f>
        <v>142</v>
      </c>
      <c r="BN2365">
        <f t="shared" si="2503"/>
        <v>2302</v>
      </c>
      <c r="BO2365" s="19">
        <f t="shared" si="2504"/>
        <v>3309</v>
      </c>
      <c r="BP2365">
        <f t="shared" si="2505"/>
        <v>3304</v>
      </c>
      <c r="BQ2365" s="17">
        <f t="shared" si="2506"/>
        <v>3312</v>
      </c>
      <c r="BR2365" t="str">
        <f t="shared" si="2507"/>
        <v>event_team_player_1</v>
      </c>
      <c r="BS2365">
        <f>COUNTIFS(S$3:S2365,"="&amp;S2365,AI$3:AI2365,"="&amp;AI2365)</f>
        <v>1</v>
      </c>
      <c r="BT2365" t="str">
        <f>IFERROR(VLOOKUP(BB2365&amp;BU2365&amp;X2365,game_rosters!U:W,3,FALSE),"")</f>
        <v>P100070</v>
      </c>
      <c r="BU2365" t="str">
        <f t="shared" si="2508"/>
        <v>Velodrome</v>
      </c>
    </row>
    <row r="2366" spans="1:73" x14ac:dyDescent="0.2">
      <c r="A2366">
        <f t="shared" si="2494"/>
        <v>1</v>
      </c>
      <c r="J2366" s="44" t="str">
        <f t="shared" si="2509"/>
        <v/>
      </c>
      <c r="K2366" t="s">
        <v>7</v>
      </c>
      <c r="L2366" t="s">
        <v>172</v>
      </c>
      <c r="M2366" t="s">
        <v>68</v>
      </c>
      <c r="S2366">
        <v>1262</v>
      </c>
      <c r="W2366" t="str">
        <f t="shared" si="2485"/>
        <v>a</v>
      </c>
      <c r="X2366">
        <v>52</v>
      </c>
      <c r="Y2366" t="e">
        <f>IF(X2366&lt;&gt;"",VLOOKUP(X2366,game_rosters!$C$43:$E$64,3,FALSE))</f>
        <v>#N/A</v>
      </c>
      <c r="Z2366" cm="1">
        <f t="array" ref="Z2366">IFERROR(IF(_xlfn._xlws.FILTER(game_rosters!$J:$J,(game_rosters!$G:$G=events!$AN2366)*(game_rosters!$J:$J=events!$X2366))&gt;0,1,""),"")</f>
        <v>1</v>
      </c>
      <c r="AA2366">
        <f t="shared" si="2533"/>
        <v>2262</v>
      </c>
      <c r="AB2366" t="str">
        <f t="shared" si="2534"/>
        <v/>
      </c>
      <c r="AC2366">
        <f t="shared" si="2482"/>
        <v>2262</v>
      </c>
      <c r="AD2366" s="6">
        <v>3</v>
      </c>
      <c r="AE2366" t="s">
        <v>943</v>
      </c>
      <c r="AF2366" t="s">
        <v>910</v>
      </c>
      <c r="AG2366" t="s">
        <v>756</v>
      </c>
      <c r="AH2366" t="s">
        <v>756</v>
      </c>
      <c r="AI2366" t="s">
        <v>367</v>
      </c>
      <c r="AJ2366" t="str">
        <f t="shared" ref="AJ2366:AK2366" si="2568">IF($J2366&lt;&gt;"",$J2366,IF($AC2366=$AC2365,AJ2365,""))</f>
        <v/>
      </c>
      <c r="AK2366" t="str">
        <f t="shared" si="2568"/>
        <v/>
      </c>
      <c r="AL2366" t="str">
        <f t="shared" si="2487"/>
        <v/>
      </c>
      <c r="AN2366" t="s">
        <v>862</v>
      </c>
      <c r="AO2366" t="str">
        <f t="shared" si="2488"/>
        <v>a</v>
      </c>
      <c r="AP2366" t="str">
        <f t="shared" si="2496"/>
        <v/>
      </c>
      <c r="AQ2366" t="str">
        <f t="shared" si="2497"/>
        <v/>
      </c>
      <c r="AR2366" t="str">
        <f t="shared" si="2498"/>
        <v>Away</v>
      </c>
      <c r="AS2366" t="str">
        <f t="shared" si="2499"/>
        <v>a</v>
      </c>
      <c r="AT2366" t="str">
        <f t="shared" si="2500"/>
        <v>Offensive</v>
      </c>
      <c r="BA2366" s="6">
        <f t="shared" si="2489"/>
        <v>547</v>
      </c>
      <c r="BB2366">
        <f t="shared" si="2490"/>
        <v>18981</v>
      </c>
      <c r="BC2366" t="str">
        <f t="shared" si="2491"/>
        <v>Nelson</v>
      </c>
      <c r="BD2366" t="str">
        <f t="shared" si="2492"/>
        <v>Velodrome</v>
      </c>
      <c r="BE2366" t="s">
        <v>7</v>
      </c>
      <c r="BF2366" t="s">
        <v>172</v>
      </c>
      <c r="BG2366" t="s">
        <v>68</v>
      </c>
      <c r="BI2366" cm="1">
        <f t="array" ref="BI2366">IFERROR(_xlfn._xlws.FILTER(shifts!A:A,(shifts!B:B=events!AD2366)*(shifts!AG:AG&gt;=events!BK2366)*(shifts!AH:AH&lt;=events!BL2366)),BI2365)</f>
        <v>104</v>
      </c>
      <c r="BJ2366" s="15">
        <f t="shared" si="2493"/>
        <v>0</v>
      </c>
      <c r="BK2366">
        <f t="shared" si="2501"/>
        <v>70</v>
      </c>
      <c r="BL2366">
        <f t="shared" si="2502"/>
        <v>70</v>
      </c>
      <c r="BM2366" s="15">
        <f>SUMIFS(BJ$2:BJ2366,K$2:K2366,"=Intermission")+SUMIFS(BJ$2:BJ2366,K$2:K2366,"=Timeout")</f>
        <v>142</v>
      </c>
      <c r="BN2366">
        <f t="shared" si="2503"/>
        <v>2302</v>
      </c>
      <c r="BO2366" s="19">
        <f t="shared" si="2504"/>
        <v>3312</v>
      </c>
      <c r="BP2366">
        <f t="shared" si="2505"/>
        <v>3307</v>
      </c>
      <c r="BQ2366" s="17">
        <f t="shared" si="2506"/>
        <v>3312</v>
      </c>
      <c r="BR2366" t="str">
        <f t="shared" si="2507"/>
        <v>event_team_player_1</v>
      </c>
      <c r="BS2366">
        <f>COUNTIFS(S$3:S2366,"="&amp;S2366,AI$3:AI2366,"="&amp;AI2366)</f>
        <v>1</v>
      </c>
      <c r="BT2366" t="str">
        <f>IFERROR(VLOOKUP(BB2366&amp;BU2366&amp;X2366,game_rosters!U:W,3,FALSE),"")</f>
        <v>P100070</v>
      </c>
      <c r="BU2366" t="str">
        <f t="shared" si="2508"/>
        <v>Velodrome</v>
      </c>
    </row>
    <row r="2367" spans="1:73" x14ac:dyDescent="0.2">
      <c r="A2367">
        <f t="shared" si="2494"/>
        <v>1</v>
      </c>
      <c r="J2367" s="44" t="str">
        <f t="shared" si="2509"/>
        <v/>
      </c>
      <c r="K2367" t="s">
        <v>7</v>
      </c>
      <c r="L2367" t="s">
        <v>172</v>
      </c>
      <c r="M2367" t="s">
        <v>68</v>
      </c>
      <c r="S2367">
        <v>1262</v>
      </c>
      <c r="W2367" t="str">
        <f t="shared" si="2485"/>
        <v>a</v>
      </c>
      <c r="X2367">
        <v>70</v>
      </c>
      <c r="Y2367" t="e">
        <f>IF(X2367&lt;&gt;"",VLOOKUP(X2367,game_rosters!$C$43:$E$64,3,FALSE))</f>
        <v>#N/A</v>
      </c>
      <c r="Z2367" cm="1">
        <f t="array" ref="Z2367">IFERROR(IF(_xlfn._xlws.FILTER(game_rosters!$J:$J,(game_rosters!$G:$G=events!$AN2367)*(game_rosters!$J:$J=events!$X2367))&gt;0,1,""),"")</f>
        <v>1</v>
      </c>
      <c r="AA2367">
        <f t="shared" si="2533"/>
        <v>2262</v>
      </c>
      <c r="AB2367" t="str">
        <f t="shared" si="2534"/>
        <v/>
      </c>
      <c r="AC2367">
        <f t="shared" si="2482"/>
        <v>2262</v>
      </c>
      <c r="AD2367" s="6">
        <v>3</v>
      </c>
      <c r="AE2367" t="s">
        <v>943</v>
      </c>
      <c r="AF2367" t="s">
        <v>910</v>
      </c>
      <c r="AG2367" t="s">
        <v>756</v>
      </c>
      <c r="AH2367" t="s">
        <v>756</v>
      </c>
      <c r="AI2367" t="s">
        <v>367</v>
      </c>
      <c r="AJ2367" t="str">
        <f t="shared" ref="AJ2367:AK2367" si="2569">IF($J2367&lt;&gt;"",$J2367,IF($AC2367=$AC2366,AJ2366,""))</f>
        <v/>
      </c>
      <c r="AK2367" t="str">
        <f t="shared" si="2569"/>
        <v/>
      </c>
      <c r="AL2367" t="str">
        <f t="shared" si="2487"/>
        <v/>
      </c>
      <c r="AN2367" t="s">
        <v>862</v>
      </c>
      <c r="AO2367" t="str">
        <f t="shared" si="2488"/>
        <v>a</v>
      </c>
      <c r="AP2367" t="str">
        <f t="shared" si="2496"/>
        <v/>
      </c>
      <c r="AQ2367" t="str">
        <f t="shared" si="2497"/>
        <v/>
      </c>
      <c r="AR2367" t="str">
        <f t="shared" si="2498"/>
        <v>Away</v>
      </c>
      <c r="AS2367" t="str">
        <f t="shared" si="2499"/>
        <v>a</v>
      </c>
      <c r="AT2367" t="str">
        <f t="shared" si="2500"/>
        <v>Offensive</v>
      </c>
      <c r="BA2367" s="6">
        <f t="shared" si="2489"/>
        <v>547</v>
      </c>
      <c r="BB2367">
        <f t="shared" si="2490"/>
        <v>18981</v>
      </c>
      <c r="BC2367" t="str">
        <f t="shared" si="2491"/>
        <v>Nelson</v>
      </c>
      <c r="BD2367" t="str">
        <f t="shared" si="2492"/>
        <v>Velodrome</v>
      </c>
      <c r="BE2367" t="s">
        <v>7</v>
      </c>
      <c r="BF2367" t="s">
        <v>172</v>
      </c>
      <c r="BG2367" t="s">
        <v>68</v>
      </c>
      <c r="BI2367" cm="1">
        <f t="array" ref="BI2367">IFERROR(_xlfn._xlws.FILTER(shifts!A:A,(shifts!B:B=events!AD2367)*(shifts!AG:AG&gt;=events!BK2367)*(shifts!AH:AH&lt;=events!BL2367)),BI2366)</f>
        <v>104</v>
      </c>
      <c r="BJ2367" s="15">
        <f t="shared" si="2493"/>
        <v>0</v>
      </c>
      <c r="BK2367">
        <f t="shared" si="2501"/>
        <v>70</v>
      </c>
      <c r="BL2367">
        <f t="shared" si="2502"/>
        <v>70</v>
      </c>
      <c r="BM2367" s="15">
        <f>SUMIFS(BJ$2:BJ2367,K$2:K2367,"=Intermission")+SUMIFS(BJ$2:BJ2367,K$2:K2367,"=Timeout")</f>
        <v>142</v>
      </c>
      <c r="BN2367">
        <f t="shared" si="2503"/>
        <v>2302</v>
      </c>
      <c r="BO2367" s="19">
        <f t="shared" si="2504"/>
        <v>3312</v>
      </c>
      <c r="BP2367">
        <f t="shared" si="2505"/>
        <v>3307</v>
      </c>
      <c r="BQ2367" s="17">
        <f t="shared" si="2506"/>
        <v>3312</v>
      </c>
      <c r="BR2367" t="str">
        <f t="shared" si="2507"/>
        <v>event_team_player_2</v>
      </c>
      <c r="BS2367">
        <f>COUNTIFS(S$3:S2367,"="&amp;S2367,AI$3:AI2367,"="&amp;AI2367)</f>
        <v>2</v>
      </c>
      <c r="BT2367" t="str">
        <f>IFERROR(VLOOKUP(BB2367&amp;BU2367&amp;X2367,game_rosters!U:W,3,FALSE),"")</f>
        <v>P100001</v>
      </c>
      <c r="BU2367" t="str">
        <f t="shared" si="2508"/>
        <v>Velodrome</v>
      </c>
    </row>
    <row r="2368" spans="1:73" x14ac:dyDescent="0.2">
      <c r="A2368">
        <f t="shared" si="2494"/>
        <v>1</v>
      </c>
      <c r="J2368" s="44" t="str">
        <f t="shared" si="2509"/>
        <v>o</v>
      </c>
      <c r="K2368" t="s">
        <v>238</v>
      </c>
      <c r="L2368" t="s">
        <v>174</v>
      </c>
      <c r="M2368" t="s">
        <v>85</v>
      </c>
      <c r="S2368">
        <v>1263</v>
      </c>
      <c r="W2368" t="str">
        <f t="shared" si="2485"/>
        <v>a</v>
      </c>
      <c r="X2368">
        <v>70</v>
      </c>
      <c r="Y2368" t="e">
        <f>IF(X2368&lt;&gt;"",VLOOKUP(X2368,game_rosters!$C$43:$E$64,3,FALSE))</f>
        <v>#N/A</v>
      </c>
      <c r="Z2368" cm="1">
        <f t="array" ref="Z2368">IFERROR(IF(_xlfn._xlws.FILTER(game_rosters!$J:$J,(game_rosters!$G:$G=events!$AN2368)*(game_rosters!$J:$J=events!$X2368))&gt;0,1,""),"")</f>
        <v>1</v>
      </c>
      <c r="AA2368">
        <f t="shared" si="2533"/>
        <v>2263</v>
      </c>
      <c r="AB2368" t="str">
        <f t="shared" si="2534"/>
        <v/>
      </c>
      <c r="AC2368">
        <f t="shared" si="2482"/>
        <v>2263</v>
      </c>
      <c r="AD2368" s="6">
        <v>3</v>
      </c>
      <c r="AE2368" t="s">
        <v>943</v>
      </c>
      <c r="AF2368" t="s">
        <v>910</v>
      </c>
      <c r="AG2368" t="s">
        <v>943</v>
      </c>
      <c r="AH2368" t="s">
        <v>747</v>
      </c>
      <c r="AI2368" t="s">
        <v>367</v>
      </c>
      <c r="AJ2368" t="str">
        <f t="shared" ref="AJ2368:AK2368" si="2570">IF($J2368&lt;&gt;"",$J2368,IF($AC2368=$AC2367,AJ2367,""))</f>
        <v>o</v>
      </c>
      <c r="AK2368" t="str">
        <f t="shared" si="2570"/>
        <v>o</v>
      </c>
      <c r="AL2368" t="str">
        <f t="shared" si="2487"/>
        <v>d</v>
      </c>
      <c r="AN2368" t="s">
        <v>862</v>
      </c>
      <c r="AO2368" t="str">
        <f t="shared" si="2488"/>
        <v>a</v>
      </c>
      <c r="AP2368" t="str">
        <f t="shared" si="2496"/>
        <v>d</v>
      </c>
      <c r="AQ2368" t="str">
        <f t="shared" si="2497"/>
        <v/>
      </c>
      <c r="AR2368" t="str">
        <f t="shared" si="2498"/>
        <v>Away</v>
      </c>
      <c r="AS2368" t="str">
        <f t="shared" si="2499"/>
        <v>a</v>
      </c>
      <c r="AT2368" t="str">
        <f t="shared" si="2500"/>
        <v>Offensive</v>
      </c>
      <c r="BA2368" s="6">
        <f t="shared" si="2489"/>
        <v>548</v>
      </c>
      <c r="BB2368">
        <f t="shared" si="2490"/>
        <v>18981</v>
      </c>
      <c r="BC2368" t="str">
        <f t="shared" si="2491"/>
        <v>Nelson</v>
      </c>
      <c r="BD2368" t="str">
        <f t="shared" si="2492"/>
        <v>Velodrome</v>
      </c>
      <c r="BE2368" t="s">
        <v>238</v>
      </c>
      <c r="BF2368" t="s">
        <v>174</v>
      </c>
      <c r="BG2368" t="s">
        <v>85</v>
      </c>
      <c r="BI2368" cm="1">
        <f t="array" ref="BI2368">IFERROR(_xlfn._xlws.FILTER(shifts!A:A,(shifts!B:B=events!AD2368)*(shifts!AG:AG&gt;=events!BK2368)*(shifts!AH:AH&lt;=events!BL2368)),BI2367)</f>
        <v>104</v>
      </c>
      <c r="BJ2368" s="15">
        <f t="shared" si="2493"/>
        <v>3</v>
      </c>
      <c r="BK2368">
        <f t="shared" si="2501"/>
        <v>70</v>
      </c>
      <c r="BL2368">
        <f t="shared" si="2502"/>
        <v>67</v>
      </c>
      <c r="BM2368" s="15">
        <f>SUMIFS(BJ$2:BJ2368,K$2:K2368,"=Intermission")+SUMIFS(BJ$2:BJ2368,K$2:K2368,"=Timeout")</f>
        <v>142</v>
      </c>
      <c r="BN2368">
        <f t="shared" si="2503"/>
        <v>2302</v>
      </c>
      <c r="BO2368" s="19">
        <f t="shared" si="2504"/>
        <v>3312</v>
      </c>
      <c r="BP2368">
        <f t="shared" si="2505"/>
        <v>3307</v>
      </c>
      <c r="BQ2368" s="17">
        <f t="shared" si="2506"/>
        <v>3315</v>
      </c>
      <c r="BR2368" t="str">
        <f t="shared" si="2507"/>
        <v>event_team_player_1</v>
      </c>
      <c r="BS2368">
        <f>COUNTIFS(S$3:S2368,"="&amp;S2368,AI$3:AI2368,"="&amp;AI2368)</f>
        <v>1</v>
      </c>
      <c r="BT2368" t="str">
        <f>IFERROR(VLOOKUP(BB2368&amp;BU2368&amp;X2368,game_rosters!U:W,3,FALSE),"")</f>
        <v>P100001</v>
      </c>
      <c r="BU2368" t="str">
        <f t="shared" si="2508"/>
        <v>Velodrome</v>
      </c>
    </row>
    <row r="2369" spans="1:73" x14ac:dyDescent="0.2">
      <c r="A2369">
        <f t="shared" si="2494"/>
        <v>1</v>
      </c>
      <c r="J2369" s="44" t="str">
        <f t="shared" si="2509"/>
        <v>o</v>
      </c>
      <c r="K2369" t="s">
        <v>238</v>
      </c>
      <c r="L2369" t="s">
        <v>174</v>
      </c>
      <c r="M2369" t="s">
        <v>85</v>
      </c>
      <c r="S2369">
        <v>1263</v>
      </c>
      <c r="W2369" t="str">
        <f t="shared" si="2485"/>
        <v>a</v>
      </c>
      <c r="X2369">
        <v>87</v>
      </c>
      <c r="Y2369" t="e">
        <f>IF(X2369&lt;&gt;"",VLOOKUP(X2369,game_rosters!$C$43:$E$64,3,FALSE))</f>
        <v>#N/A</v>
      </c>
      <c r="Z2369" cm="1">
        <f t="array" ref="Z2369">IFERROR(IF(_xlfn._xlws.FILTER(game_rosters!$J:$J,(game_rosters!$G:$G=events!$AN2369)*(game_rosters!$J:$J=events!$X2369))&gt;0,1,""),"")</f>
        <v>1</v>
      </c>
      <c r="AA2369">
        <f t="shared" si="2533"/>
        <v>2263</v>
      </c>
      <c r="AB2369" t="str">
        <f t="shared" si="2534"/>
        <v/>
      </c>
      <c r="AC2369">
        <f t="shared" si="2482"/>
        <v>2263</v>
      </c>
      <c r="AD2369" s="6">
        <v>3</v>
      </c>
      <c r="AE2369" t="s">
        <v>943</v>
      </c>
      <c r="AF2369" t="s">
        <v>910</v>
      </c>
      <c r="AG2369" t="s">
        <v>943</v>
      </c>
      <c r="AH2369" t="s">
        <v>747</v>
      </c>
      <c r="AI2369" t="s">
        <v>367</v>
      </c>
      <c r="AJ2369" t="str">
        <f t="shared" ref="AJ2369:AK2369" si="2571">IF($J2369&lt;&gt;"",$J2369,IF($AC2369=$AC2368,AJ2368,""))</f>
        <v>o</v>
      </c>
      <c r="AK2369" t="str">
        <f t="shared" si="2571"/>
        <v>o</v>
      </c>
      <c r="AL2369" t="str">
        <f t="shared" si="2487"/>
        <v>d</v>
      </c>
      <c r="AN2369" t="s">
        <v>862</v>
      </c>
      <c r="AO2369" t="str">
        <f t="shared" si="2488"/>
        <v>a</v>
      </c>
      <c r="AP2369" t="str">
        <f t="shared" si="2496"/>
        <v>d</v>
      </c>
      <c r="AQ2369" t="str">
        <f t="shared" si="2497"/>
        <v/>
      </c>
      <c r="AR2369" t="str">
        <f t="shared" si="2498"/>
        <v>Away</v>
      </c>
      <c r="AS2369" t="str">
        <f t="shared" si="2499"/>
        <v>a</v>
      </c>
      <c r="AT2369" t="str">
        <f t="shared" si="2500"/>
        <v>Offensive</v>
      </c>
      <c r="BA2369" s="6">
        <f t="shared" si="2489"/>
        <v>549</v>
      </c>
      <c r="BB2369">
        <f t="shared" si="2490"/>
        <v>18981</v>
      </c>
      <c r="BC2369" t="str">
        <f t="shared" si="2491"/>
        <v>Nelson</v>
      </c>
      <c r="BD2369" t="str">
        <f t="shared" si="2492"/>
        <v>Velodrome</v>
      </c>
      <c r="BE2369" t="s">
        <v>238</v>
      </c>
      <c r="BF2369" t="s">
        <v>174</v>
      </c>
      <c r="BG2369" t="s">
        <v>85</v>
      </c>
      <c r="BI2369" cm="1">
        <f t="array" ref="BI2369">IFERROR(_xlfn._xlws.FILTER(shifts!A:A,(shifts!B:B=events!AD2369)*(shifts!AG:AG&gt;=events!BK2369)*(shifts!AH:AH&lt;=events!BL2369)),BI2368)</f>
        <v>104</v>
      </c>
      <c r="BJ2369" s="15">
        <f t="shared" si="2493"/>
        <v>3</v>
      </c>
      <c r="BK2369">
        <f t="shared" si="2501"/>
        <v>70</v>
      </c>
      <c r="BL2369">
        <f t="shared" si="2502"/>
        <v>67</v>
      </c>
      <c r="BM2369" s="15">
        <f>SUMIFS(BJ$2:BJ2369,K$2:K2369,"=Intermission")+SUMIFS(BJ$2:BJ2369,K$2:K2369,"=Timeout")</f>
        <v>142</v>
      </c>
      <c r="BN2369">
        <f t="shared" si="2503"/>
        <v>2302</v>
      </c>
      <c r="BO2369" s="19">
        <f t="shared" si="2504"/>
        <v>3312</v>
      </c>
      <c r="BP2369">
        <f t="shared" si="2505"/>
        <v>3307</v>
      </c>
      <c r="BQ2369" s="17">
        <f t="shared" si="2506"/>
        <v>3315</v>
      </c>
      <c r="BR2369" t="str">
        <f t="shared" si="2507"/>
        <v>event_team_player_2</v>
      </c>
      <c r="BS2369">
        <f>COUNTIFS(S$3:S2369,"="&amp;S2369,AI$3:AI2369,"="&amp;AI2369)</f>
        <v>2</v>
      </c>
      <c r="BT2369" t="str">
        <f>IFERROR(VLOOKUP(BB2369&amp;BU2369&amp;X2369,game_rosters!U:W,3,FALSE),"")</f>
        <v>P100159</v>
      </c>
      <c r="BU2369" t="str">
        <f t="shared" si="2508"/>
        <v>Velodrome</v>
      </c>
    </row>
    <row r="2370" spans="1:73" x14ac:dyDescent="0.2">
      <c r="A2370">
        <f t="shared" si="2494"/>
        <v>1</v>
      </c>
      <c r="J2370" s="44" t="str">
        <f t="shared" si="2509"/>
        <v>o</v>
      </c>
      <c r="K2370" t="s">
        <v>238</v>
      </c>
      <c r="L2370" t="s">
        <v>174</v>
      </c>
      <c r="M2370" t="s">
        <v>85</v>
      </c>
      <c r="S2370">
        <v>1263</v>
      </c>
      <c r="W2370" t="str">
        <f t="shared" si="2485"/>
        <v>a</v>
      </c>
      <c r="X2370">
        <v>8</v>
      </c>
      <c r="Y2370" t="b">
        <f>IF(X2370&lt;&gt;"",VLOOKUP(X2370,game_rosters!$C$43:$E$64,3,FALSE))</f>
        <v>0</v>
      </c>
      <c r="Z2370" t="str" cm="1">
        <f t="array" ref="Z2370">IFERROR(IF(_xlfn._xlws.FILTER(game_rosters!$J:$J,(game_rosters!$G:$G=events!$AN2370)*(game_rosters!$J:$J=events!$X2370))&gt;0,1,""),"")</f>
        <v/>
      </c>
      <c r="AA2370">
        <f t="shared" si="2533"/>
        <v>2263</v>
      </c>
      <c r="AB2370" t="str">
        <f t="shared" si="2534"/>
        <v/>
      </c>
      <c r="AC2370">
        <f t="shared" ref="AC2370:AC2433" si="2572">IF(AB2370&lt;&gt;"",AB2370,S2370+1000)</f>
        <v>2263</v>
      </c>
      <c r="AD2370" s="6">
        <v>3</v>
      </c>
      <c r="AE2370" t="s">
        <v>943</v>
      </c>
      <c r="AF2370" t="s">
        <v>910</v>
      </c>
      <c r="AG2370" t="s">
        <v>943</v>
      </c>
      <c r="AH2370" t="s">
        <v>747</v>
      </c>
      <c r="AI2370" t="s">
        <v>368</v>
      </c>
      <c r="AJ2370" t="str">
        <f t="shared" ref="AJ2370:AK2370" si="2573">IF($J2370&lt;&gt;"",$J2370,IF($AC2370=$AC2369,AJ2369,""))</f>
        <v>o</v>
      </c>
      <c r="AK2370" t="str">
        <f t="shared" si="2573"/>
        <v>o</v>
      </c>
      <c r="AL2370" t="str">
        <f t="shared" si="2487"/>
        <v>d</v>
      </c>
      <c r="AN2370" t="s">
        <v>862</v>
      </c>
      <c r="AO2370" t="str">
        <f t="shared" si="2488"/>
        <v>a</v>
      </c>
      <c r="AP2370" t="str">
        <f t="shared" si="2496"/>
        <v>d</v>
      </c>
      <c r="AQ2370" t="str">
        <f t="shared" si="2497"/>
        <v/>
      </c>
      <c r="AR2370" t="str">
        <f t="shared" si="2498"/>
        <v>Away</v>
      </c>
      <c r="AS2370" t="str">
        <f t="shared" si="2499"/>
        <v>a</v>
      </c>
      <c r="AT2370" t="str">
        <f t="shared" si="2500"/>
        <v>Defensive</v>
      </c>
      <c r="BA2370" s="6">
        <f t="shared" si="2489"/>
        <v>550</v>
      </c>
      <c r="BB2370">
        <f t="shared" si="2490"/>
        <v>18981</v>
      </c>
      <c r="BC2370" t="str">
        <f t="shared" si="2491"/>
        <v>Nelson</v>
      </c>
      <c r="BD2370" t="str">
        <f t="shared" si="2492"/>
        <v>Velodrome</v>
      </c>
      <c r="BE2370" t="s">
        <v>238</v>
      </c>
      <c r="BF2370" t="s">
        <v>174</v>
      </c>
      <c r="BG2370" t="s">
        <v>85</v>
      </c>
      <c r="BI2370" cm="1">
        <f t="array" ref="BI2370">IFERROR(_xlfn._xlws.FILTER(shifts!A:A,(shifts!B:B=events!AD2370)*(shifts!AG:AG&gt;=events!BK2370)*(shifts!AH:AH&lt;=events!BL2370)),BI2369)</f>
        <v>104</v>
      </c>
      <c r="BJ2370" s="15">
        <f t="shared" si="2493"/>
        <v>3</v>
      </c>
      <c r="BK2370">
        <f t="shared" si="2501"/>
        <v>70</v>
      </c>
      <c r="BL2370">
        <f t="shared" si="2502"/>
        <v>67</v>
      </c>
      <c r="BM2370" s="15">
        <f>SUMIFS(BJ$2:BJ2370,K$2:K2370,"=Intermission")+SUMIFS(BJ$2:BJ2370,K$2:K2370,"=Timeout")</f>
        <v>142</v>
      </c>
      <c r="BN2370">
        <f t="shared" si="2503"/>
        <v>2302</v>
      </c>
      <c r="BO2370" s="19">
        <f t="shared" si="2504"/>
        <v>3312</v>
      </c>
      <c r="BP2370">
        <f t="shared" si="2505"/>
        <v>3307</v>
      </c>
      <c r="BQ2370" s="17">
        <f t="shared" si="2506"/>
        <v>3315</v>
      </c>
      <c r="BR2370" t="str">
        <f t="shared" si="2507"/>
        <v>opp_team_player_1</v>
      </c>
      <c r="BS2370">
        <f>COUNTIFS(S$3:S2370,"="&amp;S2370,AI$3:AI2370,"="&amp;AI2370)</f>
        <v>1</v>
      </c>
      <c r="BT2370" t="str">
        <f>IFERROR(VLOOKUP(BB2370&amp;BU2370&amp;X2370,game_rosters!U:W,3,FALSE),"")</f>
        <v>P100074</v>
      </c>
      <c r="BU2370" t="str">
        <f t="shared" si="2508"/>
        <v>Nelson</v>
      </c>
    </row>
    <row r="2371" spans="1:73" x14ac:dyDescent="0.2">
      <c r="A2371">
        <f t="shared" si="2494"/>
        <v>1</v>
      </c>
      <c r="J2371" s="44" t="str">
        <f t="shared" si="2509"/>
        <v>o</v>
      </c>
      <c r="K2371" t="s">
        <v>238</v>
      </c>
      <c r="L2371" t="s">
        <v>174</v>
      </c>
      <c r="M2371" t="s">
        <v>85</v>
      </c>
      <c r="S2371">
        <v>1263</v>
      </c>
      <c r="W2371" t="str">
        <f t="shared" si="2485"/>
        <v>a</v>
      </c>
      <c r="X2371">
        <v>80</v>
      </c>
      <c r="Y2371" t="b">
        <f>IF(X2371&lt;&gt;"",VLOOKUP(X2371,game_rosters!$C$43:$E$64,3,FALSE))</f>
        <v>0</v>
      </c>
      <c r="Z2371" t="str" cm="1">
        <f t="array" ref="Z2371">IFERROR(IF(_xlfn._xlws.FILTER(game_rosters!$J:$J,(game_rosters!$G:$G=events!$AN2371)*(game_rosters!$J:$J=events!$X2371))&gt;0,1,""),"")</f>
        <v/>
      </c>
      <c r="AA2371">
        <f t="shared" si="2533"/>
        <v>2263</v>
      </c>
      <c r="AB2371" t="str">
        <f t="shared" si="2534"/>
        <v/>
      </c>
      <c r="AC2371">
        <f t="shared" si="2572"/>
        <v>2263</v>
      </c>
      <c r="AD2371" s="6">
        <v>3</v>
      </c>
      <c r="AE2371" t="s">
        <v>943</v>
      </c>
      <c r="AF2371" t="s">
        <v>910</v>
      </c>
      <c r="AG2371" t="s">
        <v>943</v>
      </c>
      <c r="AH2371" t="s">
        <v>747</v>
      </c>
      <c r="AI2371" t="s">
        <v>368</v>
      </c>
      <c r="AJ2371" t="str">
        <f t="shared" ref="AJ2371:AK2371" si="2574">IF($J2371&lt;&gt;"",$J2371,IF($AC2371=$AC2370,AJ2370,""))</f>
        <v>o</v>
      </c>
      <c r="AK2371" t="str">
        <f t="shared" si="2574"/>
        <v>o</v>
      </c>
      <c r="AL2371" t="str">
        <f t="shared" si="2487"/>
        <v>d</v>
      </c>
      <c r="AN2371" t="s">
        <v>862</v>
      </c>
      <c r="AO2371" t="str">
        <f t="shared" si="2488"/>
        <v>a</v>
      </c>
      <c r="AP2371" t="str">
        <f t="shared" si="2496"/>
        <v>d</v>
      </c>
      <c r="AQ2371" t="str">
        <f t="shared" si="2497"/>
        <v/>
      </c>
      <c r="AR2371" t="str">
        <f t="shared" si="2498"/>
        <v>Away</v>
      </c>
      <c r="AS2371" t="str">
        <f t="shared" si="2499"/>
        <v>a</v>
      </c>
      <c r="AT2371" t="str">
        <f t="shared" si="2500"/>
        <v>Defensive</v>
      </c>
      <c r="BA2371" s="6">
        <f t="shared" si="2489"/>
        <v>551</v>
      </c>
      <c r="BB2371">
        <f t="shared" si="2490"/>
        <v>18981</v>
      </c>
      <c r="BC2371" t="str">
        <f t="shared" si="2491"/>
        <v>Nelson</v>
      </c>
      <c r="BD2371" t="str">
        <f t="shared" si="2492"/>
        <v>Velodrome</v>
      </c>
      <c r="BE2371" t="s">
        <v>238</v>
      </c>
      <c r="BF2371" t="s">
        <v>174</v>
      </c>
      <c r="BG2371" t="s">
        <v>85</v>
      </c>
      <c r="BI2371" cm="1">
        <f t="array" ref="BI2371">IFERROR(_xlfn._xlws.FILTER(shifts!A:A,(shifts!B:B=events!AD2371)*(shifts!AG:AG&gt;=events!BK2371)*(shifts!AH:AH&lt;=events!BL2371)),BI2370)</f>
        <v>104</v>
      </c>
      <c r="BJ2371" s="15">
        <f t="shared" si="2493"/>
        <v>3</v>
      </c>
      <c r="BK2371">
        <f t="shared" si="2501"/>
        <v>70</v>
      </c>
      <c r="BL2371">
        <f t="shared" si="2502"/>
        <v>67</v>
      </c>
      <c r="BM2371" s="15">
        <f>SUMIFS(BJ$2:BJ2371,K$2:K2371,"=Intermission")+SUMIFS(BJ$2:BJ2371,K$2:K2371,"=Timeout")</f>
        <v>142</v>
      </c>
      <c r="BN2371">
        <f t="shared" si="2503"/>
        <v>2302</v>
      </c>
      <c r="BO2371" s="19">
        <f t="shared" si="2504"/>
        <v>3312</v>
      </c>
      <c r="BP2371">
        <f t="shared" si="2505"/>
        <v>3307</v>
      </c>
      <c r="BQ2371" s="17">
        <f t="shared" si="2506"/>
        <v>3315</v>
      </c>
      <c r="BR2371" t="str">
        <f t="shared" si="2507"/>
        <v>opp_team_player_2</v>
      </c>
      <c r="BS2371">
        <f>COUNTIFS(S$3:S2371,"="&amp;S2371,AI$3:AI2371,"="&amp;AI2371)</f>
        <v>2</v>
      </c>
      <c r="BT2371" t="str">
        <f>IFERROR(VLOOKUP(BB2371&amp;BU2371&amp;X2371,game_rosters!U:W,3,FALSE),"")</f>
        <v>P100197</v>
      </c>
      <c r="BU2371" t="str">
        <f t="shared" si="2508"/>
        <v>Nelson</v>
      </c>
    </row>
    <row r="2372" spans="1:73" x14ac:dyDescent="0.2">
      <c r="A2372">
        <f t="shared" si="2494"/>
        <v>1</v>
      </c>
      <c r="J2372" s="44" t="str">
        <f t="shared" si="2509"/>
        <v/>
      </c>
      <c r="K2372" t="s">
        <v>230</v>
      </c>
      <c r="L2372" t="s">
        <v>389</v>
      </c>
      <c r="M2372" t="s">
        <v>432</v>
      </c>
      <c r="S2372">
        <v>1264</v>
      </c>
      <c r="W2372" t="str">
        <f t="shared" ref="W2372:W2429" si="2575">IF(AN2372="Away","a",IF(AN2372="Home","h",""))</f>
        <v>h</v>
      </c>
      <c r="X2372">
        <v>80</v>
      </c>
      <c r="Y2372" t="b">
        <f>IF(X2372&lt;&gt;"",VLOOKUP(X2372,game_rosters!$C$43:$E$64,3,FALSE))</f>
        <v>0</v>
      </c>
      <c r="Z2372" cm="1">
        <f t="array" ref="Z2372">IFERROR(IF(_xlfn._xlws.FILTER(game_rosters!$J:$J,(game_rosters!$G:$G=events!$AN2372)*(game_rosters!$J:$J=events!$X2372))&gt;0,1,""),"")</f>
        <v>1</v>
      </c>
      <c r="AA2372">
        <f t="shared" si="2533"/>
        <v>2264</v>
      </c>
      <c r="AB2372" t="str">
        <f t="shared" si="2534"/>
        <v/>
      </c>
      <c r="AC2372">
        <f t="shared" si="2572"/>
        <v>2264</v>
      </c>
      <c r="AD2372" s="6">
        <v>3</v>
      </c>
      <c r="AE2372" t="s">
        <v>943</v>
      </c>
      <c r="AF2372" t="s">
        <v>747</v>
      </c>
      <c r="AG2372" t="s">
        <v>756</v>
      </c>
      <c r="AH2372" t="s">
        <v>756</v>
      </c>
      <c r="AI2372" t="s">
        <v>367</v>
      </c>
      <c r="AJ2372" t="str">
        <f t="shared" ref="AJ2372:AK2372" si="2576">IF($J2372&lt;&gt;"",$J2372,IF($AC2372=$AC2371,AJ2371,""))</f>
        <v/>
      </c>
      <c r="AK2372" t="str">
        <f t="shared" si="2576"/>
        <v/>
      </c>
      <c r="AL2372" t="str">
        <f t="shared" ref="AL2372:AL2427" si="2577">IF($W2372="","",IF($AJ2372="","",IF($W2372="h",$AJ2372,IF($AJ2372="n","n",IF(AND($W2372="a",$AJ2372="d"),"o",IF(AND($W2372="a",$AJ2372="o"),"d"))))))</f>
        <v/>
      </c>
      <c r="AN2372" t="s">
        <v>861</v>
      </c>
      <c r="AO2372" t="str">
        <f t="shared" ref="AO2372:AO2435" si="2578">IF($W2372&lt;&gt;"",$W2372,IF($AC2372=$AC2371,AO2371,""))</f>
        <v>h</v>
      </c>
      <c r="AP2372" t="str">
        <f t="shared" si="2496"/>
        <v/>
      </c>
      <c r="AQ2372" t="str">
        <f t="shared" si="2497"/>
        <v/>
      </c>
      <c r="AR2372" t="str">
        <f t="shared" si="2498"/>
        <v>Home</v>
      </c>
      <c r="AS2372" t="str">
        <f t="shared" si="2499"/>
        <v>h</v>
      </c>
      <c r="AT2372" t="str">
        <f t="shared" si="2500"/>
        <v>Defensive</v>
      </c>
      <c r="BA2372" s="6">
        <f t="shared" ref="BA2372:BA2435" si="2579">IF(OR(L2372="Zone_Entry",L2372="Zone_Exit"),BA2371+1,BA2371)</f>
        <v>551</v>
      </c>
      <c r="BB2372">
        <f t="shared" ref="BB2372:BB2429" si="2580">BB2371</f>
        <v>18981</v>
      </c>
      <c r="BC2372" t="str">
        <f t="shared" ref="BC2372:BC2429" si="2581">BC2371</f>
        <v>Nelson</v>
      </c>
      <c r="BD2372" t="str">
        <f t="shared" ref="BD2372:BD2429" si="2582">BD2371</f>
        <v>Velodrome</v>
      </c>
      <c r="BE2372" t="s">
        <v>230</v>
      </c>
      <c r="BF2372" t="s">
        <v>389</v>
      </c>
      <c r="BG2372" t="s">
        <v>432</v>
      </c>
      <c r="BI2372" cm="1">
        <f t="array" ref="BI2372">IFERROR(_xlfn._xlws.FILTER(shifts!A:A,(shifts!B:B=events!AD2372)*(shifts!AG:AG&gt;=events!BK2372)*(shifts!AH:AH&lt;=events!BL2372)),BI2371)</f>
        <v>104</v>
      </c>
      <c r="BJ2372" s="15">
        <f t="shared" ref="BJ2372:BJ2435" si="2583">IF(AND(AG2372="",AH2372=""),0,((AE2372*60)+AF2372)-((AG2372*60)+AH2372))</f>
        <v>0</v>
      </c>
      <c r="BK2372">
        <f t="shared" si="2501"/>
        <v>67</v>
      </c>
      <c r="BL2372">
        <f t="shared" si="2502"/>
        <v>67</v>
      </c>
      <c r="BM2372" s="15">
        <f>SUMIFS(BJ$2:BJ2372,K$2:K2372,"=Intermission")+SUMIFS(BJ$2:BJ2372,K$2:K2372,"=Timeout")</f>
        <v>142</v>
      </c>
      <c r="BN2372">
        <f t="shared" si="2503"/>
        <v>2302</v>
      </c>
      <c r="BO2372" s="19">
        <f t="shared" si="2504"/>
        <v>3315</v>
      </c>
      <c r="BP2372">
        <f t="shared" si="2505"/>
        <v>3310</v>
      </c>
      <c r="BQ2372" s="17">
        <f t="shared" si="2506"/>
        <v>3315</v>
      </c>
      <c r="BR2372" t="str">
        <f t="shared" si="2507"/>
        <v>event_team_player_1</v>
      </c>
      <c r="BS2372">
        <f>COUNTIFS(S$3:S2372,"="&amp;S2372,AI$3:AI2372,"="&amp;AI2372)</f>
        <v>1</v>
      </c>
      <c r="BT2372" t="str">
        <f>IFERROR(VLOOKUP(BB2372&amp;BU2372&amp;X2372,game_rosters!U:W,3,FALSE),"")</f>
        <v>P100197</v>
      </c>
      <c r="BU2372" t="str">
        <f t="shared" si="2508"/>
        <v>Nelson</v>
      </c>
    </row>
    <row r="2373" spans="1:73" x14ac:dyDescent="0.2">
      <c r="A2373">
        <f t="shared" ref="A2373:A2436" si="2584">IF(K2373&lt;&gt;"",1,IF(D2373="x","x",""))</f>
        <v>1</v>
      </c>
      <c r="J2373" s="44" t="str">
        <f t="shared" si="2509"/>
        <v/>
      </c>
      <c r="K2373" t="s">
        <v>230</v>
      </c>
      <c r="L2373" t="s">
        <v>389</v>
      </c>
      <c r="M2373" t="s">
        <v>432</v>
      </c>
      <c r="S2373">
        <v>1264</v>
      </c>
      <c r="W2373" t="str">
        <f t="shared" si="2575"/>
        <v>h</v>
      </c>
      <c r="X2373">
        <v>8</v>
      </c>
      <c r="Y2373" t="b">
        <f>IF(X2373&lt;&gt;"",VLOOKUP(X2373,game_rosters!$C$43:$E$64,3,FALSE))</f>
        <v>0</v>
      </c>
      <c r="Z2373" cm="1">
        <f t="array" ref="Z2373">IFERROR(IF(_xlfn._xlws.FILTER(game_rosters!$J:$J,(game_rosters!$G:$G=events!$AN2373)*(game_rosters!$J:$J=events!$X2373))&gt;0,1,""),"")</f>
        <v>1</v>
      </c>
      <c r="AA2373">
        <f t="shared" si="2533"/>
        <v>2264</v>
      </c>
      <c r="AB2373" t="str">
        <f t="shared" si="2534"/>
        <v/>
      </c>
      <c r="AC2373">
        <f t="shared" si="2572"/>
        <v>2264</v>
      </c>
      <c r="AD2373" s="6">
        <v>3</v>
      </c>
      <c r="AE2373" t="s">
        <v>943</v>
      </c>
      <c r="AF2373" t="s">
        <v>747</v>
      </c>
      <c r="AG2373" t="s">
        <v>756</v>
      </c>
      <c r="AH2373" t="s">
        <v>756</v>
      </c>
      <c r="AI2373" t="s">
        <v>367</v>
      </c>
      <c r="AJ2373" t="str">
        <f t="shared" ref="AJ2373:AK2373" si="2585">IF($J2373&lt;&gt;"",$J2373,IF($AC2373=$AC2372,AJ2372,""))</f>
        <v/>
      </c>
      <c r="AK2373" t="str">
        <f t="shared" si="2585"/>
        <v/>
      </c>
      <c r="AL2373" t="str">
        <f t="shared" si="2577"/>
        <v/>
      </c>
      <c r="AN2373" t="s">
        <v>861</v>
      </c>
      <c r="AO2373" t="str">
        <f t="shared" si="2578"/>
        <v>h</v>
      </c>
      <c r="AP2373" t="str">
        <f t="shared" ref="AP2373:AP2429" si="2586">IF(AL2373&lt;&gt;"",AL2373,IF($AC2373=$AC2372,AP2372,""))</f>
        <v/>
      </c>
      <c r="AQ2373" t="str">
        <f t="shared" ref="AQ2373:AQ2429" si="2587">IF(AM2373&lt;&gt;"",AM2373,IF($AC2373=$AC2372,AQ2372,""))</f>
        <v/>
      </c>
      <c r="AR2373" t="str">
        <f t="shared" ref="AR2373:AR2436" si="2588">IF(AN2373&lt;&gt;"",AN2373,IF($AC2373=$AC2372,AR2372,""))</f>
        <v>Home</v>
      </c>
      <c r="AS2373" t="str">
        <f t="shared" ref="AS2373:AS2436" si="2589">IF(AO2373&lt;&gt;"",AO2373,IF($AC2373=$AC2372,AS2372,""))</f>
        <v>h</v>
      </c>
      <c r="AT2373" t="str">
        <f t="shared" ref="AT2373:AT2436" si="2590">IF(AND(AI2373="e",OR(BE2373="Save",BF2373="Turnover_Takeaway",BF2373="Play_Defensive")),"Defensive",IF(AND(AI2373="o",OR(BE2373="Save",BF2373="Turnover_Takeaway",BF2373="Play_Defensive")),"Offensive",IF(OR(BE2373="Deadice",BE2373="Stoppage",BE2373="Intermission"),"",IF(AI2373="e","Offensive",IF(AI2373="o","Defensive","")))))</f>
        <v>Defensive</v>
      </c>
      <c r="BA2373" s="6">
        <f t="shared" si="2579"/>
        <v>551</v>
      </c>
      <c r="BB2373">
        <f t="shared" si="2580"/>
        <v>18981</v>
      </c>
      <c r="BC2373" t="str">
        <f t="shared" si="2581"/>
        <v>Nelson</v>
      </c>
      <c r="BD2373" t="str">
        <f t="shared" si="2582"/>
        <v>Velodrome</v>
      </c>
      <c r="BE2373" t="s">
        <v>230</v>
      </c>
      <c r="BF2373" t="s">
        <v>389</v>
      </c>
      <c r="BG2373" t="s">
        <v>432</v>
      </c>
      <c r="BI2373" cm="1">
        <f t="array" ref="BI2373">IFERROR(_xlfn._xlws.FILTER(shifts!A:A,(shifts!B:B=events!AD2373)*(shifts!AG:AG&gt;=events!BK2373)*(shifts!AH:AH&lt;=events!BL2373)),BI2372)</f>
        <v>104</v>
      </c>
      <c r="BJ2373" s="15">
        <f t="shared" si="2583"/>
        <v>0</v>
      </c>
      <c r="BK2373">
        <f t="shared" ref="BK2373:BK2429" si="2591">(AE2373*60)+AF2373</f>
        <v>67</v>
      </c>
      <c r="BL2373">
        <f t="shared" ref="BL2373:BL2429" si="2592">IF(AND(AG2373="",AH2373=""),BK2373,((AG2373*60)+AH2373))</f>
        <v>67</v>
      </c>
      <c r="BM2373" s="15">
        <f>SUMIFS(BJ$2:BJ2373,K$2:K2373,"=Intermission")+SUMIFS(BJ$2:BJ2373,K$2:K2373,"=Timeout")</f>
        <v>142</v>
      </c>
      <c r="BN2373">
        <f t="shared" ref="BN2373:BN2429" si="2593">IF(AD2373=1,0,IF(AD2373=2,1080+BM2373,IF(AD2373=3,(1080*2)+BM2373,0)))</f>
        <v>2302</v>
      </c>
      <c r="BO2373" s="19">
        <f t="shared" ref="BO2373:BO2429" si="2594">IF(K2373="Intermission",BO2372,((1080)-((AE2373*60)+AF2373))+BN2373)</f>
        <v>3315</v>
      </c>
      <c r="BP2373">
        <f t="shared" ref="BP2373:BP2429" si="2595">IF(BO2373&lt;5,0,BO2373-5)</f>
        <v>3310</v>
      </c>
      <c r="BQ2373" s="17">
        <f t="shared" ref="BQ2373:BQ2429" si="2596">BP2373+BJ2373+5</f>
        <v>3315</v>
      </c>
      <c r="BR2373" t="str">
        <f t="shared" ref="BR2373:BR2429" si="2597">IF(AI2373="e","event_team_player_"&amp;BS2373,IF(AI2373="o","opp_team_player_"&amp;BS2373,""))</f>
        <v>event_team_player_2</v>
      </c>
      <c r="BS2373">
        <f>COUNTIFS(S$3:S2373,"="&amp;S2373,AI$3:AI2373,"="&amp;AI2373)</f>
        <v>2</v>
      </c>
      <c r="BT2373" t="str">
        <f>IFERROR(VLOOKUP(BB2373&amp;BU2373&amp;X2373,game_rosters!U:W,3,FALSE),"")</f>
        <v>P100074</v>
      </c>
      <c r="BU2373" t="str">
        <f t="shared" ref="BU2373:BU2429" si="2598">IF(AR2373="","",IF(AND(AR2373="Away",AI2373="e"),BD2373,IF(AND(AR2373="Home",AI2373="e"),BC2373,IF(AND(AR2373="Away",AI2373="o"),BC2373,IF(AND(AR2373="Home",AI2373="o"),BD2373)))))</f>
        <v>Nelson</v>
      </c>
    </row>
    <row r="2374" spans="1:73" x14ac:dyDescent="0.2">
      <c r="A2374">
        <f t="shared" si="2584"/>
        <v>1</v>
      </c>
      <c r="J2374" s="44" t="str">
        <f t="shared" ref="J2374:J2429" si="2599">IF(OR(K2374="Goal",K2374="Shot",L2374="Zone_Entry",M2374="Stoppage-Goal",M2373="Stoppage-Goal"),"o",IF(OR(K2374="Save",K2374="Rebound",L2374="Zone_Exit",M2374="Stoppage-GoalieStoppage",M2373="Stoppage-GoalieStoppage"),"d",IF(OR(L2374="Faceoff_AfterGoal",L2374="Faceoff_PeriodStart",698="Faceoff_GameStart",M2373="Stoppage-Goal"),"n","")))</f>
        <v/>
      </c>
      <c r="K2374" t="s">
        <v>230</v>
      </c>
      <c r="L2374" t="s">
        <v>389</v>
      </c>
      <c r="M2374" t="s">
        <v>432</v>
      </c>
      <c r="S2374">
        <v>1264</v>
      </c>
      <c r="W2374" t="str">
        <f t="shared" si="2575"/>
        <v>h</v>
      </c>
      <c r="X2374">
        <v>70</v>
      </c>
      <c r="Y2374" t="e">
        <f>IF(X2374&lt;&gt;"",VLOOKUP(X2374,game_rosters!$C$43:$E$64,3,FALSE))</f>
        <v>#N/A</v>
      </c>
      <c r="Z2374" t="str" cm="1">
        <f t="array" ref="Z2374">IFERROR(IF(_xlfn._xlws.FILTER(game_rosters!$J:$J,(game_rosters!$G:$G=events!$AN2374)*(game_rosters!$J:$J=events!$X2374))&gt;0,1,""),"")</f>
        <v/>
      </c>
      <c r="AA2374">
        <f t="shared" si="2533"/>
        <v>2264</v>
      </c>
      <c r="AB2374" t="str">
        <f t="shared" si="2534"/>
        <v/>
      </c>
      <c r="AC2374">
        <f t="shared" si="2572"/>
        <v>2264</v>
      </c>
      <c r="AD2374" s="6">
        <v>3</v>
      </c>
      <c r="AE2374" t="s">
        <v>943</v>
      </c>
      <c r="AF2374" t="s">
        <v>747</v>
      </c>
      <c r="AG2374" t="s">
        <v>756</v>
      </c>
      <c r="AH2374" t="s">
        <v>756</v>
      </c>
      <c r="AI2374" t="s">
        <v>368</v>
      </c>
      <c r="AJ2374" t="str">
        <f t="shared" ref="AJ2374:AK2374" si="2600">IF($J2374&lt;&gt;"",$J2374,IF($AC2374=$AC2373,AJ2373,""))</f>
        <v/>
      </c>
      <c r="AK2374" t="str">
        <f t="shared" si="2600"/>
        <v/>
      </c>
      <c r="AL2374" t="str">
        <f t="shared" si="2577"/>
        <v/>
      </c>
      <c r="AN2374" t="s">
        <v>861</v>
      </c>
      <c r="AO2374" t="str">
        <f t="shared" si="2578"/>
        <v>h</v>
      </c>
      <c r="AP2374" t="str">
        <f t="shared" si="2586"/>
        <v/>
      </c>
      <c r="AQ2374" t="str">
        <f t="shared" si="2587"/>
        <v/>
      </c>
      <c r="AR2374" t="str">
        <f t="shared" si="2588"/>
        <v>Home</v>
      </c>
      <c r="AS2374" t="str">
        <f t="shared" si="2589"/>
        <v>h</v>
      </c>
      <c r="AT2374" t="str">
        <f t="shared" si="2590"/>
        <v>Offensive</v>
      </c>
      <c r="BA2374" s="6">
        <f t="shared" si="2579"/>
        <v>551</v>
      </c>
      <c r="BB2374">
        <f t="shared" si="2580"/>
        <v>18981</v>
      </c>
      <c r="BC2374" t="str">
        <f t="shared" si="2581"/>
        <v>Nelson</v>
      </c>
      <c r="BD2374" t="str">
        <f t="shared" si="2582"/>
        <v>Velodrome</v>
      </c>
      <c r="BE2374" t="s">
        <v>230</v>
      </c>
      <c r="BF2374" t="s">
        <v>389</v>
      </c>
      <c r="BG2374" t="s">
        <v>432</v>
      </c>
      <c r="BI2374" cm="1">
        <f t="array" ref="BI2374">IFERROR(_xlfn._xlws.FILTER(shifts!A:A,(shifts!B:B=events!AD2374)*(shifts!AG:AG&gt;=events!BK2374)*(shifts!AH:AH&lt;=events!BL2374)),BI2373)</f>
        <v>104</v>
      </c>
      <c r="BJ2374" s="15">
        <f t="shared" si="2583"/>
        <v>0</v>
      </c>
      <c r="BK2374">
        <f t="shared" si="2591"/>
        <v>67</v>
      </c>
      <c r="BL2374">
        <f t="shared" si="2592"/>
        <v>67</v>
      </c>
      <c r="BM2374" s="15">
        <f>SUMIFS(BJ$2:BJ2374,K$2:K2374,"=Intermission")+SUMIFS(BJ$2:BJ2374,K$2:K2374,"=Timeout")</f>
        <v>142</v>
      </c>
      <c r="BN2374">
        <f t="shared" si="2593"/>
        <v>2302</v>
      </c>
      <c r="BO2374" s="19">
        <f t="shared" si="2594"/>
        <v>3315</v>
      </c>
      <c r="BP2374">
        <f t="shared" si="2595"/>
        <v>3310</v>
      </c>
      <c r="BQ2374" s="17">
        <f t="shared" si="2596"/>
        <v>3315</v>
      </c>
      <c r="BR2374" t="str">
        <f t="shared" si="2597"/>
        <v>opp_team_player_1</v>
      </c>
      <c r="BS2374">
        <f>COUNTIFS(S$3:S2374,"="&amp;S2374,AI$3:AI2374,"="&amp;AI2374)</f>
        <v>1</v>
      </c>
      <c r="BT2374" t="str">
        <f>IFERROR(VLOOKUP(BB2374&amp;BU2374&amp;X2374,game_rosters!U:W,3,FALSE),"")</f>
        <v>P100001</v>
      </c>
      <c r="BU2374" t="str">
        <f t="shared" si="2598"/>
        <v>Velodrome</v>
      </c>
    </row>
    <row r="2375" spans="1:73" x14ac:dyDescent="0.2">
      <c r="A2375">
        <f t="shared" si="2584"/>
        <v>1</v>
      </c>
      <c r="J2375" s="44" t="str">
        <f t="shared" si="2599"/>
        <v>o</v>
      </c>
      <c r="K2375" t="s">
        <v>6</v>
      </c>
      <c r="L2375" t="s">
        <v>191</v>
      </c>
      <c r="M2375" t="s">
        <v>51</v>
      </c>
      <c r="S2375">
        <v>1265</v>
      </c>
      <c r="W2375" t="str">
        <f t="shared" si="2575"/>
        <v>a</v>
      </c>
      <c r="X2375">
        <v>75</v>
      </c>
      <c r="Y2375" t="e">
        <f>IF(X2375&lt;&gt;"",VLOOKUP(X2375,game_rosters!$C$43:$E$64,3,FALSE))</f>
        <v>#N/A</v>
      </c>
      <c r="Z2375" cm="1">
        <f t="array" ref="Z2375">IFERROR(IF(_xlfn._xlws.FILTER(game_rosters!$J:$J,(game_rosters!$G:$G=events!$AN2375)*(game_rosters!$J:$J=events!$X2375))&gt;0,1,""),"")</f>
        <v>1</v>
      </c>
      <c r="AA2375">
        <f t="shared" si="2533"/>
        <v>2265</v>
      </c>
      <c r="AB2375" t="str">
        <f t="shared" si="2534"/>
        <v/>
      </c>
      <c r="AC2375">
        <f t="shared" si="2572"/>
        <v>2265</v>
      </c>
      <c r="AD2375" s="6">
        <v>3</v>
      </c>
      <c r="AE2375" t="s">
        <v>943</v>
      </c>
      <c r="AF2375" t="s">
        <v>925</v>
      </c>
      <c r="AG2375" t="s">
        <v>756</v>
      </c>
      <c r="AH2375" t="s">
        <v>756</v>
      </c>
      <c r="AI2375" t="s">
        <v>367</v>
      </c>
      <c r="AJ2375" t="str">
        <f t="shared" ref="AJ2375:AK2375" si="2601">IF($J2375&lt;&gt;"",$J2375,IF($AC2375=$AC2374,AJ2374,""))</f>
        <v>o</v>
      </c>
      <c r="AK2375" t="str">
        <f t="shared" si="2601"/>
        <v>o</v>
      </c>
      <c r="AL2375" t="str">
        <f t="shared" si="2577"/>
        <v>d</v>
      </c>
      <c r="AN2375" t="s">
        <v>862</v>
      </c>
      <c r="AO2375" t="str">
        <f t="shared" si="2578"/>
        <v>a</v>
      </c>
      <c r="AP2375" t="str">
        <f t="shared" si="2586"/>
        <v>d</v>
      </c>
      <c r="AQ2375" t="str">
        <f t="shared" si="2587"/>
        <v/>
      </c>
      <c r="AR2375" t="str">
        <f t="shared" si="2588"/>
        <v>Away</v>
      </c>
      <c r="AS2375" t="str">
        <f t="shared" si="2589"/>
        <v>a</v>
      </c>
      <c r="AT2375" t="str">
        <f t="shared" si="2590"/>
        <v>Offensive</v>
      </c>
      <c r="BA2375" s="6">
        <f t="shared" si="2579"/>
        <v>551</v>
      </c>
      <c r="BB2375">
        <f t="shared" si="2580"/>
        <v>18981</v>
      </c>
      <c r="BC2375" t="str">
        <f t="shared" si="2581"/>
        <v>Nelson</v>
      </c>
      <c r="BD2375" t="str">
        <f t="shared" si="2582"/>
        <v>Velodrome</v>
      </c>
      <c r="BE2375" t="s">
        <v>6</v>
      </c>
      <c r="BF2375" t="s">
        <v>191</v>
      </c>
      <c r="BG2375" t="s">
        <v>51</v>
      </c>
      <c r="BI2375" cm="1">
        <f t="array" ref="BI2375">IFERROR(_xlfn._xlws.FILTER(shifts!A:A,(shifts!B:B=events!AD2375)*(shifts!AG:AG&gt;=events!BK2375)*(shifts!AH:AH&lt;=events!BL2375)),BI2374)</f>
        <v>104</v>
      </c>
      <c r="BJ2375" s="15">
        <f t="shared" si="2583"/>
        <v>0</v>
      </c>
      <c r="BK2375">
        <f t="shared" si="2591"/>
        <v>63</v>
      </c>
      <c r="BL2375">
        <f t="shared" si="2592"/>
        <v>63</v>
      </c>
      <c r="BM2375" s="15">
        <f>SUMIFS(BJ$2:BJ2375,K$2:K2375,"=Intermission")+SUMIFS(BJ$2:BJ2375,K$2:K2375,"=Timeout")</f>
        <v>142</v>
      </c>
      <c r="BN2375">
        <f t="shared" si="2593"/>
        <v>2302</v>
      </c>
      <c r="BO2375" s="19">
        <f t="shared" si="2594"/>
        <v>3319</v>
      </c>
      <c r="BP2375">
        <f t="shared" si="2595"/>
        <v>3314</v>
      </c>
      <c r="BQ2375" s="17">
        <f t="shared" si="2596"/>
        <v>3319</v>
      </c>
      <c r="BR2375" t="str">
        <f t="shared" si="2597"/>
        <v>event_team_player_1</v>
      </c>
      <c r="BS2375">
        <f>COUNTIFS(S$3:S2375,"="&amp;S2375,AI$3:AI2375,"="&amp;AI2375)</f>
        <v>1</v>
      </c>
      <c r="BT2375" t="str">
        <f>IFERROR(VLOOKUP(BB2375&amp;BU2375&amp;X2375,game_rosters!U:W,3,FALSE),"")</f>
        <v>P100039</v>
      </c>
      <c r="BU2375" t="str">
        <f t="shared" si="2598"/>
        <v>Velodrome</v>
      </c>
    </row>
    <row r="2376" spans="1:73" x14ac:dyDescent="0.2">
      <c r="A2376">
        <f t="shared" si="2584"/>
        <v>1</v>
      </c>
      <c r="J2376" s="44" t="str">
        <f t="shared" si="2599"/>
        <v>o</v>
      </c>
      <c r="K2376" t="s">
        <v>6</v>
      </c>
      <c r="L2376" t="s">
        <v>191</v>
      </c>
      <c r="M2376" t="s">
        <v>51</v>
      </c>
      <c r="S2376">
        <v>1265</v>
      </c>
      <c r="W2376" t="str">
        <f t="shared" si="2575"/>
        <v>a</v>
      </c>
      <c r="X2376">
        <v>8</v>
      </c>
      <c r="Y2376" t="b">
        <f>IF(X2376&lt;&gt;"",VLOOKUP(X2376,game_rosters!$C$43:$E$64,3,FALSE))</f>
        <v>0</v>
      </c>
      <c r="Z2376" t="str" cm="1">
        <f t="array" ref="Z2376">IFERROR(IF(_xlfn._xlws.FILTER(game_rosters!$J:$J,(game_rosters!$G:$G=events!$AN2376)*(game_rosters!$J:$J=events!$X2376))&gt;0,1,""),"")</f>
        <v/>
      </c>
      <c r="AA2376">
        <f t="shared" si="2533"/>
        <v>2265</v>
      </c>
      <c r="AB2376" t="str">
        <f t="shared" si="2534"/>
        <v/>
      </c>
      <c r="AC2376">
        <f t="shared" si="2572"/>
        <v>2265</v>
      </c>
      <c r="AD2376" s="6">
        <v>3</v>
      </c>
      <c r="AE2376" t="s">
        <v>943</v>
      </c>
      <c r="AF2376" t="s">
        <v>925</v>
      </c>
      <c r="AG2376" t="s">
        <v>756</v>
      </c>
      <c r="AH2376" t="s">
        <v>756</v>
      </c>
      <c r="AI2376" t="s">
        <v>368</v>
      </c>
      <c r="AJ2376" t="str">
        <f t="shared" ref="AJ2376:AK2376" si="2602">IF($J2376&lt;&gt;"",$J2376,IF($AC2376=$AC2375,AJ2375,""))</f>
        <v>o</v>
      </c>
      <c r="AK2376" t="str">
        <f t="shared" si="2602"/>
        <v>o</v>
      </c>
      <c r="AL2376" t="str">
        <f t="shared" si="2577"/>
        <v>d</v>
      </c>
      <c r="AN2376" t="s">
        <v>862</v>
      </c>
      <c r="AO2376" t="str">
        <f t="shared" si="2578"/>
        <v>a</v>
      </c>
      <c r="AP2376" t="str">
        <f t="shared" si="2586"/>
        <v>d</v>
      </c>
      <c r="AQ2376" t="str">
        <f t="shared" si="2587"/>
        <v/>
      </c>
      <c r="AR2376" t="str">
        <f t="shared" si="2588"/>
        <v>Away</v>
      </c>
      <c r="AS2376" t="str">
        <f t="shared" si="2589"/>
        <v>a</v>
      </c>
      <c r="AT2376" t="str">
        <f t="shared" si="2590"/>
        <v>Defensive</v>
      </c>
      <c r="BA2376" s="6">
        <f t="shared" si="2579"/>
        <v>551</v>
      </c>
      <c r="BB2376">
        <f t="shared" si="2580"/>
        <v>18981</v>
      </c>
      <c r="BC2376" t="str">
        <f t="shared" si="2581"/>
        <v>Nelson</v>
      </c>
      <c r="BD2376" t="str">
        <f t="shared" si="2582"/>
        <v>Velodrome</v>
      </c>
      <c r="BE2376" t="s">
        <v>6</v>
      </c>
      <c r="BF2376" t="s">
        <v>191</v>
      </c>
      <c r="BG2376" t="s">
        <v>51</v>
      </c>
      <c r="BI2376" cm="1">
        <f t="array" ref="BI2376">IFERROR(_xlfn._xlws.FILTER(shifts!A:A,(shifts!B:B=events!AD2376)*(shifts!AG:AG&gt;=events!BK2376)*(shifts!AH:AH&lt;=events!BL2376)),BI2375)</f>
        <v>104</v>
      </c>
      <c r="BJ2376" s="15">
        <f t="shared" si="2583"/>
        <v>0</v>
      </c>
      <c r="BK2376">
        <f t="shared" si="2591"/>
        <v>63</v>
      </c>
      <c r="BL2376">
        <f t="shared" si="2592"/>
        <v>63</v>
      </c>
      <c r="BM2376" s="15">
        <f>SUMIFS(BJ$2:BJ2376,K$2:K2376,"=Intermission")+SUMIFS(BJ$2:BJ2376,K$2:K2376,"=Timeout")</f>
        <v>142</v>
      </c>
      <c r="BN2376">
        <f t="shared" si="2593"/>
        <v>2302</v>
      </c>
      <c r="BO2376" s="19">
        <f t="shared" si="2594"/>
        <v>3319</v>
      </c>
      <c r="BP2376">
        <f t="shared" si="2595"/>
        <v>3314</v>
      </c>
      <c r="BQ2376" s="17">
        <f t="shared" si="2596"/>
        <v>3319</v>
      </c>
      <c r="BR2376" t="str">
        <f t="shared" si="2597"/>
        <v>opp_team_player_1</v>
      </c>
      <c r="BS2376">
        <f>COUNTIFS(S$3:S2376,"="&amp;S2376,AI$3:AI2376,"="&amp;AI2376)</f>
        <v>1</v>
      </c>
      <c r="BT2376" t="str">
        <f>IFERROR(VLOOKUP(BB2376&amp;BU2376&amp;X2376,game_rosters!U:W,3,FALSE),"")</f>
        <v>P100074</v>
      </c>
      <c r="BU2376" t="str">
        <f t="shared" si="2598"/>
        <v>Nelson</v>
      </c>
    </row>
    <row r="2377" spans="1:73" x14ac:dyDescent="0.2">
      <c r="A2377">
        <f t="shared" si="2584"/>
        <v>1</v>
      </c>
      <c r="J2377" s="44" t="str">
        <f t="shared" si="2599"/>
        <v/>
      </c>
      <c r="K2377" t="s">
        <v>9</v>
      </c>
      <c r="L2377" t="s">
        <v>173</v>
      </c>
      <c r="M2377" t="s">
        <v>365</v>
      </c>
      <c r="S2377">
        <v>1266</v>
      </c>
      <c r="W2377" t="str">
        <f t="shared" si="2575"/>
        <v>h</v>
      </c>
      <c r="X2377">
        <v>8</v>
      </c>
      <c r="Y2377" t="b">
        <f>IF(X2377&lt;&gt;"",VLOOKUP(X2377,game_rosters!$C$43:$E$64,3,FALSE))</f>
        <v>0</v>
      </c>
      <c r="Z2377" cm="1">
        <f t="array" ref="Z2377">IFERROR(IF(_xlfn._xlws.FILTER(game_rosters!$J:$J,(game_rosters!$G:$G=events!$AN2377)*(game_rosters!$J:$J=events!$X2377))&gt;0,1,""),"")</f>
        <v>1</v>
      </c>
      <c r="AA2377">
        <f t="shared" si="2533"/>
        <v>2266</v>
      </c>
      <c r="AB2377" t="str">
        <f t="shared" si="2534"/>
        <v/>
      </c>
      <c r="AC2377">
        <f t="shared" si="2572"/>
        <v>2266</v>
      </c>
      <c r="AD2377" s="6">
        <v>3</v>
      </c>
      <c r="AE2377" t="s">
        <v>943</v>
      </c>
      <c r="AF2377" t="s">
        <v>413</v>
      </c>
      <c r="AG2377" t="s">
        <v>756</v>
      </c>
      <c r="AH2377" t="s">
        <v>756</v>
      </c>
      <c r="AI2377" t="s">
        <v>367</v>
      </c>
      <c r="AJ2377" t="str">
        <f t="shared" ref="AJ2377:AK2377" si="2603">IF($J2377&lt;&gt;"",$J2377,IF($AC2377=$AC2376,AJ2376,""))</f>
        <v/>
      </c>
      <c r="AK2377" t="str">
        <f t="shared" si="2603"/>
        <v/>
      </c>
      <c r="AL2377" t="str">
        <f t="shared" si="2577"/>
        <v/>
      </c>
      <c r="AN2377" t="s">
        <v>861</v>
      </c>
      <c r="AO2377" t="str">
        <f t="shared" si="2578"/>
        <v>h</v>
      </c>
      <c r="AP2377" t="str">
        <f t="shared" si="2586"/>
        <v/>
      </c>
      <c r="AQ2377" t="str">
        <f t="shared" si="2587"/>
        <v/>
      </c>
      <c r="AR2377" t="str">
        <f t="shared" si="2588"/>
        <v>Home</v>
      </c>
      <c r="AS2377" t="str">
        <f t="shared" si="2589"/>
        <v>h</v>
      </c>
      <c r="AT2377" t="str">
        <f t="shared" si="2590"/>
        <v>Offensive</v>
      </c>
      <c r="BA2377" s="6">
        <f t="shared" si="2579"/>
        <v>551</v>
      </c>
      <c r="BB2377">
        <f t="shared" si="2580"/>
        <v>18981</v>
      </c>
      <c r="BC2377" t="str">
        <f t="shared" si="2581"/>
        <v>Nelson</v>
      </c>
      <c r="BD2377" t="str">
        <f t="shared" si="2582"/>
        <v>Velodrome</v>
      </c>
      <c r="BE2377" t="s">
        <v>9</v>
      </c>
      <c r="BF2377" t="s">
        <v>173</v>
      </c>
      <c r="BG2377" t="s">
        <v>365</v>
      </c>
      <c r="BI2377" cm="1">
        <f t="array" ref="BI2377">IFERROR(_xlfn._xlws.FILTER(shifts!A:A,(shifts!B:B=events!AD2377)*(shifts!AG:AG&gt;=events!BK2377)*(shifts!AH:AH&lt;=events!BL2377)),BI2376)</f>
        <v>104</v>
      </c>
      <c r="BJ2377" s="15">
        <f t="shared" si="2583"/>
        <v>0</v>
      </c>
      <c r="BK2377">
        <f t="shared" si="2591"/>
        <v>60</v>
      </c>
      <c r="BL2377">
        <f t="shared" si="2592"/>
        <v>60</v>
      </c>
      <c r="BM2377" s="15">
        <f>SUMIFS(BJ$2:BJ2377,K$2:K2377,"=Intermission")+SUMIFS(BJ$2:BJ2377,K$2:K2377,"=Timeout")</f>
        <v>142</v>
      </c>
      <c r="BN2377">
        <f t="shared" si="2593"/>
        <v>2302</v>
      </c>
      <c r="BO2377" s="19">
        <f t="shared" si="2594"/>
        <v>3322</v>
      </c>
      <c r="BP2377">
        <f t="shared" si="2595"/>
        <v>3317</v>
      </c>
      <c r="BQ2377" s="17">
        <f t="shared" si="2596"/>
        <v>3322</v>
      </c>
      <c r="BR2377" t="str">
        <f t="shared" si="2597"/>
        <v>event_team_player_1</v>
      </c>
      <c r="BS2377">
        <f>COUNTIFS(S$3:S2377,"="&amp;S2377,AI$3:AI2377,"="&amp;AI2377)</f>
        <v>1</v>
      </c>
      <c r="BT2377" t="str">
        <f>IFERROR(VLOOKUP(BB2377&amp;BU2377&amp;X2377,game_rosters!U:W,3,FALSE),"")</f>
        <v>P100074</v>
      </c>
      <c r="BU2377" t="str">
        <f t="shared" si="2598"/>
        <v>Nelson</v>
      </c>
    </row>
    <row r="2378" spans="1:73" x14ac:dyDescent="0.2">
      <c r="A2378">
        <f t="shared" si="2584"/>
        <v>1</v>
      </c>
      <c r="J2378" s="44" t="str">
        <f t="shared" si="2599"/>
        <v/>
      </c>
      <c r="K2378" t="s">
        <v>238</v>
      </c>
      <c r="L2378" t="s">
        <v>193</v>
      </c>
      <c r="M2378" t="s">
        <v>91</v>
      </c>
      <c r="S2378">
        <v>1267</v>
      </c>
      <c r="W2378" t="str">
        <f t="shared" si="2575"/>
        <v>a</v>
      </c>
      <c r="X2378">
        <v>52</v>
      </c>
      <c r="Y2378" t="e">
        <f>IF(X2378&lt;&gt;"",VLOOKUP(X2378,game_rosters!$C$43:$E$64,3,FALSE))</f>
        <v>#N/A</v>
      </c>
      <c r="Z2378" cm="1">
        <f t="array" ref="Z2378">IFERROR(IF(_xlfn._xlws.FILTER(game_rosters!$J:$J,(game_rosters!$G:$G=events!$AN2378)*(game_rosters!$J:$J=events!$X2378))&gt;0,1,""),"")</f>
        <v>1</v>
      </c>
      <c r="AA2378">
        <f t="shared" si="2533"/>
        <v>2267</v>
      </c>
      <c r="AB2378" t="str">
        <f t="shared" si="2534"/>
        <v/>
      </c>
      <c r="AC2378">
        <f t="shared" si="2572"/>
        <v>2267</v>
      </c>
      <c r="AD2378" s="6">
        <v>3</v>
      </c>
      <c r="AE2378" t="s">
        <v>943</v>
      </c>
      <c r="AF2378" t="s">
        <v>413</v>
      </c>
      <c r="AG2378" t="s">
        <v>756</v>
      </c>
      <c r="AH2378" t="s">
        <v>756</v>
      </c>
      <c r="AI2378" t="s">
        <v>367</v>
      </c>
      <c r="AJ2378" t="str">
        <f t="shared" ref="AJ2378:AK2378" si="2604">IF($J2378&lt;&gt;"",$J2378,IF($AC2378=$AC2377,AJ2377,""))</f>
        <v/>
      </c>
      <c r="AK2378" t="str">
        <f t="shared" si="2604"/>
        <v/>
      </c>
      <c r="AL2378" t="str">
        <f t="shared" si="2577"/>
        <v/>
      </c>
      <c r="AN2378" t="s">
        <v>862</v>
      </c>
      <c r="AO2378" t="str">
        <f t="shared" si="2578"/>
        <v>a</v>
      </c>
      <c r="AP2378" t="str">
        <f t="shared" si="2586"/>
        <v/>
      </c>
      <c r="AQ2378" t="str">
        <f t="shared" si="2587"/>
        <v/>
      </c>
      <c r="AR2378" t="str">
        <f t="shared" si="2588"/>
        <v>Away</v>
      </c>
      <c r="AS2378" t="str">
        <f t="shared" si="2589"/>
        <v>a</v>
      </c>
      <c r="AT2378" t="str">
        <f t="shared" si="2590"/>
        <v>Offensive</v>
      </c>
      <c r="BA2378" s="6">
        <f t="shared" si="2579"/>
        <v>551</v>
      </c>
      <c r="BB2378">
        <f t="shared" si="2580"/>
        <v>18981</v>
      </c>
      <c r="BC2378" t="str">
        <f t="shared" si="2581"/>
        <v>Nelson</v>
      </c>
      <c r="BD2378" t="str">
        <f t="shared" si="2582"/>
        <v>Velodrome</v>
      </c>
      <c r="BE2378" t="s">
        <v>238</v>
      </c>
      <c r="BF2378" t="s">
        <v>193</v>
      </c>
      <c r="BG2378" t="s">
        <v>91</v>
      </c>
      <c r="BI2378" cm="1">
        <f t="array" ref="BI2378">IFERROR(_xlfn._xlws.FILTER(shifts!A:A,(shifts!B:B=events!AD2378)*(shifts!AG:AG&gt;=events!BK2378)*(shifts!AH:AH&lt;=events!BL2378)),BI2377)</f>
        <v>104</v>
      </c>
      <c r="BJ2378" s="15">
        <f t="shared" si="2583"/>
        <v>0</v>
      </c>
      <c r="BK2378">
        <f t="shared" si="2591"/>
        <v>60</v>
      </c>
      <c r="BL2378">
        <f t="shared" si="2592"/>
        <v>60</v>
      </c>
      <c r="BM2378" s="15">
        <f>SUMIFS(BJ$2:BJ2378,K$2:K2378,"=Intermission")+SUMIFS(BJ$2:BJ2378,K$2:K2378,"=Timeout")</f>
        <v>142</v>
      </c>
      <c r="BN2378">
        <f t="shared" si="2593"/>
        <v>2302</v>
      </c>
      <c r="BO2378" s="19">
        <f t="shared" si="2594"/>
        <v>3322</v>
      </c>
      <c r="BP2378">
        <f t="shared" si="2595"/>
        <v>3317</v>
      </c>
      <c r="BQ2378" s="17">
        <f t="shared" si="2596"/>
        <v>3322</v>
      </c>
      <c r="BR2378" t="str">
        <f t="shared" si="2597"/>
        <v>event_team_player_1</v>
      </c>
      <c r="BS2378">
        <f>COUNTIFS(S$3:S2378,"="&amp;S2378,AI$3:AI2378,"="&amp;AI2378)</f>
        <v>1</v>
      </c>
      <c r="BT2378" t="str">
        <f>IFERROR(VLOOKUP(BB2378&amp;BU2378&amp;X2378,game_rosters!U:W,3,FALSE),"")</f>
        <v>P100070</v>
      </c>
      <c r="BU2378" t="str">
        <f t="shared" si="2598"/>
        <v>Velodrome</v>
      </c>
    </row>
    <row r="2379" spans="1:73" x14ac:dyDescent="0.2">
      <c r="A2379">
        <f t="shared" si="2584"/>
        <v>1</v>
      </c>
      <c r="J2379" s="44" t="str">
        <f t="shared" si="2599"/>
        <v/>
      </c>
      <c r="K2379" t="s">
        <v>13</v>
      </c>
      <c r="L2379" t="s">
        <v>756</v>
      </c>
      <c r="M2379" t="s">
        <v>756</v>
      </c>
      <c r="S2379">
        <v>1268</v>
      </c>
      <c r="W2379" t="str">
        <f t="shared" si="2575"/>
        <v>a</v>
      </c>
      <c r="X2379">
        <v>52</v>
      </c>
      <c r="Y2379" t="e">
        <f>IF(X2379&lt;&gt;"",VLOOKUP(X2379,game_rosters!$C$43:$E$64,3,FALSE))</f>
        <v>#N/A</v>
      </c>
      <c r="Z2379" cm="1">
        <f t="array" ref="Z2379">IFERROR(IF(_xlfn._xlws.FILTER(game_rosters!$J:$J,(game_rosters!$G:$G=events!$AN2379)*(game_rosters!$J:$J=events!$X2379))&gt;0,1,""),"")</f>
        <v>1</v>
      </c>
      <c r="AA2379">
        <f t="shared" si="2533"/>
        <v>2268</v>
      </c>
      <c r="AB2379" t="str">
        <f t="shared" si="2534"/>
        <v/>
      </c>
      <c r="AC2379">
        <f t="shared" si="2572"/>
        <v>2268</v>
      </c>
      <c r="AD2379" s="6">
        <v>3</v>
      </c>
      <c r="AE2379" t="s">
        <v>943</v>
      </c>
      <c r="AF2379" t="s">
        <v>413</v>
      </c>
      <c r="AG2379" t="s">
        <v>742</v>
      </c>
      <c r="AH2379" t="s">
        <v>932</v>
      </c>
      <c r="AI2379" t="s">
        <v>367</v>
      </c>
      <c r="AJ2379" t="str">
        <f t="shared" ref="AJ2379:AK2379" si="2605">IF($J2379&lt;&gt;"",$J2379,IF($AC2379=$AC2378,AJ2378,""))</f>
        <v/>
      </c>
      <c r="AK2379" t="str">
        <f t="shared" si="2605"/>
        <v/>
      </c>
      <c r="AL2379" t="str">
        <f t="shared" si="2577"/>
        <v/>
      </c>
      <c r="AN2379" t="s">
        <v>862</v>
      </c>
      <c r="AO2379" t="str">
        <f t="shared" si="2578"/>
        <v>a</v>
      </c>
      <c r="AP2379" t="str">
        <f t="shared" si="2586"/>
        <v/>
      </c>
      <c r="AQ2379" t="str">
        <f t="shared" si="2587"/>
        <v/>
      </c>
      <c r="AR2379" t="str">
        <f t="shared" si="2588"/>
        <v>Away</v>
      </c>
      <c r="AS2379" t="str">
        <f t="shared" si="2589"/>
        <v>a</v>
      </c>
      <c r="AT2379" t="str">
        <f t="shared" si="2590"/>
        <v>Offensive</v>
      </c>
      <c r="BA2379" s="6">
        <f t="shared" si="2579"/>
        <v>551</v>
      </c>
      <c r="BB2379">
        <f t="shared" si="2580"/>
        <v>18981</v>
      </c>
      <c r="BC2379" t="str">
        <f t="shared" si="2581"/>
        <v>Nelson</v>
      </c>
      <c r="BD2379" t="str">
        <f t="shared" si="2582"/>
        <v>Velodrome</v>
      </c>
      <c r="BE2379" t="s">
        <v>13</v>
      </c>
      <c r="BF2379" t="s">
        <v>756</v>
      </c>
      <c r="BG2379" t="s">
        <v>756</v>
      </c>
      <c r="BI2379" cm="1">
        <f t="array" ref="BI2379">IFERROR(_xlfn._xlws.FILTER(shifts!A:A,(shifts!B:B=events!AD2379)*(shifts!AG:AG&gt;=events!BK2379)*(shifts!AH:AH&lt;=events!BL2379)),BI2378)</f>
        <v>104</v>
      </c>
      <c r="BJ2379" s="15">
        <f t="shared" si="2583"/>
        <v>2</v>
      </c>
      <c r="BK2379">
        <f t="shared" si="2591"/>
        <v>60</v>
      </c>
      <c r="BL2379">
        <f t="shared" si="2592"/>
        <v>58</v>
      </c>
      <c r="BM2379" s="15">
        <f>SUMIFS(BJ$2:BJ2379,K$2:K2379,"=Intermission")+SUMIFS(BJ$2:BJ2379,K$2:K2379,"=Timeout")</f>
        <v>142</v>
      </c>
      <c r="BN2379">
        <f t="shared" si="2593"/>
        <v>2302</v>
      </c>
      <c r="BO2379" s="19">
        <f t="shared" si="2594"/>
        <v>3322</v>
      </c>
      <c r="BP2379">
        <f t="shared" si="2595"/>
        <v>3317</v>
      </c>
      <c r="BQ2379" s="17">
        <f t="shared" si="2596"/>
        <v>3324</v>
      </c>
      <c r="BR2379" t="str">
        <f t="shared" si="2597"/>
        <v>event_team_player_1</v>
      </c>
      <c r="BS2379">
        <f>COUNTIFS(S$3:S2379,"="&amp;S2379,AI$3:AI2379,"="&amp;AI2379)</f>
        <v>1</v>
      </c>
      <c r="BT2379" t="str">
        <f>IFERROR(VLOOKUP(BB2379&amp;BU2379&amp;X2379,game_rosters!U:W,3,FALSE),"")</f>
        <v>P100070</v>
      </c>
      <c r="BU2379" t="str">
        <f t="shared" si="2598"/>
        <v>Velodrome</v>
      </c>
    </row>
    <row r="2380" spans="1:73" x14ac:dyDescent="0.2">
      <c r="A2380">
        <f t="shared" si="2584"/>
        <v>1</v>
      </c>
      <c r="J2380" s="44" t="str">
        <f t="shared" si="2599"/>
        <v>o</v>
      </c>
      <c r="K2380" t="s">
        <v>6</v>
      </c>
      <c r="L2380" t="s">
        <v>181</v>
      </c>
      <c r="M2380" t="s">
        <v>51</v>
      </c>
      <c r="S2380">
        <v>1269</v>
      </c>
      <c r="W2380" t="str">
        <f t="shared" si="2575"/>
        <v>a</v>
      </c>
      <c r="X2380">
        <v>52</v>
      </c>
      <c r="Y2380" t="e">
        <f>IF(X2380&lt;&gt;"",VLOOKUP(X2380,game_rosters!$C$43:$E$64,3,FALSE))</f>
        <v>#N/A</v>
      </c>
      <c r="Z2380" cm="1">
        <f t="array" ref="Z2380">IFERROR(IF(_xlfn._xlws.FILTER(game_rosters!$J:$J,(game_rosters!$G:$G=events!$AN2380)*(game_rosters!$J:$J=events!$X2380))&gt;0,1,""),"")</f>
        <v>1</v>
      </c>
      <c r="AA2380">
        <f t="shared" si="2533"/>
        <v>2269</v>
      </c>
      <c r="AB2380" t="str">
        <f t="shared" si="2534"/>
        <v/>
      </c>
      <c r="AC2380">
        <f t="shared" si="2572"/>
        <v>2269</v>
      </c>
      <c r="AD2380" s="6">
        <v>3</v>
      </c>
      <c r="AE2380" t="s">
        <v>742</v>
      </c>
      <c r="AF2380" t="s">
        <v>932</v>
      </c>
      <c r="AG2380" t="s">
        <v>756</v>
      </c>
      <c r="AH2380" t="s">
        <v>756</v>
      </c>
      <c r="AI2380" t="s">
        <v>367</v>
      </c>
      <c r="AJ2380" t="str">
        <f t="shared" ref="AJ2380:AK2380" si="2606">IF($J2380&lt;&gt;"",$J2380,IF($AC2380=$AC2379,AJ2379,""))</f>
        <v>o</v>
      </c>
      <c r="AK2380" t="str">
        <f t="shared" si="2606"/>
        <v>o</v>
      </c>
      <c r="AL2380" t="str">
        <f t="shared" si="2577"/>
        <v>d</v>
      </c>
      <c r="AN2380" t="s">
        <v>862</v>
      </c>
      <c r="AO2380" t="str">
        <f t="shared" si="2578"/>
        <v>a</v>
      </c>
      <c r="AP2380" t="str">
        <f t="shared" si="2586"/>
        <v>d</v>
      </c>
      <c r="AQ2380" t="str">
        <f t="shared" si="2587"/>
        <v/>
      </c>
      <c r="AR2380" t="str">
        <f t="shared" si="2588"/>
        <v>Away</v>
      </c>
      <c r="AS2380" t="str">
        <f t="shared" si="2589"/>
        <v>a</v>
      </c>
      <c r="AT2380" t="str">
        <f t="shared" si="2590"/>
        <v>Offensive</v>
      </c>
      <c r="BA2380" s="6">
        <f t="shared" si="2579"/>
        <v>551</v>
      </c>
      <c r="BB2380">
        <f t="shared" si="2580"/>
        <v>18981</v>
      </c>
      <c r="BC2380" t="str">
        <f t="shared" si="2581"/>
        <v>Nelson</v>
      </c>
      <c r="BD2380" t="str">
        <f t="shared" si="2582"/>
        <v>Velodrome</v>
      </c>
      <c r="BE2380" t="s">
        <v>6</v>
      </c>
      <c r="BF2380" t="s">
        <v>181</v>
      </c>
      <c r="BG2380" t="s">
        <v>51</v>
      </c>
      <c r="BI2380" cm="1">
        <f t="array" ref="BI2380">IFERROR(_xlfn._xlws.FILTER(shifts!A:A,(shifts!B:B=events!AD2380)*(shifts!AG:AG&gt;=events!BK2380)*(shifts!AH:AH&lt;=events!BL2380)),BI2379)</f>
        <v>104</v>
      </c>
      <c r="BJ2380" s="15">
        <f t="shared" si="2583"/>
        <v>0</v>
      </c>
      <c r="BK2380">
        <f t="shared" si="2591"/>
        <v>58</v>
      </c>
      <c r="BL2380">
        <f t="shared" si="2592"/>
        <v>58</v>
      </c>
      <c r="BM2380" s="15">
        <f>SUMIFS(BJ$2:BJ2380,K$2:K2380,"=Intermission")+SUMIFS(BJ$2:BJ2380,K$2:K2380,"=Timeout")</f>
        <v>142</v>
      </c>
      <c r="BN2380">
        <f t="shared" si="2593"/>
        <v>2302</v>
      </c>
      <c r="BO2380" s="19">
        <f t="shared" si="2594"/>
        <v>3324</v>
      </c>
      <c r="BP2380">
        <f t="shared" si="2595"/>
        <v>3319</v>
      </c>
      <c r="BQ2380" s="17">
        <f t="shared" si="2596"/>
        <v>3324</v>
      </c>
      <c r="BR2380" t="str">
        <f t="shared" si="2597"/>
        <v>event_team_player_1</v>
      </c>
      <c r="BS2380">
        <f>COUNTIFS(S$3:S2380,"="&amp;S2380,AI$3:AI2380,"="&amp;AI2380)</f>
        <v>1</v>
      </c>
      <c r="BT2380" t="str">
        <f>IFERROR(VLOOKUP(BB2380&amp;BU2380&amp;X2380,game_rosters!U:W,3,FALSE),"")</f>
        <v>P100070</v>
      </c>
      <c r="BU2380" t="str">
        <f t="shared" si="2598"/>
        <v>Velodrome</v>
      </c>
    </row>
    <row r="2381" spans="1:73" x14ac:dyDescent="0.2">
      <c r="A2381">
        <f t="shared" si="2584"/>
        <v>1</v>
      </c>
      <c r="J2381" s="44" t="str">
        <f t="shared" si="2599"/>
        <v/>
      </c>
      <c r="K2381" t="s">
        <v>10</v>
      </c>
      <c r="L2381" t="s">
        <v>175</v>
      </c>
      <c r="M2381" t="s">
        <v>135</v>
      </c>
      <c r="S2381">
        <v>1270</v>
      </c>
      <c r="W2381" t="str">
        <f t="shared" si="2575"/>
        <v>a</v>
      </c>
      <c r="X2381">
        <v>87</v>
      </c>
      <c r="Y2381" t="e">
        <f>IF(X2381&lt;&gt;"",VLOOKUP(X2381,game_rosters!$C$43:$E$64,3,FALSE))</f>
        <v>#N/A</v>
      </c>
      <c r="Z2381" cm="1">
        <f t="array" ref="Z2381">IFERROR(IF(_xlfn._xlws.FILTER(game_rosters!$J:$J,(game_rosters!$G:$G=events!$AN2381)*(game_rosters!$J:$J=events!$X2381))&gt;0,1,""),"")</f>
        <v>1</v>
      </c>
      <c r="AA2381">
        <f t="shared" si="2533"/>
        <v>2270</v>
      </c>
      <c r="AB2381" t="str">
        <f t="shared" si="2534"/>
        <v/>
      </c>
      <c r="AC2381">
        <f t="shared" si="2572"/>
        <v>2270</v>
      </c>
      <c r="AD2381" s="6">
        <v>3</v>
      </c>
      <c r="AE2381" t="s">
        <v>742</v>
      </c>
      <c r="AF2381" t="s">
        <v>737</v>
      </c>
      <c r="AG2381" t="s">
        <v>756</v>
      </c>
      <c r="AH2381" t="s">
        <v>756</v>
      </c>
      <c r="AI2381" t="s">
        <v>367</v>
      </c>
      <c r="AJ2381" t="str">
        <f t="shared" ref="AJ2381:AK2381" si="2607">IF($J2381&lt;&gt;"",$J2381,IF($AC2381=$AC2380,AJ2380,""))</f>
        <v/>
      </c>
      <c r="AK2381" t="str">
        <f t="shared" si="2607"/>
        <v/>
      </c>
      <c r="AL2381" t="str">
        <f t="shared" si="2577"/>
        <v/>
      </c>
      <c r="AN2381" t="s">
        <v>862</v>
      </c>
      <c r="AO2381" t="str">
        <f t="shared" si="2578"/>
        <v>a</v>
      </c>
      <c r="AP2381" t="str">
        <f t="shared" si="2586"/>
        <v/>
      </c>
      <c r="AQ2381" t="str">
        <f t="shared" si="2587"/>
        <v/>
      </c>
      <c r="AR2381" t="str">
        <f t="shared" si="2588"/>
        <v>Away</v>
      </c>
      <c r="AS2381" t="str">
        <f t="shared" si="2589"/>
        <v>a</v>
      </c>
      <c r="AT2381" t="str">
        <f t="shared" si="2590"/>
        <v>Offensive</v>
      </c>
      <c r="BA2381" s="6">
        <f t="shared" si="2579"/>
        <v>551</v>
      </c>
      <c r="BB2381">
        <f t="shared" si="2580"/>
        <v>18981</v>
      </c>
      <c r="BC2381" t="str">
        <f t="shared" si="2581"/>
        <v>Nelson</v>
      </c>
      <c r="BD2381" t="str">
        <f t="shared" si="2582"/>
        <v>Velodrome</v>
      </c>
      <c r="BE2381" t="s">
        <v>10</v>
      </c>
      <c r="BF2381" t="s">
        <v>175</v>
      </c>
      <c r="BG2381" t="s">
        <v>135</v>
      </c>
      <c r="BI2381">
        <v>104</v>
      </c>
      <c r="BJ2381" s="15">
        <f t="shared" si="2583"/>
        <v>0</v>
      </c>
      <c r="BK2381">
        <f t="shared" si="2591"/>
        <v>46</v>
      </c>
      <c r="BL2381">
        <f t="shared" si="2592"/>
        <v>46</v>
      </c>
      <c r="BM2381" s="15">
        <f>SUMIFS(BJ$2:BJ2381,K$2:K2381,"=Intermission")+SUMIFS(BJ$2:BJ2381,K$2:K2381,"=Timeout")</f>
        <v>142</v>
      </c>
      <c r="BN2381">
        <f t="shared" si="2593"/>
        <v>2302</v>
      </c>
      <c r="BO2381" s="19">
        <f t="shared" si="2594"/>
        <v>3336</v>
      </c>
      <c r="BP2381">
        <f t="shared" si="2595"/>
        <v>3331</v>
      </c>
      <c r="BQ2381" s="17">
        <f t="shared" si="2596"/>
        <v>3336</v>
      </c>
      <c r="BR2381" t="str">
        <f t="shared" si="2597"/>
        <v>event_team_player_1</v>
      </c>
      <c r="BS2381">
        <f>COUNTIFS(S$3:S2381,"="&amp;S2381,AI$3:AI2381,"="&amp;AI2381)</f>
        <v>1</v>
      </c>
      <c r="BT2381" t="str">
        <f>IFERROR(VLOOKUP(BB2381&amp;BU2381&amp;X2381,game_rosters!U:W,3,FALSE),"")</f>
        <v>P100159</v>
      </c>
      <c r="BU2381" t="str">
        <f t="shared" si="2598"/>
        <v>Velodrome</v>
      </c>
    </row>
    <row r="2382" spans="1:73" x14ac:dyDescent="0.2">
      <c r="A2382">
        <f t="shared" si="2584"/>
        <v>1</v>
      </c>
      <c r="J2382" s="44" t="str">
        <f t="shared" si="2599"/>
        <v/>
      </c>
      <c r="K2382" t="s">
        <v>10</v>
      </c>
      <c r="L2382" t="s">
        <v>175</v>
      </c>
      <c r="M2382" t="s">
        <v>135</v>
      </c>
      <c r="S2382">
        <v>1271</v>
      </c>
      <c r="W2382" t="str">
        <f t="shared" si="2575"/>
        <v>h</v>
      </c>
      <c r="X2382">
        <v>80</v>
      </c>
      <c r="Y2382" t="b">
        <f>IF(X2382&lt;&gt;"",VLOOKUP(X2382,game_rosters!$C$43:$E$64,3,FALSE))</f>
        <v>0</v>
      </c>
      <c r="Z2382" cm="1">
        <f t="array" ref="Z2382">IFERROR(IF(_xlfn._xlws.FILTER(game_rosters!$J:$J,(game_rosters!$G:$G=events!$AN2382)*(game_rosters!$J:$J=events!$X2382))&gt;0,1,""),"")</f>
        <v>1</v>
      </c>
      <c r="AA2382">
        <f t="shared" si="2533"/>
        <v>2271</v>
      </c>
      <c r="AB2382" t="str">
        <f t="shared" si="2534"/>
        <v/>
      </c>
      <c r="AC2382">
        <f t="shared" si="2572"/>
        <v>2271</v>
      </c>
      <c r="AD2382" s="6">
        <v>3</v>
      </c>
      <c r="AE2382" t="s">
        <v>742</v>
      </c>
      <c r="AF2382" t="s">
        <v>737</v>
      </c>
      <c r="AG2382" t="s">
        <v>756</v>
      </c>
      <c r="AH2382" t="s">
        <v>756</v>
      </c>
      <c r="AI2382" t="s">
        <v>367</v>
      </c>
      <c r="AJ2382" t="str">
        <f t="shared" ref="AJ2382:AK2382" si="2608">IF($J2382&lt;&gt;"",$J2382,IF($AC2382=$AC2381,AJ2381,""))</f>
        <v/>
      </c>
      <c r="AK2382" t="str">
        <f t="shared" si="2608"/>
        <v/>
      </c>
      <c r="AL2382" t="str">
        <f t="shared" si="2577"/>
        <v/>
      </c>
      <c r="AN2382" t="s">
        <v>861</v>
      </c>
      <c r="AO2382" t="str">
        <f t="shared" si="2578"/>
        <v>h</v>
      </c>
      <c r="AP2382" t="str">
        <f t="shared" si="2586"/>
        <v/>
      </c>
      <c r="AQ2382" t="str">
        <f t="shared" si="2587"/>
        <v/>
      </c>
      <c r="AR2382" t="str">
        <f t="shared" si="2588"/>
        <v>Home</v>
      </c>
      <c r="AS2382" t="str">
        <f t="shared" si="2589"/>
        <v>h</v>
      </c>
      <c r="AT2382" t="str">
        <f t="shared" si="2590"/>
        <v>Offensive</v>
      </c>
      <c r="BA2382" s="6">
        <f t="shared" si="2579"/>
        <v>551</v>
      </c>
      <c r="BB2382">
        <f t="shared" si="2580"/>
        <v>18981</v>
      </c>
      <c r="BC2382" t="str">
        <f t="shared" si="2581"/>
        <v>Nelson</v>
      </c>
      <c r="BD2382" t="str">
        <f t="shared" si="2582"/>
        <v>Velodrome</v>
      </c>
      <c r="BE2382" t="s">
        <v>10</v>
      </c>
      <c r="BF2382" t="s">
        <v>175</v>
      </c>
      <c r="BG2382" t="s">
        <v>135</v>
      </c>
      <c r="BI2382">
        <v>104</v>
      </c>
      <c r="BJ2382" s="15">
        <f t="shared" si="2583"/>
        <v>0</v>
      </c>
      <c r="BK2382">
        <f t="shared" si="2591"/>
        <v>46</v>
      </c>
      <c r="BL2382">
        <f t="shared" si="2592"/>
        <v>46</v>
      </c>
      <c r="BM2382" s="15">
        <f>SUMIFS(BJ$2:BJ2382,K$2:K2382,"=Intermission")+SUMIFS(BJ$2:BJ2382,K$2:K2382,"=Timeout")</f>
        <v>142</v>
      </c>
      <c r="BN2382">
        <f t="shared" si="2593"/>
        <v>2302</v>
      </c>
      <c r="BO2382" s="19">
        <f t="shared" si="2594"/>
        <v>3336</v>
      </c>
      <c r="BP2382">
        <f t="shared" si="2595"/>
        <v>3331</v>
      </c>
      <c r="BQ2382" s="17">
        <f t="shared" si="2596"/>
        <v>3336</v>
      </c>
      <c r="BR2382" t="str">
        <f t="shared" si="2597"/>
        <v>event_team_player_1</v>
      </c>
      <c r="BS2382">
        <f>COUNTIFS(S$3:S2382,"="&amp;S2382,AI$3:AI2382,"="&amp;AI2382)</f>
        <v>1</v>
      </c>
      <c r="BT2382" t="str">
        <f>IFERROR(VLOOKUP(BB2382&amp;BU2382&amp;X2382,game_rosters!U:W,3,FALSE),"")</f>
        <v>P100197</v>
      </c>
      <c r="BU2382" t="str">
        <f t="shared" si="2598"/>
        <v>Nelson</v>
      </c>
    </row>
    <row r="2383" spans="1:73" x14ac:dyDescent="0.2">
      <c r="A2383">
        <f t="shared" si="2584"/>
        <v>1</v>
      </c>
      <c r="J2383" s="44" t="str">
        <f t="shared" si="2599"/>
        <v/>
      </c>
      <c r="K2383" t="s">
        <v>11</v>
      </c>
      <c r="L2383" t="s">
        <v>187</v>
      </c>
      <c r="M2383" t="s">
        <v>41</v>
      </c>
      <c r="S2383">
        <v>1272</v>
      </c>
      <c r="W2383" t="str">
        <f t="shared" si="2575"/>
        <v>h</v>
      </c>
      <c r="X2383">
        <v>80</v>
      </c>
      <c r="Y2383" t="b">
        <f>IF(X2383&lt;&gt;"",VLOOKUP(X2383,game_rosters!$C$43:$E$64,3,FALSE))</f>
        <v>0</v>
      </c>
      <c r="Z2383" cm="1">
        <f t="array" ref="Z2383">IFERROR(IF(_xlfn._xlws.FILTER(game_rosters!$J:$J,(game_rosters!$G:$G=events!$AN2383)*(game_rosters!$J:$J=events!$X2383))&gt;0,1,""),"")</f>
        <v>1</v>
      </c>
      <c r="AA2383">
        <f t="shared" si="2533"/>
        <v>2272</v>
      </c>
      <c r="AB2383" t="str">
        <f t="shared" si="2534"/>
        <v/>
      </c>
      <c r="AC2383">
        <f t="shared" si="2572"/>
        <v>2272</v>
      </c>
      <c r="AD2383" s="6">
        <v>3</v>
      </c>
      <c r="AE2383" t="s">
        <v>742</v>
      </c>
      <c r="AF2383" t="s">
        <v>737</v>
      </c>
      <c r="AG2383" t="s">
        <v>756</v>
      </c>
      <c r="AH2383" t="s">
        <v>756</v>
      </c>
      <c r="AI2383" t="s">
        <v>367</v>
      </c>
      <c r="AJ2383" t="str">
        <f t="shared" ref="AJ2383:AK2383" si="2609">IF($J2383&lt;&gt;"",$J2383,IF($AC2383=$AC2382,AJ2382,""))</f>
        <v/>
      </c>
      <c r="AK2383" t="str">
        <f t="shared" si="2609"/>
        <v/>
      </c>
      <c r="AL2383" t="str">
        <f t="shared" si="2577"/>
        <v/>
      </c>
      <c r="AN2383" t="s">
        <v>861</v>
      </c>
      <c r="AO2383" t="str">
        <f t="shared" si="2578"/>
        <v>h</v>
      </c>
      <c r="AP2383" t="str">
        <f t="shared" si="2586"/>
        <v/>
      </c>
      <c r="AQ2383" t="str">
        <f t="shared" si="2587"/>
        <v/>
      </c>
      <c r="AR2383" t="str">
        <f t="shared" si="2588"/>
        <v>Home</v>
      </c>
      <c r="AS2383" t="str">
        <f t="shared" si="2589"/>
        <v>h</v>
      </c>
      <c r="AT2383" t="str">
        <f t="shared" si="2590"/>
        <v/>
      </c>
      <c r="BA2383" s="6">
        <f t="shared" si="2579"/>
        <v>551</v>
      </c>
      <c r="BB2383">
        <f t="shared" si="2580"/>
        <v>18981</v>
      </c>
      <c r="BC2383" t="str">
        <f t="shared" si="2581"/>
        <v>Nelson</v>
      </c>
      <c r="BD2383" t="str">
        <f t="shared" si="2582"/>
        <v>Velodrome</v>
      </c>
      <c r="BE2383" t="s">
        <v>11</v>
      </c>
      <c r="BF2383" t="s">
        <v>187</v>
      </c>
      <c r="BG2383" t="s">
        <v>41</v>
      </c>
      <c r="BI2383">
        <v>104</v>
      </c>
      <c r="BJ2383" s="15">
        <f t="shared" si="2583"/>
        <v>0</v>
      </c>
      <c r="BK2383">
        <f t="shared" si="2591"/>
        <v>46</v>
      </c>
      <c r="BL2383">
        <f t="shared" si="2592"/>
        <v>46</v>
      </c>
      <c r="BM2383" s="15">
        <f>SUMIFS(BJ$2:BJ2383,K$2:K2383,"=Intermission")+SUMIFS(BJ$2:BJ2383,K$2:K2383,"=Timeout")</f>
        <v>142</v>
      </c>
      <c r="BN2383">
        <f t="shared" si="2593"/>
        <v>2302</v>
      </c>
      <c r="BO2383" s="19">
        <f t="shared" si="2594"/>
        <v>3336</v>
      </c>
      <c r="BP2383">
        <f t="shared" si="2595"/>
        <v>3331</v>
      </c>
      <c r="BQ2383" s="17">
        <f t="shared" si="2596"/>
        <v>3336</v>
      </c>
      <c r="BR2383" t="str">
        <f t="shared" si="2597"/>
        <v>event_team_player_1</v>
      </c>
      <c r="BS2383">
        <f>COUNTIFS(S$3:S2383,"="&amp;S2383,AI$3:AI2383,"="&amp;AI2383)</f>
        <v>1</v>
      </c>
      <c r="BT2383" t="str">
        <f>IFERROR(VLOOKUP(BB2383&amp;BU2383&amp;X2383,game_rosters!U:W,3,FALSE),"")</f>
        <v>P100197</v>
      </c>
      <c r="BU2383" t="str">
        <f t="shared" si="2598"/>
        <v>Nelson</v>
      </c>
    </row>
    <row r="2384" spans="1:73" x14ac:dyDescent="0.2">
      <c r="A2384">
        <f t="shared" si="2584"/>
        <v>1</v>
      </c>
      <c r="J2384" s="44" t="str">
        <f t="shared" si="2599"/>
        <v/>
      </c>
      <c r="K2384" t="s">
        <v>398</v>
      </c>
      <c r="L2384" t="s">
        <v>756</v>
      </c>
      <c r="M2384" t="s">
        <v>756</v>
      </c>
      <c r="S2384">
        <v>1273</v>
      </c>
      <c r="W2384" t="str">
        <f t="shared" si="2575"/>
        <v/>
      </c>
      <c r="Y2384" t="b">
        <f>IF(X2384&lt;&gt;"",VLOOKUP(X2384,game_rosters!$C$43:$E$64,3,FALSE))</f>
        <v>0</v>
      </c>
      <c r="Z2384" t="e" cm="1" vm="1">
        <f t="array" aca="1" ref="Z2384" ca="1">IFERROR(IF(_xlfn._xlws.FILTER(game_rosters!$J:$J,(game_rosters!$G:$G=events!$AN2384)*(game_rosters!$J:$J=events!$X2384))&gt;0,1,""),"")</f>
        <v>#VALUE!</v>
      </c>
      <c r="AA2384">
        <f t="shared" si="2533"/>
        <v>2273</v>
      </c>
      <c r="AB2384" t="str">
        <f t="shared" si="2534"/>
        <v/>
      </c>
      <c r="AC2384">
        <f t="shared" si="2572"/>
        <v>2273</v>
      </c>
      <c r="AD2384" s="6">
        <v>3</v>
      </c>
      <c r="AE2384" t="s">
        <v>902</v>
      </c>
      <c r="AF2384" t="s">
        <v>910</v>
      </c>
      <c r="AG2384" t="s">
        <v>924</v>
      </c>
      <c r="AH2384" t="s">
        <v>939</v>
      </c>
      <c r="AJ2384" t="str">
        <f t="shared" ref="AJ2384:AK2384" si="2610">IF($J2384&lt;&gt;"",$J2384,IF($AC2384=$AC2383,AJ2383,""))</f>
        <v/>
      </c>
      <c r="AK2384" t="str">
        <f t="shared" si="2610"/>
        <v/>
      </c>
      <c r="AL2384" t="str">
        <f t="shared" si="2577"/>
        <v/>
      </c>
      <c r="AN2384" t="s">
        <v>756</v>
      </c>
      <c r="AO2384" t="str">
        <f t="shared" si="2578"/>
        <v/>
      </c>
      <c r="AP2384" t="str">
        <f t="shared" si="2586"/>
        <v/>
      </c>
      <c r="AQ2384" t="str">
        <f t="shared" si="2587"/>
        <v/>
      </c>
      <c r="AR2384" t="str">
        <f t="shared" si="2588"/>
        <v/>
      </c>
      <c r="AS2384" t="str">
        <f t="shared" si="2589"/>
        <v/>
      </c>
      <c r="AT2384" t="str">
        <f t="shared" si="2590"/>
        <v/>
      </c>
      <c r="BA2384" s="6">
        <f t="shared" si="2579"/>
        <v>551</v>
      </c>
      <c r="BB2384">
        <f t="shared" si="2580"/>
        <v>18981</v>
      </c>
      <c r="BC2384" t="str">
        <f t="shared" si="2581"/>
        <v>Nelson</v>
      </c>
      <c r="BD2384" t="str">
        <f t="shared" si="2582"/>
        <v>Velodrome</v>
      </c>
      <c r="BE2384" t="s">
        <v>398</v>
      </c>
      <c r="BF2384" t="s">
        <v>756</v>
      </c>
      <c r="BG2384" t="s">
        <v>756</v>
      </c>
      <c r="BI2384">
        <v>104</v>
      </c>
      <c r="BJ2384" s="15">
        <f t="shared" si="2583"/>
        <v>62</v>
      </c>
      <c r="BK2384">
        <f t="shared" si="2591"/>
        <v>2530</v>
      </c>
      <c r="BL2384">
        <f t="shared" si="2592"/>
        <v>2468</v>
      </c>
      <c r="BM2384" s="15">
        <f>SUMIFS(BJ$2:BJ2384,K$2:K2384,"=Intermission")+SUMIFS(BJ$2:BJ2384,K$2:K2384,"=Timeout")+SUMIFS(BJ$2:BJ2384,K$2:K2384,"=Clockstop")</f>
        <v>204</v>
      </c>
      <c r="BN2384">
        <f>IF(AD2384=1,0,IF(AD2384=2,1080+BM2384,IF(AD2384=3,(1080*2)+BM2384,0)))</f>
        <v>2364</v>
      </c>
      <c r="BO2384" s="19">
        <f t="shared" si="2594"/>
        <v>914</v>
      </c>
      <c r="BP2384">
        <f t="shared" si="2595"/>
        <v>909</v>
      </c>
      <c r="BQ2384" s="17">
        <f t="shared" si="2596"/>
        <v>976</v>
      </c>
      <c r="BR2384" t="str">
        <f t="shared" si="2597"/>
        <v/>
      </c>
      <c r="BS2384">
        <f>COUNTIFS(S$3:S2384,"="&amp;S2384,AI$3:AI2384,"="&amp;AI2384)</f>
        <v>1</v>
      </c>
      <c r="BT2384" t="str">
        <f>IFERROR(VLOOKUP(BB2384&amp;BU2384&amp;X2384,game_rosters!U:W,3,FALSE),"")</f>
        <v/>
      </c>
      <c r="BU2384" t="str">
        <f t="shared" si="2598"/>
        <v/>
      </c>
    </row>
    <row r="2385" spans="1:73" x14ac:dyDescent="0.2">
      <c r="A2385">
        <f t="shared" si="2584"/>
        <v>1</v>
      </c>
      <c r="J2385" s="44" t="str">
        <f t="shared" si="2599"/>
        <v/>
      </c>
      <c r="K2385" t="s">
        <v>5</v>
      </c>
      <c r="L2385" t="s">
        <v>180</v>
      </c>
      <c r="M2385" t="s">
        <v>756</v>
      </c>
      <c r="S2385">
        <v>1274</v>
      </c>
      <c r="W2385" t="str">
        <f t="shared" si="2575"/>
        <v>a</v>
      </c>
      <c r="X2385">
        <v>42</v>
      </c>
      <c r="Y2385" t="e">
        <f>IF(X2385&lt;&gt;"",VLOOKUP(X2385,game_rosters!$C$43:$E$64,3,FALSE))</f>
        <v>#N/A</v>
      </c>
      <c r="Z2385" cm="1">
        <f t="array" ref="Z2385">IFERROR(IF(_xlfn._xlws.FILTER(game_rosters!$J:$J,(game_rosters!$G:$G=events!$AN2385)*(game_rosters!$J:$J=events!$X2385))&gt;0,1,""),"")</f>
        <v>1</v>
      </c>
      <c r="AA2385">
        <f t="shared" si="2533"/>
        <v>2274</v>
      </c>
      <c r="AB2385" t="str">
        <f t="shared" si="2534"/>
        <v/>
      </c>
      <c r="AC2385">
        <f t="shared" si="2572"/>
        <v>2274</v>
      </c>
      <c r="AD2385" s="6">
        <v>3</v>
      </c>
      <c r="AE2385" t="s">
        <v>742</v>
      </c>
      <c r="AF2385" t="s">
        <v>737</v>
      </c>
      <c r="AG2385" t="s">
        <v>756</v>
      </c>
      <c r="AH2385" t="s">
        <v>756</v>
      </c>
      <c r="AI2385" t="s">
        <v>367</v>
      </c>
      <c r="AJ2385" t="str">
        <f t="shared" ref="AJ2385:AK2385" si="2611">IF($J2385&lt;&gt;"",$J2385,IF($AC2385=$AC2384,AJ2384,""))</f>
        <v/>
      </c>
      <c r="AK2385" t="str">
        <f t="shared" si="2611"/>
        <v/>
      </c>
      <c r="AL2385" t="str">
        <f t="shared" si="2577"/>
        <v/>
      </c>
      <c r="AN2385" t="s">
        <v>862</v>
      </c>
      <c r="AO2385" t="str">
        <f t="shared" si="2578"/>
        <v>a</v>
      </c>
      <c r="AP2385" t="str">
        <f t="shared" si="2586"/>
        <v/>
      </c>
      <c r="AQ2385" t="str">
        <f t="shared" si="2587"/>
        <v/>
      </c>
      <c r="AR2385" t="str">
        <f t="shared" si="2588"/>
        <v>Away</v>
      </c>
      <c r="AS2385" t="str">
        <f t="shared" si="2589"/>
        <v>a</v>
      </c>
      <c r="AT2385" t="str">
        <f t="shared" si="2590"/>
        <v>Offensive</v>
      </c>
      <c r="BA2385" s="6">
        <f t="shared" si="2579"/>
        <v>551</v>
      </c>
      <c r="BB2385">
        <f t="shared" si="2580"/>
        <v>18981</v>
      </c>
      <c r="BC2385" t="str">
        <f t="shared" si="2581"/>
        <v>Nelson</v>
      </c>
      <c r="BD2385" t="str">
        <f t="shared" si="2582"/>
        <v>Velodrome</v>
      </c>
      <c r="BE2385" t="s">
        <v>5</v>
      </c>
      <c r="BF2385" t="s">
        <v>180</v>
      </c>
      <c r="BG2385" t="s">
        <v>756</v>
      </c>
      <c r="BI2385">
        <v>105</v>
      </c>
      <c r="BJ2385" s="15">
        <f t="shared" si="2583"/>
        <v>0</v>
      </c>
      <c r="BK2385">
        <f t="shared" si="2591"/>
        <v>46</v>
      </c>
      <c r="BL2385">
        <f t="shared" si="2592"/>
        <v>46</v>
      </c>
      <c r="BM2385" s="15">
        <f>SUMIFS(BJ$2:BJ2385,K$2:K2385,"=Intermission")+SUMIFS(BJ$2:BJ2385,K$2:K2385,"=Timeout")+SUMIFS(BJ$2:BJ2385,K$2:K2385,"=Clockstop")</f>
        <v>204</v>
      </c>
      <c r="BN2385">
        <f t="shared" si="2593"/>
        <v>2364</v>
      </c>
      <c r="BO2385" s="19">
        <f t="shared" si="2594"/>
        <v>3398</v>
      </c>
      <c r="BP2385">
        <f t="shared" si="2595"/>
        <v>3393</v>
      </c>
      <c r="BQ2385" s="17">
        <f t="shared" si="2596"/>
        <v>3398</v>
      </c>
      <c r="BR2385" t="str">
        <f t="shared" si="2597"/>
        <v>event_team_player_1</v>
      </c>
      <c r="BS2385">
        <f>COUNTIFS(S$3:S2385,"="&amp;S2385,AI$3:AI2385,"="&amp;AI2385)</f>
        <v>1</v>
      </c>
      <c r="BT2385" t="str">
        <f>IFERROR(VLOOKUP(BB2385&amp;BU2385&amp;X2385,game_rosters!U:W,3,FALSE),"")</f>
        <v>P100201</v>
      </c>
      <c r="BU2385" t="str">
        <f t="shared" si="2598"/>
        <v>Velodrome</v>
      </c>
    </row>
    <row r="2386" spans="1:73" x14ac:dyDescent="0.2">
      <c r="A2386">
        <f t="shared" si="2584"/>
        <v>1</v>
      </c>
      <c r="J2386" s="44" t="str">
        <f t="shared" si="2599"/>
        <v/>
      </c>
      <c r="K2386" t="s">
        <v>5</v>
      </c>
      <c r="L2386" t="s">
        <v>180</v>
      </c>
      <c r="M2386" t="s">
        <v>756</v>
      </c>
      <c r="S2386">
        <v>1274</v>
      </c>
      <c r="W2386" t="str">
        <f t="shared" si="2575"/>
        <v>a</v>
      </c>
      <c r="X2386">
        <v>70</v>
      </c>
      <c r="Y2386" t="e">
        <f>IF(X2386&lt;&gt;"",VLOOKUP(X2386,game_rosters!$C$43:$E$64,3,FALSE))</f>
        <v>#N/A</v>
      </c>
      <c r="Z2386" cm="1">
        <f t="array" ref="Z2386">IFERROR(IF(_xlfn._xlws.FILTER(game_rosters!$J:$J,(game_rosters!$G:$G=events!$AN2386)*(game_rosters!$J:$J=events!$X2386))&gt;0,1,""),"")</f>
        <v>1</v>
      </c>
      <c r="AA2386">
        <f t="shared" si="2533"/>
        <v>2274</v>
      </c>
      <c r="AB2386" t="str">
        <f t="shared" si="2534"/>
        <v/>
      </c>
      <c r="AC2386">
        <f t="shared" si="2572"/>
        <v>2274</v>
      </c>
      <c r="AD2386" s="6">
        <v>3</v>
      </c>
      <c r="AE2386" t="s">
        <v>742</v>
      </c>
      <c r="AF2386" t="s">
        <v>737</v>
      </c>
      <c r="AG2386" t="s">
        <v>756</v>
      </c>
      <c r="AH2386" t="s">
        <v>756</v>
      </c>
      <c r="AI2386" t="s">
        <v>367</v>
      </c>
      <c r="AJ2386" t="str">
        <f t="shared" ref="AJ2386:AK2386" si="2612">IF($J2386&lt;&gt;"",$J2386,IF($AC2386=$AC2385,AJ2385,""))</f>
        <v/>
      </c>
      <c r="AK2386" t="str">
        <f t="shared" si="2612"/>
        <v/>
      </c>
      <c r="AL2386" t="str">
        <f t="shared" si="2577"/>
        <v/>
      </c>
      <c r="AN2386" t="s">
        <v>862</v>
      </c>
      <c r="AO2386" t="str">
        <f t="shared" si="2578"/>
        <v>a</v>
      </c>
      <c r="AP2386" t="str">
        <f t="shared" si="2586"/>
        <v/>
      </c>
      <c r="AQ2386" t="str">
        <f t="shared" si="2587"/>
        <v/>
      </c>
      <c r="AR2386" t="str">
        <f t="shared" si="2588"/>
        <v>Away</v>
      </c>
      <c r="AS2386" t="str">
        <f t="shared" si="2589"/>
        <v>a</v>
      </c>
      <c r="AT2386" t="str">
        <f t="shared" si="2590"/>
        <v>Offensive</v>
      </c>
      <c r="BA2386" s="6">
        <f t="shared" si="2579"/>
        <v>551</v>
      </c>
      <c r="BB2386">
        <f t="shared" si="2580"/>
        <v>18981</v>
      </c>
      <c r="BC2386" t="str">
        <f t="shared" si="2581"/>
        <v>Nelson</v>
      </c>
      <c r="BD2386" t="str">
        <f t="shared" si="2582"/>
        <v>Velodrome</v>
      </c>
      <c r="BE2386" t="s">
        <v>5</v>
      </c>
      <c r="BF2386" t="s">
        <v>180</v>
      </c>
      <c r="BG2386" t="s">
        <v>756</v>
      </c>
      <c r="BI2386">
        <v>105</v>
      </c>
      <c r="BJ2386" s="15">
        <f t="shared" si="2583"/>
        <v>0</v>
      </c>
      <c r="BK2386">
        <f t="shared" si="2591"/>
        <v>46</v>
      </c>
      <c r="BL2386">
        <f t="shared" si="2592"/>
        <v>46</v>
      </c>
      <c r="BM2386" s="15">
        <f>SUMIFS(BJ$2:BJ2386,K$2:K2386,"=Intermission")+SUMIFS(BJ$2:BJ2386,K$2:K2386,"=Timeout")+SUMIFS(BJ$2:BJ2386,K$2:K2386,"=Clockstop")</f>
        <v>204</v>
      </c>
      <c r="BN2386">
        <f t="shared" si="2593"/>
        <v>2364</v>
      </c>
      <c r="BO2386" s="19">
        <f t="shared" si="2594"/>
        <v>3398</v>
      </c>
      <c r="BP2386">
        <f t="shared" si="2595"/>
        <v>3393</v>
      </c>
      <c r="BQ2386" s="17">
        <f t="shared" si="2596"/>
        <v>3398</v>
      </c>
      <c r="BR2386" t="str">
        <f t="shared" si="2597"/>
        <v>event_team_player_2</v>
      </c>
      <c r="BS2386">
        <f>COUNTIFS(S$3:S2386,"="&amp;S2386,AI$3:AI2386,"="&amp;AI2386)</f>
        <v>2</v>
      </c>
      <c r="BT2386" t="str">
        <f>IFERROR(VLOOKUP(BB2386&amp;BU2386&amp;X2386,game_rosters!U:W,3,FALSE),"")</f>
        <v>P100001</v>
      </c>
      <c r="BU2386" t="str">
        <f t="shared" si="2598"/>
        <v>Velodrome</v>
      </c>
    </row>
    <row r="2387" spans="1:73" x14ac:dyDescent="0.2">
      <c r="A2387">
        <f t="shared" si="2584"/>
        <v>1</v>
      </c>
      <c r="J2387" s="44" t="str">
        <f t="shared" si="2599"/>
        <v/>
      </c>
      <c r="K2387" t="s">
        <v>5</v>
      </c>
      <c r="L2387" t="s">
        <v>180</v>
      </c>
      <c r="M2387" t="s">
        <v>756</v>
      </c>
      <c r="S2387">
        <v>1274</v>
      </c>
      <c r="W2387" t="str">
        <f t="shared" si="2575"/>
        <v>a</v>
      </c>
      <c r="X2387">
        <v>10</v>
      </c>
      <c r="Y2387" t="b">
        <f>IF(X2387&lt;&gt;"",VLOOKUP(X2387,game_rosters!$C$43:$E$64,3,FALSE))</f>
        <v>0</v>
      </c>
      <c r="Z2387" t="str" cm="1">
        <f t="array" ref="Z2387">IFERROR(IF(_xlfn._xlws.FILTER(game_rosters!$J:$J,(game_rosters!$G:$G=events!$AN2387)*(game_rosters!$J:$J=events!$X2387))&gt;0,1,""),"")</f>
        <v/>
      </c>
      <c r="AA2387">
        <f t="shared" si="2533"/>
        <v>2274</v>
      </c>
      <c r="AB2387" t="str">
        <f t="shared" si="2534"/>
        <v/>
      </c>
      <c r="AC2387">
        <f t="shared" si="2572"/>
        <v>2274</v>
      </c>
      <c r="AD2387" s="6">
        <v>3</v>
      </c>
      <c r="AE2387" t="s">
        <v>742</v>
      </c>
      <c r="AF2387" t="s">
        <v>737</v>
      </c>
      <c r="AG2387" t="s">
        <v>756</v>
      </c>
      <c r="AH2387" t="s">
        <v>756</v>
      </c>
      <c r="AI2387" t="s">
        <v>368</v>
      </c>
      <c r="AJ2387" t="str">
        <f t="shared" ref="AJ2387:AK2387" si="2613">IF($J2387&lt;&gt;"",$J2387,IF($AC2387=$AC2386,AJ2386,""))</f>
        <v/>
      </c>
      <c r="AK2387" t="str">
        <f t="shared" si="2613"/>
        <v/>
      </c>
      <c r="AL2387" t="str">
        <f t="shared" si="2577"/>
        <v/>
      </c>
      <c r="AN2387" t="s">
        <v>862</v>
      </c>
      <c r="AO2387" t="str">
        <f t="shared" si="2578"/>
        <v>a</v>
      </c>
      <c r="AP2387" t="str">
        <f t="shared" si="2586"/>
        <v/>
      </c>
      <c r="AQ2387" t="str">
        <f t="shared" si="2587"/>
        <v/>
      </c>
      <c r="AR2387" t="str">
        <f t="shared" si="2588"/>
        <v>Away</v>
      </c>
      <c r="AS2387" t="str">
        <f t="shared" si="2589"/>
        <v>a</v>
      </c>
      <c r="AT2387" t="str">
        <f t="shared" si="2590"/>
        <v>Defensive</v>
      </c>
      <c r="BA2387" s="6">
        <f t="shared" si="2579"/>
        <v>551</v>
      </c>
      <c r="BB2387">
        <f t="shared" si="2580"/>
        <v>18981</v>
      </c>
      <c r="BC2387" t="str">
        <f t="shared" si="2581"/>
        <v>Nelson</v>
      </c>
      <c r="BD2387" t="str">
        <f t="shared" si="2582"/>
        <v>Velodrome</v>
      </c>
      <c r="BE2387" t="s">
        <v>5</v>
      </c>
      <c r="BF2387" t="s">
        <v>180</v>
      </c>
      <c r="BG2387" t="s">
        <v>756</v>
      </c>
      <c r="BI2387">
        <v>105</v>
      </c>
      <c r="BJ2387" s="15">
        <f t="shared" si="2583"/>
        <v>0</v>
      </c>
      <c r="BK2387">
        <f t="shared" si="2591"/>
        <v>46</v>
      </c>
      <c r="BL2387">
        <f t="shared" si="2592"/>
        <v>46</v>
      </c>
      <c r="BM2387" s="15">
        <f>SUMIFS(BJ$2:BJ2387,K$2:K2387,"=Intermission")+SUMIFS(BJ$2:BJ2387,K$2:K2387,"=Timeout")+SUMIFS(BJ$2:BJ2387,K$2:K2387,"=Clockstop")</f>
        <v>204</v>
      </c>
      <c r="BN2387">
        <f t="shared" si="2593"/>
        <v>2364</v>
      </c>
      <c r="BO2387" s="19">
        <f t="shared" si="2594"/>
        <v>3398</v>
      </c>
      <c r="BP2387">
        <f t="shared" si="2595"/>
        <v>3393</v>
      </c>
      <c r="BQ2387" s="17">
        <f t="shared" si="2596"/>
        <v>3398</v>
      </c>
      <c r="BR2387" t="str">
        <f t="shared" si="2597"/>
        <v>opp_team_player_1</v>
      </c>
      <c r="BS2387">
        <f>COUNTIFS(S$3:S2387,"="&amp;S2387,AI$3:AI2387,"="&amp;AI2387)</f>
        <v>1</v>
      </c>
      <c r="BT2387" t="str">
        <f>IFERROR(VLOOKUP(BB2387&amp;BU2387&amp;X2387,game_rosters!U:W,3,FALSE),"")</f>
        <v>P100078</v>
      </c>
      <c r="BU2387" t="str">
        <f t="shared" si="2598"/>
        <v>Nelson</v>
      </c>
    </row>
    <row r="2388" spans="1:73" x14ac:dyDescent="0.2">
      <c r="A2388">
        <f t="shared" si="2584"/>
        <v>1</v>
      </c>
      <c r="J2388" s="44" t="str">
        <f t="shared" si="2599"/>
        <v/>
      </c>
      <c r="K2388" t="s">
        <v>7</v>
      </c>
      <c r="L2388" t="s">
        <v>172</v>
      </c>
      <c r="M2388" t="s">
        <v>68</v>
      </c>
      <c r="S2388">
        <v>1275</v>
      </c>
      <c r="W2388" t="str">
        <f t="shared" si="2575"/>
        <v>a</v>
      </c>
      <c r="X2388">
        <v>70</v>
      </c>
      <c r="Y2388" t="e">
        <f>IF(X2388&lt;&gt;"",VLOOKUP(X2388,game_rosters!$C$43:$E$64,3,FALSE))</f>
        <v>#N/A</v>
      </c>
      <c r="Z2388" cm="1">
        <f t="array" ref="Z2388">IFERROR(IF(_xlfn._xlws.FILTER(game_rosters!$J:$J,(game_rosters!$G:$G=events!$AN2388)*(game_rosters!$J:$J=events!$X2388))&gt;0,1,""),"")</f>
        <v>1</v>
      </c>
      <c r="AA2388">
        <f t="shared" si="2533"/>
        <v>2275</v>
      </c>
      <c r="AB2388" t="str">
        <f t="shared" si="2534"/>
        <v/>
      </c>
      <c r="AC2388">
        <f t="shared" si="2572"/>
        <v>2275</v>
      </c>
      <c r="AD2388" s="6">
        <v>3</v>
      </c>
      <c r="AE2388" t="s">
        <v>742</v>
      </c>
      <c r="AF2388" t="s">
        <v>935</v>
      </c>
      <c r="AG2388" t="s">
        <v>756</v>
      </c>
      <c r="AH2388" t="s">
        <v>756</v>
      </c>
      <c r="AI2388" t="s">
        <v>367</v>
      </c>
      <c r="AJ2388" t="str">
        <f t="shared" ref="AJ2388:AK2388" si="2614">IF($J2388&lt;&gt;"",$J2388,IF($AC2388=$AC2387,AJ2387,""))</f>
        <v/>
      </c>
      <c r="AK2388" t="str">
        <f t="shared" si="2614"/>
        <v/>
      </c>
      <c r="AL2388" t="str">
        <f t="shared" si="2577"/>
        <v/>
      </c>
      <c r="AN2388" t="s">
        <v>862</v>
      </c>
      <c r="AO2388" t="str">
        <f t="shared" si="2578"/>
        <v>a</v>
      </c>
      <c r="AP2388" t="str">
        <f t="shared" si="2586"/>
        <v/>
      </c>
      <c r="AQ2388" t="str">
        <f t="shared" si="2587"/>
        <v/>
      </c>
      <c r="AR2388" t="str">
        <f t="shared" si="2588"/>
        <v>Away</v>
      </c>
      <c r="AS2388" t="str">
        <f t="shared" si="2589"/>
        <v>a</v>
      </c>
      <c r="AT2388" t="str">
        <f t="shared" si="2590"/>
        <v>Offensive</v>
      </c>
      <c r="BA2388" s="6">
        <f t="shared" si="2579"/>
        <v>551</v>
      </c>
      <c r="BB2388">
        <f t="shared" si="2580"/>
        <v>18981</v>
      </c>
      <c r="BC2388" t="str">
        <f t="shared" si="2581"/>
        <v>Nelson</v>
      </c>
      <c r="BD2388" t="str">
        <f t="shared" si="2582"/>
        <v>Velodrome</v>
      </c>
      <c r="BE2388" t="s">
        <v>7</v>
      </c>
      <c r="BF2388" t="s">
        <v>172</v>
      </c>
      <c r="BG2388" t="s">
        <v>68</v>
      </c>
      <c r="BI2388" cm="1">
        <f t="array" ref="BI2388">IFERROR(_xlfn._xlws.FILTER(shifts!A:A,(shifts!B:B=events!AD2388)*(shifts!AG:AG&gt;=events!BK2388)*(shifts!AH:AH&lt;=events!BL2388)),BI2387)</f>
        <v>105</v>
      </c>
      <c r="BJ2388" s="15">
        <f t="shared" si="2583"/>
        <v>0</v>
      </c>
      <c r="BK2388">
        <f t="shared" si="2591"/>
        <v>45</v>
      </c>
      <c r="BL2388">
        <f t="shared" si="2592"/>
        <v>45</v>
      </c>
      <c r="BM2388" s="15">
        <f>SUMIFS(BJ$2:BJ2388,K$2:K2388,"=Intermission")+SUMIFS(BJ$2:BJ2388,K$2:K2388,"=Timeout")+SUMIFS(BJ$2:BJ2388,K$2:K2388,"=Clockstop")</f>
        <v>204</v>
      </c>
      <c r="BN2388">
        <f t="shared" si="2593"/>
        <v>2364</v>
      </c>
      <c r="BO2388" s="19">
        <f t="shared" si="2594"/>
        <v>3399</v>
      </c>
      <c r="BP2388">
        <f t="shared" si="2595"/>
        <v>3394</v>
      </c>
      <c r="BQ2388" s="17">
        <f t="shared" si="2596"/>
        <v>3399</v>
      </c>
      <c r="BR2388" t="str">
        <f t="shared" si="2597"/>
        <v>event_team_player_1</v>
      </c>
      <c r="BS2388">
        <f>COUNTIFS(S$3:S2388,"="&amp;S2388,AI$3:AI2388,"="&amp;AI2388)</f>
        <v>1</v>
      </c>
      <c r="BT2388" t="str">
        <f>IFERROR(VLOOKUP(BB2388&amp;BU2388&amp;X2388,game_rosters!U:W,3,FALSE),"")</f>
        <v>P100001</v>
      </c>
      <c r="BU2388" t="str">
        <f t="shared" si="2598"/>
        <v>Velodrome</v>
      </c>
    </row>
    <row r="2389" spans="1:73" x14ac:dyDescent="0.2">
      <c r="A2389">
        <f t="shared" si="2584"/>
        <v>1</v>
      </c>
      <c r="J2389" s="44" t="str">
        <f t="shared" si="2599"/>
        <v/>
      </c>
      <c r="K2389" t="s">
        <v>7</v>
      </c>
      <c r="L2389" t="s">
        <v>172</v>
      </c>
      <c r="M2389" t="s">
        <v>68</v>
      </c>
      <c r="S2389">
        <v>1275</v>
      </c>
      <c r="W2389" t="str">
        <f t="shared" si="2575"/>
        <v>a</v>
      </c>
      <c r="X2389">
        <v>42</v>
      </c>
      <c r="Y2389" t="e">
        <f>IF(X2389&lt;&gt;"",VLOOKUP(X2389,game_rosters!$C$43:$E$64,3,FALSE))</f>
        <v>#N/A</v>
      </c>
      <c r="Z2389" cm="1">
        <f t="array" ref="Z2389">IFERROR(IF(_xlfn._xlws.FILTER(game_rosters!$J:$J,(game_rosters!$G:$G=events!$AN2389)*(game_rosters!$J:$J=events!$X2389))&gt;0,1,""),"")</f>
        <v>1</v>
      </c>
      <c r="AA2389">
        <f t="shared" si="2533"/>
        <v>2275</v>
      </c>
      <c r="AB2389" t="str">
        <f t="shared" si="2534"/>
        <v/>
      </c>
      <c r="AC2389">
        <f t="shared" si="2572"/>
        <v>2275</v>
      </c>
      <c r="AD2389" s="6">
        <v>3</v>
      </c>
      <c r="AE2389" t="s">
        <v>742</v>
      </c>
      <c r="AF2389" t="s">
        <v>935</v>
      </c>
      <c r="AG2389" t="s">
        <v>756</v>
      </c>
      <c r="AH2389" t="s">
        <v>756</v>
      </c>
      <c r="AI2389" t="s">
        <v>367</v>
      </c>
      <c r="AJ2389" t="str">
        <f t="shared" ref="AJ2389:AK2389" si="2615">IF($J2389&lt;&gt;"",$J2389,IF($AC2389=$AC2388,AJ2388,""))</f>
        <v/>
      </c>
      <c r="AK2389" t="str">
        <f t="shared" si="2615"/>
        <v/>
      </c>
      <c r="AL2389" t="str">
        <f t="shared" si="2577"/>
        <v/>
      </c>
      <c r="AN2389" t="s">
        <v>862</v>
      </c>
      <c r="AO2389" t="str">
        <f t="shared" si="2578"/>
        <v>a</v>
      </c>
      <c r="AP2389" t="str">
        <f t="shared" si="2586"/>
        <v/>
      </c>
      <c r="AQ2389" t="str">
        <f t="shared" si="2587"/>
        <v/>
      </c>
      <c r="AR2389" t="str">
        <f t="shared" si="2588"/>
        <v>Away</v>
      </c>
      <c r="AS2389" t="str">
        <f t="shared" si="2589"/>
        <v>a</v>
      </c>
      <c r="AT2389" t="str">
        <f t="shared" si="2590"/>
        <v>Offensive</v>
      </c>
      <c r="BA2389" s="6">
        <f t="shared" si="2579"/>
        <v>551</v>
      </c>
      <c r="BB2389">
        <f t="shared" si="2580"/>
        <v>18981</v>
      </c>
      <c r="BC2389" t="str">
        <f t="shared" si="2581"/>
        <v>Nelson</v>
      </c>
      <c r="BD2389" t="str">
        <f t="shared" si="2582"/>
        <v>Velodrome</v>
      </c>
      <c r="BE2389" t="s">
        <v>7</v>
      </c>
      <c r="BF2389" t="s">
        <v>172</v>
      </c>
      <c r="BG2389" t="s">
        <v>68</v>
      </c>
      <c r="BI2389" cm="1">
        <f t="array" ref="BI2389">IFERROR(_xlfn._xlws.FILTER(shifts!A:A,(shifts!B:B=events!AD2389)*(shifts!AG:AG&gt;=events!BK2389)*(shifts!AH:AH&lt;=events!BL2389)),BI2388)</f>
        <v>105</v>
      </c>
      <c r="BJ2389" s="15">
        <f t="shared" si="2583"/>
        <v>0</v>
      </c>
      <c r="BK2389">
        <f t="shared" si="2591"/>
        <v>45</v>
      </c>
      <c r="BL2389">
        <f t="shared" si="2592"/>
        <v>45</v>
      </c>
      <c r="BM2389" s="15">
        <f>SUMIFS(BJ$2:BJ2389,K$2:K2389,"=Intermission")+SUMIFS(BJ$2:BJ2389,K$2:K2389,"=Timeout")+SUMIFS(BJ$2:BJ2389,K$2:K2389,"=Clockstop")</f>
        <v>204</v>
      </c>
      <c r="BN2389">
        <f t="shared" si="2593"/>
        <v>2364</v>
      </c>
      <c r="BO2389" s="19">
        <f t="shared" si="2594"/>
        <v>3399</v>
      </c>
      <c r="BP2389">
        <f t="shared" si="2595"/>
        <v>3394</v>
      </c>
      <c r="BQ2389" s="17">
        <f t="shared" si="2596"/>
        <v>3399</v>
      </c>
      <c r="BR2389" t="str">
        <f t="shared" si="2597"/>
        <v>event_team_player_2</v>
      </c>
      <c r="BS2389">
        <f>COUNTIFS(S$3:S2389,"="&amp;S2389,AI$3:AI2389,"="&amp;AI2389)</f>
        <v>2</v>
      </c>
      <c r="BT2389" t="str">
        <f>IFERROR(VLOOKUP(BB2389&amp;BU2389&amp;X2389,game_rosters!U:W,3,FALSE),"")</f>
        <v>P100201</v>
      </c>
      <c r="BU2389" t="str">
        <f t="shared" si="2598"/>
        <v>Velodrome</v>
      </c>
    </row>
    <row r="2390" spans="1:73" x14ac:dyDescent="0.2">
      <c r="A2390">
        <f t="shared" si="2584"/>
        <v>1</v>
      </c>
      <c r="J2390" s="44" t="str">
        <f t="shared" si="2599"/>
        <v/>
      </c>
      <c r="K2390" t="s">
        <v>7</v>
      </c>
      <c r="L2390" t="s">
        <v>192</v>
      </c>
      <c r="M2390" t="s">
        <v>68</v>
      </c>
      <c r="S2390">
        <v>1276</v>
      </c>
      <c r="W2390" t="str">
        <f t="shared" si="2575"/>
        <v>a</v>
      </c>
      <c r="X2390">
        <v>42</v>
      </c>
      <c r="Y2390" t="e">
        <f>IF(X2390&lt;&gt;"",VLOOKUP(X2390,game_rosters!$C$43:$E$64,3,FALSE))</f>
        <v>#N/A</v>
      </c>
      <c r="Z2390" cm="1">
        <f t="array" ref="Z2390">IFERROR(IF(_xlfn._xlws.FILTER(game_rosters!$J:$J,(game_rosters!$G:$G=events!$AN2390)*(game_rosters!$J:$J=events!$X2390))&gt;0,1,""),"")</f>
        <v>1</v>
      </c>
      <c r="AA2390">
        <f t="shared" si="2533"/>
        <v>2276</v>
      </c>
      <c r="AB2390" t="str">
        <f t="shared" si="2534"/>
        <v/>
      </c>
      <c r="AC2390">
        <f t="shared" si="2572"/>
        <v>2276</v>
      </c>
      <c r="AD2390" s="6">
        <v>3</v>
      </c>
      <c r="AE2390" t="s">
        <v>742</v>
      </c>
      <c r="AF2390" t="s">
        <v>935</v>
      </c>
      <c r="AG2390" t="s">
        <v>756</v>
      </c>
      <c r="AH2390" t="s">
        <v>756</v>
      </c>
      <c r="AI2390" t="s">
        <v>367</v>
      </c>
      <c r="AJ2390" t="str">
        <f t="shared" ref="AJ2390:AK2390" si="2616">IF($J2390&lt;&gt;"",$J2390,IF($AC2390=$AC2389,AJ2389,""))</f>
        <v/>
      </c>
      <c r="AK2390" t="str">
        <f t="shared" si="2616"/>
        <v/>
      </c>
      <c r="AL2390" t="str">
        <f t="shared" si="2577"/>
        <v/>
      </c>
      <c r="AN2390" t="s">
        <v>862</v>
      </c>
      <c r="AO2390" t="str">
        <f t="shared" si="2578"/>
        <v>a</v>
      </c>
      <c r="AP2390" t="str">
        <f t="shared" si="2586"/>
        <v/>
      </c>
      <c r="AQ2390" t="str">
        <f t="shared" si="2587"/>
        <v/>
      </c>
      <c r="AR2390" t="str">
        <f t="shared" si="2588"/>
        <v>Away</v>
      </c>
      <c r="AS2390" t="str">
        <f t="shared" si="2589"/>
        <v>a</v>
      </c>
      <c r="AT2390" t="str">
        <f t="shared" si="2590"/>
        <v>Offensive</v>
      </c>
      <c r="BA2390" s="6">
        <f t="shared" si="2579"/>
        <v>551</v>
      </c>
      <c r="BB2390">
        <f t="shared" si="2580"/>
        <v>18981</v>
      </c>
      <c r="BC2390" t="str">
        <f t="shared" si="2581"/>
        <v>Nelson</v>
      </c>
      <c r="BD2390" t="str">
        <f t="shared" si="2582"/>
        <v>Velodrome</v>
      </c>
      <c r="BE2390" t="s">
        <v>7</v>
      </c>
      <c r="BF2390" t="s">
        <v>192</v>
      </c>
      <c r="BG2390" t="s">
        <v>68</v>
      </c>
      <c r="BI2390" cm="1">
        <f t="array" ref="BI2390">IFERROR(_xlfn._xlws.FILTER(shifts!A:A,(shifts!B:B=events!AD2390)*(shifts!AG:AG&gt;=events!BK2390)*(shifts!AH:AH&lt;=events!BL2390)),BI2389)</f>
        <v>105</v>
      </c>
      <c r="BJ2390" s="15">
        <f t="shared" si="2583"/>
        <v>0</v>
      </c>
      <c r="BK2390">
        <f t="shared" si="2591"/>
        <v>45</v>
      </c>
      <c r="BL2390">
        <f t="shared" si="2592"/>
        <v>45</v>
      </c>
      <c r="BM2390" s="15">
        <f>SUMIFS(BJ$2:BJ2390,K$2:K2390,"=Intermission")+SUMIFS(BJ$2:BJ2390,K$2:K2390,"=Timeout")+SUMIFS(BJ$2:BJ2390,K$2:K2390,"=Clockstop")</f>
        <v>204</v>
      </c>
      <c r="BN2390">
        <f t="shared" si="2593"/>
        <v>2364</v>
      </c>
      <c r="BO2390" s="19">
        <f t="shared" si="2594"/>
        <v>3399</v>
      </c>
      <c r="BP2390">
        <f t="shared" si="2595"/>
        <v>3394</v>
      </c>
      <c r="BQ2390" s="17">
        <f t="shared" si="2596"/>
        <v>3399</v>
      </c>
      <c r="BR2390" t="str">
        <f t="shared" si="2597"/>
        <v>event_team_player_1</v>
      </c>
      <c r="BS2390">
        <f>COUNTIFS(S$3:S2390,"="&amp;S2390,AI$3:AI2390,"="&amp;AI2390)</f>
        <v>1</v>
      </c>
      <c r="BT2390" t="str">
        <f>IFERROR(VLOOKUP(BB2390&amp;BU2390&amp;X2390,game_rosters!U:W,3,FALSE),"")</f>
        <v>P100201</v>
      </c>
      <c r="BU2390" t="str">
        <f t="shared" si="2598"/>
        <v>Velodrome</v>
      </c>
    </row>
    <row r="2391" spans="1:73" x14ac:dyDescent="0.2">
      <c r="A2391">
        <f t="shared" si="2584"/>
        <v>1</v>
      </c>
      <c r="J2391" s="44" t="str">
        <f t="shared" si="2599"/>
        <v/>
      </c>
      <c r="K2391" t="s">
        <v>7</v>
      </c>
      <c r="L2391" t="s">
        <v>192</v>
      </c>
      <c r="M2391" t="s">
        <v>68</v>
      </c>
      <c r="S2391">
        <v>1276</v>
      </c>
      <c r="W2391" t="str">
        <f t="shared" si="2575"/>
        <v>a</v>
      </c>
      <c r="X2391">
        <v>70</v>
      </c>
      <c r="Y2391" t="e">
        <f>IF(X2391&lt;&gt;"",VLOOKUP(X2391,game_rosters!$C$43:$E$64,3,FALSE))</f>
        <v>#N/A</v>
      </c>
      <c r="Z2391" cm="1">
        <f t="array" ref="Z2391">IFERROR(IF(_xlfn._xlws.FILTER(game_rosters!$J:$J,(game_rosters!$G:$G=events!$AN2391)*(game_rosters!$J:$J=events!$X2391))&gt;0,1,""),"")</f>
        <v>1</v>
      </c>
      <c r="AA2391">
        <f t="shared" si="2533"/>
        <v>2276</v>
      </c>
      <c r="AB2391" t="str">
        <f t="shared" si="2534"/>
        <v/>
      </c>
      <c r="AC2391">
        <f t="shared" si="2572"/>
        <v>2276</v>
      </c>
      <c r="AD2391" s="6">
        <v>3</v>
      </c>
      <c r="AE2391" t="s">
        <v>742</v>
      </c>
      <c r="AF2391" t="s">
        <v>935</v>
      </c>
      <c r="AG2391" t="s">
        <v>756</v>
      </c>
      <c r="AH2391" t="s">
        <v>756</v>
      </c>
      <c r="AI2391" t="s">
        <v>367</v>
      </c>
      <c r="AJ2391" t="str">
        <f t="shared" ref="AJ2391:AK2391" si="2617">IF($J2391&lt;&gt;"",$J2391,IF($AC2391=$AC2390,AJ2390,""))</f>
        <v/>
      </c>
      <c r="AK2391" t="str">
        <f t="shared" si="2617"/>
        <v/>
      </c>
      <c r="AL2391" t="str">
        <f t="shared" si="2577"/>
        <v/>
      </c>
      <c r="AN2391" t="s">
        <v>862</v>
      </c>
      <c r="AO2391" t="str">
        <f t="shared" si="2578"/>
        <v>a</v>
      </c>
      <c r="AP2391" t="str">
        <f t="shared" si="2586"/>
        <v/>
      </c>
      <c r="AQ2391" t="str">
        <f t="shared" si="2587"/>
        <v/>
      </c>
      <c r="AR2391" t="str">
        <f t="shared" si="2588"/>
        <v>Away</v>
      </c>
      <c r="AS2391" t="str">
        <f t="shared" si="2589"/>
        <v>a</v>
      </c>
      <c r="AT2391" t="str">
        <f t="shared" si="2590"/>
        <v>Offensive</v>
      </c>
      <c r="BA2391" s="6">
        <f t="shared" si="2579"/>
        <v>551</v>
      </c>
      <c r="BB2391">
        <f t="shared" si="2580"/>
        <v>18981</v>
      </c>
      <c r="BC2391" t="str">
        <f t="shared" si="2581"/>
        <v>Nelson</v>
      </c>
      <c r="BD2391" t="str">
        <f t="shared" si="2582"/>
        <v>Velodrome</v>
      </c>
      <c r="BE2391" t="s">
        <v>7</v>
      </c>
      <c r="BF2391" t="s">
        <v>192</v>
      </c>
      <c r="BG2391" t="s">
        <v>68</v>
      </c>
      <c r="BI2391" cm="1">
        <f t="array" ref="BI2391">IFERROR(_xlfn._xlws.FILTER(shifts!A:A,(shifts!B:B=events!AD2391)*(shifts!AG:AG&gt;=events!BK2391)*(shifts!AH:AH&lt;=events!BL2391)),BI2390)</f>
        <v>105</v>
      </c>
      <c r="BJ2391" s="15">
        <f t="shared" si="2583"/>
        <v>0</v>
      </c>
      <c r="BK2391">
        <f t="shared" si="2591"/>
        <v>45</v>
      </c>
      <c r="BL2391">
        <f t="shared" si="2592"/>
        <v>45</v>
      </c>
      <c r="BM2391" s="15">
        <f>SUMIFS(BJ$2:BJ2391,K$2:K2391,"=Intermission")+SUMIFS(BJ$2:BJ2391,K$2:K2391,"=Timeout")+SUMIFS(BJ$2:BJ2391,K$2:K2391,"=Clockstop")</f>
        <v>204</v>
      </c>
      <c r="BN2391">
        <f t="shared" si="2593"/>
        <v>2364</v>
      </c>
      <c r="BO2391" s="19">
        <f t="shared" si="2594"/>
        <v>3399</v>
      </c>
      <c r="BP2391">
        <f t="shared" si="2595"/>
        <v>3394</v>
      </c>
      <c r="BQ2391" s="17">
        <f t="shared" si="2596"/>
        <v>3399</v>
      </c>
      <c r="BR2391" t="str">
        <f t="shared" si="2597"/>
        <v>event_team_player_2</v>
      </c>
      <c r="BS2391">
        <f>COUNTIFS(S$3:S2391,"="&amp;S2391,AI$3:AI2391,"="&amp;AI2391)</f>
        <v>2</v>
      </c>
      <c r="BT2391" t="str">
        <f>IFERROR(VLOOKUP(BB2391&amp;BU2391&amp;X2391,game_rosters!U:W,3,FALSE),"")</f>
        <v>P100001</v>
      </c>
      <c r="BU2391" t="str">
        <f t="shared" si="2598"/>
        <v>Velodrome</v>
      </c>
    </row>
    <row r="2392" spans="1:73" x14ac:dyDescent="0.2">
      <c r="A2392">
        <f t="shared" si="2584"/>
        <v>1</v>
      </c>
      <c r="J2392" s="44" t="str">
        <f t="shared" si="2599"/>
        <v/>
      </c>
      <c r="K2392" t="s">
        <v>7</v>
      </c>
      <c r="L2392" t="s">
        <v>192</v>
      </c>
      <c r="M2392" t="s">
        <v>68</v>
      </c>
      <c r="S2392">
        <v>1276</v>
      </c>
      <c r="W2392" t="str">
        <f t="shared" si="2575"/>
        <v>a</v>
      </c>
      <c r="X2392">
        <v>10</v>
      </c>
      <c r="Y2392" t="b">
        <f>IF(X2392&lt;&gt;"",VLOOKUP(X2392,game_rosters!$C$43:$E$64,3,FALSE))</f>
        <v>0</v>
      </c>
      <c r="Z2392" t="str" cm="1">
        <f t="array" ref="Z2392">IFERROR(IF(_xlfn._xlws.FILTER(game_rosters!$J:$J,(game_rosters!$G:$G=events!$AN2392)*(game_rosters!$J:$J=events!$X2392))&gt;0,1,""),"")</f>
        <v/>
      </c>
      <c r="AA2392">
        <f t="shared" si="2533"/>
        <v>2276</v>
      </c>
      <c r="AB2392" t="str">
        <f t="shared" si="2534"/>
        <v/>
      </c>
      <c r="AC2392">
        <f t="shared" si="2572"/>
        <v>2276</v>
      </c>
      <c r="AD2392" s="6">
        <v>3</v>
      </c>
      <c r="AE2392" t="s">
        <v>742</v>
      </c>
      <c r="AF2392" t="s">
        <v>935</v>
      </c>
      <c r="AG2392" t="s">
        <v>756</v>
      </c>
      <c r="AH2392" t="s">
        <v>756</v>
      </c>
      <c r="AI2392" t="s">
        <v>368</v>
      </c>
      <c r="AJ2392" t="str">
        <f t="shared" ref="AJ2392:AK2392" si="2618">IF($J2392&lt;&gt;"",$J2392,IF($AC2392=$AC2391,AJ2391,""))</f>
        <v/>
      </c>
      <c r="AK2392" t="str">
        <f t="shared" si="2618"/>
        <v/>
      </c>
      <c r="AL2392" t="str">
        <f t="shared" si="2577"/>
        <v/>
      </c>
      <c r="AN2392" t="s">
        <v>862</v>
      </c>
      <c r="AO2392" t="str">
        <f t="shared" si="2578"/>
        <v>a</v>
      </c>
      <c r="AP2392" t="str">
        <f t="shared" si="2586"/>
        <v/>
      </c>
      <c r="AQ2392" t="str">
        <f t="shared" si="2587"/>
        <v/>
      </c>
      <c r="AR2392" t="str">
        <f t="shared" si="2588"/>
        <v>Away</v>
      </c>
      <c r="AS2392" t="str">
        <f t="shared" si="2589"/>
        <v>a</v>
      </c>
      <c r="AT2392" t="str">
        <f t="shared" si="2590"/>
        <v>Defensive</v>
      </c>
      <c r="BA2392" s="6">
        <f t="shared" si="2579"/>
        <v>551</v>
      </c>
      <c r="BB2392">
        <f t="shared" si="2580"/>
        <v>18981</v>
      </c>
      <c r="BC2392" t="str">
        <f t="shared" si="2581"/>
        <v>Nelson</v>
      </c>
      <c r="BD2392" t="str">
        <f t="shared" si="2582"/>
        <v>Velodrome</v>
      </c>
      <c r="BE2392" t="s">
        <v>7</v>
      </c>
      <c r="BF2392" t="s">
        <v>192</v>
      </c>
      <c r="BG2392" t="s">
        <v>68</v>
      </c>
      <c r="BI2392" cm="1">
        <f t="array" ref="BI2392">IFERROR(_xlfn._xlws.FILTER(shifts!A:A,(shifts!B:B=events!AD2392)*(shifts!AG:AG&gt;=events!BK2392)*(shifts!AH:AH&lt;=events!BL2392)),BI2391)</f>
        <v>105</v>
      </c>
      <c r="BJ2392" s="15">
        <f t="shared" si="2583"/>
        <v>0</v>
      </c>
      <c r="BK2392">
        <f t="shared" si="2591"/>
        <v>45</v>
      </c>
      <c r="BL2392">
        <f t="shared" si="2592"/>
        <v>45</v>
      </c>
      <c r="BM2392" s="15">
        <f>SUMIFS(BJ$2:BJ2392,K$2:K2392,"=Intermission")+SUMIFS(BJ$2:BJ2392,K$2:K2392,"=Timeout")+SUMIFS(BJ$2:BJ2392,K$2:K2392,"=Clockstop")</f>
        <v>204</v>
      </c>
      <c r="BN2392">
        <f t="shared" si="2593"/>
        <v>2364</v>
      </c>
      <c r="BO2392" s="19">
        <f t="shared" si="2594"/>
        <v>3399</v>
      </c>
      <c r="BP2392">
        <f t="shared" si="2595"/>
        <v>3394</v>
      </c>
      <c r="BQ2392" s="17">
        <f t="shared" si="2596"/>
        <v>3399</v>
      </c>
      <c r="BR2392" t="str">
        <f t="shared" si="2597"/>
        <v>opp_team_player_1</v>
      </c>
      <c r="BS2392">
        <f>COUNTIFS(S$3:S2392,"="&amp;S2392,AI$3:AI2392,"="&amp;AI2392)</f>
        <v>1</v>
      </c>
      <c r="BT2392" t="str">
        <f>IFERROR(VLOOKUP(BB2392&amp;BU2392&amp;X2392,game_rosters!U:W,3,FALSE),"")</f>
        <v>P100078</v>
      </c>
      <c r="BU2392" t="str">
        <f t="shared" si="2598"/>
        <v>Nelson</v>
      </c>
    </row>
    <row r="2393" spans="1:73" x14ac:dyDescent="0.2">
      <c r="A2393">
        <f t="shared" si="2584"/>
        <v>1</v>
      </c>
      <c r="J2393" s="44" t="str">
        <f t="shared" si="2599"/>
        <v/>
      </c>
      <c r="K2393" t="s">
        <v>13</v>
      </c>
      <c r="L2393" t="s">
        <v>756</v>
      </c>
      <c r="M2393" t="s">
        <v>756</v>
      </c>
      <c r="S2393">
        <v>1277</v>
      </c>
      <c r="W2393" t="str">
        <f t="shared" si="2575"/>
        <v>a</v>
      </c>
      <c r="X2393">
        <v>49</v>
      </c>
      <c r="Y2393" t="e">
        <f>IF(X2393&lt;&gt;"",VLOOKUP(X2393,game_rosters!$C$43:$E$64,3,FALSE))</f>
        <v>#N/A</v>
      </c>
      <c r="Z2393" cm="1">
        <f t="array" ref="Z2393">IFERROR(IF(_xlfn._xlws.FILTER(game_rosters!$J:$J,(game_rosters!$G:$G=events!$AN2393)*(game_rosters!$J:$J=events!$X2393))&gt;0,1,""),"")</f>
        <v>1</v>
      </c>
      <c r="AA2393">
        <f t="shared" si="2533"/>
        <v>2277</v>
      </c>
      <c r="AB2393" t="str">
        <f t="shared" si="2534"/>
        <v/>
      </c>
      <c r="AC2393">
        <f t="shared" si="2572"/>
        <v>2277</v>
      </c>
      <c r="AD2393" s="6">
        <v>3</v>
      </c>
      <c r="AE2393" t="s">
        <v>742</v>
      </c>
      <c r="AF2393" t="s">
        <v>903</v>
      </c>
      <c r="AG2393" t="s">
        <v>742</v>
      </c>
      <c r="AH2393" t="s">
        <v>865</v>
      </c>
      <c r="AI2393" t="s">
        <v>367</v>
      </c>
      <c r="AJ2393" t="str">
        <f t="shared" ref="AJ2393:AK2393" si="2619">IF($J2393&lt;&gt;"",$J2393,IF($AC2393=$AC2392,AJ2392,""))</f>
        <v/>
      </c>
      <c r="AK2393" t="str">
        <f t="shared" si="2619"/>
        <v/>
      </c>
      <c r="AL2393" t="str">
        <f t="shared" si="2577"/>
        <v/>
      </c>
      <c r="AN2393" t="s">
        <v>862</v>
      </c>
      <c r="AO2393" t="str">
        <f t="shared" si="2578"/>
        <v>a</v>
      </c>
      <c r="AP2393" t="str">
        <f t="shared" si="2586"/>
        <v/>
      </c>
      <c r="AQ2393" t="str">
        <f t="shared" si="2587"/>
        <v/>
      </c>
      <c r="AR2393" t="str">
        <f t="shared" si="2588"/>
        <v>Away</v>
      </c>
      <c r="AS2393" t="str">
        <f t="shared" si="2589"/>
        <v>a</v>
      </c>
      <c r="AT2393" t="str">
        <f t="shared" si="2590"/>
        <v>Offensive</v>
      </c>
      <c r="BA2393" s="6">
        <f t="shared" si="2579"/>
        <v>551</v>
      </c>
      <c r="BB2393">
        <f t="shared" si="2580"/>
        <v>18981</v>
      </c>
      <c r="BC2393" t="str">
        <f t="shared" si="2581"/>
        <v>Nelson</v>
      </c>
      <c r="BD2393" t="str">
        <f t="shared" si="2582"/>
        <v>Velodrome</v>
      </c>
      <c r="BE2393" t="s">
        <v>13</v>
      </c>
      <c r="BF2393" t="s">
        <v>756</v>
      </c>
      <c r="BG2393" t="s">
        <v>756</v>
      </c>
      <c r="BI2393" cm="1">
        <f t="array" ref="BI2393">IFERROR(_xlfn._xlws.FILTER(shifts!A:A,(shifts!B:B=events!AD2393)*(shifts!AG:AG&gt;=events!BK2393)*(shifts!AH:AH&lt;=events!BL2393)),BI2392)</f>
        <v>105</v>
      </c>
      <c r="BJ2393" s="15">
        <f t="shared" si="2583"/>
        <v>2</v>
      </c>
      <c r="BK2393">
        <f t="shared" si="2591"/>
        <v>40</v>
      </c>
      <c r="BL2393">
        <f t="shared" si="2592"/>
        <v>38</v>
      </c>
      <c r="BM2393" s="15">
        <f>SUMIFS(BJ$2:BJ2393,K$2:K2393,"=Intermission")+SUMIFS(BJ$2:BJ2393,K$2:K2393,"=Timeout")+SUMIFS(BJ$2:BJ2393,K$2:K2393,"=Clockstop")</f>
        <v>204</v>
      </c>
      <c r="BN2393">
        <f t="shared" si="2593"/>
        <v>2364</v>
      </c>
      <c r="BO2393" s="19">
        <f t="shared" si="2594"/>
        <v>3404</v>
      </c>
      <c r="BP2393">
        <f t="shared" si="2595"/>
        <v>3399</v>
      </c>
      <c r="BQ2393" s="17">
        <f t="shared" si="2596"/>
        <v>3406</v>
      </c>
      <c r="BR2393" t="str">
        <f t="shared" si="2597"/>
        <v>event_team_player_1</v>
      </c>
      <c r="BS2393">
        <f>COUNTIFS(S$3:S2393,"="&amp;S2393,AI$3:AI2393,"="&amp;AI2393)</f>
        <v>1</v>
      </c>
      <c r="BT2393" t="str">
        <f>IFERROR(VLOOKUP(BB2393&amp;BU2393&amp;X2393,game_rosters!U:W,3,FALSE),"")</f>
        <v>P100161</v>
      </c>
      <c r="BU2393" t="str">
        <f t="shared" si="2598"/>
        <v>Velodrome</v>
      </c>
    </row>
    <row r="2394" spans="1:73" x14ac:dyDescent="0.2">
      <c r="A2394">
        <f t="shared" si="2584"/>
        <v>1</v>
      </c>
      <c r="J2394" s="44" t="str">
        <f t="shared" si="2599"/>
        <v/>
      </c>
      <c r="K2394" t="s">
        <v>13</v>
      </c>
      <c r="L2394" t="s">
        <v>756</v>
      </c>
      <c r="M2394" t="s">
        <v>756</v>
      </c>
      <c r="S2394">
        <v>1277</v>
      </c>
      <c r="W2394" t="str">
        <f t="shared" si="2575"/>
        <v>a</v>
      </c>
      <c r="X2394">
        <v>37</v>
      </c>
      <c r="Y2394" t="b">
        <f>IF(X2394&lt;&gt;"",VLOOKUP(X2394,game_rosters!$C$43:$E$64,3,FALSE))</f>
        <v>0</v>
      </c>
      <c r="Z2394" t="str" cm="1">
        <f t="array" ref="Z2394">IFERROR(IF(_xlfn._xlws.FILTER(game_rosters!$J:$J,(game_rosters!$G:$G=events!$AN2394)*(game_rosters!$J:$J=events!$X2394))&gt;0,1,""),"")</f>
        <v/>
      </c>
      <c r="AA2394">
        <f t="shared" si="2533"/>
        <v>2277</v>
      </c>
      <c r="AB2394" t="str">
        <f t="shared" si="2534"/>
        <v/>
      </c>
      <c r="AC2394">
        <f t="shared" si="2572"/>
        <v>2277</v>
      </c>
      <c r="AD2394" s="6">
        <v>3</v>
      </c>
      <c r="AE2394" t="s">
        <v>742</v>
      </c>
      <c r="AF2394" t="s">
        <v>903</v>
      </c>
      <c r="AG2394" t="s">
        <v>742</v>
      </c>
      <c r="AH2394" t="s">
        <v>865</v>
      </c>
      <c r="AI2394" t="s">
        <v>368</v>
      </c>
      <c r="AJ2394" t="str">
        <f t="shared" ref="AJ2394:AK2394" si="2620">IF($J2394&lt;&gt;"",$J2394,IF($AC2394=$AC2393,AJ2393,""))</f>
        <v/>
      </c>
      <c r="AK2394" t="str">
        <f t="shared" si="2620"/>
        <v/>
      </c>
      <c r="AL2394" t="str">
        <f t="shared" si="2577"/>
        <v/>
      </c>
      <c r="AN2394" t="s">
        <v>862</v>
      </c>
      <c r="AO2394" t="str">
        <f t="shared" si="2578"/>
        <v>a</v>
      </c>
      <c r="AP2394" t="str">
        <f t="shared" si="2586"/>
        <v/>
      </c>
      <c r="AQ2394" t="str">
        <f t="shared" si="2587"/>
        <v/>
      </c>
      <c r="AR2394" t="str">
        <f t="shared" si="2588"/>
        <v>Away</v>
      </c>
      <c r="AS2394" t="str">
        <f t="shared" si="2589"/>
        <v>a</v>
      </c>
      <c r="AT2394" t="str">
        <f t="shared" si="2590"/>
        <v>Defensive</v>
      </c>
      <c r="BA2394" s="6">
        <f t="shared" si="2579"/>
        <v>551</v>
      </c>
      <c r="BB2394">
        <f t="shared" si="2580"/>
        <v>18981</v>
      </c>
      <c r="BC2394" t="str">
        <f t="shared" si="2581"/>
        <v>Nelson</v>
      </c>
      <c r="BD2394" t="str">
        <f t="shared" si="2582"/>
        <v>Velodrome</v>
      </c>
      <c r="BE2394" t="s">
        <v>13</v>
      </c>
      <c r="BF2394" t="s">
        <v>756</v>
      </c>
      <c r="BG2394" t="s">
        <v>756</v>
      </c>
      <c r="BI2394" cm="1">
        <f t="array" ref="BI2394">IFERROR(_xlfn._xlws.FILTER(shifts!A:A,(shifts!B:B=events!AD2394)*(shifts!AG:AG&gt;=events!BK2394)*(shifts!AH:AH&lt;=events!BL2394)),BI2393)</f>
        <v>105</v>
      </c>
      <c r="BJ2394" s="15">
        <f t="shared" si="2583"/>
        <v>2</v>
      </c>
      <c r="BK2394">
        <f t="shared" si="2591"/>
        <v>40</v>
      </c>
      <c r="BL2394">
        <f t="shared" si="2592"/>
        <v>38</v>
      </c>
      <c r="BM2394" s="15">
        <f>SUMIFS(BJ$2:BJ2394,K$2:K2394,"=Intermission")+SUMIFS(BJ$2:BJ2394,K$2:K2394,"=Timeout")+SUMIFS(BJ$2:BJ2394,K$2:K2394,"=Clockstop")</f>
        <v>204</v>
      </c>
      <c r="BN2394">
        <f t="shared" si="2593"/>
        <v>2364</v>
      </c>
      <c r="BO2394" s="19">
        <f t="shared" si="2594"/>
        <v>3404</v>
      </c>
      <c r="BP2394">
        <f t="shared" si="2595"/>
        <v>3399</v>
      </c>
      <c r="BQ2394" s="17">
        <f t="shared" si="2596"/>
        <v>3406</v>
      </c>
      <c r="BR2394" t="str">
        <f t="shared" si="2597"/>
        <v>opp_team_player_1</v>
      </c>
      <c r="BS2394">
        <f>COUNTIFS(S$3:S2394,"="&amp;S2394,AI$3:AI2394,"="&amp;AI2394)</f>
        <v>1</v>
      </c>
      <c r="BT2394" t="str">
        <f>IFERROR(VLOOKUP(BB2394&amp;BU2394&amp;X2394,game_rosters!U:W,3,FALSE),"")</f>
        <v>P100119</v>
      </c>
      <c r="BU2394" t="str">
        <f t="shared" si="2598"/>
        <v>Nelson</v>
      </c>
    </row>
    <row r="2395" spans="1:73" x14ac:dyDescent="0.2">
      <c r="A2395">
        <f t="shared" si="2584"/>
        <v>1</v>
      </c>
      <c r="J2395" s="44" t="str">
        <f t="shared" si="2599"/>
        <v/>
      </c>
      <c r="K2395" t="s">
        <v>7</v>
      </c>
      <c r="L2395" t="s">
        <v>172</v>
      </c>
      <c r="M2395" t="s">
        <v>68</v>
      </c>
      <c r="S2395">
        <v>1278</v>
      </c>
      <c r="W2395" t="str">
        <f t="shared" si="2575"/>
        <v>a</v>
      </c>
      <c r="X2395">
        <v>49</v>
      </c>
      <c r="Y2395" t="e">
        <f>IF(X2395&lt;&gt;"",VLOOKUP(X2395,game_rosters!$C$43:$E$64,3,FALSE))</f>
        <v>#N/A</v>
      </c>
      <c r="Z2395" cm="1">
        <f t="array" ref="Z2395">IFERROR(IF(_xlfn._xlws.FILTER(game_rosters!$J:$J,(game_rosters!$G:$G=events!$AN2395)*(game_rosters!$J:$J=events!$X2395))&gt;0,1,""),"")</f>
        <v>1</v>
      </c>
      <c r="AA2395">
        <f t="shared" si="2533"/>
        <v>2278</v>
      </c>
      <c r="AB2395" t="str">
        <f t="shared" si="2534"/>
        <v/>
      </c>
      <c r="AC2395">
        <f t="shared" si="2572"/>
        <v>2278</v>
      </c>
      <c r="AD2395" s="6">
        <v>3</v>
      </c>
      <c r="AE2395" t="s">
        <v>742</v>
      </c>
      <c r="AF2395" t="s">
        <v>865</v>
      </c>
      <c r="AG2395" t="s">
        <v>756</v>
      </c>
      <c r="AH2395" t="s">
        <v>756</v>
      </c>
      <c r="AI2395" t="s">
        <v>367</v>
      </c>
      <c r="AJ2395" t="str">
        <f>IF($J2395&lt;&gt;"",$J2395,IF($AC2395=$AC2394,AJ2394,""))</f>
        <v/>
      </c>
      <c r="AK2395" t="str">
        <f t="shared" ref="AJ2395:AK2395" si="2621">IF($J2395&lt;&gt;"",$J2395,IF($AC2395=$AC2394,AK2394,""))</f>
        <v/>
      </c>
      <c r="AL2395" t="str">
        <f t="shared" si="2577"/>
        <v/>
      </c>
      <c r="AN2395" t="s">
        <v>862</v>
      </c>
      <c r="AO2395" t="str">
        <f t="shared" si="2578"/>
        <v>a</v>
      </c>
      <c r="AP2395" t="str">
        <f t="shared" si="2586"/>
        <v/>
      </c>
      <c r="AQ2395" t="str">
        <f t="shared" si="2587"/>
        <v/>
      </c>
      <c r="AR2395" t="str">
        <f t="shared" si="2588"/>
        <v>Away</v>
      </c>
      <c r="AS2395" t="str">
        <f t="shared" si="2589"/>
        <v>a</v>
      </c>
      <c r="AT2395" t="str">
        <f t="shared" si="2590"/>
        <v>Offensive</v>
      </c>
      <c r="BA2395" s="6">
        <f t="shared" si="2579"/>
        <v>551</v>
      </c>
      <c r="BB2395">
        <f t="shared" si="2580"/>
        <v>18981</v>
      </c>
      <c r="BC2395" t="str">
        <f t="shared" si="2581"/>
        <v>Nelson</v>
      </c>
      <c r="BD2395" t="str">
        <f t="shared" si="2582"/>
        <v>Velodrome</v>
      </c>
      <c r="BE2395" t="s">
        <v>7</v>
      </c>
      <c r="BF2395" t="s">
        <v>172</v>
      </c>
      <c r="BG2395" t="s">
        <v>68</v>
      </c>
      <c r="BI2395" cm="1">
        <f t="array" ref="BI2395">IFERROR(_xlfn._xlws.FILTER(shifts!A:A,(shifts!B:B=events!AD2395)*(shifts!AG:AG&gt;=events!BK2395)*(shifts!AH:AH&lt;=events!BL2395)),BI2394)</f>
        <v>105</v>
      </c>
      <c r="BJ2395" s="15">
        <f t="shared" si="2583"/>
        <v>0</v>
      </c>
      <c r="BK2395">
        <f t="shared" si="2591"/>
        <v>38</v>
      </c>
      <c r="BL2395">
        <f t="shared" si="2592"/>
        <v>38</v>
      </c>
      <c r="BM2395" s="15">
        <f>SUMIFS(BJ$2:BJ2395,K$2:K2395,"=Intermission")+SUMIFS(BJ$2:BJ2395,K$2:K2395,"=Timeout")+SUMIFS(BJ$2:BJ2395,K$2:K2395,"=Clockstop")</f>
        <v>204</v>
      </c>
      <c r="BN2395">
        <f t="shared" si="2593"/>
        <v>2364</v>
      </c>
      <c r="BO2395" s="19">
        <f t="shared" si="2594"/>
        <v>3406</v>
      </c>
      <c r="BP2395">
        <f t="shared" si="2595"/>
        <v>3401</v>
      </c>
      <c r="BQ2395" s="17">
        <f t="shared" si="2596"/>
        <v>3406</v>
      </c>
      <c r="BR2395" t="str">
        <f t="shared" si="2597"/>
        <v>event_team_player_1</v>
      </c>
      <c r="BS2395">
        <f>COUNTIFS(S$3:S2395,"="&amp;S2395,AI$3:AI2395,"="&amp;AI2395)</f>
        <v>1</v>
      </c>
      <c r="BT2395" t="str">
        <f>IFERROR(VLOOKUP(BB2395&amp;BU2395&amp;X2395,game_rosters!U:W,3,FALSE),"")</f>
        <v>P100161</v>
      </c>
      <c r="BU2395" t="str">
        <f t="shared" si="2598"/>
        <v>Velodrome</v>
      </c>
    </row>
    <row r="2396" spans="1:73" x14ac:dyDescent="0.2">
      <c r="A2396">
        <f t="shared" si="2584"/>
        <v>1</v>
      </c>
      <c r="J2396" s="44" t="str">
        <f t="shared" si="2599"/>
        <v/>
      </c>
      <c r="K2396" t="s">
        <v>7</v>
      </c>
      <c r="L2396" t="s">
        <v>172</v>
      </c>
      <c r="M2396" t="s">
        <v>68</v>
      </c>
      <c r="S2396">
        <v>1278</v>
      </c>
      <c r="W2396" t="str">
        <f t="shared" si="2575"/>
        <v>a</v>
      </c>
      <c r="X2396">
        <v>84</v>
      </c>
      <c r="Y2396" t="e">
        <f>IF(X2396&lt;&gt;"",VLOOKUP(X2396,game_rosters!$C$43:$E$64,3,FALSE))</f>
        <v>#N/A</v>
      </c>
      <c r="Z2396" cm="1">
        <f t="array" ref="Z2396">IFERROR(IF(_xlfn._xlws.FILTER(game_rosters!$J:$J,(game_rosters!$G:$G=events!$AN2396)*(game_rosters!$J:$J=events!$X2396))&gt;0,1,""),"")</f>
        <v>1</v>
      </c>
      <c r="AA2396">
        <f t="shared" si="2533"/>
        <v>2278</v>
      </c>
      <c r="AB2396" t="str">
        <f t="shared" si="2534"/>
        <v/>
      </c>
      <c r="AC2396">
        <f t="shared" si="2572"/>
        <v>2278</v>
      </c>
      <c r="AD2396" s="6">
        <v>3</v>
      </c>
      <c r="AE2396" t="s">
        <v>742</v>
      </c>
      <c r="AF2396" t="s">
        <v>865</v>
      </c>
      <c r="AG2396" t="s">
        <v>756</v>
      </c>
      <c r="AH2396" t="s">
        <v>756</v>
      </c>
      <c r="AI2396" t="s">
        <v>367</v>
      </c>
      <c r="AJ2396" t="str">
        <f t="shared" ref="AJ2396:AK2396" si="2622">IF($J2396&lt;&gt;"",$J2396,IF($AC2396=$AC2395,AJ2395,""))</f>
        <v/>
      </c>
      <c r="AK2396" t="str">
        <f t="shared" si="2622"/>
        <v/>
      </c>
      <c r="AL2396" t="str">
        <f t="shared" si="2577"/>
        <v/>
      </c>
      <c r="AN2396" t="s">
        <v>862</v>
      </c>
      <c r="AO2396" t="str">
        <f t="shared" si="2578"/>
        <v>a</v>
      </c>
      <c r="AP2396" t="str">
        <f t="shared" si="2586"/>
        <v/>
      </c>
      <c r="AQ2396" t="str">
        <f t="shared" si="2587"/>
        <v/>
      </c>
      <c r="AR2396" t="str">
        <f t="shared" si="2588"/>
        <v>Away</v>
      </c>
      <c r="AS2396" t="str">
        <f t="shared" si="2589"/>
        <v>a</v>
      </c>
      <c r="AT2396" t="str">
        <f t="shared" si="2590"/>
        <v>Offensive</v>
      </c>
      <c r="BA2396" s="6">
        <f t="shared" si="2579"/>
        <v>551</v>
      </c>
      <c r="BB2396">
        <f t="shared" si="2580"/>
        <v>18981</v>
      </c>
      <c r="BC2396" t="str">
        <f t="shared" si="2581"/>
        <v>Nelson</v>
      </c>
      <c r="BD2396" t="str">
        <f t="shared" si="2582"/>
        <v>Velodrome</v>
      </c>
      <c r="BE2396" t="s">
        <v>7</v>
      </c>
      <c r="BF2396" t="s">
        <v>172</v>
      </c>
      <c r="BG2396" t="s">
        <v>68</v>
      </c>
      <c r="BI2396" cm="1">
        <f t="array" ref="BI2396">IFERROR(_xlfn._xlws.FILTER(shifts!A:A,(shifts!B:B=events!AD2396)*(shifts!AG:AG&gt;=events!BK2396)*(shifts!AH:AH&lt;=events!BL2396)),BI2395)</f>
        <v>105</v>
      </c>
      <c r="BJ2396" s="15">
        <f t="shared" si="2583"/>
        <v>0</v>
      </c>
      <c r="BK2396">
        <f t="shared" si="2591"/>
        <v>38</v>
      </c>
      <c r="BL2396">
        <f t="shared" si="2592"/>
        <v>38</v>
      </c>
      <c r="BM2396" s="15">
        <f>SUMIFS(BJ$2:BJ2396,K$2:K2396,"=Intermission")+SUMIFS(BJ$2:BJ2396,K$2:K2396,"=Timeout")+SUMIFS(BJ$2:BJ2396,K$2:K2396,"=Clockstop")</f>
        <v>204</v>
      </c>
      <c r="BN2396">
        <f t="shared" si="2593"/>
        <v>2364</v>
      </c>
      <c r="BO2396" s="19">
        <f t="shared" si="2594"/>
        <v>3406</v>
      </c>
      <c r="BP2396">
        <f t="shared" si="2595"/>
        <v>3401</v>
      </c>
      <c r="BQ2396" s="17">
        <f t="shared" si="2596"/>
        <v>3406</v>
      </c>
      <c r="BR2396" t="str">
        <f t="shared" si="2597"/>
        <v>event_team_player_2</v>
      </c>
      <c r="BS2396">
        <f>COUNTIFS(S$3:S2396,"="&amp;S2396,AI$3:AI2396,"="&amp;AI2396)</f>
        <v>2</v>
      </c>
      <c r="BT2396" t="str">
        <f>IFERROR(VLOOKUP(BB2396&amp;BU2396&amp;X2396,game_rosters!U:W,3,FALSE),"")</f>
        <v>P100198</v>
      </c>
      <c r="BU2396" t="str">
        <f t="shared" si="2598"/>
        <v>Velodrome</v>
      </c>
    </row>
    <row r="2397" spans="1:73" x14ac:dyDescent="0.2">
      <c r="A2397">
        <f t="shared" si="2584"/>
        <v>1</v>
      </c>
      <c r="J2397" s="44" t="str">
        <f t="shared" si="2599"/>
        <v/>
      </c>
      <c r="K2397" t="s">
        <v>13</v>
      </c>
      <c r="L2397" t="s">
        <v>756</v>
      </c>
      <c r="M2397" t="s">
        <v>756</v>
      </c>
      <c r="S2397">
        <v>1279</v>
      </c>
      <c r="W2397" t="str">
        <f t="shared" si="2575"/>
        <v>a</v>
      </c>
      <c r="X2397">
        <v>84</v>
      </c>
      <c r="Y2397" t="e">
        <f>IF(X2397&lt;&gt;"",VLOOKUP(X2397,game_rosters!$C$43:$E$64,3,FALSE))</f>
        <v>#N/A</v>
      </c>
      <c r="Z2397" cm="1">
        <f t="array" ref="Z2397">IFERROR(IF(_xlfn._xlws.FILTER(game_rosters!$J:$J,(game_rosters!$G:$G=events!$AN2397)*(game_rosters!$J:$J=events!$X2397))&gt;0,1,""),"")</f>
        <v>1</v>
      </c>
      <c r="AA2397">
        <f t="shared" ref="AA2397:AA2460" si="2623">S2397+1000</f>
        <v>2279</v>
      </c>
      <c r="AB2397" t="str">
        <f t="shared" ref="AB2397:AB2460" si="2624">IF(T2397&lt;&gt;"",9000+T2397,"")</f>
        <v/>
      </c>
      <c r="AC2397">
        <f t="shared" si="2572"/>
        <v>2279</v>
      </c>
      <c r="AD2397" s="6">
        <v>3</v>
      </c>
      <c r="AE2397" t="s">
        <v>742</v>
      </c>
      <c r="AF2397" t="s">
        <v>865</v>
      </c>
      <c r="AG2397" t="s">
        <v>742</v>
      </c>
      <c r="AH2397" t="s">
        <v>904</v>
      </c>
      <c r="AI2397" t="s">
        <v>367</v>
      </c>
      <c r="AJ2397" t="str">
        <f t="shared" ref="AJ2397:AK2397" si="2625">IF($J2397&lt;&gt;"",$J2397,IF($AC2397=$AC2396,AJ2396,""))</f>
        <v/>
      </c>
      <c r="AK2397" t="str">
        <f t="shared" si="2625"/>
        <v/>
      </c>
      <c r="AL2397" t="str">
        <f t="shared" si="2577"/>
        <v/>
      </c>
      <c r="AN2397" t="s">
        <v>862</v>
      </c>
      <c r="AO2397" t="str">
        <f t="shared" si="2578"/>
        <v>a</v>
      </c>
      <c r="AP2397" t="str">
        <f t="shared" si="2586"/>
        <v/>
      </c>
      <c r="AQ2397" t="str">
        <f t="shared" si="2587"/>
        <v/>
      </c>
      <c r="AR2397" t="str">
        <f t="shared" si="2588"/>
        <v>Away</v>
      </c>
      <c r="AS2397" t="str">
        <f t="shared" si="2589"/>
        <v>a</v>
      </c>
      <c r="AT2397" t="str">
        <f t="shared" si="2590"/>
        <v>Offensive</v>
      </c>
      <c r="BA2397" s="6">
        <f t="shared" si="2579"/>
        <v>551</v>
      </c>
      <c r="BB2397">
        <f t="shared" si="2580"/>
        <v>18981</v>
      </c>
      <c r="BC2397" t="str">
        <f t="shared" si="2581"/>
        <v>Nelson</v>
      </c>
      <c r="BD2397" t="str">
        <f t="shared" si="2582"/>
        <v>Velodrome</v>
      </c>
      <c r="BE2397" t="s">
        <v>13</v>
      </c>
      <c r="BF2397" t="s">
        <v>756</v>
      </c>
      <c r="BG2397" t="s">
        <v>756</v>
      </c>
      <c r="BI2397" cm="1">
        <f t="array" ref="BI2397">IFERROR(_xlfn._xlws.FILTER(shifts!A:A,(shifts!B:B=events!AD2397)*(shifts!AG:AG&gt;=events!BK2397)*(shifts!AH:AH&lt;=events!BL2397)),BI2396)</f>
        <v>105</v>
      </c>
      <c r="BJ2397" s="15">
        <f t="shared" si="2583"/>
        <v>2</v>
      </c>
      <c r="BK2397">
        <f t="shared" si="2591"/>
        <v>38</v>
      </c>
      <c r="BL2397">
        <f t="shared" si="2592"/>
        <v>36</v>
      </c>
      <c r="BM2397" s="15">
        <f>SUMIFS(BJ$2:BJ2397,K$2:K2397,"=Intermission")+SUMIFS(BJ$2:BJ2397,K$2:K2397,"=Timeout")+SUMIFS(BJ$2:BJ2397,K$2:K2397,"=Clockstop")</f>
        <v>204</v>
      </c>
      <c r="BN2397">
        <f t="shared" si="2593"/>
        <v>2364</v>
      </c>
      <c r="BO2397" s="19">
        <f t="shared" si="2594"/>
        <v>3406</v>
      </c>
      <c r="BP2397">
        <f t="shared" si="2595"/>
        <v>3401</v>
      </c>
      <c r="BQ2397" s="17">
        <f t="shared" si="2596"/>
        <v>3408</v>
      </c>
      <c r="BR2397" t="str">
        <f t="shared" si="2597"/>
        <v>event_team_player_1</v>
      </c>
      <c r="BS2397">
        <f>COUNTIFS(S$3:S2397,"="&amp;S2397,AI$3:AI2397,"="&amp;AI2397)</f>
        <v>1</v>
      </c>
      <c r="BT2397" t="str">
        <f>IFERROR(VLOOKUP(BB2397&amp;BU2397&amp;X2397,game_rosters!U:W,3,FALSE),"")</f>
        <v>P100198</v>
      </c>
      <c r="BU2397" t="str">
        <f t="shared" si="2598"/>
        <v>Velodrome</v>
      </c>
    </row>
    <row r="2398" spans="1:73" x14ac:dyDescent="0.2">
      <c r="A2398">
        <f t="shared" si="2584"/>
        <v>1</v>
      </c>
      <c r="J2398" s="44" t="str">
        <f t="shared" si="2599"/>
        <v>o</v>
      </c>
      <c r="K2398" t="s">
        <v>6</v>
      </c>
      <c r="L2398" t="s">
        <v>181</v>
      </c>
      <c r="M2398" t="s">
        <v>51</v>
      </c>
      <c r="S2398">
        <v>1280</v>
      </c>
      <c r="W2398" t="str">
        <f t="shared" si="2575"/>
        <v>a</v>
      </c>
      <c r="X2398">
        <v>84</v>
      </c>
      <c r="Y2398" t="e">
        <f>IF(X2398&lt;&gt;"",VLOOKUP(X2398,game_rosters!$C$43:$E$64,3,FALSE))</f>
        <v>#N/A</v>
      </c>
      <c r="Z2398" cm="1">
        <f t="array" ref="Z2398">IFERROR(IF(_xlfn._xlws.FILTER(game_rosters!$J:$J,(game_rosters!$G:$G=events!$AN2398)*(game_rosters!$J:$J=events!$X2398))&gt;0,1,""),"")</f>
        <v>1</v>
      </c>
      <c r="AA2398">
        <f t="shared" si="2623"/>
        <v>2280</v>
      </c>
      <c r="AB2398" t="str">
        <f t="shared" si="2624"/>
        <v/>
      </c>
      <c r="AC2398">
        <f t="shared" si="2572"/>
        <v>2280</v>
      </c>
      <c r="AD2398" s="6">
        <v>3</v>
      </c>
      <c r="AE2398" t="s">
        <v>742</v>
      </c>
      <c r="AF2398" t="s">
        <v>904</v>
      </c>
      <c r="AG2398" t="s">
        <v>756</v>
      </c>
      <c r="AH2398" t="s">
        <v>756</v>
      </c>
      <c r="AI2398" t="s">
        <v>367</v>
      </c>
      <c r="AJ2398" t="str">
        <f t="shared" ref="AJ2398:AK2398" si="2626">IF($J2398&lt;&gt;"",$J2398,IF($AC2398=$AC2397,AJ2397,""))</f>
        <v>o</v>
      </c>
      <c r="AK2398" t="str">
        <f t="shared" si="2626"/>
        <v>o</v>
      </c>
      <c r="AL2398" t="str">
        <f t="shared" si="2577"/>
        <v>d</v>
      </c>
      <c r="AN2398" t="s">
        <v>862</v>
      </c>
      <c r="AO2398" t="str">
        <f t="shared" si="2578"/>
        <v>a</v>
      </c>
      <c r="AP2398" t="str">
        <f t="shared" si="2586"/>
        <v>d</v>
      </c>
      <c r="AQ2398" t="str">
        <f t="shared" si="2587"/>
        <v/>
      </c>
      <c r="AR2398" t="str">
        <f t="shared" si="2588"/>
        <v>Away</v>
      </c>
      <c r="AS2398" t="str">
        <f t="shared" si="2589"/>
        <v>a</v>
      </c>
      <c r="AT2398" t="str">
        <f t="shared" si="2590"/>
        <v>Offensive</v>
      </c>
      <c r="BA2398" s="6">
        <f t="shared" si="2579"/>
        <v>551</v>
      </c>
      <c r="BB2398">
        <f t="shared" si="2580"/>
        <v>18981</v>
      </c>
      <c r="BC2398" t="str">
        <f t="shared" si="2581"/>
        <v>Nelson</v>
      </c>
      <c r="BD2398" t="str">
        <f t="shared" si="2582"/>
        <v>Velodrome</v>
      </c>
      <c r="BE2398" t="s">
        <v>6</v>
      </c>
      <c r="BF2398" t="s">
        <v>181</v>
      </c>
      <c r="BG2398" t="s">
        <v>51</v>
      </c>
      <c r="BI2398" cm="1">
        <f t="array" ref="BI2398">IFERROR(_xlfn._xlws.FILTER(shifts!A:A,(shifts!B:B=events!AD2398)*(shifts!AG:AG&gt;=events!BK2398)*(shifts!AH:AH&lt;=events!BL2398)),BI2397)</f>
        <v>105</v>
      </c>
      <c r="BJ2398" s="15">
        <f t="shared" si="2583"/>
        <v>0</v>
      </c>
      <c r="BK2398">
        <f t="shared" si="2591"/>
        <v>36</v>
      </c>
      <c r="BL2398">
        <f t="shared" si="2592"/>
        <v>36</v>
      </c>
      <c r="BM2398" s="15">
        <f>SUMIFS(BJ$2:BJ2398,K$2:K2398,"=Intermission")+SUMIFS(BJ$2:BJ2398,K$2:K2398,"=Timeout")+SUMIFS(BJ$2:BJ2398,K$2:K2398,"=Clockstop")</f>
        <v>204</v>
      </c>
      <c r="BN2398">
        <f t="shared" si="2593"/>
        <v>2364</v>
      </c>
      <c r="BO2398" s="19">
        <f t="shared" si="2594"/>
        <v>3408</v>
      </c>
      <c r="BP2398">
        <f t="shared" si="2595"/>
        <v>3403</v>
      </c>
      <c r="BQ2398" s="17">
        <f t="shared" si="2596"/>
        <v>3408</v>
      </c>
      <c r="BR2398" t="str">
        <f t="shared" si="2597"/>
        <v>event_team_player_1</v>
      </c>
      <c r="BS2398">
        <f>COUNTIFS(S$3:S2398,"="&amp;S2398,AI$3:AI2398,"="&amp;AI2398)</f>
        <v>1</v>
      </c>
      <c r="BT2398" t="str">
        <f>IFERROR(VLOOKUP(BB2398&amp;BU2398&amp;X2398,game_rosters!U:W,3,FALSE),"")</f>
        <v>P100198</v>
      </c>
      <c r="BU2398" t="str">
        <f t="shared" si="2598"/>
        <v>Velodrome</v>
      </c>
    </row>
    <row r="2399" spans="1:73" x14ac:dyDescent="0.2">
      <c r="A2399">
        <f t="shared" si="2584"/>
        <v>1</v>
      </c>
      <c r="J2399" s="44" t="str">
        <f t="shared" si="2599"/>
        <v/>
      </c>
      <c r="K2399" t="s">
        <v>7</v>
      </c>
      <c r="L2399" t="s">
        <v>172</v>
      </c>
      <c r="M2399" t="s">
        <v>67</v>
      </c>
      <c r="S2399">
        <v>1281</v>
      </c>
      <c r="W2399" t="str">
        <f t="shared" si="2575"/>
        <v>a</v>
      </c>
      <c r="X2399">
        <v>70</v>
      </c>
      <c r="Y2399" t="e">
        <f>IF(X2399&lt;&gt;"",VLOOKUP(X2399,game_rosters!$C$43:$E$64,3,FALSE))</f>
        <v>#N/A</v>
      </c>
      <c r="Z2399" cm="1">
        <f t="array" ref="Z2399">IFERROR(IF(_xlfn._xlws.FILTER(game_rosters!$J:$J,(game_rosters!$G:$G=events!$AN2399)*(game_rosters!$J:$J=events!$X2399))&gt;0,1,""),"")</f>
        <v>1</v>
      </c>
      <c r="AA2399">
        <f t="shared" si="2623"/>
        <v>2281</v>
      </c>
      <c r="AB2399" t="str">
        <f t="shared" si="2624"/>
        <v/>
      </c>
      <c r="AC2399">
        <f t="shared" si="2572"/>
        <v>2281</v>
      </c>
      <c r="AD2399" s="6">
        <v>3</v>
      </c>
      <c r="AE2399" t="s">
        <v>742</v>
      </c>
      <c r="AF2399" t="s">
        <v>738</v>
      </c>
      <c r="AG2399" t="s">
        <v>756</v>
      </c>
      <c r="AH2399" t="s">
        <v>756</v>
      </c>
      <c r="AI2399" t="s">
        <v>367</v>
      </c>
      <c r="AJ2399" t="str">
        <f t="shared" ref="AJ2399:AK2399" si="2627">IF($J2399&lt;&gt;"",$J2399,IF($AC2399=$AC2398,AJ2398,""))</f>
        <v/>
      </c>
      <c r="AK2399" t="str">
        <f t="shared" si="2627"/>
        <v/>
      </c>
      <c r="AL2399" t="str">
        <f t="shared" si="2577"/>
        <v/>
      </c>
      <c r="AN2399" t="s">
        <v>862</v>
      </c>
      <c r="AO2399" t="str">
        <f t="shared" si="2578"/>
        <v>a</v>
      </c>
      <c r="AP2399" t="str">
        <f t="shared" si="2586"/>
        <v/>
      </c>
      <c r="AQ2399" t="str">
        <f t="shared" si="2587"/>
        <v/>
      </c>
      <c r="AR2399" t="str">
        <f t="shared" si="2588"/>
        <v>Away</v>
      </c>
      <c r="AS2399" t="str">
        <f t="shared" si="2589"/>
        <v>a</v>
      </c>
      <c r="AT2399" t="str">
        <f t="shared" si="2590"/>
        <v>Offensive</v>
      </c>
      <c r="BA2399" s="6">
        <f t="shared" si="2579"/>
        <v>551</v>
      </c>
      <c r="BB2399">
        <f t="shared" si="2580"/>
        <v>18981</v>
      </c>
      <c r="BC2399" t="str">
        <f t="shared" si="2581"/>
        <v>Nelson</v>
      </c>
      <c r="BD2399" t="str">
        <f t="shared" si="2582"/>
        <v>Velodrome</v>
      </c>
      <c r="BE2399" t="s">
        <v>7</v>
      </c>
      <c r="BF2399" t="s">
        <v>172</v>
      </c>
      <c r="BG2399" t="s">
        <v>67</v>
      </c>
      <c r="BI2399" cm="1">
        <f t="array" ref="BI2399">IFERROR(_xlfn._xlws.FILTER(shifts!A:A,(shifts!B:B=events!AD2399)*(shifts!AG:AG&gt;=events!BK2399)*(shifts!AH:AH&lt;=events!BL2399)),BI2398)</f>
        <v>105</v>
      </c>
      <c r="BJ2399" s="15">
        <f t="shared" si="2583"/>
        <v>0</v>
      </c>
      <c r="BK2399">
        <f t="shared" si="2591"/>
        <v>31</v>
      </c>
      <c r="BL2399">
        <f t="shared" si="2592"/>
        <v>31</v>
      </c>
      <c r="BM2399" s="15">
        <f>SUMIFS(BJ$2:BJ2399,K$2:K2399,"=Intermission")+SUMIFS(BJ$2:BJ2399,K$2:K2399,"=Timeout")+SUMIFS(BJ$2:BJ2399,K$2:K2399,"=Clockstop")</f>
        <v>204</v>
      </c>
      <c r="BN2399">
        <f t="shared" si="2593"/>
        <v>2364</v>
      </c>
      <c r="BO2399" s="19">
        <f t="shared" si="2594"/>
        <v>3413</v>
      </c>
      <c r="BP2399">
        <f t="shared" si="2595"/>
        <v>3408</v>
      </c>
      <c r="BQ2399" s="17">
        <f t="shared" si="2596"/>
        <v>3413</v>
      </c>
      <c r="BR2399" t="str">
        <f t="shared" si="2597"/>
        <v>event_team_player_1</v>
      </c>
      <c r="BS2399">
        <f>COUNTIFS(S$3:S2399,"="&amp;S2399,AI$3:AI2399,"="&amp;AI2399)</f>
        <v>1</v>
      </c>
      <c r="BT2399" t="str">
        <f>IFERROR(VLOOKUP(BB2399&amp;BU2399&amp;X2399,game_rosters!U:W,3,FALSE),"")</f>
        <v>P100001</v>
      </c>
      <c r="BU2399" t="str">
        <f t="shared" si="2598"/>
        <v>Velodrome</v>
      </c>
    </row>
    <row r="2400" spans="1:73" x14ac:dyDescent="0.2">
      <c r="A2400">
        <f t="shared" si="2584"/>
        <v>1</v>
      </c>
      <c r="J2400" s="44" t="str">
        <f t="shared" si="2599"/>
        <v/>
      </c>
      <c r="K2400" t="s">
        <v>7</v>
      </c>
      <c r="L2400" t="s">
        <v>172</v>
      </c>
      <c r="M2400" t="s">
        <v>67</v>
      </c>
      <c r="S2400">
        <v>1281</v>
      </c>
      <c r="W2400" t="str">
        <f t="shared" si="2575"/>
        <v>a</v>
      </c>
      <c r="X2400">
        <v>52</v>
      </c>
      <c r="Y2400" t="e">
        <f>IF(X2400&lt;&gt;"",VLOOKUP(X2400,game_rosters!$C$43:$E$64,3,FALSE))</f>
        <v>#N/A</v>
      </c>
      <c r="Z2400" cm="1">
        <f t="array" ref="Z2400">IFERROR(IF(_xlfn._xlws.FILTER(game_rosters!$J:$J,(game_rosters!$G:$G=events!$AN2400)*(game_rosters!$J:$J=events!$X2400))&gt;0,1,""),"")</f>
        <v>1</v>
      </c>
      <c r="AA2400">
        <f t="shared" si="2623"/>
        <v>2281</v>
      </c>
      <c r="AB2400" t="str">
        <f t="shared" si="2624"/>
        <v/>
      </c>
      <c r="AC2400">
        <f t="shared" si="2572"/>
        <v>2281</v>
      </c>
      <c r="AD2400" s="6">
        <v>3</v>
      </c>
      <c r="AE2400" t="s">
        <v>742</v>
      </c>
      <c r="AF2400" t="s">
        <v>738</v>
      </c>
      <c r="AG2400" t="s">
        <v>756</v>
      </c>
      <c r="AH2400" t="s">
        <v>756</v>
      </c>
      <c r="AI2400" t="s">
        <v>367</v>
      </c>
      <c r="AJ2400" t="str">
        <f t="shared" ref="AJ2400:AK2400" si="2628">IF($J2400&lt;&gt;"",$J2400,IF($AC2400=$AC2399,AJ2399,""))</f>
        <v/>
      </c>
      <c r="AK2400" t="str">
        <f t="shared" si="2628"/>
        <v/>
      </c>
      <c r="AL2400" t="str">
        <f t="shared" si="2577"/>
        <v/>
      </c>
      <c r="AN2400" t="s">
        <v>862</v>
      </c>
      <c r="AO2400" t="str">
        <f t="shared" si="2578"/>
        <v>a</v>
      </c>
      <c r="AP2400" t="str">
        <f t="shared" si="2586"/>
        <v/>
      </c>
      <c r="AQ2400" t="str">
        <f t="shared" si="2587"/>
        <v/>
      </c>
      <c r="AR2400" t="str">
        <f t="shared" si="2588"/>
        <v>Away</v>
      </c>
      <c r="AS2400" t="str">
        <f t="shared" si="2589"/>
        <v>a</v>
      </c>
      <c r="AT2400" t="str">
        <f t="shared" si="2590"/>
        <v>Offensive</v>
      </c>
      <c r="BA2400" s="6">
        <f t="shared" si="2579"/>
        <v>551</v>
      </c>
      <c r="BB2400">
        <f t="shared" si="2580"/>
        <v>18981</v>
      </c>
      <c r="BC2400" t="str">
        <f t="shared" si="2581"/>
        <v>Nelson</v>
      </c>
      <c r="BD2400" t="str">
        <f t="shared" si="2582"/>
        <v>Velodrome</v>
      </c>
      <c r="BE2400" t="s">
        <v>7</v>
      </c>
      <c r="BF2400" t="s">
        <v>172</v>
      </c>
      <c r="BG2400" t="s">
        <v>67</v>
      </c>
      <c r="BI2400" cm="1">
        <f t="array" ref="BI2400">IFERROR(_xlfn._xlws.FILTER(shifts!A:A,(shifts!B:B=events!AD2400)*(shifts!AG:AG&gt;=events!BK2400)*(shifts!AH:AH&lt;=events!BL2400)),BI2399)</f>
        <v>105</v>
      </c>
      <c r="BJ2400" s="15">
        <f t="shared" si="2583"/>
        <v>0</v>
      </c>
      <c r="BK2400">
        <f t="shared" si="2591"/>
        <v>31</v>
      </c>
      <c r="BL2400">
        <f t="shared" si="2592"/>
        <v>31</v>
      </c>
      <c r="BM2400" s="15">
        <f>SUMIFS(BJ$2:BJ2400,K$2:K2400,"=Intermission")+SUMIFS(BJ$2:BJ2400,K$2:K2400,"=Timeout")+SUMIFS(BJ$2:BJ2400,K$2:K2400,"=Clockstop")</f>
        <v>204</v>
      </c>
      <c r="BN2400">
        <f t="shared" si="2593"/>
        <v>2364</v>
      </c>
      <c r="BO2400" s="19">
        <f t="shared" si="2594"/>
        <v>3413</v>
      </c>
      <c r="BP2400">
        <f t="shared" si="2595"/>
        <v>3408</v>
      </c>
      <c r="BQ2400" s="17">
        <f t="shared" si="2596"/>
        <v>3413</v>
      </c>
      <c r="BR2400" t="str">
        <f t="shared" si="2597"/>
        <v>event_team_player_2</v>
      </c>
      <c r="BS2400">
        <f>COUNTIFS(S$3:S2400,"="&amp;S2400,AI$3:AI2400,"="&amp;AI2400)</f>
        <v>2</v>
      </c>
      <c r="BT2400" t="str">
        <f>IFERROR(VLOOKUP(BB2400&amp;BU2400&amp;X2400,game_rosters!U:W,3,FALSE),"")</f>
        <v>P100070</v>
      </c>
      <c r="BU2400" t="str">
        <f t="shared" si="2598"/>
        <v>Velodrome</v>
      </c>
    </row>
    <row r="2401" spans="1:73" x14ac:dyDescent="0.2">
      <c r="A2401">
        <f t="shared" si="2584"/>
        <v>1</v>
      </c>
      <c r="J2401" s="44" t="str">
        <f t="shared" si="2599"/>
        <v>o</v>
      </c>
      <c r="K2401" t="s">
        <v>6</v>
      </c>
      <c r="L2401" t="s">
        <v>191</v>
      </c>
      <c r="M2401" t="s">
        <v>51</v>
      </c>
      <c r="S2401">
        <v>1282</v>
      </c>
      <c r="W2401" t="str">
        <f t="shared" si="2575"/>
        <v>a</v>
      </c>
      <c r="X2401">
        <v>52</v>
      </c>
      <c r="Y2401" t="e">
        <f>IF(X2401&lt;&gt;"",VLOOKUP(X2401,game_rosters!$C$43:$E$64,3,FALSE))</f>
        <v>#N/A</v>
      </c>
      <c r="Z2401" cm="1">
        <f t="array" ref="Z2401">IFERROR(IF(_xlfn._xlws.FILTER(game_rosters!$J:$J,(game_rosters!$G:$G=events!$AN2401)*(game_rosters!$J:$J=events!$X2401))&gt;0,1,""),"")</f>
        <v>1</v>
      </c>
      <c r="AA2401">
        <f t="shared" si="2623"/>
        <v>2282</v>
      </c>
      <c r="AB2401" t="str">
        <f t="shared" si="2624"/>
        <v/>
      </c>
      <c r="AC2401">
        <f t="shared" si="2572"/>
        <v>2282</v>
      </c>
      <c r="AD2401" s="6">
        <v>3</v>
      </c>
      <c r="AE2401" t="s">
        <v>742</v>
      </c>
      <c r="AF2401" t="s">
        <v>915</v>
      </c>
      <c r="AG2401" t="s">
        <v>756</v>
      </c>
      <c r="AH2401" t="s">
        <v>756</v>
      </c>
      <c r="AI2401" t="s">
        <v>367</v>
      </c>
      <c r="AJ2401" t="str">
        <f t="shared" ref="AJ2401:AK2401" si="2629">IF($J2401&lt;&gt;"",$J2401,IF($AC2401=$AC2400,AJ2400,""))</f>
        <v>o</v>
      </c>
      <c r="AK2401" t="str">
        <f t="shared" si="2629"/>
        <v>o</v>
      </c>
      <c r="AL2401" t="str">
        <f t="shared" si="2577"/>
        <v>d</v>
      </c>
      <c r="AN2401" t="s">
        <v>862</v>
      </c>
      <c r="AO2401" t="str">
        <f t="shared" si="2578"/>
        <v>a</v>
      </c>
      <c r="AP2401" t="str">
        <f t="shared" si="2586"/>
        <v>d</v>
      </c>
      <c r="AQ2401" t="str">
        <f t="shared" si="2587"/>
        <v/>
      </c>
      <c r="AR2401" t="str">
        <f t="shared" si="2588"/>
        <v>Away</v>
      </c>
      <c r="AS2401" t="str">
        <f t="shared" si="2589"/>
        <v>a</v>
      </c>
      <c r="AT2401" t="str">
        <f t="shared" si="2590"/>
        <v>Offensive</v>
      </c>
      <c r="BA2401" s="6">
        <f t="shared" si="2579"/>
        <v>551</v>
      </c>
      <c r="BB2401">
        <f t="shared" si="2580"/>
        <v>18981</v>
      </c>
      <c r="BC2401" t="str">
        <f t="shared" si="2581"/>
        <v>Nelson</v>
      </c>
      <c r="BD2401" t="str">
        <f t="shared" si="2582"/>
        <v>Velodrome</v>
      </c>
      <c r="BE2401" t="s">
        <v>6</v>
      </c>
      <c r="BF2401" t="s">
        <v>191</v>
      </c>
      <c r="BG2401" t="s">
        <v>51</v>
      </c>
      <c r="BI2401" cm="1">
        <f t="array" ref="BI2401">IFERROR(_xlfn._xlws.FILTER(shifts!A:A,(shifts!B:B=events!AD2401)*(shifts!AG:AG&gt;=events!BK2401)*(shifts!AH:AH&lt;=events!BL2401)),BI2400)</f>
        <v>105</v>
      </c>
      <c r="BJ2401" s="15">
        <f t="shared" si="2583"/>
        <v>0</v>
      </c>
      <c r="BK2401">
        <f t="shared" si="2591"/>
        <v>30</v>
      </c>
      <c r="BL2401">
        <f t="shared" si="2592"/>
        <v>30</v>
      </c>
      <c r="BM2401" s="15">
        <f>SUMIFS(BJ$2:BJ2401,K$2:K2401,"=Intermission")+SUMIFS(BJ$2:BJ2401,K$2:K2401,"=Timeout")+SUMIFS(BJ$2:BJ2401,K$2:K2401,"=Clockstop")</f>
        <v>204</v>
      </c>
      <c r="BN2401">
        <f t="shared" si="2593"/>
        <v>2364</v>
      </c>
      <c r="BO2401" s="19">
        <f t="shared" si="2594"/>
        <v>3414</v>
      </c>
      <c r="BP2401">
        <f t="shared" si="2595"/>
        <v>3409</v>
      </c>
      <c r="BQ2401" s="17">
        <f t="shared" si="2596"/>
        <v>3414</v>
      </c>
      <c r="BR2401" t="str">
        <f t="shared" si="2597"/>
        <v>event_team_player_1</v>
      </c>
      <c r="BS2401">
        <f>COUNTIFS(S$3:S2401,"="&amp;S2401,AI$3:AI2401,"="&amp;AI2401)</f>
        <v>1</v>
      </c>
      <c r="BT2401" t="str">
        <f>IFERROR(VLOOKUP(BB2401&amp;BU2401&amp;X2401,game_rosters!U:W,3,FALSE),"")</f>
        <v>P100070</v>
      </c>
      <c r="BU2401" t="str">
        <f t="shared" si="2598"/>
        <v>Velodrome</v>
      </c>
    </row>
    <row r="2402" spans="1:73" x14ac:dyDescent="0.2">
      <c r="A2402">
        <f t="shared" si="2584"/>
        <v>1</v>
      </c>
      <c r="J2402" s="44" t="str">
        <f t="shared" si="2599"/>
        <v>o</v>
      </c>
      <c r="K2402" t="s">
        <v>6</v>
      </c>
      <c r="L2402" t="s">
        <v>191</v>
      </c>
      <c r="M2402" t="s">
        <v>51</v>
      </c>
      <c r="S2402">
        <v>1282</v>
      </c>
      <c r="W2402" t="str">
        <f t="shared" si="2575"/>
        <v>a</v>
      </c>
      <c r="X2402">
        <v>37</v>
      </c>
      <c r="Y2402" t="b">
        <f>IF(X2402&lt;&gt;"",VLOOKUP(X2402,game_rosters!$C$43:$E$64,3,FALSE))</f>
        <v>0</v>
      </c>
      <c r="Z2402" t="str" cm="1">
        <f t="array" ref="Z2402">IFERROR(IF(_xlfn._xlws.FILTER(game_rosters!$J:$J,(game_rosters!$G:$G=events!$AN2402)*(game_rosters!$J:$J=events!$X2402))&gt;0,1,""),"")</f>
        <v/>
      </c>
      <c r="AA2402">
        <f t="shared" si="2623"/>
        <v>2282</v>
      </c>
      <c r="AB2402" t="str">
        <f t="shared" si="2624"/>
        <v/>
      </c>
      <c r="AC2402">
        <f t="shared" si="2572"/>
        <v>2282</v>
      </c>
      <c r="AD2402" s="6">
        <v>3</v>
      </c>
      <c r="AE2402" t="s">
        <v>742</v>
      </c>
      <c r="AF2402" t="s">
        <v>915</v>
      </c>
      <c r="AG2402" t="s">
        <v>756</v>
      </c>
      <c r="AH2402" t="s">
        <v>756</v>
      </c>
      <c r="AI2402" t="s">
        <v>368</v>
      </c>
      <c r="AJ2402" t="str">
        <f t="shared" ref="AJ2402:AK2402" si="2630">IF($J2402&lt;&gt;"",$J2402,IF($AC2402=$AC2401,AJ2401,""))</f>
        <v>o</v>
      </c>
      <c r="AK2402" t="str">
        <f t="shared" si="2630"/>
        <v>o</v>
      </c>
      <c r="AL2402" t="str">
        <f t="shared" si="2577"/>
        <v>d</v>
      </c>
      <c r="AN2402" t="s">
        <v>862</v>
      </c>
      <c r="AO2402" t="str">
        <f t="shared" si="2578"/>
        <v>a</v>
      </c>
      <c r="AP2402" t="str">
        <f t="shared" si="2586"/>
        <v>d</v>
      </c>
      <c r="AQ2402" t="str">
        <f t="shared" si="2587"/>
        <v/>
      </c>
      <c r="AR2402" t="str">
        <f t="shared" si="2588"/>
        <v>Away</v>
      </c>
      <c r="AS2402" t="str">
        <f t="shared" si="2589"/>
        <v>a</v>
      </c>
      <c r="AT2402" t="str">
        <f t="shared" si="2590"/>
        <v>Defensive</v>
      </c>
      <c r="BA2402" s="6">
        <f t="shared" si="2579"/>
        <v>551</v>
      </c>
      <c r="BB2402">
        <f t="shared" si="2580"/>
        <v>18981</v>
      </c>
      <c r="BC2402" t="str">
        <f t="shared" si="2581"/>
        <v>Nelson</v>
      </c>
      <c r="BD2402" t="str">
        <f t="shared" si="2582"/>
        <v>Velodrome</v>
      </c>
      <c r="BE2402" t="s">
        <v>6</v>
      </c>
      <c r="BF2402" t="s">
        <v>191</v>
      </c>
      <c r="BG2402" t="s">
        <v>51</v>
      </c>
      <c r="BI2402" cm="1">
        <f t="array" ref="BI2402">IFERROR(_xlfn._xlws.FILTER(shifts!A:A,(shifts!B:B=events!AD2402)*(shifts!AG:AG&gt;=events!BK2402)*(shifts!AH:AH&lt;=events!BL2402)),BI2401)</f>
        <v>105</v>
      </c>
      <c r="BJ2402" s="15">
        <f t="shared" si="2583"/>
        <v>0</v>
      </c>
      <c r="BK2402">
        <f t="shared" si="2591"/>
        <v>30</v>
      </c>
      <c r="BL2402">
        <f t="shared" si="2592"/>
        <v>30</v>
      </c>
      <c r="BM2402" s="15">
        <f>SUMIFS(BJ$2:BJ2402,K$2:K2402,"=Intermission")+SUMIFS(BJ$2:BJ2402,K$2:K2402,"=Timeout")+SUMIFS(BJ$2:BJ2402,K$2:K2402,"=Clockstop")</f>
        <v>204</v>
      </c>
      <c r="BN2402">
        <f t="shared" si="2593"/>
        <v>2364</v>
      </c>
      <c r="BO2402" s="19">
        <f t="shared" si="2594"/>
        <v>3414</v>
      </c>
      <c r="BP2402">
        <f t="shared" si="2595"/>
        <v>3409</v>
      </c>
      <c r="BQ2402" s="17">
        <f t="shared" si="2596"/>
        <v>3414</v>
      </c>
      <c r="BR2402" t="str">
        <f t="shared" si="2597"/>
        <v>opp_team_player_1</v>
      </c>
      <c r="BS2402">
        <f>COUNTIFS(S$3:S2402,"="&amp;S2402,AI$3:AI2402,"="&amp;AI2402)</f>
        <v>1</v>
      </c>
      <c r="BT2402" t="str">
        <f>IFERROR(VLOOKUP(BB2402&amp;BU2402&amp;X2402,game_rosters!U:W,3,FALSE),"")</f>
        <v>P100119</v>
      </c>
      <c r="BU2402" t="str">
        <f t="shared" si="2598"/>
        <v>Nelson</v>
      </c>
    </row>
    <row r="2403" spans="1:73" x14ac:dyDescent="0.2">
      <c r="A2403">
        <f t="shared" si="2584"/>
        <v>1</v>
      </c>
      <c r="J2403" s="44" t="str">
        <f t="shared" si="2599"/>
        <v/>
      </c>
      <c r="K2403" t="s">
        <v>9</v>
      </c>
      <c r="L2403" t="s">
        <v>173</v>
      </c>
      <c r="M2403" t="s">
        <v>76</v>
      </c>
      <c r="S2403">
        <v>1283</v>
      </c>
      <c r="W2403" t="str">
        <f t="shared" si="2575"/>
        <v>a</v>
      </c>
      <c r="X2403">
        <v>52</v>
      </c>
      <c r="Y2403" t="e">
        <f>IF(X2403&lt;&gt;"",VLOOKUP(X2403,game_rosters!$C$43:$E$64,3,FALSE))</f>
        <v>#N/A</v>
      </c>
      <c r="Z2403" cm="1">
        <f t="array" ref="Z2403">IFERROR(IF(_xlfn._xlws.FILTER(game_rosters!$J:$J,(game_rosters!$G:$G=events!$AN2403)*(game_rosters!$J:$J=events!$X2403))&gt;0,1,""),"")</f>
        <v>1</v>
      </c>
      <c r="AA2403">
        <f t="shared" si="2623"/>
        <v>2283</v>
      </c>
      <c r="AB2403" t="str">
        <f t="shared" si="2624"/>
        <v/>
      </c>
      <c r="AC2403">
        <f t="shared" si="2572"/>
        <v>2283</v>
      </c>
      <c r="AD2403" s="6">
        <v>3</v>
      </c>
      <c r="AE2403" t="s">
        <v>742</v>
      </c>
      <c r="AF2403" t="s">
        <v>906</v>
      </c>
      <c r="AG2403" t="s">
        <v>756</v>
      </c>
      <c r="AH2403" t="s">
        <v>756</v>
      </c>
      <c r="AI2403" t="s">
        <v>367</v>
      </c>
      <c r="AJ2403" t="str">
        <f t="shared" ref="AJ2403:AK2403" si="2631">IF($J2403&lt;&gt;"",$J2403,IF($AC2403=$AC2402,AJ2402,""))</f>
        <v/>
      </c>
      <c r="AK2403" t="str">
        <f t="shared" si="2631"/>
        <v/>
      </c>
      <c r="AL2403" t="str">
        <f t="shared" si="2577"/>
        <v/>
      </c>
      <c r="AN2403" t="s">
        <v>862</v>
      </c>
      <c r="AO2403" t="str">
        <f t="shared" si="2578"/>
        <v>a</v>
      </c>
      <c r="AP2403" t="str">
        <f t="shared" si="2586"/>
        <v/>
      </c>
      <c r="AQ2403" t="str">
        <f t="shared" si="2587"/>
        <v/>
      </c>
      <c r="AR2403" t="str">
        <f t="shared" si="2588"/>
        <v>Away</v>
      </c>
      <c r="AS2403" t="str">
        <f t="shared" si="2589"/>
        <v>a</v>
      </c>
      <c r="AT2403" t="str">
        <f t="shared" si="2590"/>
        <v>Offensive</v>
      </c>
      <c r="BA2403" s="6">
        <f t="shared" si="2579"/>
        <v>551</v>
      </c>
      <c r="BB2403">
        <f t="shared" si="2580"/>
        <v>18981</v>
      </c>
      <c r="BC2403" t="str">
        <f t="shared" si="2581"/>
        <v>Nelson</v>
      </c>
      <c r="BD2403" t="str">
        <f t="shared" si="2582"/>
        <v>Velodrome</v>
      </c>
      <c r="BE2403" t="s">
        <v>9</v>
      </c>
      <c r="BF2403" t="s">
        <v>173</v>
      </c>
      <c r="BG2403" t="s">
        <v>76</v>
      </c>
      <c r="BI2403" cm="1">
        <f t="array" ref="BI2403">IFERROR(_xlfn._xlws.FILTER(shifts!A:A,(shifts!B:B=events!AD2403)*(shifts!AG:AG&gt;=events!BK2403)*(shifts!AH:AH&lt;=events!BL2403)),BI2402)</f>
        <v>105</v>
      </c>
      <c r="BJ2403" s="15">
        <f t="shared" si="2583"/>
        <v>0</v>
      </c>
      <c r="BK2403">
        <f t="shared" si="2591"/>
        <v>29</v>
      </c>
      <c r="BL2403">
        <f t="shared" si="2592"/>
        <v>29</v>
      </c>
      <c r="BM2403" s="15">
        <f>SUMIFS(BJ$2:BJ2403,K$2:K2403,"=Intermission")+SUMIFS(BJ$2:BJ2403,K$2:K2403,"=Timeout")+SUMIFS(BJ$2:BJ2403,K$2:K2403,"=Clockstop")</f>
        <v>204</v>
      </c>
      <c r="BN2403">
        <f t="shared" si="2593"/>
        <v>2364</v>
      </c>
      <c r="BO2403" s="19">
        <f t="shared" si="2594"/>
        <v>3415</v>
      </c>
      <c r="BP2403">
        <f t="shared" si="2595"/>
        <v>3410</v>
      </c>
      <c r="BQ2403" s="17">
        <f t="shared" si="2596"/>
        <v>3415</v>
      </c>
      <c r="BR2403" t="str">
        <f t="shared" si="2597"/>
        <v>event_team_player_1</v>
      </c>
      <c r="BS2403">
        <f>COUNTIFS(S$3:S2403,"="&amp;S2403,AI$3:AI2403,"="&amp;AI2403)</f>
        <v>1</v>
      </c>
      <c r="BT2403" t="str">
        <f>IFERROR(VLOOKUP(BB2403&amp;BU2403&amp;X2403,game_rosters!U:W,3,FALSE),"")</f>
        <v>P100070</v>
      </c>
      <c r="BU2403" t="str">
        <f t="shared" si="2598"/>
        <v>Velodrome</v>
      </c>
    </row>
    <row r="2404" spans="1:73" x14ac:dyDescent="0.2">
      <c r="A2404">
        <f t="shared" si="2584"/>
        <v>1</v>
      </c>
      <c r="J2404" s="44" t="str">
        <f t="shared" si="2599"/>
        <v/>
      </c>
      <c r="K2404" t="s">
        <v>9</v>
      </c>
      <c r="L2404" t="s">
        <v>173</v>
      </c>
      <c r="M2404" t="s">
        <v>76</v>
      </c>
      <c r="S2404">
        <v>1283</v>
      </c>
      <c r="W2404" t="str">
        <f t="shared" si="2575"/>
        <v>a</v>
      </c>
      <c r="X2404">
        <v>37</v>
      </c>
      <c r="Y2404" t="b">
        <f>IF(X2404&lt;&gt;"",VLOOKUP(X2404,game_rosters!$C$43:$E$64,3,FALSE))</f>
        <v>0</v>
      </c>
      <c r="Z2404" t="str" cm="1">
        <f t="array" ref="Z2404">IFERROR(IF(_xlfn._xlws.FILTER(game_rosters!$J:$J,(game_rosters!$G:$G=events!$AN2404)*(game_rosters!$J:$J=events!$X2404))&gt;0,1,""),"")</f>
        <v/>
      </c>
      <c r="AA2404">
        <f t="shared" si="2623"/>
        <v>2283</v>
      </c>
      <c r="AB2404" t="str">
        <f t="shared" si="2624"/>
        <v/>
      </c>
      <c r="AC2404">
        <f t="shared" si="2572"/>
        <v>2283</v>
      </c>
      <c r="AD2404" s="6">
        <v>3</v>
      </c>
      <c r="AE2404" t="s">
        <v>742</v>
      </c>
      <c r="AF2404" t="s">
        <v>906</v>
      </c>
      <c r="AG2404" t="s">
        <v>756</v>
      </c>
      <c r="AH2404" t="s">
        <v>756</v>
      </c>
      <c r="AI2404" t="s">
        <v>368</v>
      </c>
      <c r="AJ2404" t="str">
        <f t="shared" ref="AJ2404:AK2404" si="2632">IF($J2404&lt;&gt;"",$J2404,IF($AC2404=$AC2403,AJ2403,""))</f>
        <v/>
      </c>
      <c r="AK2404" t="str">
        <f t="shared" si="2632"/>
        <v/>
      </c>
      <c r="AL2404" t="str">
        <f t="shared" si="2577"/>
        <v/>
      </c>
      <c r="AN2404" t="s">
        <v>862</v>
      </c>
      <c r="AO2404" t="str">
        <f>IF($W2404&lt;&gt;"",$W2404,IF($AC2404=$AC2403,AO2403,""))</f>
        <v>a</v>
      </c>
      <c r="AP2404" t="str">
        <f t="shared" si="2586"/>
        <v/>
      </c>
      <c r="AQ2404" t="str">
        <f t="shared" si="2587"/>
        <v/>
      </c>
      <c r="AR2404" t="str">
        <f t="shared" si="2588"/>
        <v>Away</v>
      </c>
      <c r="AS2404" t="str">
        <f t="shared" si="2589"/>
        <v>a</v>
      </c>
      <c r="AT2404" t="str">
        <f t="shared" si="2590"/>
        <v>Defensive</v>
      </c>
      <c r="BA2404" s="6">
        <f t="shared" si="2579"/>
        <v>551</v>
      </c>
      <c r="BB2404">
        <f t="shared" si="2580"/>
        <v>18981</v>
      </c>
      <c r="BC2404" t="str">
        <f t="shared" si="2581"/>
        <v>Nelson</v>
      </c>
      <c r="BD2404" t="str">
        <f t="shared" si="2582"/>
        <v>Velodrome</v>
      </c>
      <c r="BE2404" t="s">
        <v>9</v>
      </c>
      <c r="BF2404" t="s">
        <v>173</v>
      </c>
      <c r="BG2404" t="s">
        <v>76</v>
      </c>
      <c r="BI2404" cm="1">
        <f t="array" ref="BI2404">IFERROR(_xlfn._xlws.FILTER(shifts!A:A,(shifts!B:B=events!AD2404)*(shifts!AG:AG&gt;=events!BK2404)*(shifts!AH:AH&lt;=events!BL2404)),BI2403)</f>
        <v>105</v>
      </c>
      <c r="BJ2404" s="15">
        <f t="shared" si="2583"/>
        <v>0</v>
      </c>
      <c r="BK2404">
        <f t="shared" si="2591"/>
        <v>29</v>
      </c>
      <c r="BL2404">
        <f t="shared" si="2592"/>
        <v>29</v>
      </c>
      <c r="BM2404" s="15">
        <f>SUMIFS(BJ$2:BJ2404,K$2:K2404,"=Intermission")+SUMIFS(BJ$2:BJ2404,K$2:K2404,"=Timeout")+SUMIFS(BJ$2:BJ2404,K$2:K2404,"=Clockstop")</f>
        <v>204</v>
      </c>
      <c r="BN2404">
        <f t="shared" si="2593"/>
        <v>2364</v>
      </c>
      <c r="BO2404" s="19">
        <f t="shared" si="2594"/>
        <v>3415</v>
      </c>
      <c r="BP2404">
        <f t="shared" si="2595"/>
        <v>3410</v>
      </c>
      <c r="BQ2404" s="17">
        <f t="shared" si="2596"/>
        <v>3415</v>
      </c>
      <c r="BR2404" t="str">
        <f t="shared" si="2597"/>
        <v>opp_team_player_1</v>
      </c>
      <c r="BS2404">
        <f>COUNTIFS(S$3:S2404,"="&amp;S2404,AI$3:AI2404,"="&amp;AI2404)</f>
        <v>1</v>
      </c>
      <c r="BT2404" t="str">
        <f>IFERROR(VLOOKUP(BB2404&amp;BU2404&amp;X2404,game_rosters!U:W,3,FALSE),"")</f>
        <v>P100119</v>
      </c>
      <c r="BU2404" t="str">
        <f t="shared" si="2598"/>
        <v>Nelson</v>
      </c>
    </row>
    <row r="2405" spans="1:73" x14ac:dyDescent="0.2">
      <c r="A2405">
        <f t="shared" si="2584"/>
        <v>1</v>
      </c>
      <c r="J2405" s="44" t="str">
        <f t="shared" si="2599"/>
        <v>d</v>
      </c>
      <c r="K2405" t="s">
        <v>238</v>
      </c>
      <c r="L2405" t="s">
        <v>184</v>
      </c>
      <c r="M2405" t="s">
        <v>90</v>
      </c>
      <c r="S2405">
        <v>1284</v>
      </c>
      <c r="W2405" t="str">
        <f t="shared" si="2575"/>
        <v>h</v>
      </c>
      <c r="X2405">
        <v>37</v>
      </c>
      <c r="Y2405" t="b">
        <f>IF(X2405&lt;&gt;"",VLOOKUP(X2405,game_rosters!$C$43:$E$64,3,FALSE))</f>
        <v>0</v>
      </c>
      <c r="Z2405" cm="1">
        <f t="array" ref="Z2405">IFERROR(IF(_xlfn._xlws.FILTER(game_rosters!$J:$J,(game_rosters!$G:$G=events!$AN2405)*(game_rosters!$J:$J=events!$X2405))&gt;0,1,""),"")</f>
        <v>1</v>
      </c>
      <c r="AA2405">
        <f t="shared" si="2623"/>
        <v>2284</v>
      </c>
      <c r="AB2405" t="str">
        <f t="shared" si="2624"/>
        <v/>
      </c>
      <c r="AC2405">
        <f t="shared" si="2572"/>
        <v>2284</v>
      </c>
      <c r="AD2405" s="6">
        <v>3</v>
      </c>
      <c r="AE2405" t="s">
        <v>742</v>
      </c>
      <c r="AF2405" t="s">
        <v>930</v>
      </c>
      <c r="AG2405" t="s">
        <v>756</v>
      </c>
      <c r="AH2405" t="s">
        <v>756</v>
      </c>
      <c r="AI2405" t="s">
        <v>367</v>
      </c>
      <c r="AJ2405" t="str">
        <f t="shared" ref="AJ2405:AK2405" si="2633">IF($J2405&lt;&gt;"",$J2405,IF($AC2405=$AC2404,AJ2404,""))</f>
        <v>d</v>
      </c>
      <c r="AK2405" t="str">
        <f t="shared" si="2633"/>
        <v>d</v>
      </c>
      <c r="AL2405" t="str">
        <f t="shared" si="2577"/>
        <v>d</v>
      </c>
      <c r="AN2405" t="s">
        <v>861</v>
      </c>
      <c r="AO2405" t="str">
        <f t="shared" si="2578"/>
        <v>h</v>
      </c>
      <c r="AP2405" t="str">
        <f t="shared" si="2586"/>
        <v>d</v>
      </c>
      <c r="AQ2405" t="str">
        <f t="shared" si="2587"/>
        <v/>
      </c>
      <c r="AR2405" t="str">
        <f t="shared" si="2588"/>
        <v>Home</v>
      </c>
      <c r="AS2405" t="str">
        <f t="shared" si="2589"/>
        <v>h</v>
      </c>
      <c r="AT2405" t="str">
        <f t="shared" si="2590"/>
        <v>Offensive</v>
      </c>
      <c r="BA2405" s="6">
        <f t="shared" si="2579"/>
        <v>552</v>
      </c>
      <c r="BB2405">
        <f t="shared" si="2580"/>
        <v>18981</v>
      </c>
      <c r="BC2405" t="str">
        <f t="shared" si="2581"/>
        <v>Nelson</v>
      </c>
      <c r="BD2405" t="str">
        <f t="shared" si="2582"/>
        <v>Velodrome</v>
      </c>
      <c r="BE2405" t="s">
        <v>238</v>
      </c>
      <c r="BF2405" t="s">
        <v>184</v>
      </c>
      <c r="BG2405" t="s">
        <v>90</v>
      </c>
      <c r="BI2405" cm="1">
        <f t="array" ref="BI2405">IFERROR(_xlfn._xlws.FILTER(shifts!A:A,(shifts!B:B=events!AD2405)*(shifts!AG:AG&gt;=events!BK2405)*(shifts!AH:AH&lt;=events!BL2405)),BI2404)</f>
        <v>105</v>
      </c>
      <c r="BJ2405" s="15">
        <f t="shared" si="2583"/>
        <v>0</v>
      </c>
      <c r="BK2405">
        <f t="shared" si="2591"/>
        <v>28</v>
      </c>
      <c r="BL2405">
        <f t="shared" si="2592"/>
        <v>28</v>
      </c>
      <c r="BM2405" s="15">
        <f>SUMIFS(BJ$2:BJ2405,K$2:K2405,"=Intermission")+SUMIFS(BJ$2:BJ2405,K$2:K2405,"=Timeout")+SUMIFS(BJ$2:BJ2405,K$2:K2405,"=Clockstop")</f>
        <v>204</v>
      </c>
      <c r="BN2405">
        <f t="shared" si="2593"/>
        <v>2364</v>
      </c>
      <c r="BO2405" s="19">
        <f t="shared" si="2594"/>
        <v>3416</v>
      </c>
      <c r="BP2405">
        <f t="shared" si="2595"/>
        <v>3411</v>
      </c>
      <c r="BQ2405" s="17">
        <f t="shared" si="2596"/>
        <v>3416</v>
      </c>
      <c r="BR2405" t="str">
        <f t="shared" si="2597"/>
        <v>event_team_player_1</v>
      </c>
      <c r="BS2405">
        <f>COUNTIFS(S$3:S2405,"="&amp;S2405,AI$3:AI2405,"="&amp;AI2405)</f>
        <v>1</v>
      </c>
      <c r="BT2405" t="str">
        <f>IFERROR(VLOOKUP(BB2405&amp;BU2405&amp;X2405,game_rosters!U:W,3,FALSE),"")</f>
        <v>P100119</v>
      </c>
      <c r="BU2405" t="str">
        <f t="shared" si="2598"/>
        <v>Nelson</v>
      </c>
    </row>
    <row r="2406" spans="1:73" x14ac:dyDescent="0.2">
      <c r="A2406">
        <f t="shared" si="2584"/>
        <v>1</v>
      </c>
      <c r="J2406" s="44" t="str">
        <f t="shared" si="2599"/>
        <v>o</v>
      </c>
      <c r="K2406" t="s">
        <v>238</v>
      </c>
      <c r="L2406" t="s">
        <v>174</v>
      </c>
      <c r="M2406" t="s">
        <v>375</v>
      </c>
      <c r="S2406">
        <v>1285</v>
      </c>
      <c r="W2406" t="str">
        <f t="shared" si="2575"/>
        <v>h</v>
      </c>
      <c r="X2406">
        <v>37</v>
      </c>
      <c r="Y2406" t="b">
        <f>IF(X2406&lt;&gt;"",VLOOKUP(X2406,game_rosters!$C$43:$E$64,3,FALSE))</f>
        <v>0</v>
      </c>
      <c r="Z2406" cm="1">
        <f t="array" ref="Z2406">IFERROR(IF(_xlfn._xlws.FILTER(game_rosters!$J:$J,(game_rosters!$G:$G=events!$AN2406)*(game_rosters!$J:$J=events!$X2406))&gt;0,1,""),"")</f>
        <v>1</v>
      </c>
      <c r="AA2406">
        <f t="shared" si="2623"/>
        <v>2285</v>
      </c>
      <c r="AB2406" t="str">
        <f t="shared" si="2624"/>
        <v/>
      </c>
      <c r="AC2406">
        <f t="shared" si="2572"/>
        <v>2285</v>
      </c>
      <c r="AD2406" s="6">
        <v>3</v>
      </c>
      <c r="AE2406" t="s">
        <v>742</v>
      </c>
      <c r="AF2406" t="s">
        <v>930</v>
      </c>
      <c r="AG2406" t="s">
        <v>756</v>
      </c>
      <c r="AH2406" t="s">
        <v>756</v>
      </c>
      <c r="AI2406" t="s">
        <v>367</v>
      </c>
      <c r="AJ2406" t="str">
        <f t="shared" ref="AJ2406:AK2406" si="2634">IF($J2406&lt;&gt;"",$J2406,IF($AC2406=$AC2405,AJ2405,""))</f>
        <v>o</v>
      </c>
      <c r="AK2406" t="str">
        <f t="shared" si="2634"/>
        <v>o</v>
      </c>
      <c r="AL2406" t="str">
        <f t="shared" si="2577"/>
        <v>o</v>
      </c>
      <c r="AN2406" t="s">
        <v>861</v>
      </c>
      <c r="AO2406" t="str">
        <f t="shared" si="2578"/>
        <v>h</v>
      </c>
      <c r="AP2406" t="str">
        <f t="shared" si="2586"/>
        <v>o</v>
      </c>
      <c r="AQ2406" t="str">
        <f t="shared" si="2587"/>
        <v/>
      </c>
      <c r="AR2406" t="str">
        <f t="shared" si="2588"/>
        <v>Home</v>
      </c>
      <c r="AS2406" t="str">
        <f t="shared" si="2589"/>
        <v>h</v>
      </c>
      <c r="AT2406" t="str">
        <f t="shared" si="2590"/>
        <v>Offensive</v>
      </c>
      <c r="BA2406" s="6">
        <f t="shared" si="2579"/>
        <v>553</v>
      </c>
      <c r="BB2406">
        <f t="shared" si="2580"/>
        <v>18981</v>
      </c>
      <c r="BC2406" t="str">
        <f t="shared" si="2581"/>
        <v>Nelson</v>
      </c>
      <c r="BD2406" t="str">
        <f t="shared" si="2582"/>
        <v>Velodrome</v>
      </c>
      <c r="BE2406" t="s">
        <v>238</v>
      </c>
      <c r="BF2406" t="s">
        <v>174</v>
      </c>
      <c r="BG2406" t="s">
        <v>375</v>
      </c>
      <c r="BI2406" cm="1">
        <f t="array" ref="BI2406">IFERROR(_xlfn._xlws.FILTER(shifts!A:A,(shifts!B:B=events!AD2406)*(shifts!AG:AG&gt;=events!BK2406)*(shifts!AH:AH&lt;=events!BL2406)),BI2405)</f>
        <v>105</v>
      </c>
      <c r="BJ2406" s="15">
        <f t="shared" si="2583"/>
        <v>0</v>
      </c>
      <c r="BK2406">
        <f t="shared" si="2591"/>
        <v>28</v>
      </c>
      <c r="BL2406">
        <f t="shared" si="2592"/>
        <v>28</v>
      </c>
      <c r="BM2406" s="15">
        <f>SUMIFS(BJ$2:BJ2406,K$2:K2406,"=Intermission")+SUMIFS(BJ$2:BJ2406,K$2:K2406,"=Timeout")+SUMIFS(BJ$2:BJ2406,K$2:K2406,"=Clockstop")</f>
        <v>204</v>
      </c>
      <c r="BN2406">
        <f t="shared" si="2593"/>
        <v>2364</v>
      </c>
      <c r="BO2406" s="19">
        <f t="shared" si="2594"/>
        <v>3416</v>
      </c>
      <c r="BP2406">
        <f t="shared" si="2595"/>
        <v>3411</v>
      </c>
      <c r="BQ2406" s="17">
        <f t="shared" si="2596"/>
        <v>3416</v>
      </c>
      <c r="BR2406" t="str">
        <f t="shared" si="2597"/>
        <v>event_team_player_1</v>
      </c>
      <c r="BS2406">
        <f>COUNTIFS(S$3:S2406,"="&amp;S2406,AI$3:AI2406,"="&amp;AI2406)</f>
        <v>1</v>
      </c>
      <c r="BT2406" t="str">
        <f>IFERROR(VLOOKUP(BB2406&amp;BU2406&amp;X2406,game_rosters!U:W,3,FALSE),"")</f>
        <v>P100119</v>
      </c>
      <c r="BU2406" t="str">
        <f t="shared" si="2598"/>
        <v>Nelson</v>
      </c>
    </row>
    <row r="2407" spans="1:73" x14ac:dyDescent="0.2">
      <c r="A2407">
        <f t="shared" si="2584"/>
        <v>1</v>
      </c>
      <c r="J2407" s="44" t="str">
        <f t="shared" si="2599"/>
        <v/>
      </c>
      <c r="K2407" t="s">
        <v>13</v>
      </c>
      <c r="L2407" t="s">
        <v>756</v>
      </c>
      <c r="M2407" t="s">
        <v>756</v>
      </c>
      <c r="S2407">
        <v>1286</v>
      </c>
      <c r="W2407" t="str">
        <f t="shared" si="2575"/>
        <v>a</v>
      </c>
      <c r="X2407">
        <v>84</v>
      </c>
      <c r="Y2407" t="e">
        <f>IF(X2407&lt;&gt;"",VLOOKUP(X2407,game_rosters!$C$43:$E$64,3,FALSE))</f>
        <v>#N/A</v>
      </c>
      <c r="Z2407" cm="1">
        <f t="array" ref="Z2407">IFERROR(IF(_xlfn._xlws.FILTER(game_rosters!$J:$J,(game_rosters!$G:$G=events!$AN2407)*(game_rosters!$J:$J=events!$X2407))&gt;0,1,""),"")</f>
        <v>1</v>
      </c>
      <c r="AA2407">
        <f t="shared" si="2623"/>
        <v>2286</v>
      </c>
      <c r="AB2407" t="str">
        <f t="shared" si="2624"/>
        <v/>
      </c>
      <c r="AC2407">
        <f t="shared" si="2572"/>
        <v>2286</v>
      </c>
      <c r="AD2407" s="6">
        <v>3</v>
      </c>
      <c r="AE2407" t="s">
        <v>742</v>
      </c>
      <c r="AF2407" t="s">
        <v>918</v>
      </c>
      <c r="AG2407" t="s">
        <v>742</v>
      </c>
      <c r="AH2407" t="s">
        <v>908</v>
      </c>
      <c r="AI2407" t="s">
        <v>367</v>
      </c>
      <c r="AJ2407" t="str">
        <f t="shared" ref="AJ2407:AK2407" si="2635">IF($J2407&lt;&gt;"",$J2407,IF($AC2407=$AC2406,AJ2406,""))</f>
        <v/>
      </c>
      <c r="AK2407" t="str">
        <f t="shared" si="2635"/>
        <v/>
      </c>
      <c r="AL2407" t="str">
        <f t="shared" si="2577"/>
        <v/>
      </c>
      <c r="AN2407" t="s">
        <v>862</v>
      </c>
      <c r="AO2407" t="str">
        <f t="shared" si="2578"/>
        <v>a</v>
      </c>
      <c r="AP2407" t="str">
        <f t="shared" si="2586"/>
        <v/>
      </c>
      <c r="AQ2407" t="str">
        <f t="shared" si="2587"/>
        <v/>
      </c>
      <c r="AR2407" t="str">
        <f t="shared" si="2588"/>
        <v>Away</v>
      </c>
      <c r="AS2407" t="str">
        <f t="shared" si="2589"/>
        <v>a</v>
      </c>
      <c r="AT2407" t="str">
        <f t="shared" si="2590"/>
        <v>Offensive</v>
      </c>
      <c r="BA2407" s="6">
        <f t="shared" si="2579"/>
        <v>553</v>
      </c>
      <c r="BB2407">
        <f t="shared" si="2580"/>
        <v>18981</v>
      </c>
      <c r="BC2407" t="str">
        <f t="shared" si="2581"/>
        <v>Nelson</v>
      </c>
      <c r="BD2407" t="str">
        <f t="shared" si="2582"/>
        <v>Velodrome</v>
      </c>
      <c r="BE2407" t="s">
        <v>13</v>
      </c>
      <c r="BF2407" t="s">
        <v>756</v>
      </c>
      <c r="BG2407" t="s">
        <v>756</v>
      </c>
      <c r="BI2407" cm="1">
        <f t="array" ref="BI2407">IFERROR(_xlfn._xlws.FILTER(shifts!A:A,(shifts!B:B=events!AD2407)*(shifts!AG:AG&gt;=events!BK2407)*(shifts!AH:AH&lt;=events!BL2407)),BI2406)</f>
        <v>105</v>
      </c>
      <c r="BJ2407" s="15">
        <f t="shared" si="2583"/>
        <v>3</v>
      </c>
      <c r="BK2407">
        <f t="shared" si="2591"/>
        <v>22</v>
      </c>
      <c r="BL2407">
        <f t="shared" si="2592"/>
        <v>19</v>
      </c>
      <c r="BM2407" s="15">
        <f>SUMIFS(BJ$2:BJ2407,K$2:K2407,"=Intermission")+SUMIFS(BJ$2:BJ2407,K$2:K2407,"=Timeout")+SUMIFS(BJ$2:BJ2407,K$2:K2407,"=Clockstop")</f>
        <v>204</v>
      </c>
      <c r="BN2407">
        <f t="shared" si="2593"/>
        <v>2364</v>
      </c>
      <c r="BO2407" s="19">
        <f t="shared" si="2594"/>
        <v>3422</v>
      </c>
      <c r="BP2407">
        <f t="shared" si="2595"/>
        <v>3417</v>
      </c>
      <c r="BQ2407" s="17">
        <f t="shared" si="2596"/>
        <v>3425</v>
      </c>
      <c r="BR2407" t="str">
        <f t="shared" si="2597"/>
        <v>event_team_player_1</v>
      </c>
      <c r="BS2407">
        <f>COUNTIFS(S$3:S2407,"="&amp;S2407,AI$3:AI2407,"="&amp;AI2407)</f>
        <v>1</v>
      </c>
      <c r="BT2407" t="str">
        <f>IFERROR(VLOOKUP(BB2407&amp;BU2407&amp;X2407,game_rosters!U:W,3,FALSE),"")</f>
        <v>P100198</v>
      </c>
      <c r="BU2407" t="str">
        <f t="shared" si="2598"/>
        <v>Velodrome</v>
      </c>
    </row>
    <row r="2408" spans="1:73" x14ac:dyDescent="0.2">
      <c r="A2408">
        <f t="shared" si="2584"/>
        <v>1</v>
      </c>
      <c r="J2408" s="44" t="str">
        <f t="shared" si="2599"/>
        <v/>
      </c>
      <c r="K2408" t="s">
        <v>7</v>
      </c>
      <c r="L2408" t="s">
        <v>172</v>
      </c>
      <c r="M2408" t="s">
        <v>65</v>
      </c>
      <c r="S2408">
        <v>1287</v>
      </c>
      <c r="W2408" t="str">
        <f t="shared" si="2575"/>
        <v>a</v>
      </c>
      <c r="X2408">
        <v>84</v>
      </c>
      <c r="Y2408" t="e">
        <f>IF(X2408&lt;&gt;"",VLOOKUP(X2408,game_rosters!$C$43:$E$64,3,FALSE))</f>
        <v>#N/A</v>
      </c>
      <c r="Z2408" cm="1">
        <f t="array" ref="Z2408">IFERROR(IF(_xlfn._xlws.FILTER(game_rosters!$J:$J,(game_rosters!$G:$G=events!$AN2408)*(game_rosters!$J:$J=events!$X2408))&gt;0,1,""),"")</f>
        <v>1</v>
      </c>
      <c r="AA2408">
        <f t="shared" si="2623"/>
        <v>2287</v>
      </c>
      <c r="AB2408" t="str">
        <f t="shared" si="2624"/>
        <v/>
      </c>
      <c r="AC2408">
        <f t="shared" si="2572"/>
        <v>2287</v>
      </c>
      <c r="AD2408" s="6">
        <v>3</v>
      </c>
      <c r="AE2408" t="s">
        <v>742</v>
      </c>
      <c r="AF2408" t="s">
        <v>908</v>
      </c>
      <c r="AG2408" t="s">
        <v>756</v>
      </c>
      <c r="AH2408" t="s">
        <v>756</v>
      </c>
      <c r="AI2408" t="s">
        <v>367</v>
      </c>
      <c r="AJ2408" t="str">
        <f t="shared" ref="AJ2408:AK2408" si="2636">IF($J2408&lt;&gt;"",$J2408,IF($AC2408=$AC2407,AJ2407,""))</f>
        <v/>
      </c>
      <c r="AK2408" t="str">
        <f t="shared" si="2636"/>
        <v/>
      </c>
      <c r="AL2408" t="str">
        <f t="shared" si="2577"/>
        <v/>
      </c>
      <c r="AN2408" t="s">
        <v>862</v>
      </c>
      <c r="AO2408" t="str">
        <f t="shared" si="2578"/>
        <v>a</v>
      </c>
      <c r="AP2408" t="str">
        <f t="shared" si="2586"/>
        <v/>
      </c>
      <c r="AQ2408" t="str">
        <f t="shared" si="2587"/>
        <v/>
      </c>
      <c r="AR2408" t="str">
        <f t="shared" si="2588"/>
        <v>Away</v>
      </c>
      <c r="AS2408" t="str">
        <f t="shared" si="2589"/>
        <v>a</v>
      </c>
      <c r="AT2408" t="str">
        <f t="shared" si="2590"/>
        <v>Offensive</v>
      </c>
      <c r="BA2408" s="6">
        <f t="shared" si="2579"/>
        <v>553</v>
      </c>
      <c r="BB2408">
        <f t="shared" si="2580"/>
        <v>18981</v>
      </c>
      <c r="BC2408" t="str">
        <f t="shared" si="2581"/>
        <v>Nelson</v>
      </c>
      <c r="BD2408" t="str">
        <f t="shared" si="2582"/>
        <v>Velodrome</v>
      </c>
      <c r="BE2408" t="s">
        <v>7</v>
      </c>
      <c r="BF2408" t="s">
        <v>172</v>
      </c>
      <c r="BG2408" t="s">
        <v>65</v>
      </c>
      <c r="BI2408" cm="1">
        <f t="array" ref="BI2408">IFERROR(_xlfn._xlws.FILTER(shifts!A:A,(shifts!B:B=events!AD2408)*(shifts!AG:AG&gt;=events!BK2408)*(shifts!AH:AH&lt;=events!BL2408)),BI2407)</f>
        <v>105</v>
      </c>
      <c r="BJ2408" s="15">
        <f t="shared" si="2583"/>
        <v>0</v>
      </c>
      <c r="BK2408">
        <f t="shared" si="2591"/>
        <v>19</v>
      </c>
      <c r="BL2408">
        <f t="shared" si="2592"/>
        <v>19</v>
      </c>
      <c r="BM2408" s="15">
        <f>SUMIFS(BJ$2:BJ2408,K$2:K2408,"=Intermission")+SUMIFS(BJ$2:BJ2408,K$2:K2408,"=Timeout")+SUMIFS(BJ$2:BJ2408,K$2:K2408,"=Clockstop")</f>
        <v>204</v>
      </c>
      <c r="BN2408">
        <f t="shared" si="2593"/>
        <v>2364</v>
      </c>
      <c r="BO2408" s="19">
        <f t="shared" si="2594"/>
        <v>3425</v>
      </c>
      <c r="BP2408">
        <f t="shared" si="2595"/>
        <v>3420</v>
      </c>
      <c r="BQ2408" s="17">
        <f t="shared" si="2596"/>
        <v>3425</v>
      </c>
      <c r="BR2408" t="str">
        <f t="shared" si="2597"/>
        <v>event_team_player_1</v>
      </c>
      <c r="BS2408">
        <f>COUNTIFS(S$3:S2408,"="&amp;S2408,AI$3:AI2408,"="&amp;AI2408)</f>
        <v>1</v>
      </c>
      <c r="BT2408" t="str">
        <f>IFERROR(VLOOKUP(BB2408&amp;BU2408&amp;X2408,game_rosters!U:W,3,FALSE),"")</f>
        <v>P100198</v>
      </c>
      <c r="BU2408" t="str">
        <f t="shared" si="2598"/>
        <v>Velodrome</v>
      </c>
    </row>
    <row r="2409" spans="1:73" x14ac:dyDescent="0.2">
      <c r="A2409">
        <f t="shared" si="2584"/>
        <v>1</v>
      </c>
      <c r="J2409" s="44" t="str">
        <f t="shared" si="2599"/>
        <v/>
      </c>
      <c r="K2409" t="s">
        <v>7</v>
      </c>
      <c r="L2409" t="s">
        <v>172</v>
      </c>
      <c r="M2409" t="s">
        <v>65</v>
      </c>
      <c r="S2409">
        <v>1287</v>
      </c>
      <c r="W2409" t="str">
        <f t="shared" si="2575"/>
        <v>a</v>
      </c>
      <c r="X2409">
        <v>42</v>
      </c>
      <c r="Y2409" t="e">
        <f>IF(X2409&lt;&gt;"",VLOOKUP(X2409,game_rosters!$C$43:$E$64,3,FALSE))</f>
        <v>#N/A</v>
      </c>
      <c r="Z2409" cm="1">
        <f t="array" ref="Z2409">IFERROR(IF(_xlfn._xlws.FILTER(game_rosters!$J:$J,(game_rosters!$G:$G=events!$AN2409)*(game_rosters!$J:$J=events!$X2409))&gt;0,1,""),"")</f>
        <v>1</v>
      </c>
      <c r="AA2409">
        <f t="shared" si="2623"/>
        <v>2287</v>
      </c>
      <c r="AB2409" t="str">
        <f t="shared" si="2624"/>
        <v/>
      </c>
      <c r="AC2409">
        <f t="shared" si="2572"/>
        <v>2287</v>
      </c>
      <c r="AD2409" s="6">
        <v>3</v>
      </c>
      <c r="AE2409" t="s">
        <v>742</v>
      </c>
      <c r="AF2409" t="s">
        <v>908</v>
      </c>
      <c r="AG2409" t="s">
        <v>756</v>
      </c>
      <c r="AH2409" t="s">
        <v>756</v>
      </c>
      <c r="AI2409" t="s">
        <v>367</v>
      </c>
      <c r="AJ2409" t="str">
        <f t="shared" ref="AJ2409:AK2409" si="2637">IF($J2409&lt;&gt;"",$J2409,IF($AC2409=$AC2408,AJ2408,""))</f>
        <v/>
      </c>
      <c r="AK2409" t="str">
        <f t="shared" si="2637"/>
        <v/>
      </c>
      <c r="AL2409" t="str">
        <f t="shared" si="2577"/>
        <v/>
      </c>
      <c r="AN2409" t="s">
        <v>862</v>
      </c>
      <c r="AO2409" t="str">
        <f t="shared" si="2578"/>
        <v>a</v>
      </c>
      <c r="AP2409" t="str">
        <f t="shared" si="2586"/>
        <v/>
      </c>
      <c r="AQ2409" t="str">
        <f t="shared" si="2587"/>
        <v/>
      </c>
      <c r="AR2409" t="str">
        <f t="shared" si="2588"/>
        <v>Away</v>
      </c>
      <c r="AS2409" t="str">
        <f t="shared" si="2589"/>
        <v>a</v>
      </c>
      <c r="AT2409" t="str">
        <f t="shared" si="2590"/>
        <v>Offensive</v>
      </c>
      <c r="BA2409" s="6">
        <f t="shared" si="2579"/>
        <v>553</v>
      </c>
      <c r="BB2409">
        <f t="shared" si="2580"/>
        <v>18981</v>
      </c>
      <c r="BC2409" t="str">
        <f t="shared" si="2581"/>
        <v>Nelson</v>
      </c>
      <c r="BD2409" t="str">
        <f t="shared" si="2582"/>
        <v>Velodrome</v>
      </c>
      <c r="BE2409" t="s">
        <v>7</v>
      </c>
      <c r="BF2409" t="s">
        <v>172</v>
      </c>
      <c r="BG2409" t="s">
        <v>65</v>
      </c>
      <c r="BI2409" cm="1">
        <f t="array" ref="BI2409">IFERROR(_xlfn._xlws.FILTER(shifts!A:A,(shifts!B:B=events!AD2409)*(shifts!AG:AG&gt;=events!BK2409)*(shifts!AH:AH&lt;=events!BL2409)),BI2408)</f>
        <v>105</v>
      </c>
      <c r="BJ2409" s="15">
        <f t="shared" si="2583"/>
        <v>0</v>
      </c>
      <c r="BK2409">
        <f t="shared" si="2591"/>
        <v>19</v>
      </c>
      <c r="BL2409">
        <f t="shared" si="2592"/>
        <v>19</v>
      </c>
      <c r="BM2409" s="15">
        <f>SUMIFS(BJ$2:BJ2409,K$2:K2409,"=Intermission")+SUMIFS(BJ$2:BJ2409,K$2:K2409,"=Timeout")+SUMIFS(BJ$2:BJ2409,K$2:K2409,"=Clockstop")</f>
        <v>204</v>
      </c>
      <c r="BN2409">
        <f t="shared" si="2593"/>
        <v>2364</v>
      </c>
      <c r="BO2409" s="19">
        <f t="shared" si="2594"/>
        <v>3425</v>
      </c>
      <c r="BP2409">
        <f t="shared" si="2595"/>
        <v>3420</v>
      </c>
      <c r="BQ2409" s="17">
        <f t="shared" si="2596"/>
        <v>3425</v>
      </c>
      <c r="BR2409" t="str">
        <f t="shared" si="2597"/>
        <v>event_team_player_2</v>
      </c>
      <c r="BS2409">
        <f>COUNTIFS(S$3:S2409,"="&amp;S2409,AI$3:AI2409,"="&amp;AI2409)</f>
        <v>2</v>
      </c>
      <c r="BT2409" t="str">
        <f>IFERROR(VLOOKUP(BB2409&amp;BU2409&amp;X2409,game_rosters!U:W,3,FALSE),"")</f>
        <v>P100201</v>
      </c>
      <c r="BU2409" t="str">
        <f t="shared" si="2598"/>
        <v>Velodrome</v>
      </c>
    </row>
    <row r="2410" spans="1:73" x14ac:dyDescent="0.2">
      <c r="A2410">
        <f t="shared" si="2584"/>
        <v>1</v>
      </c>
      <c r="J2410" s="44" t="str">
        <f t="shared" si="2599"/>
        <v>d</v>
      </c>
      <c r="K2410" t="s">
        <v>238</v>
      </c>
      <c r="L2410" t="s">
        <v>184</v>
      </c>
      <c r="M2410" t="s">
        <v>89</v>
      </c>
      <c r="S2410">
        <v>1288</v>
      </c>
      <c r="W2410" t="str">
        <f t="shared" si="2575"/>
        <v>a</v>
      </c>
      <c r="X2410">
        <v>84</v>
      </c>
      <c r="Y2410" t="e">
        <f>IF(X2410&lt;&gt;"",VLOOKUP(X2410,game_rosters!$C$43:$E$64,3,FALSE))</f>
        <v>#N/A</v>
      </c>
      <c r="Z2410" cm="1">
        <f t="array" ref="Z2410">IFERROR(IF(_xlfn._xlws.FILTER(game_rosters!$J:$J,(game_rosters!$G:$G=events!$AN2410)*(game_rosters!$J:$J=events!$X2410))&gt;0,1,""),"")</f>
        <v>1</v>
      </c>
      <c r="AA2410">
        <f t="shared" si="2623"/>
        <v>2288</v>
      </c>
      <c r="AB2410" t="str">
        <f t="shared" si="2624"/>
        <v/>
      </c>
      <c r="AC2410">
        <f t="shared" si="2572"/>
        <v>2288</v>
      </c>
      <c r="AD2410" s="6">
        <v>3</v>
      </c>
      <c r="AE2410" t="s">
        <v>742</v>
      </c>
      <c r="AF2410" t="s">
        <v>908</v>
      </c>
      <c r="AG2410" t="s">
        <v>756</v>
      </c>
      <c r="AH2410" t="s">
        <v>756</v>
      </c>
      <c r="AI2410" t="s">
        <v>367</v>
      </c>
      <c r="AJ2410" t="str">
        <f t="shared" ref="AJ2410:AK2410" si="2638">IF($J2410&lt;&gt;"",$J2410,IF($AC2410=$AC2409,AJ2409,""))</f>
        <v>d</v>
      </c>
      <c r="AK2410" t="str">
        <f t="shared" si="2638"/>
        <v>d</v>
      </c>
      <c r="AL2410" t="str">
        <f t="shared" si="2577"/>
        <v>o</v>
      </c>
      <c r="AN2410" t="s">
        <v>862</v>
      </c>
      <c r="AO2410" t="str">
        <f t="shared" si="2578"/>
        <v>a</v>
      </c>
      <c r="AP2410" t="str">
        <f t="shared" si="2586"/>
        <v>o</v>
      </c>
      <c r="AQ2410" t="str">
        <f t="shared" si="2587"/>
        <v/>
      </c>
      <c r="AR2410" t="str">
        <f t="shared" si="2588"/>
        <v>Away</v>
      </c>
      <c r="AS2410" t="str">
        <f t="shared" si="2589"/>
        <v>a</v>
      </c>
      <c r="AT2410" t="str">
        <f t="shared" si="2590"/>
        <v>Offensive</v>
      </c>
      <c r="BA2410" s="6">
        <f t="shared" si="2579"/>
        <v>554</v>
      </c>
      <c r="BB2410">
        <f t="shared" si="2580"/>
        <v>18981</v>
      </c>
      <c r="BC2410" t="str">
        <f t="shared" si="2581"/>
        <v>Nelson</v>
      </c>
      <c r="BD2410" t="str">
        <f t="shared" si="2582"/>
        <v>Velodrome</v>
      </c>
      <c r="BE2410" t="s">
        <v>238</v>
      </c>
      <c r="BF2410" t="s">
        <v>184</v>
      </c>
      <c r="BG2410" t="s">
        <v>89</v>
      </c>
      <c r="BI2410" cm="1">
        <f t="array" ref="BI2410">IFERROR(_xlfn._xlws.FILTER(shifts!A:A,(shifts!B:B=events!AD2410)*(shifts!AG:AG&gt;=events!BK2410)*(shifts!AH:AH&lt;=events!BL2410)),BI2409)</f>
        <v>105</v>
      </c>
      <c r="BJ2410" s="15">
        <f t="shared" si="2583"/>
        <v>0</v>
      </c>
      <c r="BK2410">
        <f t="shared" si="2591"/>
        <v>19</v>
      </c>
      <c r="BL2410">
        <f t="shared" si="2592"/>
        <v>19</v>
      </c>
      <c r="BM2410" s="15">
        <f>SUMIFS(BJ$2:BJ2410,K$2:K2410,"=Intermission")+SUMIFS(BJ$2:BJ2410,K$2:K2410,"=Timeout")+SUMIFS(BJ$2:BJ2410,K$2:K2410,"=Clockstop")</f>
        <v>204</v>
      </c>
      <c r="BN2410">
        <f t="shared" si="2593"/>
        <v>2364</v>
      </c>
      <c r="BO2410" s="19">
        <f t="shared" si="2594"/>
        <v>3425</v>
      </c>
      <c r="BP2410">
        <f t="shared" si="2595"/>
        <v>3420</v>
      </c>
      <c r="BQ2410" s="17">
        <f t="shared" si="2596"/>
        <v>3425</v>
      </c>
      <c r="BR2410" t="str">
        <f t="shared" si="2597"/>
        <v>event_team_player_1</v>
      </c>
      <c r="BS2410">
        <f>COUNTIFS(S$3:S2410,"="&amp;S2410,AI$3:AI2410,"="&amp;AI2410)</f>
        <v>1</v>
      </c>
      <c r="BT2410" t="str">
        <f>IFERROR(VLOOKUP(BB2410&amp;BU2410&amp;X2410,game_rosters!U:W,3,FALSE),"")</f>
        <v>P100198</v>
      </c>
      <c r="BU2410" t="str">
        <f t="shared" si="2598"/>
        <v>Velodrome</v>
      </c>
    </row>
    <row r="2411" spans="1:73" x14ac:dyDescent="0.2">
      <c r="A2411">
        <f t="shared" si="2584"/>
        <v>1</v>
      </c>
      <c r="J2411" s="44" t="str">
        <f t="shared" si="2599"/>
        <v>d</v>
      </c>
      <c r="K2411" t="s">
        <v>238</v>
      </c>
      <c r="L2411" t="s">
        <v>184</v>
      </c>
      <c r="M2411" t="s">
        <v>89</v>
      </c>
      <c r="S2411">
        <v>1288</v>
      </c>
      <c r="W2411" t="str">
        <f t="shared" si="2575"/>
        <v>a</v>
      </c>
      <c r="X2411">
        <v>42</v>
      </c>
      <c r="Y2411" t="e">
        <f>IF(X2411&lt;&gt;"",VLOOKUP(X2411,game_rosters!$C$43:$E$64,3,FALSE))</f>
        <v>#N/A</v>
      </c>
      <c r="Z2411" cm="1">
        <f t="array" ref="Z2411">IFERROR(IF(_xlfn._xlws.FILTER(game_rosters!$J:$J,(game_rosters!$G:$G=events!$AN2411)*(game_rosters!$J:$J=events!$X2411))&gt;0,1,""),"")</f>
        <v>1</v>
      </c>
      <c r="AA2411">
        <f t="shared" si="2623"/>
        <v>2288</v>
      </c>
      <c r="AB2411" t="str">
        <f t="shared" si="2624"/>
        <v/>
      </c>
      <c r="AC2411">
        <f t="shared" si="2572"/>
        <v>2288</v>
      </c>
      <c r="AD2411" s="6">
        <v>3</v>
      </c>
      <c r="AE2411" t="s">
        <v>742</v>
      </c>
      <c r="AF2411" t="s">
        <v>908</v>
      </c>
      <c r="AG2411" t="s">
        <v>756</v>
      </c>
      <c r="AH2411" t="s">
        <v>756</v>
      </c>
      <c r="AI2411" t="s">
        <v>367</v>
      </c>
      <c r="AJ2411" t="str">
        <f t="shared" ref="AJ2411:AK2411" si="2639">IF($J2411&lt;&gt;"",$J2411,IF($AC2411=$AC2410,AJ2410,""))</f>
        <v>d</v>
      </c>
      <c r="AK2411" t="str">
        <f t="shared" si="2639"/>
        <v>d</v>
      </c>
      <c r="AL2411" t="str">
        <f t="shared" si="2577"/>
        <v>o</v>
      </c>
      <c r="AN2411" t="s">
        <v>862</v>
      </c>
      <c r="AO2411" t="str">
        <f t="shared" si="2578"/>
        <v>a</v>
      </c>
      <c r="AP2411" t="str">
        <f t="shared" si="2586"/>
        <v>o</v>
      </c>
      <c r="AQ2411" t="str">
        <f t="shared" si="2587"/>
        <v/>
      </c>
      <c r="AR2411" t="str">
        <f t="shared" si="2588"/>
        <v>Away</v>
      </c>
      <c r="AS2411" t="str">
        <f t="shared" si="2589"/>
        <v>a</v>
      </c>
      <c r="AT2411" t="str">
        <f t="shared" si="2590"/>
        <v>Offensive</v>
      </c>
      <c r="BA2411" s="6">
        <f t="shared" si="2579"/>
        <v>555</v>
      </c>
      <c r="BB2411">
        <f t="shared" si="2580"/>
        <v>18981</v>
      </c>
      <c r="BC2411" t="str">
        <f t="shared" si="2581"/>
        <v>Nelson</v>
      </c>
      <c r="BD2411" t="str">
        <f t="shared" si="2582"/>
        <v>Velodrome</v>
      </c>
      <c r="BE2411" t="s">
        <v>238</v>
      </c>
      <c r="BF2411" t="s">
        <v>184</v>
      </c>
      <c r="BG2411" t="s">
        <v>89</v>
      </c>
      <c r="BI2411" cm="1">
        <f t="array" ref="BI2411">IFERROR(_xlfn._xlws.FILTER(shifts!A:A,(shifts!B:B=events!AD2411)*(shifts!AG:AG&gt;=events!BK2411)*(shifts!AH:AH&lt;=events!BL2411)),BI2410)</f>
        <v>105</v>
      </c>
      <c r="BJ2411" s="15">
        <f t="shared" si="2583"/>
        <v>0</v>
      </c>
      <c r="BK2411">
        <f t="shared" si="2591"/>
        <v>19</v>
      </c>
      <c r="BL2411">
        <f t="shared" si="2592"/>
        <v>19</v>
      </c>
      <c r="BM2411" s="15">
        <f>SUMIFS(BJ$2:BJ2411,K$2:K2411,"=Intermission")+SUMIFS(BJ$2:BJ2411,K$2:K2411,"=Timeout")+SUMIFS(BJ$2:BJ2411,K$2:K2411,"=Clockstop")</f>
        <v>204</v>
      </c>
      <c r="BN2411">
        <f t="shared" si="2593"/>
        <v>2364</v>
      </c>
      <c r="BO2411" s="19">
        <f t="shared" si="2594"/>
        <v>3425</v>
      </c>
      <c r="BP2411">
        <f t="shared" si="2595"/>
        <v>3420</v>
      </c>
      <c r="BQ2411" s="17">
        <f t="shared" si="2596"/>
        <v>3425</v>
      </c>
      <c r="BR2411" t="str">
        <f t="shared" si="2597"/>
        <v>event_team_player_2</v>
      </c>
      <c r="BS2411">
        <f>COUNTIFS(S$3:S2411,"="&amp;S2411,AI$3:AI2411,"="&amp;AI2411)</f>
        <v>2</v>
      </c>
      <c r="BT2411" t="str">
        <f>IFERROR(VLOOKUP(BB2411&amp;BU2411&amp;X2411,game_rosters!U:W,3,FALSE),"")</f>
        <v>P100201</v>
      </c>
      <c r="BU2411" t="str">
        <f t="shared" si="2598"/>
        <v>Velodrome</v>
      </c>
    </row>
    <row r="2412" spans="1:73" x14ac:dyDescent="0.2">
      <c r="A2412">
        <f t="shared" si="2584"/>
        <v>1</v>
      </c>
      <c r="J2412" s="44" t="str">
        <f t="shared" si="2599"/>
        <v>o</v>
      </c>
      <c r="K2412" t="s">
        <v>238</v>
      </c>
      <c r="L2412" t="s">
        <v>174</v>
      </c>
      <c r="M2412" t="s">
        <v>85</v>
      </c>
      <c r="S2412">
        <v>1289</v>
      </c>
      <c r="W2412" t="str">
        <f t="shared" si="2575"/>
        <v>a</v>
      </c>
      <c r="X2412">
        <v>42</v>
      </c>
      <c r="Y2412" t="e">
        <f>IF(X2412&lt;&gt;"",VLOOKUP(X2412,game_rosters!$C$43:$E$64,3,FALSE))</f>
        <v>#N/A</v>
      </c>
      <c r="Z2412" cm="1">
        <f t="array" ref="Z2412">IFERROR(IF(_xlfn._xlws.FILTER(game_rosters!$J:$J,(game_rosters!$G:$G=events!$AN2412)*(game_rosters!$J:$J=events!$X2412))&gt;0,1,""),"")</f>
        <v>1</v>
      </c>
      <c r="AA2412">
        <f t="shared" si="2623"/>
        <v>2289</v>
      </c>
      <c r="AB2412" t="str">
        <f t="shared" si="2624"/>
        <v/>
      </c>
      <c r="AC2412">
        <f t="shared" si="2572"/>
        <v>2289</v>
      </c>
      <c r="AD2412" s="6">
        <v>3</v>
      </c>
      <c r="AE2412" t="s">
        <v>742</v>
      </c>
      <c r="AF2412" t="s">
        <v>732</v>
      </c>
      <c r="AG2412" t="s">
        <v>742</v>
      </c>
      <c r="AH2412" t="s">
        <v>744</v>
      </c>
      <c r="AI2412" t="s">
        <v>367</v>
      </c>
      <c r="AJ2412" t="str">
        <f t="shared" ref="AJ2412:AK2412" si="2640">IF($J2412&lt;&gt;"",$J2412,IF($AC2412=$AC2411,AJ2411,""))</f>
        <v>o</v>
      </c>
      <c r="AK2412" t="str">
        <f t="shared" si="2640"/>
        <v>o</v>
      </c>
      <c r="AL2412" t="str">
        <f t="shared" si="2577"/>
        <v>d</v>
      </c>
      <c r="AN2412" t="s">
        <v>862</v>
      </c>
      <c r="AO2412" t="str">
        <f t="shared" si="2578"/>
        <v>a</v>
      </c>
      <c r="AP2412" t="str">
        <f t="shared" si="2586"/>
        <v>d</v>
      </c>
      <c r="AQ2412" t="str">
        <f t="shared" si="2587"/>
        <v/>
      </c>
      <c r="AR2412" t="str">
        <f t="shared" si="2588"/>
        <v>Away</v>
      </c>
      <c r="AS2412" t="str">
        <f t="shared" si="2589"/>
        <v>a</v>
      </c>
      <c r="AT2412" t="str">
        <f t="shared" si="2590"/>
        <v>Offensive</v>
      </c>
      <c r="BA2412" s="6">
        <f t="shared" si="2579"/>
        <v>556</v>
      </c>
      <c r="BB2412">
        <f t="shared" si="2580"/>
        <v>18981</v>
      </c>
      <c r="BC2412" t="str">
        <f t="shared" si="2581"/>
        <v>Nelson</v>
      </c>
      <c r="BD2412" t="str">
        <f t="shared" si="2582"/>
        <v>Velodrome</v>
      </c>
      <c r="BE2412" t="s">
        <v>238</v>
      </c>
      <c r="BF2412" t="s">
        <v>174</v>
      </c>
      <c r="BG2412" t="s">
        <v>85</v>
      </c>
      <c r="BI2412" cm="1">
        <f t="array" ref="BI2412">IFERROR(_xlfn._xlws.FILTER(shifts!A:A,(shifts!B:B=events!AD2412)*(shifts!AG:AG&gt;=events!BK2412)*(shifts!AH:AH&lt;=events!BL2412)),BI2411)</f>
        <v>105</v>
      </c>
      <c r="BJ2412" s="15">
        <f t="shared" si="2583"/>
        <v>2</v>
      </c>
      <c r="BK2412">
        <f t="shared" si="2591"/>
        <v>17</v>
      </c>
      <c r="BL2412">
        <f t="shared" si="2592"/>
        <v>15</v>
      </c>
      <c r="BM2412" s="15">
        <f>SUMIFS(BJ$2:BJ2412,K$2:K2412,"=Intermission")+SUMIFS(BJ$2:BJ2412,K$2:K2412,"=Timeout")+SUMIFS(BJ$2:BJ2412,K$2:K2412,"=Clockstop")</f>
        <v>204</v>
      </c>
      <c r="BN2412">
        <f t="shared" si="2593"/>
        <v>2364</v>
      </c>
      <c r="BO2412" s="19">
        <f t="shared" si="2594"/>
        <v>3427</v>
      </c>
      <c r="BP2412">
        <f t="shared" si="2595"/>
        <v>3422</v>
      </c>
      <c r="BQ2412" s="17">
        <f t="shared" si="2596"/>
        <v>3429</v>
      </c>
      <c r="BR2412" t="str">
        <f t="shared" si="2597"/>
        <v>event_team_player_1</v>
      </c>
      <c r="BS2412">
        <f>COUNTIFS(S$3:S2412,"="&amp;S2412,AI$3:AI2412,"="&amp;AI2412)</f>
        <v>1</v>
      </c>
      <c r="BT2412" t="str">
        <f>IFERROR(VLOOKUP(BB2412&amp;BU2412&amp;X2412,game_rosters!U:W,3,FALSE),"")</f>
        <v>P100201</v>
      </c>
      <c r="BU2412" t="str">
        <f t="shared" si="2598"/>
        <v>Velodrome</v>
      </c>
    </row>
    <row r="2413" spans="1:73" x14ac:dyDescent="0.2">
      <c r="A2413">
        <f t="shared" si="2584"/>
        <v>1</v>
      </c>
      <c r="J2413" s="44" t="str">
        <f t="shared" si="2599"/>
        <v>o</v>
      </c>
      <c r="K2413" t="s">
        <v>238</v>
      </c>
      <c r="L2413" t="s">
        <v>174</v>
      </c>
      <c r="M2413" t="s">
        <v>85</v>
      </c>
      <c r="S2413">
        <v>1289</v>
      </c>
      <c r="W2413" t="str">
        <f t="shared" si="2575"/>
        <v>a</v>
      </c>
      <c r="X2413">
        <v>49</v>
      </c>
      <c r="Y2413" t="e">
        <f>IF(X2413&lt;&gt;"",VLOOKUP(X2413,game_rosters!$C$43:$E$64,3,FALSE))</f>
        <v>#N/A</v>
      </c>
      <c r="Z2413" cm="1">
        <f t="array" ref="Z2413">IFERROR(IF(_xlfn._xlws.FILTER(game_rosters!$J:$J,(game_rosters!$G:$G=events!$AN2413)*(game_rosters!$J:$J=events!$X2413))&gt;0,1,""),"")</f>
        <v>1</v>
      </c>
      <c r="AA2413">
        <f t="shared" si="2623"/>
        <v>2289</v>
      </c>
      <c r="AB2413" t="str">
        <f t="shared" si="2624"/>
        <v/>
      </c>
      <c r="AC2413">
        <f t="shared" si="2572"/>
        <v>2289</v>
      </c>
      <c r="AD2413" s="6">
        <v>3</v>
      </c>
      <c r="AE2413" t="s">
        <v>742</v>
      </c>
      <c r="AF2413" t="s">
        <v>732</v>
      </c>
      <c r="AG2413" t="s">
        <v>742</v>
      </c>
      <c r="AH2413" t="s">
        <v>744</v>
      </c>
      <c r="AI2413" t="s">
        <v>367</v>
      </c>
      <c r="AJ2413" t="str">
        <f t="shared" ref="AJ2413:AK2413" si="2641">IF($J2413&lt;&gt;"",$J2413,IF($AC2413=$AC2412,AJ2412,""))</f>
        <v>o</v>
      </c>
      <c r="AK2413" t="str">
        <f t="shared" si="2641"/>
        <v>o</v>
      </c>
      <c r="AL2413" t="str">
        <f t="shared" si="2577"/>
        <v>d</v>
      </c>
      <c r="AN2413" t="s">
        <v>862</v>
      </c>
      <c r="AO2413" t="str">
        <f t="shared" si="2578"/>
        <v>a</v>
      </c>
      <c r="AP2413" t="str">
        <f t="shared" si="2586"/>
        <v>d</v>
      </c>
      <c r="AQ2413" t="str">
        <f t="shared" si="2587"/>
        <v/>
      </c>
      <c r="AR2413" t="str">
        <f t="shared" si="2588"/>
        <v>Away</v>
      </c>
      <c r="AS2413" t="str">
        <f t="shared" si="2589"/>
        <v>a</v>
      </c>
      <c r="AT2413" t="str">
        <f t="shared" si="2590"/>
        <v>Offensive</v>
      </c>
      <c r="BA2413" s="6">
        <f t="shared" si="2579"/>
        <v>557</v>
      </c>
      <c r="BB2413">
        <f t="shared" si="2580"/>
        <v>18981</v>
      </c>
      <c r="BC2413" t="str">
        <f t="shared" si="2581"/>
        <v>Nelson</v>
      </c>
      <c r="BD2413" t="str">
        <f t="shared" si="2582"/>
        <v>Velodrome</v>
      </c>
      <c r="BE2413" t="s">
        <v>238</v>
      </c>
      <c r="BF2413" t="s">
        <v>174</v>
      </c>
      <c r="BG2413" t="s">
        <v>85</v>
      </c>
      <c r="BI2413" cm="1">
        <f t="array" ref="BI2413">IFERROR(_xlfn._xlws.FILTER(shifts!A:A,(shifts!B:B=events!AD2413)*(shifts!AG:AG&gt;=events!BK2413)*(shifts!AH:AH&lt;=events!BL2413)),BI2412)</f>
        <v>105</v>
      </c>
      <c r="BJ2413" s="15">
        <f t="shared" si="2583"/>
        <v>2</v>
      </c>
      <c r="BK2413">
        <f t="shared" si="2591"/>
        <v>17</v>
      </c>
      <c r="BL2413">
        <f t="shared" si="2592"/>
        <v>15</v>
      </c>
      <c r="BM2413" s="15">
        <f>SUMIFS(BJ$2:BJ2413,K$2:K2413,"=Intermission")+SUMIFS(BJ$2:BJ2413,K$2:K2413,"=Timeout")+SUMIFS(BJ$2:BJ2413,K$2:K2413,"=Clockstop")</f>
        <v>204</v>
      </c>
      <c r="BN2413">
        <f t="shared" si="2593"/>
        <v>2364</v>
      </c>
      <c r="BO2413" s="19">
        <f t="shared" si="2594"/>
        <v>3427</v>
      </c>
      <c r="BP2413">
        <f t="shared" si="2595"/>
        <v>3422</v>
      </c>
      <c r="BQ2413" s="17">
        <f t="shared" si="2596"/>
        <v>3429</v>
      </c>
      <c r="BR2413" t="str">
        <f t="shared" si="2597"/>
        <v>event_team_player_2</v>
      </c>
      <c r="BS2413">
        <f>COUNTIFS(S$3:S2413,"="&amp;S2413,AI$3:AI2413,"="&amp;AI2413)</f>
        <v>2</v>
      </c>
      <c r="BT2413" t="str">
        <f>IFERROR(VLOOKUP(BB2413&amp;BU2413&amp;X2413,game_rosters!U:W,3,FALSE),"")</f>
        <v>P100161</v>
      </c>
      <c r="BU2413" t="str">
        <f t="shared" si="2598"/>
        <v>Velodrome</v>
      </c>
    </row>
    <row r="2414" spans="1:73" x14ac:dyDescent="0.2">
      <c r="A2414">
        <f t="shared" si="2584"/>
        <v>1</v>
      </c>
      <c r="J2414" s="44" t="str">
        <f t="shared" si="2599"/>
        <v>o</v>
      </c>
      <c r="K2414" t="s">
        <v>238</v>
      </c>
      <c r="L2414" t="s">
        <v>174</v>
      </c>
      <c r="M2414" t="s">
        <v>85</v>
      </c>
      <c r="S2414">
        <v>1289</v>
      </c>
      <c r="W2414" t="str">
        <f t="shared" si="2575"/>
        <v>a</v>
      </c>
      <c r="X2414">
        <v>70</v>
      </c>
      <c r="Y2414" t="e">
        <f>IF(X2414&lt;&gt;"",VLOOKUP(X2414,game_rosters!$C$43:$E$64,3,FALSE))</f>
        <v>#N/A</v>
      </c>
      <c r="Z2414" cm="1">
        <f t="array" ref="Z2414">IFERROR(IF(_xlfn._xlws.FILTER(game_rosters!$J:$J,(game_rosters!$G:$G=events!$AN2414)*(game_rosters!$J:$J=events!$X2414))&gt;0,1,""),"")</f>
        <v>1</v>
      </c>
      <c r="AA2414">
        <f t="shared" si="2623"/>
        <v>2289</v>
      </c>
      <c r="AB2414" t="str">
        <f t="shared" si="2624"/>
        <v/>
      </c>
      <c r="AC2414">
        <f t="shared" si="2572"/>
        <v>2289</v>
      </c>
      <c r="AD2414" s="6">
        <v>3</v>
      </c>
      <c r="AE2414" t="s">
        <v>742</v>
      </c>
      <c r="AF2414" t="s">
        <v>732</v>
      </c>
      <c r="AG2414" t="s">
        <v>742</v>
      </c>
      <c r="AH2414" t="s">
        <v>744</v>
      </c>
      <c r="AI2414" t="s">
        <v>367</v>
      </c>
      <c r="AJ2414" t="str">
        <f t="shared" ref="AJ2414:AK2414" si="2642">IF($J2414&lt;&gt;"",$J2414,IF($AC2414=$AC2413,AJ2413,""))</f>
        <v>o</v>
      </c>
      <c r="AK2414" t="str">
        <f t="shared" si="2642"/>
        <v>o</v>
      </c>
      <c r="AL2414" t="str">
        <f t="shared" si="2577"/>
        <v>d</v>
      </c>
      <c r="AN2414" t="s">
        <v>862</v>
      </c>
      <c r="AO2414" t="str">
        <f t="shared" si="2578"/>
        <v>a</v>
      </c>
      <c r="AP2414" t="str">
        <f t="shared" si="2586"/>
        <v>d</v>
      </c>
      <c r="AQ2414" t="str">
        <f t="shared" si="2587"/>
        <v/>
      </c>
      <c r="AR2414" t="str">
        <f t="shared" si="2588"/>
        <v>Away</v>
      </c>
      <c r="AS2414" t="str">
        <f t="shared" si="2589"/>
        <v>a</v>
      </c>
      <c r="AT2414" t="str">
        <f t="shared" si="2590"/>
        <v>Offensive</v>
      </c>
      <c r="BA2414" s="6">
        <f t="shared" si="2579"/>
        <v>558</v>
      </c>
      <c r="BB2414">
        <f t="shared" si="2580"/>
        <v>18981</v>
      </c>
      <c r="BC2414" t="str">
        <f t="shared" si="2581"/>
        <v>Nelson</v>
      </c>
      <c r="BD2414" t="str">
        <f t="shared" si="2582"/>
        <v>Velodrome</v>
      </c>
      <c r="BE2414" t="s">
        <v>238</v>
      </c>
      <c r="BF2414" t="s">
        <v>174</v>
      </c>
      <c r="BG2414" t="s">
        <v>85</v>
      </c>
      <c r="BI2414" cm="1">
        <f t="array" ref="BI2414">IFERROR(_xlfn._xlws.FILTER(shifts!A:A,(shifts!B:B=events!AD2414)*(shifts!AG:AG&gt;=events!BK2414)*(shifts!AH:AH&lt;=events!BL2414)),BI2413)</f>
        <v>105</v>
      </c>
      <c r="BJ2414" s="15">
        <f t="shared" si="2583"/>
        <v>2</v>
      </c>
      <c r="BK2414">
        <f t="shared" si="2591"/>
        <v>17</v>
      </c>
      <c r="BL2414">
        <f t="shared" si="2592"/>
        <v>15</v>
      </c>
      <c r="BM2414" s="15">
        <f>SUMIFS(BJ$2:BJ2414,K$2:K2414,"=Intermission")+SUMIFS(BJ$2:BJ2414,K$2:K2414,"=Timeout")+SUMIFS(BJ$2:BJ2414,K$2:K2414,"=Clockstop")</f>
        <v>204</v>
      </c>
      <c r="BN2414">
        <f t="shared" si="2593"/>
        <v>2364</v>
      </c>
      <c r="BO2414" s="19">
        <f t="shared" si="2594"/>
        <v>3427</v>
      </c>
      <c r="BP2414">
        <f t="shared" si="2595"/>
        <v>3422</v>
      </c>
      <c r="BQ2414" s="17">
        <f t="shared" si="2596"/>
        <v>3429</v>
      </c>
      <c r="BR2414" t="str">
        <f t="shared" si="2597"/>
        <v>event_team_player_3</v>
      </c>
      <c r="BS2414">
        <f>COUNTIFS(S$3:S2414,"="&amp;S2414,AI$3:AI2414,"="&amp;AI2414)</f>
        <v>3</v>
      </c>
      <c r="BT2414" t="str">
        <f>IFERROR(VLOOKUP(BB2414&amp;BU2414&amp;X2414,game_rosters!U:W,3,FALSE),"")</f>
        <v>P100001</v>
      </c>
      <c r="BU2414" t="str">
        <f t="shared" si="2598"/>
        <v>Velodrome</v>
      </c>
    </row>
    <row r="2415" spans="1:73" x14ac:dyDescent="0.2">
      <c r="A2415">
        <f t="shared" si="2584"/>
        <v>1</v>
      </c>
      <c r="J2415" s="44" t="str">
        <f t="shared" si="2599"/>
        <v>o</v>
      </c>
      <c r="K2415" t="s">
        <v>238</v>
      </c>
      <c r="L2415" t="s">
        <v>174</v>
      </c>
      <c r="M2415" t="s">
        <v>85</v>
      </c>
      <c r="S2415">
        <v>1289</v>
      </c>
      <c r="W2415" t="str">
        <f t="shared" si="2575"/>
        <v>a</v>
      </c>
      <c r="X2415">
        <v>37</v>
      </c>
      <c r="Y2415" t="b">
        <f>IF(X2415&lt;&gt;"",VLOOKUP(X2415,game_rosters!$C$43:$E$64,3,FALSE))</f>
        <v>0</v>
      </c>
      <c r="Z2415" t="str" cm="1">
        <f t="array" ref="Z2415">IFERROR(IF(_xlfn._xlws.FILTER(game_rosters!$J:$J,(game_rosters!$G:$G=events!$AN2415)*(game_rosters!$J:$J=events!$X2415))&gt;0,1,""),"")</f>
        <v/>
      </c>
      <c r="AA2415">
        <f t="shared" si="2623"/>
        <v>2289</v>
      </c>
      <c r="AB2415" t="str">
        <f t="shared" si="2624"/>
        <v/>
      </c>
      <c r="AC2415">
        <f t="shared" si="2572"/>
        <v>2289</v>
      </c>
      <c r="AD2415" s="6">
        <v>3</v>
      </c>
      <c r="AE2415" t="s">
        <v>742</v>
      </c>
      <c r="AF2415" t="s">
        <v>732</v>
      </c>
      <c r="AG2415" t="s">
        <v>742</v>
      </c>
      <c r="AH2415" t="s">
        <v>744</v>
      </c>
      <c r="AI2415" t="s">
        <v>368</v>
      </c>
      <c r="AJ2415" t="str">
        <f t="shared" ref="AJ2415:AK2415" si="2643">IF($J2415&lt;&gt;"",$J2415,IF($AC2415=$AC2414,AJ2414,""))</f>
        <v>o</v>
      </c>
      <c r="AK2415" t="str">
        <f t="shared" si="2643"/>
        <v>o</v>
      </c>
      <c r="AL2415" t="str">
        <f t="shared" si="2577"/>
        <v>d</v>
      </c>
      <c r="AN2415" t="s">
        <v>862</v>
      </c>
      <c r="AO2415" t="str">
        <f t="shared" si="2578"/>
        <v>a</v>
      </c>
      <c r="AP2415" t="str">
        <f t="shared" si="2586"/>
        <v>d</v>
      </c>
      <c r="AQ2415" t="str">
        <f t="shared" si="2587"/>
        <v/>
      </c>
      <c r="AR2415" t="str">
        <f t="shared" si="2588"/>
        <v>Away</v>
      </c>
      <c r="AS2415" t="str">
        <f t="shared" si="2589"/>
        <v>a</v>
      </c>
      <c r="AT2415" t="str">
        <f t="shared" si="2590"/>
        <v>Defensive</v>
      </c>
      <c r="BA2415" s="6">
        <f t="shared" si="2579"/>
        <v>559</v>
      </c>
      <c r="BB2415">
        <f t="shared" si="2580"/>
        <v>18981</v>
      </c>
      <c r="BC2415" t="str">
        <f t="shared" si="2581"/>
        <v>Nelson</v>
      </c>
      <c r="BD2415" t="str">
        <f t="shared" si="2582"/>
        <v>Velodrome</v>
      </c>
      <c r="BE2415" t="s">
        <v>238</v>
      </c>
      <c r="BF2415" t="s">
        <v>174</v>
      </c>
      <c r="BG2415" t="s">
        <v>85</v>
      </c>
      <c r="BI2415" cm="1">
        <f t="array" ref="BI2415">IFERROR(_xlfn._xlws.FILTER(shifts!A:A,(shifts!B:B=events!AD2415)*(shifts!AG:AG&gt;=events!BK2415)*(shifts!AH:AH&lt;=events!BL2415)),BI2414)</f>
        <v>105</v>
      </c>
      <c r="BJ2415" s="15">
        <f t="shared" si="2583"/>
        <v>2</v>
      </c>
      <c r="BK2415">
        <f t="shared" si="2591"/>
        <v>17</v>
      </c>
      <c r="BL2415">
        <f t="shared" si="2592"/>
        <v>15</v>
      </c>
      <c r="BM2415" s="15">
        <f>SUMIFS(BJ$2:BJ2415,K$2:K2415,"=Intermission")+SUMIFS(BJ$2:BJ2415,K$2:K2415,"=Timeout")+SUMIFS(BJ$2:BJ2415,K$2:K2415,"=Clockstop")</f>
        <v>204</v>
      </c>
      <c r="BN2415">
        <f t="shared" si="2593"/>
        <v>2364</v>
      </c>
      <c r="BO2415" s="19">
        <f t="shared" si="2594"/>
        <v>3427</v>
      </c>
      <c r="BP2415">
        <f t="shared" si="2595"/>
        <v>3422</v>
      </c>
      <c r="BQ2415" s="17">
        <f t="shared" si="2596"/>
        <v>3429</v>
      </c>
      <c r="BR2415" t="str">
        <f t="shared" si="2597"/>
        <v>opp_team_player_1</v>
      </c>
      <c r="BS2415">
        <f>COUNTIFS(S$3:S2415,"="&amp;S2415,AI$3:AI2415,"="&amp;AI2415)</f>
        <v>1</v>
      </c>
      <c r="BT2415" t="str">
        <f>IFERROR(VLOOKUP(BB2415&amp;BU2415&amp;X2415,game_rosters!U:W,3,FALSE),"")</f>
        <v>P100119</v>
      </c>
      <c r="BU2415" t="str">
        <f t="shared" si="2598"/>
        <v>Nelson</v>
      </c>
    </row>
    <row r="2416" spans="1:73" x14ac:dyDescent="0.2">
      <c r="A2416">
        <f t="shared" si="2584"/>
        <v>1</v>
      </c>
      <c r="J2416" s="44" t="str">
        <f t="shared" si="2599"/>
        <v>o</v>
      </c>
      <c r="K2416" t="s">
        <v>238</v>
      </c>
      <c r="L2416" t="s">
        <v>174</v>
      </c>
      <c r="M2416" t="s">
        <v>85</v>
      </c>
      <c r="S2416">
        <v>1289</v>
      </c>
      <c r="W2416" t="str">
        <f t="shared" si="2575"/>
        <v>a</v>
      </c>
      <c r="X2416">
        <v>8</v>
      </c>
      <c r="Y2416" t="b">
        <f>IF(X2416&lt;&gt;"",VLOOKUP(X2416,game_rosters!$C$43:$E$64,3,FALSE))</f>
        <v>0</v>
      </c>
      <c r="Z2416" t="str" cm="1">
        <f t="array" ref="Z2416">IFERROR(IF(_xlfn._xlws.FILTER(game_rosters!$J:$J,(game_rosters!$G:$G=events!$AN2416)*(game_rosters!$J:$J=events!$X2416))&gt;0,1,""),"")</f>
        <v/>
      </c>
      <c r="AA2416">
        <f t="shared" si="2623"/>
        <v>2289</v>
      </c>
      <c r="AB2416" t="str">
        <f t="shared" si="2624"/>
        <v/>
      </c>
      <c r="AC2416">
        <f t="shared" si="2572"/>
        <v>2289</v>
      </c>
      <c r="AD2416" s="6">
        <v>3</v>
      </c>
      <c r="AE2416" t="s">
        <v>742</v>
      </c>
      <c r="AF2416" t="s">
        <v>732</v>
      </c>
      <c r="AG2416" t="s">
        <v>742</v>
      </c>
      <c r="AH2416" t="s">
        <v>744</v>
      </c>
      <c r="AI2416" t="s">
        <v>368</v>
      </c>
      <c r="AJ2416" t="str">
        <f t="shared" ref="AJ2416:AK2416" si="2644">IF($J2416&lt;&gt;"",$J2416,IF($AC2416=$AC2415,AJ2415,""))</f>
        <v>o</v>
      </c>
      <c r="AK2416" t="str">
        <f t="shared" si="2644"/>
        <v>o</v>
      </c>
      <c r="AL2416" t="str">
        <f t="shared" si="2577"/>
        <v>d</v>
      </c>
      <c r="AN2416" t="s">
        <v>862</v>
      </c>
      <c r="AO2416" t="str">
        <f t="shared" si="2578"/>
        <v>a</v>
      </c>
      <c r="AP2416" t="str">
        <f t="shared" si="2586"/>
        <v>d</v>
      </c>
      <c r="AQ2416" t="str">
        <f t="shared" si="2587"/>
        <v/>
      </c>
      <c r="AR2416" t="str">
        <f t="shared" si="2588"/>
        <v>Away</v>
      </c>
      <c r="AS2416" t="str">
        <f t="shared" si="2589"/>
        <v>a</v>
      </c>
      <c r="AT2416" t="str">
        <f t="shared" si="2590"/>
        <v>Defensive</v>
      </c>
      <c r="BA2416" s="6">
        <f t="shared" si="2579"/>
        <v>560</v>
      </c>
      <c r="BB2416">
        <f t="shared" si="2580"/>
        <v>18981</v>
      </c>
      <c r="BC2416" t="str">
        <f t="shared" si="2581"/>
        <v>Nelson</v>
      </c>
      <c r="BD2416" t="str">
        <f t="shared" si="2582"/>
        <v>Velodrome</v>
      </c>
      <c r="BE2416" t="s">
        <v>238</v>
      </c>
      <c r="BF2416" t="s">
        <v>174</v>
      </c>
      <c r="BG2416" t="s">
        <v>85</v>
      </c>
      <c r="BI2416" cm="1">
        <f t="array" ref="BI2416">IFERROR(_xlfn._xlws.FILTER(shifts!A:A,(shifts!B:B=events!AD2416)*(shifts!AG:AG&gt;=events!BK2416)*(shifts!AH:AH&lt;=events!BL2416)),BI2415)</f>
        <v>105</v>
      </c>
      <c r="BJ2416" s="15">
        <f t="shared" si="2583"/>
        <v>2</v>
      </c>
      <c r="BK2416">
        <f t="shared" si="2591"/>
        <v>17</v>
      </c>
      <c r="BL2416">
        <f t="shared" si="2592"/>
        <v>15</v>
      </c>
      <c r="BM2416" s="15">
        <f>SUMIFS(BJ$2:BJ2416,K$2:K2416,"=Intermission")+SUMIFS(BJ$2:BJ2416,K$2:K2416,"=Timeout")+SUMIFS(BJ$2:BJ2416,K$2:K2416,"=Clockstop")</f>
        <v>204</v>
      </c>
      <c r="BN2416">
        <f t="shared" si="2593"/>
        <v>2364</v>
      </c>
      <c r="BO2416" s="19">
        <f t="shared" si="2594"/>
        <v>3427</v>
      </c>
      <c r="BP2416">
        <f t="shared" si="2595"/>
        <v>3422</v>
      </c>
      <c r="BQ2416" s="17">
        <f t="shared" si="2596"/>
        <v>3429</v>
      </c>
      <c r="BR2416" t="str">
        <f t="shared" si="2597"/>
        <v>opp_team_player_2</v>
      </c>
      <c r="BS2416">
        <f>COUNTIFS(S$3:S2416,"="&amp;S2416,AI$3:AI2416,"="&amp;AI2416)</f>
        <v>2</v>
      </c>
      <c r="BT2416" t="str">
        <f>IFERROR(VLOOKUP(BB2416&amp;BU2416&amp;X2416,game_rosters!U:W,3,FALSE),"")</f>
        <v>P100074</v>
      </c>
      <c r="BU2416" t="str">
        <f t="shared" si="2598"/>
        <v>Nelson</v>
      </c>
    </row>
    <row r="2417" spans="1:73" x14ac:dyDescent="0.2">
      <c r="A2417">
        <f t="shared" si="2584"/>
        <v>1</v>
      </c>
      <c r="J2417" s="44" t="str">
        <f t="shared" si="2599"/>
        <v>o</v>
      </c>
      <c r="K2417" t="s">
        <v>238</v>
      </c>
      <c r="L2417" t="s">
        <v>174</v>
      </c>
      <c r="M2417" t="s">
        <v>85</v>
      </c>
      <c r="S2417">
        <v>1289</v>
      </c>
      <c r="W2417" t="str">
        <f t="shared" si="2575"/>
        <v>a</v>
      </c>
      <c r="X2417">
        <v>15</v>
      </c>
      <c r="Y2417" t="b">
        <f>IF(X2417&lt;&gt;"",VLOOKUP(X2417,game_rosters!$C$43:$E$64,3,FALSE))</f>
        <v>0</v>
      </c>
      <c r="Z2417" t="str" cm="1">
        <f t="array" ref="Z2417">IFERROR(IF(_xlfn._xlws.FILTER(game_rosters!$J:$J,(game_rosters!$G:$G=events!$AN2417)*(game_rosters!$J:$J=events!$X2417))&gt;0,1,""),"")</f>
        <v/>
      </c>
      <c r="AA2417">
        <f t="shared" si="2623"/>
        <v>2289</v>
      </c>
      <c r="AB2417" t="str">
        <f t="shared" si="2624"/>
        <v/>
      </c>
      <c r="AC2417">
        <f t="shared" si="2572"/>
        <v>2289</v>
      </c>
      <c r="AD2417" s="6">
        <v>3</v>
      </c>
      <c r="AE2417" t="s">
        <v>742</v>
      </c>
      <c r="AF2417" t="s">
        <v>732</v>
      </c>
      <c r="AG2417" t="s">
        <v>742</v>
      </c>
      <c r="AH2417" t="s">
        <v>744</v>
      </c>
      <c r="AI2417" t="s">
        <v>368</v>
      </c>
      <c r="AJ2417" t="str">
        <f t="shared" ref="AJ2417:AK2417" si="2645">IF($J2417&lt;&gt;"",$J2417,IF($AC2417=$AC2416,AJ2416,""))</f>
        <v>o</v>
      </c>
      <c r="AK2417" t="str">
        <f t="shared" si="2645"/>
        <v>o</v>
      </c>
      <c r="AL2417" t="str">
        <f t="shared" si="2577"/>
        <v>d</v>
      </c>
      <c r="AN2417" t="s">
        <v>862</v>
      </c>
      <c r="AO2417" t="str">
        <f t="shared" si="2578"/>
        <v>a</v>
      </c>
      <c r="AP2417" t="str">
        <f t="shared" si="2586"/>
        <v>d</v>
      </c>
      <c r="AQ2417" t="str">
        <f t="shared" si="2587"/>
        <v/>
      </c>
      <c r="AR2417" t="str">
        <f t="shared" si="2588"/>
        <v>Away</v>
      </c>
      <c r="AS2417" t="str">
        <f t="shared" si="2589"/>
        <v>a</v>
      </c>
      <c r="AT2417" t="str">
        <f t="shared" si="2590"/>
        <v>Defensive</v>
      </c>
      <c r="BA2417" s="6">
        <f t="shared" si="2579"/>
        <v>561</v>
      </c>
      <c r="BB2417">
        <f t="shared" si="2580"/>
        <v>18981</v>
      </c>
      <c r="BC2417" t="str">
        <f t="shared" si="2581"/>
        <v>Nelson</v>
      </c>
      <c r="BD2417" t="str">
        <f t="shared" si="2582"/>
        <v>Velodrome</v>
      </c>
      <c r="BE2417" t="s">
        <v>238</v>
      </c>
      <c r="BF2417" t="s">
        <v>174</v>
      </c>
      <c r="BG2417" t="s">
        <v>85</v>
      </c>
      <c r="BI2417" cm="1">
        <f t="array" ref="BI2417">IFERROR(_xlfn._xlws.FILTER(shifts!A:A,(shifts!B:B=events!AD2417)*(shifts!AG:AG&gt;=events!BK2417)*(shifts!AH:AH&lt;=events!BL2417)),BI2416)</f>
        <v>105</v>
      </c>
      <c r="BJ2417" s="15">
        <f t="shared" si="2583"/>
        <v>2</v>
      </c>
      <c r="BK2417">
        <f t="shared" si="2591"/>
        <v>17</v>
      </c>
      <c r="BL2417">
        <f t="shared" si="2592"/>
        <v>15</v>
      </c>
      <c r="BM2417" s="15">
        <f>SUMIFS(BJ$2:BJ2417,K$2:K2417,"=Intermission")+SUMIFS(BJ$2:BJ2417,K$2:K2417,"=Timeout")+SUMIFS(BJ$2:BJ2417,K$2:K2417,"=Clockstop")</f>
        <v>204</v>
      </c>
      <c r="BN2417">
        <f t="shared" si="2593"/>
        <v>2364</v>
      </c>
      <c r="BO2417" s="19">
        <f t="shared" si="2594"/>
        <v>3427</v>
      </c>
      <c r="BP2417">
        <f t="shared" si="2595"/>
        <v>3422</v>
      </c>
      <c r="BQ2417" s="17">
        <f t="shared" si="2596"/>
        <v>3429</v>
      </c>
      <c r="BR2417" t="str">
        <f t="shared" si="2597"/>
        <v>opp_team_player_3</v>
      </c>
      <c r="BS2417">
        <f>COUNTIFS(S$3:S2417,"="&amp;S2417,AI$3:AI2417,"="&amp;AI2417)</f>
        <v>3</v>
      </c>
      <c r="BT2417" t="str">
        <f>IFERROR(VLOOKUP(BB2417&amp;BU2417&amp;X2417,game_rosters!U:W,3,FALSE),"")</f>
        <v>P100071</v>
      </c>
      <c r="BU2417" t="str">
        <f t="shared" si="2598"/>
        <v>Nelson</v>
      </c>
    </row>
    <row r="2418" spans="1:73" x14ac:dyDescent="0.2">
      <c r="A2418">
        <f t="shared" si="2584"/>
        <v>1</v>
      </c>
      <c r="J2418" s="44" t="str">
        <f t="shared" si="2599"/>
        <v/>
      </c>
      <c r="K2418" t="s">
        <v>7</v>
      </c>
      <c r="L2418" t="s">
        <v>182</v>
      </c>
      <c r="M2418" t="s">
        <v>68</v>
      </c>
      <c r="S2418">
        <v>1290</v>
      </c>
      <c r="W2418" t="str">
        <f t="shared" si="2575"/>
        <v>a</v>
      </c>
      <c r="X2418">
        <v>42</v>
      </c>
      <c r="Y2418" t="e">
        <f>IF(X2418&lt;&gt;"",VLOOKUP(X2418,game_rosters!$C$43:$E$64,3,FALSE))</f>
        <v>#N/A</v>
      </c>
      <c r="Z2418" cm="1">
        <f t="array" ref="Z2418">IFERROR(IF(_xlfn._xlws.FILTER(game_rosters!$J:$J,(game_rosters!$G:$G=events!$AN2418)*(game_rosters!$J:$J=events!$X2418))&gt;0,1,""),"")</f>
        <v>1</v>
      </c>
      <c r="AA2418">
        <f t="shared" si="2623"/>
        <v>2290</v>
      </c>
      <c r="AB2418" t="str">
        <f t="shared" si="2624"/>
        <v/>
      </c>
      <c r="AC2418">
        <f t="shared" si="2572"/>
        <v>2290</v>
      </c>
      <c r="AD2418" s="6">
        <v>3</v>
      </c>
      <c r="AE2418" t="s">
        <v>742</v>
      </c>
      <c r="AF2418" t="s">
        <v>744</v>
      </c>
      <c r="AG2418" t="s">
        <v>756</v>
      </c>
      <c r="AH2418" t="s">
        <v>756</v>
      </c>
      <c r="AI2418" t="s">
        <v>367</v>
      </c>
      <c r="AJ2418" t="str">
        <f t="shared" ref="AJ2418:AK2418" si="2646">IF($J2418&lt;&gt;"",$J2418,IF($AC2418=$AC2417,AJ2417,""))</f>
        <v/>
      </c>
      <c r="AK2418" t="str">
        <f t="shared" si="2646"/>
        <v/>
      </c>
      <c r="AL2418" t="str">
        <f t="shared" si="2577"/>
        <v/>
      </c>
      <c r="AN2418" t="s">
        <v>862</v>
      </c>
      <c r="AO2418" t="str">
        <f t="shared" si="2578"/>
        <v>a</v>
      </c>
      <c r="AP2418" t="str">
        <f t="shared" si="2586"/>
        <v/>
      </c>
      <c r="AQ2418" t="str">
        <f t="shared" si="2587"/>
        <v/>
      </c>
      <c r="AR2418" t="str">
        <f t="shared" si="2588"/>
        <v>Away</v>
      </c>
      <c r="AS2418" t="str">
        <f t="shared" si="2589"/>
        <v>a</v>
      </c>
      <c r="AT2418" t="str">
        <f t="shared" si="2590"/>
        <v>Offensive</v>
      </c>
      <c r="BA2418" s="6">
        <f t="shared" si="2579"/>
        <v>561</v>
      </c>
      <c r="BB2418">
        <f t="shared" si="2580"/>
        <v>18981</v>
      </c>
      <c r="BC2418" t="str">
        <f t="shared" si="2581"/>
        <v>Nelson</v>
      </c>
      <c r="BD2418" t="str">
        <f t="shared" si="2582"/>
        <v>Velodrome</v>
      </c>
      <c r="BE2418" t="s">
        <v>7</v>
      </c>
      <c r="BF2418" t="s">
        <v>182</v>
      </c>
      <c r="BG2418" t="s">
        <v>68</v>
      </c>
      <c r="BI2418" cm="1">
        <f t="array" ref="BI2418">IFERROR(_xlfn._xlws.FILTER(shifts!A:A,(shifts!B:B=events!AD2418)*(shifts!AG:AG&gt;=events!BK2418)*(shifts!AH:AH&lt;=events!BL2418)),BI2417)</f>
        <v>105</v>
      </c>
      <c r="BJ2418" s="15">
        <f t="shared" si="2583"/>
        <v>0</v>
      </c>
      <c r="BK2418">
        <f t="shared" si="2591"/>
        <v>15</v>
      </c>
      <c r="BL2418">
        <f t="shared" si="2592"/>
        <v>15</v>
      </c>
      <c r="BM2418" s="15">
        <f>SUMIFS(BJ$2:BJ2418,K$2:K2418,"=Intermission")+SUMIFS(BJ$2:BJ2418,K$2:K2418,"=Timeout")+SUMIFS(BJ$2:BJ2418,K$2:K2418,"=Clockstop")</f>
        <v>204</v>
      </c>
      <c r="BN2418">
        <f t="shared" si="2593"/>
        <v>2364</v>
      </c>
      <c r="BO2418" s="19">
        <f t="shared" si="2594"/>
        <v>3429</v>
      </c>
      <c r="BP2418">
        <f t="shared" si="2595"/>
        <v>3424</v>
      </c>
      <c r="BQ2418" s="17">
        <f t="shared" si="2596"/>
        <v>3429</v>
      </c>
      <c r="BR2418" t="str">
        <f t="shared" si="2597"/>
        <v>event_team_player_1</v>
      </c>
      <c r="BS2418">
        <f>COUNTIFS(S$3:S2418,"="&amp;S2418,AI$3:AI2418,"="&amp;AI2418)</f>
        <v>1</v>
      </c>
      <c r="BT2418" t="str">
        <f>IFERROR(VLOOKUP(BB2418&amp;BU2418&amp;X2418,game_rosters!U:W,3,FALSE),"")</f>
        <v>P100201</v>
      </c>
      <c r="BU2418" t="str">
        <f t="shared" si="2598"/>
        <v>Velodrome</v>
      </c>
    </row>
    <row r="2419" spans="1:73" x14ac:dyDescent="0.2">
      <c r="A2419">
        <f t="shared" si="2584"/>
        <v>1</v>
      </c>
      <c r="J2419" s="44" t="str">
        <f t="shared" si="2599"/>
        <v/>
      </c>
      <c r="K2419" t="s">
        <v>7</v>
      </c>
      <c r="L2419" t="s">
        <v>182</v>
      </c>
      <c r="M2419" t="s">
        <v>68</v>
      </c>
      <c r="S2419">
        <v>1290</v>
      </c>
      <c r="W2419" t="str">
        <f t="shared" si="2575"/>
        <v>a</v>
      </c>
      <c r="X2419">
        <v>49</v>
      </c>
      <c r="Y2419" t="e">
        <f>IF(X2419&lt;&gt;"",VLOOKUP(X2419,game_rosters!$C$43:$E$64,3,FALSE))</f>
        <v>#N/A</v>
      </c>
      <c r="Z2419" cm="1">
        <f t="array" ref="Z2419">IFERROR(IF(_xlfn._xlws.FILTER(game_rosters!$J:$J,(game_rosters!$G:$G=events!$AN2419)*(game_rosters!$J:$J=events!$X2419))&gt;0,1,""),"")</f>
        <v>1</v>
      </c>
      <c r="AA2419">
        <f t="shared" si="2623"/>
        <v>2290</v>
      </c>
      <c r="AB2419" t="str">
        <f t="shared" si="2624"/>
        <v/>
      </c>
      <c r="AC2419">
        <f t="shared" si="2572"/>
        <v>2290</v>
      </c>
      <c r="AD2419" s="6">
        <v>3</v>
      </c>
      <c r="AE2419" t="s">
        <v>742</v>
      </c>
      <c r="AF2419" t="s">
        <v>744</v>
      </c>
      <c r="AG2419" t="s">
        <v>756</v>
      </c>
      <c r="AH2419" t="s">
        <v>756</v>
      </c>
      <c r="AI2419" t="s">
        <v>367</v>
      </c>
      <c r="AJ2419" t="str">
        <f t="shared" ref="AJ2419:AK2419" si="2647">IF($J2419&lt;&gt;"",$J2419,IF($AC2419=$AC2418,AJ2418,""))</f>
        <v/>
      </c>
      <c r="AK2419" t="str">
        <f t="shared" si="2647"/>
        <v/>
      </c>
      <c r="AL2419" t="str">
        <f t="shared" si="2577"/>
        <v/>
      </c>
      <c r="AN2419" t="s">
        <v>862</v>
      </c>
      <c r="AO2419" t="str">
        <f t="shared" si="2578"/>
        <v>a</v>
      </c>
      <c r="AP2419" t="str">
        <f t="shared" si="2586"/>
        <v/>
      </c>
      <c r="AQ2419" t="str">
        <f t="shared" si="2587"/>
        <v/>
      </c>
      <c r="AR2419" t="str">
        <f t="shared" si="2588"/>
        <v>Away</v>
      </c>
      <c r="AS2419" t="str">
        <f t="shared" si="2589"/>
        <v>a</v>
      </c>
      <c r="AT2419" t="str">
        <f t="shared" si="2590"/>
        <v>Offensive</v>
      </c>
      <c r="BA2419" s="6">
        <f t="shared" si="2579"/>
        <v>561</v>
      </c>
      <c r="BB2419">
        <f t="shared" si="2580"/>
        <v>18981</v>
      </c>
      <c r="BC2419" t="str">
        <f t="shared" si="2581"/>
        <v>Nelson</v>
      </c>
      <c r="BD2419" t="str">
        <f t="shared" si="2582"/>
        <v>Velodrome</v>
      </c>
      <c r="BE2419" t="s">
        <v>7</v>
      </c>
      <c r="BF2419" t="s">
        <v>182</v>
      </c>
      <c r="BG2419" t="s">
        <v>68</v>
      </c>
      <c r="BI2419" cm="1">
        <f t="array" ref="BI2419">IFERROR(_xlfn._xlws.FILTER(shifts!A:A,(shifts!B:B=events!AD2419)*(shifts!AG:AG&gt;=events!BK2419)*(shifts!AH:AH&lt;=events!BL2419)),BI2418)</f>
        <v>105</v>
      </c>
      <c r="BJ2419" s="15">
        <f t="shared" si="2583"/>
        <v>0</v>
      </c>
      <c r="BK2419">
        <f t="shared" si="2591"/>
        <v>15</v>
      </c>
      <c r="BL2419">
        <f t="shared" si="2592"/>
        <v>15</v>
      </c>
      <c r="BM2419" s="15">
        <f>SUMIFS(BJ$2:BJ2419,K$2:K2419,"=Intermission")+SUMIFS(BJ$2:BJ2419,K$2:K2419,"=Timeout")+SUMIFS(BJ$2:BJ2419,K$2:K2419,"=Clockstop")</f>
        <v>204</v>
      </c>
      <c r="BN2419">
        <f t="shared" si="2593"/>
        <v>2364</v>
      </c>
      <c r="BO2419" s="19">
        <f t="shared" si="2594"/>
        <v>3429</v>
      </c>
      <c r="BP2419">
        <f t="shared" si="2595"/>
        <v>3424</v>
      </c>
      <c r="BQ2419" s="17">
        <f t="shared" si="2596"/>
        <v>3429</v>
      </c>
      <c r="BR2419" t="str">
        <f t="shared" si="2597"/>
        <v>event_team_player_2</v>
      </c>
      <c r="BS2419">
        <f>COUNTIFS(S$3:S2419,"="&amp;S2419,AI$3:AI2419,"="&amp;AI2419)</f>
        <v>2</v>
      </c>
      <c r="BT2419" t="str">
        <f>IFERROR(VLOOKUP(BB2419&amp;BU2419&amp;X2419,game_rosters!U:W,3,FALSE),"")</f>
        <v>P100161</v>
      </c>
      <c r="BU2419" t="str">
        <f t="shared" si="2598"/>
        <v>Velodrome</v>
      </c>
    </row>
    <row r="2420" spans="1:73" x14ac:dyDescent="0.2">
      <c r="A2420">
        <f t="shared" si="2584"/>
        <v>1</v>
      </c>
      <c r="J2420" s="44" t="str">
        <f t="shared" si="2599"/>
        <v/>
      </c>
      <c r="K2420" t="s">
        <v>7</v>
      </c>
      <c r="L2420" t="s">
        <v>182</v>
      </c>
      <c r="M2420" t="s">
        <v>68</v>
      </c>
      <c r="S2420">
        <v>1290</v>
      </c>
      <c r="W2420" t="str">
        <f t="shared" si="2575"/>
        <v>a</v>
      </c>
      <c r="X2420">
        <v>15</v>
      </c>
      <c r="Y2420" t="b">
        <f>IF(X2420&lt;&gt;"",VLOOKUP(X2420,game_rosters!$C$43:$E$64,3,FALSE))</f>
        <v>0</v>
      </c>
      <c r="Z2420" t="str" cm="1">
        <f t="array" ref="Z2420">IFERROR(IF(_xlfn._xlws.FILTER(game_rosters!$J:$J,(game_rosters!$G:$G=events!$AN2420)*(game_rosters!$J:$J=events!$X2420))&gt;0,1,""),"")</f>
        <v/>
      </c>
      <c r="AA2420">
        <f t="shared" si="2623"/>
        <v>2290</v>
      </c>
      <c r="AB2420" t="str">
        <f t="shared" si="2624"/>
        <v/>
      </c>
      <c r="AC2420">
        <f t="shared" si="2572"/>
        <v>2290</v>
      </c>
      <c r="AD2420" s="6">
        <v>3</v>
      </c>
      <c r="AE2420" t="s">
        <v>742</v>
      </c>
      <c r="AF2420" t="s">
        <v>744</v>
      </c>
      <c r="AG2420" t="s">
        <v>756</v>
      </c>
      <c r="AH2420" t="s">
        <v>756</v>
      </c>
      <c r="AI2420" t="s">
        <v>368</v>
      </c>
      <c r="AJ2420" t="str">
        <f t="shared" ref="AJ2420:AK2420" si="2648">IF($J2420&lt;&gt;"",$J2420,IF($AC2420=$AC2419,AJ2419,""))</f>
        <v/>
      </c>
      <c r="AK2420" t="str">
        <f t="shared" si="2648"/>
        <v/>
      </c>
      <c r="AL2420" t="str">
        <f t="shared" si="2577"/>
        <v/>
      </c>
      <c r="AN2420" t="s">
        <v>862</v>
      </c>
      <c r="AO2420" t="str">
        <f t="shared" si="2578"/>
        <v>a</v>
      </c>
      <c r="AP2420" t="str">
        <f t="shared" si="2586"/>
        <v/>
      </c>
      <c r="AQ2420" t="str">
        <f t="shared" si="2587"/>
        <v/>
      </c>
      <c r="AR2420" t="str">
        <f t="shared" si="2588"/>
        <v>Away</v>
      </c>
      <c r="AS2420" t="str">
        <f t="shared" si="2589"/>
        <v>a</v>
      </c>
      <c r="AT2420" t="str">
        <f t="shared" si="2590"/>
        <v>Defensive</v>
      </c>
      <c r="BA2420" s="6">
        <f t="shared" si="2579"/>
        <v>561</v>
      </c>
      <c r="BB2420">
        <f t="shared" si="2580"/>
        <v>18981</v>
      </c>
      <c r="BC2420" t="str">
        <f t="shared" si="2581"/>
        <v>Nelson</v>
      </c>
      <c r="BD2420" t="str">
        <f t="shared" si="2582"/>
        <v>Velodrome</v>
      </c>
      <c r="BE2420" t="s">
        <v>7</v>
      </c>
      <c r="BF2420" t="s">
        <v>182</v>
      </c>
      <c r="BG2420" t="s">
        <v>68</v>
      </c>
      <c r="BI2420" cm="1">
        <f t="array" ref="BI2420">IFERROR(_xlfn._xlws.FILTER(shifts!A:A,(shifts!B:B=events!AD2420)*(shifts!AG:AG&gt;=events!BK2420)*(shifts!AH:AH&lt;=events!BL2420)),BI2419)</f>
        <v>105</v>
      </c>
      <c r="BJ2420" s="15">
        <f t="shared" si="2583"/>
        <v>0</v>
      </c>
      <c r="BK2420">
        <f t="shared" si="2591"/>
        <v>15</v>
      </c>
      <c r="BL2420">
        <f t="shared" si="2592"/>
        <v>15</v>
      </c>
      <c r="BM2420" s="15">
        <f>SUMIFS(BJ$2:BJ2420,K$2:K2420,"=Intermission")+SUMIFS(BJ$2:BJ2420,K$2:K2420,"=Timeout")+SUMIFS(BJ$2:BJ2420,K$2:K2420,"=Clockstop")</f>
        <v>204</v>
      </c>
      <c r="BN2420">
        <f t="shared" si="2593"/>
        <v>2364</v>
      </c>
      <c r="BO2420" s="19">
        <f t="shared" si="2594"/>
        <v>3429</v>
      </c>
      <c r="BP2420">
        <f t="shared" si="2595"/>
        <v>3424</v>
      </c>
      <c r="BQ2420" s="17">
        <f t="shared" si="2596"/>
        <v>3429</v>
      </c>
      <c r="BR2420" t="str">
        <f t="shared" si="2597"/>
        <v>opp_team_player_1</v>
      </c>
      <c r="BS2420">
        <f>COUNTIFS(S$3:S2420,"="&amp;S2420,AI$3:AI2420,"="&amp;AI2420)</f>
        <v>1</v>
      </c>
      <c r="BT2420" t="str">
        <f>IFERROR(VLOOKUP(BB2420&amp;BU2420&amp;X2420,game_rosters!U:W,3,FALSE),"")</f>
        <v>P100071</v>
      </c>
      <c r="BU2420" t="str">
        <f t="shared" si="2598"/>
        <v>Nelson</v>
      </c>
    </row>
    <row r="2421" spans="1:73" x14ac:dyDescent="0.2">
      <c r="A2421">
        <f t="shared" si="2584"/>
        <v>1</v>
      </c>
      <c r="J2421" s="44" t="str">
        <f t="shared" si="2599"/>
        <v>d</v>
      </c>
      <c r="K2421" t="s">
        <v>238</v>
      </c>
      <c r="L2421" t="s">
        <v>184</v>
      </c>
      <c r="M2421" t="s">
        <v>378</v>
      </c>
      <c r="S2421">
        <v>1291</v>
      </c>
      <c r="W2421" t="str">
        <f t="shared" si="2575"/>
        <v>h</v>
      </c>
      <c r="X2421">
        <v>15</v>
      </c>
      <c r="Y2421" t="b">
        <f>IF(X2421&lt;&gt;"",VLOOKUP(X2421,game_rosters!$C$43:$E$64,3,FALSE))</f>
        <v>0</v>
      </c>
      <c r="Z2421" cm="1">
        <f t="array" ref="Z2421">IFERROR(IF(_xlfn._xlws.FILTER(game_rosters!$J:$J,(game_rosters!$G:$G=events!$AN2421)*(game_rosters!$J:$J=events!$X2421))&gt;0,1,""),"")</f>
        <v>1</v>
      </c>
      <c r="AA2421">
        <f t="shared" si="2623"/>
        <v>2291</v>
      </c>
      <c r="AB2421" t="str">
        <f t="shared" si="2624"/>
        <v/>
      </c>
      <c r="AC2421">
        <f t="shared" si="2572"/>
        <v>2291</v>
      </c>
      <c r="AD2421" s="6">
        <v>3</v>
      </c>
      <c r="AE2421" t="s">
        <v>742</v>
      </c>
      <c r="AF2421" t="s">
        <v>744</v>
      </c>
      <c r="AG2421" t="s">
        <v>756</v>
      </c>
      <c r="AH2421" t="s">
        <v>756</v>
      </c>
      <c r="AI2421" t="s">
        <v>367</v>
      </c>
      <c r="AJ2421" t="str">
        <f t="shared" ref="AJ2421:AK2421" si="2649">IF($J2421&lt;&gt;"",$J2421,IF($AC2421=$AC2420,AJ2420,""))</f>
        <v>d</v>
      </c>
      <c r="AK2421" t="str">
        <f t="shared" si="2649"/>
        <v>d</v>
      </c>
      <c r="AL2421" t="str">
        <f t="shared" si="2577"/>
        <v>d</v>
      </c>
      <c r="AN2421" t="s">
        <v>861</v>
      </c>
      <c r="AO2421" t="str">
        <f t="shared" si="2578"/>
        <v>h</v>
      </c>
      <c r="AP2421" t="str">
        <f t="shared" si="2586"/>
        <v>d</v>
      </c>
      <c r="AQ2421" t="str">
        <f t="shared" si="2587"/>
        <v/>
      </c>
      <c r="AR2421" t="str">
        <f t="shared" si="2588"/>
        <v>Home</v>
      </c>
      <c r="AS2421" t="str">
        <f t="shared" si="2589"/>
        <v>h</v>
      </c>
      <c r="AT2421" t="str">
        <f t="shared" si="2590"/>
        <v>Offensive</v>
      </c>
      <c r="BA2421" s="6">
        <f t="shared" si="2579"/>
        <v>562</v>
      </c>
      <c r="BB2421">
        <f t="shared" si="2580"/>
        <v>18981</v>
      </c>
      <c r="BC2421" t="str">
        <f t="shared" si="2581"/>
        <v>Nelson</v>
      </c>
      <c r="BD2421" t="str">
        <f t="shared" si="2582"/>
        <v>Velodrome</v>
      </c>
      <c r="BE2421" t="s">
        <v>238</v>
      </c>
      <c r="BF2421" t="s">
        <v>184</v>
      </c>
      <c r="BG2421" t="s">
        <v>378</v>
      </c>
      <c r="BI2421" cm="1">
        <f t="array" ref="BI2421">IFERROR(_xlfn._xlws.FILTER(shifts!A:A,(shifts!B:B=events!AD2421)*(shifts!AG:AG&gt;=events!BK2421)*(shifts!AH:AH&lt;=events!BL2421)),BI2420)</f>
        <v>105</v>
      </c>
      <c r="BJ2421" s="15">
        <f t="shared" si="2583"/>
        <v>0</v>
      </c>
      <c r="BK2421">
        <f t="shared" si="2591"/>
        <v>15</v>
      </c>
      <c r="BL2421">
        <f t="shared" si="2592"/>
        <v>15</v>
      </c>
      <c r="BM2421" s="15">
        <f>SUMIFS(BJ$2:BJ2421,K$2:K2421,"=Intermission")+SUMIFS(BJ$2:BJ2421,K$2:K2421,"=Timeout")+SUMIFS(BJ$2:BJ2421,K$2:K2421,"=Clockstop")</f>
        <v>204</v>
      </c>
      <c r="BN2421">
        <f t="shared" si="2593"/>
        <v>2364</v>
      </c>
      <c r="BO2421" s="19">
        <f t="shared" si="2594"/>
        <v>3429</v>
      </c>
      <c r="BP2421">
        <f t="shared" si="2595"/>
        <v>3424</v>
      </c>
      <c r="BQ2421" s="17">
        <f t="shared" si="2596"/>
        <v>3429</v>
      </c>
      <c r="BR2421" t="str">
        <f t="shared" si="2597"/>
        <v>event_team_player_1</v>
      </c>
      <c r="BS2421">
        <f>COUNTIFS(S$3:S2421,"="&amp;S2421,AI$3:AI2421,"="&amp;AI2421)</f>
        <v>1</v>
      </c>
      <c r="BT2421" t="str">
        <f>IFERROR(VLOOKUP(BB2421&amp;BU2421&amp;X2421,game_rosters!U:W,3,FALSE),"")</f>
        <v>P100071</v>
      </c>
      <c r="BU2421" t="str">
        <f t="shared" si="2598"/>
        <v>Nelson</v>
      </c>
    </row>
    <row r="2422" spans="1:73" x14ac:dyDescent="0.2">
      <c r="A2422">
        <f t="shared" si="2584"/>
        <v>1</v>
      </c>
      <c r="J2422" s="44" t="str">
        <f t="shared" si="2599"/>
        <v>d</v>
      </c>
      <c r="K2422" t="s">
        <v>238</v>
      </c>
      <c r="L2422" t="s">
        <v>184</v>
      </c>
      <c r="M2422" t="s">
        <v>378</v>
      </c>
      <c r="S2422">
        <v>1291</v>
      </c>
      <c r="W2422" t="str">
        <f t="shared" si="2575"/>
        <v>h</v>
      </c>
      <c r="X2422">
        <v>42</v>
      </c>
      <c r="Y2422" t="e">
        <f>IF(X2422&lt;&gt;"",VLOOKUP(X2422,game_rosters!$C$43:$E$64,3,FALSE))</f>
        <v>#N/A</v>
      </c>
      <c r="Z2422" t="str" cm="1">
        <f t="array" ref="Z2422">IFERROR(IF(_xlfn._xlws.FILTER(game_rosters!$J:$J,(game_rosters!$G:$G=events!$AN2422)*(game_rosters!$J:$J=events!$X2422))&gt;0,1,""),"")</f>
        <v/>
      </c>
      <c r="AA2422">
        <f t="shared" si="2623"/>
        <v>2291</v>
      </c>
      <c r="AB2422" t="str">
        <f t="shared" si="2624"/>
        <v/>
      </c>
      <c r="AC2422">
        <f t="shared" si="2572"/>
        <v>2291</v>
      </c>
      <c r="AD2422" s="6">
        <v>3</v>
      </c>
      <c r="AE2422" t="s">
        <v>742</v>
      </c>
      <c r="AF2422" t="s">
        <v>744</v>
      </c>
      <c r="AG2422" t="s">
        <v>756</v>
      </c>
      <c r="AH2422" t="s">
        <v>756</v>
      </c>
      <c r="AI2422" t="s">
        <v>368</v>
      </c>
      <c r="AJ2422" t="str">
        <f t="shared" ref="AJ2422:AK2422" si="2650">IF($J2422&lt;&gt;"",$J2422,IF($AC2422=$AC2421,AJ2421,""))</f>
        <v>d</v>
      </c>
      <c r="AK2422" t="str">
        <f t="shared" si="2650"/>
        <v>d</v>
      </c>
      <c r="AL2422" t="str">
        <f t="shared" si="2577"/>
        <v>d</v>
      </c>
      <c r="AN2422" t="s">
        <v>861</v>
      </c>
      <c r="AO2422" t="str">
        <f t="shared" si="2578"/>
        <v>h</v>
      </c>
      <c r="AP2422" t="str">
        <f t="shared" si="2586"/>
        <v>d</v>
      </c>
      <c r="AQ2422" t="str">
        <f t="shared" si="2587"/>
        <v/>
      </c>
      <c r="AR2422" t="str">
        <f t="shared" si="2588"/>
        <v>Home</v>
      </c>
      <c r="AS2422" t="str">
        <f t="shared" si="2589"/>
        <v>h</v>
      </c>
      <c r="AT2422" t="str">
        <f t="shared" si="2590"/>
        <v>Defensive</v>
      </c>
      <c r="BA2422" s="6">
        <f t="shared" si="2579"/>
        <v>563</v>
      </c>
      <c r="BB2422">
        <f t="shared" si="2580"/>
        <v>18981</v>
      </c>
      <c r="BC2422" t="str">
        <f t="shared" si="2581"/>
        <v>Nelson</v>
      </c>
      <c r="BD2422" t="str">
        <f t="shared" si="2582"/>
        <v>Velodrome</v>
      </c>
      <c r="BE2422" t="s">
        <v>238</v>
      </c>
      <c r="BF2422" t="s">
        <v>184</v>
      </c>
      <c r="BG2422" t="s">
        <v>378</v>
      </c>
      <c r="BI2422" cm="1">
        <f t="array" ref="BI2422">IFERROR(_xlfn._xlws.FILTER(shifts!A:A,(shifts!B:B=events!AD2422)*(shifts!AG:AG&gt;=events!BK2422)*(shifts!AH:AH&lt;=events!BL2422)),BI2421)</f>
        <v>105</v>
      </c>
      <c r="BJ2422" s="15">
        <f t="shared" si="2583"/>
        <v>0</v>
      </c>
      <c r="BK2422">
        <f t="shared" si="2591"/>
        <v>15</v>
      </c>
      <c r="BL2422">
        <f t="shared" si="2592"/>
        <v>15</v>
      </c>
      <c r="BM2422" s="15">
        <f>SUMIFS(BJ$2:BJ2422,K$2:K2422,"=Intermission")+SUMIFS(BJ$2:BJ2422,K$2:K2422,"=Timeout")+SUMIFS(BJ$2:BJ2422,K$2:K2422,"=Clockstop")</f>
        <v>204</v>
      </c>
      <c r="BN2422">
        <f t="shared" si="2593"/>
        <v>2364</v>
      </c>
      <c r="BO2422" s="19">
        <f t="shared" si="2594"/>
        <v>3429</v>
      </c>
      <c r="BP2422">
        <f t="shared" si="2595"/>
        <v>3424</v>
      </c>
      <c r="BQ2422" s="17">
        <f t="shared" si="2596"/>
        <v>3429</v>
      </c>
      <c r="BR2422" t="str">
        <f t="shared" si="2597"/>
        <v>opp_team_player_1</v>
      </c>
      <c r="BS2422">
        <f>COUNTIFS(S$3:S2422,"="&amp;S2422,AI$3:AI2422,"="&amp;AI2422)</f>
        <v>1</v>
      </c>
      <c r="BT2422" t="str">
        <f>IFERROR(VLOOKUP(BB2422&amp;BU2422&amp;X2422,game_rosters!U:W,3,FALSE),"")</f>
        <v>P100201</v>
      </c>
      <c r="BU2422" t="str">
        <f t="shared" si="2598"/>
        <v>Velodrome</v>
      </c>
    </row>
    <row r="2423" spans="1:73" x14ac:dyDescent="0.2">
      <c r="A2423">
        <f t="shared" si="2584"/>
        <v>1</v>
      </c>
      <c r="J2423" s="44" t="str">
        <f t="shared" si="2599"/>
        <v>d</v>
      </c>
      <c r="K2423" t="s">
        <v>238</v>
      </c>
      <c r="L2423" t="s">
        <v>184</v>
      </c>
      <c r="M2423" t="s">
        <v>378</v>
      </c>
      <c r="S2423">
        <v>1291</v>
      </c>
      <c r="W2423" t="str">
        <f t="shared" si="2575"/>
        <v>h</v>
      </c>
      <c r="X2423">
        <v>49</v>
      </c>
      <c r="Y2423" t="e">
        <f>IF(X2423&lt;&gt;"",VLOOKUP(X2423,game_rosters!$C$43:$E$64,3,FALSE))</f>
        <v>#N/A</v>
      </c>
      <c r="Z2423" t="str" cm="1">
        <f t="array" ref="Z2423">IFERROR(IF(_xlfn._xlws.FILTER(game_rosters!$J:$J,(game_rosters!$G:$G=events!$AN2423)*(game_rosters!$J:$J=events!$X2423))&gt;0,1,""),"")</f>
        <v/>
      </c>
      <c r="AA2423">
        <f t="shared" si="2623"/>
        <v>2291</v>
      </c>
      <c r="AB2423" t="str">
        <f t="shared" si="2624"/>
        <v/>
      </c>
      <c r="AC2423">
        <f t="shared" si="2572"/>
        <v>2291</v>
      </c>
      <c r="AD2423" s="6">
        <v>3</v>
      </c>
      <c r="AE2423" t="s">
        <v>742</v>
      </c>
      <c r="AF2423" t="s">
        <v>744</v>
      </c>
      <c r="AG2423" t="s">
        <v>756</v>
      </c>
      <c r="AH2423" t="s">
        <v>756</v>
      </c>
      <c r="AI2423" t="s">
        <v>368</v>
      </c>
      <c r="AJ2423" t="str">
        <f t="shared" ref="AJ2423:AK2423" si="2651">IF($J2423&lt;&gt;"",$J2423,IF($AC2423=$AC2422,AJ2422,""))</f>
        <v>d</v>
      </c>
      <c r="AK2423" t="str">
        <f t="shared" si="2651"/>
        <v>d</v>
      </c>
      <c r="AL2423" t="str">
        <f t="shared" si="2577"/>
        <v>d</v>
      </c>
      <c r="AN2423" t="s">
        <v>861</v>
      </c>
      <c r="AO2423" t="str">
        <f t="shared" si="2578"/>
        <v>h</v>
      </c>
      <c r="AP2423" t="str">
        <f t="shared" si="2586"/>
        <v>d</v>
      </c>
      <c r="AQ2423" t="str">
        <f t="shared" si="2587"/>
        <v/>
      </c>
      <c r="AR2423" t="str">
        <f t="shared" si="2588"/>
        <v>Home</v>
      </c>
      <c r="AS2423" t="str">
        <f t="shared" si="2589"/>
        <v>h</v>
      </c>
      <c r="AT2423" t="str">
        <f t="shared" si="2590"/>
        <v>Defensive</v>
      </c>
      <c r="BA2423" s="6">
        <f t="shared" si="2579"/>
        <v>564</v>
      </c>
      <c r="BB2423">
        <f t="shared" si="2580"/>
        <v>18981</v>
      </c>
      <c r="BC2423" t="str">
        <f t="shared" si="2581"/>
        <v>Nelson</v>
      </c>
      <c r="BD2423" t="str">
        <f t="shared" si="2582"/>
        <v>Velodrome</v>
      </c>
      <c r="BE2423" t="s">
        <v>238</v>
      </c>
      <c r="BF2423" t="s">
        <v>184</v>
      </c>
      <c r="BG2423" t="s">
        <v>378</v>
      </c>
      <c r="BI2423" cm="1">
        <f t="array" ref="BI2423">IFERROR(_xlfn._xlws.FILTER(shifts!A:A,(shifts!B:B=events!AD2423)*(shifts!AG:AG&gt;=events!BK2423)*(shifts!AH:AH&lt;=events!BL2423)),BI2422)</f>
        <v>105</v>
      </c>
      <c r="BJ2423" s="15">
        <f t="shared" si="2583"/>
        <v>0</v>
      </c>
      <c r="BK2423">
        <f t="shared" si="2591"/>
        <v>15</v>
      </c>
      <c r="BL2423">
        <f t="shared" si="2592"/>
        <v>15</v>
      </c>
      <c r="BM2423" s="15">
        <f>SUMIFS(BJ$2:BJ2423,K$2:K2423,"=Intermission")+SUMIFS(BJ$2:BJ2423,K$2:K2423,"=Timeout")+SUMIFS(BJ$2:BJ2423,K$2:K2423,"=Clockstop")</f>
        <v>204</v>
      </c>
      <c r="BN2423">
        <f>IF(AD2423=1,0,IF(AD2423=2,1080+BM2423,IF(AD2423=3,(1080*2)+BM2423,0)))</f>
        <v>2364</v>
      </c>
      <c r="BO2423" s="19">
        <f t="shared" si="2594"/>
        <v>3429</v>
      </c>
      <c r="BP2423">
        <f t="shared" si="2595"/>
        <v>3424</v>
      </c>
      <c r="BQ2423" s="17">
        <f t="shared" si="2596"/>
        <v>3429</v>
      </c>
      <c r="BR2423" t="str">
        <f t="shared" si="2597"/>
        <v>opp_team_player_2</v>
      </c>
      <c r="BS2423">
        <f>COUNTIFS(S$3:S2423,"="&amp;S2423,AI$3:AI2423,"="&amp;AI2423)</f>
        <v>2</v>
      </c>
      <c r="BT2423" t="str">
        <f>IFERROR(VLOOKUP(BB2423&amp;BU2423&amp;X2423,game_rosters!U:W,3,FALSE),"")</f>
        <v>P100161</v>
      </c>
      <c r="BU2423" t="str">
        <f t="shared" si="2598"/>
        <v>Velodrome</v>
      </c>
    </row>
    <row r="2424" spans="1:73" x14ac:dyDescent="0.2">
      <c r="A2424">
        <f t="shared" si="2584"/>
        <v>1</v>
      </c>
      <c r="J2424" s="44" t="str">
        <f t="shared" si="2599"/>
        <v>o</v>
      </c>
      <c r="K2424" t="s">
        <v>238</v>
      </c>
      <c r="L2424" t="s">
        <v>174</v>
      </c>
      <c r="M2424" t="s">
        <v>87</v>
      </c>
      <c r="S2424">
        <v>1292</v>
      </c>
      <c r="W2424" t="str">
        <f t="shared" si="2575"/>
        <v>a</v>
      </c>
      <c r="X2424">
        <v>52</v>
      </c>
      <c r="Y2424" t="e">
        <f>IF(X2424&lt;&gt;"",VLOOKUP(X2424,game_rosters!$C$43:$E$64,3,FALSE))</f>
        <v>#N/A</v>
      </c>
      <c r="Z2424" cm="1">
        <f t="array" ref="Z2424">IFERROR(IF(_xlfn._xlws.FILTER(game_rosters!$J:$J,(game_rosters!$G:$G=events!$AN2424)*(game_rosters!$J:$J=events!$X2424))&gt;0,1,""),"")</f>
        <v>1</v>
      </c>
      <c r="AA2424">
        <f t="shared" si="2623"/>
        <v>2292</v>
      </c>
      <c r="AB2424" t="str">
        <f t="shared" si="2624"/>
        <v/>
      </c>
      <c r="AC2424">
        <f t="shared" si="2572"/>
        <v>2292</v>
      </c>
      <c r="AD2424" s="6">
        <v>3</v>
      </c>
      <c r="AE2424" t="s">
        <v>742</v>
      </c>
      <c r="AF2424" t="s">
        <v>920</v>
      </c>
      <c r="AG2424" t="s">
        <v>756</v>
      </c>
      <c r="AH2424" t="s">
        <v>756</v>
      </c>
      <c r="AI2424" t="s">
        <v>367</v>
      </c>
      <c r="AJ2424" t="str">
        <f t="shared" ref="AJ2424:AK2424" si="2652">IF($J2424&lt;&gt;"",$J2424,IF($AC2424=$AC2423,AJ2423,""))</f>
        <v>o</v>
      </c>
      <c r="AK2424" t="str">
        <f t="shared" si="2652"/>
        <v>o</v>
      </c>
      <c r="AL2424" t="str">
        <f t="shared" si="2577"/>
        <v>d</v>
      </c>
      <c r="AN2424" t="s">
        <v>862</v>
      </c>
      <c r="AO2424" t="str">
        <f t="shared" si="2578"/>
        <v>a</v>
      </c>
      <c r="AP2424" t="str">
        <f t="shared" si="2586"/>
        <v>d</v>
      </c>
      <c r="AQ2424" t="str">
        <f t="shared" si="2587"/>
        <v/>
      </c>
      <c r="AR2424" t="str">
        <f t="shared" si="2588"/>
        <v>Away</v>
      </c>
      <c r="AS2424" t="str">
        <f t="shared" si="2589"/>
        <v>a</v>
      </c>
      <c r="AT2424" t="str">
        <f t="shared" si="2590"/>
        <v>Offensive</v>
      </c>
      <c r="BA2424" s="6">
        <f t="shared" si="2579"/>
        <v>565</v>
      </c>
      <c r="BB2424">
        <f t="shared" si="2580"/>
        <v>18981</v>
      </c>
      <c r="BC2424" t="str">
        <f t="shared" si="2581"/>
        <v>Nelson</v>
      </c>
      <c r="BD2424" t="str">
        <f t="shared" si="2582"/>
        <v>Velodrome</v>
      </c>
      <c r="BE2424" t="s">
        <v>238</v>
      </c>
      <c r="BF2424" t="s">
        <v>174</v>
      </c>
      <c r="BG2424" t="s">
        <v>87</v>
      </c>
      <c r="BI2424" cm="1">
        <f t="array" ref="BI2424">IFERROR(_xlfn._xlws.FILTER(shifts!A:A,(shifts!B:B=events!AD2424)*(shifts!AG:AG&gt;=events!BK2424)*(shifts!AH:AH&lt;=events!BL2424)),BI2423)</f>
        <v>105</v>
      </c>
      <c r="BJ2424" s="15">
        <f t="shared" si="2583"/>
        <v>0</v>
      </c>
      <c r="BK2424">
        <f t="shared" si="2591"/>
        <v>9</v>
      </c>
      <c r="BL2424">
        <f t="shared" si="2592"/>
        <v>9</v>
      </c>
      <c r="BM2424" s="15">
        <f>SUMIFS(BJ$2:BJ2424,K$2:K2424,"=Intermission")+SUMIFS(BJ$2:BJ2424,K$2:K2424,"=Timeout")+SUMIFS(BJ$2:BJ2424,K$2:K2424,"=Clockstop")</f>
        <v>204</v>
      </c>
      <c r="BN2424">
        <f t="shared" si="2593"/>
        <v>2364</v>
      </c>
      <c r="BO2424" s="19">
        <f t="shared" si="2594"/>
        <v>3435</v>
      </c>
      <c r="BP2424">
        <f t="shared" si="2595"/>
        <v>3430</v>
      </c>
      <c r="BQ2424" s="17">
        <f t="shared" si="2596"/>
        <v>3435</v>
      </c>
      <c r="BR2424" t="str">
        <f t="shared" si="2597"/>
        <v>event_team_player_1</v>
      </c>
      <c r="BS2424">
        <f>COUNTIFS(S$3:S2424,"="&amp;S2424,AI$3:AI2424,"="&amp;AI2424)</f>
        <v>1</v>
      </c>
      <c r="BT2424" t="str">
        <f>IFERROR(VLOOKUP(BB2424&amp;BU2424&amp;X2424,game_rosters!U:W,3,FALSE),"")</f>
        <v>P100070</v>
      </c>
      <c r="BU2424" t="str">
        <f t="shared" si="2598"/>
        <v>Velodrome</v>
      </c>
    </row>
    <row r="2425" spans="1:73" x14ac:dyDescent="0.2">
      <c r="A2425">
        <f t="shared" si="2584"/>
        <v>1</v>
      </c>
      <c r="J2425" s="44" t="str">
        <f t="shared" si="2599"/>
        <v/>
      </c>
      <c r="K2425" t="s">
        <v>9</v>
      </c>
      <c r="L2425" t="s">
        <v>173</v>
      </c>
      <c r="M2425" t="s">
        <v>365</v>
      </c>
      <c r="S2425">
        <v>1293</v>
      </c>
      <c r="W2425" t="str">
        <f t="shared" si="2575"/>
        <v>a</v>
      </c>
      <c r="X2425">
        <v>52</v>
      </c>
      <c r="Y2425" t="e">
        <f>IF(X2425&lt;&gt;"",VLOOKUP(X2425,game_rosters!$C$43:$E$64,3,FALSE))</f>
        <v>#N/A</v>
      </c>
      <c r="Z2425" cm="1">
        <f t="array" ref="Z2425">IFERROR(IF(_xlfn._xlws.FILTER(game_rosters!$J:$J,(game_rosters!$G:$G=events!$AN2425)*(game_rosters!$J:$J=events!$X2425))&gt;0,1,""),"")</f>
        <v>1</v>
      </c>
      <c r="AA2425">
        <f t="shared" si="2623"/>
        <v>2293</v>
      </c>
      <c r="AB2425" t="str">
        <f t="shared" si="2624"/>
        <v/>
      </c>
      <c r="AC2425">
        <f t="shared" si="2572"/>
        <v>2293</v>
      </c>
      <c r="AD2425" s="6">
        <v>3</v>
      </c>
      <c r="AE2425" t="s">
        <v>742</v>
      </c>
      <c r="AF2425" t="s">
        <v>920</v>
      </c>
      <c r="AG2425" t="s">
        <v>756</v>
      </c>
      <c r="AH2425" t="s">
        <v>756</v>
      </c>
      <c r="AI2425" t="s">
        <v>367</v>
      </c>
      <c r="AJ2425" t="str">
        <f t="shared" ref="AJ2425:AK2425" si="2653">IF($J2425&lt;&gt;"",$J2425,IF($AC2425=$AC2424,AJ2424,""))</f>
        <v/>
      </c>
      <c r="AK2425" t="str">
        <f t="shared" si="2653"/>
        <v/>
      </c>
      <c r="AL2425" t="str">
        <f t="shared" si="2577"/>
        <v/>
      </c>
      <c r="AN2425" t="s">
        <v>862</v>
      </c>
      <c r="AO2425" t="str">
        <f t="shared" si="2578"/>
        <v>a</v>
      </c>
      <c r="AP2425" t="str">
        <f t="shared" si="2586"/>
        <v/>
      </c>
      <c r="AQ2425" t="str">
        <f t="shared" si="2587"/>
        <v/>
      </c>
      <c r="AR2425" t="str">
        <f t="shared" si="2588"/>
        <v>Away</v>
      </c>
      <c r="AS2425" t="str">
        <f t="shared" si="2589"/>
        <v>a</v>
      </c>
      <c r="AT2425" t="str">
        <f t="shared" si="2590"/>
        <v>Offensive</v>
      </c>
      <c r="BA2425" s="6">
        <f t="shared" si="2579"/>
        <v>565</v>
      </c>
      <c r="BB2425">
        <f t="shared" si="2580"/>
        <v>18981</v>
      </c>
      <c r="BC2425" t="str">
        <f t="shared" si="2581"/>
        <v>Nelson</v>
      </c>
      <c r="BD2425" t="str">
        <f t="shared" si="2582"/>
        <v>Velodrome</v>
      </c>
      <c r="BE2425" t="s">
        <v>9</v>
      </c>
      <c r="BF2425" t="s">
        <v>173</v>
      </c>
      <c r="BG2425" t="s">
        <v>365</v>
      </c>
      <c r="BI2425" cm="1">
        <f t="array" ref="BI2425">IFERROR(_xlfn._xlws.FILTER(shifts!A:A,(shifts!B:B=events!AD2425)*(shifts!AG:AG&gt;=events!BK2425)*(shifts!AH:AH&lt;=events!BL2425)),BI2424)</f>
        <v>105</v>
      </c>
      <c r="BJ2425" s="15">
        <f t="shared" si="2583"/>
        <v>0</v>
      </c>
      <c r="BK2425">
        <f t="shared" si="2591"/>
        <v>9</v>
      </c>
      <c r="BL2425">
        <f t="shared" si="2592"/>
        <v>9</v>
      </c>
      <c r="BM2425" s="15">
        <f>SUMIFS(BJ$2:BJ2425,K$2:K2425,"=Intermission")+SUMIFS(BJ$2:BJ2425,K$2:K2425,"=Timeout")+SUMIFS(BJ$2:BJ2425,K$2:K2425,"=Clockstop")</f>
        <v>204</v>
      </c>
      <c r="BN2425">
        <f t="shared" si="2593"/>
        <v>2364</v>
      </c>
      <c r="BO2425" s="19">
        <f t="shared" si="2594"/>
        <v>3435</v>
      </c>
      <c r="BP2425">
        <f t="shared" si="2595"/>
        <v>3430</v>
      </c>
      <c r="BQ2425" s="17">
        <f t="shared" si="2596"/>
        <v>3435</v>
      </c>
      <c r="BR2425" t="str">
        <f t="shared" si="2597"/>
        <v>event_team_player_1</v>
      </c>
      <c r="BS2425">
        <f>COUNTIFS(S$3:S2425,"="&amp;S2425,AI$3:AI2425,"="&amp;AI2425)</f>
        <v>1</v>
      </c>
      <c r="BT2425" t="str">
        <f>IFERROR(VLOOKUP(BB2425&amp;BU2425&amp;X2425,game_rosters!U:W,3,FALSE),"")</f>
        <v>P100070</v>
      </c>
      <c r="BU2425" t="str">
        <f t="shared" si="2598"/>
        <v>Velodrome</v>
      </c>
    </row>
    <row r="2426" spans="1:73" x14ac:dyDescent="0.2">
      <c r="A2426">
        <f t="shared" si="2584"/>
        <v>1</v>
      </c>
      <c r="J2426" s="44" t="str">
        <f t="shared" si="2599"/>
        <v>d</v>
      </c>
      <c r="K2426" t="s">
        <v>238</v>
      </c>
      <c r="L2426" t="s">
        <v>184</v>
      </c>
      <c r="M2426" t="s">
        <v>90</v>
      </c>
      <c r="S2426">
        <v>1294</v>
      </c>
      <c r="W2426" t="str">
        <f t="shared" si="2575"/>
        <v>h</v>
      </c>
      <c r="X2426">
        <v>37</v>
      </c>
      <c r="Y2426" t="b">
        <f>IF(X2426&lt;&gt;"",VLOOKUP(X2426,game_rosters!$C$43:$E$64,3,FALSE))</f>
        <v>0</v>
      </c>
      <c r="Z2426" cm="1">
        <f t="array" ref="Z2426">IFERROR(IF(_xlfn._xlws.FILTER(game_rosters!$J:$J,(game_rosters!$G:$G=events!$AN2426)*(game_rosters!$J:$J=events!$X2426))&gt;0,1,""),"")</f>
        <v>1</v>
      </c>
      <c r="AA2426">
        <f t="shared" si="2623"/>
        <v>2294</v>
      </c>
      <c r="AB2426" t="str">
        <f t="shared" si="2624"/>
        <v/>
      </c>
      <c r="AC2426">
        <f t="shared" si="2572"/>
        <v>2294</v>
      </c>
      <c r="AD2426" s="6">
        <v>3</v>
      </c>
      <c r="AE2426" t="s">
        <v>742</v>
      </c>
      <c r="AF2426" t="s">
        <v>747</v>
      </c>
      <c r="AG2426" t="s">
        <v>756</v>
      </c>
      <c r="AH2426" t="s">
        <v>756</v>
      </c>
      <c r="AI2426" t="s">
        <v>367</v>
      </c>
      <c r="AJ2426" t="str">
        <f t="shared" ref="AJ2426:AK2426" si="2654">IF($J2426&lt;&gt;"",$J2426,IF($AC2426=$AC2425,AJ2425,""))</f>
        <v>d</v>
      </c>
      <c r="AK2426" t="str">
        <f t="shared" si="2654"/>
        <v>d</v>
      </c>
      <c r="AL2426" t="str">
        <f t="shared" si="2577"/>
        <v>d</v>
      </c>
      <c r="AN2426" t="s">
        <v>861</v>
      </c>
      <c r="AO2426" t="str">
        <f t="shared" si="2578"/>
        <v>h</v>
      </c>
      <c r="AP2426" t="str">
        <f t="shared" si="2586"/>
        <v>d</v>
      </c>
      <c r="AQ2426" t="str">
        <f t="shared" si="2587"/>
        <v/>
      </c>
      <c r="AR2426" t="str">
        <f t="shared" si="2588"/>
        <v>Home</v>
      </c>
      <c r="AS2426" t="str">
        <f t="shared" si="2589"/>
        <v>h</v>
      </c>
      <c r="AT2426" t="str">
        <f t="shared" si="2590"/>
        <v>Offensive</v>
      </c>
      <c r="BA2426" s="6">
        <f t="shared" si="2579"/>
        <v>566</v>
      </c>
      <c r="BB2426">
        <f t="shared" si="2580"/>
        <v>18981</v>
      </c>
      <c r="BC2426" t="str">
        <f t="shared" si="2581"/>
        <v>Nelson</v>
      </c>
      <c r="BD2426" t="str">
        <f t="shared" si="2582"/>
        <v>Velodrome</v>
      </c>
      <c r="BE2426" t="s">
        <v>238</v>
      </c>
      <c r="BF2426" t="s">
        <v>184</v>
      </c>
      <c r="BG2426" t="s">
        <v>90</v>
      </c>
      <c r="BI2426" cm="1">
        <f t="array" ref="BI2426">IFERROR(_xlfn._xlws.FILTER(shifts!A:A,(shifts!B:B=events!AD2426)*(shifts!AG:AG&gt;=events!BK2426)*(shifts!AH:AH&lt;=events!BL2426)),BI2425)</f>
        <v>105</v>
      </c>
      <c r="BJ2426" s="15">
        <f t="shared" si="2583"/>
        <v>0</v>
      </c>
      <c r="BK2426">
        <f t="shared" si="2591"/>
        <v>7</v>
      </c>
      <c r="BL2426">
        <f t="shared" si="2592"/>
        <v>7</v>
      </c>
      <c r="BM2426" s="15">
        <f>SUMIFS(BJ$2:BJ2426,K$2:K2426,"=Intermission")+SUMIFS(BJ$2:BJ2426,K$2:K2426,"=Timeout")+SUMIFS(BJ$2:BJ2426,K$2:K2426,"=Clockstop")</f>
        <v>204</v>
      </c>
      <c r="BN2426">
        <f t="shared" si="2593"/>
        <v>2364</v>
      </c>
      <c r="BO2426" s="19">
        <f t="shared" si="2594"/>
        <v>3437</v>
      </c>
      <c r="BP2426">
        <f t="shared" si="2595"/>
        <v>3432</v>
      </c>
      <c r="BQ2426" s="17">
        <f t="shared" si="2596"/>
        <v>3437</v>
      </c>
      <c r="BR2426" t="str">
        <f t="shared" si="2597"/>
        <v>event_team_player_1</v>
      </c>
      <c r="BS2426">
        <f>COUNTIFS(S$3:S2426,"="&amp;S2426,AI$3:AI2426,"="&amp;AI2426)</f>
        <v>1</v>
      </c>
      <c r="BT2426" t="str">
        <f>IFERROR(VLOOKUP(BB2426&amp;BU2426&amp;X2426,game_rosters!U:W,3,FALSE),"")</f>
        <v>P100119</v>
      </c>
      <c r="BU2426" t="str">
        <f t="shared" si="2598"/>
        <v>Nelson</v>
      </c>
    </row>
    <row r="2427" spans="1:73" x14ac:dyDescent="0.2">
      <c r="A2427">
        <f t="shared" si="2584"/>
        <v>1</v>
      </c>
      <c r="J2427" s="44" t="str">
        <f t="shared" si="2599"/>
        <v>o</v>
      </c>
      <c r="K2427" t="s">
        <v>238</v>
      </c>
      <c r="L2427" t="s">
        <v>174</v>
      </c>
      <c r="M2427" t="s">
        <v>375</v>
      </c>
      <c r="S2427">
        <v>1295</v>
      </c>
      <c r="W2427" t="str">
        <f t="shared" si="2575"/>
        <v>h</v>
      </c>
      <c r="X2427">
        <v>37</v>
      </c>
      <c r="Y2427" t="b">
        <f>IF(X2427&lt;&gt;"",VLOOKUP(X2427,game_rosters!$C$43:$E$64,3,FALSE))</f>
        <v>0</v>
      </c>
      <c r="Z2427" cm="1">
        <f t="array" ref="Z2427">IFERROR(IF(_xlfn._xlws.FILTER(game_rosters!$J:$J,(game_rosters!$G:$G=events!$AN2427)*(game_rosters!$J:$J=events!$X2427))&gt;0,1,""),"")</f>
        <v>1</v>
      </c>
      <c r="AA2427">
        <f t="shared" si="2623"/>
        <v>2295</v>
      </c>
      <c r="AB2427" t="str">
        <f t="shared" si="2624"/>
        <v/>
      </c>
      <c r="AC2427">
        <f t="shared" si="2572"/>
        <v>2295</v>
      </c>
      <c r="AD2427" s="6">
        <v>3</v>
      </c>
      <c r="AE2427" t="s">
        <v>742</v>
      </c>
      <c r="AF2427" t="s">
        <v>747</v>
      </c>
      <c r="AG2427" t="s">
        <v>756</v>
      </c>
      <c r="AH2427" t="s">
        <v>756</v>
      </c>
      <c r="AI2427" t="s">
        <v>367</v>
      </c>
      <c r="AJ2427" t="str">
        <f t="shared" ref="AJ2427:AK2427" si="2655">IF($J2427&lt;&gt;"",$J2427,IF($AC2427=$AC2426,AJ2426,""))</f>
        <v>o</v>
      </c>
      <c r="AK2427" t="str">
        <f t="shared" si="2655"/>
        <v>o</v>
      </c>
      <c r="AL2427" t="str">
        <f t="shared" si="2577"/>
        <v>o</v>
      </c>
      <c r="AN2427" t="s">
        <v>861</v>
      </c>
      <c r="AO2427" t="str">
        <f t="shared" si="2578"/>
        <v>h</v>
      </c>
      <c r="AP2427" t="str">
        <f t="shared" si="2586"/>
        <v>o</v>
      </c>
      <c r="AQ2427" t="str">
        <f t="shared" si="2587"/>
        <v/>
      </c>
      <c r="AR2427" t="str">
        <f t="shared" si="2588"/>
        <v>Home</v>
      </c>
      <c r="AS2427" t="str">
        <f t="shared" si="2589"/>
        <v>h</v>
      </c>
      <c r="AT2427" t="str">
        <f t="shared" si="2590"/>
        <v>Offensive</v>
      </c>
      <c r="BA2427" s="6">
        <f t="shared" si="2579"/>
        <v>567</v>
      </c>
      <c r="BB2427">
        <f t="shared" si="2580"/>
        <v>18981</v>
      </c>
      <c r="BC2427" t="str">
        <f t="shared" si="2581"/>
        <v>Nelson</v>
      </c>
      <c r="BD2427" t="str">
        <f t="shared" si="2582"/>
        <v>Velodrome</v>
      </c>
      <c r="BE2427" t="s">
        <v>238</v>
      </c>
      <c r="BF2427" t="s">
        <v>174</v>
      </c>
      <c r="BG2427" t="s">
        <v>375</v>
      </c>
      <c r="BI2427" cm="1">
        <f t="array" ref="BI2427">IFERROR(_xlfn._xlws.FILTER(shifts!A:A,(shifts!B:B=events!AD2427)*(shifts!AG:AG&gt;=events!BK2427)*(shifts!AH:AH&lt;=events!BL2427)),BI2426)</f>
        <v>105</v>
      </c>
      <c r="BJ2427" s="15">
        <f t="shared" si="2583"/>
        <v>0</v>
      </c>
      <c r="BK2427">
        <f t="shared" si="2591"/>
        <v>7</v>
      </c>
      <c r="BL2427">
        <f t="shared" si="2592"/>
        <v>7</v>
      </c>
      <c r="BM2427" s="15">
        <f>SUMIFS(BJ$2:BJ2427,K$2:K2427,"=Intermission")+SUMIFS(BJ$2:BJ2427,K$2:K2427,"=Timeout")+SUMIFS(BJ$2:BJ2427,K$2:K2427,"=Clockstop")</f>
        <v>204</v>
      </c>
      <c r="BN2427">
        <f t="shared" si="2593"/>
        <v>2364</v>
      </c>
      <c r="BO2427" s="19">
        <f t="shared" si="2594"/>
        <v>3437</v>
      </c>
      <c r="BP2427">
        <f t="shared" si="2595"/>
        <v>3432</v>
      </c>
      <c r="BQ2427" s="17">
        <f t="shared" si="2596"/>
        <v>3437</v>
      </c>
      <c r="BR2427" t="str">
        <f t="shared" si="2597"/>
        <v>event_team_player_1</v>
      </c>
      <c r="BS2427">
        <f>COUNTIFS(S$3:S2427,"="&amp;S2427,AI$3:AI2427,"="&amp;AI2427)</f>
        <v>1</v>
      </c>
      <c r="BT2427" t="str">
        <f>IFERROR(VLOOKUP(BB2427&amp;BU2427&amp;X2427,game_rosters!U:W,3,FALSE),"")</f>
        <v>P100119</v>
      </c>
      <c r="BU2427" t="str">
        <f t="shared" si="2598"/>
        <v>Nelson</v>
      </c>
    </row>
    <row r="2428" spans="1:73" x14ac:dyDescent="0.2">
      <c r="A2428">
        <f t="shared" si="2584"/>
        <v>1</v>
      </c>
      <c r="J2428" s="44" t="str">
        <f t="shared" si="2599"/>
        <v/>
      </c>
      <c r="K2428" t="s">
        <v>11</v>
      </c>
      <c r="L2428" t="s">
        <v>402</v>
      </c>
      <c r="M2428" t="s">
        <v>756</v>
      </c>
      <c r="S2428">
        <v>1296</v>
      </c>
      <c r="W2428" t="str">
        <f t="shared" si="2575"/>
        <v/>
      </c>
      <c r="X2428" cm="1">
        <f t="array" ref="X2428">IF(S2428="","",IF($I2428&lt;&gt;"",$I2428,INDEX($I$2:$I2427,ROW()-COUNTIFS($T$2:$T2427,"="&amp;$T2428,$S$2:$S2427,"&lt;&gt;"&amp;$S2428)-1)))</f>
        <v>0</v>
      </c>
      <c r="Y2428" t="e">
        <f>IF(X2428&lt;&gt;"",VLOOKUP(X2428,game_rosters!$C$43:$E$64,3,FALSE))</f>
        <v>#N/A</v>
      </c>
      <c r="Z2428" t="e" cm="1" vm="1">
        <f t="array" aca="1" ref="Z2428" ca="1">IFERROR(IF(_xlfn._xlws.FILTER(game_rosters!$J:$J,(game_rosters!$G:$G=events!$AN2428)*(game_rosters!$J:$J=events!$X2428))&gt;0,1,""),"")</f>
        <v>#VALUE!</v>
      </c>
      <c r="AA2428">
        <f t="shared" si="2623"/>
        <v>2296</v>
      </c>
      <c r="AB2428" t="str">
        <f t="shared" si="2624"/>
        <v/>
      </c>
      <c r="AC2428">
        <f t="shared" si="2572"/>
        <v>2296</v>
      </c>
      <c r="AD2428" s="6">
        <v>3</v>
      </c>
      <c r="AE2428" t="s">
        <v>742</v>
      </c>
      <c r="AF2428" t="s">
        <v>413</v>
      </c>
      <c r="AG2428" t="s">
        <v>756</v>
      </c>
      <c r="AH2428" t="s">
        <v>756</v>
      </c>
      <c r="AJ2428" t="str">
        <f t="shared" ref="AJ2428:AK2428" si="2656">IF($J2428&lt;&gt;"",$J2428,IF($AC2428=$AC2427,AJ2427,""))</f>
        <v/>
      </c>
      <c r="AK2428" t="str">
        <f t="shared" si="2656"/>
        <v/>
      </c>
      <c r="AL2428" t="str">
        <f t="shared" ref="AL2372:AL2429" si="2657">IF($W2428="","",IF($AJ2428="","",IF($W2428="h",$AJ2428,IF($AJ2428="n","n",IF(AND($W2428="a",$AJ2428="d"),"o",IF(AND($W2428="a",$AJ2428="o"),"d"))))))</f>
        <v/>
      </c>
      <c r="AN2428" t="s">
        <v>756</v>
      </c>
      <c r="AO2428" t="str">
        <f t="shared" si="2578"/>
        <v/>
      </c>
      <c r="AP2428" t="str">
        <f t="shared" si="2586"/>
        <v/>
      </c>
      <c r="AQ2428" t="str">
        <f t="shared" si="2587"/>
        <v/>
      </c>
      <c r="AR2428" t="str">
        <f t="shared" si="2588"/>
        <v/>
      </c>
      <c r="AS2428" t="str">
        <f t="shared" si="2589"/>
        <v/>
      </c>
      <c r="AT2428" t="str">
        <f t="shared" si="2590"/>
        <v/>
      </c>
      <c r="BA2428" s="6">
        <f t="shared" si="2579"/>
        <v>567</v>
      </c>
      <c r="BB2428">
        <f t="shared" si="2580"/>
        <v>18981</v>
      </c>
      <c r="BC2428" t="str">
        <f t="shared" si="2581"/>
        <v>Nelson</v>
      </c>
      <c r="BD2428" t="str">
        <f t="shared" si="2582"/>
        <v>Velodrome</v>
      </c>
      <c r="BE2428" t="s">
        <v>11</v>
      </c>
      <c r="BF2428" t="s">
        <v>402</v>
      </c>
      <c r="BG2428" t="s">
        <v>756</v>
      </c>
      <c r="BI2428" cm="1">
        <f t="array" ref="BI2428">IFERROR(_xlfn._xlws.FILTER(shifts!A:A,(shifts!B:B=events!AD2428)*(shifts!AG:AG&gt;=events!BK2428)*(shifts!AH:AH&lt;=events!BL2428)),BI2427)</f>
        <v>105</v>
      </c>
      <c r="BJ2428" s="15">
        <f t="shared" si="2583"/>
        <v>0</v>
      </c>
      <c r="BK2428">
        <f t="shared" si="2591"/>
        <v>0</v>
      </c>
      <c r="BL2428">
        <f t="shared" si="2592"/>
        <v>0</v>
      </c>
      <c r="BM2428" s="15">
        <f>SUMIFS(BJ$2:BJ2428,K$2:K2428,"=Intermission")+SUMIFS(BJ$2:BJ2428,K$2:K2428,"=Timeout")+SUMIFS(BJ$2:BJ2428,K$2:K2428,"=Clockstop")</f>
        <v>204</v>
      </c>
      <c r="BN2428">
        <f t="shared" si="2593"/>
        <v>2364</v>
      </c>
      <c r="BO2428" s="19">
        <f t="shared" si="2594"/>
        <v>3444</v>
      </c>
      <c r="BP2428">
        <f t="shared" si="2595"/>
        <v>3439</v>
      </c>
      <c r="BQ2428" s="17">
        <f t="shared" si="2596"/>
        <v>3444</v>
      </c>
      <c r="BR2428" t="str">
        <f t="shared" si="2597"/>
        <v/>
      </c>
      <c r="BS2428">
        <f>COUNTIFS(S$3:S2428,"="&amp;S2428,AI$3:AI2428,"="&amp;AI2428)</f>
        <v>1</v>
      </c>
      <c r="BT2428" t="str">
        <f>IFERROR(VLOOKUP(BB2428&amp;BU2428&amp;X2428,game_rosters!U:W,3,FALSE),"")</f>
        <v/>
      </c>
      <c r="BU2428" t="str">
        <f t="shared" si="2598"/>
        <v/>
      </c>
    </row>
    <row r="2429" spans="1:73" x14ac:dyDescent="0.2">
      <c r="A2429">
        <f t="shared" si="2584"/>
        <v>1</v>
      </c>
      <c r="J2429" s="44" t="str">
        <f t="shared" si="2599"/>
        <v/>
      </c>
      <c r="K2429" t="s">
        <v>400</v>
      </c>
      <c r="L2429" t="s">
        <v>756</v>
      </c>
      <c r="M2429" t="s">
        <v>756</v>
      </c>
      <c r="S2429">
        <v>1297</v>
      </c>
      <c r="W2429" t="str">
        <f t="shared" si="2575"/>
        <v/>
      </c>
      <c r="X2429" cm="1">
        <f t="array" ref="X2429">IF(S2429="","",IF($I2429&lt;&gt;"",$I2429,INDEX($I$2:$I2428,ROW()-COUNTIFS($T$2:$T2428,"="&amp;$T2429,$S$2:$S2428,"&lt;&gt;"&amp;$S2429)-1)))</f>
        <v>0</v>
      </c>
      <c r="Y2429" t="e">
        <f>IF(X2429&lt;&gt;"",VLOOKUP(X2429,game_rosters!$C$43:$E$64,3,FALSE))</f>
        <v>#N/A</v>
      </c>
      <c r="Z2429" t="e" cm="1" vm="1">
        <f t="array" aca="1" ref="Z2429" ca="1">IFERROR(IF(_xlfn._xlws.FILTER(game_rosters!$J:$J,(game_rosters!$G:$G=events!$AN2429)*(game_rosters!$J:$J=events!$X2429))&gt;0,1,""),"")</f>
        <v>#VALUE!</v>
      </c>
      <c r="AA2429">
        <f t="shared" si="2623"/>
        <v>2297</v>
      </c>
      <c r="AB2429" t="str">
        <f t="shared" si="2624"/>
        <v/>
      </c>
      <c r="AC2429">
        <f t="shared" si="2572"/>
        <v>2297</v>
      </c>
      <c r="AD2429" s="6">
        <v>3</v>
      </c>
      <c r="AE2429" t="s">
        <v>742</v>
      </c>
      <c r="AF2429" t="s">
        <v>413</v>
      </c>
      <c r="AG2429" t="s">
        <v>756</v>
      </c>
      <c r="AH2429" t="s">
        <v>756</v>
      </c>
      <c r="AJ2429" t="str">
        <f t="shared" ref="AJ2429:AK2429" si="2658">IF($J2429&lt;&gt;"",$J2429,IF($AC2429=$AC2428,AJ2428,""))</f>
        <v/>
      </c>
      <c r="AK2429" t="str">
        <f t="shared" si="2658"/>
        <v/>
      </c>
      <c r="AL2429" t="str">
        <f t="shared" si="2657"/>
        <v/>
      </c>
      <c r="AN2429" t="s">
        <v>756</v>
      </c>
      <c r="AO2429" t="str">
        <f t="shared" si="2578"/>
        <v/>
      </c>
      <c r="AP2429" t="str">
        <f t="shared" si="2586"/>
        <v/>
      </c>
      <c r="AQ2429" t="str">
        <f t="shared" si="2587"/>
        <v/>
      </c>
      <c r="AR2429" t="str">
        <f t="shared" si="2588"/>
        <v/>
      </c>
      <c r="AS2429" t="str">
        <f t="shared" si="2589"/>
        <v/>
      </c>
      <c r="AT2429" t="str">
        <f t="shared" si="2590"/>
        <v/>
      </c>
      <c r="BA2429" s="6">
        <f t="shared" si="2579"/>
        <v>567</v>
      </c>
      <c r="BB2429">
        <f t="shared" si="2580"/>
        <v>18981</v>
      </c>
      <c r="BC2429" t="str">
        <f t="shared" si="2581"/>
        <v>Nelson</v>
      </c>
      <c r="BD2429" t="str">
        <f t="shared" si="2582"/>
        <v>Velodrome</v>
      </c>
      <c r="BE2429" t="s">
        <v>400</v>
      </c>
      <c r="BF2429" t="s">
        <v>756</v>
      </c>
      <c r="BG2429" t="s">
        <v>756</v>
      </c>
      <c r="BI2429" cm="1">
        <f t="array" ref="BI2429">IFERROR(_xlfn._xlws.FILTER(shifts!A:A,(shifts!B:B=events!AD2429)*(shifts!AG:AG&gt;=events!BK2429)*(shifts!AH:AH&lt;=events!BL2429)),BI2428)</f>
        <v>105</v>
      </c>
      <c r="BJ2429" s="15">
        <f t="shared" si="2583"/>
        <v>0</v>
      </c>
      <c r="BK2429">
        <f t="shared" si="2591"/>
        <v>0</v>
      </c>
      <c r="BL2429">
        <f t="shared" si="2592"/>
        <v>0</v>
      </c>
      <c r="BM2429" s="15">
        <f>SUMIFS(BJ$2:BJ2429,K$2:K2429,"=Intermission")+SUMIFS(BJ$2:BJ2429,K$2:K2429,"=Timeout")+SUMIFS(BJ$2:BJ2429,K$2:K2429,"=Clockstop")</f>
        <v>204</v>
      </c>
      <c r="BN2429">
        <f t="shared" si="2593"/>
        <v>2364</v>
      </c>
      <c r="BO2429" s="19">
        <f t="shared" si="2594"/>
        <v>3444</v>
      </c>
      <c r="BP2429">
        <f t="shared" si="2595"/>
        <v>3439</v>
      </c>
      <c r="BQ2429" s="17">
        <f t="shared" si="2596"/>
        <v>3444</v>
      </c>
      <c r="BR2429" t="str">
        <f t="shared" si="2597"/>
        <v/>
      </c>
      <c r="BS2429">
        <f>COUNTIFS(S$3:S2429,"="&amp;S2429,AI$3:AI2429,"="&amp;AI2429)</f>
        <v>1</v>
      </c>
      <c r="BT2429" t="str">
        <f>IFERROR(VLOOKUP(BB2429&amp;BU2429&amp;X2429,game_rosters!U:W,3,FALSE),"")</f>
        <v/>
      </c>
      <c r="BU2429" t="str">
        <f t="shared" si="2598"/>
        <v/>
      </c>
    </row>
    <row r="2430" spans="1:73" x14ac:dyDescent="0.2">
      <c r="AD2430" s="6"/>
      <c r="BJ2430" s="15"/>
    </row>
    <row r="2431" spans="1:73" x14ac:dyDescent="0.2">
      <c r="AD2431" s="6"/>
      <c r="BJ2431" s="15"/>
    </row>
    <row r="2432" spans="1:73" x14ac:dyDescent="0.2">
      <c r="AD2432" s="6"/>
      <c r="BJ2432" s="15"/>
    </row>
    <row r="2433" spans="30:62" x14ac:dyDescent="0.2">
      <c r="AD2433" s="6"/>
      <c r="BJ2433" s="15"/>
    </row>
    <row r="2434" spans="30:62" x14ac:dyDescent="0.2">
      <c r="AD2434" s="6"/>
      <c r="BJ2434" s="15"/>
    </row>
    <row r="2435" spans="30:62" x14ac:dyDescent="0.2">
      <c r="AD2435" s="6"/>
      <c r="BJ2435" s="15"/>
    </row>
    <row r="2436" spans="30:62" x14ac:dyDescent="0.2">
      <c r="AD2436" s="6"/>
      <c r="BJ2436" s="15"/>
    </row>
    <row r="2437" spans="30:62" x14ac:dyDescent="0.2">
      <c r="AD2437" s="6"/>
      <c r="BJ2437" s="15"/>
    </row>
    <row r="2438" spans="30:62" x14ac:dyDescent="0.2">
      <c r="AD2438" s="6"/>
      <c r="BJ2438" s="15"/>
    </row>
    <row r="2439" spans="30:62" x14ac:dyDescent="0.2">
      <c r="AD2439" s="6"/>
      <c r="BJ2439" s="15"/>
    </row>
    <row r="2440" spans="30:62" x14ac:dyDescent="0.2">
      <c r="AD2440" s="6"/>
      <c r="BJ2440" s="15"/>
    </row>
    <row r="2441" spans="30:62" x14ac:dyDescent="0.2">
      <c r="AD2441" s="6"/>
      <c r="BJ2441" s="15"/>
    </row>
    <row r="2442" spans="30:62" x14ac:dyDescent="0.2">
      <c r="AD2442" s="6"/>
      <c r="BJ2442" s="15"/>
    </row>
    <row r="2443" spans="30:62" x14ac:dyDescent="0.2">
      <c r="AD2443" s="6"/>
      <c r="BJ2443" s="15"/>
    </row>
    <row r="2444" spans="30:62" x14ac:dyDescent="0.2">
      <c r="AD2444" s="6"/>
      <c r="BJ2444" s="15"/>
    </row>
    <row r="2445" spans="30:62" x14ac:dyDescent="0.2">
      <c r="AD2445" s="6"/>
      <c r="BJ2445" s="15"/>
    </row>
    <row r="2446" spans="30:62" x14ac:dyDescent="0.2">
      <c r="AD2446" s="6"/>
      <c r="BJ2446" s="15"/>
    </row>
    <row r="2447" spans="30:62" x14ac:dyDescent="0.2">
      <c r="AD2447" s="6"/>
      <c r="BJ2447" s="15"/>
    </row>
    <row r="2448" spans="30:62" x14ac:dyDescent="0.2">
      <c r="AD2448" s="6"/>
      <c r="BJ2448" s="15"/>
    </row>
    <row r="2449" spans="30:62" x14ac:dyDescent="0.2">
      <c r="AD2449" s="6"/>
      <c r="BJ2449" s="15"/>
    </row>
    <row r="2450" spans="30:62" x14ac:dyDescent="0.2">
      <c r="AD2450" s="6"/>
      <c r="BJ2450" s="15"/>
    </row>
    <row r="2451" spans="30:62" x14ac:dyDescent="0.2">
      <c r="AD2451" s="6"/>
      <c r="BJ2451" s="15"/>
    </row>
    <row r="2452" spans="30:62" x14ac:dyDescent="0.2">
      <c r="AD2452" s="6"/>
      <c r="BJ2452" s="15"/>
    </row>
    <row r="2453" spans="30:62" x14ac:dyDescent="0.2">
      <c r="AD2453" s="6"/>
      <c r="BJ2453" s="15"/>
    </row>
    <row r="2454" spans="30:62" x14ac:dyDescent="0.2">
      <c r="AD2454" s="6"/>
      <c r="BJ2454" s="15"/>
    </row>
    <row r="2455" spans="30:62" x14ac:dyDescent="0.2">
      <c r="AD2455" s="6"/>
      <c r="BJ2455" s="15"/>
    </row>
    <row r="2456" spans="30:62" x14ac:dyDescent="0.2">
      <c r="AD2456" s="6"/>
      <c r="BJ2456" s="15"/>
    </row>
    <row r="2457" spans="30:62" x14ac:dyDescent="0.2">
      <c r="AD2457" s="6"/>
      <c r="BJ2457" s="15"/>
    </row>
    <row r="2458" spans="30:62" x14ac:dyDescent="0.2">
      <c r="AD2458" s="6"/>
      <c r="BJ2458" s="15"/>
    </row>
    <row r="2459" spans="30:62" x14ac:dyDescent="0.2">
      <c r="AD2459" s="6"/>
      <c r="BJ2459" s="15"/>
    </row>
    <row r="2460" spans="30:62" x14ac:dyDescent="0.2">
      <c r="AD2460" s="6"/>
      <c r="BJ2460" s="15"/>
    </row>
    <row r="2461" spans="30:62" x14ac:dyDescent="0.2">
      <c r="AD2461" s="6"/>
      <c r="BJ2461" s="15"/>
    </row>
    <row r="2462" spans="30:62" x14ac:dyDescent="0.2">
      <c r="AD2462" s="6"/>
      <c r="BJ2462" s="15"/>
    </row>
    <row r="2463" spans="30:62" x14ac:dyDescent="0.2">
      <c r="AD2463" s="6"/>
      <c r="BJ2463" s="15"/>
    </row>
    <row r="2464" spans="30:62" x14ac:dyDescent="0.2">
      <c r="AD2464" s="6"/>
      <c r="BJ2464" s="15"/>
    </row>
    <row r="2465" spans="30:62" x14ac:dyDescent="0.2">
      <c r="AD2465" s="6"/>
      <c r="BJ2465" s="15"/>
    </row>
    <row r="2466" spans="30:62" x14ac:dyDescent="0.2">
      <c r="AD2466" s="6"/>
      <c r="BJ2466" s="15"/>
    </row>
    <row r="2467" spans="30:62" x14ac:dyDescent="0.2">
      <c r="AD2467" s="6"/>
      <c r="BJ2467" s="15"/>
    </row>
    <row r="2468" spans="30:62" x14ac:dyDescent="0.2">
      <c r="AD2468" s="6"/>
      <c r="BJ2468" s="15"/>
    </row>
    <row r="2469" spans="30:62" x14ac:dyDescent="0.2">
      <c r="AD2469" s="6"/>
      <c r="BJ2469" s="15"/>
    </row>
    <row r="2470" spans="30:62" x14ac:dyDescent="0.2">
      <c r="AD2470" s="6"/>
      <c r="BJ2470" s="15"/>
    </row>
    <row r="2471" spans="30:62" x14ac:dyDescent="0.2">
      <c r="AD2471" s="6"/>
      <c r="BJ2471" s="15"/>
    </row>
    <row r="2472" spans="30:62" x14ac:dyDescent="0.2">
      <c r="AD2472" s="6"/>
      <c r="BJ2472" s="15"/>
    </row>
    <row r="2473" spans="30:62" x14ac:dyDescent="0.2">
      <c r="AD2473" s="6"/>
      <c r="BJ2473" s="15"/>
    </row>
    <row r="2474" spans="30:62" x14ac:dyDescent="0.2">
      <c r="AD2474" s="6"/>
      <c r="BJ2474" s="15"/>
    </row>
    <row r="2475" spans="30:62" x14ac:dyDescent="0.2">
      <c r="AD2475" s="6"/>
      <c r="BJ2475" s="15"/>
    </row>
    <row r="2476" spans="30:62" x14ac:dyDescent="0.2">
      <c r="AD2476" s="6"/>
      <c r="BJ2476" s="15"/>
    </row>
    <row r="2477" spans="30:62" x14ac:dyDescent="0.2">
      <c r="AD2477" s="6"/>
      <c r="BJ2477" s="15"/>
    </row>
    <row r="2478" spans="30:62" x14ac:dyDescent="0.2">
      <c r="AD2478" s="6"/>
      <c r="BJ2478" s="15"/>
    </row>
    <row r="2479" spans="30:62" x14ac:dyDescent="0.2">
      <c r="AD2479" s="6"/>
      <c r="BJ2479" s="15"/>
    </row>
    <row r="2480" spans="30:62" x14ac:dyDescent="0.2">
      <c r="AD2480" s="6"/>
      <c r="BJ2480" s="15"/>
    </row>
    <row r="2481" spans="30:62" x14ac:dyDescent="0.2">
      <c r="AD2481" s="6"/>
      <c r="BJ2481" s="15"/>
    </row>
    <row r="2482" spans="30:62" x14ac:dyDescent="0.2">
      <c r="AD2482" s="6"/>
      <c r="BJ2482" s="15"/>
    </row>
    <row r="2483" spans="30:62" x14ac:dyDescent="0.2">
      <c r="AD2483" s="6"/>
      <c r="BJ2483" s="15"/>
    </row>
    <row r="2484" spans="30:62" x14ac:dyDescent="0.2">
      <c r="AD2484" s="6"/>
      <c r="BJ2484" s="15"/>
    </row>
    <row r="2485" spans="30:62" x14ac:dyDescent="0.2">
      <c r="AD2485" s="6"/>
      <c r="BJ2485" s="15"/>
    </row>
    <row r="2486" spans="30:62" x14ac:dyDescent="0.2">
      <c r="AD2486" s="6"/>
      <c r="BJ2486" s="15"/>
    </row>
    <row r="2487" spans="30:62" x14ac:dyDescent="0.2">
      <c r="AD2487" s="6"/>
      <c r="BJ2487" s="15"/>
    </row>
    <row r="2488" spans="30:62" x14ac:dyDescent="0.2">
      <c r="AD2488" s="6"/>
      <c r="BJ2488" s="15"/>
    </row>
    <row r="2489" spans="30:62" x14ac:dyDescent="0.2">
      <c r="AD2489" s="6"/>
      <c r="BJ2489" s="15"/>
    </row>
    <row r="2490" spans="30:62" x14ac:dyDescent="0.2">
      <c r="AD2490" s="6"/>
      <c r="BJ2490" s="15"/>
    </row>
    <row r="2491" spans="30:62" x14ac:dyDescent="0.2">
      <c r="AD2491" s="6"/>
      <c r="BJ2491" s="15"/>
    </row>
    <row r="2492" spans="30:62" x14ac:dyDescent="0.2">
      <c r="AD2492" s="6"/>
      <c r="BJ2492" s="15"/>
    </row>
    <row r="2493" spans="30:62" x14ac:dyDescent="0.2">
      <c r="AD2493" s="6"/>
      <c r="BJ2493" s="15"/>
    </row>
    <row r="2494" spans="30:62" x14ac:dyDescent="0.2">
      <c r="AD2494" s="6"/>
      <c r="BJ2494" s="15"/>
    </row>
    <row r="2495" spans="30:62" x14ac:dyDescent="0.2">
      <c r="AD2495" s="6"/>
      <c r="BJ2495" s="15"/>
    </row>
    <row r="2496" spans="30:62" x14ac:dyDescent="0.2">
      <c r="AD2496" s="6"/>
      <c r="BJ2496" s="15"/>
    </row>
    <row r="2497" spans="30:62" x14ac:dyDescent="0.2">
      <c r="AD2497" s="6"/>
      <c r="BJ2497" s="15"/>
    </row>
    <row r="2498" spans="30:62" x14ac:dyDescent="0.2">
      <c r="AD2498" s="6"/>
      <c r="BJ2498" s="15"/>
    </row>
    <row r="2499" spans="30:62" x14ac:dyDescent="0.2">
      <c r="AD2499" s="6"/>
      <c r="BJ2499" s="15"/>
    </row>
    <row r="2500" spans="30:62" x14ac:dyDescent="0.2">
      <c r="AD2500" s="6"/>
      <c r="BJ2500" s="15"/>
    </row>
    <row r="2501" spans="30:62" x14ac:dyDescent="0.2">
      <c r="AD2501" s="6"/>
      <c r="BJ2501" s="15"/>
    </row>
    <row r="2502" spans="30:62" x14ac:dyDescent="0.2">
      <c r="AD2502" s="6"/>
      <c r="BJ2502" s="15"/>
    </row>
    <row r="2503" spans="30:62" x14ac:dyDescent="0.2">
      <c r="AD2503" s="6"/>
      <c r="BJ2503" s="15"/>
    </row>
    <row r="2504" spans="30:62" x14ac:dyDescent="0.2">
      <c r="AD2504" s="6"/>
      <c r="BJ2504" s="15"/>
    </row>
    <row r="2505" spans="30:62" x14ac:dyDescent="0.2">
      <c r="AD2505" s="6"/>
      <c r="BJ2505" s="15"/>
    </row>
    <row r="2506" spans="30:62" x14ac:dyDescent="0.2">
      <c r="AD2506" s="6"/>
      <c r="BJ2506" s="15"/>
    </row>
    <row r="2507" spans="30:62" x14ac:dyDescent="0.2">
      <c r="AD2507" s="6"/>
      <c r="BJ2507" s="15"/>
    </row>
    <row r="2508" spans="30:62" x14ac:dyDescent="0.2">
      <c r="AD2508" s="6"/>
      <c r="BJ2508" s="15"/>
    </row>
    <row r="2509" spans="30:62" x14ac:dyDescent="0.2">
      <c r="AD2509" s="6"/>
      <c r="BJ2509" s="15"/>
    </row>
    <row r="2510" spans="30:62" x14ac:dyDescent="0.2">
      <c r="AD2510" s="6"/>
      <c r="BJ2510" s="15"/>
    </row>
    <row r="2511" spans="30:62" x14ac:dyDescent="0.2">
      <c r="AD2511" s="6"/>
      <c r="BJ2511" s="15"/>
    </row>
    <row r="2512" spans="30:62" x14ac:dyDescent="0.2">
      <c r="AD2512" s="6"/>
      <c r="BJ2512" s="15"/>
    </row>
    <row r="2513" spans="30:62" x14ac:dyDescent="0.2">
      <c r="AD2513" s="6"/>
      <c r="BJ2513" s="15"/>
    </row>
    <row r="2514" spans="30:62" x14ac:dyDescent="0.2">
      <c r="AD2514" s="6"/>
      <c r="BJ2514" s="15"/>
    </row>
    <row r="2515" spans="30:62" x14ac:dyDescent="0.2">
      <c r="AD2515" s="6"/>
      <c r="BJ2515" s="15"/>
    </row>
    <row r="2516" spans="30:62" x14ac:dyDescent="0.2">
      <c r="AD2516" s="6"/>
      <c r="BJ2516" s="15"/>
    </row>
    <row r="2517" spans="30:62" x14ac:dyDescent="0.2">
      <c r="AD2517" s="6"/>
      <c r="BJ2517" s="15"/>
    </row>
    <row r="2518" spans="30:62" x14ac:dyDescent="0.2">
      <c r="AD2518" s="6"/>
      <c r="BJ2518" s="15"/>
    </row>
    <row r="2519" spans="30:62" x14ac:dyDescent="0.2">
      <c r="AD2519" s="6"/>
      <c r="BJ2519" s="15"/>
    </row>
    <row r="2520" spans="30:62" x14ac:dyDescent="0.2">
      <c r="AD2520" s="6"/>
      <c r="BJ2520" s="15"/>
    </row>
    <row r="2521" spans="30:62" x14ac:dyDescent="0.2">
      <c r="AD2521" s="6"/>
      <c r="BJ2521" s="15"/>
    </row>
    <row r="2522" spans="30:62" x14ac:dyDescent="0.2">
      <c r="AD2522" s="6"/>
      <c r="BJ2522" s="15"/>
    </row>
    <row r="2523" spans="30:62" x14ac:dyDescent="0.2">
      <c r="AD2523" s="6"/>
      <c r="BJ2523" s="15"/>
    </row>
    <row r="2524" spans="30:62" x14ac:dyDescent="0.2">
      <c r="AD2524" s="6"/>
      <c r="BJ2524" s="15"/>
    </row>
    <row r="2525" spans="30:62" x14ac:dyDescent="0.2">
      <c r="AD2525" s="6"/>
      <c r="BJ2525" s="15"/>
    </row>
    <row r="2526" spans="30:62" x14ac:dyDescent="0.2">
      <c r="AD2526" s="6"/>
      <c r="BJ2526" s="15"/>
    </row>
    <row r="2527" spans="30:62" x14ac:dyDescent="0.2">
      <c r="AD2527" s="6"/>
      <c r="BJ2527" s="15"/>
    </row>
    <row r="2528" spans="30:62" x14ac:dyDescent="0.2">
      <c r="AD2528" s="6"/>
      <c r="BJ2528" s="15"/>
    </row>
    <row r="2529" spans="30:62" x14ac:dyDescent="0.2">
      <c r="AD2529" s="6"/>
      <c r="BJ2529" s="15"/>
    </row>
    <row r="2530" spans="30:62" x14ac:dyDescent="0.2">
      <c r="AD2530" s="6"/>
      <c r="BJ2530" s="15"/>
    </row>
    <row r="2531" spans="30:62" x14ac:dyDescent="0.2">
      <c r="AD2531" s="6"/>
      <c r="BJ2531" s="15"/>
    </row>
    <row r="2532" spans="30:62" x14ac:dyDescent="0.2">
      <c r="AD2532" s="6"/>
      <c r="BJ2532" s="15"/>
    </row>
    <row r="2533" spans="30:62" x14ac:dyDescent="0.2">
      <c r="AD2533" s="6"/>
      <c r="BJ2533" s="15"/>
    </row>
    <row r="2534" spans="30:62" x14ac:dyDescent="0.2">
      <c r="AD2534" s="6"/>
      <c r="BJ2534" s="15"/>
    </row>
    <row r="2535" spans="30:62" x14ac:dyDescent="0.2">
      <c r="AD2535" s="6"/>
      <c r="BJ2535" s="15"/>
    </row>
    <row r="2536" spans="30:62" x14ac:dyDescent="0.2">
      <c r="AD2536" s="6"/>
      <c r="BJ2536" s="15"/>
    </row>
    <row r="2537" spans="30:62" x14ac:dyDescent="0.2">
      <c r="AD2537" s="6"/>
      <c r="BJ2537" s="15"/>
    </row>
    <row r="2538" spans="30:62" x14ac:dyDescent="0.2">
      <c r="AD2538" s="6"/>
      <c r="BJ2538" s="15"/>
    </row>
    <row r="2539" spans="30:62" x14ac:dyDescent="0.2">
      <c r="AD2539" s="6"/>
      <c r="BJ2539" s="15"/>
    </row>
    <row r="2540" spans="30:62" x14ac:dyDescent="0.2">
      <c r="AD2540" s="6"/>
      <c r="BJ2540" s="15"/>
    </row>
    <row r="2541" spans="30:62" x14ac:dyDescent="0.2">
      <c r="AD2541" s="6"/>
      <c r="BJ2541" s="15"/>
    </row>
    <row r="2542" spans="30:62" x14ac:dyDescent="0.2">
      <c r="AD2542" s="6"/>
      <c r="BJ2542" s="15"/>
    </row>
    <row r="2543" spans="30:62" x14ac:dyDescent="0.2">
      <c r="AD2543" s="6"/>
      <c r="BJ2543" s="15"/>
    </row>
    <row r="2544" spans="30:62" x14ac:dyDescent="0.2">
      <c r="AD2544" s="6"/>
      <c r="BJ2544" s="15"/>
    </row>
    <row r="2545" spans="30:62" x14ac:dyDescent="0.2">
      <c r="AD2545" s="6"/>
      <c r="BJ2545" s="15"/>
    </row>
    <row r="2546" spans="30:62" x14ac:dyDescent="0.2">
      <c r="AD2546" s="6"/>
      <c r="BJ2546" s="15"/>
    </row>
    <row r="2547" spans="30:62" x14ac:dyDescent="0.2">
      <c r="AD2547" s="6"/>
      <c r="BJ2547" s="15"/>
    </row>
    <row r="2548" spans="30:62" x14ac:dyDescent="0.2">
      <c r="AD2548" s="6"/>
      <c r="BJ2548" s="15"/>
    </row>
    <row r="2549" spans="30:62" x14ac:dyDescent="0.2">
      <c r="AD2549" s="6"/>
      <c r="BJ2549" s="15"/>
    </row>
    <row r="2550" spans="30:62" x14ac:dyDescent="0.2">
      <c r="AD2550" s="6"/>
      <c r="BJ2550" s="15"/>
    </row>
    <row r="2551" spans="30:62" x14ac:dyDescent="0.2">
      <c r="AD2551" s="6"/>
      <c r="BJ2551" s="15"/>
    </row>
    <row r="2552" spans="30:62" x14ac:dyDescent="0.2">
      <c r="AD2552" s="6"/>
      <c r="BJ2552" s="15"/>
    </row>
    <row r="2553" spans="30:62" x14ac:dyDescent="0.2">
      <c r="AD2553" s="6"/>
      <c r="BJ2553" s="15"/>
    </row>
    <row r="2554" spans="30:62" x14ac:dyDescent="0.2">
      <c r="AD2554" s="6"/>
      <c r="BJ2554" s="15"/>
    </row>
    <row r="2555" spans="30:62" x14ac:dyDescent="0.2">
      <c r="AD2555" s="6"/>
      <c r="BJ2555" s="15"/>
    </row>
    <row r="2556" spans="30:62" x14ac:dyDescent="0.2">
      <c r="AD2556" s="6"/>
      <c r="BJ2556" s="15"/>
    </row>
    <row r="2557" spans="30:62" x14ac:dyDescent="0.2">
      <c r="AD2557" s="6"/>
      <c r="BJ2557" s="15"/>
    </row>
    <row r="2558" spans="30:62" x14ac:dyDescent="0.2">
      <c r="AD2558" s="6"/>
      <c r="BJ2558" s="15"/>
    </row>
    <row r="2559" spans="30:62" x14ac:dyDescent="0.2">
      <c r="AD2559" s="6"/>
      <c r="BJ2559" s="15"/>
    </row>
    <row r="2560" spans="30:62" x14ac:dyDescent="0.2">
      <c r="AD2560" s="6"/>
      <c r="BJ2560" s="15"/>
    </row>
    <row r="2561" spans="30:62" x14ac:dyDescent="0.2">
      <c r="AD2561" s="6"/>
      <c r="BJ2561" s="15"/>
    </row>
    <row r="2562" spans="30:62" x14ac:dyDescent="0.2">
      <c r="AD2562" s="6"/>
      <c r="BJ2562" s="15"/>
    </row>
    <row r="2563" spans="30:62" x14ac:dyDescent="0.2">
      <c r="AD2563" s="6"/>
      <c r="BJ2563" s="15"/>
    </row>
    <row r="2564" spans="30:62" x14ac:dyDescent="0.2">
      <c r="AD2564" s="6"/>
      <c r="BJ2564" s="15"/>
    </row>
    <row r="2565" spans="30:62" x14ac:dyDescent="0.2">
      <c r="AD2565" s="6"/>
      <c r="BJ2565" s="15"/>
    </row>
    <row r="2566" spans="30:62" x14ac:dyDescent="0.2">
      <c r="AD2566" s="6"/>
      <c r="BJ2566" s="15"/>
    </row>
    <row r="2567" spans="30:62" x14ac:dyDescent="0.2">
      <c r="AD2567" s="6"/>
      <c r="BJ2567" s="15"/>
    </row>
    <row r="2568" spans="30:62" x14ac:dyDescent="0.2">
      <c r="AD2568" s="6"/>
      <c r="BJ2568" s="15"/>
    </row>
    <row r="2569" spans="30:62" x14ac:dyDescent="0.2">
      <c r="AD2569" s="6"/>
      <c r="BJ2569" s="15"/>
    </row>
    <row r="2570" spans="30:62" x14ac:dyDescent="0.2">
      <c r="AD2570" s="6"/>
      <c r="BJ2570" s="15"/>
    </row>
    <row r="2571" spans="30:62" x14ac:dyDescent="0.2">
      <c r="AD2571" s="6"/>
      <c r="BJ2571" s="15"/>
    </row>
    <row r="2572" spans="30:62" x14ac:dyDescent="0.2">
      <c r="AD2572" s="6"/>
      <c r="BJ2572" s="15"/>
    </row>
    <row r="2573" spans="30:62" x14ac:dyDescent="0.2">
      <c r="AD2573" s="6"/>
      <c r="BJ2573" s="15"/>
    </row>
    <row r="2574" spans="30:62" x14ac:dyDescent="0.2">
      <c r="AD2574" s="6"/>
      <c r="BJ2574" s="15"/>
    </row>
    <row r="2575" spans="30:62" x14ac:dyDescent="0.2">
      <c r="AD2575" s="6"/>
      <c r="BJ2575" s="15"/>
    </row>
    <row r="2576" spans="30:62" x14ac:dyDescent="0.2">
      <c r="AD2576" s="6"/>
      <c r="BJ2576" s="15"/>
    </row>
    <row r="2577" spans="30:62" x14ac:dyDescent="0.2">
      <c r="AD2577" s="6"/>
      <c r="BJ2577" s="15"/>
    </row>
    <row r="2578" spans="30:62" x14ac:dyDescent="0.2">
      <c r="AD2578" s="6"/>
      <c r="BJ2578" s="15"/>
    </row>
    <row r="2579" spans="30:62" x14ac:dyDescent="0.2">
      <c r="AD2579" s="6"/>
      <c r="BJ2579" s="15"/>
    </row>
    <row r="2580" spans="30:62" x14ac:dyDescent="0.2">
      <c r="AD2580" s="6"/>
      <c r="BJ2580" s="15"/>
    </row>
    <row r="2581" spans="30:62" x14ac:dyDescent="0.2">
      <c r="AD2581" s="6"/>
      <c r="BJ2581" s="15"/>
    </row>
    <row r="2582" spans="30:62" x14ac:dyDescent="0.2">
      <c r="AD2582" s="6"/>
      <c r="BJ2582" s="15"/>
    </row>
    <row r="2583" spans="30:62" x14ac:dyDescent="0.2">
      <c r="AD2583" s="6"/>
      <c r="BJ2583" s="15"/>
    </row>
    <row r="2584" spans="30:62" x14ac:dyDescent="0.2">
      <c r="AD2584" s="6"/>
      <c r="BJ2584" s="15"/>
    </row>
    <row r="2585" spans="30:62" x14ac:dyDescent="0.2">
      <c r="AD2585" s="6"/>
      <c r="BJ2585" s="15"/>
    </row>
    <row r="2586" spans="30:62" x14ac:dyDescent="0.2">
      <c r="AD2586" s="6"/>
      <c r="BJ2586" s="15"/>
    </row>
    <row r="2587" spans="30:62" x14ac:dyDescent="0.2">
      <c r="AD2587" s="6"/>
      <c r="BJ2587" s="15"/>
    </row>
    <row r="2588" spans="30:62" x14ac:dyDescent="0.2">
      <c r="AD2588" s="6"/>
      <c r="BJ2588" s="15"/>
    </row>
    <row r="2589" spans="30:62" x14ac:dyDescent="0.2">
      <c r="AD2589" s="6"/>
      <c r="BJ2589" s="15"/>
    </row>
    <row r="2590" spans="30:62" x14ac:dyDescent="0.2">
      <c r="AD2590" s="6"/>
      <c r="BJ2590" s="15"/>
    </row>
    <row r="2591" spans="30:62" x14ac:dyDescent="0.2">
      <c r="AD2591" s="6"/>
      <c r="BJ2591" s="15"/>
    </row>
    <row r="2592" spans="30:62" x14ac:dyDescent="0.2">
      <c r="AD2592" s="6"/>
      <c r="BJ2592" s="15"/>
    </row>
    <row r="2593" spans="30:62" x14ac:dyDescent="0.2">
      <c r="AD2593" s="6"/>
      <c r="BJ2593" s="15"/>
    </row>
    <row r="2594" spans="30:62" x14ac:dyDescent="0.2">
      <c r="AD2594" s="6"/>
      <c r="BJ2594" s="15"/>
    </row>
    <row r="2595" spans="30:62" x14ac:dyDescent="0.2">
      <c r="AD2595" s="6"/>
      <c r="BJ2595" s="15"/>
    </row>
    <row r="2596" spans="30:62" x14ac:dyDescent="0.2">
      <c r="AD2596" s="6"/>
      <c r="BJ2596" s="15"/>
    </row>
    <row r="2597" spans="30:62" x14ac:dyDescent="0.2">
      <c r="AD2597" s="6"/>
      <c r="BJ2597" s="15"/>
    </row>
    <row r="2598" spans="30:62" x14ac:dyDescent="0.2">
      <c r="AD2598" s="6"/>
      <c r="BJ2598" s="15"/>
    </row>
    <row r="2599" spans="30:62" x14ac:dyDescent="0.2">
      <c r="AD2599" s="6"/>
      <c r="BJ2599" s="15"/>
    </row>
    <row r="2600" spans="30:62" x14ac:dyDescent="0.2">
      <c r="AD2600" s="6"/>
      <c r="BJ2600" s="15"/>
    </row>
    <row r="2601" spans="30:62" x14ac:dyDescent="0.2">
      <c r="AD2601" s="6"/>
      <c r="BJ2601" s="15"/>
    </row>
    <row r="2602" spans="30:62" x14ac:dyDescent="0.2">
      <c r="AD2602" s="6"/>
      <c r="BJ2602" s="15"/>
    </row>
    <row r="2603" spans="30:62" x14ac:dyDescent="0.2">
      <c r="AD2603" s="6"/>
      <c r="BJ2603" s="15"/>
    </row>
    <row r="2604" spans="30:62" x14ac:dyDescent="0.2">
      <c r="AD2604" s="6"/>
      <c r="BJ2604" s="15"/>
    </row>
    <row r="2605" spans="30:62" x14ac:dyDescent="0.2">
      <c r="AD2605" s="6"/>
      <c r="BJ2605" s="15"/>
    </row>
    <row r="2606" spans="30:62" x14ac:dyDescent="0.2">
      <c r="AD2606" s="6"/>
      <c r="BJ2606" s="15"/>
    </row>
    <row r="2607" spans="30:62" x14ac:dyDescent="0.2">
      <c r="AD2607" s="6"/>
      <c r="BJ2607" s="15"/>
    </row>
    <row r="2608" spans="30:62" x14ac:dyDescent="0.2">
      <c r="AD2608" s="6"/>
      <c r="BJ2608" s="15"/>
    </row>
    <row r="2609" spans="30:62" x14ac:dyDescent="0.2">
      <c r="AD2609" s="6"/>
      <c r="BJ2609" s="15"/>
    </row>
    <row r="2610" spans="30:62" x14ac:dyDescent="0.2">
      <c r="AD2610" s="6"/>
      <c r="BJ2610" s="15"/>
    </row>
    <row r="2611" spans="30:62" x14ac:dyDescent="0.2">
      <c r="AD2611" s="6"/>
      <c r="BJ2611" s="15"/>
    </row>
    <row r="2612" spans="30:62" x14ac:dyDescent="0.2">
      <c r="AD2612" s="6"/>
      <c r="BJ2612" s="15"/>
    </row>
    <row r="2613" spans="30:62" x14ac:dyDescent="0.2">
      <c r="AD2613" s="6"/>
      <c r="BJ2613" s="15"/>
    </row>
    <row r="2614" spans="30:62" x14ac:dyDescent="0.2">
      <c r="AD2614" s="6"/>
      <c r="BJ2614" s="15"/>
    </row>
    <row r="2615" spans="30:62" x14ac:dyDescent="0.2">
      <c r="AD2615" s="6"/>
      <c r="BJ2615" s="15"/>
    </row>
    <row r="2616" spans="30:62" x14ac:dyDescent="0.2">
      <c r="AD2616" s="6"/>
      <c r="BJ2616" s="15"/>
    </row>
    <row r="2617" spans="30:62" x14ac:dyDescent="0.2">
      <c r="AD2617" s="6"/>
      <c r="BJ2617" s="15"/>
    </row>
    <row r="2618" spans="30:62" x14ac:dyDescent="0.2">
      <c r="AD2618" s="6"/>
      <c r="BJ2618" s="15"/>
    </row>
    <row r="2619" spans="30:62" x14ac:dyDescent="0.2">
      <c r="AD2619" s="6"/>
      <c r="BJ2619" s="15"/>
    </row>
    <row r="2620" spans="30:62" x14ac:dyDescent="0.2">
      <c r="AD2620" s="6"/>
      <c r="BJ2620" s="15"/>
    </row>
    <row r="2621" spans="30:62" x14ac:dyDescent="0.2">
      <c r="AD2621" s="6"/>
      <c r="BJ2621" s="15"/>
    </row>
    <row r="2622" spans="30:62" x14ac:dyDescent="0.2">
      <c r="AD2622" s="6"/>
      <c r="BJ2622" s="15"/>
    </row>
    <row r="2623" spans="30:62" x14ac:dyDescent="0.2">
      <c r="AD2623" s="6"/>
      <c r="BJ2623" s="15"/>
    </row>
    <row r="2624" spans="30:62" x14ac:dyDescent="0.2">
      <c r="AD2624" s="6"/>
      <c r="BJ2624" s="15"/>
    </row>
    <row r="2625" spans="30:62" x14ac:dyDescent="0.2">
      <c r="AD2625" s="6"/>
      <c r="BJ2625" s="15"/>
    </row>
    <row r="2626" spans="30:62" x14ac:dyDescent="0.2">
      <c r="AD2626" s="6"/>
      <c r="BJ2626" s="15"/>
    </row>
    <row r="2627" spans="30:62" x14ac:dyDescent="0.2">
      <c r="AD2627" s="6"/>
      <c r="BJ2627" s="15"/>
    </row>
    <row r="2628" spans="30:62" x14ac:dyDescent="0.2">
      <c r="AD2628" s="6"/>
      <c r="BJ2628" s="15"/>
    </row>
    <row r="2629" spans="30:62" x14ac:dyDescent="0.2">
      <c r="AD2629" s="6"/>
      <c r="BJ2629" s="15"/>
    </row>
    <row r="2630" spans="30:62" x14ac:dyDescent="0.2">
      <c r="AD2630" s="6"/>
      <c r="BJ2630" s="15"/>
    </row>
    <row r="2631" spans="30:62" x14ac:dyDescent="0.2">
      <c r="AD2631" s="6"/>
      <c r="BJ2631" s="15"/>
    </row>
    <row r="2632" spans="30:62" x14ac:dyDescent="0.2">
      <c r="AD2632" s="6"/>
      <c r="BJ2632" s="15"/>
    </row>
    <row r="2633" spans="30:62" x14ac:dyDescent="0.2">
      <c r="AD2633" s="6"/>
      <c r="BJ2633" s="15"/>
    </row>
    <row r="2634" spans="30:62" x14ac:dyDescent="0.2">
      <c r="AD2634" s="6"/>
      <c r="BJ2634" s="15"/>
    </row>
    <row r="2635" spans="30:62" x14ac:dyDescent="0.2">
      <c r="AD2635" s="6"/>
      <c r="BJ2635" s="15"/>
    </row>
    <row r="2636" spans="30:62" x14ac:dyDescent="0.2">
      <c r="AD2636" s="6"/>
      <c r="BJ2636" s="15"/>
    </row>
    <row r="2637" spans="30:62" x14ac:dyDescent="0.2">
      <c r="AD2637" s="6"/>
      <c r="BJ2637" s="15"/>
    </row>
    <row r="2638" spans="30:62" x14ac:dyDescent="0.2">
      <c r="AD2638" s="6"/>
      <c r="BJ2638" s="15"/>
    </row>
    <row r="2639" spans="30:62" x14ac:dyDescent="0.2">
      <c r="AD2639" s="6"/>
      <c r="BJ2639" s="15"/>
    </row>
    <row r="2640" spans="30:62" x14ac:dyDescent="0.2">
      <c r="AD2640" s="6"/>
      <c r="BJ2640" s="15"/>
    </row>
    <row r="2641" spans="30:62" x14ac:dyDescent="0.2">
      <c r="AD2641" s="6"/>
      <c r="BJ2641" s="15"/>
    </row>
    <row r="2642" spans="30:62" x14ac:dyDescent="0.2">
      <c r="AD2642" s="6"/>
      <c r="BJ2642" s="15"/>
    </row>
    <row r="2643" spans="30:62" x14ac:dyDescent="0.2">
      <c r="AD2643" s="6"/>
      <c r="BJ2643" s="15"/>
    </row>
    <row r="2644" spans="30:62" x14ac:dyDescent="0.2">
      <c r="AD2644" s="6"/>
      <c r="BJ2644" s="15"/>
    </row>
    <row r="2645" spans="30:62" x14ac:dyDescent="0.2">
      <c r="AD2645" s="6"/>
      <c r="BJ2645" s="15"/>
    </row>
    <row r="2646" spans="30:62" x14ac:dyDescent="0.2">
      <c r="AD2646" s="6"/>
      <c r="BJ2646" s="15"/>
    </row>
    <row r="2647" spans="30:62" x14ac:dyDescent="0.2">
      <c r="AD2647" s="6"/>
      <c r="BJ2647" s="15"/>
    </row>
    <row r="2648" spans="30:62" x14ac:dyDescent="0.2">
      <c r="AD2648" s="6"/>
      <c r="BJ2648" s="15"/>
    </row>
    <row r="2649" spans="30:62" x14ac:dyDescent="0.2">
      <c r="AD2649" s="6"/>
      <c r="BJ2649" s="15"/>
    </row>
    <row r="2650" spans="30:62" x14ac:dyDescent="0.2">
      <c r="AD2650" s="6"/>
      <c r="BJ2650" s="15"/>
    </row>
    <row r="2651" spans="30:62" x14ac:dyDescent="0.2">
      <c r="AD2651" s="6"/>
      <c r="BJ2651" s="15"/>
    </row>
    <row r="2652" spans="30:62" x14ac:dyDescent="0.2">
      <c r="AD2652" s="6"/>
      <c r="BJ2652" s="15"/>
    </row>
    <row r="2653" spans="30:62" x14ac:dyDescent="0.2">
      <c r="AD2653" s="6"/>
      <c r="BJ2653" s="15"/>
    </row>
    <row r="2654" spans="30:62" x14ac:dyDescent="0.2">
      <c r="AD2654" s="6"/>
      <c r="BJ2654" s="15"/>
    </row>
    <row r="2655" spans="30:62" x14ac:dyDescent="0.2">
      <c r="AD2655" s="6"/>
      <c r="BJ2655" s="15"/>
    </row>
    <row r="2656" spans="30:62" x14ac:dyDescent="0.2">
      <c r="AD2656" s="6"/>
      <c r="BJ2656" s="15"/>
    </row>
    <row r="2657" spans="30:62" x14ac:dyDescent="0.2">
      <c r="AD2657" s="6"/>
      <c r="BJ2657" s="15"/>
    </row>
    <row r="2658" spans="30:62" x14ac:dyDescent="0.2">
      <c r="AD2658" s="6"/>
      <c r="BJ2658" s="15"/>
    </row>
    <row r="2659" spans="30:62" x14ac:dyDescent="0.2">
      <c r="AD2659" s="6"/>
      <c r="BJ2659" s="15"/>
    </row>
    <row r="2660" spans="30:62" x14ac:dyDescent="0.2">
      <c r="AD2660" s="6"/>
      <c r="BJ2660" s="15"/>
    </row>
    <row r="2661" spans="30:62" x14ac:dyDescent="0.2">
      <c r="AD2661" s="6"/>
      <c r="BJ2661" s="15"/>
    </row>
    <row r="2662" spans="30:62" x14ac:dyDescent="0.2">
      <c r="AD2662" s="6"/>
      <c r="BJ2662" s="15"/>
    </row>
    <row r="2663" spans="30:62" x14ac:dyDescent="0.2">
      <c r="AD2663" s="6"/>
      <c r="BJ2663" s="15"/>
    </row>
    <row r="2664" spans="30:62" x14ac:dyDescent="0.2">
      <c r="AD2664" s="6"/>
      <c r="BJ2664" s="15"/>
    </row>
    <row r="2665" spans="30:62" x14ac:dyDescent="0.2">
      <c r="AD2665" s="6"/>
      <c r="BJ2665" s="15"/>
    </row>
    <row r="2666" spans="30:62" x14ac:dyDescent="0.2">
      <c r="AD2666" s="6"/>
      <c r="BJ2666" s="15"/>
    </row>
    <row r="2667" spans="30:62" x14ac:dyDescent="0.2">
      <c r="AD2667" s="6"/>
      <c r="BJ2667" s="15"/>
    </row>
    <row r="2668" spans="30:62" x14ac:dyDescent="0.2">
      <c r="AD2668" s="6"/>
      <c r="BJ2668" s="15"/>
    </row>
    <row r="2669" spans="30:62" x14ac:dyDescent="0.2">
      <c r="AD2669" s="6"/>
      <c r="BJ2669" s="15"/>
    </row>
    <row r="2670" spans="30:62" x14ac:dyDescent="0.2">
      <c r="AD2670" s="6"/>
      <c r="BJ2670" s="15"/>
    </row>
    <row r="2671" spans="30:62" x14ac:dyDescent="0.2">
      <c r="AD2671" s="6"/>
      <c r="BJ2671" s="15"/>
    </row>
    <row r="2672" spans="30:62" x14ac:dyDescent="0.2">
      <c r="AD2672" s="6"/>
      <c r="BJ2672" s="15"/>
    </row>
    <row r="2673" spans="30:62" x14ac:dyDescent="0.2">
      <c r="AD2673" s="6"/>
      <c r="BJ2673" s="15"/>
    </row>
    <row r="2674" spans="30:62" x14ac:dyDescent="0.2">
      <c r="AD2674" s="6"/>
      <c r="BJ2674" s="15"/>
    </row>
    <row r="2675" spans="30:62" x14ac:dyDescent="0.2">
      <c r="AD2675" s="6"/>
      <c r="BJ2675" s="15"/>
    </row>
    <row r="2676" spans="30:62" x14ac:dyDescent="0.2">
      <c r="AD2676" s="6"/>
      <c r="BJ2676" s="15"/>
    </row>
    <row r="2677" spans="30:62" x14ac:dyDescent="0.2">
      <c r="AD2677" s="6"/>
      <c r="BJ2677" s="15"/>
    </row>
    <row r="2678" spans="30:62" x14ac:dyDescent="0.2">
      <c r="AD2678" s="6"/>
      <c r="BJ2678" s="15"/>
    </row>
    <row r="2679" spans="30:62" x14ac:dyDescent="0.2">
      <c r="AD2679" s="6"/>
      <c r="BJ2679" s="15"/>
    </row>
    <row r="2680" spans="30:62" x14ac:dyDescent="0.2">
      <c r="AD2680" s="6"/>
      <c r="BJ2680" s="15"/>
    </row>
    <row r="2681" spans="30:62" x14ac:dyDescent="0.2">
      <c r="AD2681" s="6"/>
      <c r="BJ2681" s="15"/>
    </row>
    <row r="2682" spans="30:62" x14ac:dyDescent="0.2">
      <c r="AD2682" s="6"/>
      <c r="BJ2682" s="15"/>
    </row>
    <row r="2683" spans="30:62" x14ac:dyDescent="0.2">
      <c r="AD2683" s="6"/>
      <c r="BJ2683" s="15"/>
    </row>
    <row r="2684" spans="30:62" x14ac:dyDescent="0.2">
      <c r="AD2684" s="6"/>
      <c r="BJ2684" s="15"/>
    </row>
    <row r="2685" spans="30:62" x14ac:dyDescent="0.2">
      <c r="AD2685" s="6"/>
      <c r="BJ2685" s="15"/>
    </row>
    <row r="2686" spans="30:62" x14ac:dyDescent="0.2">
      <c r="AD2686" s="6"/>
      <c r="BJ2686" s="15"/>
    </row>
    <row r="2687" spans="30:62" x14ac:dyDescent="0.2">
      <c r="AD2687" s="6"/>
      <c r="BJ2687" s="15"/>
    </row>
    <row r="2688" spans="30:62" x14ac:dyDescent="0.2">
      <c r="AD2688" s="6"/>
      <c r="BJ2688" s="15"/>
    </row>
    <row r="2689" spans="30:62" x14ac:dyDescent="0.2">
      <c r="AD2689" s="6"/>
      <c r="BJ2689" s="15"/>
    </row>
    <row r="2690" spans="30:62" x14ac:dyDescent="0.2">
      <c r="AD2690" s="6"/>
      <c r="BJ2690" s="15"/>
    </row>
    <row r="2691" spans="30:62" x14ac:dyDescent="0.2">
      <c r="AD2691" s="6"/>
      <c r="BJ2691" s="15"/>
    </row>
    <row r="2692" spans="30:62" x14ac:dyDescent="0.2">
      <c r="AD2692" s="6"/>
      <c r="BJ2692" s="15"/>
    </row>
    <row r="2693" spans="30:62" x14ac:dyDescent="0.2">
      <c r="AD2693" s="6"/>
      <c r="BJ2693" s="15"/>
    </row>
    <row r="2694" spans="30:62" x14ac:dyDescent="0.2">
      <c r="AD2694" s="6"/>
      <c r="BJ2694" s="15"/>
    </row>
    <row r="2695" spans="30:62" x14ac:dyDescent="0.2">
      <c r="AD2695" s="6"/>
      <c r="BJ2695" s="15"/>
    </row>
    <row r="2696" spans="30:62" x14ac:dyDescent="0.2">
      <c r="AD2696" s="6"/>
      <c r="BJ2696" s="15"/>
    </row>
    <row r="2697" spans="30:62" x14ac:dyDescent="0.2">
      <c r="AD2697" s="6"/>
      <c r="BJ2697" s="15"/>
    </row>
    <row r="2698" spans="30:62" x14ac:dyDescent="0.2">
      <c r="AD2698" s="6"/>
      <c r="BJ2698" s="15"/>
    </row>
    <row r="2699" spans="30:62" x14ac:dyDescent="0.2">
      <c r="AD2699" s="6"/>
      <c r="BJ2699" s="15"/>
    </row>
    <row r="2700" spans="30:62" x14ac:dyDescent="0.2">
      <c r="AD2700" s="6"/>
      <c r="BJ2700" s="15"/>
    </row>
    <row r="2701" spans="30:62" x14ac:dyDescent="0.2">
      <c r="AD2701" s="6"/>
      <c r="BJ2701" s="15"/>
    </row>
    <row r="2702" spans="30:62" x14ac:dyDescent="0.2">
      <c r="AD2702" s="6"/>
      <c r="BJ2702" s="15"/>
    </row>
    <row r="2703" spans="30:62" x14ac:dyDescent="0.2">
      <c r="AD2703" s="6"/>
      <c r="BJ2703" s="15"/>
    </row>
    <row r="2704" spans="30:62" x14ac:dyDescent="0.2">
      <c r="AD2704" s="6"/>
      <c r="BJ2704" s="15"/>
    </row>
    <row r="2705" spans="30:62" x14ac:dyDescent="0.2">
      <c r="AD2705" s="6"/>
      <c r="BJ2705" s="15"/>
    </row>
    <row r="2706" spans="30:62" x14ac:dyDescent="0.2">
      <c r="AD2706" s="6"/>
      <c r="BJ2706" s="15"/>
    </row>
    <row r="2707" spans="30:62" x14ac:dyDescent="0.2">
      <c r="AD2707" s="6"/>
      <c r="BJ2707" s="15"/>
    </row>
    <row r="2708" spans="30:62" x14ac:dyDescent="0.2">
      <c r="AD2708" s="6"/>
      <c r="BJ2708" s="15"/>
    </row>
    <row r="2709" spans="30:62" x14ac:dyDescent="0.2">
      <c r="AD2709" s="6"/>
      <c r="BJ2709" s="15"/>
    </row>
    <row r="2710" spans="30:62" x14ac:dyDescent="0.2">
      <c r="AD2710" s="6"/>
      <c r="BJ2710" s="15"/>
    </row>
    <row r="2711" spans="30:62" x14ac:dyDescent="0.2">
      <c r="AD2711" s="6"/>
      <c r="BJ2711" s="15"/>
    </row>
    <row r="2712" spans="30:62" x14ac:dyDescent="0.2">
      <c r="AD2712" s="6"/>
      <c r="BJ2712" s="15"/>
    </row>
    <row r="2713" spans="30:62" x14ac:dyDescent="0.2">
      <c r="AD2713" s="6"/>
      <c r="BJ2713" s="15"/>
    </row>
    <row r="2714" spans="30:62" x14ac:dyDescent="0.2">
      <c r="AD2714" s="6"/>
      <c r="BJ2714" s="15"/>
    </row>
    <row r="2715" spans="30:62" x14ac:dyDescent="0.2">
      <c r="AD2715" s="6"/>
      <c r="BJ2715" s="15"/>
    </row>
    <row r="2716" spans="30:62" x14ac:dyDescent="0.2">
      <c r="AD2716" s="6"/>
      <c r="BJ2716" s="15"/>
    </row>
    <row r="2717" spans="30:62" x14ac:dyDescent="0.2">
      <c r="AD2717" s="6"/>
      <c r="BJ2717" s="15"/>
    </row>
    <row r="2718" spans="30:62" x14ac:dyDescent="0.2">
      <c r="AD2718" s="6"/>
      <c r="BJ2718" s="15"/>
    </row>
    <row r="2719" spans="30:62" x14ac:dyDescent="0.2">
      <c r="AD2719" s="6"/>
      <c r="BJ2719" s="15"/>
    </row>
    <row r="2720" spans="30:62" x14ac:dyDescent="0.2">
      <c r="AD2720" s="6"/>
      <c r="BJ2720" s="15"/>
    </row>
    <row r="2721" spans="30:62" x14ac:dyDescent="0.2">
      <c r="AD2721" s="6"/>
      <c r="BJ2721" s="15"/>
    </row>
    <row r="2722" spans="30:62" x14ac:dyDescent="0.2">
      <c r="AD2722" s="6"/>
      <c r="BJ2722" s="15"/>
    </row>
    <row r="2723" spans="30:62" x14ac:dyDescent="0.2">
      <c r="AD2723" s="6"/>
      <c r="BJ2723" s="15"/>
    </row>
    <row r="2724" spans="30:62" x14ac:dyDescent="0.2">
      <c r="AD2724" s="6"/>
      <c r="BJ2724" s="15"/>
    </row>
    <row r="2725" spans="30:62" x14ac:dyDescent="0.2">
      <c r="AD2725" s="6"/>
      <c r="BJ2725" s="15"/>
    </row>
    <row r="2726" spans="30:62" x14ac:dyDescent="0.2">
      <c r="AD2726" s="6"/>
      <c r="BJ2726" s="15"/>
    </row>
    <row r="2727" spans="30:62" x14ac:dyDescent="0.2">
      <c r="AD2727" s="6"/>
      <c r="BJ2727" s="15"/>
    </row>
    <row r="2728" spans="30:62" x14ac:dyDescent="0.2">
      <c r="AD2728" s="6"/>
      <c r="BJ2728" s="15"/>
    </row>
    <row r="2729" spans="30:62" x14ac:dyDescent="0.2">
      <c r="AD2729" s="6"/>
      <c r="BJ2729" s="15"/>
    </row>
    <row r="2730" spans="30:62" x14ac:dyDescent="0.2">
      <c r="AD2730" s="6"/>
      <c r="BJ2730" s="15"/>
    </row>
    <row r="2731" spans="30:62" x14ac:dyDescent="0.2">
      <c r="AD2731" s="6"/>
      <c r="BJ2731" s="15"/>
    </row>
    <row r="2732" spans="30:62" x14ac:dyDescent="0.2">
      <c r="AD2732" s="6"/>
      <c r="BJ2732" s="15"/>
    </row>
    <row r="2733" spans="30:62" x14ac:dyDescent="0.2">
      <c r="AD2733" s="6"/>
      <c r="BJ2733" s="15"/>
    </row>
    <row r="2734" spans="30:62" x14ac:dyDescent="0.2">
      <c r="AD2734" s="6"/>
      <c r="BJ2734" s="15"/>
    </row>
    <row r="2735" spans="30:62" x14ac:dyDescent="0.2">
      <c r="AD2735" s="6"/>
      <c r="BJ2735" s="15"/>
    </row>
    <row r="2736" spans="30:62" x14ac:dyDescent="0.2">
      <c r="AD2736" s="6"/>
      <c r="BJ2736" s="15"/>
    </row>
    <row r="2737" spans="30:62" x14ac:dyDescent="0.2">
      <c r="AD2737" s="6"/>
      <c r="BJ2737" s="15"/>
    </row>
    <row r="2738" spans="30:62" x14ac:dyDescent="0.2">
      <c r="AD2738" s="6"/>
      <c r="BJ2738" s="15"/>
    </row>
    <row r="2739" spans="30:62" x14ac:dyDescent="0.2">
      <c r="AD2739" s="6"/>
      <c r="BJ2739" s="15"/>
    </row>
    <row r="2740" spans="30:62" x14ac:dyDescent="0.2">
      <c r="AD2740" s="6"/>
      <c r="BJ2740" s="15"/>
    </row>
    <row r="2741" spans="30:62" x14ac:dyDescent="0.2">
      <c r="AD2741" s="6"/>
      <c r="BJ2741" s="15"/>
    </row>
    <row r="2742" spans="30:62" x14ac:dyDescent="0.2">
      <c r="AD2742" s="6"/>
      <c r="BJ2742" s="15"/>
    </row>
    <row r="2743" spans="30:62" x14ac:dyDescent="0.2">
      <c r="AD2743" s="6"/>
      <c r="BJ2743" s="15"/>
    </row>
    <row r="2744" spans="30:62" x14ac:dyDescent="0.2">
      <c r="AD2744" s="6"/>
      <c r="BJ2744" s="15"/>
    </row>
    <row r="2745" spans="30:62" x14ac:dyDescent="0.2">
      <c r="AD2745" s="6"/>
      <c r="BJ2745" s="15"/>
    </row>
    <row r="2746" spans="30:62" x14ac:dyDescent="0.2">
      <c r="AD2746" s="6"/>
      <c r="BJ2746" s="15"/>
    </row>
    <row r="2747" spans="30:62" x14ac:dyDescent="0.2">
      <c r="AD2747" s="6"/>
      <c r="BJ2747" s="15"/>
    </row>
    <row r="2748" spans="30:62" x14ac:dyDescent="0.2">
      <c r="AD2748" s="6"/>
      <c r="BJ2748" s="15"/>
    </row>
    <row r="2749" spans="30:62" x14ac:dyDescent="0.2">
      <c r="AD2749" s="6"/>
      <c r="BJ2749" s="15"/>
    </row>
    <row r="2750" spans="30:62" x14ac:dyDescent="0.2">
      <c r="AD2750" s="6"/>
      <c r="BJ2750" s="15"/>
    </row>
    <row r="2751" spans="30:62" x14ac:dyDescent="0.2">
      <c r="AD2751" s="6"/>
      <c r="BJ2751" s="15"/>
    </row>
    <row r="2752" spans="30:62" x14ac:dyDescent="0.2">
      <c r="AD2752" s="6"/>
      <c r="BJ2752" s="15"/>
    </row>
    <row r="2753" spans="30:62" x14ac:dyDescent="0.2">
      <c r="AD2753" s="6"/>
      <c r="BJ2753" s="15"/>
    </row>
    <row r="2754" spans="30:62" x14ac:dyDescent="0.2">
      <c r="AD2754" s="6"/>
      <c r="BJ2754" s="15"/>
    </row>
    <row r="2755" spans="30:62" x14ac:dyDescent="0.2">
      <c r="AD2755" s="6"/>
      <c r="BJ2755" s="15"/>
    </row>
    <row r="2756" spans="30:62" x14ac:dyDescent="0.2">
      <c r="AD2756" s="6"/>
      <c r="BJ2756" s="15"/>
    </row>
    <row r="2757" spans="30:62" x14ac:dyDescent="0.2">
      <c r="AD2757" s="6"/>
      <c r="BJ2757" s="15"/>
    </row>
    <row r="2758" spans="30:62" x14ac:dyDescent="0.2">
      <c r="AD2758" s="6"/>
      <c r="BJ2758" s="15"/>
    </row>
    <row r="2759" spans="30:62" x14ac:dyDescent="0.2">
      <c r="AD2759" s="6"/>
      <c r="BJ2759" s="15"/>
    </row>
    <row r="2760" spans="30:62" x14ac:dyDescent="0.2">
      <c r="AD2760" s="6"/>
      <c r="BJ2760" s="15"/>
    </row>
    <row r="2761" spans="30:62" x14ac:dyDescent="0.2">
      <c r="AD2761" s="6"/>
      <c r="BJ2761" s="15"/>
    </row>
    <row r="2762" spans="30:62" x14ac:dyDescent="0.2">
      <c r="AD2762" s="6"/>
      <c r="BJ2762" s="15"/>
    </row>
    <row r="2763" spans="30:62" x14ac:dyDescent="0.2">
      <c r="AD2763" s="6"/>
      <c r="BJ2763" s="15"/>
    </row>
    <row r="2764" spans="30:62" x14ac:dyDescent="0.2">
      <c r="AD2764" s="6"/>
      <c r="BJ2764" s="15"/>
    </row>
    <row r="2765" spans="30:62" x14ac:dyDescent="0.2">
      <c r="AD2765" s="6"/>
      <c r="BJ2765" s="15"/>
    </row>
    <row r="2766" spans="30:62" x14ac:dyDescent="0.2">
      <c r="AD2766" s="6"/>
      <c r="BJ2766" s="15"/>
    </row>
    <row r="2767" spans="30:62" x14ac:dyDescent="0.2">
      <c r="AD2767" s="6"/>
      <c r="BJ2767" s="15"/>
    </row>
    <row r="2768" spans="30:62" x14ac:dyDescent="0.2">
      <c r="AD2768" s="6"/>
      <c r="BJ2768" s="15"/>
    </row>
    <row r="2769" spans="30:62" x14ac:dyDescent="0.2">
      <c r="AD2769" s="6"/>
      <c r="BJ2769" s="15"/>
    </row>
    <row r="2770" spans="30:62" x14ac:dyDescent="0.2">
      <c r="AD2770" s="6"/>
      <c r="BJ2770" s="15"/>
    </row>
    <row r="2771" spans="30:62" x14ac:dyDescent="0.2">
      <c r="AD2771" s="6"/>
      <c r="BJ2771" s="15"/>
    </row>
    <row r="2772" spans="30:62" x14ac:dyDescent="0.2">
      <c r="AD2772" s="6"/>
      <c r="BJ2772" s="15"/>
    </row>
    <row r="2773" spans="30:62" x14ac:dyDescent="0.2">
      <c r="AD2773" s="6"/>
      <c r="BJ2773" s="15"/>
    </row>
    <row r="2774" spans="30:62" x14ac:dyDescent="0.2">
      <c r="AD2774" s="6"/>
      <c r="BJ2774" s="15"/>
    </row>
    <row r="2775" spans="30:62" x14ac:dyDescent="0.2">
      <c r="AD2775" s="6"/>
      <c r="BJ2775" s="15"/>
    </row>
    <row r="2776" spans="30:62" x14ac:dyDescent="0.2">
      <c r="AD2776" s="6"/>
      <c r="BJ2776" s="15"/>
    </row>
    <row r="2777" spans="30:62" x14ac:dyDescent="0.2">
      <c r="AD2777" s="6"/>
      <c r="BJ2777" s="15"/>
    </row>
    <row r="2778" spans="30:62" x14ac:dyDescent="0.2">
      <c r="AD2778" s="6"/>
      <c r="BJ2778" s="15"/>
    </row>
    <row r="2779" spans="30:62" x14ac:dyDescent="0.2">
      <c r="AD2779" s="6"/>
      <c r="BJ2779" s="15"/>
    </row>
    <row r="2780" spans="30:62" x14ac:dyDescent="0.2">
      <c r="AD2780" s="6"/>
      <c r="BJ2780" s="15"/>
    </row>
    <row r="2781" spans="30:62" x14ac:dyDescent="0.2">
      <c r="AD2781" s="6"/>
      <c r="BJ2781" s="15"/>
    </row>
    <row r="2782" spans="30:62" x14ac:dyDescent="0.2">
      <c r="AD2782" s="6"/>
      <c r="BJ2782" s="15"/>
    </row>
    <row r="2783" spans="30:62" x14ac:dyDescent="0.2">
      <c r="AD2783" s="6"/>
      <c r="BJ2783" s="15"/>
    </row>
    <row r="2784" spans="30:62" x14ac:dyDescent="0.2">
      <c r="AD2784" s="6"/>
      <c r="BJ2784" s="15"/>
    </row>
    <row r="2785" spans="30:62" x14ac:dyDescent="0.2">
      <c r="AD2785" s="6"/>
      <c r="BJ2785" s="15"/>
    </row>
    <row r="2786" spans="30:62" x14ac:dyDescent="0.2">
      <c r="AD2786" s="6"/>
      <c r="BJ2786" s="15"/>
    </row>
    <row r="2787" spans="30:62" x14ac:dyDescent="0.2">
      <c r="AD2787" s="6"/>
      <c r="BJ2787" s="15"/>
    </row>
    <row r="2788" spans="30:62" x14ac:dyDescent="0.2">
      <c r="AD2788" s="6"/>
      <c r="BJ2788" s="15"/>
    </row>
    <row r="2789" spans="30:62" x14ac:dyDescent="0.2">
      <c r="AD2789" s="6"/>
      <c r="BJ2789" s="15"/>
    </row>
    <row r="2790" spans="30:62" x14ac:dyDescent="0.2">
      <c r="AD2790" s="6"/>
      <c r="BJ2790" s="15"/>
    </row>
    <row r="2791" spans="30:62" x14ac:dyDescent="0.2">
      <c r="AD2791" s="6"/>
      <c r="BJ2791" s="15"/>
    </row>
    <row r="2792" spans="30:62" x14ac:dyDescent="0.2">
      <c r="AD2792" s="6"/>
      <c r="BJ2792" s="15"/>
    </row>
    <row r="2793" spans="30:62" x14ac:dyDescent="0.2">
      <c r="AD2793" s="6"/>
      <c r="BJ2793" s="15"/>
    </row>
    <row r="2794" spans="30:62" x14ac:dyDescent="0.2">
      <c r="AD2794" s="6"/>
      <c r="BJ2794" s="15"/>
    </row>
    <row r="2795" spans="30:62" x14ac:dyDescent="0.2">
      <c r="AD2795" s="6"/>
      <c r="BJ2795" s="15"/>
    </row>
    <row r="2796" spans="30:62" x14ac:dyDescent="0.2">
      <c r="AD2796" s="6"/>
      <c r="BJ2796" s="15"/>
    </row>
    <row r="2797" spans="30:62" x14ac:dyDescent="0.2">
      <c r="AD2797" s="6"/>
      <c r="BJ2797" s="15"/>
    </row>
    <row r="2798" spans="30:62" x14ac:dyDescent="0.2">
      <c r="AD2798" s="6"/>
      <c r="BJ2798" s="15"/>
    </row>
    <row r="2799" spans="30:62" x14ac:dyDescent="0.2">
      <c r="AD2799" s="6"/>
      <c r="BJ2799" s="15"/>
    </row>
    <row r="2800" spans="30:62" x14ac:dyDescent="0.2">
      <c r="AD2800" s="6"/>
      <c r="BJ2800" s="15"/>
    </row>
    <row r="2801" spans="30:62" x14ac:dyDescent="0.2">
      <c r="AD2801" s="6"/>
      <c r="BJ2801" s="15"/>
    </row>
    <row r="2802" spans="30:62" x14ac:dyDescent="0.2">
      <c r="AD2802" s="6"/>
      <c r="BJ2802" s="15"/>
    </row>
    <row r="2803" spans="30:62" x14ac:dyDescent="0.2">
      <c r="AD2803" s="6"/>
      <c r="BJ2803" s="15"/>
    </row>
    <row r="2804" spans="30:62" x14ac:dyDescent="0.2">
      <c r="AD2804" s="6"/>
      <c r="BJ2804" s="15"/>
    </row>
    <row r="2805" spans="30:62" x14ac:dyDescent="0.2">
      <c r="AD2805" s="6"/>
      <c r="BJ2805" s="15"/>
    </row>
    <row r="2806" spans="30:62" x14ac:dyDescent="0.2">
      <c r="AD2806" s="6"/>
      <c r="BJ2806" s="15"/>
    </row>
    <row r="2807" spans="30:62" x14ac:dyDescent="0.2">
      <c r="AD2807" s="6"/>
      <c r="BJ2807" s="15"/>
    </row>
    <row r="2808" spans="30:62" x14ac:dyDescent="0.2">
      <c r="AD2808" s="6"/>
      <c r="BJ2808" s="15"/>
    </row>
    <row r="2809" spans="30:62" x14ac:dyDescent="0.2">
      <c r="AD2809" s="6"/>
      <c r="BJ2809" s="15"/>
    </row>
    <row r="2810" spans="30:62" x14ac:dyDescent="0.2">
      <c r="AD2810" s="6"/>
      <c r="BJ2810" s="15"/>
    </row>
    <row r="2811" spans="30:62" x14ac:dyDescent="0.2">
      <c r="AD2811" s="6"/>
      <c r="BJ2811" s="15"/>
    </row>
    <row r="2812" spans="30:62" x14ac:dyDescent="0.2">
      <c r="AD2812" s="6"/>
      <c r="BJ2812" s="15"/>
    </row>
    <row r="2813" spans="30:62" x14ac:dyDescent="0.2">
      <c r="AD2813" s="6"/>
      <c r="BJ2813" s="15"/>
    </row>
    <row r="2814" spans="30:62" x14ac:dyDescent="0.2">
      <c r="AD2814" s="6"/>
      <c r="BJ2814" s="15"/>
    </row>
    <row r="2815" spans="30:62" x14ac:dyDescent="0.2">
      <c r="AD2815" s="6"/>
      <c r="BJ2815" s="15"/>
    </row>
    <row r="2816" spans="30:62" x14ac:dyDescent="0.2">
      <c r="AD2816" s="6"/>
      <c r="BJ2816" s="15"/>
    </row>
    <row r="2817" spans="30:62" x14ac:dyDescent="0.2">
      <c r="AD2817" s="6"/>
      <c r="BJ2817" s="15"/>
    </row>
    <row r="2818" spans="30:62" x14ac:dyDescent="0.2">
      <c r="AD2818" s="6"/>
      <c r="BJ2818" s="15"/>
    </row>
    <row r="2819" spans="30:62" x14ac:dyDescent="0.2">
      <c r="AD2819" s="6"/>
      <c r="BJ2819" s="15"/>
    </row>
    <row r="2820" spans="30:62" x14ac:dyDescent="0.2">
      <c r="AD2820" s="6"/>
      <c r="BJ2820" s="15"/>
    </row>
    <row r="2821" spans="30:62" x14ac:dyDescent="0.2">
      <c r="AD2821" s="6"/>
      <c r="BJ2821" s="15"/>
    </row>
    <row r="2822" spans="30:62" x14ac:dyDescent="0.2">
      <c r="AD2822" s="6"/>
      <c r="BJ2822" s="15"/>
    </row>
    <row r="2823" spans="30:62" x14ac:dyDescent="0.2">
      <c r="AD2823" s="6"/>
      <c r="BJ2823" s="15"/>
    </row>
    <row r="2824" spans="30:62" x14ac:dyDescent="0.2">
      <c r="AD2824" s="6"/>
      <c r="BJ2824" s="15"/>
    </row>
    <row r="2825" spans="30:62" x14ac:dyDescent="0.2">
      <c r="AD2825" s="6"/>
      <c r="BJ2825" s="15"/>
    </row>
    <row r="2826" spans="30:62" x14ac:dyDescent="0.2">
      <c r="AD2826" s="6"/>
      <c r="BJ2826" s="15"/>
    </row>
    <row r="2827" spans="30:62" x14ac:dyDescent="0.2">
      <c r="AD2827" s="6"/>
      <c r="BJ2827" s="15"/>
    </row>
    <row r="2828" spans="30:62" x14ac:dyDescent="0.2">
      <c r="AD2828" s="6"/>
      <c r="BJ2828" s="15"/>
    </row>
    <row r="2829" spans="30:62" x14ac:dyDescent="0.2">
      <c r="AD2829" s="6"/>
      <c r="BJ2829" s="15"/>
    </row>
    <row r="2830" spans="30:62" x14ac:dyDescent="0.2">
      <c r="AD2830" s="6"/>
      <c r="BJ2830" s="15"/>
    </row>
    <row r="2831" spans="30:62" x14ac:dyDescent="0.2">
      <c r="AD2831" s="6"/>
      <c r="BJ2831" s="15"/>
    </row>
    <row r="2832" spans="30:62" x14ac:dyDescent="0.2">
      <c r="AD2832" s="6"/>
      <c r="BJ2832" s="15"/>
    </row>
    <row r="2833" spans="30:62" x14ac:dyDescent="0.2">
      <c r="AD2833" s="6"/>
      <c r="BJ2833" s="15"/>
    </row>
    <row r="2834" spans="30:62" x14ac:dyDescent="0.2">
      <c r="AD2834" s="6"/>
      <c r="BJ2834" s="15"/>
    </row>
    <row r="2835" spans="30:62" x14ac:dyDescent="0.2">
      <c r="AD2835" s="6"/>
      <c r="BJ2835" s="15"/>
    </row>
    <row r="2836" spans="30:62" x14ac:dyDescent="0.2">
      <c r="AD2836" s="6"/>
      <c r="BJ2836" s="15"/>
    </row>
    <row r="2837" spans="30:62" x14ac:dyDescent="0.2">
      <c r="AD2837" s="6"/>
      <c r="BJ2837" s="15"/>
    </row>
    <row r="2838" spans="30:62" x14ac:dyDescent="0.2">
      <c r="AD2838" s="6"/>
      <c r="BJ2838" s="15"/>
    </row>
    <row r="2839" spans="30:62" x14ac:dyDescent="0.2">
      <c r="AD2839" s="6"/>
      <c r="BJ2839" s="15"/>
    </row>
    <row r="2840" spans="30:62" x14ac:dyDescent="0.2">
      <c r="AD2840" s="6"/>
      <c r="BJ2840" s="15"/>
    </row>
    <row r="2841" spans="30:62" x14ac:dyDescent="0.2">
      <c r="AD2841" s="6"/>
      <c r="BJ2841" s="15"/>
    </row>
    <row r="2842" spans="30:62" x14ac:dyDescent="0.2">
      <c r="AD2842" s="6"/>
      <c r="BJ2842" s="15"/>
    </row>
    <row r="2843" spans="30:62" x14ac:dyDescent="0.2">
      <c r="AD2843" s="6"/>
      <c r="BJ2843" s="15"/>
    </row>
    <row r="2844" spans="30:62" x14ac:dyDescent="0.2">
      <c r="AD2844" s="6"/>
      <c r="BJ2844" s="15"/>
    </row>
    <row r="2845" spans="30:62" x14ac:dyDescent="0.2">
      <c r="AD2845" s="6"/>
      <c r="BJ2845" s="15"/>
    </row>
    <row r="2846" spans="30:62" x14ac:dyDescent="0.2">
      <c r="AD2846" s="6"/>
      <c r="BJ2846" s="15"/>
    </row>
    <row r="2847" spans="30:62" x14ac:dyDescent="0.2">
      <c r="AD2847" s="6"/>
      <c r="BJ2847" s="15"/>
    </row>
    <row r="2848" spans="30:62" x14ac:dyDescent="0.2">
      <c r="AD2848" s="6"/>
      <c r="BJ2848" s="15"/>
    </row>
    <row r="2849" spans="30:62" x14ac:dyDescent="0.2">
      <c r="AD2849" s="6"/>
      <c r="BJ2849" s="15"/>
    </row>
    <row r="2850" spans="30:62" x14ac:dyDescent="0.2">
      <c r="AD2850" s="6"/>
      <c r="BJ2850" s="15"/>
    </row>
    <row r="2851" spans="30:62" x14ac:dyDescent="0.2">
      <c r="AD2851" s="6"/>
      <c r="BJ2851" s="15"/>
    </row>
    <row r="2852" spans="30:62" x14ac:dyDescent="0.2">
      <c r="AD2852" s="6"/>
      <c r="BJ2852" s="15"/>
    </row>
    <row r="2853" spans="30:62" x14ac:dyDescent="0.2">
      <c r="AD2853" s="6"/>
      <c r="BJ2853" s="15"/>
    </row>
    <row r="2854" spans="30:62" x14ac:dyDescent="0.2">
      <c r="AD2854" s="6"/>
      <c r="BJ2854" s="15"/>
    </row>
    <row r="2855" spans="30:62" x14ac:dyDescent="0.2">
      <c r="AD2855" s="6"/>
      <c r="BJ2855" s="15"/>
    </row>
    <row r="2856" spans="30:62" x14ac:dyDescent="0.2">
      <c r="AD2856" s="6"/>
      <c r="BJ2856" s="15"/>
    </row>
    <row r="2857" spans="30:62" x14ac:dyDescent="0.2">
      <c r="AD2857" s="6"/>
      <c r="BJ2857" s="15"/>
    </row>
    <row r="2858" spans="30:62" x14ac:dyDescent="0.2">
      <c r="AD2858" s="6"/>
      <c r="BJ2858" s="15"/>
    </row>
    <row r="2859" spans="30:62" x14ac:dyDescent="0.2">
      <c r="AD2859" s="6"/>
      <c r="BJ2859" s="15"/>
    </row>
    <row r="2860" spans="30:62" x14ac:dyDescent="0.2">
      <c r="AD2860" s="6"/>
      <c r="BJ2860" s="15"/>
    </row>
    <row r="2861" spans="30:62" x14ac:dyDescent="0.2">
      <c r="AD2861" s="6"/>
      <c r="BJ2861" s="15"/>
    </row>
    <row r="2862" spans="30:62" x14ac:dyDescent="0.2">
      <c r="AD2862" s="6"/>
      <c r="BJ2862" s="15"/>
    </row>
    <row r="2863" spans="30:62" x14ac:dyDescent="0.2">
      <c r="AD2863" s="6"/>
      <c r="BJ2863" s="15"/>
    </row>
    <row r="2864" spans="30:62" x14ac:dyDescent="0.2">
      <c r="AD2864" s="6"/>
      <c r="BJ2864" s="15"/>
    </row>
    <row r="2865" spans="30:62" x14ac:dyDescent="0.2">
      <c r="AD2865" s="6"/>
      <c r="BJ2865" s="15"/>
    </row>
    <row r="2866" spans="30:62" x14ac:dyDescent="0.2">
      <c r="AD2866" s="6"/>
      <c r="BJ2866" s="15"/>
    </row>
    <row r="2867" spans="30:62" x14ac:dyDescent="0.2">
      <c r="AD2867" s="6"/>
      <c r="BJ2867" s="15"/>
    </row>
    <row r="2868" spans="30:62" x14ac:dyDescent="0.2">
      <c r="AD2868" s="6"/>
      <c r="BJ2868" s="15"/>
    </row>
    <row r="2869" spans="30:62" x14ac:dyDescent="0.2">
      <c r="AD2869" s="6"/>
      <c r="BJ2869" s="15"/>
    </row>
    <row r="2870" spans="30:62" x14ac:dyDescent="0.2">
      <c r="AD2870" s="6"/>
      <c r="BJ2870" s="15"/>
    </row>
    <row r="2871" spans="30:62" x14ac:dyDescent="0.2">
      <c r="AD2871" s="6"/>
      <c r="BJ2871" s="15"/>
    </row>
    <row r="2872" spans="30:62" x14ac:dyDescent="0.2">
      <c r="AD2872" s="6"/>
      <c r="BJ2872" s="15"/>
    </row>
    <row r="2873" spans="30:62" x14ac:dyDescent="0.2">
      <c r="AD2873" s="6"/>
      <c r="BJ2873" s="15"/>
    </row>
    <row r="2874" spans="30:62" x14ac:dyDescent="0.2">
      <c r="AD2874" s="6"/>
      <c r="BJ2874" s="15"/>
    </row>
    <row r="2875" spans="30:62" x14ac:dyDescent="0.2">
      <c r="AD2875" s="6"/>
      <c r="BJ2875" s="15"/>
    </row>
    <row r="2876" spans="30:62" x14ac:dyDescent="0.2">
      <c r="AD2876" s="6"/>
      <c r="BJ2876" s="15"/>
    </row>
    <row r="2877" spans="30:62" x14ac:dyDescent="0.2">
      <c r="AD2877" s="6"/>
      <c r="BJ2877" s="15"/>
    </row>
    <row r="2878" spans="30:62" x14ac:dyDescent="0.2">
      <c r="AD2878" s="6"/>
      <c r="BJ2878" s="15"/>
    </row>
    <row r="2879" spans="30:62" x14ac:dyDescent="0.2">
      <c r="AD2879" s="6"/>
      <c r="BJ2879" s="15"/>
    </row>
    <row r="2880" spans="30:62" x14ac:dyDescent="0.2">
      <c r="AD2880" s="6"/>
      <c r="BJ2880" s="15"/>
    </row>
    <row r="2881" spans="30:62" x14ac:dyDescent="0.2">
      <c r="AD2881" s="6"/>
      <c r="BJ2881" s="15"/>
    </row>
    <row r="2882" spans="30:62" x14ac:dyDescent="0.2">
      <c r="AD2882" s="6"/>
      <c r="BJ2882" s="15"/>
    </row>
    <row r="2883" spans="30:62" x14ac:dyDescent="0.2">
      <c r="AD2883" s="6"/>
      <c r="BJ2883" s="15"/>
    </row>
    <row r="2884" spans="30:62" x14ac:dyDescent="0.2">
      <c r="AD2884" s="6"/>
      <c r="BJ2884" s="15"/>
    </row>
    <row r="2885" spans="30:62" x14ac:dyDescent="0.2">
      <c r="AD2885" s="6"/>
      <c r="BJ2885" s="15"/>
    </row>
    <row r="2886" spans="30:62" x14ac:dyDescent="0.2">
      <c r="AD2886" s="6"/>
      <c r="BJ2886" s="15"/>
    </row>
    <row r="2887" spans="30:62" x14ac:dyDescent="0.2">
      <c r="AD2887" s="6"/>
      <c r="BJ2887" s="15"/>
    </row>
    <row r="2888" spans="30:62" x14ac:dyDescent="0.2">
      <c r="AD2888" s="6"/>
      <c r="BJ2888" s="15"/>
    </row>
    <row r="2889" spans="30:62" x14ac:dyDescent="0.2">
      <c r="AD2889" s="6"/>
      <c r="BJ2889" s="15"/>
    </row>
    <row r="2890" spans="30:62" x14ac:dyDescent="0.2">
      <c r="AD2890" s="6"/>
      <c r="BJ2890" s="15"/>
    </row>
    <row r="2891" spans="30:62" x14ac:dyDescent="0.2">
      <c r="AD2891" s="6"/>
      <c r="BJ2891" s="15"/>
    </row>
    <row r="2892" spans="30:62" x14ac:dyDescent="0.2">
      <c r="AD2892" s="6"/>
      <c r="BJ2892" s="15"/>
    </row>
    <row r="2893" spans="30:62" x14ac:dyDescent="0.2">
      <c r="AD2893" s="6"/>
      <c r="BJ2893" s="15"/>
    </row>
    <row r="2894" spans="30:62" x14ac:dyDescent="0.2">
      <c r="AD2894" s="6"/>
      <c r="BJ2894" s="15"/>
    </row>
    <row r="2895" spans="30:62" x14ac:dyDescent="0.2">
      <c r="AD2895" s="6"/>
      <c r="BJ2895" s="15"/>
    </row>
    <row r="2896" spans="30:62" x14ac:dyDescent="0.2">
      <c r="AD2896" s="6"/>
      <c r="BJ2896" s="15"/>
    </row>
    <row r="2897" spans="30:62" x14ac:dyDescent="0.2">
      <c r="AD2897" s="6"/>
      <c r="BJ2897" s="15"/>
    </row>
    <row r="2898" spans="30:62" x14ac:dyDescent="0.2">
      <c r="AD2898" s="6"/>
      <c r="BJ2898" s="15"/>
    </row>
    <row r="2899" spans="30:62" x14ac:dyDescent="0.2">
      <c r="AD2899" s="6"/>
      <c r="BJ2899" s="15"/>
    </row>
    <row r="2900" spans="30:62" x14ac:dyDescent="0.2">
      <c r="AD2900" s="6"/>
      <c r="BJ2900" s="15"/>
    </row>
    <row r="2901" spans="30:62" x14ac:dyDescent="0.2">
      <c r="AD2901" s="6"/>
      <c r="BJ2901" s="15"/>
    </row>
    <row r="2902" spans="30:62" x14ac:dyDescent="0.2">
      <c r="AD2902" s="6"/>
      <c r="BJ2902" s="15"/>
    </row>
    <row r="2903" spans="30:62" x14ac:dyDescent="0.2">
      <c r="AD2903" s="6"/>
      <c r="BJ2903" s="15"/>
    </row>
    <row r="2904" spans="30:62" x14ac:dyDescent="0.2">
      <c r="AD2904" s="6"/>
      <c r="BJ2904" s="15"/>
    </row>
    <row r="2905" spans="30:62" x14ac:dyDescent="0.2">
      <c r="AD2905" s="6"/>
      <c r="BJ2905" s="15"/>
    </row>
    <row r="2906" spans="30:62" x14ac:dyDescent="0.2">
      <c r="AD2906" s="6"/>
      <c r="BJ2906" s="15"/>
    </row>
    <row r="2907" spans="30:62" x14ac:dyDescent="0.2">
      <c r="AD2907" s="6"/>
      <c r="BJ2907" s="15"/>
    </row>
    <row r="2908" spans="30:62" x14ac:dyDescent="0.2">
      <c r="AD2908" s="6"/>
      <c r="BJ2908" s="15"/>
    </row>
    <row r="2909" spans="30:62" x14ac:dyDescent="0.2">
      <c r="AD2909" s="6"/>
      <c r="BJ2909" s="15"/>
    </row>
    <row r="2910" spans="30:62" x14ac:dyDescent="0.2">
      <c r="AD2910" s="6"/>
      <c r="BJ2910" s="15"/>
    </row>
    <row r="2911" spans="30:62" x14ac:dyDescent="0.2">
      <c r="AD2911" s="6"/>
      <c r="BJ2911" s="15"/>
    </row>
    <row r="2912" spans="30:62" x14ac:dyDescent="0.2">
      <c r="AD2912" s="6"/>
      <c r="BJ2912" s="15"/>
    </row>
    <row r="2913" spans="30:62" x14ac:dyDescent="0.2">
      <c r="AD2913" s="6"/>
      <c r="BJ2913" s="15"/>
    </row>
    <row r="2914" spans="30:62" x14ac:dyDescent="0.2">
      <c r="AD2914" s="6"/>
      <c r="BJ2914" s="15"/>
    </row>
    <row r="2915" spans="30:62" x14ac:dyDescent="0.2">
      <c r="AD2915" s="6"/>
      <c r="BJ2915" s="15"/>
    </row>
    <row r="2916" spans="30:62" x14ac:dyDescent="0.2">
      <c r="AD2916" s="6"/>
      <c r="BJ2916" s="15"/>
    </row>
    <row r="2917" spans="30:62" x14ac:dyDescent="0.2">
      <c r="AD2917" s="6"/>
      <c r="BJ2917" s="15"/>
    </row>
    <row r="2918" spans="30:62" x14ac:dyDescent="0.2">
      <c r="AD2918" s="6"/>
      <c r="BJ2918" s="15"/>
    </row>
    <row r="2919" spans="30:62" x14ac:dyDescent="0.2">
      <c r="AD2919" s="6"/>
      <c r="BJ2919" s="15"/>
    </row>
    <row r="2920" spans="30:62" x14ac:dyDescent="0.2">
      <c r="AD2920" s="6"/>
      <c r="BJ2920" s="15"/>
    </row>
    <row r="2921" spans="30:62" x14ac:dyDescent="0.2">
      <c r="AD2921" s="6"/>
      <c r="BJ2921" s="15"/>
    </row>
    <row r="2922" spans="30:62" x14ac:dyDescent="0.2">
      <c r="AD2922" s="6"/>
      <c r="BJ2922" s="15"/>
    </row>
    <row r="2923" spans="30:62" x14ac:dyDescent="0.2">
      <c r="AD2923" s="6"/>
      <c r="BJ2923" s="15"/>
    </row>
    <row r="2924" spans="30:62" x14ac:dyDescent="0.2">
      <c r="AD2924" s="6"/>
      <c r="BJ2924" s="15"/>
    </row>
    <row r="2925" spans="30:62" x14ac:dyDescent="0.2">
      <c r="AD2925" s="6"/>
      <c r="BJ2925" s="15"/>
    </row>
    <row r="2926" spans="30:62" x14ac:dyDescent="0.2">
      <c r="AD2926" s="6"/>
      <c r="BJ2926" s="15"/>
    </row>
    <row r="2927" spans="30:62" x14ac:dyDescent="0.2">
      <c r="AD2927" s="6"/>
      <c r="BJ2927" s="15"/>
    </row>
    <row r="2928" spans="30:62" x14ac:dyDescent="0.2">
      <c r="AD2928" s="6"/>
      <c r="BJ2928" s="15"/>
    </row>
    <row r="2929" spans="30:62" x14ac:dyDescent="0.2">
      <c r="AD2929" s="6"/>
      <c r="BJ2929" s="15"/>
    </row>
    <row r="2930" spans="30:62" x14ac:dyDescent="0.2">
      <c r="AD2930" s="6"/>
      <c r="BJ2930" s="15"/>
    </row>
    <row r="2931" spans="30:62" x14ac:dyDescent="0.2">
      <c r="AD2931" s="6"/>
      <c r="BJ2931" s="15"/>
    </row>
    <row r="2932" spans="30:62" x14ac:dyDescent="0.2">
      <c r="AD2932" s="6"/>
      <c r="BJ2932" s="15"/>
    </row>
    <row r="2933" spans="30:62" x14ac:dyDescent="0.2">
      <c r="AD2933" s="6"/>
      <c r="BJ2933" s="15"/>
    </row>
    <row r="2934" spans="30:62" x14ac:dyDescent="0.2">
      <c r="AD2934" s="6"/>
      <c r="BJ2934" s="15"/>
    </row>
    <row r="2935" spans="30:62" x14ac:dyDescent="0.2">
      <c r="AD2935" s="6"/>
      <c r="BJ2935" s="15"/>
    </row>
    <row r="2936" spans="30:62" x14ac:dyDescent="0.2">
      <c r="AD2936" s="6"/>
      <c r="BJ2936" s="15"/>
    </row>
    <row r="2937" spans="30:62" x14ac:dyDescent="0.2">
      <c r="AD2937" s="6"/>
      <c r="BJ2937" s="15"/>
    </row>
    <row r="2938" spans="30:62" x14ac:dyDescent="0.2">
      <c r="AD2938" s="6"/>
      <c r="BJ2938" s="15"/>
    </row>
    <row r="2939" spans="30:62" x14ac:dyDescent="0.2">
      <c r="AD2939" s="6"/>
      <c r="BJ2939" s="15"/>
    </row>
    <row r="2940" spans="30:62" x14ac:dyDescent="0.2">
      <c r="AD2940" s="6"/>
      <c r="BJ2940" s="15"/>
    </row>
    <row r="2941" spans="30:62" x14ac:dyDescent="0.2">
      <c r="AD2941" s="6"/>
      <c r="BJ2941" s="15"/>
    </row>
    <row r="2942" spans="30:62" x14ac:dyDescent="0.2">
      <c r="AD2942" s="6"/>
      <c r="BJ2942" s="15"/>
    </row>
    <row r="2943" spans="30:62" x14ac:dyDescent="0.2">
      <c r="AD2943" s="6"/>
      <c r="BJ2943" s="15"/>
    </row>
    <row r="2944" spans="30:62" x14ac:dyDescent="0.2">
      <c r="AD2944" s="6"/>
      <c r="BJ2944" s="15"/>
    </row>
    <row r="2945" spans="30:62" x14ac:dyDescent="0.2">
      <c r="AD2945" s="6"/>
      <c r="BJ2945" s="15"/>
    </row>
    <row r="2946" spans="30:62" x14ac:dyDescent="0.2">
      <c r="AD2946" s="6"/>
      <c r="BJ2946" s="15"/>
    </row>
    <row r="2947" spans="30:62" x14ac:dyDescent="0.2">
      <c r="AD2947" s="6"/>
      <c r="BJ2947" s="15"/>
    </row>
    <row r="2948" spans="30:62" x14ac:dyDescent="0.2">
      <c r="AD2948" s="6"/>
      <c r="BJ2948" s="15"/>
    </row>
    <row r="2949" spans="30:62" x14ac:dyDescent="0.2">
      <c r="AD2949" s="6"/>
      <c r="BJ2949" s="15"/>
    </row>
    <row r="2950" spans="30:62" x14ac:dyDescent="0.2">
      <c r="AD2950" s="6"/>
      <c r="BJ2950" s="15"/>
    </row>
    <row r="2951" spans="30:62" x14ac:dyDescent="0.2">
      <c r="AD2951" s="6"/>
      <c r="BJ2951" s="15"/>
    </row>
    <row r="2952" spans="30:62" x14ac:dyDescent="0.2">
      <c r="AD2952" s="6"/>
      <c r="BJ2952" s="15"/>
    </row>
    <row r="2953" spans="30:62" x14ac:dyDescent="0.2">
      <c r="AD2953" s="6"/>
      <c r="BJ2953" s="15"/>
    </row>
    <row r="2954" spans="30:62" x14ac:dyDescent="0.2">
      <c r="AD2954" s="6"/>
      <c r="BJ2954" s="15"/>
    </row>
    <row r="2955" spans="30:62" x14ac:dyDescent="0.2">
      <c r="AD2955" s="6"/>
      <c r="BJ2955" s="15"/>
    </row>
    <row r="2956" spans="30:62" x14ac:dyDescent="0.2">
      <c r="AD2956" s="6"/>
      <c r="BJ2956" s="15"/>
    </row>
    <row r="2957" spans="30:62" x14ac:dyDescent="0.2">
      <c r="AD2957" s="6"/>
      <c r="BJ2957" s="15"/>
    </row>
    <row r="2958" spans="30:62" x14ac:dyDescent="0.2">
      <c r="AD2958" s="6"/>
      <c r="BJ2958" s="15"/>
    </row>
    <row r="2959" spans="30:62" x14ac:dyDescent="0.2">
      <c r="AD2959" s="6"/>
      <c r="BJ2959" s="15"/>
    </row>
    <row r="2960" spans="30:62" x14ac:dyDescent="0.2">
      <c r="AD2960" s="6"/>
      <c r="BJ2960" s="15"/>
    </row>
    <row r="2961" spans="30:62" x14ac:dyDescent="0.2">
      <c r="AD2961" s="6"/>
      <c r="BJ2961" s="15"/>
    </row>
    <row r="2962" spans="30:62" x14ac:dyDescent="0.2">
      <c r="AD2962" s="6"/>
      <c r="BJ2962" s="15"/>
    </row>
    <row r="2963" spans="30:62" x14ac:dyDescent="0.2">
      <c r="AD2963" s="6"/>
      <c r="BJ2963" s="15"/>
    </row>
    <row r="2964" spans="30:62" x14ac:dyDescent="0.2">
      <c r="AD2964" s="6"/>
      <c r="BJ2964" s="15"/>
    </row>
    <row r="2965" spans="30:62" x14ac:dyDescent="0.2">
      <c r="AD2965" s="6"/>
      <c r="BJ2965" s="15"/>
    </row>
    <row r="2966" spans="30:62" x14ac:dyDescent="0.2">
      <c r="AD2966" s="6"/>
      <c r="BJ2966" s="15"/>
    </row>
    <row r="2967" spans="30:62" x14ac:dyDescent="0.2">
      <c r="AD2967" s="6"/>
      <c r="BJ2967" s="15"/>
    </row>
    <row r="2968" spans="30:62" x14ac:dyDescent="0.2">
      <c r="AD2968" s="6"/>
      <c r="BJ2968" s="15"/>
    </row>
    <row r="2969" spans="30:62" x14ac:dyDescent="0.2">
      <c r="AD2969" s="6"/>
      <c r="BJ2969" s="15"/>
    </row>
    <row r="2970" spans="30:62" x14ac:dyDescent="0.2">
      <c r="AD2970" s="6"/>
      <c r="BJ2970" s="15"/>
    </row>
    <row r="2971" spans="30:62" x14ac:dyDescent="0.2">
      <c r="AD2971" s="6"/>
      <c r="BJ2971" s="15"/>
    </row>
    <row r="2972" spans="30:62" x14ac:dyDescent="0.2">
      <c r="AD2972" s="6"/>
      <c r="BJ2972" s="15"/>
    </row>
    <row r="2973" spans="30:62" x14ac:dyDescent="0.2">
      <c r="AD2973" s="6"/>
      <c r="BJ2973" s="15"/>
    </row>
    <row r="2974" spans="30:62" x14ac:dyDescent="0.2">
      <c r="AD2974" s="6"/>
      <c r="BJ2974" s="15"/>
    </row>
    <row r="2975" spans="30:62" x14ac:dyDescent="0.2">
      <c r="AD2975" s="6"/>
      <c r="BJ2975" s="15"/>
    </row>
    <row r="2976" spans="30:62" x14ac:dyDescent="0.2">
      <c r="AD2976" s="6"/>
      <c r="BJ2976" s="15"/>
    </row>
    <row r="2977" spans="30:62" x14ac:dyDescent="0.2">
      <c r="AD2977" s="6"/>
      <c r="BJ2977" s="15"/>
    </row>
    <row r="2978" spans="30:62" x14ac:dyDescent="0.2">
      <c r="AD2978" s="6"/>
      <c r="BJ2978" s="15"/>
    </row>
    <row r="2979" spans="30:62" x14ac:dyDescent="0.2">
      <c r="AD2979" s="6"/>
      <c r="BJ2979" s="15"/>
    </row>
    <row r="2980" spans="30:62" x14ac:dyDescent="0.2">
      <c r="AD2980" s="6"/>
      <c r="BJ2980" s="15"/>
    </row>
    <row r="2981" spans="30:62" x14ac:dyDescent="0.2">
      <c r="AD2981" s="6"/>
      <c r="BJ2981" s="15"/>
    </row>
    <row r="2982" spans="30:62" x14ac:dyDescent="0.2">
      <c r="AD2982" s="6"/>
      <c r="BJ2982" s="15"/>
    </row>
    <row r="2983" spans="30:62" x14ac:dyDescent="0.2">
      <c r="AD2983" s="6"/>
      <c r="BJ2983" s="15"/>
    </row>
    <row r="2984" spans="30:62" x14ac:dyDescent="0.2">
      <c r="AD2984" s="6"/>
      <c r="BJ2984" s="15"/>
    </row>
    <row r="2985" spans="30:62" x14ac:dyDescent="0.2">
      <c r="AD2985" s="6"/>
      <c r="BJ2985" s="15"/>
    </row>
    <row r="2986" spans="30:62" x14ac:dyDescent="0.2">
      <c r="AD2986" s="6"/>
      <c r="BJ2986" s="15"/>
    </row>
    <row r="2987" spans="30:62" x14ac:dyDescent="0.2">
      <c r="AD2987" s="6"/>
      <c r="BJ2987" s="15"/>
    </row>
    <row r="2988" spans="30:62" x14ac:dyDescent="0.2">
      <c r="AD2988" s="6"/>
      <c r="BJ2988" s="15"/>
    </row>
    <row r="2989" spans="30:62" x14ac:dyDescent="0.2">
      <c r="AD2989" s="6"/>
      <c r="BJ2989" s="15"/>
    </row>
    <row r="2990" spans="30:62" x14ac:dyDescent="0.2">
      <c r="AD2990" s="6"/>
      <c r="BJ2990" s="15"/>
    </row>
    <row r="2991" spans="30:62" x14ac:dyDescent="0.2">
      <c r="AD2991" s="6"/>
      <c r="BJ2991" s="15"/>
    </row>
    <row r="2992" spans="30:62" x14ac:dyDescent="0.2">
      <c r="AD2992" s="6"/>
      <c r="BJ2992" s="15"/>
    </row>
    <row r="2993" spans="30:62" x14ac:dyDescent="0.2">
      <c r="AD2993" s="6"/>
      <c r="BJ2993" s="15"/>
    </row>
    <row r="2994" spans="30:62" x14ac:dyDescent="0.2">
      <c r="AD2994" s="6"/>
      <c r="BJ2994" s="15"/>
    </row>
    <row r="2995" spans="30:62" x14ac:dyDescent="0.2">
      <c r="AD2995" s="6"/>
      <c r="BJ2995" s="15"/>
    </row>
    <row r="2996" spans="30:62" x14ac:dyDescent="0.2">
      <c r="AD2996" s="6"/>
      <c r="BJ2996" s="15"/>
    </row>
    <row r="2997" spans="30:62" x14ac:dyDescent="0.2">
      <c r="AD2997" s="6"/>
      <c r="BJ2997" s="15"/>
    </row>
    <row r="2998" spans="30:62" x14ac:dyDescent="0.2">
      <c r="AD2998" s="6"/>
      <c r="BJ2998" s="15"/>
    </row>
    <row r="2999" spans="30:62" x14ac:dyDescent="0.2">
      <c r="AD2999" s="6"/>
      <c r="BJ2999" s="15"/>
    </row>
    <row r="3000" spans="30:62" x14ac:dyDescent="0.2">
      <c r="AD3000" s="6"/>
      <c r="BJ3000" s="15"/>
    </row>
    <row r="3001" spans="30:62" x14ac:dyDescent="0.2">
      <c r="AD3001" s="6"/>
      <c r="BJ3001" s="15"/>
    </row>
    <row r="3002" spans="30:62" x14ac:dyDescent="0.2">
      <c r="AD3002" s="6"/>
      <c r="BJ3002" s="15"/>
    </row>
    <row r="3003" spans="30:62" x14ac:dyDescent="0.2">
      <c r="AD3003" s="6"/>
      <c r="BJ3003" s="15"/>
    </row>
    <row r="3004" spans="30:62" x14ac:dyDescent="0.2">
      <c r="AD3004" s="6"/>
      <c r="BJ3004" s="15"/>
    </row>
    <row r="3005" spans="30:62" x14ac:dyDescent="0.2">
      <c r="AD3005" s="6"/>
      <c r="BJ3005" s="15"/>
    </row>
    <row r="3006" spans="30:62" x14ac:dyDescent="0.2">
      <c r="AD3006" s="6"/>
      <c r="BJ3006" s="15"/>
    </row>
    <row r="3007" spans="30:62" x14ac:dyDescent="0.2">
      <c r="AD3007" s="6"/>
      <c r="BJ3007" s="15"/>
    </row>
    <row r="3008" spans="30:62" x14ac:dyDescent="0.2">
      <c r="AD3008" s="6"/>
      <c r="BJ3008" s="15"/>
    </row>
    <row r="3009" spans="30:62" x14ac:dyDescent="0.2">
      <c r="AD3009" s="6"/>
      <c r="BJ3009" s="15"/>
    </row>
    <row r="3010" spans="30:62" x14ac:dyDescent="0.2">
      <c r="AD3010" s="6"/>
      <c r="BJ3010" s="15"/>
    </row>
    <row r="3011" spans="30:62" x14ac:dyDescent="0.2">
      <c r="AD3011" s="6"/>
      <c r="BJ3011" s="15"/>
    </row>
    <row r="3012" spans="30:62" x14ac:dyDescent="0.2">
      <c r="AD3012" s="6"/>
      <c r="BJ3012" s="15"/>
    </row>
    <row r="3013" spans="30:62" x14ac:dyDescent="0.2">
      <c r="AD3013" s="6"/>
      <c r="BJ3013" s="15"/>
    </row>
    <row r="3014" spans="30:62" x14ac:dyDescent="0.2">
      <c r="AD3014" s="6"/>
      <c r="BJ3014" s="15"/>
    </row>
    <row r="3015" spans="30:62" x14ac:dyDescent="0.2">
      <c r="AD3015" s="6"/>
      <c r="BJ3015" s="15"/>
    </row>
    <row r="3016" spans="30:62" x14ac:dyDescent="0.2">
      <c r="AD3016" s="6"/>
      <c r="BJ3016" s="15"/>
    </row>
    <row r="3017" spans="30:62" x14ac:dyDescent="0.2">
      <c r="AD3017" s="6"/>
      <c r="BJ3017" s="15"/>
    </row>
    <row r="3018" spans="30:62" x14ac:dyDescent="0.2">
      <c r="AD3018" s="6"/>
      <c r="BJ3018" s="15"/>
    </row>
    <row r="3019" spans="30:62" x14ac:dyDescent="0.2">
      <c r="AD3019" s="6"/>
      <c r="BJ3019" s="15"/>
    </row>
    <row r="3020" spans="30:62" x14ac:dyDescent="0.2">
      <c r="AD3020" s="6"/>
      <c r="BJ3020" s="15"/>
    </row>
    <row r="3021" spans="30:62" x14ac:dyDescent="0.2">
      <c r="AD3021" s="6"/>
      <c r="BJ3021" s="15"/>
    </row>
    <row r="3022" spans="30:62" x14ac:dyDescent="0.2">
      <c r="AD3022" s="6"/>
      <c r="BJ3022" s="15"/>
    </row>
    <row r="3023" spans="30:62" x14ac:dyDescent="0.2">
      <c r="AD3023" s="6"/>
      <c r="BJ3023" s="15"/>
    </row>
    <row r="3024" spans="30:62" x14ac:dyDescent="0.2">
      <c r="AD3024" s="6"/>
      <c r="BJ3024" s="15"/>
    </row>
    <row r="3025" spans="30:62" x14ac:dyDescent="0.2">
      <c r="AD3025" s="6"/>
      <c r="BJ3025" s="15"/>
    </row>
    <row r="3026" spans="30:62" x14ac:dyDescent="0.2">
      <c r="AD3026" s="6"/>
      <c r="BJ3026" s="15"/>
    </row>
    <row r="3027" spans="30:62" x14ac:dyDescent="0.2">
      <c r="AD3027" s="6"/>
      <c r="BJ3027" s="15"/>
    </row>
    <row r="3028" spans="30:62" x14ac:dyDescent="0.2">
      <c r="AD3028" s="6"/>
      <c r="BJ3028" s="15"/>
    </row>
    <row r="3029" spans="30:62" x14ac:dyDescent="0.2">
      <c r="AD3029" s="6"/>
      <c r="BJ3029" s="15"/>
    </row>
    <row r="3030" spans="30:62" x14ac:dyDescent="0.2">
      <c r="AD3030" s="6"/>
      <c r="BJ3030" s="15"/>
    </row>
    <row r="3031" spans="30:62" x14ac:dyDescent="0.2">
      <c r="AD3031" s="6"/>
      <c r="BJ3031" s="15"/>
    </row>
    <row r="3032" spans="30:62" x14ac:dyDescent="0.2">
      <c r="AD3032" s="6"/>
      <c r="BJ3032" s="15"/>
    </row>
    <row r="3033" spans="30:62" x14ac:dyDescent="0.2">
      <c r="AD3033" s="6"/>
      <c r="BJ3033" s="15"/>
    </row>
    <row r="3034" spans="30:62" x14ac:dyDescent="0.2">
      <c r="AD3034" s="6"/>
      <c r="BJ3034" s="15"/>
    </row>
    <row r="3035" spans="30:62" x14ac:dyDescent="0.2">
      <c r="AD3035" s="6"/>
      <c r="BJ3035" s="15"/>
    </row>
    <row r="3036" spans="30:62" x14ac:dyDescent="0.2">
      <c r="AD3036" s="6"/>
      <c r="BJ3036" s="15"/>
    </row>
    <row r="3037" spans="30:62" x14ac:dyDescent="0.2">
      <c r="AD3037" s="6"/>
      <c r="BJ3037" s="15"/>
    </row>
    <row r="3038" spans="30:62" x14ac:dyDescent="0.2">
      <c r="AD3038" s="6"/>
      <c r="BJ3038" s="15"/>
    </row>
    <row r="3039" spans="30:62" x14ac:dyDescent="0.2">
      <c r="AD3039" s="6"/>
      <c r="BJ3039" s="15"/>
    </row>
    <row r="3040" spans="30:62" x14ac:dyDescent="0.2">
      <c r="AD3040" s="6"/>
      <c r="BJ3040" s="15"/>
    </row>
    <row r="3041" spans="30:62" x14ac:dyDescent="0.2">
      <c r="AD3041" s="6"/>
      <c r="BJ3041" s="15"/>
    </row>
    <row r="3042" spans="30:62" x14ac:dyDescent="0.2">
      <c r="AD3042" s="6"/>
      <c r="BJ3042" s="15"/>
    </row>
    <row r="3043" spans="30:62" x14ac:dyDescent="0.2">
      <c r="AD3043" s="6"/>
      <c r="BJ3043" s="15"/>
    </row>
    <row r="3044" spans="30:62" x14ac:dyDescent="0.2">
      <c r="AD3044" s="6"/>
      <c r="BJ3044" s="15"/>
    </row>
    <row r="3045" spans="30:62" x14ac:dyDescent="0.2">
      <c r="AD3045" s="6"/>
      <c r="BJ3045" s="15"/>
    </row>
    <row r="3046" spans="30:62" x14ac:dyDescent="0.2">
      <c r="AD3046" s="6"/>
      <c r="BJ3046" s="15"/>
    </row>
    <row r="3047" spans="30:62" x14ac:dyDescent="0.2">
      <c r="AD3047" s="6"/>
      <c r="BJ3047" s="15"/>
    </row>
    <row r="3048" spans="30:62" x14ac:dyDescent="0.2">
      <c r="AD3048" s="6"/>
      <c r="BJ3048" s="15"/>
    </row>
    <row r="3049" spans="30:62" x14ac:dyDescent="0.2">
      <c r="AD3049" s="6"/>
      <c r="BJ3049" s="15"/>
    </row>
    <row r="3050" spans="30:62" x14ac:dyDescent="0.2">
      <c r="AD3050" s="6"/>
      <c r="BJ3050" s="15"/>
    </row>
    <row r="3051" spans="30:62" x14ac:dyDescent="0.2">
      <c r="AD3051" s="6"/>
      <c r="BJ3051" s="15"/>
    </row>
    <row r="3052" spans="30:62" x14ac:dyDescent="0.2">
      <c r="AD3052" s="6"/>
      <c r="BJ3052" s="15"/>
    </row>
    <row r="3053" spans="30:62" x14ac:dyDescent="0.2">
      <c r="AD3053" s="6"/>
      <c r="BJ3053" s="15"/>
    </row>
    <row r="3054" spans="30:62" x14ac:dyDescent="0.2">
      <c r="AD3054" s="6"/>
      <c r="BJ3054" s="15"/>
    </row>
    <row r="3055" spans="30:62" x14ac:dyDescent="0.2">
      <c r="AD3055" s="6"/>
      <c r="BJ3055" s="15"/>
    </row>
    <row r="3056" spans="30:62" x14ac:dyDescent="0.2">
      <c r="AD3056" s="6"/>
      <c r="BJ3056" s="15"/>
    </row>
    <row r="3057" spans="30:62" x14ac:dyDescent="0.2">
      <c r="AD3057" s="6"/>
      <c r="BJ3057" s="15"/>
    </row>
    <row r="3058" spans="30:62" x14ac:dyDescent="0.2">
      <c r="AD3058" s="6"/>
      <c r="BJ3058" s="15"/>
    </row>
    <row r="3059" spans="30:62" x14ac:dyDescent="0.2">
      <c r="AD3059" s="6"/>
      <c r="BJ3059" s="15"/>
    </row>
    <row r="3060" spans="30:62" x14ac:dyDescent="0.2">
      <c r="AD3060" s="6"/>
      <c r="BJ3060" s="15"/>
    </row>
    <row r="3061" spans="30:62" x14ac:dyDescent="0.2">
      <c r="AD3061" s="6"/>
      <c r="BJ3061" s="15"/>
    </row>
    <row r="3062" spans="30:62" x14ac:dyDescent="0.2">
      <c r="AD3062" s="6"/>
      <c r="BJ3062" s="15"/>
    </row>
    <row r="3063" spans="30:62" x14ac:dyDescent="0.2">
      <c r="AD3063" s="6"/>
      <c r="BJ3063" s="15"/>
    </row>
    <row r="3064" spans="30:62" x14ac:dyDescent="0.2">
      <c r="AD3064" s="6"/>
      <c r="BJ3064" s="15"/>
    </row>
    <row r="3065" spans="30:62" x14ac:dyDescent="0.2">
      <c r="AD3065" s="6"/>
      <c r="BJ3065" s="15"/>
    </row>
    <row r="3066" spans="30:62" x14ac:dyDescent="0.2">
      <c r="AD3066" s="6"/>
      <c r="BJ3066" s="15"/>
    </row>
    <row r="3067" spans="30:62" x14ac:dyDescent="0.2">
      <c r="AD3067" s="6"/>
      <c r="BJ3067" s="15"/>
    </row>
    <row r="3068" spans="30:62" x14ac:dyDescent="0.2">
      <c r="AD3068" s="6"/>
      <c r="BJ3068" s="15"/>
    </row>
    <row r="3069" spans="30:62" x14ac:dyDescent="0.2">
      <c r="AD3069" s="6"/>
      <c r="BJ3069" s="15"/>
    </row>
    <row r="3070" spans="30:62" x14ac:dyDescent="0.2">
      <c r="AD3070" s="6"/>
      <c r="BJ3070" s="15"/>
    </row>
    <row r="3071" spans="30:62" x14ac:dyDescent="0.2">
      <c r="AD3071" s="6"/>
      <c r="BJ3071" s="15"/>
    </row>
    <row r="3072" spans="30:62" x14ac:dyDescent="0.2">
      <c r="AD3072" s="6"/>
      <c r="BJ3072" s="15"/>
    </row>
    <row r="3073" spans="30:62" x14ac:dyDescent="0.2">
      <c r="AD3073" s="6"/>
      <c r="BJ3073" s="15"/>
    </row>
    <row r="3074" spans="30:62" x14ac:dyDescent="0.2">
      <c r="AD3074" s="6"/>
      <c r="BJ3074" s="15"/>
    </row>
    <row r="3075" spans="30:62" x14ac:dyDescent="0.2">
      <c r="AD3075" s="6"/>
      <c r="BJ3075" s="15"/>
    </row>
    <row r="3076" spans="30:62" x14ac:dyDescent="0.2">
      <c r="AD3076" s="6"/>
      <c r="BJ3076" s="15"/>
    </row>
    <row r="3077" spans="30:62" x14ac:dyDescent="0.2">
      <c r="AD3077" s="6"/>
      <c r="BJ3077" s="15"/>
    </row>
    <row r="3078" spans="30:62" x14ac:dyDescent="0.2">
      <c r="AD3078" s="6"/>
      <c r="BJ3078" s="15"/>
    </row>
    <row r="3079" spans="30:62" x14ac:dyDescent="0.2">
      <c r="AD3079" s="6"/>
      <c r="BJ3079" s="15"/>
    </row>
    <row r="3080" spans="30:62" x14ac:dyDescent="0.2">
      <c r="AD3080" s="6"/>
      <c r="BJ3080" s="15"/>
    </row>
    <row r="3081" spans="30:62" x14ac:dyDescent="0.2">
      <c r="AD3081" s="6"/>
      <c r="BJ3081" s="15"/>
    </row>
    <row r="3082" spans="30:62" x14ac:dyDescent="0.2">
      <c r="AD3082" s="6"/>
      <c r="BJ3082" s="15"/>
    </row>
    <row r="3083" spans="30:62" x14ac:dyDescent="0.2">
      <c r="AD3083" s="6"/>
      <c r="BJ3083" s="15"/>
    </row>
    <row r="3084" spans="30:62" x14ac:dyDescent="0.2">
      <c r="AD3084" s="6"/>
      <c r="BJ3084" s="15"/>
    </row>
    <row r="3085" spans="30:62" x14ac:dyDescent="0.2">
      <c r="AD3085" s="6"/>
      <c r="BJ3085" s="15"/>
    </row>
    <row r="3086" spans="30:62" x14ac:dyDescent="0.2">
      <c r="AD3086" s="6"/>
      <c r="BJ3086" s="15"/>
    </row>
    <row r="3087" spans="30:62" x14ac:dyDescent="0.2">
      <c r="AD3087" s="6"/>
      <c r="BJ3087" s="15"/>
    </row>
    <row r="3088" spans="30:62" x14ac:dyDescent="0.2">
      <c r="AD3088" s="6"/>
      <c r="BJ3088" s="15"/>
    </row>
    <row r="3089" spans="30:62" x14ac:dyDescent="0.2">
      <c r="AD3089" s="6"/>
      <c r="BJ3089" s="15"/>
    </row>
    <row r="3090" spans="30:62" x14ac:dyDescent="0.2">
      <c r="AD3090" s="6"/>
      <c r="BJ3090" s="15"/>
    </row>
    <row r="3091" spans="30:62" x14ac:dyDescent="0.2">
      <c r="AD3091" s="6"/>
      <c r="BJ3091" s="15"/>
    </row>
    <row r="3092" spans="30:62" x14ac:dyDescent="0.2">
      <c r="AD3092" s="6"/>
      <c r="BJ3092" s="15"/>
    </row>
    <row r="3093" spans="30:62" x14ac:dyDescent="0.2">
      <c r="AD3093" s="6"/>
      <c r="BJ3093" s="15"/>
    </row>
    <row r="3094" spans="30:62" x14ac:dyDescent="0.2">
      <c r="AD3094" s="6"/>
      <c r="BJ3094" s="15"/>
    </row>
    <row r="3095" spans="30:62" x14ac:dyDescent="0.2">
      <c r="AD3095" s="6"/>
      <c r="BJ3095" s="15"/>
    </row>
    <row r="3096" spans="30:62" x14ac:dyDescent="0.2">
      <c r="AD3096" s="6"/>
      <c r="BJ3096" s="15"/>
    </row>
    <row r="3097" spans="30:62" x14ac:dyDescent="0.2">
      <c r="AD3097" s="6"/>
      <c r="BJ3097" s="15"/>
    </row>
    <row r="3098" spans="30:62" x14ac:dyDescent="0.2">
      <c r="AD3098" s="6"/>
      <c r="BJ3098" s="15"/>
    </row>
    <row r="3099" spans="30:62" x14ac:dyDescent="0.2">
      <c r="AD3099" s="6"/>
      <c r="BJ3099" s="15"/>
    </row>
    <row r="3100" spans="30:62" x14ac:dyDescent="0.2">
      <c r="AD3100" s="6"/>
      <c r="BJ3100" s="15"/>
    </row>
    <row r="3101" spans="30:62" x14ac:dyDescent="0.2">
      <c r="AD3101" s="6"/>
      <c r="BJ3101" s="15"/>
    </row>
    <row r="3102" spans="30:62" x14ac:dyDescent="0.2">
      <c r="AD3102" s="6"/>
      <c r="BJ3102" s="15"/>
    </row>
    <row r="3103" spans="30:62" x14ac:dyDescent="0.2">
      <c r="AD3103" s="6"/>
      <c r="BJ3103" s="15"/>
    </row>
    <row r="3104" spans="30:62" x14ac:dyDescent="0.2">
      <c r="AD3104" s="6"/>
      <c r="BJ3104" s="15"/>
    </row>
    <row r="3105" spans="30:62" x14ac:dyDescent="0.2">
      <c r="AD3105" s="6"/>
      <c r="BJ3105" s="15"/>
    </row>
    <row r="3106" spans="30:62" x14ac:dyDescent="0.2">
      <c r="AD3106" s="6"/>
      <c r="BJ3106" s="15"/>
    </row>
    <row r="3107" spans="30:62" x14ac:dyDescent="0.2">
      <c r="AD3107" s="6"/>
      <c r="BJ3107" s="15"/>
    </row>
    <row r="3108" spans="30:62" x14ac:dyDescent="0.2">
      <c r="AD3108" s="6"/>
      <c r="BJ3108" s="15"/>
    </row>
    <row r="3109" spans="30:62" x14ac:dyDescent="0.2">
      <c r="AD3109" s="6"/>
      <c r="BJ3109" s="15"/>
    </row>
    <row r="3110" spans="30:62" x14ac:dyDescent="0.2">
      <c r="AD3110" s="6"/>
      <c r="BJ3110" s="15"/>
    </row>
    <row r="3111" spans="30:62" x14ac:dyDescent="0.2">
      <c r="AD3111" s="6"/>
      <c r="BJ3111" s="15"/>
    </row>
    <row r="3112" spans="30:62" x14ac:dyDescent="0.2">
      <c r="AD3112" s="6"/>
      <c r="BJ3112" s="15"/>
    </row>
    <row r="3113" spans="30:62" x14ac:dyDescent="0.2">
      <c r="AD3113" s="6"/>
      <c r="BJ3113" s="15"/>
    </row>
    <row r="3114" spans="30:62" x14ac:dyDescent="0.2">
      <c r="AD3114" s="6"/>
      <c r="BJ3114" s="15"/>
    </row>
    <row r="3115" spans="30:62" x14ac:dyDescent="0.2">
      <c r="AD3115" s="6"/>
      <c r="BJ3115" s="15"/>
    </row>
    <row r="3116" spans="30:62" x14ac:dyDescent="0.2">
      <c r="AD3116" s="6"/>
      <c r="BJ3116" s="15"/>
    </row>
    <row r="3117" spans="30:62" x14ac:dyDescent="0.2">
      <c r="AD3117" s="6"/>
      <c r="BJ3117" s="15"/>
    </row>
    <row r="3118" spans="30:62" x14ac:dyDescent="0.2">
      <c r="AD3118" s="6"/>
      <c r="BJ3118" s="15"/>
    </row>
    <row r="3119" spans="30:62" x14ac:dyDescent="0.2">
      <c r="AD3119" s="6"/>
      <c r="BJ3119" s="15"/>
    </row>
    <row r="3120" spans="30:62" x14ac:dyDescent="0.2">
      <c r="AD3120" s="6"/>
      <c r="BJ3120" s="15"/>
    </row>
    <row r="3121" spans="30:62" x14ac:dyDescent="0.2">
      <c r="AD3121" s="6"/>
      <c r="BJ3121" s="15"/>
    </row>
    <row r="3122" spans="30:62" x14ac:dyDescent="0.2">
      <c r="AD3122" s="6"/>
      <c r="BJ3122" s="15"/>
    </row>
    <row r="3123" spans="30:62" x14ac:dyDescent="0.2">
      <c r="AD3123" s="6"/>
      <c r="BJ3123" s="15"/>
    </row>
    <row r="3124" spans="30:62" x14ac:dyDescent="0.2">
      <c r="AD3124" s="6"/>
      <c r="BJ3124" s="15"/>
    </row>
    <row r="3125" spans="30:62" x14ac:dyDescent="0.2">
      <c r="AD3125" s="6"/>
      <c r="BJ3125" s="15"/>
    </row>
    <row r="3126" spans="30:62" x14ac:dyDescent="0.2">
      <c r="AD3126" s="6"/>
      <c r="BJ3126" s="15"/>
    </row>
    <row r="3127" spans="30:62" x14ac:dyDescent="0.2">
      <c r="AD3127" s="6"/>
      <c r="BJ3127" s="15"/>
    </row>
    <row r="3128" spans="30:62" x14ac:dyDescent="0.2">
      <c r="AD3128" s="6"/>
      <c r="BJ3128" s="15"/>
    </row>
    <row r="3129" spans="30:62" x14ac:dyDescent="0.2">
      <c r="AD3129" s="6"/>
      <c r="BJ3129" s="15"/>
    </row>
    <row r="3130" spans="30:62" x14ac:dyDescent="0.2">
      <c r="AD3130" s="6"/>
      <c r="BJ3130" s="15"/>
    </row>
    <row r="3131" spans="30:62" x14ac:dyDescent="0.2">
      <c r="AD3131" s="6"/>
      <c r="BJ3131" s="15"/>
    </row>
    <row r="3132" spans="30:62" x14ac:dyDescent="0.2">
      <c r="AD3132" s="6"/>
      <c r="BJ3132" s="15"/>
    </row>
    <row r="3133" spans="30:62" x14ac:dyDescent="0.2">
      <c r="AD3133" s="6"/>
      <c r="BJ3133" s="15"/>
    </row>
    <row r="3134" spans="30:62" x14ac:dyDescent="0.2">
      <c r="AD3134" s="6"/>
      <c r="BJ3134" s="15"/>
    </row>
    <row r="3135" spans="30:62" x14ac:dyDescent="0.2">
      <c r="AD3135" s="6"/>
      <c r="BJ3135" s="15"/>
    </row>
    <row r="3136" spans="30:62" x14ac:dyDescent="0.2">
      <c r="AD3136" s="6"/>
      <c r="BJ3136" s="15"/>
    </row>
    <row r="3137" spans="30:62" x14ac:dyDescent="0.2">
      <c r="AD3137" s="6"/>
      <c r="BJ3137" s="15"/>
    </row>
    <row r="3138" spans="30:62" x14ac:dyDescent="0.2">
      <c r="AD3138" s="6"/>
      <c r="BJ3138" s="15"/>
    </row>
    <row r="3139" spans="30:62" x14ac:dyDescent="0.2">
      <c r="AD3139" s="6"/>
      <c r="BJ3139" s="15"/>
    </row>
    <row r="3140" spans="30:62" x14ac:dyDescent="0.2">
      <c r="AD3140" s="6"/>
      <c r="BJ3140" s="15"/>
    </row>
    <row r="3141" spans="30:62" x14ac:dyDescent="0.2">
      <c r="AD3141" s="6"/>
      <c r="BJ3141" s="15"/>
    </row>
    <row r="3142" spans="30:62" x14ac:dyDescent="0.2">
      <c r="AD3142" s="6"/>
      <c r="BJ3142" s="15"/>
    </row>
    <row r="3143" spans="30:62" x14ac:dyDescent="0.2">
      <c r="AD3143" s="6"/>
      <c r="BJ3143" s="15"/>
    </row>
    <row r="3144" spans="30:62" x14ac:dyDescent="0.2">
      <c r="AD3144" s="6"/>
      <c r="BJ3144" s="15"/>
    </row>
    <row r="3145" spans="30:62" x14ac:dyDescent="0.2">
      <c r="AD3145" s="6"/>
      <c r="BJ3145" s="15"/>
    </row>
    <row r="3146" spans="30:62" x14ac:dyDescent="0.2">
      <c r="AD3146" s="6"/>
      <c r="BJ3146" s="15"/>
    </row>
    <row r="3147" spans="30:62" x14ac:dyDescent="0.2">
      <c r="AD3147" s="6"/>
      <c r="BJ3147" s="15"/>
    </row>
    <row r="3148" spans="30:62" x14ac:dyDescent="0.2">
      <c r="AD3148" s="6"/>
      <c r="BJ3148" s="15"/>
    </row>
    <row r="3149" spans="30:62" x14ac:dyDescent="0.2">
      <c r="AD3149" s="6"/>
      <c r="BJ3149" s="15"/>
    </row>
    <row r="3150" spans="30:62" x14ac:dyDescent="0.2">
      <c r="AD3150" s="6"/>
      <c r="BJ3150" s="15"/>
    </row>
    <row r="3151" spans="30:62" x14ac:dyDescent="0.2">
      <c r="AD3151" s="6"/>
      <c r="BJ3151" s="15"/>
    </row>
    <row r="3152" spans="30:62" x14ac:dyDescent="0.2">
      <c r="AD3152" s="6"/>
      <c r="BJ3152" s="15"/>
    </row>
    <row r="3153" spans="30:62" x14ac:dyDescent="0.2">
      <c r="AD3153" s="6"/>
      <c r="BJ3153" s="15"/>
    </row>
    <row r="3154" spans="30:62" x14ac:dyDescent="0.2">
      <c r="AD3154" s="6"/>
      <c r="BJ3154" s="15"/>
    </row>
    <row r="3155" spans="30:62" x14ac:dyDescent="0.2">
      <c r="AD3155" s="6"/>
      <c r="BJ3155" s="15"/>
    </row>
    <row r="3156" spans="30:62" x14ac:dyDescent="0.2">
      <c r="AD3156" s="6"/>
      <c r="BJ3156" s="15"/>
    </row>
    <row r="3157" spans="30:62" x14ac:dyDescent="0.2">
      <c r="AD3157" s="6"/>
      <c r="BJ3157" s="15"/>
    </row>
    <row r="3158" spans="30:62" x14ac:dyDescent="0.2">
      <c r="AD3158" s="6"/>
      <c r="BJ3158" s="15"/>
    </row>
    <row r="3159" spans="30:62" x14ac:dyDescent="0.2">
      <c r="AD3159" s="6"/>
      <c r="BJ3159" s="15"/>
    </row>
    <row r="3160" spans="30:62" x14ac:dyDescent="0.2">
      <c r="AD3160" s="6"/>
      <c r="BJ3160" s="15"/>
    </row>
    <row r="3161" spans="30:62" x14ac:dyDescent="0.2">
      <c r="AD3161" s="6"/>
      <c r="BJ3161" s="15"/>
    </row>
    <row r="3162" spans="30:62" x14ac:dyDescent="0.2">
      <c r="AD3162" s="6"/>
      <c r="BJ3162" s="15"/>
    </row>
    <row r="3163" spans="30:62" x14ac:dyDescent="0.2">
      <c r="AD3163" s="6"/>
      <c r="BJ3163" s="15"/>
    </row>
    <row r="3164" spans="30:62" x14ac:dyDescent="0.2">
      <c r="AD3164" s="6"/>
      <c r="BJ3164" s="15"/>
    </row>
    <row r="3165" spans="30:62" x14ac:dyDescent="0.2">
      <c r="AD3165" s="6"/>
      <c r="BJ3165" s="15"/>
    </row>
    <row r="3166" spans="30:62" x14ac:dyDescent="0.2">
      <c r="AD3166" s="6"/>
      <c r="BJ3166" s="15"/>
    </row>
    <row r="3167" spans="30:62" x14ac:dyDescent="0.2">
      <c r="AD3167" s="6"/>
      <c r="BJ3167" s="15"/>
    </row>
    <row r="3168" spans="30:62" x14ac:dyDescent="0.2">
      <c r="AD3168" s="6"/>
      <c r="BJ3168" s="15"/>
    </row>
    <row r="3169" spans="30:62" x14ac:dyDescent="0.2">
      <c r="AD3169" s="6"/>
      <c r="BJ3169" s="15"/>
    </row>
    <row r="3170" spans="30:62" x14ac:dyDescent="0.2">
      <c r="AD3170" s="6"/>
      <c r="BJ3170" s="15"/>
    </row>
    <row r="3171" spans="30:62" x14ac:dyDescent="0.2">
      <c r="AD3171" s="6"/>
      <c r="BJ3171" s="15"/>
    </row>
    <row r="3172" spans="30:62" x14ac:dyDescent="0.2">
      <c r="AD3172" s="6"/>
      <c r="BJ3172" s="15"/>
    </row>
    <row r="3173" spans="30:62" x14ac:dyDescent="0.2">
      <c r="AD3173" s="6"/>
      <c r="BJ3173" s="15"/>
    </row>
    <row r="3174" spans="30:62" x14ac:dyDescent="0.2">
      <c r="AD3174" s="6"/>
      <c r="BJ3174" s="15"/>
    </row>
    <row r="3175" spans="30:62" x14ac:dyDescent="0.2">
      <c r="AD3175" s="6"/>
      <c r="BJ3175" s="15"/>
    </row>
    <row r="3176" spans="30:62" x14ac:dyDescent="0.2">
      <c r="AD3176" s="6"/>
      <c r="BJ3176" s="15"/>
    </row>
    <row r="3177" spans="30:62" x14ac:dyDescent="0.2">
      <c r="AD3177" s="6"/>
      <c r="BJ3177" s="15"/>
    </row>
    <row r="3178" spans="30:62" x14ac:dyDescent="0.2">
      <c r="AD3178" s="6"/>
      <c r="BJ3178" s="15"/>
    </row>
    <row r="3179" spans="30:62" x14ac:dyDescent="0.2">
      <c r="AD3179" s="6"/>
      <c r="BJ3179" s="15"/>
    </row>
    <row r="3180" spans="30:62" x14ac:dyDescent="0.2">
      <c r="AD3180" s="6"/>
      <c r="BJ3180" s="15"/>
    </row>
    <row r="3181" spans="30:62" x14ac:dyDescent="0.2">
      <c r="AD3181" s="6"/>
      <c r="BJ3181" s="15"/>
    </row>
    <row r="3182" spans="30:62" x14ac:dyDescent="0.2">
      <c r="AD3182" s="6"/>
      <c r="BJ3182" s="15"/>
    </row>
    <row r="3183" spans="30:62" x14ac:dyDescent="0.2">
      <c r="AD3183" s="6"/>
      <c r="BJ3183" s="15"/>
    </row>
    <row r="3184" spans="30:62" x14ac:dyDescent="0.2">
      <c r="AD3184" s="6"/>
      <c r="BJ3184" s="15"/>
    </row>
    <row r="3185" spans="30:62" x14ac:dyDescent="0.2">
      <c r="AD3185" s="6"/>
      <c r="BJ3185" s="15"/>
    </row>
    <row r="3186" spans="30:62" x14ac:dyDescent="0.2">
      <c r="AD3186" s="6"/>
      <c r="BJ3186" s="15"/>
    </row>
    <row r="3187" spans="30:62" x14ac:dyDescent="0.2">
      <c r="AD3187" s="6"/>
      <c r="BJ3187" s="15"/>
    </row>
    <row r="3188" spans="30:62" x14ac:dyDescent="0.2">
      <c r="AD3188" s="6"/>
      <c r="BJ3188" s="15"/>
    </row>
    <row r="3189" spans="30:62" x14ac:dyDescent="0.2">
      <c r="AD3189" s="6"/>
      <c r="BJ3189" s="15"/>
    </row>
    <row r="3190" spans="30:62" x14ac:dyDescent="0.2">
      <c r="AD3190" s="6"/>
      <c r="BJ3190" s="15"/>
    </row>
    <row r="3191" spans="30:62" x14ac:dyDescent="0.2">
      <c r="AD3191" s="6"/>
      <c r="BJ3191" s="15"/>
    </row>
    <row r="3192" spans="30:62" x14ac:dyDescent="0.2">
      <c r="AD3192" s="6"/>
      <c r="BJ3192" s="15"/>
    </row>
    <row r="3193" spans="30:62" x14ac:dyDescent="0.2">
      <c r="AD3193" s="6"/>
      <c r="BJ3193" s="15"/>
    </row>
    <row r="3194" spans="30:62" x14ac:dyDescent="0.2">
      <c r="AD3194" s="6"/>
      <c r="BJ3194" s="15"/>
    </row>
    <row r="3195" spans="30:62" x14ac:dyDescent="0.2">
      <c r="AD3195" s="6"/>
      <c r="BJ3195" s="15"/>
    </row>
    <row r="3196" spans="30:62" x14ac:dyDescent="0.2">
      <c r="AD3196" s="6"/>
      <c r="BJ3196" s="15"/>
    </row>
    <row r="3197" spans="30:62" x14ac:dyDescent="0.2">
      <c r="AD3197" s="6"/>
      <c r="BJ3197" s="15"/>
    </row>
    <row r="3198" spans="30:62" x14ac:dyDescent="0.2">
      <c r="AD3198" s="6"/>
      <c r="BJ3198" s="15"/>
    </row>
    <row r="3199" spans="30:62" x14ac:dyDescent="0.2">
      <c r="AD3199" s="6"/>
      <c r="BJ3199" s="15"/>
    </row>
    <row r="3200" spans="30:62" x14ac:dyDescent="0.2">
      <c r="AD3200" s="6"/>
      <c r="BJ3200" s="15"/>
    </row>
    <row r="3201" spans="30:62" x14ac:dyDescent="0.2">
      <c r="AD3201" s="6"/>
      <c r="BJ3201" s="15"/>
    </row>
    <row r="3202" spans="30:62" x14ac:dyDescent="0.2">
      <c r="AD3202" s="6"/>
      <c r="BJ3202" s="15"/>
    </row>
    <row r="3203" spans="30:62" x14ac:dyDescent="0.2">
      <c r="AD3203" s="6"/>
      <c r="BJ3203" s="15"/>
    </row>
    <row r="3204" spans="30:62" x14ac:dyDescent="0.2">
      <c r="AD3204" s="6"/>
      <c r="BJ3204" s="15"/>
    </row>
    <row r="3205" spans="30:62" x14ac:dyDescent="0.2">
      <c r="AD3205" s="6"/>
      <c r="BJ3205" s="15"/>
    </row>
    <row r="3206" spans="30:62" x14ac:dyDescent="0.2">
      <c r="AD3206" s="6"/>
      <c r="BJ3206" s="15"/>
    </row>
    <row r="3207" spans="30:62" x14ac:dyDescent="0.2">
      <c r="AD3207" s="6"/>
      <c r="BJ3207" s="15"/>
    </row>
    <row r="3208" spans="30:62" x14ac:dyDescent="0.2">
      <c r="AD3208" s="6"/>
      <c r="BJ3208" s="15"/>
    </row>
    <row r="3209" spans="30:62" x14ac:dyDescent="0.2">
      <c r="AD3209" s="6"/>
      <c r="BJ3209" s="15"/>
    </row>
    <row r="3210" spans="30:62" x14ac:dyDescent="0.2">
      <c r="AD3210" s="6"/>
      <c r="BJ3210" s="15"/>
    </row>
    <row r="3211" spans="30:62" x14ac:dyDescent="0.2">
      <c r="AD3211" s="6"/>
      <c r="BJ3211" s="15"/>
    </row>
    <row r="3212" spans="30:62" x14ac:dyDescent="0.2">
      <c r="AD3212" s="6"/>
      <c r="BJ3212" s="15"/>
    </row>
    <row r="3213" spans="30:62" x14ac:dyDescent="0.2">
      <c r="AD3213" s="6"/>
      <c r="BJ3213" s="15"/>
    </row>
    <row r="3214" spans="30:62" x14ac:dyDescent="0.2">
      <c r="AD3214" s="6"/>
      <c r="BJ3214" s="15"/>
    </row>
    <row r="3215" spans="30:62" x14ac:dyDescent="0.2">
      <c r="AD3215" s="6"/>
      <c r="BJ3215" s="15"/>
    </row>
    <row r="3216" spans="30:62" x14ac:dyDescent="0.2">
      <c r="AD3216" s="6"/>
      <c r="BJ3216" s="15"/>
    </row>
    <row r="3217" spans="30:62" x14ac:dyDescent="0.2">
      <c r="AD3217" s="6"/>
      <c r="BJ3217" s="15"/>
    </row>
    <row r="3218" spans="30:62" x14ac:dyDescent="0.2">
      <c r="AD3218" s="6"/>
      <c r="BJ3218" s="15"/>
    </row>
    <row r="3219" spans="30:62" x14ac:dyDescent="0.2">
      <c r="AD3219" s="6"/>
      <c r="BJ3219" s="15"/>
    </row>
    <row r="3220" spans="30:62" x14ac:dyDescent="0.2">
      <c r="AD3220" s="6"/>
      <c r="BJ3220" s="15"/>
    </row>
    <row r="3221" spans="30:62" x14ac:dyDescent="0.2">
      <c r="AD3221" s="6"/>
      <c r="BJ3221" s="15"/>
    </row>
    <row r="3222" spans="30:62" x14ac:dyDescent="0.2">
      <c r="AD3222" s="6"/>
      <c r="BJ3222" s="15"/>
    </row>
    <row r="3223" spans="30:62" x14ac:dyDescent="0.2">
      <c r="AD3223" s="6"/>
      <c r="BJ3223" s="15"/>
    </row>
    <row r="3224" spans="30:62" x14ac:dyDescent="0.2">
      <c r="AD3224" s="6"/>
      <c r="BJ3224" s="15"/>
    </row>
    <row r="3225" spans="30:62" x14ac:dyDescent="0.2">
      <c r="AD3225" s="6"/>
      <c r="BJ3225" s="15"/>
    </row>
    <row r="3226" spans="30:62" x14ac:dyDescent="0.2">
      <c r="AD3226" s="6"/>
      <c r="BJ3226" s="15"/>
    </row>
    <row r="3227" spans="30:62" x14ac:dyDescent="0.2">
      <c r="AD3227" s="6"/>
      <c r="BJ3227" s="15"/>
    </row>
    <row r="3228" spans="30:62" x14ac:dyDescent="0.2">
      <c r="AD3228" s="6"/>
      <c r="BJ3228" s="15"/>
    </row>
    <row r="3229" spans="30:62" x14ac:dyDescent="0.2">
      <c r="AD3229" s="6"/>
      <c r="BJ3229" s="15"/>
    </row>
    <row r="3230" spans="30:62" x14ac:dyDescent="0.2">
      <c r="AD3230" s="6"/>
      <c r="BJ3230" s="15"/>
    </row>
    <row r="3231" spans="30:62" x14ac:dyDescent="0.2">
      <c r="AD3231" s="6"/>
      <c r="BJ3231" s="15"/>
    </row>
    <row r="3232" spans="30:62" x14ac:dyDescent="0.2">
      <c r="AD3232" s="6"/>
      <c r="BJ3232" s="15"/>
    </row>
    <row r="3233" spans="30:62" x14ac:dyDescent="0.2">
      <c r="AD3233" s="6"/>
      <c r="BJ3233" s="15"/>
    </row>
    <row r="3234" spans="30:62" x14ac:dyDescent="0.2">
      <c r="AD3234" s="6"/>
      <c r="BJ3234" s="15"/>
    </row>
    <row r="3235" spans="30:62" x14ac:dyDescent="0.2">
      <c r="AD3235" s="6"/>
      <c r="BJ3235" s="15"/>
    </row>
    <row r="3236" spans="30:62" x14ac:dyDescent="0.2">
      <c r="AD3236" s="6"/>
      <c r="BJ3236" s="15"/>
    </row>
    <row r="3237" spans="30:62" x14ac:dyDescent="0.2">
      <c r="AD3237" s="6"/>
      <c r="BJ3237" s="15"/>
    </row>
    <row r="3238" spans="30:62" x14ac:dyDescent="0.2">
      <c r="AD3238" s="6"/>
      <c r="BJ3238" s="15"/>
    </row>
    <row r="3239" spans="30:62" x14ac:dyDescent="0.2">
      <c r="AD3239" s="6"/>
      <c r="BJ3239" s="15"/>
    </row>
    <row r="3240" spans="30:62" x14ac:dyDescent="0.2">
      <c r="AD3240" s="6"/>
      <c r="BJ3240" s="15"/>
    </row>
    <row r="3241" spans="30:62" x14ac:dyDescent="0.2">
      <c r="AD3241" s="6"/>
      <c r="BJ3241" s="15"/>
    </row>
    <row r="3242" spans="30:62" x14ac:dyDescent="0.2">
      <c r="AD3242" s="6"/>
      <c r="BJ3242" s="15"/>
    </row>
    <row r="3243" spans="30:62" x14ac:dyDescent="0.2">
      <c r="AD3243" s="6"/>
      <c r="BJ3243" s="15"/>
    </row>
    <row r="3244" spans="30:62" x14ac:dyDescent="0.2">
      <c r="AD3244" s="6"/>
      <c r="BJ3244" s="15"/>
    </row>
    <row r="3245" spans="30:62" x14ac:dyDescent="0.2">
      <c r="AD3245" s="6"/>
      <c r="BJ3245" s="15"/>
    </row>
    <row r="3246" spans="30:62" x14ac:dyDescent="0.2">
      <c r="AD3246" s="6"/>
      <c r="BJ3246" s="15"/>
    </row>
    <row r="3247" spans="30:62" x14ac:dyDescent="0.2">
      <c r="AD3247" s="6"/>
      <c r="BJ3247" s="15"/>
    </row>
    <row r="3248" spans="30:62" x14ac:dyDescent="0.2">
      <c r="AD3248" s="6"/>
      <c r="BJ3248" s="15"/>
    </row>
    <row r="3249" spans="30:62" x14ac:dyDescent="0.2">
      <c r="AD3249" s="6"/>
      <c r="BJ3249" s="15"/>
    </row>
    <row r="3250" spans="30:62" x14ac:dyDescent="0.2">
      <c r="AD3250" s="6"/>
      <c r="BJ3250" s="15"/>
    </row>
    <row r="3251" spans="30:62" x14ac:dyDescent="0.2">
      <c r="AD3251" s="6"/>
      <c r="BJ3251" s="15"/>
    </row>
    <row r="3252" spans="30:62" x14ac:dyDescent="0.2">
      <c r="AD3252" s="6"/>
      <c r="BJ3252" s="15"/>
    </row>
    <row r="3253" spans="30:62" x14ac:dyDescent="0.2">
      <c r="AD3253" s="6"/>
      <c r="BJ3253" s="15"/>
    </row>
    <row r="3254" spans="30:62" x14ac:dyDescent="0.2">
      <c r="AD3254" s="6"/>
      <c r="BJ3254" s="15"/>
    </row>
    <row r="3255" spans="30:62" x14ac:dyDescent="0.2">
      <c r="AD3255" s="6"/>
      <c r="BJ3255" s="15"/>
    </row>
    <row r="3256" spans="30:62" x14ac:dyDescent="0.2">
      <c r="AD3256" s="6"/>
      <c r="BJ3256" s="15"/>
    </row>
    <row r="3257" spans="30:62" x14ac:dyDescent="0.2">
      <c r="AD3257" s="6"/>
      <c r="BJ3257" s="15"/>
    </row>
    <row r="3258" spans="30:62" x14ac:dyDescent="0.2">
      <c r="AD3258" s="6"/>
      <c r="BJ3258" s="15"/>
    </row>
    <row r="3259" spans="30:62" x14ac:dyDescent="0.2">
      <c r="AD3259" s="6"/>
      <c r="BJ3259" s="15"/>
    </row>
    <row r="3260" spans="30:62" x14ac:dyDescent="0.2">
      <c r="AD3260" s="6"/>
      <c r="BJ3260" s="15"/>
    </row>
    <row r="3261" spans="30:62" x14ac:dyDescent="0.2">
      <c r="AD3261" s="6"/>
      <c r="BJ3261" s="15"/>
    </row>
    <row r="3262" spans="30:62" x14ac:dyDescent="0.2">
      <c r="AD3262" s="6"/>
      <c r="BJ3262" s="15"/>
    </row>
    <row r="3263" spans="30:62" x14ac:dyDescent="0.2">
      <c r="AD3263" s="6"/>
      <c r="BJ3263" s="15"/>
    </row>
    <row r="3264" spans="30:62" x14ac:dyDescent="0.2">
      <c r="AD3264" s="6"/>
      <c r="BJ3264" s="15"/>
    </row>
    <row r="3265" spans="30:62" x14ac:dyDescent="0.2">
      <c r="AD3265" s="6"/>
      <c r="BJ3265" s="15"/>
    </row>
    <row r="3266" spans="30:62" x14ac:dyDescent="0.2">
      <c r="AD3266" s="6"/>
      <c r="BJ3266" s="15"/>
    </row>
    <row r="3267" spans="30:62" x14ac:dyDescent="0.2">
      <c r="AD3267" s="6"/>
      <c r="BJ3267" s="15"/>
    </row>
    <row r="3268" spans="30:62" x14ac:dyDescent="0.2">
      <c r="AD3268" s="6"/>
      <c r="BJ3268" s="15"/>
    </row>
    <row r="3269" spans="30:62" x14ac:dyDescent="0.2">
      <c r="AD3269" s="6"/>
      <c r="BJ3269" s="15"/>
    </row>
    <row r="3270" spans="30:62" x14ac:dyDescent="0.2">
      <c r="AD3270" s="6"/>
      <c r="BJ3270" s="15"/>
    </row>
    <row r="3271" spans="30:62" x14ac:dyDescent="0.2">
      <c r="AD3271" s="6"/>
      <c r="BJ3271" s="15"/>
    </row>
    <row r="3272" spans="30:62" x14ac:dyDescent="0.2">
      <c r="AD3272" s="6"/>
      <c r="BJ3272" s="15"/>
    </row>
    <row r="3273" spans="30:62" x14ac:dyDescent="0.2">
      <c r="AD3273" s="6"/>
      <c r="BJ3273" s="15"/>
    </row>
    <row r="3274" spans="30:62" x14ac:dyDescent="0.2">
      <c r="AD3274" s="6"/>
      <c r="BJ3274" s="15"/>
    </row>
    <row r="3275" spans="30:62" x14ac:dyDescent="0.2">
      <c r="AD3275" s="6"/>
      <c r="BJ3275" s="15"/>
    </row>
    <row r="3276" spans="30:62" x14ac:dyDescent="0.2">
      <c r="AD3276" s="6"/>
      <c r="BJ3276" s="15"/>
    </row>
    <row r="3277" spans="30:62" x14ac:dyDescent="0.2">
      <c r="AD3277" s="6"/>
      <c r="BJ3277" s="15"/>
    </row>
    <row r="3278" spans="30:62" x14ac:dyDescent="0.2">
      <c r="AD3278" s="6"/>
      <c r="BJ3278" s="15"/>
    </row>
    <row r="3279" spans="30:62" x14ac:dyDescent="0.2">
      <c r="AD3279" s="6"/>
      <c r="BJ3279" s="15"/>
    </row>
    <row r="3280" spans="30:62" x14ac:dyDescent="0.2">
      <c r="AD3280" s="6"/>
      <c r="BJ3280" s="15"/>
    </row>
    <row r="3281" spans="30:62" x14ac:dyDescent="0.2">
      <c r="AD3281" s="6"/>
      <c r="BJ3281" s="15"/>
    </row>
    <row r="3282" spans="30:62" x14ac:dyDescent="0.2">
      <c r="AD3282" s="6"/>
      <c r="BJ3282" s="15"/>
    </row>
    <row r="3283" spans="30:62" x14ac:dyDescent="0.2">
      <c r="AD3283" s="6"/>
      <c r="BJ3283" s="15"/>
    </row>
    <row r="3284" spans="30:62" x14ac:dyDescent="0.2">
      <c r="AD3284" s="6"/>
      <c r="BJ3284" s="15"/>
    </row>
    <row r="3285" spans="30:62" x14ac:dyDescent="0.2">
      <c r="AD3285" s="6"/>
      <c r="BJ3285" s="15"/>
    </row>
    <row r="3286" spans="30:62" x14ac:dyDescent="0.2">
      <c r="AD3286" s="6"/>
      <c r="BJ3286" s="15"/>
    </row>
    <row r="3287" spans="30:62" x14ac:dyDescent="0.2">
      <c r="AD3287" s="6"/>
      <c r="BJ3287" s="15"/>
    </row>
    <row r="3288" spans="30:62" x14ac:dyDescent="0.2">
      <c r="AD3288" s="6"/>
      <c r="BJ3288" s="15"/>
    </row>
    <row r="3289" spans="30:62" x14ac:dyDescent="0.2">
      <c r="AD3289" s="6"/>
      <c r="BJ3289" s="15"/>
    </row>
    <row r="3290" spans="30:62" x14ac:dyDescent="0.2">
      <c r="AD3290" s="6"/>
      <c r="BJ3290" s="15"/>
    </row>
    <row r="3291" spans="30:62" x14ac:dyDescent="0.2">
      <c r="AD3291" s="6"/>
      <c r="BJ3291" s="15"/>
    </row>
    <row r="3292" spans="30:62" x14ac:dyDescent="0.2">
      <c r="AD3292" s="6"/>
      <c r="BJ3292" s="15"/>
    </row>
    <row r="3293" spans="30:62" x14ac:dyDescent="0.2">
      <c r="AD3293" s="6"/>
      <c r="BJ3293" s="15"/>
    </row>
    <row r="3294" spans="30:62" x14ac:dyDescent="0.2">
      <c r="AD3294" s="6"/>
      <c r="BJ3294" s="15"/>
    </row>
    <row r="3295" spans="30:62" x14ac:dyDescent="0.2">
      <c r="AD3295" s="6"/>
      <c r="BJ3295" s="15"/>
    </row>
    <row r="3296" spans="30:62" x14ac:dyDescent="0.2">
      <c r="AD3296" s="6"/>
      <c r="BJ3296" s="15"/>
    </row>
    <row r="3297" spans="30:62" x14ac:dyDescent="0.2">
      <c r="AD3297" s="6"/>
      <c r="BJ3297" s="15"/>
    </row>
    <row r="3298" spans="30:62" x14ac:dyDescent="0.2">
      <c r="AD3298" s="6"/>
      <c r="BJ3298" s="15"/>
    </row>
    <row r="3299" spans="30:62" x14ac:dyDescent="0.2">
      <c r="AD3299" s="6"/>
      <c r="BJ3299" s="15"/>
    </row>
    <row r="3300" spans="30:62" x14ac:dyDescent="0.2">
      <c r="AD3300" s="6"/>
      <c r="BJ3300" s="15"/>
    </row>
    <row r="3301" spans="30:62" x14ac:dyDescent="0.2">
      <c r="AD3301" s="6"/>
      <c r="BJ3301" s="15"/>
    </row>
    <row r="3302" spans="30:62" x14ac:dyDescent="0.2">
      <c r="AD3302" s="6"/>
      <c r="BJ3302" s="15"/>
    </row>
    <row r="3303" spans="30:62" x14ac:dyDescent="0.2">
      <c r="AD3303" s="6"/>
      <c r="BJ3303" s="15"/>
    </row>
    <row r="3304" spans="30:62" x14ac:dyDescent="0.2">
      <c r="AD3304" s="6"/>
      <c r="BJ3304" s="15"/>
    </row>
    <row r="3305" spans="30:62" x14ac:dyDescent="0.2">
      <c r="AD3305" s="6"/>
      <c r="BJ3305" s="15"/>
    </row>
    <row r="3306" spans="30:62" x14ac:dyDescent="0.2">
      <c r="AD3306" s="6"/>
      <c r="BJ3306" s="15"/>
    </row>
    <row r="3307" spans="30:62" x14ac:dyDescent="0.2">
      <c r="AD3307" s="6"/>
      <c r="BJ3307" s="15"/>
    </row>
    <row r="3308" spans="30:62" x14ac:dyDescent="0.2">
      <c r="AD3308" s="6"/>
      <c r="BJ3308" s="15"/>
    </row>
    <row r="3309" spans="30:62" x14ac:dyDescent="0.2">
      <c r="AD3309" s="6"/>
      <c r="BJ3309" s="15"/>
    </row>
    <row r="3310" spans="30:62" x14ac:dyDescent="0.2">
      <c r="AD3310" s="6"/>
      <c r="BJ3310" s="15"/>
    </row>
    <row r="3311" spans="30:62" x14ac:dyDescent="0.2">
      <c r="AD3311" s="6"/>
      <c r="BJ3311" s="15"/>
    </row>
    <row r="3312" spans="30:62" x14ac:dyDescent="0.2">
      <c r="AD3312" s="6"/>
      <c r="BJ3312" s="15"/>
    </row>
    <row r="3313" spans="30:62" x14ac:dyDescent="0.2">
      <c r="AD3313" s="6"/>
      <c r="BJ3313" s="15"/>
    </row>
    <row r="3314" spans="30:62" x14ac:dyDescent="0.2">
      <c r="AD3314" s="6"/>
      <c r="BJ3314" s="15"/>
    </row>
    <row r="3315" spans="30:62" x14ac:dyDescent="0.2">
      <c r="AD3315" s="6"/>
      <c r="BJ3315" s="15"/>
    </row>
    <row r="3316" spans="30:62" x14ac:dyDescent="0.2">
      <c r="AD3316" s="6"/>
      <c r="BJ3316" s="15"/>
    </row>
    <row r="3317" spans="30:62" x14ac:dyDescent="0.2">
      <c r="AD3317" s="6"/>
      <c r="BJ3317" s="15"/>
    </row>
    <row r="3318" spans="30:62" x14ac:dyDescent="0.2">
      <c r="AD3318" s="6"/>
      <c r="BJ3318" s="15"/>
    </row>
    <row r="3319" spans="30:62" x14ac:dyDescent="0.2">
      <c r="AD3319" s="6"/>
      <c r="BJ3319" s="15"/>
    </row>
    <row r="3320" spans="30:62" x14ac:dyDescent="0.2">
      <c r="AD3320" s="6"/>
      <c r="BJ3320" s="15"/>
    </row>
    <row r="3321" spans="30:62" x14ac:dyDescent="0.2">
      <c r="AD3321" s="6"/>
      <c r="BJ3321" s="15"/>
    </row>
    <row r="3322" spans="30:62" x14ac:dyDescent="0.2">
      <c r="AD3322" s="6"/>
      <c r="BJ3322" s="15"/>
    </row>
    <row r="3323" spans="30:62" x14ac:dyDescent="0.2">
      <c r="AD3323" s="6"/>
      <c r="BJ3323" s="15"/>
    </row>
    <row r="3324" spans="30:62" x14ac:dyDescent="0.2">
      <c r="AD3324" s="6"/>
      <c r="BJ3324" s="15"/>
    </row>
    <row r="3325" spans="30:62" x14ac:dyDescent="0.2">
      <c r="AD3325" s="6"/>
      <c r="BJ3325" s="15"/>
    </row>
    <row r="3326" spans="30:62" x14ac:dyDescent="0.2">
      <c r="AD3326" s="6"/>
      <c r="BJ3326" s="15"/>
    </row>
    <row r="3327" spans="30:62" x14ac:dyDescent="0.2">
      <c r="AD3327" s="6"/>
      <c r="BJ3327" s="15"/>
    </row>
    <row r="3328" spans="30:62" x14ac:dyDescent="0.2">
      <c r="AD3328" s="6"/>
      <c r="BJ3328" s="15"/>
    </row>
    <row r="3329" spans="30:62" x14ac:dyDescent="0.2">
      <c r="AD3329" s="6"/>
      <c r="BJ3329" s="15"/>
    </row>
    <row r="3330" spans="30:62" x14ac:dyDescent="0.2">
      <c r="AD3330" s="6"/>
      <c r="BJ3330" s="15"/>
    </row>
    <row r="3331" spans="30:62" x14ac:dyDescent="0.2">
      <c r="AD3331" s="6"/>
      <c r="BJ3331" s="15"/>
    </row>
    <row r="3332" spans="30:62" x14ac:dyDescent="0.2">
      <c r="AD3332" s="6"/>
      <c r="BJ3332" s="15"/>
    </row>
    <row r="3333" spans="30:62" x14ac:dyDescent="0.2">
      <c r="AD3333" s="6"/>
      <c r="BJ3333" s="15"/>
    </row>
    <row r="3334" spans="30:62" x14ac:dyDescent="0.2">
      <c r="AD3334" s="6"/>
      <c r="BJ3334" s="15"/>
    </row>
    <row r="3335" spans="30:62" x14ac:dyDescent="0.2">
      <c r="AD3335" s="6"/>
      <c r="BJ3335" s="15"/>
    </row>
    <row r="3336" spans="30:62" x14ac:dyDescent="0.2">
      <c r="AD3336" s="6"/>
      <c r="BJ3336" s="15"/>
    </row>
    <row r="3337" spans="30:62" x14ac:dyDescent="0.2">
      <c r="AD3337" s="6"/>
      <c r="BJ3337" s="15"/>
    </row>
    <row r="3338" spans="30:62" x14ac:dyDescent="0.2">
      <c r="AD3338" s="6"/>
      <c r="BJ3338" s="15"/>
    </row>
    <row r="3339" spans="30:62" x14ac:dyDescent="0.2">
      <c r="AD3339" s="6"/>
      <c r="BJ3339" s="15"/>
    </row>
    <row r="3340" spans="30:62" x14ac:dyDescent="0.2">
      <c r="AD3340" s="6"/>
      <c r="BJ3340" s="15"/>
    </row>
    <row r="3341" spans="30:62" x14ac:dyDescent="0.2">
      <c r="AD3341" s="6"/>
      <c r="BJ3341" s="15"/>
    </row>
    <row r="3342" spans="30:62" x14ac:dyDescent="0.2">
      <c r="AD3342" s="6"/>
      <c r="BJ3342" s="15"/>
    </row>
    <row r="3343" spans="30:62" x14ac:dyDescent="0.2">
      <c r="AD3343" s="6"/>
      <c r="BJ3343" s="15"/>
    </row>
    <row r="3344" spans="30:62" x14ac:dyDescent="0.2">
      <c r="AD3344" s="6"/>
      <c r="BJ3344" s="15"/>
    </row>
    <row r="3345" spans="30:62" x14ac:dyDescent="0.2">
      <c r="AD3345" s="6"/>
      <c r="BJ3345" s="15"/>
    </row>
    <row r="3346" spans="30:62" x14ac:dyDescent="0.2">
      <c r="AD3346" s="6"/>
      <c r="BJ3346" s="15"/>
    </row>
    <row r="3347" spans="30:62" x14ac:dyDescent="0.2">
      <c r="AD3347" s="6"/>
      <c r="BJ3347" s="15"/>
    </row>
    <row r="3348" spans="30:62" x14ac:dyDescent="0.2">
      <c r="AD3348" s="6"/>
      <c r="BJ3348" s="15"/>
    </row>
    <row r="3349" spans="30:62" x14ac:dyDescent="0.2">
      <c r="AD3349" s="6"/>
      <c r="BJ3349" s="15"/>
    </row>
    <row r="3350" spans="30:62" x14ac:dyDescent="0.2">
      <c r="AD3350" s="6"/>
      <c r="BJ3350" s="15"/>
    </row>
    <row r="3351" spans="30:62" x14ac:dyDescent="0.2">
      <c r="AD3351" s="6"/>
      <c r="BJ3351" s="15"/>
    </row>
    <row r="3352" spans="30:62" x14ac:dyDescent="0.2">
      <c r="AD3352" s="6"/>
      <c r="BJ3352" s="15"/>
    </row>
    <row r="3353" spans="30:62" x14ac:dyDescent="0.2">
      <c r="AD3353" s="6"/>
      <c r="BJ3353" s="15"/>
    </row>
    <row r="3354" spans="30:62" x14ac:dyDescent="0.2">
      <c r="AD3354" s="6"/>
      <c r="BJ3354" s="15"/>
    </row>
    <row r="3355" spans="30:62" x14ac:dyDescent="0.2">
      <c r="AD3355" s="6"/>
      <c r="BJ3355" s="15"/>
    </row>
    <row r="3356" spans="30:62" x14ac:dyDescent="0.2">
      <c r="AD3356" s="6"/>
      <c r="BJ3356" s="15"/>
    </row>
    <row r="3357" spans="30:62" x14ac:dyDescent="0.2">
      <c r="AD3357" s="6"/>
      <c r="BJ3357" s="15"/>
    </row>
    <row r="3358" spans="30:62" x14ac:dyDescent="0.2">
      <c r="AD3358" s="6"/>
      <c r="BJ3358" s="15"/>
    </row>
    <row r="3359" spans="30:62" x14ac:dyDescent="0.2">
      <c r="AD3359" s="6"/>
      <c r="BJ3359" s="15"/>
    </row>
    <row r="3360" spans="30:62" x14ac:dyDescent="0.2">
      <c r="AD3360" s="6"/>
      <c r="BJ3360" s="15"/>
    </row>
    <row r="3361" spans="30:62" x14ac:dyDescent="0.2">
      <c r="AD3361" s="6"/>
      <c r="BJ3361" s="15"/>
    </row>
    <row r="3362" spans="30:62" x14ac:dyDescent="0.2">
      <c r="AD3362" s="6"/>
      <c r="BJ3362" s="15"/>
    </row>
    <row r="3363" spans="30:62" x14ac:dyDescent="0.2">
      <c r="AD3363" s="6"/>
      <c r="BJ3363" s="15"/>
    </row>
    <row r="3364" spans="30:62" x14ac:dyDescent="0.2">
      <c r="AD3364" s="6"/>
      <c r="BJ3364" s="15"/>
    </row>
    <row r="3365" spans="30:62" x14ac:dyDescent="0.2">
      <c r="AD3365" s="6"/>
      <c r="BJ3365" s="15"/>
    </row>
    <row r="3366" spans="30:62" x14ac:dyDescent="0.2">
      <c r="AD3366" s="6"/>
      <c r="BJ3366" s="15"/>
    </row>
    <row r="3367" spans="30:62" x14ac:dyDescent="0.2">
      <c r="AD3367" s="6"/>
      <c r="BJ3367" s="15"/>
    </row>
    <row r="3368" spans="30:62" x14ac:dyDescent="0.2">
      <c r="AD3368" s="6"/>
      <c r="BJ3368" s="15"/>
    </row>
    <row r="3369" spans="30:62" x14ac:dyDescent="0.2">
      <c r="AD3369" s="6"/>
      <c r="BJ3369" s="15"/>
    </row>
    <row r="3370" spans="30:62" x14ac:dyDescent="0.2">
      <c r="AD3370" s="6"/>
      <c r="BJ3370" s="15"/>
    </row>
    <row r="3371" spans="30:62" x14ac:dyDescent="0.2">
      <c r="AD3371" s="6"/>
      <c r="BJ3371" s="15"/>
    </row>
    <row r="3372" spans="30:62" x14ac:dyDescent="0.2">
      <c r="AD3372" s="6"/>
      <c r="BJ3372" s="15"/>
    </row>
    <row r="3373" spans="30:62" x14ac:dyDescent="0.2">
      <c r="AD3373" s="6"/>
      <c r="BJ3373" s="15"/>
    </row>
    <row r="3374" spans="30:62" x14ac:dyDescent="0.2">
      <c r="AD3374" s="6"/>
      <c r="BJ3374" s="15"/>
    </row>
    <row r="3375" spans="30:62" x14ac:dyDescent="0.2">
      <c r="AD3375" s="6"/>
      <c r="BJ3375" s="15"/>
    </row>
    <row r="3376" spans="30:62" x14ac:dyDescent="0.2">
      <c r="AD3376" s="6"/>
      <c r="BJ3376" s="15"/>
    </row>
    <row r="3377" spans="30:62" x14ac:dyDescent="0.2">
      <c r="AD3377" s="6"/>
      <c r="BJ3377" s="15"/>
    </row>
    <row r="3378" spans="30:62" x14ac:dyDescent="0.2">
      <c r="AD3378" s="6"/>
      <c r="BJ3378" s="15"/>
    </row>
    <row r="3379" spans="30:62" x14ac:dyDescent="0.2">
      <c r="AD3379" s="6"/>
      <c r="BJ3379" s="15"/>
    </row>
    <row r="3380" spans="30:62" x14ac:dyDescent="0.2">
      <c r="AD3380" s="6"/>
      <c r="BJ3380" s="15"/>
    </row>
    <row r="3381" spans="30:62" x14ac:dyDescent="0.2">
      <c r="AD3381" s="6"/>
      <c r="BJ3381" s="15"/>
    </row>
    <row r="3382" spans="30:62" x14ac:dyDescent="0.2">
      <c r="AD3382" s="6"/>
      <c r="BJ3382" s="15"/>
    </row>
    <row r="3383" spans="30:62" x14ac:dyDescent="0.2">
      <c r="AD3383" s="6"/>
      <c r="BJ3383" s="15"/>
    </row>
    <row r="3384" spans="30:62" x14ac:dyDescent="0.2">
      <c r="AD3384" s="6"/>
      <c r="BJ3384" s="15"/>
    </row>
    <row r="3385" spans="30:62" x14ac:dyDescent="0.2">
      <c r="AD3385" s="6"/>
      <c r="BJ3385" s="15"/>
    </row>
    <row r="3386" spans="30:62" x14ac:dyDescent="0.2">
      <c r="AD3386" s="6"/>
      <c r="BJ3386" s="15"/>
    </row>
    <row r="3387" spans="30:62" x14ac:dyDescent="0.2">
      <c r="AD3387" s="6"/>
      <c r="BJ3387" s="15"/>
    </row>
    <row r="3388" spans="30:62" x14ac:dyDescent="0.2">
      <c r="AD3388" s="6"/>
      <c r="BJ3388" s="15"/>
    </row>
    <row r="3389" spans="30:62" x14ac:dyDescent="0.2">
      <c r="AD3389" s="6"/>
      <c r="BJ3389" s="15"/>
    </row>
    <row r="3390" spans="30:62" x14ac:dyDescent="0.2">
      <c r="AD3390" s="6"/>
      <c r="BJ3390" s="15"/>
    </row>
    <row r="3391" spans="30:62" x14ac:dyDescent="0.2">
      <c r="AD3391" s="6"/>
      <c r="BJ3391" s="15"/>
    </row>
    <row r="3392" spans="30:62" x14ac:dyDescent="0.2">
      <c r="AD3392" s="6"/>
      <c r="BJ3392" s="15"/>
    </row>
    <row r="3393" spans="30:62" x14ac:dyDescent="0.2">
      <c r="AD3393" s="6"/>
      <c r="BJ3393" s="15"/>
    </row>
    <row r="3394" spans="30:62" x14ac:dyDescent="0.2">
      <c r="AD3394" s="6"/>
      <c r="BJ3394" s="15"/>
    </row>
    <row r="3395" spans="30:62" x14ac:dyDescent="0.2">
      <c r="AD3395" s="6"/>
      <c r="BJ3395" s="15"/>
    </row>
    <row r="3396" spans="30:62" x14ac:dyDescent="0.2">
      <c r="AD3396" s="6"/>
      <c r="BJ3396" s="15"/>
    </row>
    <row r="3397" spans="30:62" x14ac:dyDescent="0.2">
      <c r="AD3397" s="6"/>
      <c r="BJ3397" s="15"/>
    </row>
    <row r="3398" spans="30:62" x14ac:dyDescent="0.2">
      <c r="AD3398" s="6"/>
      <c r="BJ3398" s="15"/>
    </row>
    <row r="3399" spans="30:62" x14ac:dyDescent="0.2">
      <c r="AD3399" s="6"/>
      <c r="BJ3399" s="15"/>
    </row>
    <row r="3400" spans="30:62" x14ac:dyDescent="0.2">
      <c r="AD3400" s="6"/>
      <c r="BJ3400" s="15"/>
    </row>
    <row r="3401" spans="30:62" x14ac:dyDescent="0.2">
      <c r="AD3401" s="6"/>
      <c r="BJ3401" s="15"/>
    </row>
    <row r="3402" spans="30:62" x14ac:dyDescent="0.2">
      <c r="AD3402" s="6"/>
      <c r="BJ3402" s="15"/>
    </row>
    <row r="3403" spans="30:62" x14ac:dyDescent="0.2">
      <c r="AD3403" s="6"/>
      <c r="BJ3403" s="15"/>
    </row>
    <row r="3404" spans="30:62" x14ac:dyDescent="0.2">
      <c r="AD3404" s="6"/>
      <c r="BJ3404" s="15"/>
    </row>
    <row r="3405" spans="30:62" x14ac:dyDescent="0.2">
      <c r="AD3405" s="6"/>
      <c r="BJ3405" s="15"/>
    </row>
    <row r="3406" spans="30:62" x14ac:dyDescent="0.2">
      <c r="AD3406" s="6"/>
      <c r="BJ3406" s="15"/>
    </row>
    <row r="3407" spans="30:62" x14ac:dyDescent="0.2">
      <c r="AD3407" s="6"/>
      <c r="BJ3407" s="15"/>
    </row>
    <row r="3408" spans="30:62" x14ac:dyDescent="0.2">
      <c r="AD3408" s="6"/>
      <c r="BJ3408" s="15"/>
    </row>
    <row r="3409" spans="30:62" x14ac:dyDescent="0.2">
      <c r="AD3409" s="6"/>
      <c r="BJ3409" s="15"/>
    </row>
    <row r="3410" spans="30:62" x14ac:dyDescent="0.2">
      <c r="AD3410" s="6"/>
      <c r="BJ3410" s="15"/>
    </row>
    <row r="3411" spans="30:62" x14ac:dyDescent="0.2">
      <c r="AD3411" s="6"/>
      <c r="BJ3411" s="15"/>
    </row>
    <row r="3412" spans="30:62" x14ac:dyDescent="0.2">
      <c r="AD3412" s="6"/>
      <c r="BJ3412" s="15"/>
    </row>
    <row r="3413" spans="30:62" x14ac:dyDescent="0.2">
      <c r="AD3413" s="6"/>
      <c r="BJ3413" s="15"/>
    </row>
    <row r="3414" spans="30:62" x14ac:dyDescent="0.2">
      <c r="AD3414" s="6"/>
      <c r="BJ3414" s="15"/>
    </row>
    <row r="3415" spans="30:62" x14ac:dyDescent="0.2">
      <c r="AD3415" s="6"/>
      <c r="BJ3415" s="15"/>
    </row>
    <row r="3416" spans="30:62" x14ac:dyDescent="0.2">
      <c r="AD3416" s="6"/>
      <c r="BJ3416" s="15"/>
    </row>
    <row r="3417" spans="30:62" x14ac:dyDescent="0.2">
      <c r="AD3417" s="6"/>
      <c r="BJ3417" s="15"/>
    </row>
    <row r="3418" spans="30:62" x14ac:dyDescent="0.2">
      <c r="AD3418" s="6"/>
      <c r="BJ3418" s="15"/>
    </row>
    <row r="3419" spans="30:62" x14ac:dyDescent="0.2">
      <c r="AD3419" s="6"/>
      <c r="BJ3419" s="15"/>
    </row>
    <row r="3420" spans="30:62" x14ac:dyDescent="0.2">
      <c r="AD3420" s="6"/>
      <c r="BJ3420" s="15"/>
    </row>
    <row r="3421" spans="30:62" x14ac:dyDescent="0.2">
      <c r="AD3421" s="6"/>
      <c r="BJ3421" s="15"/>
    </row>
    <row r="3422" spans="30:62" x14ac:dyDescent="0.2">
      <c r="AD3422" s="6"/>
      <c r="BJ3422" s="15"/>
    </row>
    <row r="3423" spans="30:62" x14ac:dyDescent="0.2">
      <c r="AD3423" s="6"/>
      <c r="BJ3423" s="15"/>
    </row>
    <row r="3424" spans="30:62" x14ac:dyDescent="0.2">
      <c r="AD3424" s="6"/>
      <c r="BJ3424" s="15"/>
    </row>
    <row r="3425" spans="30:62" x14ac:dyDescent="0.2">
      <c r="AD3425" s="6"/>
      <c r="BJ3425" s="15"/>
    </row>
    <row r="3426" spans="30:62" x14ac:dyDescent="0.2">
      <c r="AD3426" s="6"/>
      <c r="BJ3426" s="15"/>
    </row>
    <row r="3427" spans="30:62" x14ac:dyDescent="0.2">
      <c r="AD3427" s="6"/>
      <c r="BJ3427" s="15"/>
    </row>
    <row r="3428" spans="30:62" x14ac:dyDescent="0.2">
      <c r="AD3428" s="6"/>
      <c r="BJ3428" s="15"/>
    </row>
    <row r="3429" spans="30:62" x14ac:dyDescent="0.2">
      <c r="AD3429" s="6"/>
      <c r="BJ3429" s="15"/>
    </row>
    <row r="3430" spans="30:62" x14ac:dyDescent="0.2">
      <c r="AD3430" s="6"/>
      <c r="BJ3430" s="15"/>
    </row>
    <row r="3431" spans="30:62" x14ac:dyDescent="0.2">
      <c r="AD3431" s="6"/>
      <c r="BJ3431" s="15"/>
    </row>
    <row r="3432" spans="30:62" x14ac:dyDescent="0.2">
      <c r="AD3432" s="6"/>
      <c r="BJ3432" s="15"/>
    </row>
    <row r="3433" spans="30:62" x14ac:dyDescent="0.2">
      <c r="AD3433" s="6"/>
      <c r="BJ3433" s="15"/>
    </row>
    <row r="3434" spans="30:62" x14ac:dyDescent="0.2">
      <c r="AD3434" s="6"/>
      <c r="BJ3434" s="15"/>
    </row>
    <row r="3435" spans="30:62" x14ac:dyDescent="0.2">
      <c r="AD3435" s="6"/>
      <c r="BJ3435" s="15"/>
    </row>
    <row r="3436" spans="30:62" x14ac:dyDescent="0.2">
      <c r="AD3436" s="6"/>
      <c r="BJ3436" s="15"/>
    </row>
    <row r="3437" spans="30:62" x14ac:dyDescent="0.2">
      <c r="AD3437" s="6"/>
      <c r="BJ3437" s="15"/>
    </row>
    <row r="3438" spans="30:62" x14ac:dyDescent="0.2">
      <c r="AD3438" s="6"/>
      <c r="BJ3438" s="15"/>
    </row>
    <row r="3439" spans="30:62" x14ac:dyDescent="0.2">
      <c r="AD3439" s="6"/>
      <c r="BJ3439" s="15"/>
    </row>
    <row r="3440" spans="30:62" x14ac:dyDescent="0.2">
      <c r="AD3440" s="6"/>
      <c r="BJ3440" s="15"/>
    </row>
    <row r="3441" spans="30:62" x14ac:dyDescent="0.2">
      <c r="AD3441" s="6"/>
      <c r="BJ3441" s="15"/>
    </row>
    <row r="3442" spans="30:62" x14ac:dyDescent="0.2">
      <c r="AD3442" s="6"/>
      <c r="BJ3442" s="15"/>
    </row>
    <row r="3443" spans="30:62" x14ac:dyDescent="0.2">
      <c r="AD3443" s="6"/>
      <c r="BJ3443" s="15"/>
    </row>
    <row r="3444" spans="30:62" x14ac:dyDescent="0.2">
      <c r="AD3444" s="6"/>
      <c r="BJ3444" s="15"/>
    </row>
    <row r="3445" spans="30:62" x14ac:dyDescent="0.2">
      <c r="AD3445" s="6"/>
      <c r="BJ3445" s="15"/>
    </row>
    <row r="3446" spans="30:62" x14ac:dyDescent="0.2">
      <c r="AD3446" s="6"/>
      <c r="BJ3446" s="15"/>
    </row>
    <row r="3447" spans="30:62" x14ac:dyDescent="0.2">
      <c r="AD3447" s="6"/>
      <c r="BJ3447" s="15"/>
    </row>
    <row r="3448" spans="30:62" x14ac:dyDescent="0.2">
      <c r="AD3448" s="6"/>
      <c r="BJ3448" s="15"/>
    </row>
    <row r="3449" spans="30:62" x14ac:dyDescent="0.2">
      <c r="AD3449" s="6"/>
      <c r="BJ3449" s="15"/>
    </row>
    <row r="3450" spans="30:62" x14ac:dyDescent="0.2">
      <c r="AD3450" s="6"/>
      <c r="BJ3450" s="15"/>
    </row>
    <row r="3451" spans="30:62" x14ac:dyDescent="0.2">
      <c r="AD3451" s="6"/>
      <c r="BJ3451" s="15"/>
    </row>
    <row r="3452" spans="30:62" x14ac:dyDescent="0.2">
      <c r="AD3452" s="6"/>
      <c r="BJ3452" s="15"/>
    </row>
    <row r="3453" spans="30:62" x14ac:dyDescent="0.2">
      <c r="AD3453" s="6"/>
      <c r="BJ3453" s="15"/>
    </row>
    <row r="3454" spans="30:62" x14ac:dyDescent="0.2">
      <c r="AD3454" s="6"/>
      <c r="BJ3454" s="15"/>
    </row>
    <row r="3455" spans="30:62" x14ac:dyDescent="0.2">
      <c r="AD3455" s="6"/>
      <c r="BJ3455" s="15"/>
    </row>
    <row r="3456" spans="30:62" x14ac:dyDescent="0.2">
      <c r="AD3456" s="6"/>
      <c r="BJ3456" s="15"/>
    </row>
    <row r="3457" spans="30:62" x14ac:dyDescent="0.2">
      <c r="AD3457" s="6"/>
      <c r="BJ3457" s="15"/>
    </row>
    <row r="3458" spans="30:62" x14ac:dyDescent="0.2">
      <c r="AD3458" s="6"/>
      <c r="BJ3458" s="15"/>
    </row>
    <row r="3459" spans="30:62" x14ac:dyDescent="0.2">
      <c r="AD3459" s="6"/>
      <c r="BJ3459" s="15"/>
    </row>
    <row r="3460" spans="30:62" x14ac:dyDescent="0.2">
      <c r="AD3460" s="6"/>
      <c r="BJ3460" s="15"/>
    </row>
    <row r="3461" spans="30:62" x14ac:dyDescent="0.2">
      <c r="AD3461" s="6"/>
      <c r="BJ3461" s="15"/>
    </row>
    <row r="3462" spans="30:62" x14ac:dyDescent="0.2">
      <c r="AD3462" s="6"/>
      <c r="BJ3462" s="15"/>
    </row>
    <row r="3463" spans="30:62" x14ac:dyDescent="0.2">
      <c r="AD3463" s="6"/>
      <c r="BJ3463" s="15"/>
    </row>
    <row r="3464" spans="30:62" x14ac:dyDescent="0.2">
      <c r="AD3464" s="6"/>
      <c r="BJ3464" s="15"/>
    </row>
    <row r="3465" spans="30:62" x14ac:dyDescent="0.2">
      <c r="AD3465" s="6"/>
      <c r="BJ3465" s="15"/>
    </row>
    <row r="3466" spans="30:62" x14ac:dyDescent="0.2">
      <c r="AD3466" s="6"/>
      <c r="BJ3466" s="15"/>
    </row>
    <row r="3467" spans="30:62" x14ac:dyDescent="0.2">
      <c r="AD3467" s="6"/>
      <c r="BJ3467" s="15"/>
    </row>
    <row r="3468" spans="30:62" x14ac:dyDescent="0.2">
      <c r="AD3468" s="6"/>
      <c r="BJ3468" s="15"/>
    </row>
    <row r="3469" spans="30:62" x14ac:dyDescent="0.2">
      <c r="AD3469" s="6"/>
      <c r="BJ3469" s="15"/>
    </row>
    <row r="3470" spans="30:62" x14ac:dyDescent="0.2">
      <c r="AD3470" s="6"/>
      <c r="BJ3470" s="15"/>
    </row>
    <row r="3471" spans="30:62" x14ac:dyDescent="0.2">
      <c r="AD3471" s="6"/>
      <c r="BJ3471" s="15"/>
    </row>
    <row r="3472" spans="30:62" x14ac:dyDescent="0.2">
      <c r="AD3472" s="6"/>
      <c r="BJ3472" s="15"/>
    </row>
    <row r="3473" spans="30:62" x14ac:dyDescent="0.2">
      <c r="AD3473" s="6"/>
      <c r="BJ3473" s="15"/>
    </row>
    <row r="3474" spans="30:62" x14ac:dyDescent="0.2">
      <c r="AD3474" s="6"/>
      <c r="BJ3474" s="15"/>
    </row>
    <row r="3475" spans="30:62" x14ac:dyDescent="0.2">
      <c r="AD3475" s="6"/>
      <c r="BJ3475" s="15"/>
    </row>
    <row r="3476" spans="30:62" x14ac:dyDescent="0.2">
      <c r="AD3476" s="6"/>
      <c r="BJ3476" s="15"/>
    </row>
    <row r="3477" spans="30:62" x14ac:dyDescent="0.2">
      <c r="AD3477" s="6"/>
      <c r="BJ3477" s="15"/>
    </row>
    <row r="3478" spans="30:62" x14ac:dyDescent="0.2">
      <c r="AD3478" s="6"/>
      <c r="BJ3478" s="15"/>
    </row>
    <row r="3479" spans="30:62" x14ac:dyDescent="0.2">
      <c r="AD3479" s="6"/>
      <c r="BJ3479" s="15"/>
    </row>
    <row r="3480" spans="30:62" x14ac:dyDescent="0.2">
      <c r="AD3480" s="6"/>
      <c r="BJ3480" s="15"/>
    </row>
    <row r="3481" spans="30:62" x14ac:dyDescent="0.2">
      <c r="AD3481" s="6"/>
      <c r="BJ3481" s="15"/>
    </row>
    <row r="3482" spans="30:62" x14ac:dyDescent="0.2">
      <c r="AD3482" s="6"/>
      <c r="BJ3482" s="15"/>
    </row>
    <row r="3483" spans="30:62" x14ac:dyDescent="0.2">
      <c r="AD3483" s="6"/>
      <c r="BJ3483" s="15"/>
    </row>
    <row r="3484" spans="30:62" x14ac:dyDescent="0.2">
      <c r="AD3484" s="6"/>
      <c r="BJ3484" s="15"/>
    </row>
    <row r="3485" spans="30:62" x14ac:dyDescent="0.2">
      <c r="AD3485" s="6"/>
      <c r="BJ3485" s="15"/>
    </row>
    <row r="3486" spans="30:62" x14ac:dyDescent="0.2">
      <c r="AD3486" s="6"/>
      <c r="BJ3486" s="15"/>
    </row>
    <row r="3487" spans="30:62" x14ac:dyDescent="0.2">
      <c r="AD3487" s="6"/>
      <c r="BJ3487" s="15"/>
    </row>
    <row r="3488" spans="30:62" x14ac:dyDescent="0.2">
      <c r="AD3488" s="6"/>
      <c r="BJ3488" s="15"/>
    </row>
    <row r="3489" spans="30:62" x14ac:dyDescent="0.2">
      <c r="AD3489" s="6"/>
      <c r="BJ3489" s="15"/>
    </row>
    <row r="3490" spans="30:62" x14ac:dyDescent="0.2">
      <c r="AD3490" s="6"/>
      <c r="BJ3490" s="15"/>
    </row>
    <row r="3491" spans="30:62" x14ac:dyDescent="0.2">
      <c r="AD3491" s="6"/>
      <c r="BJ3491" s="15"/>
    </row>
    <row r="3492" spans="30:62" x14ac:dyDescent="0.2">
      <c r="AD3492" s="6"/>
      <c r="BJ3492" s="15"/>
    </row>
    <row r="3493" spans="30:62" x14ac:dyDescent="0.2">
      <c r="AD3493" s="6"/>
      <c r="BJ3493" s="15"/>
    </row>
    <row r="3494" spans="30:62" x14ac:dyDescent="0.2">
      <c r="AD3494" s="6"/>
      <c r="BJ3494" s="15"/>
    </row>
    <row r="3495" spans="30:62" x14ac:dyDescent="0.2">
      <c r="AD3495" s="6"/>
      <c r="BJ3495" s="15"/>
    </row>
    <row r="3496" spans="30:62" x14ac:dyDescent="0.2">
      <c r="AD3496" s="6"/>
      <c r="BJ3496" s="15"/>
    </row>
    <row r="3497" spans="30:62" x14ac:dyDescent="0.2">
      <c r="AD3497" s="6"/>
      <c r="BJ3497" s="15"/>
    </row>
    <row r="3498" spans="30:62" x14ac:dyDescent="0.2">
      <c r="AD3498" s="6"/>
      <c r="BJ3498" s="15"/>
    </row>
    <row r="3499" spans="30:62" x14ac:dyDescent="0.2">
      <c r="AD3499" s="6"/>
      <c r="BJ3499" s="15"/>
    </row>
    <row r="3500" spans="30:62" x14ac:dyDescent="0.2">
      <c r="AD3500" s="6"/>
      <c r="BJ3500" s="15"/>
    </row>
    <row r="3501" spans="30:62" x14ac:dyDescent="0.2">
      <c r="AD3501" s="6"/>
      <c r="BJ3501" s="15"/>
    </row>
    <row r="3502" spans="30:62" x14ac:dyDescent="0.2">
      <c r="AD3502" s="6"/>
      <c r="BJ3502" s="15"/>
    </row>
    <row r="3503" spans="30:62" x14ac:dyDescent="0.2">
      <c r="AD3503" s="6"/>
      <c r="BJ3503" s="15"/>
    </row>
    <row r="3504" spans="30:62" x14ac:dyDescent="0.2">
      <c r="AD3504" s="6"/>
      <c r="BJ3504" s="15"/>
    </row>
    <row r="3505" spans="30:62" x14ac:dyDescent="0.2">
      <c r="AD3505" s="6"/>
      <c r="BJ3505" s="15"/>
    </row>
    <row r="3506" spans="30:62" x14ac:dyDescent="0.2">
      <c r="AD3506" s="6"/>
      <c r="BJ3506" s="15"/>
    </row>
    <row r="3507" spans="30:62" x14ac:dyDescent="0.2">
      <c r="AD3507" s="6"/>
      <c r="BJ3507" s="15"/>
    </row>
    <row r="3508" spans="30:62" x14ac:dyDescent="0.2">
      <c r="AD3508" s="6"/>
      <c r="BJ3508" s="15"/>
    </row>
    <row r="3509" spans="30:62" x14ac:dyDescent="0.2">
      <c r="AD3509" s="6"/>
      <c r="BJ3509" s="15"/>
    </row>
    <row r="3510" spans="30:62" x14ac:dyDescent="0.2">
      <c r="AD3510" s="6"/>
      <c r="BJ3510" s="15"/>
    </row>
    <row r="3511" spans="30:62" x14ac:dyDescent="0.2">
      <c r="AD3511" s="6"/>
      <c r="BJ3511" s="15"/>
    </row>
    <row r="3512" spans="30:62" x14ac:dyDescent="0.2">
      <c r="AD3512" s="6"/>
      <c r="BJ3512" s="15"/>
    </row>
    <row r="3513" spans="30:62" x14ac:dyDescent="0.2">
      <c r="AD3513" s="6"/>
      <c r="BJ3513" s="15"/>
    </row>
    <row r="3514" spans="30:62" x14ac:dyDescent="0.2">
      <c r="AD3514" s="6"/>
      <c r="BJ3514" s="15"/>
    </row>
    <row r="3515" spans="30:62" x14ac:dyDescent="0.2">
      <c r="AD3515" s="6"/>
      <c r="BJ3515" s="15"/>
    </row>
    <row r="3516" spans="30:62" x14ac:dyDescent="0.2">
      <c r="AD3516" s="6"/>
      <c r="BJ3516" s="15"/>
    </row>
    <row r="3517" spans="30:62" x14ac:dyDescent="0.2">
      <c r="AD3517" s="6"/>
      <c r="BJ3517" s="15"/>
    </row>
    <row r="3518" spans="30:62" x14ac:dyDescent="0.2">
      <c r="AD3518" s="6"/>
      <c r="BJ3518" s="15"/>
    </row>
    <row r="3519" spans="30:62" x14ac:dyDescent="0.2">
      <c r="AD3519" s="6"/>
      <c r="BJ3519" s="15"/>
    </row>
    <row r="3520" spans="30:62" x14ac:dyDescent="0.2">
      <c r="AD3520" s="6"/>
      <c r="BJ3520" s="15"/>
    </row>
    <row r="3521" spans="30:62" x14ac:dyDescent="0.2">
      <c r="AD3521" s="6"/>
      <c r="BJ3521" s="15"/>
    </row>
    <row r="3522" spans="30:62" x14ac:dyDescent="0.2">
      <c r="AD3522" s="6"/>
      <c r="BJ3522" s="15"/>
    </row>
    <row r="3523" spans="30:62" x14ac:dyDescent="0.2">
      <c r="AD3523" s="6"/>
      <c r="BJ3523" s="15"/>
    </row>
    <row r="3524" spans="30:62" x14ac:dyDescent="0.2">
      <c r="AD3524" s="6"/>
      <c r="BJ3524" s="15"/>
    </row>
    <row r="3525" spans="30:62" x14ac:dyDescent="0.2">
      <c r="AD3525" s="6"/>
      <c r="BJ3525" s="15"/>
    </row>
    <row r="3526" spans="30:62" x14ac:dyDescent="0.2">
      <c r="AD3526" s="6"/>
      <c r="BJ3526" s="15"/>
    </row>
    <row r="3527" spans="30:62" x14ac:dyDescent="0.2">
      <c r="AD3527" s="6"/>
      <c r="BJ3527" s="15"/>
    </row>
    <row r="3528" spans="30:62" x14ac:dyDescent="0.2">
      <c r="AD3528" s="6"/>
      <c r="BJ3528" s="15"/>
    </row>
    <row r="3529" spans="30:62" x14ac:dyDescent="0.2">
      <c r="AD3529" s="6"/>
      <c r="BJ3529" s="15"/>
    </row>
    <row r="3530" spans="30:62" x14ac:dyDescent="0.2">
      <c r="AD3530" s="6"/>
      <c r="BJ3530" s="15"/>
    </row>
    <row r="3531" spans="30:62" x14ac:dyDescent="0.2">
      <c r="AD3531" s="6"/>
      <c r="BJ3531" s="15"/>
    </row>
    <row r="3532" spans="30:62" x14ac:dyDescent="0.2">
      <c r="AD3532" s="6"/>
      <c r="BJ3532" s="15"/>
    </row>
    <row r="3533" spans="30:62" x14ac:dyDescent="0.2">
      <c r="AD3533" s="6"/>
      <c r="BJ3533" s="15"/>
    </row>
    <row r="3534" spans="30:62" x14ac:dyDescent="0.2">
      <c r="AD3534" s="6"/>
      <c r="BJ3534" s="15"/>
    </row>
    <row r="3535" spans="30:62" x14ac:dyDescent="0.2">
      <c r="AD3535" s="6"/>
      <c r="BJ3535" s="15"/>
    </row>
    <row r="3536" spans="30:62" x14ac:dyDescent="0.2">
      <c r="AD3536" s="6"/>
      <c r="BJ3536" s="15"/>
    </row>
    <row r="3537" spans="30:62" x14ac:dyDescent="0.2">
      <c r="AD3537" s="6"/>
      <c r="BJ3537" s="15"/>
    </row>
    <row r="3538" spans="30:62" x14ac:dyDescent="0.2">
      <c r="AD3538" s="6"/>
      <c r="BJ3538" s="15"/>
    </row>
    <row r="3539" spans="30:62" x14ac:dyDescent="0.2">
      <c r="AD3539" s="6"/>
      <c r="BJ3539" s="15"/>
    </row>
    <row r="3540" spans="30:62" x14ac:dyDescent="0.2">
      <c r="AD3540" s="6"/>
      <c r="BJ3540" s="15"/>
    </row>
    <row r="3541" spans="30:62" x14ac:dyDescent="0.2">
      <c r="AD3541" s="6"/>
      <c r="BJ3541" s="15"/>
    </row>
    <row r="3542" spans="30:62" x14ac:dyDescent="0.2">
      <c r="AD3542" s="6"/>
      <c r="BJ3542" s="15"/>
    </row>
    <row r="3543" spans="30:62" x14ac:dyDescent="0.2">
      <c r="AD3543" s="6"/>
      <c r="BJ3543" s="15"/>
    </row>
    <row r="3544" spans="30:62" x14ac:dyDescent="0.2">
      <c r="AD3544" s="6"/>
      <c r="BJ3544" s="15"/>
    </row>
    <row r="3545" spans="30:62" x14ac:dyDescent="0.2">
      <c r="AD3545" s="6"/>
      <c r="BJ3545" s="15"/>
    </row>
    <row r="3546" spans="30:62" x14ac:dyDescent="0.2">
      <c r="AD3546" s="6"/>
      <c r="BJ3546" s="15"/>
    </row>
    <row r="3547" spans="30:62" x14ac:dyDescent="0.2">
      <c r="AD3547" s="6"/>
      <c r="BJ3547" s="15"/>
    </row>
    <row r="3548" spans="30:62" x14ac:dyDescent="0.2">
      <c r="AD3548" s="6"/>
      <c r="BJ3548" s="15"/>
    </row>
    <row r="3549" spans="30:62" x14ac:dyDescent="0.2">
      <c r="AD3549" s="6"/>
      <c r="BJ3549" s="15"/>
    </row>
    <row r="3550" spans="30:62" x14ac:dyDescent="0.2">
      <c r="AD3550" s="6"/>
      <c r="BJ3550" s="15"/>
    </row>
    <row r="3551" spans="30:62" x14ac:dyDescent="0.2">
      <c r="AD3551" s="6"/>
      <c r="BJ3551" s="15"/>
    </row>
    <row r="3552" spans="30:62" x14ac:dyDescent="0.2">
      <c r="AD3552" s="6"/>
      <c r="BJ3552" s="15"/>
    </row>
    <row r="3553" spans="30:62" x14ac:dyDescent="0.2">
      <c r="AD3553" s="6"/>
      <c r="BJ3553" s="15"/>
    </row>
    <row r="3554" spans="30:62" x14ac:dyDescent="0.2">
      <c r="AD3554" s="6"/>
      <c r="BJ3554" s="15"/>
    </row>
    <row r="3555" spans="30:62" x14ac:dyDescent="0.2">
      <c r="AD3555" s="6"/>
      <c r="BJ3555" s="15"/>
    </row>
    <row r="3556" spans="30:62" x14ac:dyDescent="0.2">
      <c r="AD3556" s="6"/>
      <c r="BJ3556" s="15"/>
    </row>
    <row r="3557" spans="30:62" x14ac:dyDescent="0.2">
      <c r="AD3557" s="6"/>
      <c r="BJ3557" s="15"/>
    </row>
    <row r="3558" spans="30:62" x14ac:dyDescent="0.2">
      <c r="AD3558" s="6"/>
      <c r="BJ3558" s="15"/>
    </row>
    <row r="3559" spans="30:62" x14ac:dyDescent="0.2">
      <c r="AD3559" s="6"/>
      <c r="BJ3559" s="15"/>
    </row>
    <row r="3560" spans="30:62" x14ac:dyDescent="0.2">
      <c r="AD3560" s="6"/>
      <c r="BJ3560" s="15"/>
    </row>
    <row r="3561" spans="30:62" x14ac:dyDescent="0.2">
      <c r="AD3561" s="6"/>
      <c r="BJ3561" s="15"/>
    </row>
    <row r="3562" spans="30:62" x14ac:dyDescent="0.2">
      <c r="AD3562" s="6"/>
      <c r="BJ3562" s="15"/>
    </row>
    <row r="3563" spans="30:62" x14ac:dyDescent="0.2">
      <c r="AD3563" s="6"/>
      <c r="BJ3563" s="15"/>
    </row>
    <row r="3564" spans="30:62" x14ac:dyDescent="0.2">
      <c r="AD3564" s="6"/>
      <c r="BJ3564" s="15"/>
    </row>
    <row r="3565" spans="30:62" x14ac:dyDescent="0.2">
      <c r="AD3565" s="6"/>
      <c r="BJ3565" s="15"/>
    </row>
    <row r="3566" spans="30:62" x14ac:dyDescent="0.2">
      <c r="AD3566" s="6"/>
      <c r="BJ3566" s="15"/>
    </row>
    <row r="3567" spans="30:62" x14ac:dyDescent="0.2">
      <c r="AD3567" s="6"/>
      <c r="BJ3567" s="15"/>
    </row>
    <row r="3568" spans="30:62" x14ac:dyDescent="0.2">
      <c r="AD3568" s="6"/>
      <c r="BJ3568" s="15"/>
    </row>
    <row r="3569" spans="30:62" x14ac:dyDescent="0.2">
      <c r="AD3569" s="6"/>
      <c r="BJ3569" s="15"/>
    </row>
    <row r="3570" spans="30:62" x14ac:dyDescent="0.2">
      <c r="AD3570" s="6"/>
      <c r="BJ3570" s="15"/>
    </row>
    <row r="3571" spans="30:62" x14ac:dyDescent="0.2">
      <c r="AD3571" s="6"/>
      <c r="BJ3571" s="15"/>
    </row>
    <row r="3572" spans="30:62" x14ac:dyDescent="0.2">
      <c r="AD3572" s="6"/>
      <c r="BJ3572" s="15"/>
    </row>
    <row r="3573" spans="30:62" x14ac:dyDescent="0.2">
      <c r="AD3573" s="6"/>
      <c r="BJ3573" s="15"/>
    </row>
    <row r="3574" spans="30:62" x14ac:dyDescent="0.2">
      <c r="AD3574" s="6"/>
      <c r="BJ3574" s="15"/>
    </row>
    <row r="3575" spans="30:62" x14ac:dyDescent="0.2">
      <c r="AD3575" s="6"/>
      <c r="BJ3575" s="15"/>
    </row>
    <row r="3576" spans="30:62" x14ac:dyDescent="0.2">
      <c r="AD3576" s="6"/>
      <c r="BJ3576" s="15"/>
    </row>
    <row r="3577" spans="30:62" x14ac:dyDescent="0.2">
      <c r="AD3577" s="6"/>
      <c r="BJ3577" s="15"/>
    </row>
    <row r="3578" spans="30:62" x14ac:dyDescent="0.2">
      <c r="AD3578" s="6"/>
      <c r="BJ3578" s="15"/>
    </row>
    <row r="3579" spans="30:62" x14ac:dyDescent="0.2">
      <c r="AD3579" s="6"/>
      <c r="BJ3579" s="15"/>
    </row>
    <row r="3580" spans="30:62" x14ac:dyDescent="0.2">
      <c r="AD3580" s="6"/>
      <c r="BJ3580" s="15"/>
    </row>
    <row r="3581" spans="30:62" x14ac:dyDescent="0.2">
      <c r="AD3581" s="6"/>
      <c r="BJ3581" s="15"/>
    </row>
    <row r="3582" spans="30:62" x14ac:dyDescent="0.2">
      <c r="AD3582" s="6"/>
      <c r="BJ3582" s="15"/>
    </row>
    <row r="3583" spans="30:62" x14ac:dyDescent="0.2">
      <c r="AD3583" s="6"/>
      <c r="BJ3583" s="15"/>
    </row>
    <row r="3584" spans="30:62" x14ac:dyDescent="0.2">
      <c r="AD3584" s="6"/>
      <c r="BJ3584" s="15"/>
    </row>
    <row r="3585" spans="30:62" x14ac:dyDescent="0.2">
      <c r="AD3585" s="6"/>
      <c r="BJ3585" s="15"/>
    </row>
    <row r="3586" spans="30:62" x14ac:dyDescent="0.2">
      <c r="AD3586" s="6"/>
      <c r="BJ3586" s="15"/>
    </row>
    <row r="3587" spans="30:62" x14ac:dyDescent="0.2">
      <c r="AD3587" s="6"/>
      <c r="BJ3587" s="15"/>
    </row>
    <row r="3588" spans="30:62" x14ac:dyDescent="0.2">
      <c r="AD3588" s="6"/>
      <c r="BJ3588" s="15"/>
    </row>
    <row r="3589" spans="30:62" x14ac:dyDescent="0.2">
      <c r="AD3589" s="6"/>
      <c r="BJ3589" s="15"/>
    </row>
    <row r="3590" spans="30:62" x14ac:dyDescent="0.2">
      <c r="AD3590" s="6"/>
      <c r="BJ3590" s="15"/>
    </row>
    <row r="3591" spans="30:62" x14ac:dyDescent="0.2">
      <c r="AD3591" s="6"/>
      <c r="BJ3591" s="15"/>
    </row>
    <row r="3592" spans="30:62" x14ac:dyDescent="0.2">
      <c r="AD3592" s="6"/>
      <c r="BJ3592" s="15"/>
    </row>
    <row r="3593" spans="30:62" x14ac:dyDescent="0.2">
      <c r="AD3593" s="6"/>
      <c r="BJ3593" s="15"/>
    </row>
    <row r="3594" spans="30:62" x14ac:dyDescent="0.2">
      <c r="AD3594" s="6"/>
      <c r="BJ3594" s="15"/>
    </row>
    <row r="3595" spans="30:62" x14ac:dyDescent="0.2">
      <c r="AD3595" s="6"/>
      <c r="BJ3595" s="15"/>
    </row>
    <row r="3596" spans="30:62" x14ac:dyDescent="0.2">
      <c r="AD3596" s="6"/>
      <c r="BJ3596" s="15"/>
    </row>
    <row r="3597" spans="30:62" x14ac:dyDescent="0.2">
      <c r="AD3597" s="6"/>
      <c r="BJ3597" s="15"/>
    </row>
    <row r="3598" spans="30:62" x14ac:dyDescent="0.2">
      <c r="AD3598" s="6"/>
      <c r="BJ3598" s="15"/>
    </row>
    <row r="3599" spans="30:62" x14ac:dyDescent="0.2">
      <c r="AD3599" s="6"/>
      <c r="BJ3599" s="15"/>
    </row>
    <row r="3600" spans="30:62" x14ac:dyDescent="0.2">
      <c r="AD3600" s="6"/>
      <c r="BJ3600" s="15"/>
    </row>
    <row r="3601" spans="30:62" x14ac:dyDescent="0.2">
      <c r="AD3601" s="6"/>
      <c r="BJ3601" s="15"/>
    </row>
    <row r="3602" spans="30:62" x14ac:dyDescent="0.2">
      <c r="AD3602" s="6"/>
      <c r="BJ3602" s="15"/>
    </row>
    <row r="3603" spans="30:62" x14ac:dyDescent="0.2">
      <c r="AD3603" s="6"/>
      <c r="BJ3603" s="15"/>
    </row>
    <row r="3604" spans="30:62" x14ac:dyDescent="0.2">
      <c r="AD3604" s="6"/>
      <c r="BJ3604" s="15"/>
    </row>
    <row r="3605" spans="30:62" x14ac:dyDescent="0.2">
      <c r="AD3605" s="6"/>
      <c r="BJ3605" s="15"/>
    </row>
    <row r="3606" spans="30:62" x14ac:dyDescent="0.2">
      <c r="AD3606" s="6"/>
      <c r="BJ3606" s="15"/>
    </row>
    <row r="3607" spans="30:62" x14ac:dyDescent="0.2">
      <c r="AD3607" s="6"/>
      <c r="BJ3607" s="15"/>
    </row>
    <row r="3608" spans="30:62" x14ac:dyDescent="0.2">
      <c r="AD3608" s="6"/>
      <c r="BJ3608" s="15"/>
    </row>
    <row r="3609" spans="30:62" x14ac:dyDescent="0.2">
      <c r="AD3609" s="6"/>
      <c r="BJ3609" s="15"/>
    </row>
    <row r="3610" spans="30:62" x14ac:dyDescent="0.2">
      <c r="AD3610" s="6"/>
      <c r="BJ3610" s="15"/>
    </row>
    <row r="3611" spans="30:62" x14ac:dyDescent="0.2">
      <c r="AD3611" s="6"/>
      <c r="BJ3611" s="15"/>
    </row>
    <row r="3612" spans="30:62" x14ac:dyDescent="0.2">
      <c r="AD3612" s="6"/>
      <c r="BJ3612" s="15"/>
    </row>
    <row r="3613" spans="30:62" x14ac:dyDescent="0.2">
      <c r="AD3613" s="6"/>
      <c r="BJ3613" s="15"/>
    </row>
    <row r="3614" spans="30:62" x14ac:dyDescent="0.2">
      <c r="AD3614" s="6"/>
      <c r="BJ3614" s="15"/>
    </row>
    <row r="3615" spans="30:62" x14ac:dyDescent="0.2">
      <c r="AD3615" s="6"/>
      <c r="BJ3615" s="15"/>
    </row>
    <row r="3616" spans="30:62" x14ac:dyDescent="0.2">
      <c r="AD3616" s="6"/>
      <c r="BJ3616" s="15"/>
    </row>
    <row r="3617" spans="30:62" x14ac:dyDescent="0.2">
      <c r="AD3617" s="6"/>
      <c r="BJ3617" s="15"/>
    </row>
    <row r="3618" spans="30:62" x14ac:dyDescent="0.2">
      <c r="AD3618" s="6"/>
      <c r="BJ3618" s="15"/>
    </row>
    <row r="3619" spans="30:62" x14ac:dyDescent="0.2">
      <c r="AD3619" s="6"/>
      <c r="BJ3619" s="15"/>
    </row>
    <row r="3620" spans="30:62" x14ac:dyDescent="0.2">
      <c r="AD3620" s="6"/>
      <c r="BJ3620" s="15"/>
    </row>
    <row r="3621" spans="30:62" x14ac:dyDescent="0.2">
      <c r="AD3621" s="6"/>
      <c r="BJ3621" s="15"/>
    </row>
    <row r="3622" spans="30:62" x14ac:dyDescent="0.2">
      <c r="AD3622" s="6"/>
      <c r="BJ3622" s="15"/>
    </row>
    <row r="3623" spans="30:62" x14ac:dyDescent="0.2">
      <c r="AD3623" s="6"/>
      <c r="BJ3623" s="15"/>
    </row>
    <row r="3624" spans="30:62" x14ac:dyDescent="0.2">
      <c r="AD3624" s="6"/>
      <c r="BJ3624" s="15"/>
    </row>
    <row r="3625" spans="30:62" x14ac:dyDescent="0.2">
      <c r="AD3625" s="6"/>
      <c r="BJ3625" s="15"/>
    </row>
    <row r="3626" spans="30:62" x14ac:dyDescent="0.2">
      <c r="AD3626" s="6"/>
      <c r="BJ3626" s="15"/>
    </row>
    <row r="3627" spans="30:62" x14ac:dyDescent="0.2">
      <c r="AD3627" s="6"/>
      <c r="BJ3627" s="15"/>
    </row>
    <row r="3628" spans="30:62" x14ac:dyDescent="0.2">
      <c r="AD3628" s="6"/>
      <c r="BJ3628" s="15"/>
    </row>
    <row r="3629" spans="30:62" x14ac:dyDescent="0.2">
      <c r="AD3629" s="6"/>
      <c r="BJ3629" s="15"/>
    </row>
    <row r="3630" spans="30:62" x14ac:dyDescent="0.2">
      <c r="AD3630" s="6"/>
      <c r="BJ3630" s="15"/>
    </row>
    <row r="3631" spans="30:62" x14ac:dyDescent="0.2">
      <c r="AD3631" s="6"/>
      <c r="BJ3631" s="15"/>
    </row>
    <row r="3632" spans="30:62" x14ac:dyDescent="0.2">
      <c r="AD3632" s="6"/>
      <c r="BJ3632" s="15"/>
    </row>
    <row r="3633" spans="30:62" x14ac:dyDescent="0.2">
      <c r="AD3633" s="6"/>
      <c r="BJ3633" s="15"/>
    </row>
    <row r="3634" spans="30:62" x14ac:dyDescent="0.2">
      <c r="AD3634" s="6"/>
      <c r="BJ3634" s="15"/>
    </row>
    <row r="3635" spans="30:62" x14ac:dyDescent="0.2">
      <c r="AD3635" s="6"/>
      <c r="BJ3635" s="15"/>
    </row>
    <row r="3636" spans="30:62" x14ac:dyDescent="0.2">
      <c r="AD3636" s="6"/>
      <c r="BJ3636" s="15"/>
    </row>
    <row r="3637" spans="30:62" x14ac:dyDescent="0.2">
      <c r="AD3637" s="6"/>
      <c r="BJ3637" s="15"/>
    </row>
    <row r="3638" spans="30:62" x14ac:dyDescent="0.2">
      <c r="AD3638" s="6"/>
      <c r="BJ3638" s="15"/>
    </row>
    <row r="3639" spans="30:62" x14ac:dyDescent="0.2">
      <c r="AD3639" s="6"/>
      <c r="BJ3639" s="15"/>
    </row>
    <row r="3640" spans="30:62" x14ac:dyDescent="0.2">
      <c r="AD3640" s="6"/>
      <c r="BJ3640" s="15"/>
    </row>
    <row r="3641" spans="30:62" x14ac:dyDescent="0.2">
      <c r="AD3641" s="6"/>
      <c r="BJ3641" s="15"/>
    </row>
    <row r="3642" spans="30:62" x14ac:dyDescent="0.2">
      <c r="AD3642" s="6"/>
      <c r="BJ3642" s="15"/>
    </row>
    <row r="3643" spans="30:62" x14ac:dyDescent="0.2">
      <c r="AD3643" s="6"/>
      <c r="BJ3643" s="15"/>
    </row>
    <row r="3644" spans="30:62" x14ac:dyDescent="0.2">
      <c r="AD3644" s="6"/>
      <c r="BJ3644" s="15"/>
    </row>
    <row r="3645" spans="30:62" x14ac:dyDescent="0.2">
      <c r="AD3645" s="6"/>
      <c r="BJ3645" s="15"/>
    </row>
    <row r="3646" spans="30:62" x14ac:dyDescent="0.2">
      <c r="AD3646" s="6"/>
      <c r="BJ3646" s="15"/>
    </row>
    <row r="3647" spans="30:62" x14ac:dyDescent="0.2">
      <c r="AD3647" s="6"/>
      <c r="BJ3647" s="15"/>
    </row>
    <row r="3648" spans="30:62" x14ac:dyDescent="0.2">
      <c r="AD3648" s="6"/>
      <c r="BJ3648" s="15"/>
    </row>
    <row r="3649" spans="30:62" x14ac:dyDescent="0.2">
      <c r="AD3649" s="6"/>
      <c r="BJ3649" s="15"/>
    </row>
    <row r="3650" spans="30:62" x14ac:dyDescent="0.2">
      <c r="AD3650" s="6"/>
      <c r="BJ3650" s="15"/>
    </row>
    <row r="3651" spans="30:62" x14ac:dyDescent="0.2">
      <c r="AD3651" s="6"/>
      <c r="BJ3651" s="15"/>
    </row>
    <row r="3652" spans="30:62" x14ac:dyDescent="0.2">
      <c r="AD3652" s="6"/>
      <c r="BJ3652" s="15"/>
    </row>
    <row r="3653" spans="30:62" x14ac:dyDescent="0.2">
      <c r="AD3653" s="6"/>
      <c r="BJ3653" s="15"/>
    </row>
    <row r="3654" spans="30:62" x14ac:dyDescent="0.2">
      <c r="AD3654" s="6"/>
      <c r="BJ3654" s="15"/>
    </row>
    <row r="3655" spans="30:62" x14ac:dyDescent="0.2">
      <c r="AD3655" s="6"/>
      <c r="BJ3655" s="15"/>
    </row>
    <row r="3656" spans="30:62" x14ac:dyDescent="0.2">
      <c r="AD3656" s="6"/>
      <c r="BJ3656" s="15"/>
    </row>
    <row r="3657" spans="30:62" x14ac:dyDescent="0.2">
      <c r="AD3657" s="6"/>
      <c r="BJ3657" s="15"/>
    </row>
    <row r="3658" spans="30:62" x14ac:dyDescent="0.2">
      <c r="AD3658" s="6"/>
      <c r="BJ3658" s="15"/>
    </row>
    <row r="3659" spans="30:62" x14ac:dyDescent="0.2">
      <c r="AD3659" s="6"/>
      <c r="BJ3659" s="15"/>
    </row>
    <row r="3660" spans="30:62" x14ac:dyDescent="0.2">
      <c r="AD3660" s="6"/>
      <c r="BJ3660" s="15"/>
    </row>
    <row r="3661" spans="30:62" x14ac:dyDescent="0.2">
      <c r="AD3661" s="6"/>
      <c r="BJ3661" s="15"/>
    </row>
    <row r="3662" spans="30:62" x14ac:dyDescent="0.2">
      <c r="AD3662" s="6"/>
      <c r="BJ3662" s="15"/>
    </row>
    <row r="3663" spans="30:62" x14ac:dyDescent="0.2">
      <c r="AD3663" s="6"/>
      <c r="BJ3663" s="15"/>
    </row>
    <row r="3664" spans="30:62" x14ac:dyDescent="0.2">
      <c r="AD3664" s="6"/>
      <c r="BJ3664" s="15"/>
    </row>
    <row r="3665" spans="30:62" x14ac:dyDescent="0.2">
      <c r="AD3665" s="6"/>
      <c r="BJ3665" s="15"/>
    </row>
    <row r="3666" spans="30:62" x14ac:dyDescent="0.2">
      <c r="AD3666" s="6"/>
      <c r="BJ3666" s="15"/>
    </row>
    <row r="3667" spans="30:62" x14ac:dyDescent="0.2">
      <c r="AD3667" s="6"/>
      <c r="BJ3667" s="15"/>
    </row>
    <row r="3668" spans="30:62" x14ac:dyDescent="0.2">
      <c r="AD3668" s="6"/>
      <c r="BJ3668" s="15"/>
    </row>
    <row r="3669" spans="30:62" x14ac:dyDescent="0.2">
      <c r="AD3669" s="6"/>
      <c r="BJ3669" s="15"/>
    </row>
    <row r="3670" spans="30:62" x14ac:dyDescent="0.2">
      <c r="AD3670" s="6"/>
      <c r="BJ3670" s="15"/>
    </row>
    <row r="3671" spans="30:62" x14ac:dyDescent="0.2">
      <c r="AD3671" s="6"/>
      <c r="BJ3671" s="15"/>
    </row>
    <row r="3672" spans="30:62" x14ac:dyDescent="0.2">
      <c r="AD3672" s="6"/>
      <c r="BJ3672" s="15"/>
    </row>
    <row r="3673" spans="30:62" x14ac:dyDescent="0.2">
      <c r="AD3673" s="6"/>
      <c r="BJ3673" s="15"/>
    </row>
    <row r="3674" spans="30:62" x14ac:dyDescent="0.2">
      <c r="AD3674" s="6"/>
      <c r="BJ3674" s="15"/>
    </row>
    <row r="3675" spans="30:62" x14ac:dyDescent="0.2">
      <c r="AD3675" s="6"/>
      <c r="BJ3675" s="15"/>
    </row>
    <row r="3676" spans="30:62" x14ac:dyDescent="0.2">
      <c r="AD3676" s="6"/>
      <c r="BJ3676" s="15"/>
    </row>
    <row r="3677" spans="30:62" x14ac:dyDescent="0.2">
      <c r="AD3677" s="6"/>
      <c r="BJ3677" s="15"/>
    </row>
    <row r="3678" spans="30:62" x14ac:dyDescent="0.2">
      <c r="AD3678" s="6"/>
      <c r="BJ3678" s="15"/>
    </row>
    <row r="3679" spans="30:62" x14ac:dyDescent="0.2">
      <c r="AD3679" s="6"/>
      <c r="BJ3679" s="15"/>
    </row>
    <row r="3680" spans="30:62" x14ac:dyDescent="0.2">
      <c r="AD3680" s="6"/>
      <c r="BJ3680" s="15"/>
    </row>
    <row r="3681" spans="30:62" x14ac:dyDescent="0.2">
      <c r="AD3681" s="6"/>
      <c r="BJ3681" s="15"/>
    </row>
    <row r="3682" spans="30:62" x14ac:dyDescent="0.2">
      <c r="AD3682" s="6"/>
      <c r="BJ3682" s="15"/>
    </row>
    <row r="3683" spans="30:62" x14ac:dyDescent="0.2">
      <c r="AD3683" s="6"/>
      <c r="BJ3683" s="15"/>
    </row>
    <row r="3684" spans="30:62" x14ac:dyDescent="0.2">
      <c r="AD3684" s="6"/>
      <c r="BJ3684" s="15"/>
    </row>
    <row r="3685" spans="30:62" x14ac:dyDescent="0.2">
      <c r="AD3685" s="6"/>
      <c r="BJ3685" s="15"/>
    </row>
    <row r="3686" spans="30:62" x14ac:dyDescent="0.2">
      <c r="AD3686" s="6"/>
      <c r="BJ3686" s="15"/>
    </row>
    <row r="3687" spans="30:62" x14ac:dyDescent="0.2">
      <c r="AD3687" s="6"/>
      <c r="BJ3687" s="15"/>
    </row>
    <row r="3688" spans="30:62" x14ac:dyDescent="0.2">
      <c r="AD3688" s="6"/>
      <c r="BJ3688" s="15"/>
    </row>
    <row r="3689" spans="30:62" x14ac:dyDescent="0.2">
      <c r="AD3689" s="6"/>
      <c r="BJ3689" s="15"/>
    </row>
    <row r="3690" spans="30:62" x14ac:dyDescent="0.2">
      <c r="AD3690" s="6"/>
      <c r="BJ3690" s="15"/>
    </row>
    <row r="3691" spans="30:62" x14ac:dyDescent="0.2">
      <c r="AD3691" s="6"/>
      <c r="BJ3691" s="15"/>
    </row>
    <row r="3692" spans="30:62" x14ac:dyDescent="0.2">
      <c r="AD3692" s="6"/>
      <c r="BJ3692" s="15"/>
    </row>
    <row r="3693" spans="30:62" x14ac:dyDescent="0.2">
      <c r="AD3693" s="6"/>
      <c r="BJ3693" s="15"/>
    </row>
    <row r="3694" spans="30:62" x14ac:dyDescent="0.2">
      <c r="AD3694" s="6"/>
      <c r="BJ3694" s="15"/>
    </row>
    <row r="3695" spans="30:62" x14ac:dyDescent="0.2">
      <c r="AD3695" s="6"/>
      <c r="BJ3695" s="15"/>
    </row>
    <row r="3696" spans="30:62" x14ac:dyDescent="0.2">
      <c r="AD3696" s="6"/>
      <c r="BJ3696" s="15"/>
    </row>
    <row r="3697" spans="30:62" x14ac:dyDescent="0.2">
      <c r="AD3697" s="6"/>
      <c r="BJ3697" s="15"/>
    </row>
    <row r="3698" spans="30:62" x14ac:dyDescent="0.2">
      <c r="AD3698" s="6"/>
      <c r="BJ3698" s="15"/>
    </row>
    <row r="3699" spans="30:62" x14ac:dyDescent="0.2">
      <c r="AD3699" s="6"/>
      <c r="BJ3699" s="15"/>
    </row>
    <row r="3700" spans="30:62" x14ac:dyDescent="0.2">
      <c r="AD3700" s="6"/>
      <c r="BJ3700" s="15"/>
    </row>
    <row r="3701" spans="30:62" x14ac:dyDescent="0.2">
      <c r="AD3701" s="6"/>
      <c r="BJ3701" s="15"/>
    </row>
    <row r="3702" spans="30:62" x14ac:dyDescent="0.2">
      <c r="AD3702" s="6"/>
      <c r="BJ3702" s="15"/>
    </row>
    <row r="3703" spans="30:62" x14ac:dyDescent="0.2">
      <c r="AD3703" s="6"/>
      <c r="BJ3703" s="15"/>
    </row>
    <row r="3704" spans="30:62" x14ac:dyDescent="0.2">
      <c r="AD3704" s="6"/>
      <c r="BJ3704" s="15"/>
    </row>
    <row r="3705" spans="30:62" x14ac:dyDescent="0.2">
      <c r="AD3705" s="6"/>
      <c r="BJ3705" s="15"/>
    </row>
    <row r="3706" spans="30:62" x14ac:dyDescent="0.2">
      <c r="AD3706" s="6"/>
      <c r="BJ3706" s="15"/>
    </row>
    <row r="3707" spans="30:62" x14ac:dyDescent="0.2">
      <c r="AD3707" s="6"/>
      <c r="BJ3707" s="15"/>
    </row>
    <row r="3708" spans="30:62" x14ac:dyDescent="0.2">
      <c r="AD3708" s="6"/>
      <c r="BJ3708" s="15"/>
    </row>
    <row r="3709" spans="30:62" x14ac:dyDescent="0.2">
      <c r="AD3709" s="6"/>
      <c r="BJ3709" s="15"/>
    </row>
    <row r="3710" spans="30:62" x14ac:dyDescent="0.2">
      <c r="AD3710" s="6"/>
      <c r="BJ3710" s="15"/>
    </row>
    <row r="3711" spans="30:62" x14ac:dyDescent="0.2">
      <c r="AD3711" s="6"/>
      <c r="BJ3711" s="15"/>
    </row>
    <row r="3712" spans="30:62" x14ac:dyDescent="0.2">
      <c r="AD3712" s="6"/>
      <c r="BJ3712" s="15"/>
    </row>
    <row r="3713" spans="30:62" x14ac:dyDescent="0.2">
      <c r="AD3713" s="6"/>
      <c r="BJ3713" s="15"/>
    </row>
    <row r="3714" spans="30:62" x14ac:dyDescent="0.2">
      <c r="AD3714" s="6"/>
      <c r="BJ3714" s="15"/>
    </row>
    <row r="3715" spans="30:62" x14ac:dyDescent="0.2">
      <c r="AD3715" s="6"/>
      <c r="BJ3715" s="15"/>
    </row>
    <row r="3716" spans="30:62" x14ac:dyDescent="0.2">
      <c r="AD3716" s="6"/>
      <c r="BJ3716" s="15"/>
    </row>
    <row r="3717" spans="30:62" x14ac:dyDescent="0.2">
      <c r="AD3717" s="6"/>
      <c r="BJ3717" s="15"/>
    </row>
    <row r="3718" spans="30:62" x14ac:dyDescent="0.2">
      <c r="AD3718" s="6"/>
      <c r="BJ3718" s="15"/>
    </row>
    <row r="3719" spans="30:62" x14ac:dyDescent="0.2">
      <c r="AD3719" s="6"/>
      <c r="BJ3719" s="15"/>
    </row>
    <row r="3720" spans="30:62" x14ac:dyDescent="0.2">
      <c r="AD3720" s="6"/>
      <c r="BJ3720" s="15"/>
    </row>
    <row r="3721" spans="30:62" x14ac:dyDescent="0.2">
      <c r="AD3721" s="6"/>
      <c r="BJ3721" s="15"/>
    </row>
    <row r="3722" spans="30:62" x14ac:dyDescent="0.2">
      <c r="AD3722" s="6"/>
      <c r="BJ3722" s="15"/>
    </row>
    <row r="3723" spans="30:62" x14ac:dyDescent="0.2">
      <c r="AD3723" s="6"/>
      <c r="BJ3723" s="15"/>
    </row>
    <row r="3724" spans="30:62" x14ac:dyDescent="0.2">
      <c r="AD3724" s="6"/>
      <c r="BJ3724" s="15"/>
    </row>
    <row r="3725" spans="30:62" x14ac:dyDescent="0.2">
      <c r="AD3725" s="6"/>
      <c r="BJ3725" s="15"/>
    </row>
    <row r="3726" spans="30:62" x14ac:dyDescent="0.2">
      <c r="AD3726" s="6"/>
      <c r="BJ3726" s="15"/>
    </row>
    <row r="3727" spans="30:62" x14ac:dyDescent="0.2">
      <c r="AD3727" s="6"/>
      <c r="BJ3727" s="15"/>
    </row>
    <row r="3728" spans="30:62" x14ac:dyDescent="0.2">
      <c r="AD3728" s="6"/>
      <c r="BJ3728" s="15"/>
    </row>
    <row r="3729" spans="30:62" x14ac:dyDescent="0.2">
      <c r="AD3729" s="6"/>
      <c r="BJ3729" s="15"/>
    </row>
    <row r="3730" spans="30:62" x14ac:dyDescent="0.2">
      <c r="AD3730" s="6"/>
      <c r="BJ3730" s="15"/>
    </row>
    <row r="3731" spans="30:62" x14ac:dyDescent="0.2">
      <c r="AD3731" s="6"/>
      <c r="BJ3731" s="15"/>
    </row>
    <row r="3732" spans="30:62" x14ac:dyDescent="0.2">
      <c r="AD3732" s="6"/>
      <c r="BJ3732" s="15"/>
    </row>
    <row r="3733" spans="30:62" x14ac:dyDescent="0.2">
      <c r="AD3733" s="6"/>
      <c r="BJ3733" s="15"/>
    </row>
    <row r="3734" spans="30:62" x14ac:dyDescent="0.2">
      <c r="AD3734" s="6"/>
      <c r="BJ3734" s="15"/>
    </row>
    <row r="3735" spans="30:62" x14ac:dyDescent="0.2">
      <c r="AD3735" s="6"/>
      <c r="BJ3735" s="15"/>
    </row>
    <row r="3736" spans="30:62" x14ac:dyDescent="0.2">
      <c r="AD3736" s="6"/>
      <c r="BJ3736" s="15"/>
    </row>
    <row r="3737" spans="30:62" x14ac:dyDescent="0.2">
      <c r="AD3737" s="6"/>
      <c r="BJ3737" s="15"/>
    </row>
    <row r="3738" spans="30:62" x14ac:dyDescent="0.2">
      <c r="AD3738" s="6"/>
      <c r="BJ3738" s="15"/>
    </row>
    <row r="3739" spans="30:62" x14ac:dyDescent="0.2">
      <c r="AD3739" s="6"/>
      <c r="BJ3739" s="15"/>
    </row>
    <row r="3740" spans="30:62" x14ac:dyDescent="0.2">
      <c r="AD3740" s="6"/>
      <c r="BJ3740" s="15"/>
    </row>
    <row r="3741" spans="30:62" x14ac:dyDescent="0.2">
      <c r="AD3741" s="6"/>
      <c r="BJ3741" s="15"/>
    </row>
    <row r="3742" spans="30:62" x14ac:dyDescent="0.2">
      <c r="AD3742" s="6"/>
      <c r="BJ3742" s="15"/>
    </row>
    <row r="3743" spans="30:62" x14ac:dyDescent="0.2">
      <c r="AD3743" s="6"/>
      <c r="BJ3743" s="15"/>
    </row>
    <row r="3744" spans="30:62" x14ac:dyDescent="0.2">
      <c r="AD3744" s="6"/>
      <c r="BJ3744" s="15"/>
    </row>
    <row r="3745" spans="30:62" x14ac:dyDescent="0.2">
      <c r="AD3745" s="6"/>
      <c r="BJ3745" s="15"/>
    </row>
    <row r="3746" spans="30:62" x14ac:dyDescent="0.2">
      <c r="AD3746" s="6"/>
      <c r="BJ3746" s="15"/>
    </row>
    <row r="3747" spans="30:62" x14ac:dyDescent="0.2">
      <c r="AD3747" s="6"/>
      <c r="BJ3747" s="15"/>
    </row>
    <row r="3748" spans="30:62" x14ac:dyDescent="0.2">
      <c r="AD3748" s="6"/>
      <c r="BJ3748" s="15"/>
    </row>
    <row r="3749" spans="30:62" x14ac:dyDescent="0.2">
      <c r="AD3749" s="6"/>
      <c r="BJ3749" s="15"/>
    </row>
    <row r="3750" spans="30:62" x14ac:dyDescent="0.2">
      <c r="AD3750" s="6"/>
      <c r="BJ3750" s="15"/>
    </row>
    <row r="3751" spans="30:62" x14ac:dyDescent="0.2">
      <c r="AD3751" s="6"/>
      <c r="BJ3751" s="15"/>
    </row>
    <row r="3752" spans="30:62" x14ac:dyDescent="0.2">
      <c r="AD3752" s="6"/>
      <c r="BJ3752" s="15"/>
    </row>
    <row r="3753" spans="30:62" x14ac:dyDescent="0.2">
      <c r="AD3753" s="6"/>
      <c r="BJ3753" s="15"/>
    </row>
    <row r="3754" spans="30:62" x14ac:dyDescent="0.2">
      <c r="AD3754" s="6"/>
      <c r="BJ3754" s="15"/>
    </row>
    <row r="3755" spans="30:62" x14ac:dyDescent="0.2">
      <c r="AD3755" s="6"/>
      <c r="BJ3755" s="15"/>
    </row>
    <row r="3756" spans="30:62" x14ac:dyDescent="0.2">
      <c r="AD3756" s="6"/>
      <c r="BJ3756" s="15"/>
    </row>
    <row r="3757" spans="30:62" x14ac:dyDescent="0.2">
      <c r="AD3757" s="6"/>
      <c r="BJ3757" s="15"/>
    </row>
    <row r="3758" spans="30:62" x14ac:dyDescent="0.2">
      <c r="AD3758" s="6"/>
      <c r="BJ3758" s="15"/>
    </row>
    <row r="3759" spans="30:62" x14ac:dyDescent="0.2">
      <c r="AD3759" s="6"/>
      <c r="BJ3759" s="15"/>
    </row>
    <row r="3760" spans="30:62" x14ac:dyDescent="0.2">
      <c r="AD3760" s="6"/>
      <c r="BJ3760" s="15"/>
    </row>
    <row r="3761" spans="30:62" x14ac:dyDescent="0.2">
      <c r="AD3761" s="6"/>
      <c r="BJ3761" s="15"/>
    </row>
    <row r="3762" spans="30:62" x14ac:dyDescent="0.2">
      <c r="AD3762" s="6"/>
      <c r="BJ3762" s="15"/>
    </row>
    <row r="3763" spans="30:62" x14ac:dyDescent="0.2">
      <c r="AD3763" s="6"/>
      <c r="BJ3763" s="15"/>
    </row>
    <row r="3764" spans="30:62" x14ac:dyDescent="0.2">
      <c r="AD3764" s="6"/>
      <c r="BJ3764" s="15"/>
    </row>
    <row r="3765" spans="30:62" x14ac:dyDescent="0.2">
      <c r="AD3765" s="6"/>
      <c r="BJ3765" s="15"/>
    </row>
    <row r="3766" spans="30:62" x14ac:dyDescent="0.2">
      <c r="AD3766" s="6"/>
      <c r="BJ3766" s="15"/>
    </row>
    <row r="3767" spans="30:62" x14ac:dyDescent="0.2">
      <c r="AD3767" s="6"/>
      <c r="BJ3767" s="15"/>
    </row>
    <row r="3768" spans="30:62" x14ac:dyDescent="0.2">
      <c r="AD3768" s="6"/>
      <c r="BJ3768" s="15"/>
    </row>
    <row r="3769" spans="30:62" x14ac:dyDescent="0.2">
      <c r="AD3769" s="6"/>
      <c r="BJ3769" s="15"/>
    </row>
    <row r="3770" spans="30:62" x14ac:dyDescent="0.2">
      <c r="AD3770" s="6"/>
      <c r="BJ3770" s="15"/>
    </row>
    <row r="3771" spans="30:62" x14ac:dyDescent="0.2">
      <c r="AD3771" s="6"/>
      <c r="BJ3771" s="15"/>
    </row>
    <row r="3772" spans="30:62" x14ac:dyDescent="0.2">
      <c r="AD3772" s="6"/>
      <c r="BJ3772" s="15"/>
    </row>
    <row r="3773" spans="30:62" x14ac:dyDescent="0.2">
      <c r="AD3773" s="6"/>
      <c r="BJ3773" s="15"/>
    </row>
    <row r="3774" spans="30:62" x14ac:dyDescent="0.2">
      <c r="AD3774" s="6"/>
      <c r="BJ3774" s="15"/>
    </row>
    <row r="3775" spans="30:62" x14ac:dyDescent="0.2">
      <c r="AD3775" s="6"/>
      <c r="BJ3775" s="15"/>
    </row>
    <row r="3776" spans="30:62" x14ac:dyDescent="0.2">
      <c r="AD3776" s="6"/>
      <c r="BJ3776" s="15"/>
    </row>
    <row r="3777" spans="30:62" x14ac:dyDescent="0.2">
      <c r="AD3777" s="6"/>
      <c r="BJ3777" s="15"/>
    </row>
    <row r="3778" spans="30:62" x14ac:dyDescent="0.2">
      <c r="AD3778" s="6"/>
      <c r="BJ3778" s="15"/>
    </row>
    <row r="3779" spans="30:62" x14ac:dyDescent="0.2">
      <c r="AD3779" s="6"/>
      <c r="BJ3779" s="15"/>
    </row>
    <row r="3780" spans="30:62" x14ac:dyDescent="0.2">
      <c r="AD3780" s="6"/>
      <c r="BJ3780" s="15"/>
    </row>
    <row r="3781" spans="30:62" x14ac:dyDescent="0.2">
      <c r="AD3781" s="6"/>
      <c r="BJ3781" s="15"/>
    </row>
    <row r="3782" spans="30:62" x14ac:dyDescent="0.2">
      <c r="AD3782" s="6"/>
      <c r="BJ3782" s="15"/>
    </row>
    <row r="3783" spans="30:62" x14ac:dyDescent="0.2">
      <c r="AD3783" s="6"/>
      <c r="BJ3783" s="15"/>
    </row>
    <row r="3784" spans="30:62" x14ac:dyDescent="0.2">
      <c r="AD3784" s="6"/>
      <c r="BJ3784" s="15"/>
    </row>
    <row r="3785" spans="30:62" x14ac:dyDescent="0.2">
      <c r="AD3785" s="6"/>
      <c r="BJ3785" s="15"/>
    </row>
    <row r="3786" spans="30:62" x14ac:dyDescent="0.2">
      <c r="AD3786" s="6"/>
      <c r="BJ3786" s="15"/>
    </row>
    <row r="3787" spans="30:62" x14ac:dyDescent="0.2">
      <c r="AD3787" s="6"/>
      <c r="BJ3787" s="15"/>
    </row>
    <row r="3788" spans="30:62" x14ac:dyDescent="0.2">
      <c r="AD3788" s="6"/>
      <c r="BJ3788" s="15"/>
    </row>
    <row r="3789" spans="30:62" x14ac:dyDescent="0.2">
      <c r="AD3789" s="6"/>
      <c r="BJ3789" s="15"/>
    </row>
    <row r="3790" spans="30:62" x14ac:dyDescent="0.2">
      <c r="AD3790" s="6"/>
      <c r="BJ3790" s="15"/>
    </row>
    <row r="3791" spans="30:62" x14ac:dyDescent="0.2">
      <c r="AD3791" s="6"/>
      <c r="BJ3791" s="15"/>
    </row>
    <row r="3792" spans="30:62" x14ac:dyDescent="0.2">
      <c r="AD3792" s="6"/>
      <c r="BJ3792" s="15"/>
    </row>
    <row r="3793" spans="30:62" x14ac:dyDescent="0.2">
      <c r="AD3793" s="6"/>
      <c r="BJ3793" s="15"/>
    </row>
    <row r="3794" spans="30:62" x14ac:dyDescent="0.2">
      <c r="AD3794" s="6"/>
      <c r="BJ3794" s="15"/>
    </row>
    <row r="3795" spans="30:62" x14ac:dyDescent="0.2">
      <c r="AD3795" s="6"/>
      <c r="BJ3795" s="15"/>
    </row>
    <row r="3796" spans="30:62" x14ac:dyDescent="0.2">
      <c r="AD3796" s="6"/>
      <c r="BJ3796" s="15"/>
    </row>
    <row r="3797" spans="30:62" x14ac:dyDescent="0.2">
      <c r="AD3797" s="6"/>
      <c r="BJ3797" s="15"/>
    </row>
    <row r="3798" spans="30:62" x14ac:dyDescent="0.2">
      <c r="AD3798" s="6"/>
      <c r="BJ3798" s="15"/>
    </row>
    <row r="3799" spans="30:62" x14ac:dyDescent="0.2">
      <c r="AD3799" s="6"/>
      <c r="BJ3799" s="15"/>
    </row>
    <row r="3800" spans="30:62" x14ac:dyDescent="0.2">
      <c r="AD3800" s="6"/>
      <c r="BJ3800" s="15"/>
    </row>
    <row r="3801" spans="30:62" x14ac:dyDescent="0.2">
      <c r="AD3801" s="6"/>
      <c r="BJ3801" s="15"/>
    </row>
    <row r="3802" spans="30:62" x14ac:dyDescent="0.2">
      <c r="AD3802" s="6"/>
      <c r="BJ3802" s="15"/>
    </row>
    <row r="3803" spans="30:62" x14ac:dyDescent="0.2">
      <c r="AD3803" s="6"/>
      <c r="BJ3803" s="15"/>
    </row>
    <row r="3804" spans="30:62" x14ac:dyDescent="0.2">
      <c r="AD3804" s="6"/>
      <c r="BJ3804" s="15"/>
    </row>
    <row r="3805" spans="30:62" x14ac:dyDescent="0.2">
      <c r="AD3805" s="6"/>
      <c r="BJ3805" s="15"/>
    </row>
    <row r="3806" spans="30:62" x14ac:dyDescent="0.2">
      <c r="AD3806" s="6"/>
      <c r="BJ3806" s="15"/>
    </row>
    <row r="3807" spans="30:62" x14ac:dyDescent="0.2">
      <c r="AD3807" s="6"/>
      <c r="BJ3807" s="15"/>
    </row>
    <row r="3808" spans="30:62" x14ac:dyDescent="0.2">
      <c r="AD3808" s="6"/>
      <c r="BJ3808" s="15"/>
    </row>
    <row r="3809" spans="30:62" x14ac:dyDescent="0.2">
      <c r="AD3809" s="6"/>
      <c r="BJ3809" s="15"/>
    </row>
    <row r="3810" spans="30:62" x14ac:dyDescent="0.2">
      <c r="AD3810" s="6"/>
      <c r="BJ3810" s="15"/>
    </row>
    <row r="3811" spans="30:62" x14ac:dyDescent="0.2">
      <c r="AD3811" s="6"/>
      <c r="BJ3811" s="15"/>
    </row>
    <row r="3812" spans="30:62" x14ac:dyDescent="0.2">
      <c r="AD3812" s="6"/>
      <c r="BJ3812" s="15"/>
    </row>
    <row r="3813" spans="30:62" x14ac:dyDescent="0.2">
      <c r="AD3813" s="6"/>
      <c r="BJ3813" s="15"/>
    </row>
    <row r="3814" spans="30:62" x14ac:dyDescent="0.2">
      <c r="AD3814" s="6"/>
      <c r="BJ3814" s="15"/>
    </row>
    <row r="3815" spans="30:62" x14ac:dyDescent="0.2">
      <c r="AD3815" s="6"/>
      <c r="BJ3815" s="15"/>
    </row>
    <row r="3816" spans="30:62" x14ac:dyDescent="0.2">
      <c r="AD3816" s="6"/>
      <c r="BJ3816" s="15"/>
    </row>
    <row r="3817" spans="30:62" x14ac:dyDescent="0.2">
      <c r="AD3817" s="6"/>
      <c r="BJ3817" s="15"/>
    </row>
    <row r="3818" spans="30:62" x14ac:dyDescent="0.2">
      <c r="AD3818" s="6"/>
      <c r="BJ3818" s="15"/>
    </row>
    <row r="3819" spans="30:62" x14ac:dyDescent="0.2">
      <c r="AD3819" s="6"/>
      <c r="BJ3819" s="15"/>
    </row>
    <row r="3820" spans="30:62" x14ac:dyDescent="0.2">
      <c r="AD3820" s="6"/>
      <c r="BJ3820" s="15"/>
    </row>
    <row r="3821" spans="30:62" x14ac:dyDescent="0.2">
      <c r="AD3821" s="6"/>
      <c r="BJ3821" s="15"/>
    </row>
    <row r="3822" spans="30:62" x14ac:dyDescent="0.2">
      <c r="AD3822" s="6"/>
      <c r="BJ3822" s="15"/>
    </row>
    <row r="3823" spans="30:62" x14ac:dyDescent="0.2">
      <c r="AD3823" s="6"/>
      <c r="BJ3823" s="15"/>
    </row>
    <row r="3824" spans="30:62" x14ac:dyDescent="0.2">
      <c r="AD3824" s="6"/>
      <c r="BJ3824" s="15"/>
    </row>
    <row r="3825" spans="30:62" x14ac:dyDescent="0.2">
      <c r="AD3825" s="6"/>
      <c r="BJ3825" s="15"/>
    </row>
    <row r="3826" spans="30:62" x14ac:dyDescent="0.2">
      <c r="AD3826" s="6"/>
      <c r="BJ3826" s="15"/>
    </row>
    <row r="3827" spans="30:62" x14ac:dyDescent="0.2">
      <c r="AD3827" s="6"/>
      <c r="BJ3827" s="15"/>
    </row>
    <row r="3828" spans="30:62" x14ac:dyDescent="0.2">
      <c r="AD3828" s="6"/>
      <c r="BJ3828" s="15"/>
    </row>
    <row r="3829" spans="30:62" x14ac:dyDescent="0.2">
      <c r="AD3829" s="6"/>
      <c r="BJ3829" s="15"/>
    </row>
    <row r="3830" spans="30:62" x14ac:dyDescent="0.2">
      <c r="AD3830" s="6"/>
      <c r="BJ3830" s="15"/>
    </row>
    <row r="3831" spans="30:62" x14ac:dyDescent="0.2">
      <c r="AD3831" s="6"/>
      <c r="BJ3831" s="15"/>
    </row>
    <row r="3832" spans="30:62" x14ac:dyDescent="0.2">
      <c r="AD3832" s="6"/>
      <c r="BJ3832" s="15"/>
    </row>
    <row r="3833" spans="30:62" x14ac:dyDescent="0.2">
      <c r="AD3833" s="6"/>
      <c r="BJ3833" s="15"/>
    </row>
    <row r="3834" spans="30:62" x14ac:dyDescent="0.2">
      <c r="AD3834" s="6"/>
      <c r="BJ3834" s="15"/>
    </row>
    <row r="3835" spans="30:62" x14ac:dyDescent="0.2">
      <c r="AD3835" s="6"/>
      <c r="BJ3835" s="15"/>
    </row>
    <row r="3836" spans="30:62" x14ac:dyDescent="0.2">
      <c r="AD3836" s="6"/>
      <c r="BJ3836" s="15"/>
    </row>
    <row r="3837" spans="30:62" x14ac:dyDescent="0.2">
      <c r="AD3837" s="6"/>
      <c r="BJ3837" s="15"/>
    </row>
    <row r="3838" spans="30:62" x14ac:dyDescent="0.2">
      <c r="AD3838" s="6"/>
      <c r="BJ3838" s="15"/>
    </row>
    <row r="3839" spans="30:62" x14ac:dyDescent="0.2">
      <c r="AD3839" s="6"/>
      <c r="BJ3839" s="15"/>
    </row>
    <row r="3840" spans="30:62" x14ac:dyDescent="0.2">
      <c r="AD3840" s="6"/>
      <c r="BJ3840" s="15"/>
    </row>
    <row r="3841" spans="30:62" x14ac:dyDescent="0.2">
      <c r="AD3841" s="6"/>
      <c r="BJ3841" s="15"/>
    </row>
    <row r="3842" spans="30:62" x14ac:dyDescent="0.2">
      <c r="AD3842" s="6"/>
      <c r="BJ3842" s="15"/>
    </row>
    <row r="3843" spans="30:62" x14ac:dyDescent="0.2">
      <c r="AD3843" s="6"/>
      <c r="BJ3843" s="15"/>
    </row>
    <row r="3844" spans="30:62" x14ac:dyDescent="0.2">
      <c r="AD3844" s="6"/>
      <c r="BJ3844" s="15"/>
    </row>
    <row r="3845" spans="30:62" x14ac:dyDescent="0.2">
      <c r="AD3845" s="6"/>
      <c r="BJ3845" s="15"/>
    </row>
    <row r="3846" spans="30:62" x14ac:dyDescent="0.2">
      <c r="AD3846" s="6"/>
      <c r="BJ3846" s="15"/>
    </row>
    <row r="3847" spans="30:62" x14ac:dyDescent="0.2">
      <c r="AD3847" s="6"/>
      <c r="BJ3847" s="15"/>
    </row>
    <row r="3848" spans="30:62" x14ac:dyDescent="0.2">
      <c r="AD3848" s="6"/>
      <c r="BJ3848" s="15"/>
    </row>
    <row r="3849" spans="30:62" x14ac:dyDescent="0.2">
      <c r="AD3849" s="6"/>
      <c r="BJ3849" s="15"/>
    </row>
    <row r="3850" spans="30:62" x14ac:dyDescent="0.2">
      <c r="AD3850" s="6"/>
      <c r="BJ3850" s="15"/>
    </row>
    <row r="3851" spans="30:62" x14ac:dyDescent="0.2">
      <c r="AD3851" s="6"/>
      <c r="BJ3851" s="15"/>
    </row>
    <row r="3852" spans="30:62" x14ac:dyDescent="0.2">
      <c r="AD3852" s="6"/>
      <c r="BJ3852" s="15"/>
    </row>
    <row r="3853" spans="30:62" x14ac:dyDescent="0.2">
      <c r="AD3853" s="6"/>
      <c r="BJ3853" s="15"/>
    </row>
    <row r="3854" spans="30:62" x14ac:dyDescent="0.2">
      <c r="AD3854" s="6"/>
      <c r="BJ3854" s="15"/>
    </row>
    <row r="3855" spans="30:62" x14ac:dyDescent="0.2">
      <c r="AD3855" s="6"/>
      <c r="BJ3855" s="15"/>
    </row>
    <row r="3856" spans="30:62" x14ac:dyDescent="0.2">
      <c r="AD3856" s="6"/>
      <c r="BJ3856" s="15"/>
    </row>
    <row r="3857" spans="30:62" x14ac:dyDescent="0.2">
      <c r="AD3857" s="6"/>
      <c r="BJ3857" s="15"/>
    </row>
    <row r="3858" spans="30:62" x14ac:dyDescent="0.2">
      <c r="AD3858" s="6"/>
      <c r="BJ3858" s="15"/>
    </row>
    <row r="3859" spans="30:62" x14ac:dyDescent="0.2">
      <c r="AD3859" s="6"/>
      <c r="BJ3859" s="15"/>
    </row>
    <row r="3860" spans="30:62" x14ac:dyDescent="0.2">
      <c r="AD3860" s="6"/>
      <c r="BJ3860" s="15"/>
    </row>
    <row r="3861" spans="30:62" x14ac:dyDescent="0.2">
      <c r="AD3861" s="6"/>
      <c r="BJ3861" s="15"/>
    </row>
    <row r="3862" spans="30:62" x14ac:dyDescent="0.2">
      <c r="AD3862" s="6"/>
      <c r="BJ3862" s="15"/>
    </row>
    <row r="3863" spans="30:62" x14ac:dyDescent="0.2">
      <c r="AD3863" s="6"/>
      <c r="BJ3863" s="15"/>
    </row>
    <row r="3864" spans="30:62" x14ac:dyDescent="0.2">
      <c r="AD3864" s="6"/>
      <c r="BJ3864" s="15"/>
    </row>
    <row r="3865" spans="30:62" x14ac:dyDescent="0.2">
      <c r="AD3865" s="6"/>
      <c r="BJ3865" s="15"/>
    </row>
    <row r="3866" spans="30:62" x14ac:dyDescent="0.2">
      <c r="AD3866" s="6"/>
      <c r="BJ3866" s="15"/>
    </row>
    <row r="3867" spans="30:62" x14ac:dyDescent="0.2">
      <c r="AD3867" s="6"/>
      <c r="BJ3867" s="15"/>
    </row>
    <row r="3868" spans="30:62" x14ac:dyDescent="0.2">
      <c r="AD3868" s="6"/>
      <c r="BJ3868" s="15"/>
    </row>
    <row r="3869" spans="30:62" x14ac:dyDescent="0.2">
      <c r="AD3869" s="6"/>
      <c r="BJ3869" s="15"/>
    </row>
    <row r="3870" spans="30:62" x14ac:dyDescent="0.2">
      <c r="AD3870" s="6"/>
      <c r="BJ3870" s="15"/>
    </row>
    <row r="3871" spans="30:62" x14ac:dyDescent="0.2">
      <c r="AD3871" s="6"/>
      <c r="BJ3871" s="15"/>
    </row>
    <row r="3872" spans="30:62" x14ac:dyDescent="0.2">
      <c r="AD3872" s="6"/>
      <c r="BJ3872" s="15"/>
    </row>
    <row r="3873" spans="30:62" x14ac:dyDescent="0.2">
      <c r="AD3873" s="6"/>
      <c r="BJ3873" s="15"/>
    </row>
    <row r="3874" spans="30:62" x14ac:dyDescent="0.2">
      <c r="AD3874" s="6"/>
      <c r="BJ3874" s="15"/>
    </row>
    <row r="3875" spans="30:62" x14ac:dyDescent="0.2">
      <c r="AD3875" s="6"/>
      <c r="BJ3875" s="15"/>
    </row>
    <row r="3876" spans="30:62" x14ac:dyDescent="0.2">
      <c r="AD3876" s="6"/>
      <c r="BJ3876" s="15"/>
    </row>
    <row r="3877" spans="30:62" x14ac:dyDescent="0.2">
      <c r="AD3877" s="6"/>
      <c r="BJ3877" s="15"/>
    </row>
    <row r="3878" spans="30:62" x14ac:dyDescent="0.2">
      <c r="AD3878" s="6"/>
      <c r="BJ3878" s="15"/>
    </row>
    <row r="3879" spans="30:62" x14ac:dyDescent="0.2">
      <c r="AD3879" s="6"/>
      <c r="BJ3879" s="15"/>
    </row>
    <row r="3880" spans="30:62" x14ac:dyDescent="0.2">
      <c r="AD3880" s="6"/>
      <c r="BJ3880" s="15"/>
    </row>
    <row r="3881" spans="30:62" x14ac:dyDescent="0.2">
      <c r="AD3881" s="6"/>
      <c r="BJ3881" s="15"/>
    </row>
    <row r="3882" spans="30:62" x14ac:dyDescent="0.2">
      <c r="AD3882" s="6"/>
      <c r="BJ3882" s="15"/>
    </row>
    <row r="3883" spans="30:62" x14ac:dyDescent="0.2">
      <c r="AD3883" s="6"/>
      <c r="BJ3883" s="15"/>
    </row>
    <row r="3884" spans="30:62" x14ac:dyDescent="0.2">
      <c r="AD3884" s="6"/>
      <c r="BJ3884" s="15"/>
    </row>
    <row r="3885" spans="30:62" x14ac:dyDescent="0.2">
      <c r="AD3885" s="6"/>
      <c r="BJ3885" s="15"/>
    </row>
    <row r="3886" spans="30:62" x14ac:dyDescent="0.2">
      <c r="AD3886" s="6"/>
      <c r="BJ3886" s="15"/>
    </row>
    <row r="3887" spans="30:62" x14ac:dyDescent="0.2">
      <c r="AD3887" s="6"/>
      <c r="BJ3887" s="15"/>
    </row>
    <row r="3888" spans="30:62" x14ac:dyDescent="0.2">
      <c r="AD3888" s="6"/>
      <c r="BJ3888" s="15"/>
    </row>
    <row r="3889" spans="30:62" x14ac:dyDescent="0.2">
      <c r="AD3889" s="6"/>
      <c r="BJ3889" s="15"/>
    </row>
    <row r="3890" spans="30:62" x14ac:dyDescent="0.2">
      <c r="AD3890" s="6"/>
      <c r="BJ3890" s="15"/>
    </row>
    <row r="3891" spans="30:62" x14ac:dyDescent="0.2">
      <c r="AD3891" s="6"/>
      <c r="BJ3891" s="15"/>
    </row>
    <row r="3892" spans="30:62" x14ac:dyDescent="0.2">
      <c r="AD3892" s="6"/>
      <c r="BJ3892" s="15"/>
    </row>
    <row r="3893" spans="30:62" x14ac:dyDescent="0.2">
      <c r="AD3893" s="6"/>
      <c r="BJ3893" s="15"/>
    </row>
    <row r="3894" spans="30:62" x14ac:dyDescent="0.2">
      <c r="AD3894" s="6"/>
      <c r="BJ3894" s="15"/>
    </row>
    <row r="3895" spans="30:62" x14ac:dyDescent="0.2">
      <c r="AD3895" s="6"/>
      <c r="BJ3895" s="15"/>
    </row>
    <row r="3896" spans="30:62" x14ac:dyDescent="0.2">
      <c r="AD3896" s="6"/>
      <c r="BJ3896" s="15"/>
    </row>
    <row r="3897" spans="30:62" x14ac:dyDescent="0.2">
      <c r="AD3897" s="6"/>
      <c r="BJ3897" s="15"/>
    </row>
    <row r="3898" spans="30:62" x14ac:dyDescent="0.2">
      <c r="AD3898" s="6"/>
      <c r="BJ3898" s="15"/>
    </row>
    <row r="3899" spans="30:62" x14ac:dyDescent="0.2">
      <c r="AD3899" s="6"/>
      <c r="BJ3899" s="15"/>
    </row>
    <row r="3900" spans="30:62" x14ac:dyDescent="0.2">
      <c r="AD3900" s="6"/>
      <c r="BJ3900" s="15"/>
    </row>
    <row r="3901" spans="30:62" x14ac:dyDescent="0.2">
      <c r="AD3901" s="6"/>
      <c r="BJ3901" s="15"/>
    </row>
    <row r="3902" spans="30:62" x14ac:dyDescent="0.2">
      <c r="AD3902" s="6"/>
      <c r="BJ3902" s="15"/>
    </row>
    <row r="3903" spans="30:62" x14ac:dyDescent="0.2">
      <c r="AD3903" s="6"/>
      <c r="BJ3903" s="15"/>
    </row>
    <row r="3904" spans="30:62" x14ac:dyDescent="0.2">
      <c r="AD3904" s="6"/>
      <c r="BJ3904" s="15"/>
    </row>
    <row r="3905" spans="30:62" x14ac:dyDescent="0.2">
      <c r="AD3905" s="6"/>
      <c r="BJ3905" s="15"/>
    </row>
    <row r="3906" spans="30:62" x14ac:dyDescent="0.2">
      <c r="AD3906" s="6"/>
      <c r="BJ3906" s="15"/>
    </row>
    <row r="3907" spans="30:62" x14ac:dyDescent="0.2">
      <c r="AD3907" s="6"/>
      <c r="BJ3907" s="15"/>
    </row>
    <row r="3908" spans="30:62" x14ac:dyDescent="0.2">
      <c r="AD3908" s="6"/>
      <c r="BJ3908" s="15"/>
    </row>
    <row r="3909" spans="30:62" x14ac:dyDescent="0.2">
      <c r="AD3909" s="6"/>
      <c r="BJ3909" s="15"/>
    </row>
    <row r="3910" spans="30:62" x14ac:dyDescent="0.2">
      <c r="AD3910" s="6"/>
      <c r="BJ3910" s="15"/>
    </row>
    <row r="3911" spans="30:62" x14ac:dyDescent="0.2">
      <c r="AD3911" s="6"/>
      <c r="BJ3911" s="15"/>
    </row>
    <row r="3912" spans="30:62" x14ac:dyDescent="0.2">
      <c r="AD3912" s="6"/>
      <c r="BJ3912" s="15"/>
    </row>
    <row r="3913" spans="30:62" x14ac:dyDescent="0.2">
      <c r="AD3913" s="6"/>
      <c r="BJ3913" s="15"/>
    </row>
    <row r="3914" spans="30:62" x14ac:dyDescent="0.2">
      <c r="AD3914" s="6"/>
      <c r="BJ3914" s="15"/>
    </row>
    <row r="3915" spans="30:62" x14ac:dyDescent="0.2">
      <c r="AD3915" s="6"/>
      <c r="BJ3915" s="15"/>
    </row>
    <row r="3916" spans="30:62" x14ac:dyDescent="0.2">
      <c r="AD3916" s="6"/>
      <c r="BJ3916" s="15"/>
    </row>
    <row r="3917" spans="30:62" x14ac:dyDescent="0.2">
      <c r="AD3917" s="6"/>
      <c r="BJ3917" s="15"/>
    </row>
    <row r="3918" spans="30:62" x14ac:dyDescent="0.2">
      <c r="AD3918" s="6"/>
      <c r="BJ3918" s="15"/>
    </row>
    <row r="3919" spans="30:62" x14ac:dyDescent="0.2">
      <c r="AD3919" s="6"/>
      <c r="BJ3919" s="15"/>
    </row>
    <row r="3920" spans="30:62" x14ac:dyDescent="0.2">
      <c r="AD3920" s="6"/>
      <c r="BJ3920" s="15"/>
    </row>
    <row r="3921" spans="30:62" x14ac:dyDescent="0.2">
      <c r="AD3921" s="6"/>
      <c r="BJ3921" s="15"/>
    </row>
    <row r="3922" spans="30:62" x14ac:dyDescent="0.2">
      <c r="AD3922" s="6"/>
      <c r="BJ3922" s="15"/>
    </row>
    <row r="3923" spans="30:62" x14ac:dyDescent="0.2">
      <c r="AD3923" s="6"/>
      <c r="BJ3923" s="15"/>
    </row>
    <row r="3924" spans="30:62" x14ac:dyDescent="0.2">
      <c r="AD3924" s="6"/>
      <c r="BJ3924" s="15"/>
    </row>
    <row r="3925" spans="30:62" x14ac:dyDescent="0.2">
      <c r="AD3925" s="6"/>
      <c r="BJ3925" s="15"/>
    </row>
    <row r="3926" spans="30:62" x14ac:dyDescent="0.2">
      <c r="AD3926" s="6"/>
      <c r="BJ3926" s="15"/>
    </row>
    <row r="3927" spans="30:62" x14ac:dyDescent="0.2">
      <c r="AD3927" s="6"/>
      <c r="BJ3927" s="15"/>
    </row>
    <row r="3928" spans="30:62" x14ac:dyDescent="0.2">
      <c r="AD3928" s="6"/>
      <c r="BJ3928" s="15"/>
    </row>
    <row r="3929" spans="30:62" x14ac:dyDescent="0.2">
      <c r="AD3929" s="6"/>
      <c r="BJ3929" s="15"/>
    </row>
    <row r="3930" spans="30:62" x14ac:dyDescent="0.2">
      <c r="AD3930" s="6"/>
      <c r="BJ3930" s="15"/>
    </row>
    <row r="3931" spans="30:62" x14ac:dyDescent="0.2">
      <c r="AD3931" s="6"/>
      <c r="BJ3931" s="15"/>
    </row>
    <row r="3932" spans="30:62" x14ac:dyDescent="0.2">
      <c r="AD3932" s="6"/>
      <c r="BJ3932" s="15"/>
    </row>
    <row r="3933" spans="30:62" x14ac:dyDescent="0.2">
      <c r="AD3933" s="6"/>
      <c r="BJ3933" s="15"/>
    </row>
    <row r="3934" spans="30:62" x14ac:dyDescent="0.2">
      <c r="AD3934" s="6"/>
      <c r="BJ3934" s="15"/>
    </row>
    <row r="3935" spans="30:62" x14ac:dyDescent="0.2">
      <c r="AD3935" s="6"/>
      <c r="BJ3935" s="15"/>
    </row>
    <row r="3936" spans="30:62" x14ac:dyDescent="0.2">
      <c r="AD3936" s="6"/>
      <c r="BJ3936" s="15"/>
    </row>
    <row r="3937" spans="30:62" x14ac:dyDescent="0.2">
      <c r="AD3937" s="6"/>
      <c r="BJ3937" s="15"/>
    </row>
    <row r="3938" spans="30:62" x14ac:dyDescent="0.2">
      <c r="AD3938" s="6"/>
      <c r="BJ3938" s="15"/>
    </row>
    <row r="3939" spans="30:62" x14ac:dyDescent="0.2">
      <c r="AD3939" s="6"/>
      <c r="BJ3939" s="15"/>
    </row>
    <row r="3940" spans="30:62" x14ac:dyDescent="0.2">
      <c r="AD3940" s="6"/>
      <c r="BJ3940" s="15"/>
    </row>
    <row r="3941" spans="30:62" x14ac:dyDescent="0.2">
      <c r="AD3941" s="6"/>
      <c r="BJ3941" s="15"/>
    </row>
    <row r="3942" spans="30:62" x14ac:dyDescent="0.2">
      <c r="AD3942" s="6"/>
      <c r="BJ3942" s="15"/>
    </row>
    <row r="3943" spans="30:62" x14ac:dyDescent="0.2">
      <c r="AD3943" s="6"/>
      <c r="BJ3943" s="15"/>
    </row>
    <row r="3944" spans="30:62" x14ac:dyDescent="0.2">
      <c r="AD3944" s="6"/>
      <c r="BJ3944" s="15"/>
    </row>
    <row r="3945" spans="30:62" x14ac:dyDescent="0.2">
      <c r="AD3945" s="6"/>
      <c r="BJ3945" s="15"/>
    </row>
    <row r="3946" spans="30:62" x14ac:dyDescent="0.2">
      <c r="AD3946" s="6"/>
      <c r="BJ3946" s="15"/>
    </row>
    <row r="3947" spans="30:62" x14ac:dyDescent="0.2">
      <c r="AD3947" s="6"/>
      <c r="BJ3947" s="15"/>
    </row>
    <row r="3948" spans="30:62" x14ac:dyDescent="0.2">
      <c r="AD3948" s="6"/>
      <c r="BJ3948" s="15"/>
    </row>
    <row r="3949" spans="30:62" x14ac:dyDescent="0.2">
      <c r="AD3949" s="6"/>
      <c r="BJ3949" s="15"/>
    </row>
    <row r="3950" spans="30:62" x14ac:dyDescent="0.2">
      <c r="AD3950" s="6"/>
      <c r="BJ3950" s="15"/>
    </row>
    <row r="3951" spans="30:62" x14ac:dyDescent="0.2">
      <c r="AD3951" s="6"/>
      <c r="BJ3951" s="15"/>
    </row>
    <row r="3952" spans="30:62" x14ac:dyDescent="0.2">
      <c r="AD3952" s="6"/>
      <c r="BJ3952" s="15"/>
    </row>
    <row r="3953" spans="30:62" x14ac:dyDescent="0.2">
      <c r="AD3953" s="6"/>
      <c r="BJ3953" s="15"/>
    </row>
    <row r="3954" spans="30:62" x14ac:dyDescent="0.2">
      <c r="AD3954" s="6"/>
      <c r="BJ3954" s="15"/>
    </row>
    <row r="3955" spans="30:62" x14ac:dyDescent="0.2">
      <c r="AD3955" s="6"/>
      <c r="BJ3955" s="15"/>
    </row>
    <row r="3956" spans="30:62" x14ac:dyDescent="0.2">
      <c r="AD3956" s="6"/>
      <c r="BJ3956" s="15"/>
    </row>
    <row r="3957" spans="30:62" x14ac:dyDescent="0.2">
      <c r="AD3957" s="6"/>
      <c r="BJ3957" s="15"/>
    </row>
    <row r="3958" spans="30:62" x14ac:dyDescent="0.2">
      <c r="AD3958" s="6"/>
      <c r="BJ3958" s="15"/>
    </row>
    <row r="3959" spans="30:62" x14ac:dyDescent="0.2">
      <c r="AD3959" s="6"/>
      <c r="BJ3959" s="15"/>
    </row>
    <row r="3960" spans="30:62" x14ac:dyDescent="0.2">
      <c r="AD3960" s="6"/>
      <c r="BJ3960" s="15"/>
    </row>
    <row r="3961" spans="30:62" x14ac:dyDescent="0.2">
      <c r="AD3961" s="6"/>
      <c r="BJ3961" s="15"/>
    </row>
    <row r="3962" spans="30:62" x14ac:dyDescent="0.2">
      <c r="AD3962" s="6"/>
      <c r="BJ3962" s="15"/>
    </row>
    <row r="3963" spans="30:62" x14ac:dyDescent="0.2">
      <c r="AD3963" s="6"/>
      <c r="BJ3963" s="15"/>
    </row>
    <row r="3964" spans="30:62" x14ac:dyDescent="0.2">
      <c r="AD3964" s="6"/>
      <c r="BJ3964" s="15"/>
    </row>
    <row r="3965" spans="30:62" x14ac:dyDescent="0.2">
      <c r="AD3965" s="6"/>
      <c r="BJ3965" s="15"/>
    </row>
    <row r="3966" spans="30:62" x14ac:dyDescent="0.2">
      <c r="AD3966" s="6"/>
      <c r="BJ3966" s="15"/>
    </row>
    <row r="3967" spans="30:62" x14ac:dyDescent="0.2">
      <c r="AD3967" s="6"/>
      <c r="BJ3967" s="15"/>
    </row>
    <row r="3968" spans="30:62" x14ac:dyDescent="0.2">
      <c r="AD3968" s="6"/>
      <c r="BJ3968" s="15"/>
    </row>
    <row r="3969" spans="30:62" x14ac:dyDescent="0.2">
      <c r="AD3969" s="6"/>
      <c r="BJ3969" s="15"/>
    </row>
    <row r="3970" spans="30:62" x14ac:dyDescent="0.2">
      <c r="AD3970" s="6"/>
      <c r="BJ3970" s="15"/>
    </row>
    <row r="3971" spans="30:62" x14ac:dyDescent="0.2">
      <c r="AD3971" s="6"/>
      <c r="BJ3971" s="15"/>
    </row>
    <row r="3972" spans="30:62" x14ac:dyDescent="0.2">
      <c r="AD3972" s="6"/>
      <c r="BJ3972" s="15"/>
    </row>
    <row r="3973" spans="30:62" x14ac:dyDescent="0.2">
      <c r="AD3973" s="6"/>
      <c r="BJ3973" s="15"/>
    </row>
    <row r="3974" spans="30:62" x14ac:dyDescent="0.2">
      <c r="AD3974" s="6"/>
      <c r="BJ3974" s="15"/>
    </row>
    <row r="3975" spans="30:62" x14ac:dyDescent="0.2">
      <c r="AD3975" s="6"/>
      <c r="BJ3975" s="15"/>
    </row>
    <row r="3976" spans="30:62" x14ac:dyDescent="0.2">
      <c r="AD3976" s="6"/>
      <c r="BJ3976" s="15"/>
    </row>
    <row r="3977" spans="30:62" x14ac:dyDescent="0.2">
      <c r="AD3977" s="6"/>
      <c r="BJ3977" s="15"/>
    </row>
    <row r="3978" spans="30:62" x14ac:dyDescent="0.2">
      <c r="AD3978" s="6"/>
      <c r="BJ3978" s="15"/>
    </row>
    <row r="3979" spans="30:62" x14ac:dyDescent="0.2">
      <c r="AD3979" s="6"/>
      <c r="BJ3979" s="15"/>
    </row>
    <row r="3980" spans="30:62" x14ac:dyDescent="0.2">
      <c r="AD3980" s="6"/>
      <c r="BJ3980" s="15"/>
    </row>
    <row r="3981" spans="30:62" x14ac:dyDescent="0.2">
      <c r="AD3981" s="6"/>
      <c r="BJ3981" s="15"/>
    </row>
    <row r="3982" spans="30:62" x14ac:dyDescent="0.2">
      <c r="AD3982" s="6"/>
      <c r="BJ3982" s="15"/>
    </row>
    <row r="3983" spans="30:62" x14ac:dyDescent="0.2">
      <c r="AD3983" s="6"/>
      <c r="BJ3983" s="15"/>
    </row>
    <row r="3984" spans="30:62" x14ac:dyDescent="0.2">
      <c r="AD3984" s="6"/>
      <c r="BJ3984" s="15"/>
    </row>
    <row r="3985" spans="30:62" x14ac:dyDescent="0.2">
      <c r="AD3985" s="6"/>
      <c r="BJ3985" s="15"/>
    </row>
    <row r="3986" spans="30:62" x14ac:dyDescent="0.2">
      <c r="AD3986" s="6"/>
      <c r="BJ3986" s="15"/>
    </row>
    <row r="3987" spans="30:62" x14ac:dyDescent="0.2">
      <c r="AD3987" s="6"/>
      <c r="BJ3987" s="15"/>
    </row>
    <row r="3988" spans="30:62" x14ac:dyDescent="0.2">
      <c r="AD3988" s="6"/>
      <c r="BJ3988" s="15"/>
    </row>
    <row r="3989" spans="30:62" x14ac:dyDescent="0.2">
      <c r="AD3989" s="6"/>
      <c r="BJ3989" s="15"/>
    </row>
    <row r="3990" spans="30:62" x14ac:dyDescent="0.2">
      <c r="AD3990" s="6"/>
      <c r="BJ3990" s="15"/>
    </row>
    <row r="3991" spans="30:62" x14ac:dyDescent="0.2">
      <c r="AD3991" s="6"/>
      <c r="BJ3991" s="15"/>
    </row>
    <row r="3992" spans="30:62" x14ac:dyDescent="0.2">
      <c r="AD3992" s="6"/>
      <c r="BJ3992" s="15"/>
    </row>
    <row r="3993" spans="30:62" x14ac:dyDescent="0.2">
      <c r="AD3993" s="6"/>
      <c r="BJ3993" s="15"/>
    </row>
    <row r="3994" spans="30:62" x14ac:dyDescent="0.2">
      <c r="AD3994" s="6"/>
      <c r="BJ3994" s="15"/>
    </row>
    <row r="3995" spans="30:62" x14ac:dyDescent="0.2">
      <c r="AD3995" s="6"/>
      <c r="BJ3995" s="15"/>
    </row>
    <row r="3996" spans="30:62" x14ac:dyDescent="0.2">
      <c r="AD3996" s="6"/>
      <c r="BJ3996" s="15"/>
    </row>
    <row r="3997" spans="30:62" x14ac:dyDescent="0.2">
      <c r="AD3997" s="6"/>
      <c r="BJ3997" s="15"/>
    </row>
    <row r="3998" spans="30:62" x14ac:dyDescent="0.2">
      <c r="AD3998" s="6"/>
      <c r="BJ3998" s="15"/>
    </row>
    <row r="3999" spans="30:62" x14ac:dyDescent="0.2">
      <c r="AD3999" s="6"/>
      <c r="BJ3999" s="15"/>
    </row>
    <row r="4000" spans="30:62" x14ac:dyDescent="0.2">
      <c r="AD4000" s="6"/>
      <c r="BJ4000" s="15"/>
    </row>
  </sheetData>
  <autoFilter ref="A1:BU2429" xr:uid="{24A10568-2B3A-4A48-AC24-E8A68FC7CC92}"/>
  <phoneticPr fontId="2" type="noConversion"/>
  <conditionalFormatting sqref="B4:J4 N4:V4">
    <cfRule type="expression" dxfId="4" priority="8" stopIfTrue="1">
      <formula>$S4&lt;#REF!</formula>
    </cfRule>
  </conditionalFormatting>
  <conditionalFormatting sqref="Y3:Z4000 X4:Z859 B2:J3 B5:J860 X860:X4000 N5:V860 N3:X3 N2:Z2 J861:J2429 W4:W2429">
    <cfRule type="expression" dxfId="3" priority="5" stopIfTrue="1">
      <formula>$S2&lt;$S3</formula>
    </cfRule>
  </conditionalFormatting>
  <conditionalFormatting sqref="Y1:Y1048576">
    <cfRule type="containsText" dxfId="2" priority="1" operator="containsText" text="TRUE">
      <formula>NOT(ISERROR(SEARCH("TRUE",Y1)))</formula>
    </cfRule>
  </conditionalFormatting>
  <conditionalFormatting sqref="BT1:BU2429">
    <cfRule type="containsText" dxfId="1" priority="3" operator="containsText" text="XX">
      <formula>NOT(ISERROR(SEARCH("XX",BT1)))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6E4765-FD14-F245-9244-1C1956801F00}">
          <x14:formula1>
            <xm:f>Lists!$BQ:$BQ</xm:f>
          </x14:formula1>
          <xm:sqref>O3:P860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104-6AEB-6A4D-8F83-331F2C542107}">
  <sheetPr>
    <tabColor theme="7"/>
  </sheetPr>
  <dimension ref="A1:BB63"/>
  <sheetViews>
    <sheetView topLeftCell="A13" workbookViewId="0">
      <selection activeCell="H38" sqref="H38"/>
    </sheetView>
  </sheetViews>
  <sheetFormatPr baseColWidth="10" defaultRowHeight="16" x14ac:dyDescent="0.2"/>
  <cols>
    <col min="4" max="9" width="10.83203125" customWidth="1"/>
    <col min="11" max="11" width="20.5" customWidth="1"/>
    <col min="19" max="20" width="10.83203125" customWidth="1"/>
    <col min="21" max="21" width="32.33203125" customWidth="1"/>
    <col min="22" max="26" width="10.83203125" customWidth="1"/>
    <col min="27" max="28" width="10.83203125" style="39"/>
  </cols>
  <sheetData>
    <row r="1" spans="1:54" x14ac:dyDescent="0.2">
      <c r="A1" t="s">
        <v>840</v>
      </c>
      <c r="B1" s="38" t="s">
        <v>895</v>
      </c>
    </row>
    <row r="2" spans="1:54" x14ac:dyDescent="0.2">
      <c r="B2" s="36" t="s">
        <v>812</v>
      </c>
      <c r="C2" s="36" t="s">
        <v>248</v>
      </c>
      <c r="D2" s="36" t="s">
        <v>813</v>
      </c>
      <c r="E2" s="36" t="s">
        <v>814</v>
      </c>
      <c r="F2" s="36" t="s">
        <v>815</v>
      </c>
      <c r="G2" s="36" t="s">
        <v>793</v>
      </c>
      <c r="H2" s="36" t="s">
        <v>816</v>
      </c>
      <c r="I2" s="36" t="s">
        <v>817</v>
      </c>
      <c r="J2" s="36" t="s">
        <v>789</v>
      </c>
      <c r="K2" s="36" t="s">
        <v>818</v>
      </c>
      <c r="L2" s="36" t="s">
        <v>819</v>
      </c>
      <c r="M2" s="36" t="s">
        <v>820</v>
      </c>
      <c r="N2" s="36" t="s">
        <v>821</v>
      </c>
      <c r="O2" s="36" t="s">
        <v>822</v>
      </c>
      <c r="P2" s="36" t="s">
        <v>823</v>
      </c>
      <c r="Q2" s="36" t="s">
        <v>824</v>
      </c>
      <c r="R2" s="36" t="s">
        <v>825</v>
      </c>
      <c r="S2" s="36" t="s">
        <v>826</v>
      </c>
      <c r="T2" s="36" t="s">
        <v>827</v>
      </c>
      <c r="U2" s="36" t="s">
        <v>828</v>
      </c>
      <c r="V2" s="36" t="s">
        <v>829</v>
      </c>
      <c r="W2" s="36" t="s">
        <v>810</v>
      </c>
      <c r="X2" s="37" t="s">
        <v>830</v>
      </c>
      <c r="Y2" s="37" t="s">
        <v>831</v>
      </c>
      <c r="Z2" s="37" t="s">
        <v>832</v>
      </c>
      <c r="AA2" s="40" t="s">
        <v>833</v>
      </c>
      <c r="AB2" s="40" t="s">
        <v>864</v>
      </c>
      <c r="AC2" s="37" t="s">
        <v>841</v>
      </c>
      <c r="AD2" s="37" t="s">
        <v>842</v>
      </c>
      <c r="AE2" s="37" t="s">
        <v>843</v>
      </c>
      <c r="AF2" s="37" t="s">
        <v>844</v>
      </c>
      <c r="AG2" s="37" t="s">
        <v>845</v>
      </c>
      <c r="AH2" s="37" t="s">
        <v>846</v>
      </c>
      <c r="AI2" s="37" t="s">
        <v>847</v>
      </c>
      <c r="AJ2" s="37" t="s">
        <v>848</v>
      </c>
      <c r="AO2" t="s">
        <v>835</v>
      </c>
      <c r="AP2" t="s">
        <v>836</v>
      </c>
      <c r="AQ2" t="s">
        <v>837</v>
      </c>
      <c r="AR2" t="s">
        <v>834</v>
      </c>
      <c r="AS2" t="s">
        <v>838</v>
      </c>
      <c r="AT2" t="s">
        <v>839</v>
      </c>
      <c r="AW2" t="s">
        <v>835</v>
      </c>
      <c r="AX2" t="s">
        <v>836</v>
      </c>
      <c r="AY2" t="s">
        <v>837</v>
      </c>
      <c r="AZ2" t="s">
        <v>834</v>
      </c>
      <c r="BA2" t="s">
        <v>838</v>
      </c>
      <c r="BB2" t="s">
        <v>839</v>
      </c>
    </row>
    <row r="3" spans="1:54" x14ac:dyDescent="0.2">
      <c r="B3" s="38">
        <v>13198</v>
      </c>
      <c r="C3">
        <v>18981</v>
      </c>
      <c r="D3" t="s">
        <v>945</v>
      </c>
      <c r="E3" t="s">
        <v>946</v>
      </c>
      <c r="F3" t="s">
        <v>947</v>
      </c>
      <c r="G3" t="s">
        <v>948</v>
      </c>
      <c r="H3" t="s">
        <v>944</v>
      </c>
      <c r="I3" t="s">
        <v>521</v>
      </c>
      <c r="J3">
        <v>3</v>
      </c>
      <c r="K3" t="s">
        <v>949</v>
      </c>
      <c r="L3" t="s">
        <v>950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 t="s">
        <v>951</v>
      </c>
      <c r="T3" t="s">
        <v>952</v>
      </c>
      <c r="U3" t="s">
        <v>953</v>
      </c>
      <c r="V3" t="s">
        <v>954</v>
      </c>
      <c r="W3" t="s">
        <v>955</v>
      </c>
      <c r="X3">
        <v>45928</v>
      </c>
      <c r="Y3">
        <v>20252030</v>
      </c>
      <c r="Z3" t="s">
        <v>756</v>
      </c>
      <c r="AA3" s="39" t="s">
        <v>944</v>
      </c>
      <c r="AB3" s="39" t="str">
        <f>IF(G3="home","h",IF(G3="away","a",""))</f>
        <v>h</v>
      </c>
      <c r="AC3">
        <f>COUNTIFS(events!$X:$X,"="&amp;game_rosters!$J3,events!$AR:$AR,"="&amp;game_rosters!$G3,events!$K:$K,"=Goal")</f>
        <v>0</v>
      </c>
      <c r="AD3">
        <f>COUNTIFS(events!$X:$X,"="&amp;game_rosters!$J3,events!$AR:$AR,"="&amp;game_rosters!$G3,events!$K:$K,"=Penalty")</f>
        <v>0</v>
      </c>
      <c r="AE3">
        <f>COUNTIFS(events!$X:$X,"="&amp;game_rosters!$J3,events!$AR:$AR,"="&amp;game_rosters!$G3,events!$O:$O,"=AssistPrimary")</f>
        <v>0</v>
      </c>
      <c r="AF3">
        <f>COUNTIFS(events!$X:$X,"="&amp;game_rosters!$J3,events!$AR:$AR,"="&amp;game_rosters!$G3,events!$O:$O,"=AssistSecondary")</f>
        <v>0</v>
      </c>
      <c r="AG3">
        <f>AE3+AF3</f>
        <v>0</v>
      </c>
      <c r="AH3">
        <f>AC3-N3</f>
        <v>0</v>
      </c>
      <c r="AI3">
        <f>(AD3*3)-Q3</f>
        <v>0</v>
      </c>
      <c r="AJ3">
        <f>AG3-O3</f>
        <v>0</v>
      </c>
      <c r="AO3" cm="1">
        <f t="array" ref="AO3:AO6">_xlfn._xlws.FILTER(events!$I:$I,(events!$K:$K="Goal")*(events!$AR:$AR="Home"))</f>
        <v>0</v>
      </c>
      <c r="AP3" t="e" cm="1" vm="3">
        <f t="array" ref="AP3">_xlfn._xlws.FILTER(events!$I:$I,((events!O:O="AssistPrimary")+(events!O:O="AssistSecondary"))*(events!$AR:$AR="Home"))</f>
        <v>#VALUE!</v>
      </c>
      <c r="AQ3" cm="1">
        <f t="array" ref="AQ3:AQ4">_xlfn._xlws.FILTER(events!$I:$I,(events!$K:$K="Penalty")*(events!$AR:$AR="Home"))</f>
        <v>0</v>
      </c>
      <c r="AR3" cm="1">
        <f t="array" ref="AR3:AR4">_xlfn._xlws.FILTER(events!$I:$I,(events!$K:$K="Goal")*(events!$AR:$AR="Away"))</f>
        <v>0</v>
      </c>
      <c r="AS3" t="e" cm="1" vm="3">
        <f t="array" ref="AS3">_xlfn._xlws.FILTER(events!$I:$I,((events!O:O="AssistPrimary")+(events!O:O="AssistSecondary"))*(events!$AR:$AR="Away"))</f>
        <v>#VALUE!</v>
      </c>
      <c r="AT3" cm="1">
        <f t="array" ref="AT3:AT7">IFERROR(_xlfn._xlws.FILTER(events!$I:$I,(events!$K:$K="Penalty")*(events!$AR:$AR="Away")),"")</f>
        <v>0</v>
      </c>
      <c r="AW3" cm="1">
        <f t="array" ref="AW3:AW4">_xlfn._xlws.FILTER($J:$J,($G:$G="Home")*($N:$N&gt;=1))</f>
        <v>10</v>
      </c>
      <c r="AX3" cm="1">
        <f t="array" ref="AX3">_xlfn._xlws.FILTER($J:$J,($G:$G="Home")*($O:$O&gt;=1))</f>
        <v>80</v>
      </c>
      <c r="AY3" cm="1">
        <f t="array" ref="AY3:AY4">_xlfn._xlws.FILTER($J:$J,($G:$G="Home")*($Q:$Q&gt;=1))</f>
        <v>44</v>
      </c>
      <c r="AZ3" cm="1">
        <f t="array" ref="AZ3">_xlfn._xlws.FILTER($J:$J,($G:$G="Away")*($N:$N&gt;=1))</f>
        <v>70</v>
      </c>
      <c r="BA3" t="e" cm="1" vm="3">
        <f t="array" ref="BA3">_xlfn._xlws.FILTER($J:$J,($G:$G="Away")*($O:$O&gt;=1))</f>
        <v>#VALUE!</v>
      </c>
      <c r="BB3" cm="1">
        <f t="array" ref="BB3:BB5">IFERROR(_xlfn._xlws.FILTER($J:$J,($G:$G="Away")*($Q:$Q&gt;=1)),"")</f>
        <v>9</v>
      </c>
    </row>
    <row r="4" spans="1:54" x14ac:dyDescent="0.2">
      <c r="B4">
        <v>13199</v>
      </c>
      <c r="C4">
        <v>18981</v>
      </c>
      <c r="D4" t="s">
        <v>945</v>
      </c>
      <c r="E4" t="s">
        <v>946</v>
      </c>
      <c r="F4" t="s">
        <v>956</v>
      </c>
      <c r="G4" t="s">
        <v>948</v>
      </c>
      <c r="H4" t="s">
        <v>944</v>
      </c>
      <c r="I4" t="s">
        <v>521</v>
      </c>
      <c r="J4">
        <v>7</v>
      </c>
      <c r="K4" t="s">
        <v>957</v>
      </c>
      <c r="L4" t="s">
        <v>950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 t="s">
        <v>951</v>
      </c>
      <c r="T4" t="s">
        <v>952</v>
      </c>
      <c r="U4" t="s">
        <v>958</v>
      </c>
      <c r="V4" t="s">
        <v>959</v>
      </c>
      <c r="W4" t="s">
        <v>960</v>
      </c>
      <c r="X4">
        <v>45928</v>
      </c>
      <c r="Y4">
        <v>20252030</v>
      </c>
      <c r="Z4" t="s">
        <v>756</v>
      </c>
      <c r="AA4" s="39" t="s">
        <v>944</v>
      </c>
      <c r="AB4" s="39" t="str">
        <f t="shared" ref="AB4:AB29" si="0">IF(G4="home","h",IF(G4="away","a",""))</f>
        <v>h</v>
      </c>
      <c r="AC4">
        <f>COUNTIFS(events!$X:$X,"="&amp;game_rosters!$J4,events!$AR:$AR,"="&amp;game_rosters!$G4,events!$K:$K,"=Goal")</f>
        <v>0</v>
      </c>
      <c r="AD4">
        <f>COUNTIFS(events!$X:$X,"="&amp;game_rosters!$J4,events!$AR:$AR,"="&amp;game_rosters!$G4,events!$K:$K,"=Penalty")</f>
        <v>0</v>
      </c>
      <c r="AE4">
        <f>COUNTIFS(events!$X:$X,"="&amp;game_rosters!$J4,events!$AR:$AR,"="&amp;game_rosters!$G4,events!$O:$O,"=AssistPrimary")</f>
        <v>0</v>
      </c>
      <c r="AF4">
        <f>COUNTIFS(events!$X:$X,"="&amp;game_rosters!$J4,events!$AR:$AR,"="&amp;game_rosters!$G4,events!$O:$O,"=AssistSecondary")</f>
        <v>0</v>
      </c>
      <c r="AG4">
        <f t="shared" ref="AG4:AG29" si="1">AE4+AF4</f>
        <v>0</v>
      </c>
      <c r="AH4">
        <f t="shared" ref="AH4:AH29" si="2">AC4-N4</f>
        <v>0</v>
      </c>
      <c r="AI4">
        <f t="shared" ref="AI4:AI29" si="3">(AD4*3)-Q4</f>
        <v>0</v>
      </c>
      <c r="AJ4">
        <f t="shared" ref="AJ4:AJ29" si="4">AG4-O4</f>
        <v>0</v>
      </c>
      <c r="AO4">
        <v>0</v>
      </c>
      <c r="AQ4">
        <v>0</v>
      </c>
      <c r="AR4">
        <v>0</v>
      </c>
      <c r="AT4">
        <v>0</v>
      </c>
      <c r="AW4">
        <v>16</v>
      </c>
      <c r="AY4">
        <v>80</v>
      </c>
      <c r="BB4">
        <v>49</v>
      </c>
    </row>
    <row r="5" spans="1:54" x14ac:dyDescent="0.2">
      <c r="B5">
        <v>13200</v>
      </c>
      <c r="C5">
        <v>18981</v>
      </c>
      <c r="D5" t="s">
        <v>945</v>
      </c>
      <c r="E5" t="s">
        <v>946</v>
      </c>
      <c r="F5" t="s">
        <v>961</v>
      </c>
      <c r="G5" t="s">
        <v>948</v>
      </c>
      <c r="H5" t="s">
        <v>944</v>
      </c>
      <c r="I5" t="s">
        <v>521</v>
      </c>
      <c r="J5">
        <v>8</v>
      </c>
      <c r="K5" t="s">
        <v>962</v>
      </c>
      <c r="L5" t="s">
        <v>963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 t="s">
        <v>951</v>
      </c>
      <c r="T5" t="s">
        <v>952</v>
      </c>
      <c r="U5" t="s">
        <v>964</v>
      </c>
      <c r="V5" t="s">
        <v>965</v>
      </c>
      <c r="W5" t="s">
        <v>966</v>
      </c>
      <c r="X5">
        <v>45928</v>
      </c>
      <c r="Y5">
        <v>20252030</v>
      </c>
      <c r="Z5" t="s">
        <v>756</v>
      </c>
      <c r="AA5" s="39" t="s">
        <v>944</v>
      </c>
      <c r="AB5" s="39" t="str">
        <f t="shared" si="0"/>
        <v>h</v>
      </c>
      <c r="AC5">
        <f>COUNTIFS(events!$X:$X,"="&amp;game_rosters!$J5,events!$AR:$AR,"="&amp;game_rosters!$G5,events!$K:$K,"=Goal")</f>
        <v>0</v>
      </c>
      <c r="AD5">
        <f>COUNTIFS(events!$X:$X,"="&amp;game_rosters!$J5,events!$AR:$AR,"="&amp;game_rosters!$G5,events!$K:$K,"=Penalty")</f>
        <v>0</v>
      </c>
      <c r="AE5">
        <f>COUNTIFS(events!$X:$X,"="&amp;game_rosters!$J5,events!$AR:$AR,"="&amp;game_rosters!$G5,events!$O:$O,"=AssistPrimary")</f>
        <v>0</v>
      </c>
      <c r="AF5">
        <f>COUNTIFS(events!$X:$X,"="&amp;game_rosters!$J5,events!$AR:$AR,"="&amp;game_rosters!$G5,events!$O:$O,"=AssistSecondary")</f>
        <v>0</v>
      </c>
      <c r="AG5">
        <f t="shared" si="1"/>
        <v>0</v>
      </c>
      <c r="AH5">
        <f t="shared" si="2"/>
        <v>0</v>
      </c>
      <c r="AI5">
        <f t="shared" si="3"/>
        <v>0</v>
      </c>
      <c r="AJ5">
        <f t="shared" si="4"/>
        <v>0</v>
      </c>
      <c r="AO5">
        <v>0</v>
      </c>
      <c r="AT5">
        <v>0</v>
      </c>
      <c r="BB5">
        <v>87</v>
      </c>
    </row>
    <row r="6" spans="1:54" x14ac:dyDescent="0.2">
      <c r="B6">
        <v>13201</v>
      </c>
      <c r="C6">
        <v>18981</v>
      </c>
      <c r="D6" t="s">
        <v>945</v>
      </c>
      <c r="E6" t="s">
        <v>946</v>
      </c>
      <c r="F6" t="s">
        <v>967</v>
      </c>
      <c r="G6" t="s">
        <v>948</v>
      </c>
      <c r="H6" t="s">
        <v>944</v>
      </c>
      <c r="I6" t="s">
        <v>521</v>
      </c>
      <c r="J6">
        <v>10</v>
      </c>
      <c r="K6" t="s">
        <v>968</v>
      </c>
      <c r="L6" t="s">
        <v>950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 t="s">
        <v>951</v>
      </c>
      <c r="T6" t="s">
        <v>952</v>
      </c>
      <c r="U6" t="s">
        <v>969</v>
      </c>
      <c r="V6" t="s">
        <v>970</v>
      </c>
      <c r="W6" t="s">
        <v>971</v>
      </c>
      <c r="X6">
        <v>45928</v>
      </c>
      <c r="Y6">
        <v>20252030</v>
      </c>
      <c r="Z6" t="s">
        <v>756</v>
      </c>
      <c r="AA6" s="39" t="s">
        <v>944</v>
      </c>
      <c r="AB6" s="39" t="str">
        <f t="shared" si="0"/>
        <v>h</v>
      </c>
      <c r="AC6">
        <f>COUNTIFS(events!$X:$X,"="&amp;game_rosters!$J6,events!$AR:$AR,"="&amp;game_rosters!$G6,events!$K:$K,"=Goal")</f>
        <v>1</v>
      </c>
      <c r="AD6">
        <f>COUNTIFS(events!$X:$X,"="&amp;game_rosters!$J6,events!$AR:$AR,"="&amp;game_rosters!$G6,events!$K:$K,"=Penalty")</f>
        <v>0</v>
      </c>
      <c r="AE6">
        <f>COUNTIFS(events!$X:$X,"="&amp;game_rosters!$J6,events!$AR:$AR,"="&amp;game_rosters!$G6,events!$O:$O,"=AssistPrimary")</f>
        <v>0</v>
      </c>
      <c r="AF6">
        <f>COUNTIFS(events!$X:$X,"="&amp;game_rosters!$J6,events!$AR:$AR,"="&amp;game_rosters!$G6,events!$O:$O,"=AssistSecondary")</f>
        <v>0</v>
      </c>
      <c r="AG6">
        <f t="shared" si="1"/>
        <v>0</v>
      </c>
      <c r="AH6">
        <f t="shared" si="2"/>
        <v>0</v>
      </c>
      <c r="AI6">
        <f t="shared" si="3"/>
        <v>0</v>
      </c>
      <c r="AJ6">
        <f t="shared" si="4"/>
        <v>0</v>
      </c>
      <c r="AO6">
        <v>0</v>
      </c>
      <c r="AT6">
        <v>0</v>
      </c>
    </row>
    <row r="7" spans="1:54" x14ac:dyDescent="0.2">
      <c r="B7">
        <v>13202</v>
      </c>
      <c r="C7">
        <v>18981</v>
      </c>
      <c r="D7" t="s">
        <v>945</v>
      </c>
      <c r="E7" t="s">
        <v>946</v>
      </c>
      <c r="F7" t="s">
        <v>972</v>
      </c>
      <c r="G7" t="s">
        <v>948</v>
      </c>
      <c r="H7" t="s">
        <v>944</v>
      </c>
      <c r="I7" t="s">
        <v>521</v>
      </c>
      <c r="J7">
        <v>15</v>
      </c>
      <c r="K7" t="s">
        <v>973</v>
      </c>
      <c r="L7" t="s">
        <v>950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 t="s">
        <v>951</v>
      </c>
      <c r="T7" t="s">
        <v>952</v>
      </c>
      <c r="U7" t="s">
        <v>974</v>
      </c>
      <c r="V7" t="s">
        <v>975</v>
      </c>
      <c r="W7" t="s">
        <v>976</v>
      </c>
      <c r="X7">
        <v>45928</v>
      </c>
      <c r="Y7">
        <v>20252030</v>
      </c>
      <c r="Z7" t="s">
        <v>756</v>
      </c>
      <c r="AA7" s="39" t="s">
        <v>944</v>
      </c>
      <c r="AB7" s="39" t="str">
        <f t="shared" si="0"/>
        <v>h</v>
      </c>
      <c r="AC7">
        <f>COUNTIFS(events!$X:$X,"="&amp;game_rosters!$J7,events!$AR:$AR,"="&amp;game_rosters!$G7,events!$K:$K,"=Goal")</f>
        <v>0</v>
      </c>
      <c r="AD7">
        <f>COUNTIFS(events!$X:$X,"="&amp;game_rosters!$J7,events!$AR:$AR,"="&amp;game_rosters!$G7,events!$K:$K,"=Penalty")</f>
        <v>0</v>
      </c>
      <c r="AE7">
        <f>COUNTIFS(events!$X:$X,"="&amp;game_rosters!$J7,events!$AR:$AR,"="&amp;game_rosters!$G7,events!$O:$O,"=AssistPrimary")</f>
        <v>0</v>
      </c>
      <c r="AF7">
        <f>COUNTIFS(events!$X:$X,"="&amp;game_rosters!$J7,events!$AR:$AR,"="&amp;game_rosters!$G7,events!$O:$O,"=AssistSecondary")</f>
        <v>0</v>
      </c>
      <c r="AG7">
        <f t="shared" si="1"/>
        <v>0</v>
      </c>
      <c r="AH7">
        <f t="shared" si="2"/>
        <v>0</v>
      </c>
      <c r="AI7">
        <f t="shared" si="3"/>
        <v>0</v>
      </c>
      <c r="AJ7">
        <f t="shared" si="4"/>
        <v>0</v>
      </c>
      <c r="AT7">
        <v>0</v>
      </c>
    </row>
    <row r="8" spans="1:54" x14ac:dyDescent="0.2">
      <c r="B8">
        <v>13203</v>
      </c>
      <c r="C8">
        <v>18981</v>
      </c>
      <c r="D8" t="s">
        <v>945</v>
      </c>
      <c r="E8" t="s">
        <v>946</v>
      </c>
      <c r="F8" t="s">
        <v>977</v>
      </c>
      <c r="G8" t="s">
        <v>948</v>
      </c>
      <c r="H8" t="s">
        <v>944</v>
      </c>
      <c r="I8" t="s">
        <v>521</v>
      </c>
      <c r="J8">
        <v>16</v>
      </c>
      <c r="K8" t="s">
        <v>978</v>
      </c>
      <c r="L8" t="s">
        <v>950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 t="s">
        <v>951</v>
      </c>
      <c r="T8" t="s">
        <v>952</v>
      </c>
      <c r="U8" t="s">
        <v>979</v>
      </c>
      <c r="V8" t="s">
        <v>980</v>
      </c>
      <c r="W8" t="s">
        <v>981</v>
      </c>
      <c r="X8">
        <v>45928</v>
      </c>
      <c r="Y8">
        <v>20252030</v>
      </c>
      <c r="Z8" t="s">
        <v>756</v>
      </c>
      <c r="AA8" s="39" t="s">
        <v>944</v>
      </c>
      <c r="AB8" s="39" t="str">
        <f t="shared" si="0"/>
        <v>h</v>
      </c>
      <c r="AC8">
        <f>COUNTIFS(events!$X:$X,"="&amp;game_rosters!$J8,events!$AR:$AR,"="&amp;game_rosters!$G8,events!$K:$K,"=Goal")</f>
        <v>1</v>
      </c>
      <c r="AD8">
        <f>COUNTIFS(events!$X:$X,"="&amp;game_rosters!$J8,events!$AR:$AR,"="&amp;game_rosters!$G8,events!$K:$K,"=Penalty")</f>
        <v>0</v>
      </c>
      <c r="AE8">
        <f>COUNTIFS(events!$X:$X,"="&amp;game_rosters!$J8,events!$AR:$AR,"="&amp;game_rosters!$G8,events!$O:$O,"=AssistPrimary")</f>
        <v>0</v>
      </c>
      <c r="AF8">
        <f>COUNTIFS(events!$X:$X,"="&amp;game_rosters!$J8,events!$AR:$AR,"="&amp;game_rosters!$G8,events!$O:$O,"=AssistSecondary")</f>
        <v>0</v>
      </c>
      <c r="AG8">
        <f t="shared" si="1"/>
        <v>0</v>
      </c>
      <c r="AH8">
        <f t="shared" si="2"/>
        <v>0</v>
      </c>
      <c r="AI8">
        <f t="shared" si="3"/>
        <v>0</v>
      </c>
      <c r="AJ8">
        <f t="shared" si="4"/>
        <v>0</v>
      </c>
    </row>
    <row r="9" spans="1:54" x14ac:dyDescent="0.2">
      <c r="B9">
        <v>13204</v>
      </c>
      <c r="C9">
        <v>18981</v>
      </c>
      <c r="D9" t="s">
        <v>945</v>
      </c>
      <c r="E9" t="s">
        <v>946</v>
      </c>
      <c r="F9" t="s">
        <v>982</v>
      </c>
      <c r="G9" t="s">
        <v>948</v>
      </c>
      <c r="H9" t="s">
        <v>944</v>
      </c>
      <c r="I9" t="s">
        <v>521</v>
      </c>
      <c r="J9">
        <v>23</v>
      </c>
      <c r="K9" t="s">
        <v>983</v>
      </c>
      <c r="L9" t="s">
        <v>963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 t="s">
        <v>951</v>
      </c>
      <c r="T9" t="s">
        <v>952</v>
      </c>
      <c r="U9" t="s">
        <v>984</v>
      </c>
      <c r="V9" t="s">
        <v>985</v>
      </c>
      <c r="W9" t="s">
        <v>986</v>
      </c>
      <c r="X9">
        <v>45928</v>
      </c>
      <c r="Y9">
        <v>20252030</v>
      </c>
      <c r="Z9" t="s">
        <v>756</v>
      </c>
      <c r="AA9" s="39" t="s">
        <v>944</v>
      </c>
      <c r="AB9" s="39" t="str">
        <f t="shared" si="0"/>
        <v>h</v>
      </c>
      <c r="AC9">
        <f>COUNTIFS(events!$X:$X,"="&amp;game_rosters!$J9,events!$AR:$AR,"="&amp;game_rosters!$G9,events!$K:$K,"=Goal")</f>
        <v>0</v>
      </c>
      <c r="AD9">
        <f>COUNTIFS(events!$X:$X,"="&amp;game_rosters!$J9,events!$AR:$AR,"="&amp;game_rosters!$G9,events!$K:$K,"=Penalty")</f>
        <v>0</v>
      </c>
      <c r="AE9">
        <f>COUNTIFS(events!$X:$X,"="&amp;game_rosters!$J9,events!$AR:$AR,"="&amp;game_rosters!$G9,events!$O:$O,"=AssistPrimary")</f>
        <v>0</v>
      </c>
      <c r="AF9">
        <f>COUNTIFS(events!$X:$X,"="&amp;game_rosters!$J9,events!$AR:$AR,"="&amp;game_rosters!$G9,events!$O:$O,"=AssistSecondary")</f>
        <v>0</v>
      </c>
      <c r="AG9">
        <f t="shared" si="1"/>
        <v>0</v>
      </c>
      <c r="AH9">
        <f>AC9-N9</f>
        <v>0</v>
      </c>
      <c r="AI9">
        <f t="shared" si="3"/>
        <v>0</v>
      </c>
      <c r="AJ9">
        <f t="shared" si="4"/>
        <v>0</v>
      </c>
    </row>
    <row r="10" spans="1:54" x14ac:dyDescent="0.2">
      <c r="B10">
        <v>13205</v>
      </c>
      <c r="C10">
        <v>18981</v>
      </c>
      <c r="D10" t="s">
        <v>945</v>
      </c>
      <c r="E10" t="s">
        <v>946</v>
      </c>
      <c r="F10" t="s">
        <v>987</v>
      </c>
      <c r="G10" t="s">
        <v>948</v>
      </c>
      <c r="H10" t="s">
        <v>944</v>
      </c>
      <c r="I10" t="s">
        <v>521</v>
      </c>
      <c r="J10">
        <v>31</v>
      </c>
      <c r="K10" t="s">
        <v>988</v>
      </c>
      <c r="L10" t="s">
        <v>989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 t="s">
        <v>951</v>
      </c>
      <c r="T10" t="s">
        <v>952</v>
      </c>
      <c r="U10" t="s">
        <v>990</v>
      </c>
      <c r="V10" t="s">
        <v>991</v>
      </c>
      <c r="W10" t="s">
        <v>992</v>
      </c>
      <c r="X10">
        <v>45928</v>
      </c>
      <c r="Y10">
        <v>20252030</v>
      </c>
      <c r="Z10" t="s">
        <v>756</v>
      </c>
      <c r="AA10" s="39" t="s">
        <v>944</v>
      </c>
      <c r="AB10" s="39" t="str">
        <f t="shared" si="0"/>
        <v>h</v>
      </c>
      <c r="AC10">
        <f>COUNTIFS(events!$X:$X,"="&amp;game_rosters!$J10,events!$AR:$AR,"="&amp;game_rosters!$G10,events!$K:$K,"=Goal")</f>
        <v>0</v>
      </c>
      <c r="AD10">
        <f>COUNTIFS(events!$X:$X,"="&amp;game_rosters!$J10,events!$AR:$AR,"="&amp;game_rosters!$G10,events!$K:$K,"=Penalty")</f>
        <v>0</v>
      </c>
      <c r="AE10">
        <f>COUNTIFS(events!$X:$X,"="&amp;game_rosters!$J10,events!$AR:$AR,"="&amp;game_rosters!$G10,events!$O:$O,"=AssistPrimary")</f>
        <v>0</v>
      </c>
      <c r="AF10">
        <f>COUNTIFS(events!$X:$X,"="&amp;game_rosters!$J10,events!$AR:$AR,"="&amp;game_rosters!$G10,events!$O:$O,"=AssistSecondary")</f>
        <v>0</v>
      </c>
      <c r="AG10">
        <f t="shared" si="1"/>
        <v>0</v>
      </c>
      <c r="AH10">
        <f t="shared" si="2"/>
        <v>0</v>
      </c>
      <c r="AI10">
        <f t="shared" si="3"/>
        <v>0</v>
      </c>
      <c r="AJ10">
        <f t="shared" si="4"/>
        <v>0</v>
      </c>
    </row>
    <row r="11" spans="1:54" x14ac:dyDescent="0.2">
      <c r="B11">
        <v>13206</v>
      </c>
      <c r="C11">
        <v>18981</v>
      </c>
      <c r="D11" t="s">
        <v>945</v>
      </c>
      <c r="E11" t="s">
        <v>946</v>
      </c>
      <c r="F11" t="s">
        <v>993</v>
      </c>
      <c r="G11" t="s">
        <v>948</v>
      </c>
      <c r="H11" t="s">
        <v>944</v>
      </c>
      <c r="I11" t="s">
        <v>521</v>
      </c>
      <c r="J11">
        <v>37</v>
      </c>
      <c r="K11" t="s">
        <v>994</v>
      </c>
      <c r="L11" t="s">
        <v>950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951</v>
      </c>
      <c r="T11" t="s">
        <v>952</v>
      </c>
      <c r="U11" t="s">
        <v>995</v>
      </c>
      <c r="V11" t="s">
        <v>996</v>
      </c>
      <c r="W11" t="s">
        <v>997</v>
      </c>
      <c r="X11">
        <v>45928</v>
      </c>
      <c r="Y11">
        <v>20252030</v>
      </c>
      <c r="Z11" t="s">
        <v>756</v>
      </c>
      <c r="AA11" s="39" t="s">
        <v>944</v>
      </c>
      <c r="AB11" s="39" t="str">
        <f t="shared" si="0"/>
        <v>h</v>
      </c>
      <c r="AC11">
        <f>COUNTIFS(events!$X:$X,"="&amp;game_rosters!$J11,events!$AR:$AR,"="&amp;game_rosters!$G11,events!$K:$K,"=Goal")</f>
        <v>0</v>
      </c>
      <c r="AD11">
        <f>COUNTIFS(events!$X:$X,"="&amp;game_rosters!$J11,events!$AR:$AR,"="&amp;game_rosters!$G11,events!$K:$K,"=Penalty")</f>
        <v>0</v>
      </c>
      <c r="AE11">
        <f>COUNTIFS(events!$X:$X,"="&amp;game_rosters!$J11,events!$AR:$AR,"="&amp;game_rosters!$G11,events!$O:$O,"=AssistPrimary")</f>
        <v>0</v>
      </c>
      <c r="AF11">
        <f>COUNTIFS(events!$X:$X,"="&amp;game_rosters!$J11,events!$AR:$AR,"="&amp;game_rosters!$G11,events!$O:$O,"=AssistSecondary")</f>
        <v>0</v>
      </c>
      <c r="AG11">
        <f t="shared" si="1"/>
        <v>0</v>
      </c>
      <c r="AH11">
        <f t="shared" si="2"/>
        <v>0</v>
      </c>
      <c r="AI11">
        <f t="shared" si="3"/>
        <v>0</v>
      </c>
      <c r="AJ11">
        <f t="shared" si="4"/>
        <v>0</v>
      </c>
    </row>
    <row r="12" spans="1:54" x14ac:dyDescent="0.2">
      <c r="B12">
        <v>13207</v>
      </c>
      <c r="C12">
        <v>18981</v>
      </c>
      <c r="D12" t="s">
        <v>945</v>
      </c>
      <c r="E12" t="s">
        <v>946</v>
      </c>
      <c r="F12" t="s">
        <v>998</v>
      </c>
      <c r="G12" t="s">
        <v>948</v>
      </c>
      <c r="H12" t="s">
        <v>944</v>
      </c>
      <c r="I12" t="s">
        <v>521</v>
      </c>
      <c r="J12">
        <v>44</v>
      </c>
      <c r="K12" t="s">
        <v>999</v>
      </c>
      <c r="L12" t="s">
        <v>950</v>
      </c>
      <c r="M12">
        <v>1</v>
      </c>
      <c r="N12">
        <v>0</v>
      </c>
      <c r="O12">
        <v>0</v>
      </c>
      <c r="P12">
        <v>0</v>
      </c>
      <c r="Q12">
        <v>3</v>
      </c>
      <c r="R12">
        <v>0</v>
      </c>
      <c r="S12" t="s">
        <v>951</v>
      </c>
      <c r="T12" t="s">
        <v>952</v>
      </c>
      <c r="U12" t="s">
        <v>1000</v>
      </c>
      <c r="V12" t="s">
        <v>1001</v>
      </c>
      <c r="W12" t="s">
        <v>1002</v>
      </c>
      <c r="X12">
        <v>45928</v>
      </c>
      <c r="Y12">
        <v>20252030</v>
      </c>
      <c r="Z12" t="s">
        <v>756</v>
      </c>
      <c r="AA12" s="39" t="s">
        <v>944</v>
      </c>
      <c r="AB12" s="39" t="str">
        <f t="shared" si="0"/>
        <v>h</v>
      </c>
      <c r="AC12">
        <f>COUNTIFS(events!$X:$X,"="&amp;game_rosters!$J12,events!$AR:$AR,"="&amp;game_rosters!$G12,events!$K:$K,"=Goal")</f>
        <v>0</v>
      </c>
      <c r="AD12">
        <f>COUNTIFS(events!$X:$X,"="&amp;game_rosters!$J12,events!$AR:$AR,"="&amp;game_rosters!$G12,events!$K:$K,"=Penalty")</f>
        <v>1</v>
      </c>
      <c r="AE12">
        <f>COUNTIFS(events!$X:$X,"="&amp;game_rosters!$J12,events!$AR:$AR,"="&amp;game_rosters!$G12,events!$O:$O,"=AssistPrimary")</f>
        <v>0</v>
      </c>
      <c r="AF12">
        <f>COUNTIFS(events!$X:$X,"="&amp;game_rosters!$J12,events!$AR:$AR,"="&amp;game_rosters!$G12,events!$O:$O,"=AssistSecondary")</f>
        <v>0</v>
      </c>
      <c r="AG12">
        <f t="shared" si="1"/>
        <v>0</v>
      </c>
      <c r="AH12">
        <f t="shared" si="2"/>
        <v>0</v>
      </c>
      <c r="AI12">
        <f t="shared" si="3"/>
        <v>0</v>
      </c>
      <c r="AJ12">
        <f t="shared" si="4"/>
        <v>0</v>
      </c>
    </row>
    <row r="13" spans="1:54" x14ac:dyDescent="0.2">
      <c r="B13">
        <v>13208</v>
      </c>
      <c r="C13">
        <v>18981</v>
      </c>
      <c r="D13" t="s">
        <v>945</v>
      </c>
      <c r="E13" t="s">
        <v>946</v>
      </c>
      <c r="F13" t="s">
        <v>1003</v>
      </c>
      <c r="G13" t="s">
        <v>948</v>
      </c>
      <c r="H13" t="s">
        <v>944</v>
      </c>
      <c r="I13" t="s">
        <v>521</v>
      </c>
      <c r="J13">
        <v>79</v>
      </c>
      <c r="K13" t="s">
        <v>1004</v>
      </c>
      <c r="L13" t="s">
        <v>950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951</v>
      </c>
      <c r="T13" t="s">
        <v>952</v>
      </c>
      <c r="U13" t="s">
        <v>1005</v>
      </c>
      <c r="V13" t="s">
        <v>1006</v>
      </c>
      <c r="W13" t="s">
        <v>1007</v>
      </c>
      <c r="X13">
        <v>45928</v>
      </c>
      <c r="Y13">
        <v>20252030</v>
      </c>
      <c r="Z13" t="s">
        <v>756</v>
      </c>
      <c r="AA13" s="39" t="s">
        <v>944</v>
      </c>
      <c r="AB13" s="39" t="str">
        <f t="shared" si="0"/>
        <v>h</v>
      </c>
      <c r="AC13">
        <f>COUNTIFS(events!$X:$X,"="&amp;game_rosters!$J13,events!$AR:$AR,"="&amp;game_rosters!$G13,events!$K:$K,"=Goal")</f>
        <v>0</v>
      </c>
      <c r="AD13">
        <f>COUNTIFS(events!$X:$X,"="&amp;game_rosters!$J13,events!$AR:$AR,"="&amp;game_rosters!$G13,events!$K:$K,"=Penalty")</f>
        <v>0</v>
      </c>
      <c r="AE13">
        <f>COUNTIFS(events!$X:$X,"="&amp;game_rosters!$J13,events!$AR:$AR,"="&amp;game_rosters!$G13,events!$O:$O,"=AssistPrimary")</f>
        <v>0</v>
      </c>
      <c r="AF13">
        <f>COUNTIFS(events!$X:$X,"="&amp;game_rosters!$J13,events!$AR:$AR,"="&amp;game_rosters!$G13,events!$O:$O,"=AssistSecondary")</f>
        <v>0</v>
      </c>
      <c r="AG13">
        <f t="shared" si="1"/>
        <v>0</v>
      </c>
      <c r="AH13">
        <f t="shared" si="2"/>
        <v>0</v>
      </c>
      <c r="AI13">
        <f t="shared" si="3"/>
        <v>0</v>
      </c>
      <c r="AJ13">
        <f t="shared" si="4"/>
        <v>0</v>
      </c>
    </row>
    <row r="14" spans="1:54" x14ac:dyDescent="0.2">
      <c r="B14">
        <v>13209</v>
      </c>
      <c r="C14">
        <v>18981</v>
      </c>
      <c r="D14" t="s">
        <v>945</v>
      </c>
      <c r="E14" t="s">
        <v>946</v>
      </c>
      <c r="F14" t="s">
        <v>1008</v>
      </c>
      <c r="G14" t="s">
        <v>948</v>
      </c>
      <c r="H14" t="s">
        <v>944</v>
      </c>
      <c r="I14" t="s">
        <v>521</v>
      </c>
      <c r="J14">
        <v>80</v>
      </c>
      <c r="K14" t="s">
        <v>1009</v>
      </c>
      <c r="L14" t="s">
        <v>963</v>
      </c>
      <c r="M14">
        <v>1</v>
      </c>
      <c r="N14">
        <v>0</v>
      </c>
      <c r="O14">
        <v>1</v>
      </c>
      <c r="P14">
        <v>0</v>
      </c>
      <c r="Q14">
        <v>3</v>
      </c>
      <c r="R14">
        <v>0</v>
      </c>
      <c r="S14" t="s">
        <v>951</v>
      </c>
      <c r="T14" t="s">
        <v>952</v>
      </c>
      <c r="U14" t="s">
        <v>1010</v>
      </c>
      <c r="V14" t="s">
        <v>1011</v>
      </c>
      <c r="W14" t="s">
        <v>1012</v>
      </c>
      <c r="X14">
        <v>45928</v>
      </c>
      <c r="Y14">
        <v>20252030</v>
      </c>
      <c r="Z14" t="s">
        <v>756</v>
      </c>
      <c r="AA14" s="39" t="s">
        <v>944</v>
      </c>
      <c r="AB14" s="39" t="str">
        <f t="shared" si="0"/>
        <v>h</v>
      </c>
      <c r="AC14">
        <f>COUNTIFS(events!$X:$X,"="&amp;game_rosters!$J14,events!$AR:$AR,"="&amp;game_rosters!$G14,events!$K:$K,"=Goal")</f>
        <v>0</v>
      </c>
      <c r="AD14">
        <f>COUNTIFS(events!$X:$X,"="&amp;game_rosters!$J14,events!$AR:$AR,"="&amp;game_rosters!$G14,events!$K:$K,"=Penalty")</f>
        <v>1</v>
      </c>
      <c r="AE14">
        <f>COUNTIFS(events!$X:$X,"="&amp;game_rosters!$J14,events!$AR:$AR,"="&amp;game_rosters!$G14,events!$O:$O,"=AssistPrimary")</f>
        <v>0</v>
      </c>
      <c r="AF14">
        <f>COUNTIFS(events!$X:$X,"="&amp;game_rosters!$J14,events!$AR:$AR,"="&amp;game_rosters!$G14,events!$O:$O,"=AssistSecondary")</f>
        <v>0</v>
      </c>
      <c r="AG14">
        <f t="shared" si="1"/>
        <v>0</v>
      </c>
      <c r="AH14">
        <f t="shared" si="2"/>
        <v>0</v>
      </c>
      <c r="AI14">
        <f t="shared" si="3"/>
        <v>0</v>
      </c>
      <c r="AJ14">
        <f t="shared" si="4"/>
        <v>-1</v>
      </c>
    </row>
    <row r="15" spans="1:54" x14ac:dyDescent="0.2">
      <c r="B15">
        <v>13210</v>
      </c>
      <c r="C15">
        <v>18981</v>
      </c>
      <c r="D15" t="s">
        <v>946</v>
      </c>
      <c r="E15" t="s">
        <v>945</v>
      </c>
      <c r="F15" t="s">
        <v>1013</v>
      </c>
      <c r="G15" t="s">
        <v>1014</v>
      </c>
      <c r="H15" t="s">
        <v>521</v>
      </c>
      <c r="I15" t="s">
        <v>944</v>
      </c>
      <c r="J15">
        <v>9</v>
      </c>
      <c r="K15" t="s">
        <v>1015</v>
      </c>
      <c r="L15" t="s">
        <v>963</v>
      </c>
      <c r="M15">
        <v>1</v>
      </c>
      <c r="N15">
        <v>0</v>
      </c>
      <c r="O15">
        <v>0</v>
      </c>
      <c r="P15">
        <v>0</v>
      </c>
      <c r="Q15">
        <v>3</v>
      </c>
      <c r="R15">
        <v>0</v>
      </c>
      <c r="S15" t="s">
        <v>952</v>
      </c>
      <c r="T15" t="s">
        <v>951</v>
      </c>
      <c r="U15" t="s">
        <v>1016</v>
      </c>
      <c r="V15" t="s">
        <v>1017</v>
      </c>
      <c r="W15" t="s">
        <v>1018</v>
      </c>
      <c r="X15">
        <v>45928</v>
      </c>
      <c r="Y15">
        <v>20252030</v>
      </c>
      <c r="Z15" t="s">
        <v>756</v>
      </c>
      <c r="AA15" s="39" t="s">
        <v>521</v>
      </c>
      <c r="AB15" s="39" t="str">
        <f t="shared" si="0"/>
        <v>a</v>
      </c>
      <c r="AC15">
        <f>COUNTIFS(events!$X:$X,"="&amp;game_rosters!$J15,events!$AR:$AR,"="&amp;game_rosters!$G15,events!$K:$K,"=Goal")</f>
        <v>0</v>
      </c>
      <c r="AD15">
        <f>COUNTIFS(events!$X:$X,"="&amp;game_rosters!$J15,events!$AR:$AR,"="&amp;game_rosters!$G15,events!$K:$K,"=Penalty")</f>
        <v>1</v>
      </c>
      <c r="AE15">
        <f>COUNTIFS(events!$X:$X,"="&amp;game_rosters!$J15,events!$AR:$AR,"="&amp;game_rosters!$G15,events!$O:$O,"=AssistPrimary")</f>
        <v>0</v>
      </c>
      <c r="AF15">
        <f>COUNTIFS(events!$X:$X,"="&amp;game_rosters!$J15,events!$AR:$AR,"="&amp;game_rosters!$G15,events!$O:$O,"=AssistSecondary")</f>
        <v>0</v>
      </c>
      <c r="AG15">
        <f t="shared" si="1"/>
        <v>0</v>
      </c>
      <c r="AH15">
        <f t="shared" si="2"/>
        <v>0</v>
      </c>
      <c r="AI15">
        <f t="shared" si="3"/>
        <v>0</v>
      </c>
      <c r="AJ15">
        <f t="shared" si="4"/>
        <v>0</v>
      </c>
    </row>
    <row r="16" spans="1:54" x14ac:dyDescent="0.2">
      <c r="B16">
        <v>13211</v>
      </c>
      <c r="C16">
        <v>18981</v>
      </c>
      <c r="D16" t="s">
        <v>946</v>
      </c>
      <c r="E16" t="s">
        <v>945</v>
      </c>
      <c r="F16" t="s">
        <v>1019</v>
      </c>
      <c r="G16" t="s">
        <v>1014</v>
      </c>
      <c r="H16" t="s">
        <v>521</v>
      </c>
      <c r="I16" t="s">
        <v>944</v>
      </c>
      <c r="J16">
        <v>14</v>
      </c>
      <c r="K16" t="s">
        <v>1020</v>
      </c>
      <c r="L16" t="s">
        <v>950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952</v>
      </c>
      <c r="T16" t="s">
        <v>951</v>
      </c>
      <c r="U16" t="s">
        <v>1021</v>
      </c>
      <c r="V16" t="s">
        <v>1022</v>
      </c>
      <c r="W16" t="s">
        <v>1023</v>
      </c>
      <c r="X16">
        <v>45928</v>
      </c>
      <c r="Y16">
        <v>20252030</v>
      </c>
      <c r="Z16" t="s">
        <v>756</v>
      </c>
      <c r="AA16" s="39" t="s">
        <v>521</v>
      </c>
      <c r="AB16" s="39" t="str">
        <f t="shared" si="0"/>
        <v>a</v>
      </c>
      <c r="AC16">
        <f>COUNTIFS(events!$X:$X,"="&amp;game_rosters!$J16,events!$AR:$AR,"="&amp;game_rosters!$G16,events!$K:$K,"=Goal")</f>
        <v>0</v>
      </c>
      <c r="AD16">
        <f>COUNTIFS(events!$X:$X,"="&amp;game_rosters!$J16,events!$AR:$AR,"="&amp;game_rosters!$G16,events!$K:$K,"=Penalty")</f>
        <v>0</v>
      </c>
      <c r="AE16">
        <f>COUNTIFS(events!$X:$X,"="&amp;game_rosters!$J16,events!$AR:$AR,"="&amp;game_rosters!$G16,events!$O:$O,"=AssistPrimary")</f>
        <v>0</v>
      </c>
      <c r="AF16">
        <f>COUNTIFS(events!$X:$X,"="&amp;game_rosters!$J16,events!$AR:$AR,"="&amp;game_rosters!$G16,events!$O:$O,"=AssistSecondary")</f>
        <v>0</v>
      </c>
      <c r="AG16">
        <f t="shared" si="1"/>
        <v>0</v>
      </c>
      <c r="AH16">
        <f t="shared" si="2"/>
        <v>0</v>
      </c>
      <c r="AI16">
        <f t="shared" si="3"/>
        <v>0</v>
      </c>
      <c r="AJ16">
        <f t="shared" si="4"/>
        <v>0</v>
      </c>
    </row>
    <row r="17" spans="2:36" x14ac:dyDescent="0.2">
      <c r="B17">
        <v>13212</v>
      </c>
      <c r="C17">
        <v>18981</v>
      </c>
      <c r="D17" t="s">
        <v>946</v>
      </c>
      <c r="E17" t="s">
        <v>945</v>
      </c>
      <c r="F17" t="s">
        <v>1024</v>
      </c>
      <c r="G17" t="s">
        <v>1014</v>
      </c>
      <c r="H17" t="s">
        <v>521</v>
      </c>
      <c r="I17" t="s">
        <v>944</v>
      </c>
      <c r="J17">
        <v>22</v>
      </c>
      <c r="K17" t="s">
        <v>1025</v>
      </c>
      <c r="L17" t="s">
        <v>963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952</v>
      </c>
      <c r="T17" t="s">
        <v>951</v>
      </c>
      <c r="U17" t="s">
        <v>1026</v>
      </c>
      <c r="V17" t="s">
        <v>1027</v>
      </c>
      <c r="W17" t="s">
        <v>1028</v>
      </c>
      <c r="X17">
        <v>45928</v>
      </c>
      <c r="Y17">
        <v>20252030</v>
      </c>
      <c r="Z17" t="s">
        <v>756</v>
      </c>
      <c r="AA17" s="39" t="s">
        <v>521</v>
      </c>
      <c r="AB17" s="39" t="str">
        <f t="shared" si="0"/>
        <v>a</v>
      </c>
      <c r="AC17">
        <f>COUNTIFS(events!$X:$X,"="&amp;game_rosters!$J17,events!$AR:$AR,"="&amp;game_rosters!$G17,events!$K:$K,"=Goal")</f>
        <v>0</v>
      </c>
      <c r="AD17">
        <f>COUNTIFS(events!$X:$X,"="&amp;game_rosters!$J17,events!$AR:$AR,"="&amp;game_rosters!$G17,events!$K:$K,"=Penalty")</f>
        <v>0</v>
      </c>
      <c r="AE17">
        <f>COUNTIFS(events!$X:$X,"="&amp;game_rosters!$J17,events!$AR:$AR,"="&amp;game_rosters!$G17,events!$O:$O,"=AssistPrimary")</f>
        <v>0</v>
      </c>
      <c r="AF17">
        <f>COUNTIFS(events!$X:$X,"="&amp;game_rosters!$J17,events!$AR:$AR,"="&amp;game_rosters!$G17,events!$O:$O,"=AssistSecondary")</f>
        <v>0</v>
      </c>
      <c r="AG17">
        <f t="shared" si="1"/>
        <v>0</v>
      </c>
      <c r="AH17">
        <f>AC17-N17</f>
        <v>0</v>
      </c>
      <c r="AI17">
        <f t="shared" si="3"/>
        <v>0</v>
      </c>
      <c r="AJ17">
        <f t="shared" si="4"/>
        <v>0</v>
      </c>
    </row>
    <row r="18" spans="2:36" x14ac:dyDescent="0.2">
      <c r="B18">
        <v>13213</v>
      </c>
      <c r="C18">
        <v>18981</v>
      </c>
      <c r="D18" t="s">
        <v>946</v>
      </c>
      <c r="E18" t="s">
        <v>945</v>
      </c>
      <c r="F18" t="s">
        <v>1029</v>
      </c>
      <c r="G18" t="s">
        <v>1014</v>
      </c>
      <c r="H18" t="s">
        <v>521</v>
      </c>
      <c r="I18" t="s">
        <v>944</v>
      </c>
      <c r="J18">
        <v>24</v>
      </c>
      <c r="K18" t="s">
        <v>1030</v>
      </c>
      <c r="L18" t="s">
        <v>950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952</v>
      </c>
      <c r="T18" t="s">
        <v>951</v>
      </c>
      <c r="U18" t="s">
        <v>1031</v>
      </c>
      <c r="V18" t="s">
        <v>1032</v>
      </c>
      <c r="W18" t="s">
        <v>1033</v>
      </c>
      <c r="X18">
        <v>45928</v>
      </c>
      <c r="Y18">
        <v>20252030</v>
      </c>
      <c r="Z18" t="s">
        <v>756</v>
      </c>
      <c r="AA18" s="39" t="s">
        <v>521</v>
      </c>
      <c r="AB18" s="39" t="str">
        <f t="shared" si="0"/>
        <v>a</v>
      </c>
      <c r="AC18">
        <f>COUNTIFS(events!$X:$X,"="&amp;game_rosters!$J18,events!$AR:$AR,"="&amp;game_rosters!$G18,events!$K:$K,"=Goal")</f>
        <v>0</v>
      </c>
      <c r="AD18">
        <f>COUNTIFS(events!$X:$X,"="&amp;game_rosters!$J18,events!$AR:$AR,"="&amp;game_rosters!$G18,events!$K:$K,"=Penalty")</f>
        <v>0</v>
      </c>
      <c r="AE18">
        <f>COUNTIFS(events!$X:$X,"="&amp;game_rosters!$J18,events!$AR:$AR,"="&amp;game_rosters!$G18,events!$O:$O,"=AssistPrimary")</f>
        <v>0</v>
      </c>
      <c r="AF18">
        <f>COUNTIFS(events!$X:$X,"="&amp;game_rosters!$J18,events!$AR:$AR,"="&amp;game_rosters!$G18,events!$O:$O,"=AssistSecondary")</f>
        <v>0</v>
      </c>
      <c r="AG18">
        <f t="shared" si="1"/>
        <v>0</v>
      </c>
      <c r="AH18">
        <f t="shared" si="2"/>
        <v>0</v>
      </c>
      <c r="AI18">
        <f t="shared" si="3"/>
        <v>0</v>
      </c>
      <c r="AJ18">
        <f>AG18-O18</f>
        <v>0</v>
      </c>
    </row>
    <row r="19" spans="2:36" x14ac:dyDescent="0.2">
      <c r="B19">
        <v>13214</v>
      </c>
      <c r="C19">
        <v>18981</v>
      </c>
      <c r="D19" t="s">
        <v>946</v>
      </c>
      <c r="E19" t="s">
        <v>945</v>
      </c>
      <c r="F19" t="s">
        <v>1034</v>
      </c>
      <c r="G19" t="s">
        <v>1014</v>
      </c>
      <c r="H19" t="s">
        <v>521</v>
      </c>
      <c r="I19" t="s">
        <v>944</v>
      </c>
      <c r="J19">
        <v>39</v>
      </c>
      <c r="K19" t="s">
        <v>1035</v>
      </c>
      <c r="L19" t="s">
        <v>989</v>
      </c>
      <c r="M19">
        <v>1</v>
      </c>
      <c r="N19">
        <v>0</v>
      </c>
      <c r="O19">
        <v>0</v>
      </c>
      <c r="P19">
        <v>2</v>
      </c>
      <c r="Q19">
        <v>0</v>
      </c>
      <c r="R19">
        <v>0</v>
      </c>
      <c r="S19" t="s">
        <v>952</v>
      </c>
      <c r="T19" t="s">
        <v>951</v>
      </c>
      <c r="U19" t="s">
        <v>1036</v>
      </c>
      <c r="V19" t="s">
        <v>1037</v>
      </c>
      <c r="W19" t="s">
        <v>1038</v>
      </c>
      <c r="X19">
        <v>45928</v>
      </c>
      <c r="Y19">
        <v>20252030</v>
      </c>
      <c r="Z19" t="s">
        <v>756</v>
      </c>
      <c r="AA19" s="39" t="s">
        <v>521</v>
      </c>
      <c r="AB19" s="39" t="str">
        <f t="shared" si="0"/>
        <v>a</v>
      </c>
      <c r="AC19">
        <f>COUNTIFS(events!$X:$X,"="&amp;game_rosters!$J19,events!$AR:$AR,"="&amp;game_rosters!$G19,events!$K:$K,"=Goal")</f>
        <v>0</v>
      </c>
      <c r="AD19">
        <f>COUNTIFS(events!$X:$X,"="&amp;game_rosters!$J19,events!$AR:$AR,"="&amp;game_rosters!$G19,events!$K:$K,"=Penalty")</f>
        <v>0</v>
      </c>
      <c r="AE19">
        <f>COUNTIFS(events!$X:$X,"="&amp;game_rosters!$J19,events!$AR:$AR,"="&amp;game_rosters!$G19,events!$O:$O,"=AssistPrimary")</f>
        <v>0</v>
      </c>
      <c r="AF19">
        <f>COUNTIFS(events!$X:$X,"="&amp;game_rosters!$J19,events!$AR:$AR,"="&amp;game_rosters!$G19,events!$O:$O,"=AssistSecondary")</f>
        <v>0</v>
      </c>
      <c r="AG19">
        <f t="shared" si="1"/>
        <v>0</v>
      </c>
      <c r="AH19">
        <f t="shared" si="2"/>
        <v>0</v>
      </c>
      <c r="AI19">
        <f t="shared" si="3"/>
        <v>0</v>
      </c>
      <c r="AJ19">
        <f t="shared" si="4"/>
        <v>0</v>
      </c>
    </row>
    <row r="20" spans="2:36" x14ac:dyDescent="0.2">
      <c r="B20">
        <v>13215</v>
      </c>
      <c r="C20">
        <v>18981</v>
      </c>
      <c r="D20" t="s">
        <v>946</v>
      </c>
      <c r="E20" t="s">
        <v>945</v>
      </c>
      <c r="F20" t="s">
        <v>1039</v>
      </c>
      <c r="G20" t="s">
        <v>1014</v>
      </c>
      <c r="H20" t="s">
        <v>521</v>
      </c>
      <c r="I20" t="s">
        <v>944</v>
      </c>
      <c r="J20">
        <v>42</v>
      </c>
      <c r="K20" t="s">
        <v>1040</v>
      </c>
      <c r="L20" t="s">
        <v>950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952</v>
      </c>
      <c r="T20" t="s">
        <v>951</v>
      </c>
      <c r="U20" t="s">
        <v>1041</v>
      </c>
      <c r="V20" t="s">
        <v>1042</v>
      </c>
      <c r="W20" t="s">
        <v>1043</v>
      </c>
      <c r="X20">
        <v>45928</v>
      </c>
      <c r="Y20">
        <v>20252030</v>
      </c>
      <c r="Z20" t="s">
        <v>756</v>
      </c>
      <c r="AA20" s="39" t="s">
        <v>521</v>
      </c>
      <c r="AB20" s="39" t="str">
        <f t="shared" si="0"/>
        <v>a</v>
      </c>
      <c r="AC20">
        <f>COUNTIFS(events!$X:$X,"="&amp;game_rosters!$J20,events!$AR:$AR,"="&amp;game_rosters!$G20,events!$K:$K,"=Goal")</f>
        <v>0</v>
      </c>
      <c r="AD20">
        <f>COUNTIFS(events!$X:$X,"="&amp;game_rosters!$J20,events!$AR:$AR,"="&amp;game_rosters!$G20,events!$K:$K,"=Penalty")</f>
        <v>0</v>
      </c>
      <c r="AE20">
        <f>COUNTIFS(events!$X:$X,"="&amp;game_rosters!$J20,events!$AR:$AR,"="&amp;game_rosters!$G20,events!$O:$O,"=AssistPrimary")</f>
        <v>0</v>
      </c>
      <c r="AF20">
        <f>COUNTIFS(events!$X:$X,"="&amp;game_rosters!$J20,events!$AR:$AR,"="&amp;game_rosters!$G20,events!$O:$O,"=AssistSecondary")</f>
        <v>0</v>
      </c>
      <c r="AG20">
        <f t="shared" si="1"/>
        <v>0</v>
      </c>
      <c r="AH20">
        <f t="shared" si="2"/>
        <v>0</v>
      </c>
      <c r="AI20">
        <f t="shared" si="3"/>
        <v>0</v>
      </c>
      <c r="AJ20">
        <f t="shared" si="4"/>
        <v>0</v>
      </c>
    </row>
    <row r="21" spans="2:36" x14ac:dyDescent="0.2">
      <c r="B21">
        <v>13216</v>
      </c>
      <c r="C21">
        <v>18981</v>
      </c>
      <c r="D21" t="s">
        <v>946</v>
      </c>
      <c r="E21" t="s">
        <v>945</v>
      </c>
      <c r="F21" t="s">
        <v>1044</v>
      </c>
      <c r="G21" t="s">
        <v>1014</v>
      </c>
      <c r="H21" t="s">
        <v>521</v>
      </c>
      <c r="I21" t="s">
        <v>944</v>
      </c>
      <c r="J21">
        <v>49</v>
      </c>
      <c r="K21" t="s">
        <v>1045</v>
      </c>
      <c r="L21" t="s">
        <v>950</v>
      </c>
      <c r="M21">
        <v>1</v>
      </c>
      <c r="N21">
        <v>0</v>
      </c>
      <c r="O21">
        <v>0</v>
      </c>
      <c r="P21">
        <v>0</v>
      </c>
      <c r="Q21">
        <v>3</v>
      </c>
      <c r="R21">
        <v>0</v>
      </c>
      <c r="S21" t="s">
        <v>952</v>
      </c>
      <c r="T21" t="s">
        <v>951</v>
      </c>
      <c r="U21" t="s">
        <v>1046</v>
      </c>
      <c r="V21" t="s">
        <v>1047</v>
      </c>
      <c r="W21" t="s">
        <v>1048</v>
      </c>
      <c r="X21">
        <v>45928</v>
      </c>
      <c r="Y21">
        <v>20252030</v>
      </c>
      <c r="Z21" t="s">
        <v>756</v>
      </c>
      <c r="AA21" s="39" t="s">
        <v>521</v>
      </c>
      <c r="AB21" s="39" t="str">
        <f t="shared" si="0"/>
        <v>a</v>
      </c>
      <c r="AC21">
        <f>COUNTIFS(events!$X:$X,"="&amp;game_rosters!$J21,events!$AR:$AR,"="&amp;game_rosters!$G21,events!$K:$K,"=Goal")</f>
        <v>0</v>
      </c>
      <c r="AD21">
        <f>COUNTIFS(events!$X:$X,"="&amp;game_rosters!$J21,events!$AR:$AR,"="&amp;game_rosters!$G21,events!$K:$K,"=Penalty")</f>
        <v>1</v>
      </c>
      <c r="AE21">
        <f>COUNTIFS(events!$X:$X,"="&amp;game_rosters!$J21,events!$AR:$AR,"="&amp;game_rosters!$G21,events!$O:$O,"=AssistPrimary")</f>
        <v>0</v>
      </c>
      <c r="AF21">
        <f>COUNTIFS(events!$X:$X,"="&amp;game_rosters!$J21,events!$AR:$AR,"="&amp;game_rosters!$G21,events!$O:$O,"=AssistSecondary")</f>
        <v>0</v>
      </c>
      <c r="AG21">
        <f t="shared" si="1"/>
        <v>0</v>
      </c>
      <c r="AH21">
        <f t="shared" si="2"/>
        <v>0</v>
      </c>
      <c r="AI21">
        <f t="shared" si="3"/>
        <v>0</v>
      </c>
      <c r="AJ21">
        <f t="shared" si="4"/>
        <v>0</v>
      </c>
    </row>
    <row r="22" spans="2:36" x14ac:dyDescent="0.2">
      <c r="B22">
        <v>13217</v>
      </c>
      <c r="C22">
        <v>18981</v>
      </c>
      <c r="D22" t="s">
        <v>946</v>
      </c>
      <c r="E22" t="s">
        <v>945</v>
      </c>
      <c r="F22" t="s">
        <v>1049</v>
      </c>
      <c r="G22" t="s">
        <v>1014</v>
      </c>
      <c r="H22" t="s">
        <v>521</v>
      </c>
      <c r="I22" t="s">
        <v>944</v>
      </c>
      <c r="J22">
        <v>52</v>
      </c>
      <c r="K22" t="s">
        <v>1050</v>
      </c>
      <c r="L22" t="s">
        <v>963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952</v>
      </c>
      <c r="T22" t="s">
        <v>951</v>
      </c>
      <c r="U22" t="s">
        <v>1051</v>
      </c>
      <c r="V22" t="s">
        <v>1052</v>
      </c>
      <c r="W22" t="s">
        <v>1053</v>
      </c>
      <c r="X22">
        <v>45928</v>
      </c>
      <c r="Y22">
        <v>20252030</v>
      </c>
      <c r="Z22" t="s">
        <v>756</v>
      </c>
      <c r="AA22" s="39" t="s">
        <v>521</v>
      </c>
      <c r="AB22" s="39" t="str">
        <f t="shared" si="0"/>
        <v>a</v>
      </c>
      <c r="AC22">
        <f>COUNTIFS(events!$X:$X,"="&amp;game_rosters!$J22,events!$AR:$AR,"="&amp;game_rosters!$G22,events!$K:$K,"=Goal")</f>
        <v>0</v>
      </c>
      <c r="AD22">
        <f>COUNTIFS(events!$X:$X,"="&amp;game_rosters!$J22,events!$AR:$AR,"="&amp;game_rosters!$G22,events!$K:$K,"=Penalty")</f>
        <v>0</v>
      </c>
      <c r="AE22">
        <f>COUNTIFS(events!$X:$X,"="&amp;game_rosters!$J22,events!$AR:$AR,"="&amp;game_rosters!$G22,events!$O:$O,"=AssistPrimary")</f>
        <v>0</v>
      </c>
      <c r="AF22">
        <f>COUNTIFS(events!$X:$X,"="&amp;game_rosters!$J22,events!$AR:$AR,"="&amp;game_rosters!$G22,events!$O:$O,"=AssistSecondary")</f>
        <v>0</v>
      </c>
      <c r="AG22">
        <f t="shared" si="1"/>
        <v>0</v>
      </c>
      <c r="AH22">
        <f t="shared" si="2"/>
        <v>0</v>
      </c>
      <c r="AI22">
        <f t="shared" si="3"/>
        <v>0</v>
      </c>
      <c r="AJ22">
        <f t="shared" si="4"/>
        <v>0</v>
      </c>
    </row>
    <row r="23" spans="2:36" x14ac:dyDescent="0.2">
      <c r="B23">
        <v>13218</v>
      </c>
      <c r="C23">
        <v>18981</v>
      </c>
      <c r="D23" t="s">
        <v>946</v>
      </c>
      <c r="E23" t="s">
        <v>945</v>
      </c>
      <c r="F23" t="s">
        <v>1054</v>
      </c>
      <c r="G23" t="s">
        <v>1014</v>
      </c>
      <c r="H23" t="s">
        <v>521</v>
      </c>
      <c r="I23" t="s">
        <v>944</v>
      </c>
      <c r="J23">
        <v>61</v>
      </c>
      <c r="K23" t="s">
        <v>1055</v>
      </c>
      <c r="L23" t="s">
        <v>950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952</v>
      </c>
      <c r="T23" t="s">
        <v>951</v>
      </c>
      <c r="U23" t="s">
        <v>1056</v>
      </c>
      <c r="V23" t="s">
        <v>1057</v>
      </c>
      <c r="W23" t="s">
        <v>1058</v>
      </c>
      <c r="X23">
        <v>45928</v>
      </c>
      <c r="Y23">
        <v>20252030</v>
      </c>
      <c r="Z23" t="s">
        <v>756</v>
      </c>
      <c r="AA23" s="39" t="s">
        <v>521</v>
      </c>
      <c r="AB23" s="39" t="str">
        <f t="shared" si="0"/>
        <v>a</v>
      </c>
      <c r="AC23">
        <f>COUNTIFS(events!$X:$X,"="&amp;game_rosters!$J23,events!$AR:$AR,"="&amp;game_rosters!$G23,events!$K:$K,"=Goal")</f>
        <v>0</v>
      </c>
      <c r="AD23">
        <f>COUNTIFS(events!$X:$X,"="&amp;game_rosters!$J23,events!$AR:$AR,"="&amp;game_rosters!$G23,events!$K:$K,"=Penalty")</f>
        <v>0</v>
      </c>
      <c r="AE23">
        <f>COUNTIFS(events!$X:$X,"="&amp;game_rosters!$J23,events!$AR:$AR,"="&amp;game_rosters!$G23,events!$O:$O,"=AssistPrimary")</f>
        <v>0</v>
      </c>
      <c r="AF23">
        <f>COUNTIFS(events!$X:$X,"="&amp;game_rosters!$J23,events!$AR:$AR,"="&amp;game_rosters!$G23,events!$O:$O,"=AssistSecondary")</f>
        <v>0</v>
      </c>
      <c r="AG23">
        <f t="shared" si="1"/>
        <v>0</v>
      </c>
      <c r="AH23">
        <f t="shared" si="2"/>
        <v>0</v>
      </c>
      <c r="AI23">
        <f t="shared" si="3"/>
        <v>0</v>
      </c>
      <c r="AJ23">
        <f t="shared" si="4"/>
        <v>0</v>
      </c>
    </row>
    <row r="24" spans="2:36" x14ac:dyDescent="0.2">
      <c r="B24">
        <v>13219</v>
      </c>
      <c r="C24">
        <v>18981</v>
      </c>
      <c r="D24" t="s">
        <v>946</v>
      </c>
      <c r="E24" t="s">
        <v>945</v>
      </c>
      <c r="F24" t="s">
        <v>1059</v>
      </c>
      <c r="G24" t="s">
        <v>1014</v>
      </c>
      <c r="H24" t="s">
        <v>521</v>
      </c>
      <c r="I24" t="s">
        <v>944</v>
      </c>
      <c r="J24">
        <v>70</v>
      </c>
      <c r="K24" t="s">
        <v>1060</v>
      </c>
      <c r="L24" t="s">
        <v>950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 t="s">
        <v>952</v>
      </c>
      <c r="T24" t="s">
        <v>951</v>
      </c>
      <c r="U24" t="s">
        <v>1061</v>
      </c>
      <c r="V24" t="s">
        <v>1062</v>
      </c>
      <c r="W24" t="s">
        <v>1063</v>
      </c>
      <c r="X24">
        <v>45928</v>
      </c>
      <c r="Y24">
        <v>20252030</v>
      </c>
      <c r="Z24" t="s">
        <v>756</v>
      </c>
      <c r="AA24" s="39" t="s">
        <v>521</v>
      </c>
      <c r="AB24" s="39" t="str">
        <f t="shared" si="0"/>
        <v>a</v>
      </c>
      <c r="AC24">
        <f>COUNTIFS(events!$X:$X,"="&amp;game_rosters!$J24,events!$AR:$AR,"="&amp;game_rosters!$G24,events!$K:$K,"=Goal")</f>
        <v>1</v>
      </c>
      <c r="AD24">
        <f>COUNTIFS(events!$X:$X,"="&amp;game_rosters!$J24,events!$AR:$AR,"="&amp;game_rosters!$G24,events!$K:$K,"=Penalty")</f>
        <v>0</v>
      </c>
      <c r="AE24">
        <f>COUNTIFS(events!$X:$X,"="&amp;game_rosters!$J24,events!$AR:$AR,"="&amp;game_rosters!$G24,events!$O:$O,"=AssistPrimary")</f>
        <v>0</v>
      </c>
      <c r="AF24">
        <f>COUNTIFS(events!$X:$X,"="&amp;game_rosters!$J24,events!$AR:$AR,"="&amp;game_rosters!$G24,events!$O:$O,"=AssistSecondary")</f>
        <v>0</v>
      </c>
      <c r="AG24">
        <f t="shared" si="1"/>
        <v>0</v>
      </c>
      <c r="AH24">
        <f t="shared" si="2"/>
        <v>0</v>
      </c>
      <c r="AI24">
        <f t="shared" si="3"/>
        <v>0</v>
      </c>
      <c r="AJ24">
        <f t="shared" si="4"/>
        <v>0</v>
      </c>
    </row>
    <row r="25" spans="2:36" x14ac:dyDescent="0.2">
      <c r="B25">
        <v>13220</v>
      </c>
      <c r="C25">
        <v>18981</v>
      </c>
      <c r="D25" t="s">
        <v>946</v>
      </c>
      <c r="E25" t="s">
        <v>945</v>
      </c>
      <c r="F25" t="s">
        <v>1064</v>
      </c>
      <c r="G25" t="s">
        <v>1014</v>
      </c>
      <c r="H25" t="s">
        <v>521</v>
      </c>
      <c r="I25" t="s">
        <v>944</v>
      </c>
      <c r="J25">
        <v>75</v>
      </c>
      <c r="K25" t="s">
        <v>1065</v>
      </c>
      <c r="L25" t="s">
        <v>950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952</v>
      </c>
      <c r="T25" t="s">
        <v>951</v>
      </c>
      <c r="U25" t="s">
        <v>1066</v>
      </c>
      <c r="V25" t="s">
        <v>1067</v>
      </c>
      <c r="W25" t="s">
        <v>1068</v>
      </c>
      <c r="X25">
        <v>45928</v>
      </c>
      <c r="Y25">
        <v>20252030</v>
      </c>
      <c r="Z25" t="s">
        <v>756</v>
      </c>
      <c r="AA25" s="39" t="s">
        <v>521</v>
      </c>
      <c r="AB25" s="39" t="str">
        <f t="shared" si="0"/>
        <v>a</v>
      </c>
      <c r="AC25">
        <f>COUNTIFS(events!$X:$X,"="&amp;game_rosters!$J25,events!$AR:$AR,"="&amp;game_rosters!$G25,events!$K:$K,"=Goal")</f>
        <v>0</v>
      </c>
      <c r="AD25">
        <f>COUNTIFS(events!$X:$X,"="&amp;game_rosters!$J25,events!$AR:$AR,"="&amp;game_rosters!$G25,events!$K:$K,"=Penalty")</f>
        <v>0</v>
      </c>
      <c r="AE25">
        <f>COUNTIFS(events!$X:$X,"="&amp;game_rosters!$J25,events!$AR:$AR,"="&amp;game_rosters!$G25,events!$O:$O,"=AssistPrimary")</f>
        <v>0</v>
      </c>
      <c r="AF25">
        <f>COUNTIFS(events!$X:$X,"="&amp;game_rosters!$J25,events!$AR:$AR,"="&amp;game_rosters!$G25,events!$O:$O,"=AssistSecondary")</f>
        <v>0</v>
      </c>
      <c r="AG25">
        <f t="shared" si="1"/>
        <v>0</v>
      </c>
      <c r="AH25">
        <f t="shared" si="2"/>
        <v>0</v>
      </c>
      <c r="AI25">
        <f t="shared" si="3"/>
        <v>0</v>
      </c>
      <c r="AJ25">
        <f t="shared" si="4"/>
        <v>0</v>
      </c>
    </row>
    <row r="26" spans="2:36" x14ac:dyDescent="0.2">
      <c r="B26">
        <v>13221</v>
      </c>
      <c r="C26">
        <v>18981</v>
      </c>
      <c r="D26" t="s">
        <v>946</v>
      </c>
      <c r="E26" t="s">
        <v>945</v>
      </c>
      <c r="F26" t="s">
        <v>1069</v>
      </c>
      <c r="G26" t="s">
        <v>1014</v>
      </c>
      <c r="H26" t="s">
        <v>521</v>
      </c>
      <c r="I26" t="s">
        <v>944</v>
      </c>
      <c r="J26">
        <v>84</v>
      </c>
      <c r="K26" t="s">
        <v>1070</v>
      </c>
      <c r="L26" t="s">
        <v>963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952</v>
      </c>
      <c r="T26" t="s">
        <v>951</v>
      </c>
      <c r="U26" t="s">
        <v>1071</v>
      </c>
      <c r="V26" t="s">
        <v>1072</v>
      </c>
      <c r="W26" t="s">
        <v>1073</v>
      </c>
      <c r="X26">
        <v>45928</v>
      </c>
      <c r="Y26">
        <v>20252030</v>
      </c>
      <c r="Z26" t="s">
        <v>756</v>
      </c>
      <c r="AA26" s="39" t="s">
        <v>521</v>
      </c>
      <c r="AB26" s="39" t="str">
        <f t="shared" si="0"/>
        <v>a</v>
      </c>
      <c r="AC26">
        <f>COUNTIFS(events!$X:$X,"="&amp;game_rosters!$J26,events!$AR:$AR,"="&amp;game_rosters!$G26,events!$K:$K,"=Goal")</f>
        <v>0</v>
      </c>
      <c r="AD26">
        <f>COUNTIFS(events!$X:$X,"="&amp;game_rosters!$J26,events!$AR:$AR,"="&amp;game_rosters!$G26,events!$K:$K,"=Penalty")</f>
        <v>0</v>
      </c>
      <c r="AE26">
        <f>COUNTIFS(events!$X:$X,"="&amp;game_rosters!$J26,events!$AR:$AR,"="&amp;game_rosters!$G26,events!$O:$O,"=AssistPrimary")</f>
        <v>0</v>
      </c>
      <c r="AF26">
        <f>COUNTIFS(events!$X:$X,"="&amp;game_rosters!$J26,events!$AR:$AR,"="&amp;game_rosters!$G26,events!$O:$O,"=AssistSecondary")</f>
        <v>0</v>
      </c>
      <c r="AG26">
        <f t="shared" si="1"/>
        <v>0</v>
      </c>
      <c r="AH26">
        <f t="shared" si="2"/>
        <v>0</v>
      </c>
      <c r="AI26">
        <f t="shared" si="3"/>
        <v>0</v>
      </c>
      <c r="AJ26">
        <f t="shared" si="4"/>
        <v>0</v>
      </c>
    </row>
    <row r="27" spans="2:36" x14ac:dyDescent="0.2">
      <c r="B27">
        <v>13222</v>
      </c>
      <c r="C27">
        <v>18981</v>
      </c>
      <c r="D27" t="s">
        <v>946</v>
      </c>
      <c r="E27" t="s">
        <v>945</v>
      </c>
      <c r="F27" t="s">
        <v>1074</v>
      </c>
      <c r="G27" t="s">
        <v>1014</v>
      </c>
      <c r="H27" t="s">
        <v>521</v>
      </c>
      <c r="I27" t="s">
        <v>944</v>
      </c>
      <c r="J27">
        <v>87</v>
      </c>
      <c r="K27" t="s">
        <v>1075</v>
      </c>
      <c r="L27" t="s">
        <v>963</v>
      </c>
      <c r="M27">
        <v>1</v>
      </c>
      <c r="N27">
        <v>0</v>
      </c>
      <c r="O27">
        <v>0</v>
      </c>
      <c r="P27">
        <v>0</v>
      </c>
      <c r="Q27">
        <v>6</v>
      </c>
      <c r="R27">
        <v>0</v>
      </c>
      <c r="S27" t="s">
        <v>952</v>
      </c>
      <c r="T27" t="s">
        <v>951</v>
      </c>
      <c r="U27" t="s">
        <v>1076</v>
      </c>
      <c r="V27" t="s">
        <v>1077</v>
      </c>
      <c r="W27" t="s">
        <v>1078</v>
      </c>
      <c r="X27">
        <v>45928</v>
      </c>
      <c r="Y27">
        <v>20252030</v>
      </c>
      <c r="Z27" t="s">
        <v>756</v>
      </c>
      <c r="AA27" s="39" t="s">
        <v>521</v>
      </c>
      <c r="AB27" s="39" t="str">
        <f t="shared" si="0"/>
        <v>a</v>
      </c>
      <c r="AC27">
        <f>COUNTIFS(events!$X:$X,"="&amp;game_rosters!$J27,events!$AR:$AR,"="&amp;game_rosters!$G27,events!$K:$K,"=Goal")</f>
        <v>0</v>
      </c>
      <c r="AD27">
        <f>COUNTIFS(events!$X:$X,"="&amp;game_rosters!$J27,events!$AR:$AR,"="&amp;game_rosters!$G27,events!$K:$K,"=Penalty")</f>
        <v>2</v>
      </c>
      <c r="AE27">
        <f>COUNTIFS(events!$X:$X,"="&amp;game_rosters!$J27,events!$AR:$AR,"="&amp;game_rosters!$G27,events!$O:$O,"=AssistPrimary")</f>
        <v>0</v>
      </c>
      <c r="AF27">
        <f>COUNTIFS(events!$X:$X,"="&amp;game_rosters!$J27,events!$AR:$AR,"="&amp;game_rosters!$G27,events!$O:$O,"=AssistSecondary")</f>
        <v>0</v>
      </c>
      <c r="AG27">
        <f t="shared" si="1"/>
        <v>0</v>
      </c>
      <c r="AH27">
        <f t="shared" si="2"/>
        <v>0</v>
      </c>
      <c r="AI27">
        <f t="shared" si="3"/>
        <v>0</v>
      </c>
      <c r="AJ27">
        <f t="shared" si="4"/>
        <v>0</v>
      </c>
    </row>
    <row r="28" spans="2:36" x14ac:dyDescent="0.2">
      <c r="B28">
        <v>13223</v>
      </c>
      <c r="C28">
        <v>18981</v>
      </c>
      <c r="D28" t="s">
        <v>946</v>
      </c>
      <c r="E28" t="s">
        <v>945</v>
      </c>
      <c r="F28" t="s">
        <v>1079</v>
      </c>
      <c r="G28" t="s">
        <v>1014</v>
      </c>
      <c r="H28" t="s">
        <v>521</v>
      </c>
      <c r="I28" t="s">
        <v>944</v>
      </c>
      <c r="J28">
        <v>91</v>
      </c>
      <c r="K28" t="s">
        <v>1080</v>
      </c>
      <c r="L28" t="s">
        <v>950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952</v>
      </c>
      <c r="T28" t="s">
        <v>951</v>
      </c>
      <c r="U28" t="s">
        <v>1081</v>
      </c>
      <c r="V28" t="s">
        <v>1082</v>
      </c>
      <c r="W28" t="s">
        <v>1083</v>
      </c>
      <c r="X28">
        <v>45928</v>
      </c>
      <c r="Y28">
        <v>20252030</v>
      </c>
      <c r="Z28" t="s">
        <v>756</v>
      </c>
      <c r="AA28" s="39" t="s">
        <v>521</v>
      </c>
      <c r="AB28" s="39" t="str">
        <f t="shared" si="0"/>
        <v>a</v>
      </c>
      <c r="AC28">
        <f>COUNTIFS(events!$X:$X,"="&amp;game_rosters!$J28,events!$AR:$AR,"="&amp;game_rosters!$G28,events!$K:$K,"=Goal")</f>
        <v>0</v>
      </c>
      <c r="AD28">
        <f>COUNTIFS(events!$X:$X,"="&amp;game_rosters!$J28,events!$AR:$AR,"="&amp;game_rosters!$G28,events!$K:$K,"=Penalty")</f>
        <v>0</v>
      </c>
      <c r="AE28">
        <f>COUNTIFS(events!$X:$X,"="&amp;game_rosters!$J28,events!$AR:$AR,"="&amp;game_rosters!$G28,events!$O:$O,"=AssistPrimary")</f>
        <v>0</v>
      </c>
      <c r="AF28">
        <f>COUNTIFS(events!$X:$X,"="&amp;game_rosters!$J28,events!$AR:$AR,"="&amp;game_rosters!$G28,events!$O:$O,"=AssistSecondary")</f>
        <v>0</v>
      </c>
      <c r="AG28">
        <f t="shared" si="1"/>
        <v>0</v>
      </c>
      <c r="AH28">
        <f t="shared" si="2"/>
        <v>0</v>
      </c>
      <c r="AI28">
        <f t="shared" si="3"/>
        <v>0</v>
      </c>
      <c r="AJ28">
        <f t="shared" si="4"/>
        <v>0</v>
      </c>
    </row>
    <row r="29" spans="2:36" x14ac:dyDescent="0.2">
      <c r="B29">
        <v>13224</v>
      </c>
      <c r="C29">
        <v>18981</v>
      </c>
      <c r="D29" t="s">
        <v>946</v>
      </c>
      <c r="E29" t="s">
        <v>945</v>
      </c>
      <c r="F29" t="s">
        <v>1084</v>
      </c>
      <c r="G29" t="s">
        <v>1014</v>
      </c>
      <c r="H29" t="s">
        <v>521</v>
      </c>
      <c r="I29" t="s">
        <v>944</v>
      </c>
      <c r="J29">
        <v>93</v>
      </c>
      <c r="K29" t="s">
        <v>1085</v>
      </c>
      <c r="L29" t="s">
        <v>963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952</v>
      </c>
      <c r="T29" t="s">
        <v>951</v>
      </c>
      <c r="U29" t="s">
        <v>1086</v>
      </c>
      <c r="V29" t="s">
        <v>1087</v>
      </c>
      <c r="W29" t="s">
        <v>1088</v>
      </c>
      <c r="X29">
        <v>45928</v>
      </c>
      <c r="Y29">
        <v>20252030</v>
      </c>
      <c r="Z29" t="s">
        <v>756</v>
      </c>
      <c r="AA29" s="39" t="s">
        <v>521</v>
      </c>
      <c r="AB29" s="39" t="str">
        <f t="shared" si="0"/>
        <v>a</v>
      </c>
      <c r="AC29">
        <f>COUNTIFS(events!$X:$X,"="&amp;game_rosters!$J29,events!$AR:$AR,"="&amp;game_rosters!$G29,events!$K:$K,"=Goal")</f>
        <v>0</v>
      </c>
      <c r="AD29">
        <f>COUNTIFS(events!$X:$X,"="&amp;game_rosters!$J29,events!$AR:$AR,"="&amp;game_rosters!$G29,events!$K:$K,"=Penalty")</f>
        <v>0</v>
      </c>
      <c r="AE29">
        <f>COUNTIFS(events!$X:$X,"="&amp;game_rosters!$J29,events!$AR:$AR,"="&amp;game_rosters!$G29,events!$O:$O,"=AssistPrimary")</f>
        <v>0</v>
      </c>
      <c r="AF29">
        <f>COUNTIFS(events!$X:$X,"="&amp;game_rosters!$J29,events!$AR:$AR,"="&amp;game_rosters!$G29,events!$O:$O,"=AssistSecondary")</f>
        <v>0</v>
      </c>
      <c r="AG29">
        <f t="shared" si="1"/>
        <v>0</v>
      </c>
      <c r="AH29">
        <f t="shared" si="2"/>
        <v>0</v>
      </c>
      <c r="AI29">
        <f t="shared" si="3"/>
        <v>0</v>
      </c>
      <c r="AJ29">
        <f t="shared" si="4"/>
        <v>0</v>
      </c>
    </row>
    <row r="43" spans="3:5" x14ac:dyDescent="0.2">
      <c r="C43" t="s">
        <v>861</v>
      </c>
      <c r="D43" t="s">
        <v>862</v>
      </c>
      <c r="E43" t="s">
        <v>893</v>
      </c>
    </row>
    <row r="44" spans="3:5" x14ac:dyDescent="0.2">
      <c r="C44" cm="1">
        <f t="array" ref="C44:C55">_xlfn._xlws.FILTER(J:J,G:G="home")</f>
        <v>3</v>
      </c>
      <c r="D44" cm="1">
        <f t="array" ref="D44:D58">_xlfn._xlws.FILTER(J:J,G:G="away")</f>
        <v>9</v>
      </c>
      <c r="E44" t="b">
        <f>COUNTIF(C$44:D$65,C44)&gt;1</f>
        <v>0</v>
      </c>
    </row>
    <row r="45" spans="3:5" x14ac:dyDescent="0.2">
      <c r="C45">
        <v>7</v>
      </c>
      <c r="D45">
        <v>14</v>
      </c>
      <c r="E45" t="b">
        <f t="shared" ref="E45:E63" si="5">COUNTIF(C$44:D$65,C45)&gt;1</f>
        <v>0</v>
      </c>
    </row>
    <row r="46" spans="3:5" x14ac:dyDescent="0.2">
      <c r="C46">
        <v>8</v>
      </c>
      <c r="D46">
        <v>22</v>
      </c>
      <c r="E46" t="b">
        <f t="shared" si="5"/>
        <v>0</v>
      </c>
    </row>
    <row r="47" spans="3:5" x14ac:dyDescent="0.2">
      <c r="C47">
        <v>10</v>
      </c>
      <c r="D47">
        <v>24</v>
      </c>
      <c r="E47" t="b">
        <f t="shared" si="5"/>
        <v>0</v>
      </c>
    </row>
    <row r="48" spans="3:5" x14ac:dyDescent="0.2">
      <c r="C48">
        <v>15</v>
      </c>
      <c r="D48">
        <v>39</v>
      </c>
      <c r="E48" t="b">
        <f t="shared" si="5"/>
        <v>0</v>
      </c>
    </row>
    <row r="49" spans="3:5" x14ac:dyDescent="0.2">
      <c r="C49">
        <v>16</v>
      </c>
      <c r="D49">
        <v>42</v>
      </c>
      <c r="E49" t="b">
        <f t="shared" si="5"/>
        <v>0</v>
      </c>
    </row>
    <row r="50" spans="3:5" x14ac:dyDescent="0.2">
      <c r="C50">
        <v>23</v>
      </c>
      <c r="D50">
        <v>49</v>
      </c>
      <c r="E50" t="b">
        <f t="shared" si="5"/>
        <v>0</v>
      </c>
    </row>
    <row r="51" spans="3:5" x14ac:dyDescent="0.2">
      <c r="C51">
        <v>31</v>
      </c>
      <c r="D51">
        <v>52</v>
      </c>
      <c r="E51" t="b">
        <f t="shared" si="5"/>
        <v>0</v>
      </c>
    </row>
    <row r="52" spans="3:5" x14ac:dyDescent="0.2">
      <c r="C52">
        <v>37</v>
      </c>
      <c r="D52">
        <v>61</v>
      </c>
      <c r="E52" t="b">
        <f t="shared" si="5"/>
        <v>0</v>
      </c>
    </row>
    <row r="53" spans="3:5" x14ac:dyDescent="0.2">
      <c r="C53">
        <v>44</v>
      </c>
      <c r="D53">
        <v>70</v>
      </c>
      <c r="E53" t="b">
        <f t="shared" si="5"/>
        <v>0</v>
      </c>
    </row>
    <row r="54" spans="3:5" x14ac:dyDescent="0.2">
      <c r="C54">
        <v>79</v>
      </c>
      <c r="D54">
        <v>75</v>
      </c>
      <c r="E54" t="b">
        <f t="shared" si="5"/>
        <v>0</v>
      </c>
    </row>
    <row r="55" spans="3:5" x14ac:dyDescent="0.2">
      <c r="C55">
        <v>80</v>
      </c>
      <c r="D55">
        <v>84</v>
      </c>
      <c r="E55" t="b">
        <f t="shared" si="5"/>
        <v>0</v>
      </c>
    </row>
    <row r="56" spans="3:5" x14ac:dyDescent="0.2">
      <c r="D56">
        <v>87</v>
      </c>
      <c r="E56" t="b">
        <f t="shared" si="5"/>
        <v>0</v>
      </c>
    </row>
    <row r="57" spans="3:5" x14ac:dyDescent="0.2">
      <c r="D57">
        <v>91</v>
      </c>
      <c r="E57" t="b">
        <f t="shared" si="5"/>
        <v>0</v>
      </c>
    </row>
    <row r="58" spans="3:5" x14ac:dyDescent="0.2">
      <c r="D58">
        <v>93</v>
      </c>
      <c r="E58" t="b">
        <f t="shared" si="5"/>
        <v>0</v>
      </c>
    </row>
    <row r="59" spans="3:5" x14ac:dyDescent="0.2">
      <c r="E59" t="b">
        <f t="shared" si="5"/>
        <v>0</v>
      </c>
    </row>
    <row r="60" spans="3:5" x14ac:dyDescent="0.2">
      <c r="E60" t="b">
        <f t="shared" si="5"/>
        <v>0</v>
      </c>
    </row>
    <row r="61" spans="3:5" x14ac:dyDescent="0.2">
      <c r="E61" t="b">
        <f t="shared" si="5"/>
        <v>0</v>
      </c>
    </row>
    <row r="62" spans="3:5" x14ac:dyDescent="0.2">
      <c r="E62" t="b">
        <f t="shared" si="5"/>
        <v>0</v>
      </c>
    </row>
    <row r="63" spans="3:5" x14ac:dyDescent="0.2">
      <c r="E63" t="b">
        <f t="shared" si="5"/>
        <v>0</v>
      </c>
    </row>
  </sheetData>
  <conditionalFormatting sqref="AH1:AJ1048576">
    <cfRule type="cellIs" dxfId="0" priority="1" operator="notEqual">
      <formula>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examples</vt:lpstr>
      <vt:lpstr>Sheet1</vt:lpstr>
      <vt:lpstr>Rules</vt:lpstr>
      <vt:lpstr>Lists</vt:lpstr>
      <vt:lpstr>shifts</vt:lpstr>
      <vt:lpstr>events</vt:lpstr>
      <vt:lpstr>game_rosters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2025-12-20T00:17:40Z</dcterms:modified>
</cp:coreProperties>
</file>